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defaultThemeVersion="166925"/>
  <mc:AlternateContent xmlns:mc="http://schemas.openxmlformats.org/markup-compatibility/2006">
    <mc:Choice Requires="x15">
      <x15ac:absPath xmlns:x15ac="http://schemas.microsoft.com/office/spreadsheetml/2010/11/ac" url="/home/projects/nextprod/manuscripts/BSGatlas_manuscript/submission_3/"/>
    </mc:Choice>
  </mc:AlternateContent>
  <xr:revisionPtr revIDLastSave="0" documentId="13_ncr:1_{CC9D0D28-B0D8-A244-9823-9AC03EE1AB21}" xr6:coauthVersionLast="36" xr6:coauthVersionMax="36" xr10:uidLastSave="{00000000-0000-0000-0000-000000000000}"/>
  <bookViews>
    <workbookView xWindow="900" yWindow="460" windowWidth="27900" windowHeight="17540" xr2:uid="{00000000-000D-0000-FFFF-FFFF00000000}"/>
  </bookViews>
  <sheets>
    <sheet name="Legend" sheetId="10" r:id="rId1"/>
    <sheet name="Genes" sheetId="3" r:id="rId2"/>
    <sheet name="Operons" sheetId="1" r:id="rId3"/>
    <sheet name="Transcripts" sheetId="2" r:id="rId4"/>
    <sheet name="5' UTRs" sheetId="4" r:id="rId5"/>
    <sheet name="3' UTRs" sheetId="5" r:id="rId6"/>
    <sheet name="internal UTRs" sheetId="6" r:id="rId7"/>
    <sheet name="TSSs" sheetId="7" r:id="rId8"/>
    <sheet name="Terminators" sheetId="8" r:id="rId9"/>
  </sheets>
  <calcPr calcId="181029"/>
</workbook>
</file>

<file path=xl/calcChain.xml><?xml version="1.0" encoding="utf-8"?>
<calcChain xmlns="http://schemas.openxmlformats.org/spreadsheetml/2006/main">
  <c r="A2" i="8" l="1"/>
  <c r="A3" i="8"/>
  <c r="A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 i="7"/>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A1201" i="7"/>
  <c r="A1202" i="7"/>
  <c r="A1203" i="7"/>
  <c r="A1204" i="7"/>
  <c r="A1205" i="7"/>
  <c r="A1206" i="7"/>
  <c r="A1207" i="7"/>
  <c r="A1208" i="7"/>
  <c r="A1209" i="7"/>
  <c r="A1210" i="7"/>
  <c r="A1211" i="7"/>
  <c r="A1212" i="7"/>
  <c r="A1213" i="7"/>
  <c r="A1214" i="7"/>
  <c r="A1215" i="7"/>
  <c r="A1216" i="7"/>
  <c r="A1217" i="7"/>
  <c r="A1218" i="7"/>
  <c r="A1219" i="7"/>
  <c r="A1220" i="7"/>
  <c r="A1221" i="7"/>
  <c r="A1222" i="7"/>
  <c r="A1223" i="7"/>
  <c r="A1224" i="7"/>
  <c r="A1225" i="7"/>
  <c r="A1226" i="7"/>
  <c r="A1227" i="7"/>
  <c r="A1228" i="7"/>
  <c r="A1229" i="7"/>
  <c r="A1230" i="7"/>
  <c r="A1231" i="7"/>
  <c r="A1232" i="7"/>
  <c r="A1233" i="7"/>
  <c r="A1234" i="7"/>
  <c r="A1235" i="7"/>
  <c r="A1236" i="7"/>
  <c r="A1237" i="7"/>
  <c r="A1238" i="7"/>
  <c r="A1239" i="7"/>
  <c r="A1240" i="7"/>
  <c r="A1241" i="7"/>
  <c r="A1242" i="7"/>
  <c r="A1243" i="7"/>
  <c r="A1244" i="7"/>
  <c r="A1245" i="7"/>
  <c r="A1246" i="7"/>
  <c r="A1247" i="7"/>
  <c r="A1248" i="7"/>
  <c r="A1249" i="7"/>
  <c r="A1250" i="7"/>
  <c r="A1251" i="7"/>
  <c r="A1252" i="7"/>
  <c r="A1253" i="7"/>
  <c r="A1254" i="7"/>
  <c r="A1255" i="7"/>
  <c r="A1256" i="7"/>
  <c r="A1257" i="7"/>
  <c r="A1258" i="7"/>
  <c r="A1259" i="7"/>
  <c r="A1260" i="7"/>
  <c r="A1261" i="7"/>
  <c r="A1262" i="7"/>
  <c r="A1263" i="7"/>
  <c r="A1264" i="7"/>
  <c r="A1265" i="7"/>
  <c r="A1266" i="7"/>
  <c r="A1267" i="7"/>
  <c r="A1268" i="7"/>
  <c r="A1269" i="7"/>
  <c r="A1270" i="7"/>
  <c r="A1271" i="7"/>
  <c r="A1272" i="7"/>
  <c r="A1273" i="7"/>
  <c r="A1274" i="7"/>
  <c r="A1275" i="7"/>
  <c r="A1276" i="7"/>
  <c r="A1277" i="7"/>
  <c r="A1278" i="7"/>
  <c r="A1279" i="7"/>
  <c r="A1280" i="7"/>
  <c r="A1281" i="7"/>
  <c r="A1282" i="7"/>
  <c r="A1283" i="7"/>
  <c r="A1284" i="7"/>
  <c r="A1285" i="7"/>
  <c r="A1286" i="7"/>
  <c r="A1287" i="7"/>
  <c r="A1288" i="7"/>
  <c r="A1289" i="7"/>
  <c r="A1290" i="7"/>
  <c r="A1291" i="7"/>
  <c r="A1292" i="7"/>
  <c r="A1293" i="7"/>
  <c r="A1294" i="7"/>
  <c r="A1295" i="7"/>
  <c r="A1296" i="7"/>
  <c r="A1297" i="7"/>
  <c r="A1298" i="7"/>
  <c r="A1299" i="7"/>
  <c r="A1300" i="7"/>
  <c r="A1301" i="7"/>
  <c r="A1302" i="7"/>
  <c r="A1303" i="7"/>
  <c r="A1304" i="7"/>
  <c r="A1305" i="7"/>
  <c r="A1306" i="7"/>
  <c r="A1307" i="7"/>
  <c r="A1308" i="7"/>
  <c r="A1309" i="7"/>
  <c r="A1310" i="7"/>
  <c r="A1311" i="7"/>
  <c r="A1312" i="7"/>
  <c r="A1313" i="7"/>
  <c r="A1314" i="7"/>
  <c r="A1315" i="7"/>
  <c r="A1316" i="7"/>
  <c r="A1317" i="7"/>
  <c r="A1318" i="7"/>
  <c r="A1319" i="7"/>
  <c r="A1320" i="7"/>
  <c r="A1321" i="7"/>
  <c r="A1322" i="7"/>
  <c r="A1323" i="7"/>
  <c r="A1324" i="7"/>
  <c r="A1325" i="7"/>
  <c r="A1326" i="7"/>
  <c r="A1327" i="7"/>
  <c r="A1328" i="7"/>
  <c r="A1329" i="7"/>
  <c r="A1330" i="7"/>
  <c r="A1331" i="7"/>
  <c r="A1332" i="7"/>
  <c r="A1333" i="7"/>
  <c r="A1334" i="7"/>
  <c r="A1335" i="7"/>
  <c r="A1336" i="7"/>
  <c r="A1337" i="7"/>
  <c r="A1338" i="7"/>
  <c r="A1339" i="7"/>
  <c r="A1340" i="7"/>
  <c r="A1341" i="7"/>
  <c r="A1342" i="7"/>
  <c r="A1343" i="7"/>
  <c r="A1344" i="7"/>
  <c r="A1345" i="7"/>
  <c r="A1346" i="7"/>
  <c r="A1347" i="7"/>
  <c r="A1348" i="7"/>
  <c r="A1349" i="7"/>
  <c r="A1350" i="7"/>
  <c r="A1351" i="7"/>
  <c r="A1352" i="7"/>
  <c r="A1353" i="7"/>
  <c r="A1354" i="7"/>
  <c r="A1355" i="7"/>
  <c r="A1356" i="7"/>
  <c r="A1357" i="7"/>
  <c r="A1358" i="7"/>
  <c r="A1359" i="7"/>
  <c r="A1360" i="7"/>
  <c r="A1361" i="7"/>
  <c r="A1362" i="7"/>
  <c r="A1363" i="7"/>
  <c r="A1364" i="7"/>
  <c r="A1365" i="7"/>
  <c r="A1366" i="7"/>
  <c r="A1367" i="7"/>
  <c r="A1368" i="7"/>
  <c r="A1369" i="7"/>
  <c r="A1370" i="7"/>
  <c r="A1371" i="7"/>
  <c r="A1372" i="7"/>
  <c r="A1373" i="7"/>
  <c r="A1374" i="7"/>
  <c r="A1375" i="7"/>
  <c r="A1376" i="7"/>
  <c r="A1377" i="7"/>
  <c r="A1378" i="7"/>
  <c r="A1379" i="7"/>
  <c r="A1380" i="7"/>
  <c r="A1381" i="7"/>
  <c r="A1382" i="7"/>
  <c r="A1383" i="7"/>
  <c r="A1384" i="7"/>
  <c r="A1385" i="7"/>
  <c r="A1386" i="7"/>
  <c r="A1387" i="7"/>
  <c r="A1388" i="7"/>
  <c r="A1389" i="7"/>
  <c r="A1390" i="7"/>
  <c r="A1391" i="7"/>
  <c r="A1392" i="7"/>
  <c r="A1393" i="7"/>
  <c r="A1394" i="7"/>
  <c r="A1395" i="7"/>
  <c r="A1396" i="7"/>
  <c r="A1397" i="7"/>
  <c r="A1398" i="7"/>
  <c r="A1399" i="7"/>
  <c r="A1400" i="7"/>
  <c r="A1401" i="7"/>
  <c r="A1402" i="7"/>
  <c r="A1403" i="7"/>
  <c r="A1404" i="7"/>
  <c r="A1405" i="7"/>
  <c r="A1406" i="7"/>
  <c r="A1407" i="7"/>
  <c r="A1408" i="7"/>
  <c r="A1409" i="7"/>
  <c r="A1410" i="7"/>
  <c r="A1411" i="7"/>
  <c r="A1412" i="7"/>
  <c r="A1413" i="7"/>
  <c r="A1414" i="7"/>
  <c r="A1415" i="7"/>
  <c r="A1416" i="7"/>
  <c r="A1417" i="7"/>
  <c r="A1418" i="7"/>
  <c r="A1419" i="7"/>
  <c r="A1420" i="7"/>
  <c r="A1421" i="7"/>
  <c r="A1422" i="7"/>
  <c r="A1423" i="7"/>
  <c r="A1424" i="7"/>
  <c r="A1425" i="7"/>
  <c r="A1426" i="7"/>
  <c r="A1427" i="7"/>
  <c r="A1428" i="7"/>
  <c r="A1429" i="7"/>
  <c r="A1430" i="7"/>
  <c r="A1431" i="7"/>
  <c r="A1432" i="7"/>
  <c r="A1433" i="7"/>
  <c r="A1434" i="7"/>
  <c r="A1435" i="7"/>
  <c r="A1436" i="7"/>
  <c r="A1437" i="7"/>
  <c r="A1438" i="7"/>
  <c r="A1439" i="7"/>
  <c r="A1440" i="7"/>
  <c r="A1441" i="7"/>
  <c r="A1442" i="7"/>
  <c r="A1443" i="7"/>
  <c r="A1444" i="7"/>
  <c r="A1445" i="7"/>
  <c r="A1446" i="7"/>
  <c r="A1447" i="7"/>
  <c r="A1448" i="7"/>
  <c r="A1449" i="7"/>
  <c r="A1450" i="7"/>
  <c r="A1451" i="7"/>
  <c r="A1452" i="7"/>
  <c r="A1453" i="7"/>
  <c r="A1454" i="7"/>
  <c r="A1455" i="7"/>
  <c r="A1456" i="7"/>
  <c r="A1457" i="7"/>
  <c r="A1458" i="7"/>
  <c r="A1459" i="7"/>
  <c r="A1460" i="7"/>
  <c r="A1461" i="7"/>
  <c r="A1462" i="7"/>
  <c r="A1463" i="7"/>
  <c r="A1464" i="7"/>
  <c r="A1465" i="7"/>
  <c r="A1466" i="7"/>
  <c r="A1467" i="7"/>
  <c r="A1468" i="7"/>
  <c r="A1469" i="7"/>
  <c r="A1470" i="7"/>
  <c r="A1471" i="7"/>
  <c r="A1472" i="7"/>
  <c r="A1473" i="7"/>
  <c r="A1474" i="7"/>
  <c r="A1475" i="7"/>
  <c r="A1476" i="7"/>
  <c r="A1477" i="7"/>
  <c r="A1478" i="7"/>
  <c r="A1479" i="7"/>
  <c r="A1480" i="7"/>
  <c r="A1481" i="7"/>
  <c r="A1482" i="7"/>
  <c r="A1483" i="7"/>
  <c r="A1484" i="7"/>
  <c r="A1485" i="7"/>
  <c r="A1486" i="7"/>
  <c r="A1487" i="7"/>
  <c r="A1488" i="7"/>
  <c r="A1489" i="7"/>
  <c r="A1490" i="7"/>
  <c r="A1491" i="7"/>
  <c r="A1492" i="7"/>
  <c r="A1493" i="7"/>
  <c r="A1494" i="7"/>
  <c r="A1495" i="7"/>
  <c r="A1496" i="7"/>
  <c r="A1497" i="7"/>
  <c r="A1498" i="7"/>
  <c r="A1499" i="7"/>
  <c r="A1500" i="7"/>
  <c r="A1501" i="7"/>
  <c r="A1502" i="7"/>
  <c r="A1503" i="7"/>
  <c r="A1504" i="7"/>
  <c r="A1505" i="7"/>
  <c r="A1506" i="7"/>
  <c r="A1507" i="7"/>
  <c r="A1508" i="7"/>
  <c r="A1509" i="7"/>
  <c r="A1510" i="7"/>
  <c r="A1511" i="7"/>
  <c r="A1512" i="7"/>
  <c r="A1513" i="7"/>
  <c r="A1514" i="7"/>
  <c r="A1515" i="7"/>
  <c r="A1516" i="7"/>
  <c r="A1517" i="7"/>
  <c r="A1518" i="7"/>
  <c r="A1519" i="7"/>
  <c r="A1520" i="7"/>
  <c r="A1521" i="7"/>
  <c r="A1522" i="7"/>
  <c r="A1523" i="7"/>
  <c r="A1524" i="7"/>
  <c r="A1525" i="7"/>
  <c r="A1526" i="7"/>
  <c r="A1527" i="7"/>
  <c r="A1528" i="7"/>
  <c r="A1529" i="7"/>
  <c r="A1530" i="7"/>
  <c r="A1531" i="7"/>
  <c r="A1532" i="7"/>
  <c r="A1533" i="7"/>
  <c r="A1534" i="7"/>
  <c r="A1535" i="7"/>
  <c r="A1536" i="7"/>
  <c r="A1537" i="7"/>
  <c r="A1538" i="7"/>
  <c r="A1539" i="7"/>
  <c r="A1540" i="7"/>
  <c r="A1541" i="7"/>
  <c r="A1542" i="7"/>
  <c r="A1543" i="7"/>
  <c r="A1544" i="7"/>
  <c r="A1545" i="7"/>
  <c r="A1546" i="7"/>
  <c r="A1547" i="7"/>
  <c r="A1548" i="7"/>
  <c r="A1549" i="7"/>
  <c r="A1550" i="7"/>
  <c r="A1551" i="7"/>
  <c r="A1552" i="7"/>
  <c r="A1553" i="7"/>
  <c r="A1554" i="7"/>
  <c r="A1555" i="7"/>
  <c r="A1556" i="7"/>
  <c r="A1557" i="7"/>
  <c r="A1558" i="7"/>
  <c r="A1559" i="7"/>
  <c r="A1560" i="7"/>
  <c r="A1561" i="7"/>
  <c r="A1562" i="7"/>
  <c r="A1563" i="7"/>
  <c r="A1564" i="7"/>
  <c r="A1565" i="7"/>
  <c r="A1566" i="7"/>
  <c r="A1567" i="7"/>
  <c r="A1568" i="7"/>
  <c r="A1569" i="7"/>
  <c r="A1570" i="7"/>
  <c r="A1571" i="7"/>
  <c r="A1572" i="7"/>
  <c r="A1573" i="7"/>
  <c r="A1574" i="7"/>
  <c r="A1575" i="7"/>
  <c r="A1576" i="7"/>
  <c r="A1577" i="7"/>
  <c r="A1578" i="7"/>
  <c r="A1579" i="7"/>
  <c r="A1580" i="7"/>
  <c r="A1581" i="7"/>
  <c r="A1582" i="7"/>
  <c r="A1583" i="7"/>
  <c r="A1584" i="7"/>
  <c r="A1585" i="7"/>
  <c r="A1586" i="7"/>
  <c r="A1587" i="7"/>
  <c r="A1588" i="7"/>
  <c r="A1589" i="7"/>
  <c r="A1590" i="7"/>
  <c r="A1591" i="7"/>
  <c r="A1592" i="7"/>
  <c r="A1593" i="7"/>
  <c r="A1594" i="7"/>
  <c r="A1595" i="7"/>
  <c r="A1596" i="7"/>
  <c r="A1597" i="7"/>
  <c r="A1598" i="7"/>
  <c r="A1599" i="7"/>
  <c r="A1600" i="7"/>
  <c r="A1601" i="7"/>
  <c r="A1602" i="7"/>
  <c r="A1603" i="7"/>
  <c r="A1604" i="7"/>
  <c r="A1605" i="7"/>
  <c r="A1606" i="7"/>
  <c r="A1607" i="7"/>
  <c r="A1608" i="7"/>
  <c r="A1609" i="7"/>
  <c r="A1610" i="7"/>
  <c r="A1611" i="7"/>
  <c r="A1612" i="7"/>
  <c r="A1613" i="7"/>
  <c r="A1614" i="7"/>
  <c r="A1615" i="7"/>
  <c r="A1616" i="7"/>
  <c r="A1617" i="7"/>
  <c r="A1618" i="7"/>
  <c r="A1619" i="7"/>
  <c r="A1620" i="7"/>
  <c r="A1621" i="7"/>
  <c r="A1622" i="7"/>
  <c r="A1623" i="7"/>
  <c r="A1624" i="7"/>
  <c r="A1625" i="7"/>
  <c r="A1626" i="7"/>
  <c r="A1627" i="7"/>
  <c r="A1628" i="7"/>
  <c r="A1629" i="7"/>
  <c r="A1630" i="7"/>
  <c r="A1631" i="7"/>
  <c r="A1632" i="7"/>
  <c r="A1633" i="7"/>
  <c r="A1634" i="7"/>
  <c r="A1635" i="7"/>
  <c r="A1636" i="7"/>
  <c r="A1637" i="7"/>
  <c r="A1638" i="7"/>
  <c r="A1639" i="7"/>
  <c r="A1640" i="7"/>
  <c r="A1641" i="7"/>
  <c r="A1642" i="7"/>
  <c r="A1643" i="7"/>
  <c r="A1644" i="7"/>
  <c r="A1645" i="7"/>
  <c r="A1646" i="7"/>
  <c r="A1647" i="7"/>
  <c r="A1648" i="7"/>
  <c r="A1649" i="7"/>
  <c r="A1650" i="7"/>
  <c r="A1651" i="7"/>
  <c r="A1652" i="7"/>
  <c r="A1653" i="7"/>
  <c r="A1654" i="7"/>
  <c r="A1655" i="7"/>
  <c r="A1656" i="7"/>
  <c r="A1657" i="7"/>
  <c r="A1658" i="7"/>
  <c r="A1659" i="7"/>
  <c r="A1660" i="7"/>
  <c r="A1661" i="7"/>
  <c r="A1662" i="7"/>
  <c r="A1663" i="7"/>
  <c r="A1664" i="7"/>
  <c r="A1665" i="7"/>
  <c r="A1666" i="7"/>
  <c r="A1667" i="7"/>
  <c r="A1668" i="7"/>
  <c r="A1669" i="7"/>
  <c r="A1670" i="7"/>
  <c r="A1671" i="7"/>
  <c r="A1672" i="7"/>
  <c r="A1673" i="7"/>
  <c r="A1674" i="7"/>
  <c r="A1675" i="7"/>
  <c r="A1676" i="7"/>
  <c r="A1677" i="7"/>
  <c r="A1678" i="7"/>
  <c r="A1679" i="7"/>
  <c r="A1680" i="7"/>
  <c r="A1681" i="7"/>
  <c r="A1682" i="7"/>
  <c r="A1683" i="7"/>
  <c r="A1684" i="7"/>
  <c r="A1685" i="7"/>
  <c r="A1686" i="7"/>
  <c r="A1687" i="7"/>
  <c r="A1688" i="7"/>
  <c r="A1689" i="7"/>
  <c r="A1690" i="7"/>
  <c r="A1691" i="7"/>
  <c r="A1692" i="7"/>
  <c r="A1693" i="7"/>
  <c r="A1694" i="7"/>
  <c r="A1695" i="7"/>
  <c r="A1696" i="7"/>
  <c r="A1697" i="7"/>
  <c r="A1698" i="7"/>
  <c r="A1699" i="7"/>
  <c r="A1700" i="7"/>
  <c r="A1701" i="7"/>
  <c r="A1702" i="7"/>
  <c r="A1703" i="7"/>
  <c r="A1704" i="7"/>
  <c r="A1705" i="7"/>
  <c r="A1706" i="7"/>
  <c r="A1707" i="7"/>
  <c r="A1708" i="7"/>
  <c r="A1709" i="7"/>
  <c r="A1710" i="7"/>
  <c r="A1711" i="7"/>
  <c r="A1712" i="7"/>
  <c r="A1713" i="7"/>
  <c r="A1714" i="7"/>
  <c r="A1715" i="7"/>
  <c r="A1716" i="7"/>
  <c r="A1717" i="7"/>
  <c r="A1718" i="7"/>
  <c r="A1719" i="7"/>
  <c r="A1720" i="7"/>
  <c r="A1721" i="7"/>
  <c r="A1722" i="7"/>
  <c r="A1723" i="7"/>
  <c r="A1724" i="7"/>
  <c r="A1725" i="7"/>
  <c r="A1726" i="7"/>
  <c r="A1727" i="7"/>
  <c r="A1728" i="7"/>
  <c r="A1729" i="7"/>
  <c r="A1730" i="7"/>
  <c r="A1731" i="7"/>
  <c r="A1732" i="7"/>
  <c r="A1733" i="7"/>
  <c r="A1734" i="7"/>
  <c r="A1735" i="7"/>
  <c r="A1736" i="7"/>
  <c r="A1737" i="7"/>
  <c r="A1738" i="7"/>
  <c r="A1739" i="7"/>
  <c r="A1740" i="7"/>
  <c r="A1741" i="7"/>
  <c r="A1742" i="7"/>
  <c r="A1743" i="7"/>
  <c r="A1744" i="7"/>
  <c r="A1745" i="7"/>
  <c r="A1746" i="7"/>
  <c r="A1747" i="7"/>
  <c r="A1748" i="7"/>
  <c r="A1749" i="7"/>
  <c r="A1750" i="7"/>
  <c r="A1751" i="7"/>
  <c r="A1752" i="7"/>
  <c r="A1753" i="7"/>
  <c r="A1754" i="7"/>
  <c r="A1755" i="7"/>
  <c r="A1756" i="7"/>
  <c r="A1757" i="7"/>
  <c r="A1758" i="7"/>
  <c r="A1759" i="7"/>
  <c r="A1760" i="7"/>
  <c r="A1761" i="7"/>
  <c r="A1762" i="7"/>
  <c r="A1763" i="7"/>
  <c r="A1764" i="7"/>
  <c r="A1765" i="7"/>
  <c r="A1766" i="7"/>
  <c r="A1767" i="7"/>
  <c r="A1768" i="7"/>
  <c r="A1769" i="7"/>
  <c r="A1770" i="7"/>
  <c r="A1771" i="7"/>
  <c r="A1772" i="7"/>
  <c r="A1773" i="7"/>
  <c r="A1774" i="7"/>
  <c r="A1775" i="7"/>
  <c r="A1776" i="7"/>
  <c r="A1777" i="7"/>
  <c r="A1778" i="7"/>
  <c r="A1779" i="7"/>
  <c r="A1780" i="7"/>
  <c r="A1781" i="7"/>
  <c r="A1782" i="7"/>
  <c r="A1783" i="7"/>
  <c r="A1784" i="7"/>
  <c r="A1785" i="7"/>
  <c r="A1786" i="7"/>
  <c r="A1787" i="7"/>
  <c r="A1788" i="7"/>
  <c r="A1789" i="7"/>
  <c r="A1790" i="7"/>
  <c r="A1791" i="7"/>
  <c r="A1792" i="7"/>
  <c r="A1793" i="7"/>
  <c r="A1794" i="7"/>
  <c r="A1795" i="7"/>
  <c r="A1796" i="7"/>
  <c r="A1797" i="7"/>
  <c r="A1798" i="7"/>
  <c r="A1799" i="7"/>
  <c r="A1800" i="7"/>
  <c r="A1801" i="7"/>
  <c r="A1802" i="7"/>
  <c r="A1803" i="7"/>
  <c r="A1804" i="7"/>
  <c r="A1805" i="7"/>
  <c r="A1806" i="7"/>
  <c r="A1807" i="7"/>
  <c r="A1808" i="7"/>
  <c r="A1809" i="7"/>
  <c r="A1810" i="7"/>
  <c r="A1811" i="7"/>
  <c r="A1812" i="7"/>
  <c r="A1813" i="7"/>
  <c r="A1814" i="7"/>
  <c r="A1815" i="7"/>
  <c r="A1816" i="7"/>
  <c r="A1817" i="7"/>
  <c r="A1818" i="7"/>
  <c r="A1819" i="7"/>
  <c r="A1820" i="7"/>
  <c r="A1821" i="7"/>
  <c r="A1822" i="7"/>
  <c r="A1823" i="7"/>
  <c r="A1824" i="7"/>
  <c r="A1825" i="7"/>
  <c r="A1826" i="7"/>
  <c r="A1827" i="7"/>
  <c r="A1828" i="7"/>
  <c r="A1829" i="7"/>
  <c r="A1830" i="7"/>
  <c r="A1831" i="7"/>
  <c r="A1832" i="7"/>
  <c r="A1833" i="7"/>
  <c r="A1834" i="7"/>
  <c r="A1835" i="7"/>
  <c r="A1836" i="7"/>
  <c r="A1837" i="7"/>
  <c r="A1838" i="7"/>
  <c r="A1839" i="7"/>
  <c r="A1840" i="7"/>
  <c r="A1841" i="7"/>
  <c r="A1842" i="7"/>
  <c r="A1843" i="7"/>
  <c r="A1844" i="7"/>
  <c r="A1845" i="7"/>
  <c r="A1846" i="7"/>
  <c r="A1847" i="7"/>
  <c r="A1848" i="7"/>
  <c r="A1849" i="7"/>
  <c r="A1850" i="7"/>
  <c r="A1851" i="7"/>
  <c r="A1852" i="7"/>
  <c r="A1853" i="7"/>
  <c r="A1854" i="7"/>
  <c r="A1855" i="7"/>
  <c r="A1856" i="7"/>
  <c r="A1857" i="7"/>
  <c r="A1858" i="7"/>
  <c r="A1859" i="7"/>
  <c r="A1860" i="7"/>
  <c r="A1861" i="7"/>
  <c r="A1862" i="7"/>
  <c r="A1863" i="7"/>
  <c r="A1864" i="7"/>
  <c r="A1865" i="7"/>
  <c r="A1866" i="7"/>
  <c r="A1867" i="7"/>
  <c r="A1868" i="7"/>
  <c r="A1869" i="7"/>
  <c r="A1870" i="7"/>
  <c r="A1871" i="7"/>
  <c r="A1872" i="7"/>
  <c r="A1873" i="7"/>
  <c r="A1874" i="7"/>
  <c r="A1875" i="7"/>
  <c r="A1876" i="7"/>
  <c r="A1877" i="7"/>
  <c r="A1878" i="7"/>
  <c r="A1879" i="7"/>
  <c r="A1880" i="7"/>
  <c r="A1881" i="7"/>
  <c r="A1882" i="7"/>
  <c r="A1883" i="7"/>
  <c r="A1884" i="7"/>
  <c r="A1885" i="7"/>
  <c r="A1886" i="7"/>
  <c r="A1887" i="7"/>
  <c r="A1888" i="7"/>
  <c r="A1889" i="7"/>
  <c r="A1890" i="7"/>
  <c r="A1891" i="7"/>
  <c r="A1892" i="7"/>
  <c r="A1893" i="7"/>
  <c r="A1894" i="7"/>
  <c r="A1895" i="7"/>
  <c r="A1896" i="7"/>
  <c r="A1897" i="7"/>
  <c r="A1898" i="7"/>
  <c r="A1899" i="7"/>
  <c r="A1900" i="7"/>
  <c r="A1901" i="7"/>
  <c r="A1902" i="7"/>
  <c r="A1903" i="7"/>
  <c r="A1904" i="7"/>
  <c r="A1905" i="7"/>
  <c r="A1906" i="7"/>
  <c r="A1907" i="7"/>
  <c r="A1908" i="7"/>
  <c r="A1909" i="7"/>
  <c r="A1910" i="7"/>
  <c r="A1911" i="7"/>
  <c r="A1912" i="7"/>
  <c r="A1913" i="7"/>
  <c r="A1914" i="7"/>
  <c r="A1915" i="7"/>
  <c r="A1916" i="7"/>
  <c r="A1917" i="7"/>
  <c r="A1918" i="7"/>
  <c r="A1919" i="7"/>
  <c r="A1920" i="7"/>
  <c r="A1921" i="7"/>
  <c r="A1922" i="7"/>
  <c r="A1923" i="7"/>
  <c r="A1924" i="7"/>
  <c r="A1925" i="7"/>
  <c r="A1926" i="7"/>
  <c r="A1927" i="7"/>
  <c r="A1928" i="7"/>
  <c r="A1929" i="7"/>
  <c r="A1930" i="7"/>
  <c r="A1931" i="7"/>
  <c r="A1932" i="7"/>
  <c r="A1933" i="7"/>
  <c r="A1934" i="7"/>
  <c r="A1935" i="7"/>
  <c r="A1936" i="7"/>
  <c r="A1937" i="7"/>
  <c r="A1938" i="7"/>
  <c r="A1939" i="7"/>
  <c r="A1940" i="7"/>
  <c r="A1941" i="7"/>
  <c r="A1942" i="7"/>
  <c r="A1943" i="7"/>
  <c r="A1944" i="7"/>
  <c r="A1945" i="7"/>
  <c r="A1946" i="7"/>
  <c r="A1947" i="7"/>
  <c r="A1948" i="7"/>
  <c r="A1949" i="7"/>
  <c r="A1950" i="7"/>
  <c r="A1951" i="7"/>
  <c r="A1952" i="7"/>
  <c r="A1953" i="7"/>
  <c r="A1954" i="7"/>
  <c r="A1955" i="7"/>
  <c r="A1956" i="7"/>
  <c r="A1957" i="7"/>
  <c r="A1958" i="7"/>
  <c r="A1959" i="7"/>
  <c r="A1960" i="7"/>
  <c r="A1961" i="7"/>
  <c r="A1962" i="7"/>
  <c r="A1963" i="7"/>
  <c r="A1964" i="7"/>
  <c r="A1965" i="7"/>
  <c r="A1966" i="7"/>
  <c r="A1967" i="7"/>
  <c r="A1968" i="7"/>
  <c r="A1969" i="7"/>
  <c r="A1970" i="7"/>
  <c r="A1971" i="7"/>
  <c r="A1972" i="7"/>
  <c r="A1973" i="7"/>
  <c r="A1974" i="7"/>
  <c r="A1975" i="7"/>
  <c r="A1976" i="7"/>
  <c r="A1977" i="7"/>
  <c r="A1978" i="7"/>
  <c r="A1979" i="7"/>
  <c r="A1980" i="7"/>
  <c r="A1981" i="7"/>
  <c r="A1982" i="7"/>
  <c r="A1983" i="7"/>
  <c r="A1984" i="7"/>
  <c r="A1985" i="7"/>
  <c r="A1986" i="7"/>
  <c r="A1987" i="7"/>
  <c r="A1988" i="7"/>
  <c r="A1989" i="7"/>
  <c r="A1990" i="7"/>
  <c r="A1991" i="7"/>
  <c r="A1992" i="7"/>
  <c r="A1993" i="7"/>
  <c r="A1994" i="7"/>
  <c r="A1995" i="7"/>
  <c r="A1996" i="7"/>
  <c r="A1997" i="7"/>
  <c r="A1998" i="7"/>
  <c r="A1999" i="7"/>
  <c r="A2000" i="7"/>
  <c r="A2001" i="7"/>
  <c r="A2002" i="7"/>
  <c r="A2003" i="7"/>
  <c r="A2004" i="7"/>
  <c r="A2005" i="7"/>
  <c r="A2006" i="7"/>
  <c r="A2007" i="7"/>
  <c r="A2008" i="7"/>
  <c r="A2009" i="7"/>
  <c r="A2010" i="7"/>
  <c r="A2011" i="7"/>
  <c r="A2012" i="7"/>
  <c r="A2013" i="7"/>
  <c r="A2014" i="7"/>
  <c r="A2015" i="7"/>
  <c r="A2016" i="7"/>
  <c r="A2017" i="7"/>
  <c r="A2018" i="7"/>
  <c r="A2019" i="7"/>
  <c r="A2020" i="7"/>
  <c r="A2021" i="7"/>
  <c r="A2022" i="7"/>
  <c r="A2023" i="7"/>
  <c r="A2024" i="7"/>
  <c r="A2025" i="7"/>
  <c r="A2026" i="7"/>
  <c r="A2027" i="7"/>
  <c r="A2028" i="7"/>
  <c r="A2029" i="7"/>
  <c r="A2030" i="7"/>
  <c r="A2031" i="7"/>
  <c r="A2032" i="7"/>
  <c r="A2033" i="7"/>
  <c r="A2034" i="7"/>
  <c r="A2035" i="7"/>
  <c r="A2036" i="7"/>
  <c r="A2037" i="7"/>
  <c r="A2038" i="7"/>
  <c r="A2039" i="7"/>
  <c r="A2040" i="7"/>
  <c r="A2041" i="7"/>
  <c r="A2042" i="7"/>
  <c r="A2043" i="7"/>
  <c r="A2044" i="7"/>
  <c r="A2045" i="7"/>
  <c r="A2046" i="7"/>
  <c r="A2047" i="7"/>
  <c r="A2048" i="7"/>
  <c r="A2049" i="7"/>
  <c r="A2050" i="7"/>
  <c r="A2051" i="7"/>
  <c r="A2052" i="7"/>
  <c r="A2053" i="7"/>
  <c r="A2054" i="7"/>
  <c r="A2055" i="7"/>
  <c r="A2056" i="7"/>
  <c r="A2057" i="7"/>
  <c r="A2058" i="7"/>
  <c r="A2059" i="7"/>
  <c r="A2060" i="7"/>
  <c r="A2061" i="7"/>
  <c r="A2062" i="7"/>
  <c r="A2063" i="7"/>
  <c r="A2064" i="7"/>
  <c r="A2065" i="7"/>
  <c r="A2066" i="7"/>
  <c r="A2067" i="7"/>
  <c r="A2068" i="7"/>
  <c r="A2069" i="7"/>
  <c r="A2070" i="7"/>
  <c r="A2071" i="7"/>
  <c r="A2072" i="7"/>
  <c r="A2073" i="7"/>
  <c r="A2074" i="7"/>
  <c r="A2075" i="7"/>
  <c r="A2076" i="7"/>
  <c r="A2077" i="7"/>
  <c r="A2078" i="7"/>
  <c r="A2079" i="7"/>
  <c r="A2080" i="7"/>
  <c r="A2081" i="7"/>
  <c r="A2082" i="7"/>
  <c r="A2083" i="7"/>
  <c r="A2084" i="7"/>
  <c r="A2085" i="7"/>
  <c r="A2086" i="7"/>
  <c r="A2087" i="7"/>
  <c r="A2088" i="7"/>
  <c r="A2089" i="7"/>
  <c r="A2090" i="7"/>
  <c r="A2091" i="7"/>
  <c r="A2092" i="7"/>
  <c r="A2093" i="7"/>
  <c r="A2094" i="7"/>
  <c r="A2095" i="7"/>
  <c r="A2096" i="7"/>
  <c r="A2097" i="7"/>
  <c r="A2098" i="7"/>
  <c r="A2099" i="7"/>
  <c r="A2100" i="7"/>
  <c r="A2101" i="7"/>
  <c r="A2102" i="7"/>
  <c r="A2103" i="7"/>
  <c r="A2104" i="7"/>
  <c r="A2105" i="7"/>
  <c r="A2106" i="7"/>
  <c r="A2107" i="7"/>
  <c r="A2108" i="7"/>
  <c r="A2109" i="7"/>
  <c r="A2110" i="7"/>
  <c r="A2111" i="7"/>
  <c r="A2112" i="7"/>
  <c r="A2113" i="7"/>
  <c r="A2114" i="7"/>
  <c r="A2115" i="7"/>
  <c r="A2116" i="7"/>
  <c r="A2117" i="7"/>
  <c r="A2118" i="7"/>
  <c r="A2119" i="7"/>
  <c r="A2120" i="7"/>
  <c r="A2121" i="7"/>
  <c r="A2122" i="7"/>
  <c r="A2123" i="7"/>
  <c r="A2124" i="7"/>
  <c r="A2125" i="7"/>
  <c r="A2126" i="7"/>
  <c r="A2127" i="7"/>
  <c r="A2128" i="7"/>
  <c r="A2129" i="7"/>
  <c r="A2130" i="7"/>
  <c r="A2131" i="7"/>
  <c r="A2132" i="7"/>
  <c r="A2133" i="7"/>
  <c r="A2134" i="7"/>
  <c r="A2135" i="7"/>
  <c r="A2136" i="7"/>
  <c r="A2137" i="7"/>
  <c r="A2138" i="7"/>
  <c r="A2139" i="7"/>
  <c r="A2140" i="7"/>
  <c r="A2141" i="7"/>
  <c r="A2142" i="7"/>
  <c r="A2143" i="7"/>
  <c r="A2144" i="7"/>
  <c r="A2145" i="7"/>
  <c r="A2146" i="7"/>
  <c r="A2147" i="7"/>
  <c r="A2148" i="7"/>
  <c r="A2149" i="7"/>
  <c r="A2150" i="7"/>
  <c r="A2151" i="7"/>
  <c r="A2152" i="7"/>
  <c r="A2153" i="7"/>
  <c r="A2154" i="7"/>
  <c r="A2155" i="7"/>
  <c r="A2156" i="7"/>
  <c r="A2157" i="7"/>
  <c r="A2158" i="7"/>
  <c r="A2159" i="7"/>
  <c r="A2160" i="7"/>
  <c r="A2161" i="7"/>
  <c r="A2162" i="7"/>
  <c r="A2163" i="7"/>
  <c r="A2164" i="7"/>
  <c r="A2165" i="7"/>
  <c r="A2166" i="7"/>
  <c r="A2167" i="7"/>
  <c r="A2168" i="7"/>
  <c r="A2169" i="7"/>
  <c r="A2170" i="7"/>
  <c r="A2171" i="7"/>
  <c r="A2172" i="7"/>
  <c r="A2173" i="7"/>
  <c r="A2174" i="7"/>
  <c r="A2175" i="7"/>
  <c r="A2176" i="7"/>
  <c r="A2177" i="7"/>
  <c r="A2178" i="7"/>
  <c r="A2179" i="7"/>
  <c r="A2180" i="7"/>
  <c r="A2181" i="7"/>
  <c r="A2182" i="7"/>
  <c r="A2183" i="7"/>
  <c r="A2184" i="7"/>
  <c r="A2185" i="7"/>
  <c r="A2186" i="7"/>
  <c r="A2187" i="7"/>
  <c r="A2188" i="7"/>
  <c r="A2189" i="7"/>
  <c r="A2190" i="7"/>
  <c r="A2191" i="7"/>
  <c r="A2192" i="7"/>
  <c r="A2193" i="7"/>
  <c r="A2194" i="7"/>
  <c r="A2195" i="7"/>
  <c r="A2196" i="7"/>
  <c r="A2197" i="7"/>
  <c r="A2198" i="7"/>
  <c r="A2199" i="7"/>
  <c r="A2200" i="7"/>
  <c r="A2201" i="7"/>
  <c r="A2202" i="7"/>
  <c r="A2203" i="7"/>
  <c r="A2204" i="7"/>
  <c r="A2205" i="7"/>
  <c r="A2206" i="7"/>
  <c r="A2207" i="7"/>
  <c r="A2208" i="7"/>
  <c r="A2209" i="7"/>
  <c r="A2210" i="7"/>
  <c r="A2211" i="7"/>
  <c r="A2212" i="7"/>
  <c r="A2213" i="7"/>
  <c r="A2214" i="7"/>
  <c r="A2215" i="7"/>
  <c r="A2216" i="7"/>
  <c r="A2217" i="7"/>
  <c r="A2218" i="7"/>
  <c r="A2219" i="7"/>
  <c r="A2220" i="7"/>
  <c r="A2221" i="7"/>
  <c r="A2222" i="7"/>
  <c r="A2223" i="7"/>
  <c r="A2224" i="7"/>
  <c r="A2225" i="7"/>
  <c r="A2226" i="7"/>
  <c r="A2227" i="7"/>
  <c r="A2228" i="7"/>
  <c r="A2229" i="7"/>
  <c r="A2230" i="7"/>
  <c r="A2231" i="7"/>
  <c r="A2232" i="7"/>
  <c r="A2233" i="7"/>
  <c r="A2234" i="7"/>
  <c r="A2235" i="7"/>
  <c r="A2236" i="7"/>
  <c r="A2237" i="7"/>
  <c r="A2238" i="7"/>
  <c r="A2239" i="7"/>
  <c r="A2240" i="7"/>
  <c r="A2241" i="7"/>
  <c r="A2242" i="7"/>
  <c r="A2243" i="7"/>
  <c r="A2244" i="7"/>
  <c r="A2245" i="7"/>
  <c r="A2246" i="7"/>
  <c r="A2247" i="7"/>
  <c r="A2248" i="7"/>
  <c r="A2249" i="7"/>
  <c r="A2250" i="7"/>
  <c r="A2251" i="7"/>
  <c r="A2252" i="7"/>
  <c r="A2253" i="7"/>
  <c r="A2254" i="7"/>
  <c r="A2255" i="7"/>
  <c r="A2256" i="7"/>
  <c r="A2257" i="7"/>
  <c r="A2258" i="7"/>
  <c r="A2259" i="7"/>
  <c r="A2260" i="7"/>
  <c r="A2261" i="7"/>
  <c r="A2262" i="7"/>
  <c r="A2263" i="7"/>
  <c r="A2264" i="7"/>
  <c r="A2265" i="7"/>
  <c r="A2266" i="7"/>
  <c r="A2267" i="7"/>
  <c r="A2268" i="7"/>
  <c r="A2269" i="7"/>
  <c r="A2270" i="7"/>
  <c r="A2271" i="7"/>
  <c r="A2272" i="7"/>
  <c r="A2273" i="7"/>
  <c r="A2274" i="7"/>
  <c r="A2275" i="7"/>
  <c r="A2276" i="7"/>
  <c r="A2277" i="7"/>
  <c r="A2278" i="7"/>
  <c r="A2279" i="7"/>
  <c r="A2280" i="7"/>
  <c r="A2281" i="7"/>
  <c r="A2282" i="7"/>
  <c r="A2283" i="7"/>
  <c r="A2284" i="7"/>
  <c r="A2285" i="7"/>
  <c r="A2286" i="7"/>
  <c r="A2287" i="7"/>
  <c r="A2288" i="7"/>
  <c r="A2289" i="7"/>
  <c r="A2290" i="7"/>
  <c r="A2291" i="7"/>
  <c r="A2292" i="7"/>
  <c r="A2293" i="7"/>
  <c r="A2294" i="7"/>
  <c r="A2295" i="7"/>
  <c r="A2296" i="7"/>
  <c r="A2297" i="7"/>
  <c r="A2298" i="7"/>
  <c r="A2299" i="7"/>
  <c r="A2300" i="7"/>
  <c r="A2301" i="7"/>
  <c r="A2302" i="7"/>
  <c r="A2303" i="7"/>
  <c r="A2304" i="7"/>
  <c r="A2305" i="7"/>
  <c r="A2306" i="7"/>
  <c r="A2307" i="7"/>
  <c r="A2308" i="7"/>
  <c r="A2309" i="7"/>
  <c r="A2310" i="7"/>
  <c r="A2311" i="7"/>
  <c r="A2312" i="7"/>
  <c r="A2313" i="7"/>
  <c r="A2314" i="7"/>
  <c r="A2315" i="7"/>
  <c r="A2316" i="7"/>
  <c r="A2317" i="7"/>
  <c r="A2318" i="7"/>
  <c r="A2319" i="7"/>
  <c r="A2320" i="7"/>
  <c r="A2321" i="7"/>
  <c r="A2322" i="7"/>
  <c r="A2323" i="7"/>
  <c r="A2324" i="7"/>
  <c r="A2325" i="7"/>
  <c r="A2326" i="7"/>
  <c r="A2327" i="7"/>
  <c r="A2328" i="7"/>
  <c r="A2329" i="7"/>
  <c r="A2330" i="7"/>
  <c r="A2331" i="7"/>
  <c r="A2332" i="7"/>
  <c r="A2333" i="7"/>
  <c r="A2334" i="7"/>
  <c r="A2335" i="7"/>
  <c r="A2336" i="7"/>
  <c r="A2337" i="7"/>
  <c r="A2338" i="7"/>
  <c r="A2339" i="7"/>
  <c r="A2340" i="7"/>
  <c r="A2341" i="7"/>
  <c r="A2342" i="7"/>
  <c r="A2343" i="7"/>
  <c r="A2344" i="7"/>
  <c r="A2345" i="7"/>
  <c r="A2346" i="7"/>
  <c r="A2347" i="7"/>
  <c r="A2348" i="7"/>
  <c r="A2349" i="7"/>
  <c r="A2350" i="7"/>
  <c r="A2351" i="7"/>
  <c r="A2352" i="7"/>
  <c r="A2353" i="7"/>
  <c r="A2354" i="7"/>
  <c r="A2355" i="7"/>
  <c r="A2356" i="7"/>
  <c r="A2357" i="7"/>
  <c r="A2358" i="7"/>
  <c r="A2359" i="7"/>
  <c r="A2360" i="7"/>
  <c r="A2361" i="7"/>
  <c r="A2362" i="7"/>
  <c r="A2363" i="7"/>
  <c r="A2364" i="7"/>
  <c r="A2365" i="7"/>
  <c r="A2366" i="7"/>
  <c r="A2367" i="7"/>
  <c r="A2368" i="7"/>
  <c r="A2369" i="7"/>
  <c r="A2370" i="7"/>
  <c r="A2371" i="7"/>
  <c r="A2372" i="7"/>
  <c r="A2373" i="7"/>
  <c r="A2374" i="7"/>
  <c r="A2375" i="7"/>
  <c r="A2376" i="7"/>
  <c r="A2377" i="7"/>
  <c r="A2378" i="7"/>
  <c r="A2379" i="7"/>
  <c r="A2380" i="7"/>
  <c r="A2381" i="7"/>
  <c r="A2382" i="7"/>
  <c r="A2383" i="7"/>
  <c r="A2384" i="7"/>
  <c r="A2385" i="7"/>
  <c r="A2386" i="7"/>
  <c r="A2387" i="7"/>
  <c r="A2388" i="7"/>
  <c r="A2389" i="7"/>
  <c r="A2390" i="7"/>
  <c r="A2391" i="7"/>
  <c r="A2392" i="7"/>
  <c r="A2393" i="7"/>
  <c r="A2394" i="7"/>
  <c r="A2395" i="7"/>
  <c r="A2396" i="7"/>
  <c r="A2397" i="7"/>
  <c r="A2398" i="7"/>
  <c r="A2399" i="7"/>
  <c r="A2400" i="7"/>
  <c r="A2401" i="7"/>
  <c r="A2402" i="7"/>
  <c r="A2403" i="7"/>
  <c r="A2404" i="7"/>
  <c r="A2405" i="7"/>
  <c r="A2406" i="7"/>
  <c r="A2407" i="7"/>
  <c r="A2408" i="7"/>
  <c r="A2409" i="7"/>
  <c r="A2410" i="7"/>
  <c r="A2411" i="7"/>
  <c r="A2412" i="7"/>
  <c r="A2413" i="7"/>
  <c r="A2414" i="7"/>
  <c r="A2415" i="7"/>
  <c r="A2416" i="7"/>
  <c r="A2417" i="7"/>
  <c r="A2418" i="7"/>
  <c r="A2419" i="7"/>
  <c r="A2420" i="7"/>
  <c r="A2421" i="7"/>
  <c r="A2422" i="7"/>
  <c r="A2423" i="7"/>
  <c r="A2424" i="7"/>
  <c r="A2425" i="7"/>
  <c r="A2426" i="7"/>
  <c r="A2427" i="7"/>
  <c r="A2428" i="7"/>
  <c r="A2429" i="7"/>
  <c r="A2430" i="7"/>
  <c r="A2431" i="7"/>
  <c r="A2432" i="7"/>
  <c r="A2433" i="7"/>
  <c r="A2434" i="7"/>
  <c r="A2435" i="7"/>
  <c r="A2436" i="7"/>
  <c r="A2437" i="7"/>
  <c r="A2438" i="7"/>
  <c r="A2439" i="7"/>
  <c r="A2440" i="7"/>
  <c r="A2441" i="7"/>
  <c r="A2442" i="7"/>
  <c r="A2443" i="7"/>
  <c r="A2444" i="7"/>
  <c r="A2445" i="7"/>
  <c r="A2446" i="7"/>
  <c r="A2447" i="7"/>
  <c r="A2448" i="7"/>
  <c r="A2449" i="7"/>
  <c r="A2450" i="7"/>
  <c r="A2451" i="7"/>
  <c r="A2452" i="7"/>
  <c r="A2453" i="7"/>
  <c r="A2454" i="7"/>
  <c r="A2455" i="7"/>
  <c r="A2456" i="7"/>
  <c r="A2457" i="7"/>
  <c r="A2458" i="7"/>
  <c r="A2459" i="7"/>
  <c r="A2460" i="7"/>
  <c r="A2461" i="7"/>
  <c r="A2462" i="7"/>
  <c r="A2463" i="7"/>
  <c r="A2464" i="7"/>
  <c r="A2465" i="7"/>
  <c r="A2466" i="7"/>
  <c r="A2467" i="7"/>
  <c r="A2468" i="7"/>
  <c r="A2469" i="7"/>
  <c r="A2470" i="7"/>
  <c r="A2471" i="7"/>
  <c r="A2472" i="7"/>
  <c r="A2473" i="7"/>
  <c r="A2474" i="7"/>
  <c r="A2475" i="7"/>
  <c r="A2476" i="7"/>
  <c r="A2477" i="7"/>
  <c r="A2478" i="7"/>
  <c r="A2479" i="7"/>
  <c r="A2480" i="7"/>
  <c r="A2481" i="7"/>
  <c r="A2482" i="7"/>
  <c r="A2483" i="7"/>
  <c r="A2484" i="7"/>
  <c r="A2485" i="7"/>
  <c r="A2486" i="7"/>
  <c r="A2487" i="7"/>
  <c r="A2488" i="7"/>
  <c r="A2489" i="7"/>
  <c r="A2490" i="7"/>
  <c r="A2491" i="7"/>
  <c r="A2492" i="7"/>
  <c r="A2493" i="7"/>
  <c r="A2494" i="7"/>
  <c r="A2495" i="7"/>
  <c r="A2496" i="7"/>
  <c r="A2497" i="7"/>
  <c r="A2498" i="7"/>
  <c r="A2499" i="7"/>
  <c r="A2500" i="7"/>
  <c r="A2501" i="7"/>
  <c r="A2502" i="7"/>
  <c r="A2503" i="7"/>
  <c r="A2504" i="7"/>
  <c r="A2505" i="7"/>
  <c r="A2506" i="7"/>
  <c r="A2507" i="7"/>
  <c r="A2508" i="7"/>
  <c r="A2509" i="7"/>
  <c r="A2510" i="7"/>
  <c r="A2511" i="7"/>
  <c r="A2512" i="7"/>
  <c r="A2513" i="7"/>
  <c r="A2514" i="7"/>
  <c r="A2515" i="7"/>
  <c r="A2516" i="7"/>
  <c r="A2517" i="7"/>
  <c r="A2518" i="7"/>
  <c r="A2519" i="7"/>
  <c r="A2520" i="7"/>
  <c r="A2521" i="7"/>
  <c r="A2522" i="7"/>
  <c r="A2523" i="7"/>
  <c r="A2524" i="7"/>
  <c r="A2525" i="7"/>
  <c r="A2526" i="7"/>
  <c r="A2527" i="7"/>
  <c r="A2528" i="7"/>
  <c r="A2529" i="7"/>
  <c r="A2530" i="7"/>
  <c r="A2531" i="7"/>
  <c r="A2532" i="7"/>
  <c r="A2533" i="7"/>
  <c r="A2534" i="7"/>
  <c r="A2535" i="7"/>
  <c r="A2536" i="7"/>
  <c r="A2537" i="7"/>
  <c r="A2538" i="7"/>
  <c r="A2539" i="7"/>
  <c r="A2540" i="7"/>
  <c r="A2541" i="7"/>
  <c r="A2542" i="7"/>
  <c r="A2543" i="7"/>
  <c r="A2544" i="7"/>
  <c r="A2545" i="7"/>
  <c r="A2546" i="7"/>
  <c r="A2547" i="7"/>
  <c r="A2548" i="7"/>
  <c r="A2549" i="7"/>
  <c r="A2550" i="7"/>
  <c r="A2551" i="7"/>
  <c r="A2552" i="7"/>
  <c r="A2553" i="7"/>
  <c r="A2554" i="7"/>
  <c r="A2555" i="7"/>
  <c r="A2556" i="7"/>
  <c r="A2557" i="7"/>
  <c r="A2558" i="7"/>
  <c r="A2559" i="7"/>
  <c r="A2560" i="7"/>
  <c r="A2561" i="7"/>
  <c r="A2562" i="7"/>
  <c r="A2563" i="7"/>
  <c r="A2564" i="7"/>
  <c r="A2565" i="7"/>
  <c r="A2566" i="7"/>
  <c r="A2567" i="7"/>
  <c r="A2568" i="7"/>
  <c r="A2569" i="7"/>
  <c r="A2570" i="7"/>
  <c r="A2571" i="7"/>
  <c r="A2572" i="7"/>
  <c r="A2573" i="7"/>
  <c r="A2574" i="7"/>
  <c r="A2575" i="7"/>
  <c r="A2576" i="7"/>
  <c r="A2577" i="7"/>
  <c r="A2578" i="7"/>
  <c r="A2579" i="7"/>
  <c r="A2580" i="7"/>
  <c r="A2581" i="7"/>
  <c r="A2582" i="7"/>
  <c r="A2583" i="7"/>
  <c r="A2584" i="7"/>
  <c r="A2585" i="7"/>
  <c r="A2586" i="7"/>
  <c r="A2587" i="7"/>
  <c r="A2588" i="7"/>
  <c r="A2589" i="7"/>
  <c r="A2590" i="7"/>
  <c r="A2591" i="7"/>
  <c r="A2592" i="7"/>
  <c r="A2593" i="7"/>
  <c r="A2594" i="7"/>
  <c r="A2595" i="7"/>
  <c r="A2596" i="7"/>
  <c r="A2597" i="7"/>
  <c r="A2598" i="7"/>
  <c r="A2599" i="7"/>
  <c r="A2600" i="7"/>
  <c r="A2601" i="7"/>
  <c r="A2602" i="7"/>
  <c r="A2603" i="7"/>
  <c r="A2604" i="7"/>
  <c r="A2605" i="7"/>
  <c r="A2606" i="7"/>
  <c r="A2607" i="7"/>
  <c r="A2608" i="7"/>
  <c r="A2609" i="7"/>
  <c r="A2610" i="7"/>
  <c r="A2611" i="7"/>
  <c r="A2612" i="7"/>
  <c r="A2613" i="7"/>
  <c r="A2614" i="7"/>
  <c r="A2615" i="7"/>
  <c r="A2616" i="7"/>
  <c r="A2617" i="7"/>
  <c r="A2618" i="7"/>
  <c r="A2619" i="7"/>
  <c r="A2620" i="7"/>
  <c r="A2621" i="7"/>
  <c r="A2622" i="7"/>
  <c r="A2623" i="7"/>
  <c r="A2624" i="7"/>
  <c r="A2625" i="7"/>
  <c r="A2626" i="7"/>
  <c r="A2627" i="7"/>
  <c r="A2628" i="7"/>
  <c r="A2629" i="7"/>
  <c r="A2630" i="7"/>
  <c r="A2631" i="7"/>
  <c r="A2632" i="7"/>
  <c r="A2633" i="7"/>
  <c r="A2634" i="7"/>
  <c r="A2635" i="7"/>
  <c r="A2636" i="7"/>
  <c r="A2637" i="7"/>
  <c r="A2638" i="7"/>
  <c r="A2639" i="7"/>
  <c r="A2640" i="7"/>
  <c r="A2641" i="7"/>
  <c r="A2642" i="7"/>
  <c r="A2643" i="7"/>
  <c r="A2644" i="7"/>
  <c r="A2645" i="7"/>
  <c r="A2646" i="7"/>
  <c r="A2647" i="7"/>
  <c r="A2648" i="7"/>
  <c r="A2649" i="7"/>
  <c r="A2650" i="7"/>
  <c r="A2651" i="7"/>
  <c r="A2652" i="7"/>
  <c r="A2653" i="7"/>
  <c r="A2654" i="7"/>
  <c r="A2655" i="7"/>
  <c r="A2656" i="7"/>
  <c r="A2657" i="7"/>
  <c r="A2658" i="7"/>
  <c r="A2659" i="7"/>
  <c r="A2660" i="7"/>
  <c r="A2661" i="7"/>
  <c r="A2662" i="7"/>
  <c r="A2663" i="7"/>
  <c r="A2664" i="7"/>
  <c r="A2665" i="7"/>
  <c r="A2666" i="7"/>
  <c r="A2667" i="7"/>
  <c r="A2668" i="7"/>
  <c r="A2669" i="7"/>
  <c r="A2670" i="7"/>
  <c r="A2671" i="7"/>
  <c r="A2672" i="7"/>
  <c r="A2673" i="7"/>
  <c r="A2674" i="7"/>
  <c r="A2675" i="7"/>
  <c r="A2676" i="7"/>
  <c r="A2677" i="7"/>
  <c r="A2678" i="7"/>
  <c r="A2679" i="7"/>
  <c r="A2680" i="7"/>
  <c r="A2681" i="7"/>
  <c r="A2682" i="7"/>
  <c r="A2683" i="7"/>
  <c r="A2684" i="7"/>
  <c r="A2685" i="7"/>
  <c r="A2686" i="7"/>
  <c r="A2687" i="7"/>
  <c r="A2688" i="7"/>
  <c r="A2689" i="7"/>
  <c r="A2690" i="7"/>
  <c r="A2691" i="7"/>
  <c r="A2692" i="7"/>
  <c r="A2693" i="7"/>
  <c r="A2694" i="7"/>
  <c r="A2695" i="7"/>
  <c r="A2696" i="7"/>
  <c r="A2697" i="7"/>
  <c r="A2698" i="7"/>
  <c r="A2699" i="7"/>
  <c r="A2700" i="7"/>
  <c r="A2701" i="7"/>
  <c r="A2702" i="7"/>
  <c r="A2703" i="7"/>
  <c r="A2704" i="7"/>
  <c r="A2705" i="7"/>
  <c r="A2706" i="7"/>
  <c r="A2707" i="7"/>
  <c r="A2708" i="7"/>
  <c r="A2709" i="7"/>
  <c r="A2710" i="7"/>
  <c r="A2711" i="7"/>
  <c r="A2712" i="7"/>
  <c r="A2713" i="7"/>
  <c r="A2714" i="7"/>
  <c r="A2715" i="7"/>
  <c r="A2716" i="7"/>
  <c r="A2717" i="7"/>
  <c r="A2718" i="7"/>
  <c r="A2719" i="7"/>
  <c r="A2720" i="7"/>
  <c r="A2721" i="7"/>
  <c r="A2722" i="7"/>
  <c r="A2723" i="7"/>
  <c r="A2724" i="7"/>
  <c r="A2725" i="7"/>
  <c r="A2726" i="7"/>
  <c r="A2727" i="7"/>
  <c r="A2728" i="7"/>
  <c r="A2729" i="7"/>
  <c r="A2730" i="7"/>
  <c r="A2731" i="7"/>
  <c r="A2732" i="7"/>
  <c r="A2733" i="7"/>
  <c r="A2734" i="7"/>
  <c r="A2735" i="7"/>
  <c r="A2736" i="7"/>
  <c r="A2737" i="7"/>
  <c r="A2738" i="7"/>
  <c r="A2739" i="7"/>
  <c r="A2740" i="7"/>
  <c r="A2741" i="7"/>
  <c r="A2742" i="7"/>
  <c r="A2743" i="7"/>
  <c r="A2744" i="7"/>
  <c r="A2745" i="7"/>
  <c r="A2746" i="7"/>
  <c r="A2747" i="7"/>
  <c r="A2748" i="7"/>
  <c r="A2749" i="7"/>
  <c r="A2750" i="7"/>
  <c r="A2751" i="7"/>
  <c r="A2752" i="7"/>
  <c r="A2753" i="7"/>
  <c r="A2754" i="7"/>
  <c r="A2755" i="7"/>
  <c r="A2756" i="7"/>
  <c r="A2757" i="7"/>
  <c r="A2758" i="7"/>
  <c r="A2759" i="7"/>
  <c r="A2760" i="7"/>
  <c r="A2761" i="7"/>
  <c r="A2762" i="7"/>
  <c r="A2763" i="7"/>
  <c r="A2764" i="7"/>
  <c r="A2765" i="7"/>
  <c r="A2766" i="7"/>
  <c r="A2767" i="7"/>
  <c r="A2768" i="7"/>
  <c r="A2769" i="7"/>
  <c r="A2770" i="7"/>
  <c r="A2771" i="7"/>
  <c r="A2772" i="7"/>
  <c r="A2773" i="7"/>
  <c r="A2774" i="7"/>
  <c r="A2775" i="7"/>
  <c r="A2776" i="7"/>
  <c r="A2777" i="7"/>
  <c r="A2778" i="7"/>
  <c r="A2779" i="7"/>
  <c r="A2780" i="7"/>
  <c r="A2781" i="7"/>
  <c r="A2782" i="7"/>
  <c r="A2783" i="7"/>
  <c r="A2784" i="7"/>
  <c r="A2785" i="7"/>
  <c r="A2786" i="7"/>
  <c r="A2787" i="7"/>
  <c r="A2788" i="7"/>
  <c r="A2789" i="7"/>
  <c r="A2790" i="7"/>
  <c r="A2791" i="7"/>
  <c r="A2792" i="7"/>
  <c r="A2793" i="7"/>
  <c r="A2794" i="7"/>
  <c r="A2795" i="7"/>
  <c r="A2796" i="7"/>
  <c r="A2797" i="7"/>
  <c r="A2798" i="7"/>
  <c r="A2799" i="7"/>
  <c r="A2800" i="7"/>
  <c r="A2801" i="7"/>
  <c r="A2802" i="7"/>
  <c r="A2803" i="7"/>
  <c r="A2804" i="7"/>
  <c r="A2805" i="7"/>
  <c r="A2806" i="7"/>
  <c r="A2807" i="7"/>
  <c r="A2808" i="7"/>
  <c r="A2809" i="7"/>
  <c r="A2810" i="7"/>
  <c r="A2811" i="7"/>
  <c r="A2812" i="7"/>
  <c r="A2813" i="7"/>
  <c r="A2814" i="7"/>
  <c r="A2815" i="7"/>
  <c r="A2816" i="7"/>
  <c r="A2817" i="7"/>
  <c r="A2818" i="7"/>
  <c r="A2819" i="7"/>
  <c r="A2820" i="7"/>
  <c r="A2821" i="7"/>
  <c r="A2822" i="7"/>
  <c r="A2823" i="7"/>
  <c r="A2824" i="7"/>
  <c r="A2825" i="7"/>
  <c r="A2826" i="7"/>
  <c r="A2827" i="7"/>
  <c r="A2828" i="7"/>
  <c r="A2829" i="7"/>
  <c r="A2830" i="7"/>
  <c r="A2831" i="7"/>
  <c r="A2832" i="7"/>
  <c r="A2833" i="7"/>
  <c r="A2834" i="7"/>
  <c r="A2835" i="7"/>
  <c r="A2836" i="7"/>
  <c r="A2837" i="7"/>
  <c r="A2838" i="7"/>
  <c r="A2839" i="7"/>
  <c r="A2840" i="7"/>
  <c r="A2841" i="7"/>
  <c r="A2842" i="7"/>
  <c r="A2843" i="7"/>
  <c r="A2844" i="7"/>
  <c r="A2845" i="7"/>
  <c r="A2846" i="7"/>
  <c r="A2847" i="7"/>
  <c r="A2848" i="7"/>
  <c r="A2849" i="7"/>
  <c r="A2850" i="7"/>
  <c r="A2851" i="7"/>
  <c r="A2852" i="7"/>
  <c r="A2853" i="7"/>
  <c r="A2854" i="7"/>
  <c r="A2855" i="7"/>
  <c r="A2856" i="7"/>
  <c r="A2857" i="7"/>
  <c r="A2858" i="7"/>
  <c r="A2859" i="7"/>
  <c r="A2860" i="7"/>
  <c r="A2861" i="7"/>
  <c r="A2862" i="7"/>
  <c r="A2863" i="7"/>
  <c r="A2864" i="7"/>
  <c r="A2865" i="7"/>
  <c r="A2866" i="7"/>
  <c r="A2867" i="7"/>
  <c r="A2868" i="7"/>
  <c r="A2869" i="7"/>
  <c r="A2870" i="7"/>
  <c r="A2871" i="7"/>
  <c r="A2872" i="7"/>
  <c r="A2873" i="7"/>
  <c r="A2874" i="7"/>
  <c r="A2875" i="7"/>
  <c r="A2876" i="7"/>
  <c r="A2877" i="7"/>
  <c r="A2878" i="7"/>
  <c r="A2879" i="7"/>
  <c r="A2880" i="7"/>
  <c r="A2881" i="7"/>
  <c r="A2882" i="7"/>
  <c r="A2883" i="7"/>
  <c r="A2884" i="7"/>
  <c r="A2885" i="7"/>
  <c r="A2886" i="7"/>
  <c r="A2887" i="7"/>
  <c r="A2888" i="7"/>
  <c r="A2889" i="7"/>
  <c r="A2890" i="7"/>
  <c r="A2891" i="7"/>
  <c r="A2892" i="7"/>
  <c r="A2893" i="7"/>
  <c r="A2894" i="7"/>
  <c r="A2895" i="7"/>
  <c r="A2896" i="7"/>
  <c r="A2897" i="7"/>
  <c r="A2898" i="7"/>
  <c r="A2899" i="7"/>
  <c r="A2900" i="7"/>
  <c r="A2901" i="7"/>
  <c r="A2902" i="7"/>
  <c r="A2903" i="7"/>
  <c r="A2904" i="7"/>
  <c r="A2905" i="7"/>
  <c r="A2906" i="7"/>
  <c r="A2907" i="7"/>
  <c r="A2908" i="7"/>
  <c r="A2909" i="7"/>
  <c r="A2910" i="7"/>
  <c r="A2911" i="7"/>
  <c r="A2912" i="7"/>
  <c r="A2913" i="7"/>
  <c r="A2914" i="7"/>
  <c r="A2915" i="7"/>
  <c r="A2916" i="7"/>
  <c r="A2917" i="7"/>
  <c r="A2918" i="7"/>
  <c r="A2919" i="7"/>
  <c r="A2920" i="7"/>
  <c r="A2921" i="7"/>
  <c r="A2922" i="7"/>
  <c r="A2923" i="7"/>
  <c r="A2924" i="7"/>
  <c r="A2925" i="7"/>
  <c r="A2926" i="7"/>
  <c r="A2927" i="7"/>
  <c r="A2928" i="7"/>
  <c r="A2929" i="7"/>
  <c r="A2930" i="7"/>
  <c r="A2931" i="7"/>
  <c r="A2932" i="7"/>
  <c r="A2933" i="7"/>
  <c r="A2934" i="7"/>
  <c r="A2935" i="7"/>
  <c r="A2936" i="7"/>
  <c r="A2937" i="7"/>
  <c r="A2938" i="7"/>
  <c r="A2939" i="7"/>
  <c r="A2940" i="7"/>
  <c r="A2941" i="7"/>
  <c r="A2942" i="7"/>
  <c r="A2943" i="7"/>
  <c r="A2944" i="7"/>
  <c r="A2945" i="7"/>
  <c r="A2946" i="7"/>
  <c r="A2947" i="7"/>
  <c r="A2948" i="7"/>
  <c r="A2949" i="7"/>
  <c r="A2950" i="7"/>
  <c r="A2951" i="7"/>
  <c r="A2952" i="7"/>
  <c r="A2953" i="7"/>
  <c r="A2954" i="7"/>
  <c r="A2955" i="7"/>
  <c r="A2956" i="7"/>
  <c r="A2957" i="7"/>
  <c r="A2958" i="7"/>
  <c r="A2959" i="7"/>
  <c r="A2960" i="7"/>
  <c r="A2961" i="7"/>
  <c r="A2962" i="7"/>
  <c r="A2963" i="7"/>
  <c r="A2964" i="7"/>
  <c r="A2965" i="7"/>
  <c r="A2966" i="7"/>
  <c r="A2967" i="7"/>
  <c r="A2968" i="7"/>
  <c r="A2969" i="7"/>
  <c r="A2970" i="7"/>
  <c r="A2971" i="7"/>
  <c r="A2972" i="7"/>
  <c r="A2973" i="7"/>
  <c r="A2974" i="7"/>
  <c r="A2975" i="7"/>
  <c r="A2976" i="7"/>
  <c r="A2977" i="7"/>
  <c r="A2978" i="7"/>
  <c r="A2979" i="7"/>
  <c r="A2980" i="7"/>
  <c r="A2981" i="7"/>
  <c r="A2982" i="7"/>
  <c r="A2983" i="7"/>
  <c r="A2984" i="7"/>
  <c r="A2985" i="7"/>
  <c r="A2986" i="7"/>
  <c r="A2987" i="7"/>
  <c r="A2988" i="7"/>
  <c r="A2989" i="7"/>
  <c r="A2990" i="7"/>
  <c r="A2991" i="7"/>
  <c r="A2992" i="7"/>
  <c r="A2993" i="7"/>
  <c r="A2994" i="7"/>
  <c r="A2995" i="7"/>
  <c r="A2996" i="7"/>
  <c r="A2997" i="7"/>
  <c r="A2998" i="7"/>
  <c r="A2999" i="7"/>
  <c r="A3000" i="7"/>
  <c r="A3001" i="7"/>
  <c r="A3002" i="7"/>
  <c r="A3003" i="7"/>
  <c r="A3004" i="7"/>
  <c r="A3005" i="7"/>
  <c r="A3006" i="7"/>
  <c r="A3007" i="7"/>
  <c r="A3008" i="7"/>
  <c r="A3009" i="7"/>
  <c r="A3010" i="7"/>
  <c r="A3011" i="7"/>
  <c r="A3012" i="7"/>
  <c r="A3013" i="7"/>
  <c r="A3014" i="7"/>
  <c r="A3015" i="7"/>
  <c r="A3016" i="7"/>
  <c r="A3017" i="7"/>
  <c r="A3018" i="7"/>
  <c r="A3019" i="7"/>
  <c r="A3020" i="7"/>
  <c r="A3021" i="7"/>
  <c r="A3022" i="7"/>
  <c r="A3023" i="7"/>
  <c r="A3024" i="7"/>
  <c r="A3025" i="7"/>
  <c r="A3026" i="7"/>
  <c r="A3027" i="7"/>
  <c r="A3028" i="7"/>
  <c r="A3029" i="7"/>
  <c r="A3030" i="7"/>
  <c r="A3031" i="7"/>
  <c r="A3032" i="7"/>
  <c r="A3033" i="7"/>
  <c r="A3034" i="7"/>
  <c r="A3035" i="7"/>
  <c r="A3036" i="7"/>
  <c r="A3037" i="7"/>
  <c r="A3038" i="7"/>
  <c r="A3039" i="7"/>
  <c r="A3040" i="7"/>
  <c r="A3041" i="7"/>
  <c r="A3042" i="7"/>
  <c r="A3043" i="7"/>
  <c r="A3044" i="7"/>
  <c r="A3045" i="7"/>
  <c r="A3046" i="7"/>
  <c r="A3047" i="7"/>
  <c r="A3048" i="7"/>
  <c r="A3049" i="7"/>
  <c r="A3050" i="7"/>
  <c r="A3051" i="7"/>
  <c r="A3052" i="7"/>
  <c r="A3053" i="7"/>
  <c r="A3054" i="7"/>
  <c r="A3055" i="7"/>
  <c r="A3056" i="7"/>
  <c r="A3057" i="7"/>
  <c r="A3058" i="7"/>
  <c r="A3059" i="7"/>
  <c r="A3060" i="7"/>
  <c r="A3061" i="7"/>
  <c r="A3062" i="7"/>
  <c r="A3063" i="7"/>
  <c r="A3064" i="7"/>
  <c r="A3065" i="7"/>
  <c r="A3066" i="7"/>
  <c r="A3067" i="7"/>
  <c r="A3068" i="7"/>
  <c r="A3069" i="7"/>
  <c r="A3070" i="7"/>
  <c r="A3071" i="7"/>
  <c r="A3072" i="7"/>
  <c r="A3073" i="7"/>
  <c r="A3074" i="7"/>
  <c r="A3075" i="7"/>
  <c r="A3076" i="7"/>
  <c r="A3077" i="7"/>
  <c r="A3078" i="7"/>
  <c r="A3079" i="7"/>
  <c r="A3080" i="7"/>
  <c r="A3081" i="7"/>
  <c r="A3082" i="7"/>
  <c r="A3083" i="7"/>
  <c r="A3084" i="7"/>
  <c r="A3085" i="7"/>
  <c r="A3086" i="7"/>
  <c r="A3087" i="7"/>
  <c r="A3088" i="7"/>
  <c r="A3089" i="7"/>
  <c r="A3090" i="7"/>
  <c r="A3091" i="7"/>
  <c r="A3092" i="7"/>
  <c r="A3093" i="7"/>
  <c r="A3094" i="7"/>
  <c r="A3095" i="7"/>
  <c r="A3096" i="7"/>
  <c r="A3097" i="7"/>
  <c r="A3098" i="7"/>
  <c r="A3099" i="7"/>
  <c r="A3100" i="7"/>
  <c r="A3101" i="7"/>
  <c r="A3102" i="7"/>
  <c r="A3103" i="7"/>
  <c r="A3104" i="7"/>
  <c r="A3105" i="7"/>
  <c r="A3106" i="7"/>
  <c r="A3107" i="7"/>
  <c r="A3108" i="7"/>
  <c r="A3109" i="7"/>
  <c r="A3110" i="7"/>
  <c r="A3111" i="7"/>
  <c r="A3112" i="7"/>
  <c r="A3113" i="7"/>
  <c r="A3114" i="7"/>
  <c r="A3115" i="7"/>
  <c r="A3116" i="7"/>
  <c r="A3117" i="7"/>
  <c r="A3118" i="7"/>
  <c r="A3119" i="7"/>
  <c r="A3120" i="7"/>
  <c r="A3121" i="7"/>
  <c r="A3122" i="7"/>
  <c r="A3123" i="7"/>
  <c r="A3124" i="7"/>
  <c r="A3125" i="7"/>
  <c r="A3126" i="7"/>
  <c r="A3127" i="7"/>
  <c r="A3128" i="7"/>
  <c r="A3129" i="7"/>
  <c r="A3130" i="7"/>
  <c r="A3131" i="7"/>
  <c r="A3132" i="7"/>
  <c r="A3133" i="7"/>
  <c r="A3134" i="7"/>
  <c r="A3135" i="7"/>
  <c r="A3136" i="7"/>
  <c r="A3137" i="7"/>
  <c r="A3138" i="7"/>
  <c r="A3139" i="7"/>
  <c r="A3140" i="7"/>
  <c r="A3141" i="7"/>
  <c r="A3142" i="7"/>
  <c r="A3143" i="7"/>
  <c r="A3144" i="7"/>
  <c r="A3145" i="7"/>
  <c r="A3146" i="7"/>
  <c r="A3147" i="7"/>
  <c r="A3148" i="7"/>
  <c r="A3149" i="7"/>
  <c r="A3150" i="7"/>
  <c r="A3151" i="7"/>
  <c r="A3152" i="7"/>
  <c r="A3153" i="7"/>
  <c r="A3154" i="7"/>
  <c r="A3155" i="7"/>
  <c r="A3156" i="7"/>
  <c r="A3157" i="7"/>
  <c r="A3158" i="7"/>
  <c r="A3159" i="7"/>
  <c r="A3160" i="7"/>
  <c r="A3161" i="7"/>
  <c r="A3162" i="7"/>
  <c r="A3163" i="7"/>
  <c r="A3164" i="7"/>
  <c r="A3165" i="7"/>
  <c r="A3166" i="7"/>
  <c r="A3167" i="7"/>
  <c r="A3168" i="7"/>
  <c r="A3169" i="7"/>
  <c r="A3170" i="7"/>
  <c r="A3171" i="7"/>
  <c r="A3172" i="7"/>
  <c r="A3173" i="7"/>
  <c r="A3174" i="7"/>
  <c r="A3175" i="7"/>
  <c r="A3176" i="7"/>
  <c r="A3177" i="7"/>
  <c r="A3178" i="7"/>
  <c r="A3179" i="7"/>
  <c r="A3180" i="7"/>
  <c r="A3181" i="7"/>
  <c r="A3182" i="7"/>
  <c r="A3183" i="7"/>
  <c r="A3184" i="7"/>
  <c r="A3185" i="7"/>
  <c r="A3186" i="7"/>
  <c r="A3187" i="7"/>
  <c r="A3188" i="7"/>
  <c r="A3189" i="7"/>
  <c r="A3190" i="7"/>
  <c r="A3191" i="7"/>
  <c r="A3192" i="7"/>
  <c r="A3193" i="7"/>
  <c r="A3194" i="7"/>
  <c r="A3195" i="7"/>
  <c r="A3196" i="7"/>
  <c r="A3197" i="7"/>
  <c r="A3198" i="7"/>
  <c r="A3199" i="7"/>
  <c r="A3200" i="7"/>
  <c r="A3201" i="7"/>
  <c r="A3202" i="7"/>
  <c r="A3203" i="7"/>
  <c r="A3204" i="7"/>
  <c r="A3205" i="7"/>
  <c r="A3206" i="7"/>
  <c r="A3207" i="7"/>
  <c r="A3208" i="7"/>
  <c r="A3209" i="7"/>
  <c r="A3210" i="7"/>
  <c r="A3211" i="7"/>
  <c r="A3212" i="7"/>
  <c r="A3213" i="7"/>
  <c r="A3214" i="7"/>
  <c r="A3215" i="7"/>
  <c r="A3216" i="7"/>
  <c r="A3217" i="7"/>
  <c r="A3218" i="7"/>
  <c r="A3219" i="7"/>
  <c r="A3220" i="7"/>
  <c r="A3221" i="7"/>
  <c r="A3222" i="7"/>
  <c r="A3223" i="7"/>
  <c r="A3224" i="7"/>
  <c r="A3225" i="7"/>
  <c r="A3226" i="7"/>
  <c r="A3227" i="7"/>
  <c r="A3228" i="7"/>
  <c r="A3229" i="7"/>
  <c r="A3230" i="7"/>
  <c r="A3231" i="7"/>
  <c r="A3232" i="7"/>
  <c r="A3233" i="7"/>
  <c r="A3234" i="7"/>
  <c r="A3235" i="7"/>
  <c r="A3236" i="7"/>
  <c r="A3237" i="7"/>
  <c r="A3238" i="7"/>
  <c r="A3239" i="7"/>
  <c r="A3240" i="7"/>
  <c r="A3241" i="7"/>
  <c r="A3242" i="7"/>
  <c r="A3243" i="7"/>
  <c r="A3244" i="7"/>
  <c r="A3245" i="7"/>
  <c r="A3246" i="7"/>
  <c r="A3247" i="7"/>
  <c r="A3248" i="7"/>
  <c r="A3249" i="7"/>
  <c r="A3250" i="7"/>
  <c r="A3251" i="7"/>
  <c r="A3252" i="7"/>
  <c r="A3253" i="7"/>
  <c r="A3254" i="7"/>
  <c r="A3255" i="7"/>
  <c r="A3256" i="7"/>
  <c r="A3257" i="7"/>
  <c r="A3258" i="7"/>
  <c r="A3259" i="7"/>
  <c r="A3260" i="7"/>
  <c r="A3261" i="7"/>
  <c r="A3262" i="7"/>
  <c r="A3263" i="7"/>
  <c r="A3264" i="7"/>
  <c r="A3265" i="7"/>
  <c r="A3266" i="7"/>
  <c r="A3267" i="7"/>
  <c r="A3268" i="7"/>
  <c r="A3269" i="7"/>
  <c r="A3270" i="7"/>
  <c r="A3271" i="7"/>
  <c r="A3272" i="7"/>
  <c r="A3273" i="7"/>
  <c r="A3274" i="7"/>
  <c r="A3275" i="7"/>
  <c r="A3276" i="7"/>
  <c r="A3277" i="7"/>
  <c r="A3278" i="7"/>
  <c r="A3279" i="7"/>
  <c r="A3280" i="7"/>
  <c r="A3281" i="7"/>
  <c r="A3282" i="7"/>
  <c r="A3283" i="7"/>
  <c r="A3284" i="7"/>
  <c r="A3285" i="7"/>
  <c r="A3286" i="7"/>
  <c r="A3287" i="7"/>
  <c r="A3288" i="7"/>
  <c r="A3289" i="7"/>
  <c r="A3290" i="7"/>
  <c r="A3291" i="7"/>
  <c r="A3292" i="7"/>
  <c r="A3293" i="7"/>
  <c r="A3294" i="7"/>
  <c r="A3295" i="7"/>
  <c r="A3296" i="7"/>
  <c r="A3297" i="7"/>
  <c r="A3298" i="7"/>
  <c r="A3299" i="7"/>
  <c r="A3300" i="7"/>
  <c r="A3301" i="7"/>
  <c r="A3302" i="7"/>
  <c r="A3303" i="7"/>
  <c r="A3304" i="7"/>
  <c r="A3305" i="7"/>
  <c r="A3306" i="7"/>
  <c r="A3307" i="7"/>
  <c r="A3308" i="7"/>
  <c r="A3309" i="7"/>
  <c r="A3310" i="7"/>
  <c r="A3311" i="7"/>
  <c r="A3312" i="7"/>
  <c r="A3313" i="7"/>
  <c r="A3314" i="7"/>
  <c r="A3315" i="7"/>
  <c r="A3316" i="7"/>
  <c r="A3317" i="7"/>
  <c r="A3318" i="7"/>
  <c r="A3319" i="7"/>
  <c r="A3320" i="7"/>
  <c r="A3321" i="7"/>
  <c r="A3322" i="7"/>
  <c r="A3323" i="7"/>
  <c r="A3324" i="7"/>
  <c r="A3325" i="7"/>
  <c r="A3326" i="7"/>
  <c r="A3327" i="7"/>
  <c r="A3328" i="7"/>
  <c r="A3329" i="7"/>
  <c r="A3330" i="7"/>
  <c r="A3331" i="7"/>
  <c r="A3332" i="7"/>
  <c r="A3333" i="7"/>
  <c r="A3334" i="7"/>
  <c r="A3335" i="7"/>
  <c r="A3336" i="7"/>
  <c r="A3337" i="7"/>
  <c r="A3338" i="7"/>
  <c r="A3339" i="7"/>
  <c r="A3340" i="7"/>
  <c r="A3341" i="7"/>
  <c r="A3342" i="7"/>
  <c r="A3343" i="7"/>
  <c r="A3344" i="7"/>
  <c r="A3345" i="7"/>
  <c r="A3346" i="7"/>
  <c r="A3347" i="7"/>
  <c r="A3348" i="7"/>
  <c r="A3349" i="7"/>
  <c r="A3350" i="7"/>
  <c r="A3351" i="7"/>
  <c r="A3352" i="7"/>
  <c r="A3353" i="7"/>
  <c r="A3354" i="7"/>
  <c r="A3355" i="7"/>
  <c r="A3356" i="7"/>
  <c r="A3357" i="7"/>
  <c r="A3358" i="7"/>
  <c r="A3359" i="7"/>
  <c r="A3360" i="7"/>
  <c r="A3361" i="7"/>
  <c r="A3362" i="7"/>
  <c r="A3363" i="7"/>
  <c r="A3364" i="7"/>
  <c r="A3365" i="7"/>
  <c r="A3366" i="7"/>
  <c r="A3367" i="7"/>
  <c r="A3368" i="7"/>
  <c r="A3369" i="7"/>
  <c r="A3370" i="7"/>
  <c r="A3371" i="7"/>
  <c r="A3372" i="7"/>
  <c r="A3373" i="7"/>
  <c r="A3374" i="7"/>
  <c r="A3375" i="7"/>
  <c r="A3376" i="7"/>
  <c r="A3377" i="7"/>
  <c r="A3378" i="7"/>
  <c r="A3379" i="7"/>
  <c r="A3380" i="7"/>
  <c r="A3381" i="7"/>
  <c r="A3382" i="7"/>
  <c r="A3383" i="7"/>
  <c r="A3384" i="7"/>
  <c r="A3385" i="7"/>
  <c r="A3386" i="7"/>
  <c r="A3387" i="7"/>
  <c r="A3388" i="7"/>
  <c r="A3389" i="7"/>
  <c r="A3390" i="7"/>
  <c r="A3391" i="7"/>
  <c r="A3392" i="7"/>
  <c r="A3393" i="7"/>
  <c r="A3394" i="7"/>
  <c r="A3395" i="7"/>
  <c r="A3396" i="7"/>
  <c r="A3397" i="7"/>
  <c r="A3398" i="7"/>
  <c r="A2"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2" i="5"/>
  <c r="A3"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805" i="2"/>
  <c r="A4804" i="2"/>
  <c r="A4803" i="2"/>
  <c r="A4802" i="2"/>
  <c r="A4801" i="2"/>
  <c r="A4800" i="2"/>
  <c r="A4799" i="2"/>
  <c r="A4798" i="2"/>
  <c r="A4797" i="2"/>
  <c r="A4796" i="2"/>
  <c r="A4795" i="2"/>
  <c r="A4794" i="2"/>
  <c r="A4793" i="2"/>
  <c r="A4792" i="2"/>
  <c r="A4791" i="2"/>
  <c r="A4790" i="2"/>
  <c r="A4789" i="2"/>
  <c r="A4788" i="2"/>
  <c r="A4787" i="2"/>
  <c r="A4786" i="2"/>
  <c r="A4785" i="2"/>
  <c r="A4784" i="2"/>
  <c r="A4783" i="2"/>
  <c r="A4782" i="2"/>
  <c r="A4781" i="2"/>
  <c r="A4780" i="2"/>
  <c r="A4779" i="2"/>
  <c r="A4778" i="2"/>
  <c r="A4777" i="2"/>
  <c r="A4776" i="2"/>
  <c r="A4775" i="2"/>
  <c r="A4774" i="2"/>
  <c r="A4773" i="2"/>
  <c r="A4772" i="2"/>
  <c r="A4771" i="2"/>
  <c r="A4770" i="2"/>
  <c r="A4769" i="2"/>
  <c r="A4768" i="2"/>
  <c r="A4767" i="2"/>
  <c r="A4766" i="2"/>
  <c r="A4765" i="2"/>
  <c r="A4764" i="2"/>
  <c r="A4763" i="2"/>
  <c r="A4762" i="2"/>
  <c r="A4761" i="2"/>
  <c r="A4760" i="2"/>
  <c r="A4759" i="2"/>
  <c r="A4758" i="2"/>
  <c r="A4757" i="2"/>
  <c r="A4756" i="2"/>
  <c r="A4755" i="2"/>
  <c r="A4754" i="2"/>
  <c r="A4753" i="2"/>
  <c r="A4752" i="2"/>
  <c r="A4751" i="2"/>
  <c r="A4750" i="2"/>
  <c r="A4749" i="2"/>
  <c r="A4748" i="2"/>
  <c r="A4747" i="2"/>
  <c r="A4746" i="2"/>
  <c r="A4745" i="2"/>
  <c r="A4744" i="2"/>
  <c r="A4743" i="2"/>
  <c r="A4742" i="2"/>
  <c r="A4741" i="2"/>
  <c r="A4740" i="2"/>
  <c r="A4739" i="2"/>
  <c r="A4738" i="2"/>
  <c r="A4737" i="2"/>
  <c r="A4736" i="2"/>
  <c r="A4735" i="2"/>
  <c r="A4734" i="2"/>
  <c r="A4733" i="2"/>
  <c r="A4732" i="2"/>
  <c r="A4731" i="2"/>
  <c r="A4730" i="2"/>
  <c r="A4729" i="2"/>
  <c r="A4728" i="2"/>
  <c r="A4727" i="2"/>
  <c r="A4726" i="2"/>
  <c r="A4725" i="2"/>
  <c r="A4724" i="2"/>
  <c r="A4723" i="2"/>
  <c r="A4722" i="2"/>
  <c r="A4721" i="2"/>
  <c r="A4720" i="2"/>
  <c r="A4719" i="2"/>
  <c r="A4718" i="2"/>
  <c r="A4717" i="2"/>
  <c r="A4716" i="2"/>
  <c r="A4715" i="2"/>
  <c r="A4714" i="2"/>
  <c r="A4713" i="2"/>
  <c r="A4712" i="2"/>
  <c r="A4711" i="2"/>
  <c r="A4710" i="2"/>
  <c r="A4709" i="2"/>
  <c r="A4708" i="2"/>
  <c r="A4707" i="2"/>
  <c r="A4706" i="2"/>
  <c r="A4705" i="2"/>
  <c r="A4704" i="2"/>
  <c r="A4703" i="2"/>
  <c r="A4702" i="2"/>
  <c r="A4701" i="2"/>
  <c r="A4700" i="2"/>
  <c r="A4699" i="2"/>
  <c r="A4698" i="2"/>
  <c r="A4697" i="2"/>
  <c r="A4696" i="2"/>
  <c r="A4695" i="2"/>
  <c r="A4694" i="2"/>
  <c r="A4693" i="2"/>
  <c r="A4692" i="2"/>
  <c r="A4691" i="2"/>
  <c r="A4690" i="2"/>
  <c r="A4689" i="2"/>
  <c r="A4688" i="2"/>
  <c r="A4687" i="2"/>
  <c r="A4686" i="2"/>
  <c r="A4685" i="2"/>
  <c r="A4684" i="2"/>
  <c r="A4683" i="2"/>
  <c r="A4682" i="2"/>
  <c r="A4681" i="2"/>
  <c r="A4680" i="2"/>
  <c r="A4679" i="2"/>
  <c r="A4678" i="2"/>
  <c r="A4677" i="2"/>
  <c r="A4676" i="2"/>
  <c r="A4675" i="2"/>
  <c r="A4674" i="2"/>
  <c r="A4673" i="2"/>
  <c r="A4672" i="2"/>
  <c r="A4671" i="2"/>
  <c r="A4670" i="2"/>
  <c r="A4669" i="2"/>
  <c r="A4668" i="2"/>
  <c r="A4667" i="2"/>
  <c r="A4666" i="2"/>
  <c r="A4665" i="2"/>
  <c r="A4664" i="2"/>
  <c r="A4663" i="2"/>
  <c r="A4662" i="2"/>
  <c r="A4661" i="2"/>
  <c r="A4660" i="2"/>
  <c r="A4659" i="2"/>
  <c r="A4658" i="2"/>
  <c r="A4657" i="2"/>
  <c r="A4656" i="2"/>
  <c r="A4655" i="2"/>
  <c r="A4654" i="2"/>
  <c r="A4653" i="2"/>
  <c r="A4652" i="2"/>
  <c r="A4651" i="2"/>
  <c r="A4650" i="2"/>
  <c r="A4649" i="2"/>
  <c r="A4648" i="2"/>
  <c r="A4647" i="2"/>
  <c r="A4646" i="2"/>
  <c r="A4645" i="2"/>
  <c r="A4644" i="2"/>
  <c r="A4643" i="2"/>
  <c r="A4642" i="2"/>
  <c r="A4641" i="2"/>
  <c r="A4640" i="2"/>
  <c r="A4639" i="2"/>
  <c r="A4638" i="2"/>
  <c r="A4637" i="2"/>
  <c r="A4636" i="2"/>
  <c r="A4635" i="2"/>
  <c r="A4634" i="2"/>
  <c r="A4633" i="2"/>
  <c r="A4632" i="2"/>
  <c r="A4631" i="2"/>
  <c r="A4630" i="2"/>
  <c r="A4629" i="2"/>
  <c r="A4628" i="2"/>
  <c r="A4627" i="2"/>
  <c r="A4626" i="2"/>
  <c r="A4625" i="2"/>
  <c r="A4624" i="2"/>
  <c r="A4623" i="2"/>
  <c r="A4622" i="2"/>
  <c r="A4621" i="2"/>
  <c r="A4620" i="2"/>
  <c r="A4619" i="2"/>
  <c r="A4618" i="2"/>
  <c r="A4617" i="2"/>
  <c r="A4616" i="2"/>
  <c r="A4615" i="2"/>
  <c r="A4614" i="2"/>
  <c r="A4613" i="2"/>
  <c r="A4612" i="2"/>
  <c r="A4611" i="2"/>
  <c r="A4610" i="2"/>
  <c r="A4609" i="2"/>
  <c r="A4608" i="2"/>
  <c r="A4607" i="2"/>
  <c r="A4606" i="2"/>
  <c r="A4605" i="2"/>
  <c r="A4604" i="2"/>
  <c r="A4603" i="2"/>
  <c r="A4602" i="2"/>
  <c r="A4601" i="2"/>
  <c r="A4600" i="2"/>
  <c r="A4599" i="2"/>
  <c r="A4598" i="2"/>
  <c r="A4597" i="2"/>
  <c r="A4596" i="2"/>
  <c r="A4595" i="2"/>
  <c r="A4594" i="2"/>
  <c r="A4593" i="2"/>
  <c r="A4592" i="2"/>
  <c r="A4591" i="2"/>
  <c r="A4590" i="2"/>
  <c r="A4589" i="2"/>
  <c r="A4588" i="2"/>
  <c r="A4587" i="2"/>
  <c r="A4586" i="2"/>
  <c r="A4585" i="2"/>
  <c r="A4584" i="2"/>
  <c r="A4583" i="2"/>
  <c r="A4582" i="2"/>
  <c r="A4581" i="2"/>
  <c r="A4580" i="2"/>
  <c r="A4579" i="2"/>
  <c r="A4578" i="2"/>
  <c r="A4577" i="2"/>
  <c r="A4576" i="2"/>
  <c r="A4575" i="2"/>
  <c r="A4574" i="2"/>
  <c r="A4573" i="2"/>
  <c r="A4572" i="2"/>
  <c r="A4571" i="2"/>
  <c r="A4570" i="2"/>
  <c r="A4569" i="2"/>
  <c r="A4568" i="2"/>
  <c r="A4567" i="2"/>
  <c r="A4566" i="2"/>
  <c r="A4565" i="2"/>
  <c r="A4564" i="2"/>
  <c r="A4563" i="2"/>
  <c r="A4562" i="2"/>
  <c r="A4561" i="2"/>
  <c r="A4560" i="2"/>
  <c r="A4559" i="2"/>
  <c r="A4558" i="2"/>
  <c r="A4557" i="2"/>
  <c r="A4556" i="2"/>
  <c r="A4555" i="2"/>
  <c r="A4554" i="2"/>
  <c r="A4553" i="2"/>
  <c r="A4552" i="2"/>
  <c r="A4551" i="2"/>
  <c r="A4550" i="2"/>
  <c r="A4549" i="2"/>
  <c r="A4548" i="2"/>
  <c r="A4547" i="2"/>
  <c r="A4546" i="2"/>
  <c r="A4545" i="2"/>
  <c r="A4544" i="2"/>
  <c r="A4543" i="2"/>
  <c r="A4542" i="2"/>
  <c r="A4541" i="2"/>
  <c r="A4540" i="2"/>
  <c r="A4539" i="2"/>
  <c r="A4538" i="2"/>
  <c r="A4537" i="2"/>
  <c r="A4536" i="2"/>
  <c r="A4535" i="2"/>
  <c r="A4534" i="2"/>
  <c r="A4533" i="2"/>
  <c r="A4532" i="2"/>
  <c r="A4531" i="2"/>
  <c r="A4530" i="2"/>
  <c r="A4529" i="2"/>
  <c r="A4528" i="2"/>
  <c r="A4527" i="2"/>
  <c r="A4526" i="2"/>
  <c r="A4525" i="2"/>
  <c r="A4524" i="2"/>
  <c r="A4523" i="2"/>
  <c r="A4522" i="2"/>
  <c r="A4521" i="2"/>
  <c r="A4520" i="2"/>
  <c r="A4519" i="2"/>
  <c r="A4518" i="2"/>
  <c r="A4517" i="2"/>
  <c r="A4516" i="2"/>
  <c r="A4515" i="2"/>
  <c r="A4514" i="2"/>
  <c r="A4513" i="2"/>
  <c r="A4512" i="2"/>
  <c r="A4511" i="2"/>
  <c r="A4510" i="2"/>
  <c r="A4509" i="2"/>
  <c r="A4508" i="2"/>
  <c r="A4507" i="2"/>
  <c r="A4506" i="2"/>
  <c r="A4505" i="2"/>
  <c r="A4504" i="2"/>
  <c r="A4503" i="2"/>
  <c r="A4502" i="2"/>
  <c r="A4501" i="2"/>
  <c r="A4500" i="2"/>
  <c r="A4499" i="2"/>
  <c r="A4498" i="2"/>
  <c r="A4497" i="2"/>
  <c r="A4496" i="2"/>
  <c r="A4495" i="2"/>
  <c r="A4494" i="2"/>
  <c r="A4493" i="2"/>
  <c r="A4492" i="2"/>
  <c r="A4491" i="2"/>
  <c r="A4490" i="2"/>
  <c r="A4489" i="2"/>
  <c r="A4488" i="2"/>
  <c r="A4487" i="2"/>
  <c r="A4486" i="2"/>
  <c r="A4485" i="2"/>
  <c r="A4484" i="2"/>
  <c r="A4483" i="2"/>
  <c r="A4482" i="2"/>
  <c r="A4481" i="2"/>
  <c r="A4480" i="2"/>
  <c r="A4479" i="2"/>
  <c r="A4478" i="2"/>
  <c r="A4477" i="2"/>
  <c r="A4476" i="2"/>
  <c r="A4475" i="2"/>
  <c r="A4474" i="2"/>
  <c r="A4473" i="2"/>
  <c r="A4472" i="2"/>
  <c r="A4471" i="2"/>
  <c r="A4470" i="2"/>
  <c r="A4469" i="2"/>
  <c r="A4468" i="2"/>
  <c r="A4467" i="2"/>
  <c r="A4466" i="2"/>
  <c r="A4465" i="2"/>
  <c r="A4464" i="2"/>
  <c r="A4463" i="2"/>
  <c r="A4462" i="2"/>
  <c r="A4461" i="2"/>
  <c r="A4460" i="2"/>
  <c r="A4459" i="2"/>
  <c r="A4458" i="2"/>
  <c r="A4457" i="2"/>
  <c r="A4456" i="2"/>
  <c r="A4455" i="2"/>
  <c r="A4454" i="2"/>
  <c r="A4453" i="2"/>
  <c r="A4452" i="2"/>
  <c r="A4451" i="2"/>
  <c r="A4450" i="2"/>
  <c r="A4449" i="2"/>
  <c r="A4448" i="2"/>
  <c r="A4447" i="2"/>
  <c r="A4446" i="2"/>
  <c r="A4445" i="2"/>
  <c r="A4444" i="2"/>
  <c r="A4443" i="2"/>
  <c r="A4442" i="2"/>
  <c r="A4441" i="2"/>
  <c r="A4440" i="2"/>
  <c r="A4439" i="2"/>
  <c r="A4438" i="2"/>
  <c r="A4437" i="2"/>
  <c r="A4436" i="2"/>
  <c r="A4435" i="2"/>
  <c r="A4434" i="2"/>
  <c r="A4433" i="2"/>
  <c r="A4432" i="2"/>
  <c r="A4431" i="2"/>
  <c r="A4430" i="2"/>
  <c r="A4429" i="2"/>
  <c r="A4428" i="2"/>
  <c r="A4427" i="2"/>
  <c r="A4426" i="2"/>
  <c r="A4425" i="2"/>
  <c r="A4424" i="2"/>
  <c r="A4423" i="2"/>
  <c r="A4422" i="2"/>
  <c r="A4421" i="2"/>
  <c r="A4420" i="2"/>
  <c r="A4419" i="2"/>
  <c r="A4418" i="2"/>
  <c r="A4417" i="2"/>
  <c r="A4416" i="2"/>
  <c r="A4415" i="2"/>
  <c r="A4414" i="2"/>
  <c r="A4413" i="2"/>
  <c r="A4412" i="2"/>
  <c r="A4411" i="2"/>
  <c r="A4410" i="2"/>
  <c r="A4409" i="2"/>
  <c r="A4408" i="2"/>
  <c r="A4407" i="2"/>
  <c r="A4406" i="2"/>
  <c r="A4405" i="2"/>
  <c r="A4404" i="2"/>
  <c r="A4403" i="2"/>
  <c r="A4402" i="2"/>
  <c r="A4401" i="2"/>
  <c r="A4400" i="2"/>
  <c r="A4399" i="2"/>
  <c r="A4398" i="2"/>
  <c r="A4397" i="2"/>
  <c r="A4396" i="2"/>
  <c r="A4395" i="2"/>
  <c r="A4394" i="2"/>
  <c r="A4393" i="2"/>
  <c r="A4392" i="2"/>
  <c r="A4391" i="2"/>
  <c r="A4390" i="2"/>
  <c r="A4389" i="2"/>
  <c r="A4388" i="2"/>
  <c r="A4387" i="2"/>
  <c r="A4386" i="2"/>
  <c r="A4385" i="2"/>
  <c r="A4384" i="2"/>
  <c r="A4383" i="2"/>
  <c r="A4382" i="2"/>
  <c r="A4381" i="2"/>
  <c r="A4380" i="2"/>
  <c r="A4379" i="2"/>
  <c r="A4378" i="2"/>
  <c r="A4377" i="2"/>
  <c r="A4376" i="2"/>
  <c r="A4375" i="2"/>
  <c r="A4374" i="2"/>
  <c r="A4373" i="2"/>
  <c r="A4372" i="2"/>
  <c r="A4371" i="2"/>
  <c r="A4370" i="2"/>
  <c r="A4369" i="2"/>
  <c r="A4368" i="2"/>
  <c r="A4367" i="2"/>
  <c r="A4366" i="2"/>
  <c r="A4365" i="2"/>
  <c r="A4364" i="2"/>
  <c r="A4363" i="2"/>
  <c r="A4362" i="2"/>
  <c r="A4361" i="2"/>
  <c r="A4360" i="2"/>
  <c r="A4359" i="2"/>
  <c r="A4358" i="2"/>
  <c r="A4357" i="2"/>
  <c r="A4356" i="2"/>
  <c r="A4355" i="2"/>
  <c r="A4354" i="2"/>
  <c r="A4353" i="2"/>
  <c r="A4352" i="2"/>
  <c r="A4351" i="2"/>
  <c r="A4350" i="2"/>
  <c r="A4349" i="2"/>
  <c r="A4348" i="2"/>
  <c r="A4347" i="2"/>
  <c r="A4346" i="2"/>
  <c r="A4345" i="2"/>
  <c r="A4344" i="2"/>
  <c r="A4343" i="2"/>
  <c r="A4342" i="2"/>
  <c r="A4341" i="2"/>
  <c r="A4340" i="2"/>
  <c r="A4339" i="2"/>
  <c r="A4338" i="2"/>
  <c r="A4337" i="2"/>
  <c r="A4336" i="2"/>
  <c r="A4335" i="2"/>
  <c r="A4334" i="2"/>
  <c r="A4333" i="2"/>
  <c r="A4332" i="2"/>
  <c r="A4331" i="2"/>
  <c r="A4330" i="2"/>
  <c r="A4329" i="2"/>
  <c r="A4328" i="2"/>
  <c r="A4327" i="2"/>
  <c r="A4326" i="2"/>
  <c r="A4325" i="2"/>
  <c r="A4324" i="2"/>
  <c r="A4323" i="2"/>
  <c r="A4322" i="2"/>
  <c r="A4321" i="2"/>
  <c r="A4320" i="2"/>
  <c r="A4319" i="2"/>
  <c r="A4318" i="2"/>
  <c r="A4317" i="2"/>
  <c r="A4316" i="2"/>
  <c r="A4315" i="2"/>
  <c r="A4314" i="2"/>
  <c r="A4313" i="2"/>
  <c r="A4312" i="2"/>
  <c r="A4311" i="2"/>
  <c r="A4310" i="2"/>
  <c r="A4309" i="2"/>
  <c r="A4308" i="2"/>
  <c r="A4307" i="2"/>
  <c r="A4306" i="2"/>
  <c r="A4305" i="2"/>
  <c r="A4304" i="2"/>
  <c r="A4303" i="2"/>
  <c r="A4302" i="2"/>
  <c r="A4301" i="2"/>
  <c r="A4300" i="2"/>
  <c r="A4299" i="2"/>
  <c r="A4298" i="2"/>
  <c r="A4297" i="2"/>
  <c r="A4296" i="2"/>
  <c r="A4295" i="2"/>
  <c r="A4294" i="2"/>
  <c r="A4293" i="2"/>
  <c r="A4292" i="2"/>
  <c r="A4291" i="2"/>
  <c r="A4290" i="2"/>
  <c r="A4289" i="2"/>
  <c r="A4288" i="2"/>
  <c r="A4287" i="2"/>
  <c r="A4286" i="2"/>
  <c r="A4285" i="2"/>
  <c r="A4284" i="2"/>
  <c r="A4283" i="2"/>
  <c r="A4282" i="2"/>
  <c r="A4281" i="2"/>
  <c r="A4280" i="2"/>
  <c r="A4279" i="2"/>
  <c r="A4278" i="2"/>
  <c r="A4277" i="2"/>
  <c r="A4276" i="2"/>
  <c r="A4275" i="2"/>
  <c r="A4274" i="2"/>
  <c r="A4273" i="2"/>
  <c r="A4272" i="2"/>
  <c r="A4271" i="2"/>
  <c r="A4270" i="2"/>
  <c r="A4269" i="2"/>
  <c r="A4268" i="2"/>
  <c r="A4267" i="2"/>
  <c r="A4266" i="2"/>
  <c r="A4265" i="2"/>
  <c r="A4264" i="2"/>
  <c r="A4263" i="2"/>
  <c r="A4262" i="2"/>
  <c r="A4261" i="2"/>
  <c r="A4260" i="2"/>
  <c r="A4259" i="2"/>
  <c r="A4258" i="2"/>
  <c r="A4257" i="2"/>
  <c r="A4256" i="2"/>
  <c r="A4255" i="2"/>
  <c r="A4254" i="2"/>
  <c r="A4253" i="2"/>
  <c r="A4252" i="2"/>
  <c r="A4251" i="2"/>
  <c r="A4250" i="2"/>
  <c r="A4249" i="2"/>
  <c r="A4248" i="2"/>
  <c r="A4247" i="2"/>
  <c r="A4246" i="2"/>
  <c r="A4245" i="2"/>
  <c r="A4244" i="2"/>
  <c r="A4243" i="2"/>
  <c r="A4242" i="2"/>
  <c r="A4241" i="2"/>
  <c r="A4240" i="2"/>
  <c r="A4239" i="2"/>
  <c r="A4238" i="2"/>
  <c r="A4237" i="2"/>
  <c r="A4236" i="2"/>
  <c r="A4235" i="2"/>
  <c r="A4234" i="2"/>
  <c r="A4233" i="2"/>
  <c r="A4232" i="2"/>
  <c r="A4231" i="2"/>
  <c r="A4230" i="2"/>
  <c r="A4229" i="2"/>
  <c r="A4228" i="2"/>
  <c r="A4227" i="2"/>
  <c r="A4226" i="2"/>
  <c r="A4225" i="2"/>
  <c r="A4224" i="2"/>
  <c r="A4223" i="2"/>
  <c r="A4222" i="2"/>
  <c r="A4221" i="2"/>
  <c r="A4220" i="2"/>
  <c r="A4219" i="2"/>
  <c r="A4218" i="2"/>
  <c r="A4217" i="2"/>
  <c r="A4216" i="2"/>
  <c r="A4215" i="2"/>
  <c r="A4214" i="2"/>
  <c r="A4213" i="2"/>
  <c r="A4212" i="2"/>
  <c r="A4211" i="2"/>
  <c r="A4210" i="2"/>
  <c r="A4209" i="2"/>
  <c r="A4208" i="2"/>
  <c r="A4207" i="2"/>
  <c r="A4206" i="2"/>
  <c r="A4205" i="2"/>
  <c r="A4204" i="2"/>
  <c r="A4203" i="2"/>
  <c r="A4202" i="2"/>
  <c r="A4201" i="2"/>
  <c r="A4200" i="2"/>
  <c r="A4199" i="2"/>
  <c r="A4198" i="2"/>
  <c r="A4197" i="2"/>
  <c r="A4196" i="2"/>
  <c r="A4195" i="2"/>
  <c r="A4194" i="2"/>
  <c r="A4193" i="2"/>
  <c r="A4192" i="2"/>
  <c r="A4191" i="2"/>
  <c r="A4190" i="2"/>
  <c r="A4189" i="2"/>
  <c r="A4188" i="2"/>
  <c r="A4187" i="2"/>
  <c r="A4186" i="2"/>
  <c r="A4185" i="2"/>
  <c r="A4184" i="2"/>
  <c r="A4183" i="2"/>
  <c r="A4182" i="2"/>
  <c r="A4181" i="2"/>
  <c r="A4180" i="2"/>
  <c r="A4179" i="2"/>
  <c r="A4178" i="2"/>
  <c r="A4177" i="2"/>
  <c r="A4176" i="2"/>
  <c r="A4175" i="2"/>
  <c r="A4174" i="2"/>
  <c r="A4173" i="2"/>
  <c r="A4172" i="2"/>
  <c r="A4171" i="2"/>
  <c r="A4170" i="2"/>
  <c r="A4169" i="2"/>
  <c r="A4168" i="2"/>
  <c r="A4167" i="2"/>
  <c r="A4166" i="2"/>
  <c r="A4165" i="2"/>
  <c r="A4164" i="2"/>
  <c r="A4163" i="2"/>
  <c r="A4162" i="2"/>
  <c r="A4161" i="2"/>
  <c r="A4160" i="2"/>
  <c r="A4159" i="2"/>
  <c r="A4158" i="2"/>
  <c r="A4157" i="2"/>
  <c r="A4156" i="2"/>
  <c r="A4155" i="2"/>
  <c r="A4154" i="2"/>
  <c r="A4153" i="2"/>
  <c r="A4152" i="2"/>
  <c r="A4151" i="2"/>
  <c r="A4150" i="2"/>
  <c r="A4149" i="2"/>
  <c r="A4148" i="2"/>
  <c r="A4147" i="2"/>
  <c r="A4146" i="2"/>
  <c r="A4145" i="2"/>
  <c r="A4144" i="2"/>
  <c r="A4143" i="2"/>
  <c r="A4142" i="2"/>
  <c r="A4141" i="2"/>
  <c r="A4140" i="2"/>
  <c r="A4139" i="2"/>
  <c r="A4138" i="2"/>
  <c r="A4137" i="2"/>
  <c r="A4136" i="2"/>
  <c r="A4135" i="2"/>
  <c r="A4134" i="2"/>
  <c r="A4133" i="2"/>
  <c r="A4132" i="2"/>
  <c r="A4131" i="2"/>
  <c r="A4130" i="2"/>
  <c r="A4129" i="2"/>
  <c r="A4128" i="2"/>
  <c r="A4127" i="2"/>
  <c r="A4126" i="2"/>
  <c r="A4125" i="2"/>
  <c r="A4124" i="2"/>
  <c r="A4123" i="2"/>
  <c r="A4122" i="2"/>
  <c r="A4121" i="2"/>
  <c r="A4120" i="2"/>
  <c r="A4119" i="2"/>
  <c r="A4118" i="2"/>
  <c r="A4117" i="2"/>
  <c r="A4116" i="2"/>
  <c r="A4115" i="2"/>
  <c r="A4114" i="2"/>
  <c r="A4113" i="2"/>
  <c r="A4112" i="2"/>
  <c r="A4111" i="2"/>
  <c r="A4110" i="2"/>
  <c r="A4109" i="2"/>
  <c r="A4108" i="2"/>
  <c r="A4107" i="2"/>
  <c r="A4106" i="2"/>
  <c r="A4105" i="2"/>
  <c r="A4104" i="2"/>
  <c r="A4103" i="2"/>
  <c r="A4102" i="2"/>
  <c r="A4101" i="2"/>
  <c r="A4100" i="2"/>
  <c r="A4099" i="2"/>
  <c r="A4098" i="2"/>
  <c r="A4097" i="2"/>
  <c r="A4096" i="2"/>
  <c r="A4095" i="2"/>
  <c r="A4094" i="2"/>
  <c r="A4093" i="2"/>
  <c r="A4092" i="2"/>
  <c r="A4091" i="2"/>
  <c r="A4090" i="2"/>
  <c r="A4089" i="2"/>
  <c r="A4088" i="2"/>
  <c r="A4087" i="2"/>
  <c r="A4086" i="2"/>
  <c r="A4085" i="2"/>
  <c r="A4084" i="2"/>
  <c r="A4083" i="2"/>
  <c r="A4082" i="2"/>
  <c r="A4081" i="2"/>
  <c r="A4080" i="2"/>
  <c r="A4079" i="2"/>
  <c r="A4078" i="2"/>
  <c r="A4077" i="2"/>
  <c r="A4076" i="2"/>
  <c r="A4075" i="2"/>
  <c r="A4074" i="2"/>
  <c r="A4073" i="2"/>
  <c r="A4072" i="2"/>
  <c r="A4071" i="2"/>
  <c r="A4070" i="2"/>
  <c r="A4069" i="2"/>
  <c r="A4068" i="2"/>
  <c r="A4067" i="2"/>
  <c r="A4066" i="2"/>
  <c r="A4065" i="2"/>
  <c r="A4064" i="2"/>
  <c r="A4063" i="2"/>
  <c r="A4062" i="2"/>
  <c r="A4061" i="2"/>
  <c r="A4060" i="2"/>
  <c r="A4059" i="2"/>
  <c r="A4058" i="2"/>
  <c r="A4057" i="2"/>
  <c r="A4056" i="2"/>
  <c r="A4055" i="2"/>
  <c r="A4054" i="2"/>
  <c r="A4053" i="2"/>
  <c r="A4052" i="2"/>
  <c r="A4051" i="2"/>
  <c r="A4050" i="2"/>
  <c r="A4049" i="2"/>
  <c r="A4048" i="2"/>
  <c r="A4047" i="2"/>
  <c r="A4046" i="2"/>
  <c r="A4045" i="2"/>
  <c r="A4044" i="2"/>
  <c r="A4043" i="2"/>
  <c r="A4042" i="2"/>
  <c r="A4041" i="2"/>
  <c r="A4040" i="2"/>
  <c r="A4039" i="2"/>
  <c r="A4038" i="2"/>
  <c r="A4037" i="2"/>
  <c r="A4036" i="2"/>
  <c r="A4035" i="2"/>
  <c r="A4034" i="2"/>
  <c r="A4033" i="2"/>
  <c r="A4032" i="2"/>
  <c r="A4031" i="2"/>
  <c r="A4030" i="2"/>
  <c r="A4029" i="2"/>
  <c r="A4028" i="2"/>
  <c r="A4027" i="2"/>
  <c r="A4026" i="2"/>
  <c r="A4025" i="2"/>
  <c r="A4024" i="2"/>
  <c r="A4023" i="2"/>
  <c r="A4022" i="2"/>
  <c r="A4021" i="2"/>
  <c r="A4020" i="2"/>
  <c r="A4019" i="2"/>
  <c r="A4018" i="2"/>
  <c r="A4017" i="2"/>
  <c r="A4016" i="2"/>
  <c r="A4015" i="2"/>
  <c r="A4014" i="2"/>
  <c r="A4013" i="2"/>
  <c r="A4012" i="2"/>
  <c r="A4011" i="2"/>
  <c r="A4010" i="2"/>
  <c r="A4009" i="2"/>
  <c r="A4008" i="2"/>
  <c r="A4007" i="2"/>
  <c r="A4006" i="2"/>
  <c r="A4005" i="2"/>
  <c r="A4004" i="2"/>
  <c r="A4003" i="2"/>
  <c r="A4002" i="2"/>
  <c r="A4001" i="2"/>
  <c r="A4000" i="2"/>
  <c r="A3999" i="2"/>
  <c r="A3998" i="2"/>
  <c r="A3997" i="2"/>
  <c r="A3996" i="2"/>
  <c r="A3995" i="2"/>
  <c r="A3994" i="2"/>
  <c r="A3993" i="2"/>
  <c r="A3992" i="2"/>
  <c r="A3991" i="2"/>
  <c r="A3990" i="2"/>
  <c r="A3989" i="2"/>
  <c r="A3988" i="2"/>
  <c r="A3987" i="2"/>
  <c r="A3986" i="2"/>
  <c r="A3985" i="2"/>
  <c r="A3984" i="2"/>
  <c r="A3983" i="2"/>
  <c r="A3982" i="2"/>
  <c r="A3981" i="2"/>
  <c r="A3980" i="2"/>
  <c r="A3979" i="2"/>
  <c r="A3978" i="2"/>
  <c r="A3977" i="2"/>
  <c r="A3976" i="2"/>
  <c r="A3975" i="2"/>
  <c r="A3974" i="2"/>
  <c r="A3973" i="2"/>
  <c r="A3972" i="2"/>
  <c r="A3971" i="2"/>
  <c r="A3970" i="2"/>
  <c r="A3969" i="2"/>
  <c r="A3968" i="2"/>
  <c r="A3967" i="2"/>
  <c r="A3966" i="2"/>
  <c r="A3965" i="2"/>
  <c r="A3964" i="2"/>
  <c r="A3963" i="2"/>
  <c r="A3962" i="2"/>
  <c r="A3961" i="2"/>
  <c r="A3960" i="2"/>
  <c r="A3959" i="2"/>
  <c r="A3958" i="2"/>
  <c r="A3957" i="2"/>
  <c r="A3956" i="2"/>
  <c r="A3955" i="2"/>
  <c r="A3954" i="2"/>
  <c r="A3953" i="2"/>
  <c r="A3952" i="2"/>
  <c r="A3951" i="2"/>
  <c r="A3950" i="2"/>
  <c r="A3949" i="2"/>
  <c r="A3948" i="2"/>
  <c r="A3947" i="2"/>
  <c r="A3946" i="2"/>
  <c r="A3945" i="2"/>
  <c r="A3944" i="2"/>
  <c r="A3943" i="2"/>
  <c r="A3942" i="2"/>
  <c r="A3941" i="2"/>
  <c r="A3940" i="2"/>
  <c r="A3939" i="2"/>
  <c r="A3938" i="2"/>
  <c r="A3937" i="2"/>
  <c r="A3936" i="2"/>
  <c r="A3935" i="2"/>
  <c r="A3934" i="2"/>
  <c r="A3933" i="2"/>
  <c r="A3932" i="2"/>
  <c r="A3931" i="2"/>
  <c r="A3930" i="2"/>
  <c r="A3929" i="2"/>
  <c r="A3928" i="2"/>
  <c r="A3927" i="2"/>
  <c r="A3926" i="2"/>
  <c r="A3925" i="2"/>
  <c r="A3924" i="2"/>
  <c r="A3923" i="2"/>
  <c r="A3922" i="2"/>
  <c r="A3921" i="2"/>
  <c r="A3920" i="2"/>
  <c r="A3919" i="2"/>
  <c r="A3918" i="2"/>
  <c r="A3917" i="2"/>
  <c r="A3916" i="2"/>
  <c r="A3915" i="2"/>
  <c r="A3914" i="2"/>
  <c r="A3913" i="2"/>
  <c r="A3912" i="2"/>
  <c r="A3911" i="2"/>
  <c r="A3910" i="2"/>
  <c r="A3909" i="2"/>
  <c r="A3908" i="2"/>
  <c r="A3907" i="2"/>
  <c r="A3906" i="2"/>
  <c r="A3905" i="2"/>
  <c r="A3904" i="2"/>
  <c r="A3903" i="2"/>
  <c r="A3902" i="2"/>
  <c r="A3901" i="2"/>
  <c r="A3900" i="2"/>
  <c r="A3899" i="2"/>
  <c r="A3898" i="2"/>
  <c r="A3897" i="2"/>
  <c r="A3896" i="2"/>
  <c r="A3895" i="2"/>
  <c r="A3894" i="2"/>
  <c r="A3893" i="2"/>
  <c r="A3892" i="2"/>
  <c r="A3891" i="2"/>
  <c r="A3890" i="2"/>
  <c r="A3889" i="2"/>
  <c r="A3888" i="2"/>
  <c r="A3887" i="2"/>
  <c r="A3886" i="2"/>
  <c r="A3885" i="2"/>
  <c r="A3884" i="2"/>
  <c r="A3883" i="2"/>
  <c r="A3882" i="2"/>
  <c r="A3881" i="2"/>
  <c r="A3880" i="2"/>
  <c r="A3879" i="2"/>
  <c r="A3878" i="2"/>
  <c r="A3877" i="2"/>
  <c r="A3876" i="2"/>
  <c r="A3875" i="2"/>
  <c r="A3874" i="2"/>
  <c r="A3873" i="2"/>
  <c r="A3872" i="2"/>
  <c r="A3871" i="2"/>
  <c r="A3870" i="2"/>
  <c r="A3869" i="2"/>
  <c r="A3868" i="2"/>
  <c r="A3867" i="2"/>
  <c r="A3866" i="2"/>
  <c r="A3865" i="2"/>
  <c r="A3864" i="2"/>
  <c r="A3863" i="2"/>
  <c r="A3862" i="2"/>
  <c r="A3861" i="2"/>
  <c r="A3860" i="2"/>
  <c r="A3859" i="2"/>
  <c r="A3858" i="2"/>
  <c r="A3857" i="2"/>
  <c r="A3856" i="2"/>
  <c r="A3855" i="2"/>
  <c r="A3854" i="2"/>
  <c r="A3853" i="2"/>
  <c r="A3852" i="2"/>
  <c r="A3851" i="2"/>
  <c r="A3850" i="2"/>
  <c r="A3849" i="2"/>
  <c r="A3848" i="2"/>
  <c r="A3847" i="2"/>
  <c r="A3846" i="2"/>
  <c r="A3845" i="2"/>
  <c r="A3844" i="2"/>
  <c r="A3843" i="2"/>
  <c r="A3842" i="2"/>
  <c r="A3841" i="2"/>
  <c r="A3840" i="2"/>
  <c r="A3839" i="2"/>
  <c r="A3838" i="2"/>
  <c r="A3837" i="2"/>
  <c r="A3836" i="2"/>
  <c r="A3835" i="2"/>
  <c r="A3834" i="2"/>
  <c r="A3833" i="2"/>
  <c r="A3832" i="2"/>
  <c r="A3831" i="2"/>
  <c r="A3830" i="2"/>
  <c r="A3829" i="2"/>
  <c r="A3828" i="2"/>
  <c r="A3827" i="2"/>
  <c r="A3826" i="2"/>
  <c r="A3825" i="2"/>
  <c r="A3824" i="2"/>
  <c r="A3823" i="2"/>
  <c r="A3822" i="2"/>
  <c r="A3821" i="2"/>
  <c r="A3820" i="2"/>
  <c r="A3819" i="2"/>
  <c r="A3818" i="2"/>
  <c r="A3817" i="2"/>
  <c r="A3816" i="2"/>
  <c r="A3815" i="2"/>
  <c r="A3814" i="2"/>
  <c r="A3813" i="2"/>
  <c r="A3812" i="2"/>
  <c r="A3811" i="2"/>
  <c r="A3810" i="2"/>
  <c r="A3809" i="2"/>
  <c r="A3808" i="2"/>
  <c r="A3807" i="2"/>
  <c r="A3806" i="2"/>
  <c r="A3805" i="2"/>
  <c r="A3804" i="2"/>
  <c r="A3803" i="2"/>
  <c r="A3802" i="2"/>
  <c r="A3801" i="2"/>
  <c r="A3800" i="2"/>
  <c r="A3799" i="2"/>
  <c r="A3798" i="2"/>
  <c r="A3797" i="2"/>
  <c r="A3796" i="2"/>
  <c r="A3795" i="2"/>
  <c r="A3794" i="2"/>
  <c r="A3793" i="2"/>
  <c r="A3792" i="2"/>
  <c r="A3791" i="2"/>
  <c r="A3790" i="2"/>
  <c r="A3789" i="2"/>
  <c r="A3788" i="2"/>
  <c r="A3787" i="2"/>
  <c r="A3786" i="2"/>
  <c r="A3785" i="2"/>
  <c r="A3784" i="2"/>
  <c r="A3783" i="2"/>
  <c r="A3782" i="2"/>
  <c r="A3781" i="2"/>
  <c r="A3780" i="2"/>
  <c r="A3779" i="2"/>
  <c r="A3778" i="2"/>
  <c r="A3777" i="2"/>
  <c r="A3776" i="2"/>
  <c r="A3775" i="2"/>
  <c r="A3774" i="2"/>
  <c r="A3773" i="2"/>
  <c r="A3772" i="2"/>
  <c r="A3771" i="2"/>
  <c r="A3770" i="2"/>
  <c r="A3769" i="2"/>
  <c r="A3768" i="2"/>
  <c r="A3767" i="2"/>
  <c r="A3766" i="2"/>
  <c r="A3765" i="2"/>
  <c r="A3764" i="2"/>
  <c r="A3763" i="2"/>
  <c r="A3762" i="2"/>
  <c r="A3761" i="2"/>
  <c r="A3760" i="2"/>
  <c r="A3759" i="2"/>
  <c r="A3758" i="2"/>
  <c r="A3757" i="2"/>
  <c r="A3756" i="2"/>
  <c r="A3755" i="2"/>
  <c r="A3754" i="2"/>
  <c r="A3753" i="2"/>
  <c r="A3752" i="2"/>
  <c r="A3751" i="2"/>
  <c r="A3750" i="2"/>
  <c r="A3749" i="2"/>
  <c r="A3748" i="2"/>
  <c r="A3747" i="2"/>
  <c r="A3746" i="2"/>
  <c r="A3745" i="2"/>
  <c r="A3744" i="2"/>
  <c r="A3743" i="2"/>
  <c r="A3742" i="2"/>
  <c r="A3741" i="2"/>
  <c r="A3740" i="2"/>
  <c r="A3739" i="2"/>
  <c r="A3738" i="2"/>
  <c r="A3737" i="2"/>
  <c r="A3736" i="2"/>
  <c r="A3735" i="2"/>
  <c r="A3734" i="2"/>
  <c r="A3733" i="2"/>
  <c r="A3732" i="2"/>
  <c r="A3731" i="2"/>
  <c r="A3730" i="2"/>
  <c r="A3729" i="2"/>
  <c r="A3728" i="2"/>
  <c r="A3727" i="2"/>
  <c r="A3726" i="2"/>
  <c r="A3725" i="2"/>
  <c r="A3724" i="2"/>
  <c r="A3723" i="2"/>
  <c r="A3722" i="2"/>
  <c r="A3721" i="2"/>
  <c r="A3720" i="2"/>
  <c r="A3719" i="2"/>
  <c r="A3718" i="2"/>
  <c r="A3717" i="2"/>
  <c r="A3716" i="2"/>
  <c r="A3715" i="2"/>
  <c r="A3714" i="2"/>
  <c r="A3713" i="2"/>
  <c r="A3712" i="2"/>
  <c r="A3711" i="2"/>
  <c r="A3710" i="2"/>
  <c r="A3709" i="2"/>
  <c r="A3708" i="2"/>
  <c r="A3707" i="2"/>
  <c r="A3706" i="2"/>
  <c r="A3705" i="2"/>
  <c r="A3704" i="2"/>
  <c r="A3703" i="2"/>
  <c r="A3702" i="2"/>
  <c r="A3701" i="2"/>
  <c r="A3700" i="2"/>
  <c r="A3699" i="2"/>
  <c r="A3698" i="2"/>
  <c r="A3697" i="2"/>
  <c r="A3696" i="2"/>
  <c r="A3695" i="2"/>
  <c r="A3694" i="2"/>
  <c r="A3693" i="2"/>
  <c r="A3692" i="2"/>
  <c r="A3691" i="2"/>
  <c r="A3690" i="2"/>
  <c r="A3689" i="2"/>
  <c r="A3688" i="2"/>
  <c r="A3687" i="2"/>
  <c r="A3686" i="2"/>
  <c r="A3685" i="2"/>
  <c r="A3684" i="2"/>
  <c r="A3683" i="2"/>
  <c r="A3682" i="2"/>
  <c r="A3681" i="2"/>
  <c r="A3680" i="2"/>
  <c r="A3679" i="2"/>
  <c r="A3678" i="2"/>
  <c r="A3677" i="2"/>
  <c r="A3676" i="2"/>
  <c r="A3675" i="2"/>
  <c r="A3674" i="2"/>
  <c r="A3673" i="2"/>
  <c r="A3672" i="2"/>
  <c r="A3671" i="2"/>
  <c r="A3670" i="2"/>
  <c r="A3669" i="2"/>
  <c r="A3668" i="2"/>
  <c r="A3667" i="2"/>
  <c r="A3666" i="2"/>
  <c r="A3665" i="2"/>
  <c r="A3664" i="2"/>
  <c r="A3663" i="2"/>
  <c r="A3662" i="2"/>
  <c r="A3661" i="2"/>
  <c r="A3660" i="2"/>
  <c r="A3659" i="2"/>
  <c r="A3658" i="2"/>
  <c r="A3657" i="2"/>
  <c r="A3656" i="2"/>
  <c r="A3655" i="2"/>
  <c r="A3654" i="2"/>
  <c r="A3653" i="2"/>
  <c r="A3652" i="2"/>
  <c r="A3651" i="2"/>
  <c r="A3650" i="2"/>
  <c r="A3649" i="2"/>
  <c r="A3648" i="2"/>
  <c r="A3647" i="2"/>
  <c r="A3646" i="2"/>
  <c r="A3645" i="2"/>
  <c r="A3644" i="2"/>
  <c r="A3643" i="2"/>
  <c r="A3642" i="2"/>
  <c r="A3641" i="2"/>
  <c r="A3640" i="2"/>
  <c r="A3639" i="2"/>
  <c r="A3638" i="2"/>
  <c r="A3637" i="2"/>
  <c r="A3636" i="2"/>
  <c r="A3635" i="2"/>
  <c r="A3634" i="2"/>
  <c r="A3633" i="2"/>
  <c r="A3632" i="2"/>
  <c r="A3631" i="2"/>
  <c r="A3630" i="2"/>
  <c r="A3629" i="2"/>
  <c r="A3628" i="2"/>
  <c r="A3627" i="2"/>
  <c r="A3626" i="2"/>
  <c r="A3625" i="2"/>
  <c r="A3624" i="2"/>
  <c r="A3623" i="2"/>
  <c r="A3622" i="2"/>
  <c r="A3621" i="2"/>
  <c r="A3620" i="2"/>
  <c r="A3619" i="2"/>
  <c r="A3618" i="2"/>
  <c r="A3617" i="2"/>
  <c r="A3616" i="2"/>
  <c r="A3615" i="2"/>
  <c r="A3614" i="2"/>
  <c r="A3613" i="2"/>
  <c r="A3612" i="2"/>
  <c r="A3611" i="2"/>
  <c r="A3610" i="2"/>
  <c r="A3609" i="2"/>
  <c r="A3608" i="2"/>
  <c r="A3607" i="2"/>
  <c r="A3606" i="2"/>
  <c r="A3605" i="2"/>
  <c r="A3604" i="2"/>
  <c r="A3603" i="2"/>
  <c r="A3602" i="2"/>
  <c r="A3601" i="2"/>
  <c r="A3600" i="2"/>
  <c r="A3599" i="2"/>
  <c r="A3598" i="2"/>
  <c r="A3597" i="2"/>
  <c r="A3596" i="2"/>
  <c r="A3595" i="2"/>
  <c r="A3594" i="2"/>
  <c r="A3593" i="2"/>
  <c r="A3592" i="2"/>
  <c r="A3591" i="2"/>
  <c r="A3590" i="2"/>
  <c r="A3589" i="2"/>
  <c r="A3588" i="2"/>
  <c r="A3587" i="2"/>
  <c r="A3586" i="2"/>
  <c r="A3585" i="2"/>
  <c r="A3584" i="2"/>
  <c r="A3583" i="2"/>
  <c r="A3582" i="2"/>
  <c r="A3581" i="2"/>
  <c r="A3580" i="2"/>
  <c r="A3579" i="2"/>
  <c r="A3578" i="2"/>
  <c r="A3577" i="2"/>
  <c r="A3576" i="2"/>
  <c r="A3575" i="2"/>
  <c r="A3574" i="2"/>
  <c r="A3573" i="2"/>
  <c r="A3572" i="2"/>
  <c r="A3571" i="2"/>
  <c r="A3570" i="2"/>
  <c r="A3569" i="2"/>
  <c r="A3568" i="2"/>
  <c r="A3567" i="2"/>
  <c r="A3566" i="2"/>
  <c r="A3565" i="2"/>
  <c r="A3564" i="2"/>
  <c r="A3563" i="2"/>
  <c r="A3562" i="2"/>
  <c r="A3561" i="2"/>
  <c r="A3560" i="2"/>
  <c r="A3559" i="2"/>
  <c r="A3558" i="2"/>
  <c r="A3557" i="2"/>
  <c r="A3556" i="2"/>
  <c r="A3555" i="2"/>
  <c r="A3554" i="2"/>
  <c r="A3553" i="2"/>
  <c r="A3552" i="2"/>
  <c r="A3551" i="2"/>
  <c r="A3550" i="2"/>
  <c r="A3549" i="2"/>
  <c r="A3548" i="2"/>
  <c r="A3547" i="2"/>
  <c r="A3546" i="2"/>
  <c r="A3545" i="2"/>
  <c r="A3544" i="2"/>
  <c r="A3543" i="2"/>
  <c r="A3542" i="2"/>
  <c r="A3541" i="2"/>
  <c r="A3540" i="2"/>
  <c r="A3539" i="2"/>
  <c r="A3538" i="2"/>
  <c r="A3537" i="2"/>
  <c r="A3536" i="2"/>
  <c r="A3535" i="2"/>
  <c r="A3534" i="2"/>
  <c r="A3533" i="2"/>
  <c r="A3532" i="2"/>
  <c r="A3531" i="2"/>
  <c r="A3530" i="2"/>
  <c r="A3529" i="2"/>
  <c r="A3528" i="2"/>
  <c r="A3527" i="2"/>
  <c r="A3526" i="2"/>
  <c r="A3525" i="2"/>
  <c r="A3524" i="2"/>
  <c r="A3523" i="2"/>
  <c r="A3522" i="2"/>
  <c r="A3521" i="2"/>
  <c r="A3520" i="2"/>
  <c r="A3519" i="2"/>
  <c r="A3518" i="2"/>
  <c r="A3517" i="2"/>
  <c r="A3516" i="2"/>
  <c r="A3515" i="2"/>
  <c r="A3514" i="2"/>
  <c r="A3513" i="2"/>
  <c r="A3512" i="2"/>
  <c r="A3511" i="2"/>
  <c r="A3510" i="2"/>
  <c r="A3509" i="2"/>
  <c r="A3508" i="2"/>
  <c r="A3507" i="2"/>
  <c r="A3506" i="2"/>
  <c r="A3505" i="2"/>
  <c r="A3504" i="2"/>
  <c r="A3503" i="2"/>
  <c r="A3502" i="2"/>
  <c r="A3501" i="2"/>
  <c r="A3500" i="2"/>
  <c r="A3499" i="2"/>
  <c r="A3498" i="2"/>
  <c r="A3497" i="2"/>
  <c r="A3496" i="2"/>
  <c r="A3495" i="2"/>
  <c r="A3494" i="2"/>
  <c r="A3493" i="2"/>
  <c r="A3492" i="2"/>
  <c r="A3491" i="2"/>
  <c r="A3490" i="2"/>
  <c r="A3489" i="2"/>
  <c r="A3488" i="2"/>
  <c r="A3487" i="2"/>
  <c r="A3486" i="2"/>
  <c r="A3485" i="2"/>
  <c r="A3484" i="2"/>
  <c r="A3483" i="2"/>
  <c r="A3482" i="2"/>
  <c r="A3481" i="2"/>
  <c r="A3480" i="2"/>
  <c r="A3479" i="2"/>
  <c r="A3478" i="2"/>
  <c r="A3477" i="2"/>
  <c r="A3476" i="2"/>
  <c r="A3475" i="2"/>
  <c r="A3474" i="2"/>
  <c r="A3473" i="2"/>
  <c r="A3472" i="2"/>
  <c r="A3471" i="2"/>
  <c r="A3470" i="2"/>
  <c r="A3469" i="2"/>
  <c r="A3468" i="2"/>
  <c r="A3467" i="2"/>
  <c r="A3466" i="2"/>
  <c r="A3465" i="2"/>
  <c r="A3464" i="2"/>
  <c r="A3463" i="2"/>
  <c r="A3462" i="2"/>
  <c r="A3461" i="2"/>
  <c r="A3460" i="2"/>
  <c r="A3459" i="2"/>
  <c r="A3458" i="2"/>
  <c r="A3457" i="2"/>
  <c r="A3456" i="2"/>
  <c r="A3455" i="2"/>
  <c r="A3454" i="2"/>
  <c r="A3453" i="2"/>
  <c r="A3452" i="2"/>
  <c r="A3451" i="2"/>
  <c r="A3450" i="2"/>
  <c r="A3449" i="2"/>
  <c r="A3448" i="2"/>
  <c r="A3447" i="2"/>
  <c r="A3446" i="2"/>
  <c r="A3445" i="2"/>
  <c r="A3444" i="2"/>
  <c r="A3443" i="2"/>
  <c r="A3442" i="2"/>
  <c r="A3441" i="2"/>
  <c r="A3440" i="2"/>
  <c r="A3439" i="2"/>
  <c r="A3438" i="2"/>
  <c r="A3437" i="2"/>
  <c r="A3436" i="2"/>
  <c r="A3435" i="2"/>
  <c r="A3434" i="2"/>
  <c r="A3433" i="2"/>
  <c r="A3432" i="2"/>
  <c r="A3431" i="2"/>
  <c r="A3430" i="2"/>
  <c r="A3429" i="2"/>
  <c r="A3428" i="2"/>
  <c r="A3427" i="2"/>
  <c r="A3426" i="2"/>
  <c r="A3425" i="2"/>
  <c r="A3424" i="2"/>
  <c r="A3423" i="2"/>
  <c r="A3422" i="2"/>
  <c r="A3421" i="2"/>
  <c r="A3420" i="2"/>
  <c r="A3419" i="2"/>
  <c r="A3418" i="2"/>
  <c r="A3417" i="2"/>
  <c r="A3416" i="2"/>
  <c r="A3415" i="2"/>
  <c r="A3414" i="2"/>
  <c r="A3413" i="2"/>
  <c r="A3412" i="2"/>
  <c r="A3411" i="2"/>
  <c r="A3410" i="2"/>
  <c r="A3409" i="2"/>
  <c r="A3408" i="2"/>
  <c r="A3407" i="2"/>
  <c r="A3406" i="2"/>
  <c r="A3405" i="2"/>
  <c r="A3404" i="2"/>
  <c r="A3403" i="2"/>
  <c r="A3402" i="2"/>
  <c r="A3401" i="2"/>
  <c r="A3400" i="2"/>
  <c r="A3399" i="2"/>
  <c r="A3398" i="2"/>
  <c r="A3397" i="2"/>
  <c r="A3396" i="2"/>
  <c r="A3395" i="2"/>
  <c r="A3394" i="2"/>
  <c r="A3393" i="2"/>
  <c r="A3392" i="2"/>
  <c r="A3391" i="2"/>
  <c r="A3390" i="2"/>
  <c r="A3389" i="2"/>
  <c r="A3388" i="2"/>
  <c r="A3387" i="2"/>
  <c r="A3386" i="2"/>
  <c r="A3385" i="2"/>
  <c r="A3384" i="2"/>
  <c r="A3383" i="2"/>
  <c r="A3382" i="2"/>
  <c r="A3381" i="2"/>
  <c r="A3380" i="2"/>
  <c r="A3379" i="2"/>
  <c r="A3378" i="2"/>
  <c r="A3377" i="2"/>
  <c r="A3376" i="2"/>
  <c r="A3375" i="2"/>
  <c r="A3374" i="2"/>
  <c r="A3373" i="2"/>
  <c r="A3372" i="2"/>
  <c r="A3371" i="2"/>
  <c r="A3370" i="2"/>
  <c r="A3369" i="2"/>
  <c r="A3368" i="2"/>
  <c r="A3367" i="2"/>
  <c r="A3366" i="2"/>
  <c r="A3365" i="2"/>
  <c r="A3364" i="2"/>
  <c r="A3363" i="2"/>
  <c r="A3362" i="2"/>
  <c r="A3361" i="2"/>
  <c r="A3360" i="2"/>
  <c r="A3359" i="2"/>
  <c r="A3358" i="2"/>
  <c r="A3357" i="2"/>
  <c r="A3356" i="2"/>
  <c r="A3355" i="2"/>
  <c r="A3354" i="2"/>
  <c r="A3353" i="2"/>
  <c r="A3352" i="2"/>
  <c r="A3351" i="2"/>
  <c r="A3350" i="2"/>
  <c r="A3349" i="2"/>
  <c r="A3348" i="2"/>
  <c r="A3347" i="2"/>
  <c r="A3346" i="2"/>
  <c r="A3345" i="2"/>
  <c r="A3344" i="2"/>
  <c r="A3343" i="2"/>
  <c r="A3342" i="2"/>
  <c r="A3341" i="2"/>
  <c r="A3340" i="2"/>
  <c r="A3339" i="2"/>
  <c r="A3338" i="2"/>
  <c r="A3337" i="2"/>
  <c r="A3336" i="2"/>
  <c r="A3335" i="2"/>
  <c r="A3334" i="2"/>
  <c r="A3333" i="2"/>
  <c r="A3332" i="2"/>
  <c r="A3331" i="2"/>
  <c r="A3330" i="2"/>
  <c r="A3329" i="2"/>
  <c r="A3328" i="2"/>
  <c r="A3327" i="2"/>
  <c r="A3326" i="2"/>
  <c r="A3325" i="2"/>
  <c r="A3324" i="2"/>
  <c r="A3323" i="2"/>
  <c r="A3322" i="2"/>
  <c r="A3321" i="2"/>
  <c r="A3320" i="2"/>
  <c r="A3319" i="2"/>
  <c r="A3318" i="2"/>
  <c r="A3317" i="2"/>
  <c r="A3316" i="2"/>
  <c r="A3315" i="2"/>
  <c r="A3314" i="2"/>
  <c r="A3313" i="2"/>
  <c r="A3312" i="2"/>
  <c r="A3311" i="2"/>
  <c r="A3310" i="2"/>
  <c r="A3309" i="2"/>
  <c r="A3308" i="2"/>
  <c r="A3307" i="2"/>
  <c r="A3306" i="2"/>
  <c r="A3305" i="2"/>
  <c r="A3304" i="2"/>
  <c r="A3303" i="2"/>
  <c r="A3302" i="2"/>
  <c r="A3301" i="2"/>
  <c r="A3300" i="2"/>
  <c r="A3299" i="2"/>
  <c r="A3298" i="2"/>
  <c r="A3297" i="2"/>
  <c r="A3296" i="2"/>
  <c r="A3295" i="2"/>
  <c r="A3294" i="2"/>
  <c r="A3293" i="2"/>
  <c r="A3292" i="2"/>
  <c r="A3291" i="2"/>
  <c r="A3290" i="2"/>
  <c r="A3289" i="2"/>
  <c r="A3288" i="2"/>
  <c r="A3287" i="2"/>
  <c r="A3286" i="2"/>
  <c r="A3285" i="2"/>
  <c r="A3284" i="2"/>
  <c r="A3283" i="2"/>
  <c r="A3282" i="2"/>
  <c r="A3281" i="2"/>
  <c r="A3280" i="2"/>
  <c r="A3279" i="2"/>
  <c r="A3278" i="2"/>
  <c r="A3277" i="2"/>
  <c r="A3276" i="2"/>
  <c r="A3275" i="2"/>
  <c r="A3274" i="2"/>
  <c r="A3273" i="2"/>
  <c r="A3272" i="2"/>
  <c r="A3271" i="2"/>
  <c r="A3270" i="2"/>
  <c r="A3269" i="2"/>
  <c r="A3268" i="2"/>
  <c r="A3267" i="2"/>
  <c r="A3266" i="2"/>
  <c r="A3265" i="2"/>
  <c r="A3264" i="2"/>
  <c r="A3263" i="2"/>
  <c r="A3262" i="2"/>
  <c r="A3261" i="2"/>
  <c r="A3260" i="2"/>
  <c r="A3259" i="2"/>
  <c r="A3258" i="2"/>
  <c r="A3257" i="2"/>
  <c r="A3256" i="2"/>
  <c r="A3255" i="2"/>
  <c r="A3254" i="2"/>
  <c r="A3253" i="2"/>
  <c r="A3252" i="2"/>
  <c r="A3251" i="2"/>
  <c r="A3250" i="2"/>
  <c r="A3249" i="2"/>
  <c r="A3248" i="2"/>
  <c r="A3247" i="2"/>
  <c r="A3246" i="2"/>
  <c r="A3245" i="2"/>
  <c r="A3244" i="2"/>
  <c r="A3243" i="2"/>
  <c r="A3242" i="2"/>
  <c r="A3241" i="2"/>
  <c r="A3240" i="2"/>
  <c r="A3239" i="2"/>
  <c r="A3238" i="2"/>
  <c r="A3237" i="2"/>
  <c r="A3236" i="2"/>
  <c r="A3235" i="2"/>
  <c r="A3234" i="2"/>
  <c r="A3233" i="2"/>
  <c r="A3232" i="2"/>
  <c r="A3231" i="2"/>
  <c r="A3230" i="2"/>
  <c r="A3229" i="2"/>
  <c r="A3228" i="2"/>
  <c r="A3227" i="2"/>
  <c r="A3226" i="2"/>
  <c r="A3225" i="2"/>
  <c r="A3224" i="2"/>
  <c r="A3223" i="2"/>
  <c r="A3222" i="2"/>
  <c r="A3221" i="2"/>
  <c r="A3220" i="2"/>
  <c r="A3219" i="2"/>
  <c r="A3218" i="2"/>
  <c r="A3217" i="2"/>
  <c r="A3216" i="2"/>
  <c r="A3215" i="2"/>
  <c r="A3214" i="2"/>
  <c r="A3213" i="2"/>
  <c r="A3212" i="2"/>
  <c r="A3211" i="2"/>
  <c r="A3210" i="2"/>
  <c r="A3209" i="2"/>
  <c r="A3208" i="2"/>
  <c r="A3207" i="2"/>
  <c r="A3206" i="2"/>
  <c r="A3205" i="2"/>
  <c r="A3204" i="2"/>
  <c r="A3203" i="2"/>
  <c r="A3202" i="2"/>
  <c r="A3201" i="2"/>
  <c r="A3200" i="2"/>
  <c r="A3199" i="2"/>
  <c r="A3198" i="2"/>
  <c r="A3197" i="2"/>
  <c r="A3196" i="2"/>
  <c r="A3195" i="2"/>
  <c r="A3194" i="2"/>
  <c r="A3193" i="2"/>
  <c r="A3192" i="2"/>
  <c r="A3191" i="2"/>
  <c r="A3190" i="2"/>
  <c r="A3189" i="2"/>
  <c r="A3188" i="2"/>
  <c r="A3187" i="2"/>
  <c r="A3186" i="2"/>
  <c r="A3185" i="2"/>
  <c r="A3184" i="2"/>
  <c r="A3183" i="2"/>
  <c r="A3182" i="2"/>
  <c r="A3181" i="2"/>
  <c r="A3180" i="2"/>
  <c r="A3179" i="2"/>
  <c r="A3178" i="2"/>
  <c r="A3177" i="2"/>
  <c r="A3176" i="2"/>
  <c r="A3175" i="2"/>
  <c r="A3174" i="2"/>
  <c r="A3173" i="2"/>
  <c r="A3172" i="2"/>
  <c r="A3171" i="2"/>
  <c r="A3170" i="2"/>
  <c r="A3169" i="2"/>
  <c r="A3168" i="2"/>
  <c r="A3167" i="2"/>
  <c r="A3166" i="2"/>
  <c r="A3165" i="2"/>
  <c r="A3164" i="2"/>
  <c r="A3163" i="2"/>
  <c r="A3162" i="2"/>
  <c r="A3161" i="2"/>
  <c r="A3160" i="2"/>
  <c r="A3159" i="2"/>
  <c r="A3158" i="2"/>
  <c r="A3157" i="2"/>
  <c r="A3156" i="2"/>
  <c r="A3155" i="2"/>
  <c r="A3154" i="2"/>
  <c r="A3153" i="2"/>
  <c r="A3152" i="2"/>
  <c r="A3151" i="2"/>
  <c r="A3150" i="2"/>
  <c r="A3149" i="2"/>
  <c r="A3148" i="2"/>
  <c r="A3147" i="2"/>
  <c r="A3146" i="2"/>
  <c r="A3145" i="2"/>
  <c r="A3144" i="2"/>
  <c r="A3143" i="2"/>
  <c r="A3142" i="2"/>
  <c r="A3141" i="2"/>
  <c r="A3140" i="2"/>
  <c r="A3139" i="2"/>
  <c r="A3138" i="2"/>
  <c r="A3137" i="2"/>
  <c r="A3136" i="2"/>
  <c r="A3135" i="2"/>
  <c r="A3134" i="2"/>
  <c r="A3133" i="2"/>
  <c r="A3132" i="2"/>
  <c r="A3131" i="2"/>
  <c r="A3130" i="2"/>
  <c r="A3129" i="2"/>
  <c r="A3128" i="2"/>
  <c r="A3127" i="2"/>
  <c r="A3126" i="2"/>
  <c r="A3125" i="2"/>
  <c r="A3124" i="2"/>
  <c r="A3123" i="2"/>
  <c r="A3122" i="2"/>
  <c r="A3121" i="2"/>
  <c r="A3120" i="2"/>
  <c r="A3119" i="2"/>
  <c r="A3118" i="2"/>
  <c r="A3117" i="2"/>
  <c r="A3116" i="2"/>
  <c r="A3115" i="2"/>
  <c r="A3114" i="2"/>
  <c r="A3113" i="2"/>
  <c r="A3112" i="2"/>
  <c r="A3111" i="2"/>
  <c r="A3110" i="2"/>
  <c r="A3109" i="2"/>
  <c r="A3108" i="2"/>
  <c r="A3107" i="2"/>
  <c r="A3106" i="2"/>
  <c r="A3105" i="2"/>
  <c r="A3104" i="2"/>
  <c r="A3103" i="2"/>
  <c r="A3102" i="2"/>
  <c r="A3101" i="2"/>
  <c r="A3100" i="2"/>
  <c r="A3099" i="2"/>
  <c r="A3098" i="2"/>
  <c r="A3097" i="2"/>
  <c r="A3096" i="2"/>
  <c r="A3095" i="2"/>
  <c r="A3094" i="2"/>
  <c r="A3093" i="2"/>
  <c r="A3092" i="2"/>
  <c r="A3091" i="2"/>
  <c r="A3090" i="2"/>
  <c r="A3089" i="2"/>
  <c r="A3088" i="2"/>
  <c r="A3087" i="2"/>
  <c r="A3086" i="2"/>
  <c r="A3085" i="2"/>
  <c r="A3084" i="2"/>
  <c r="A3083" i="2"/>
  <c r="A3082" i="2"/>
  <c r="A3081" i="2"/>
  <c r="A3080" i="2"/>
  <c r="A3079" i="2"/>
  <c r="A3078" i="2"/>
  <c r="A3077" i="2"/>
  <c r="A3076" i="2"/>
  <c r="A3075" i="2"/>
  <c r="A3074" i="2"/>
  <c r="A3073" i="2"/>
  <c r="A3072" i="2"/>
  <c r="A3071" i="2"/>
  <c r="A3070" i="2"/>
  <c r="A3069" i="2"/>
  <c r="A3068" i="2"/>
  <c r="A3067" i="2"/>
  <c r="A3066" i="2"/>
  <c r="A3065" i="2"/>
  <c r="A3064" i="2"/>
  <c r="A3063" i="2"/>
  <c r="A3062" i="2"/>
  <c r="A3061" i="2"/>
  <c r="A3060" i="2"/>
  <c r="A3059" i="2"/>
  <c r="A3058" i="2"/>
  <c r="A3057" i="2"/>
  <c r="A3056" i="2"/>
  <c r="A3055" i="2"/>
  <c r="A3054" i="2"/>
  <c r="A3053" i="2"/>
  <c r="A3052" i="2"/>
  <c r="A3051" i="2"/>
  <c r="A3050" i="2"/>
  <c r="A3049" i="2"/>
  <c r="A3048" i="2"/>
  <c r="A3047" i="2"/>
  <c r="A3046" i="2"/>
  <c r="A3045" i="2"/>
  <c r="A3044" i="2"/>
  <c r="A3043" i="2"/>
  <c r="A3042" i="2"/>
  <c r="A3041" i="2"/>
  <c r="A3040" i="2"/>
  <c r="A3039" i="2"/>
  <c r="A3038" i="2"/>
  <c r="A3037" i="2"/>
  <c r="A3036" i="2"/>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A2" i="2"/>
  <c r="H2" i="1" l="1"/>
  <c r="H3" i="1" s="1"/>
  <c r="H4" i="1" s="1"/>
  <c r="H5" i="1" s="1"/>
  <c r="H6" i="1" s="1"/>
  <c r="H7" i="1" s="1"/>
  <c r="H8" i="1" s="1"/>
  <c r="H9" i="1" s="1"/>
  <c r="H10" i="1" s="1"/>
  <c r="H11" i="1" s="1"/>
  <c r="H12" i="1" s="1"/>
  <c r="H13" i="1" s="1"/>
  <c r="H14" i="1" s="1"/>
  <c r="H15" i="1" s="1"/>
  <c r="H16" i="1" s="1"/>
  <c r="H17" i="1" s="1"/>
  <c r="H18" i="1" s="1"/>
  <c r="H19" i="1" s="1"/>
  <c r="H20" i="1" s="1"/>
  <c r="H21" i="1" s="1"/>
  <c r="H22" i="1" s="1"/>
  <c r="H23" i="1" s="1"/>
  <c r="H24" i="1" s="1"/>
  <c r="H25" i="1" s="1"/>
  <c r="H26" i="1" s="1"/>
  <c r="H27" i="1" s="1"/>
  <c r="H28" i="1" s="1"/>
  <c r="H29" i="1" s="1"/>
  <c r="H30" i="1" s="1"/>
  <c r="H31" i="1" s="1"/>
  <c r="H32" i="1" s="1"/>
  <c r="H33" i="1" s="1"/>
  <c r="H34" i="1" s="1"/>
  <c r="H35" i="1" s="1"/>
  <c r="H36" i="1" s="1"/>
  <c r="H37" i="1" s="1"/>
  <c r="H38" i="1" s="1"/>
  <c r="H39" i="1" s="1"/>
  <c r="H40" i="1" s="1"/>
  <c r="H41" i="1" s="1"/>
  <c r="H42" i="1" s="1"/>
  <c r="H43" i="1" s="1"/>
  <c r="H44" i="1" s="1"/>
  <c r="H45" i="1" s="1"/>
  <c r="H46" i="1" s="1"/>
  <c r="H47" i="1" s="1"/>
  <c r="H48" i="1" s="1"/>
  <c r="H49" i="1" s="1"/>
  <c r="H50" i="1" s="1"/>
  <c r="H51" i="1" s="1"/>
  <c r="H52" i="1" s="1"/>
  <c r="H53" i="1" s="1"/>
  <c r="H54" i="1" s="1"/>
  <c r="H55" i="1" s="1"/>
  <c r="H56" i="1" s="1"/>
  <c r="H57" i="1" s="1"/>
  <c r="H58" i="1" s="1"/>
  <c r="H59" i="1" s="1"/>
  <c r="H60" i="1" s="1"/>
  <c r="H61" i="1" s="1"/>
  <c r="H62" i="1" s="1"/>
  <c r="H63" i="1" s="1"/>
  <c r="H64" i="1" s="1"/>
  <c r="H65" i="1" s="1"/>
  <c r="H66" i="1" s="1"/>
  <c r="H67" i="1" s="1"/>
  <c r="H68" i="1" s="1"/>
  <c r="H69" i="1" s="1"/>
  <c r="H70" i="1" s="1"/>
  <c r="H71" i="1" s="1"/>
  <c r="H72" i="1" s="1"/>
  <c r="H73" i="1" s="1"/>
  <c r="H74" i="1" s="1"/>
  <c r="H75" i="1" s="1"/>
  <c r="H76" i="1" s="1"/>
  <c r="H77" i="1" s="1"/>
  <c r="H78" i="1" s="1"/>
  <c r="H79" i="1" s="1"/>
  <c r="H80" i="1" s="1"/>
  <c r="H81" i="1" s="1"/>
  <c r="H82" i="1" s="1"/>
  <c r="H83" i="1" s="1"/>
  <c r="H84" i="1" s="1"/>
  <c r="H85" i="1" s="1"/>
  <c r="H86" i="1" s="1"/>
  <c r="H87" i="1" s="1"/>
  <c r="H88" i="1" s="1"/>
  <c r="H89" i="1" s="1"/>
  <c r="H90" i="1" s="1"/>
  <c r="H91" i="1" s="1"/>
  <c r="H92" i="1" s="1"/>
  <c r="H93" i="1" s="1"/>
  <c r="H94" i="1" s="1"/>
  <c r="H95" i="1" s="1"/>
  <c r="H96" i="1" s="1"/>
  <c r="H97" i="1" s="1"/>
  <c r="H98" i="1" s="1"/>
  <c r="H99" i="1" s="1"/>
  <c r="H100" i="1" s="1"/>
  <c r="H101" i="1" s="1"/>
  <c r="H102" i="1" s="1"/>
  <c r="H103" i="1" s="1"/>
  <c r="H104" i="1" s="1"/>
  <c r="H105" i="1" s="1"/>
  <c r="H106" i="1" s="1"/>
  <c r="H107" i="1" s="1"/>
  <c r="H108" i="1" s="1"/>
  <c r="H109" i="1" s="1"/>
  <c r="H110" i="1" s="1"/>
  <c r="H111" i="1" s="1"/>
  <c r="H112" i="1" s="1"/>
  <c r="H113" i="1" s="1"/>
  <c r="H114" i="1" s="1"/>
  <c r="H115" i="1" s="1"/>
  <c r="H116" i="1" s="1"/>
  <c r="H117" i="1" s="1"/>
  <c r="H118" i="1" s="1"/>
  <c r="H119" i="1" s="1"/>
  <c r="H120" i="1" s="1"/>
  <c r="H121" i="1" s="1"/>
  <c r="H122" i="1" s="1"/>
  <c r="H123" i="1" s="1"/>
  <c r="H124" i="1" s="1"/>
  <c r="H125" i="1" s="1"/>
  <c r="H126" i="1" s="1"/>
  <c r="H127" i="1" s="1"/>
  <c r="H128" i="1" s="1"/>
  <c r="H129" i="1" s="1"/>
  <c r="H130" i="1" s="1"/>
  <c r="H131" i="1" s="1"/>
  <c r="H132" i="1" s="1"/>
  <c r="H133" i="1" s="1"/>
  <c r="H134" i="1" s="1"/>
  <c r="H135" i="1" s="1"/>
  <c r="H136" i="1" s="1"/>
  <c r="H137" i="1" s="1"/>
  <c r="H138" i="1" s="1"/>
  <c r="H139" i="1" s="1"/>
  <c r="H140" i="1" s="1"/>
  <c r="H141" i="1" s="1"/>
  <c r="H142" i="1" s="1"/>
  <c r="H143" i="1" s="1"/>
  <c r="H144" i="1" s="1"/>
  <c r="H145" i="1" s="1"/>
  <c r="H146" i="1" s="1"/>
  <c r="H147" i="1" s="1"/>
  <c r="H148" i="1" s="1"/>
  <c r="H149" i="1" s="1"/>
  <c r="H150" i="1" s="1"/>
  <c r="H151" i="1" s="1"/>
  <c r="H152" i="1" s="1"/>
  <c r="H153" i="1" s="1"/>
  <c r="H154" i="1" s="1"/>
  <c r="H155" i="1" s="1"/>
  <c r="H156" i="1" s="1"/>
  <c r="H157" i="1" s="1"/>
  <c r="H158" i="1" s="1"/>
  <c r="H159" i="1" s="1"/>
  <c r="H160" i="1" s="1"/>
  <c r="H161" i="1" s="1"/>
  <c r="H162" i="1" s="1"/>
  <c r="H163" i="1" s="1"/>
  <c r="H164" i="1" s="1"/>
  <c r="H165" i="1" s="1"/>
  <c r="H166" i="1" s="1"/>
  <c r="H167" i="1" s="1"/>
  <c r="H168" i="1" s="1"/>
  <c r="H169" i="1" s="1"/>
  <c r="H170" i="1" s="1"/>
  <c r="H171" i="1" s="1"/>
  <c r="H172" i="1" s="1"/>
  <c r="H173" i="1" s="1"/>
  <c r="H174" i="1" s="1"/>
  <c r="H175" i="1" s="1"/>
  <c r="H176" i="1" s="1"/>
  <c r="H177" i="1" s="1"/>
  <c r="H178" i="1" s="1"/>
  <c r="H179" i="1" s="1"/>
  <c r="H180" i="1" s="1"/>
  <c r="H181" i="1" s="1"/>
  <c r="H182" i="1" s="1"/>
  <c r="H183" i="1" s="1"/>
  <c r="H184" i="1" s="1"/>
  <c r="H185" i="1" s="1"/>
  <c r="H186" i="1" s="1"/>
  <c r="H187" i="1" s="1"/>
  <c r="H188" i="1" s="1"/>
  <c r="H189" i="1" s="1"/>
  <c r="H190" i="1" s="1"/>
  <c r="H191" i="1" s="1"/>
  <c r="H192" i="1" s="1"/>
  <c r="H193" i="1" s="1"/>
  <c r="H194" i="1" s="1"/>
  <c r="H195" i="1" s="1"/>
  <c r="H196" i="1" s="1"/>
  <c r="H197" i="1" s="1"/>
  <c r="H198" i="1" s="1"/>
  <c r="H199" i="1" s="1"/>
  <c r="H200" i="1" s="1"/>
  <c r="H201" i="1" s="1"/>
  <c r="H202" i="1" s="1"/>
  <c r="H203" i="1" s="1"/>
  <c r="H204" i="1" s="1"/>
  <c r="H205" i="1" s="1"/>
  <c r="H206" i="1" s="1"/>
  <c r="H207" i="1" s="1"/>
  <c r="H208" i="1" s="1"/>
  <c r="H209" i="1" s="1"/>
  <c r="H210" i="1" s="1"/>
  <c r="H211" i="1" s="1"/>
  <c r="H212" i="1" s="1"/>
  <c r="H213" i="1" s="1"/>
  <c r="H214" i="1" s="1"/>
  <c r="H215" i="1" s="1"/>
  <c r="H216" i="1" s="1"/>
  <c r="H217" i="1" s="1"/>
  <c r="H218" i="1" s="1"/>
  <c r="H219" i="1" s="1"/>
  <c r="H220" i="1" s="1"/>
  <c r="H221" i="1" s="1"/>
  <c r="H222" i="1" s="1"/>
  <c r="H223" i="1" s="1"/>
  <c r="H224" i="1" s="1"/>
  <c r="H225" i="1" s="1"/>
  <c r="H226" i="1" s="1"/>
  <c r="H227" i="1" s="1"/>
  <c r="H228" i="1" s="1"/>
  <c r="H229" i="1" s="1"/>
  <c r="H230" i="1" s="1"/>
  <c r="H231" i="1" s="1"/>
  <c r="H232" i="1" s="1"/>
  <c r="H233" i="1" s="1"/>
  <c r="H234" i="1" s="1"/>
  <c r="H235" i="1" s="1"/>
  <c r="H236" i="1" s="1"/>
  <c r="H237" i="1" s="1"/>
  <c r="H238" i="1" s="1"/>
  <c r="H239" i="1" s="1"/>
  <c r="H240" i="1" s="1"/>
  <c r="H241" i="1" s="1"/>
  <c r="H242" i="1" s="1"/>
  <c r="H243" i="1" s="1"/>
  <c r="H244" i="1" s="1"/>
  <c r="H245" i="1" s="1"/>
  <c r="H246" i="1" s="1"/>
  <c r="H247" i="1" s="1"/>
  <c r="H248" i="1" s="1"/>
  <c r="H249" i="1" s="1"/>
  <c r="H250" i="1" s="1"/>
  <c r="H251" i="1" s="1"/>
  <c r="H252" i="1" s="1"/>
  <c r="H253" i="1" s="1"/>
  <c r="H254" i="1" s="1"/>
  <c r="H255" i="1" s="1"/>
  <c r="H256" i="1" s="1"/>
  <c r="H257" i="1" s="1"/>
  <c r="H258" i="1" s="1"/>
  <c r="H259" i="1" s="1"/>
  <c r="H260" i="1" s="1"/>
  <c r="H261" i="1" s="1"/>
  <c r="H262" i="1" s="1"/>
  <c r="H263" i="1" s="1"/>
  <c r="H264" i="1" s="1"/>
  <c r="H265" i="1" s="1"/>
  <c r="H266" i="1" s="1"/>
  <c r="H267" i="1" s="1"/>
  <c r="H268" i="1" s="1"/>
  <c r="H269" i="1" s="1"/>
  <c r="H270" i="1" s="1"/>
  <c r="H271" i="1" s="1"/>
  <c r="H272" i="1" s="1"/>
  <c r="H273" i="1" s="1"/>
  <c r="H274" i="1" s="1"/>
  <c r="H275" i="1" s="1"/>
  <c r="H276" i="1" s="1"/>
  <c r="H277" i="1" s="1"/>
  <c r="H278" i="1" s="1"/>
  <c r="H279" i="1" s="1"/>
  <c r="H280" i="1" s="1"/>
  <c r="H281" i="1" s="1"/>
  <c r="H282" i="1" s="1"/>
  <c r="H283" i="1" s="1"/>
  <c r="H284" i="1" s="1"/>
  <c r="H285" i="1" s="1"/>
  <c r="H286" i="1" s="1"/>
  <c r="H287" i="1" s="1"/>
  <c r="H288" i="1" s="1"/>
  <c r="H289" i="1" s="1"/>
  <c r="H290" i="1" s="1"/>
  <c r="H291" i="1" s="1"/>
  <c r="H292" i="1" s="1"/>
  <c r="H293" i="1" s="1"/>
  <c r="H294" i="1" s="1"/>
  <c r="H295" i="1" s="1"/>
  <c r="H296" i="1" s="1"/>
  <c r="H297" i="1" s="1"/>
  <c r="H298" i="1" s="1"/>
  <c r="H299" i="1" s="1"/>
  <c r="H300" i="1" s="1"/>
  <c r="H301" i="1" s="1"/>
  <c r="H302" i="1" s="1"/>
  <c r="H303" i="1" s="1"/>
  <c r="H304" i="1" s="1"/>
  <c r="H305" i="1" s="1"/>
  <c r="H306" i="1" s="1"/>
  <c r="H307" i="1" s="1"/>
  <c r="H308" i="1" s="1"/>
  <c r="H309" i="1" s="1"/>
  <c r="H310" i="1" s="1"/>
  <c r="H311" i="1" s="1"/>
  <c r="H312" i="1" s="1"/>
  <c r="H313" i="1" s="1"/>
  <c r="H314" i="1" s="1"/>
  <c r="H315" i="1" s="1"/>
  <c r="H316" i="1" s="1"/>
  <c r="H317" i="1" s="1"/>
  <c r="H318" i="1" s="1"/>
  <c r="H319" i="1" s="1"/>
  <c r="H320" i="1" s="1"/>
  <c r="H321" i="1" s="1"/>
  <c r="H322" i="1" s="1"/>
  <c r="H323" i="1" s="1"/>
  <c r="H324" i="1" s="1"/>
  <c r="H325" i="1" s="1"/>
  <c r="H326" i="1" s="1"/>
  <c r="H327" i="1" s="1"/>
  <c r="H328" i="1" s="1"/>
  <c r="H329" i="1" s="1"/>
  <c r="H330" i="1" s="1"/>
  <c r="H331" i="1" s="1"/>
  <c r="H332" i="1" s="1"/>
  <c r="H333" i="1" s="1"/>
  <c r="H334" i="1" s="1"/>
  <c r="H335" i="1" s="1"/>
  <c r="H336" i="1" s="1"/>
  <c r="H337" i="1" s="1"/>
  <c r="H338" i="1" s="1"/>
  <c r="H339" i="1" s="1"/>
  <c r="H340" i="1" s="1"/>
  <c r="H341" i="1" s="1"/>
  <c r="H342" i="1" s="1"/>
  <c r="H343" i="1" s="1"/>
  <c r="H344" i="1" s="1"/>
  <c r="H345" i="1" s="1"/>
  <c r="H346" i="1" s="1"/>
  <c r="H347" i="1" s="1"/>
  <c r="H348" i="1" s="1"/>
  <c r="H349" i="1" s="1"/>
  <c r="H350" i="1" s="1"/>
  <c r="H351" i="1" s="1"/>
  <c r="H352" i="1" s="1"/>
  <c r="H353" i="1" s="1"/>
  <c r="H354" i="1" s="1"/>
  <c r="H355" i="1" s="1"/>
  <c r="H356" i="1" s="1"/>
  <c r="H357" i="1" s="1"/>
  <c r="H358" i="1" s="1"/>
  <c r="H359" i="1" s="1"/>
  <c r="H360" i="1" s="1"/>
  <c r="H361" i="1" s="1"/>
  <c r="H362" i="1" s="1"/>
  <c r="H363" i="1" s="1"/>
  <c r="H364" i="1" s="1"/>
  <c r="H365" i="1" s="1"/>
  <c r="H366" i="1" s="1"/>
  <c r="H367" i="1" s="1"/>
  <c r="H368" i="1" s="1"/>
  <c r="H369" i="1" s="1"/>
  <c r="H370" i="1" s="1"/>
  <c r="H371" i="1" s="1"/>
  <c r="H372" i="1" s="1"/>
  <c r="H373" i="1" s="1"/>
  <c r="H374" i="1" s="1"/>
  <c r="H375" i="1" s="1"/>
  <c r="H376" i="1" s="1"/>
  <c r="H377" i="1" s="1"/>
  <c r="H378" i="1" s="1"/>
  <c r="H379" i="1" s="1"/>
  <c r="H380" i="1" s="1"/>
  <c r="H381" i="1" s="1"/>
  <c r="H382" i="1" s="1"/>
  <c r="H383" i="1" s="1"/>
  <c r="H384" i="1" s="1"/>
  <c r="H385" i="1" s="1"/>
  <c r="H386" i="1" s="1"/>
  <c r="H387" i="1" s="1"/>
  <c r="H388" i="1" s="1"/>
  <c r="H389" i="1" s="1"/>
  <c r="H390" i="1" s="1"/>
  <c r="H391" i="1" s="1"/>
  <c r="H392" i="1" s="1"/>
  <c r="H393" i="1" s="1"/>
  <c r="H394" i="1" s="1"/>
  <c r="H395" i="1" s="1"/>
  <c r="H396" i="1" s="1"/>
  <c r="H397" i="1" s="1"/>
  <c r="H398" i="1" s="1"/>
  <c r="H399" i="1" s="1"/>
  <c r="H400" i="1" s="1"/>
  <c r="H401" i="1" s="1"/>
  <c r="H402" i="1" s="1"/>
  <c r="H403" i="1" s="1"/>
  <c r="H404" i="1" s="1"/>
  <c r="H405" i="1" s="1"/>
  <c r="H406" i="1" s="1"/>
  <c r="H407" i="1" s="1"/>
  <c r="H408" i="1" s="1"/>
  <c r="H409" i="1" s="1"/>
  <c r="H410" i="1" s="1"/>
  <c r="H411" i="1" s="1"/>
  <c r="H412" i="1" s="1"/>
  <c r="H413" i="1" s="1"/>
  <c r="H414" i="1" s="1"/>
  <c r="H415" i="1" s="1"/>
  <c r="H416" i="1" s="1"/>
  <c r="H417" i="1" s="1"/>
  <c r="H418" i="1" s="1"/>
  <c r="H419" i="1" s="1"/>
  <c r="H420" i="1" s="1"/>
  <c r="H421" i="1" s="1"/>
  <c r="H422" i="1" s="1"/>
  <c r="H423" i="1" s="1"/>
  <c r="H424" i="1" s="1"/>
  <c r="H425" i="1" s="1"/>
  <c r="H426" i="1" s="1"/>
  <c r="H427" i="1" s="1"/>
  <c r="H428" i="1" s="1"/>
  <c r="H429" i="1" s="1"/>
  <c r="H430" i="1" s="1"/>
  <c r="H431" i="1" s="1"/>
  <c r="H432" i="1" s="1"/>
  <c r="H433" i="1" s="1"/>
  <c r="H434" i="1" s="1"/>
  <c r="H435" i="1" s="1"/>
  <c r="H436" i="1" s="1"/>
  <c r="H437" i="1" s="1"/>
  <c r="H438" i="1" s="1"/>
  <c r="H439" i="1" s="1"/>
  <c r="H440" i="1" s="1"/>
  <c r="H441" i="1" s="1"/>
  <c r="H442" i="1" s="1"/>
  <c r="H443" i="1" s="1"/>
  <c r="H444" i="1" s="1"/>
  <c r="H445" i="1" s="1"/>
  <c r="H446" i="1" s="1"/>
  <c r="H447" i="1" s="1"/>
  <c r="H448" i="1" s="1"/>
  <c r="H449" i="1" s="1"/>
  <c r="H450" i="1" s="1"/>
  <c r="H451" i="1" s="1"/>
  <c r="H452" i="1" s="1"/>
  <c r="H453" i="1" s="1"/>
  <c r="H454" i="1" s="1"/>
  <c r="H455" i="1" s="1"/>
  <c r="H456" i="1" s="1"/>
  <c r="H457" i="1" s="1"/>
  <c r="H458" i="1" s="1"/>
  <c r="H459" i="1" s="1"/>
  <c r="H460" i="1" s="1"/>
  <c r="H461" i="1" s="1"/>
  <c r="H462" i="1" s="1"/>
  <c r="H463" i="1" s="1"/>
  <c r="H464" i="1" s="1"/>
  <c r="H465" i="1" s="1"/>
  <c r="H466" i="1" s="1"/>
  <c r="H467" i="1" s="1"/>
  <c r="H468" i="1" s="1"/>
  <c r="H469" i="1" s="1"/>
  <c r="H470" i="1" s="1"/>
  <c r="H471" i="1" s="1"/>
  <c r="H472" i="1" s="1"/>
  <c r="H473" i="1" s="1"/>
  <c r="H474" i="1" s="1"/>
  <c r="H475" i="1" s="1"/>
  <c r="H476" i="1" s="1"/>
  <c r="H477" i="1" s="1"/>
  <c r="H478" i="1" s="1"/>
  <c r="H479" i="1" s="1"/>
  <c r="H480" i="1" s="1"/>
  <c r="H481" i="1" s="1"/>
  <c r="H482" i="1" s="1"/>
  <c r="H483" i="1" s="1"/>
  <c r="H484" i="1" s="1"/>
  <c r="H485" i="1" s="1"/>
  <c r="H486" i="1" s="1"/>
  <c r="H487" i="1" s="1"/>
  <c r="H488" i="1" s="1"/>
  <c r="H489" i="1" s="1"/>
  <c r="H490" i="1" s="1"/>
  <c r="H491" i="1" s="1"/>
  <c r="H492" i="1" s="1"/>
  <c r="H493" i="1" s="1"/>
  <c r="H494" i="1" s="1"/>
  <c r="H495" i="1" s="1"/>
  <c r="H496" i="1" s="1"/>
  <c r="H497" i="1" s="1"/>
  <c r="H498" i="1" s="1"/>
  <c r="H499" i="1" s="1"/>
  <c r="H500" i="1" s="1"/>
  <c r="H501" i="1" s="1"/>
  <c r="H502" i="1" s="1"/>
  <c r="H503" i="1" s="1"/>
  <c r="H504" i="1" s="1"/>
  <c r="H505" i="1" s="1"/>
  <c r="H506" i="1" s="1"/>
  <c r="H507" i="1" s="1"/>
  <c r="H508" i="1" s="1"/>
  <c r="H509" i="1" s="1"/>
  <c r="H510" i="1" s="1"/>
  <c r="H511" i="1" s="1"/>
  <c r="H512" i="1" s="1"/>
  <c r="H513" i="1" s="1"/>
  <c r="H514" i="1" s="1"/>
  <c r="H515" i="1" s="1"/>
  <c r="H516" i="1" s="1"/>
  <c r="H517" i="1" s="1"/>
  <c r="H518" i="1" s="1"/>
  <c r="H519" i="1" s="1"/>
  <c r="H520" i="1" s="1"/>
  <c r="H521" i="1" s="1"/>
  <c r="H522" i="1" s="1"/>
  <c r="H523" i="1" s="1"/>
  <c r="H524" i="1" s="1"/>
  <c r="H525" i="1" s="1"/>
  <c r="H526" i="1" s="1"/>
  <c r="H527" i="1" s="1"/>
  <c r="H528" i="1" s="1"/>
  <c r="H529" i="1" s="1"/>
  <c r="H530" i="1" s="1"/>
  <c r="H531" i="1" s="1"/>
  <c r="H532" i="1" s="1"/>
  <c r="H533" i="1" s="1"/>
  <c r="H534" i="1" s="1"/>
  <c r="H535" i="1" s="1"/>
  <c r="H536" i="1" s="1"/>
  <c r="H537" i="1" s="1"/>
  <c r="H538" i="1" s="1"/>
  <c r="H539" i="1" s="1"/>
  <c r="H540" i="1" s="1"/>
  <c r="H541" i="1" s="1"/>
  <c r="H542" i="1" s="1"/>
  <c r="H543" i="1" s="1"/>
  <c r="H544" i="1" s="1"/>
  <c r="H545" i="1" s="1"/>
  <c r="H546" i="1" s="1"/>
  <c r="H547" i="1" s="1"/>
  <c r="H548" i="1" s="1"/>
  <c r="H549" i="1" s="1"/>
  <c r="H550" i="1" s="1"/>
  <c r="H551" i="1" s="1"/>
  <c r="H552" i="1" s="1"/>
  <c r="H553" i="1" s="1"/>
  <c r="H554" i="1" s="1"/>
  <c r="H555" i="1" s="1"/>
  <c r="H556" i="1" s="1"/>
  <c r="H557" i="1" s="1"/>
  <c r="H558" i="1" s="1"/>
  <c r="H559" i="1" s="1"/>
  <c r="H560" i="1" s="1"/>
  <c r="H561" i="1" s="1"/>
  <c r="H562" i="1" s="1"/>
  <c r="H563" i="1" s="1"/>
  <c r="H564" i="1" s="1"/>
  <c r="H565" i="1" s="1"/>
  <c r="H566" i="1" s="1"/>
  <c r="H567" i="1" s="1"/>
  <c r="H568" i="1" s="1"/>
  <c r="H569" i="1" s="1"/>
  <c r="H570" i="1" s="1"/>
  <c r="H571" i="1" s="1"/>
  <c r="H572" i="1" s="1"/>
  <c r="H573" i="1" s="1"/>
  <c r="H574" i="1" s="1"/>
  <c r="H575" i="1" s="1"/>
  <c r="H576" i="1" s="1"/>
  <c r="H577" i="1" s="1"/>
  <c r="H578" i="1" s="1"/>
  <c r="H579" i="1" s="1"/>
  <c r="H580" i="1" s="1"/>
  <c r="H581" i="1" s="1"/>
  <c r="H582" i="1" s="1"/>
  <c r="H583" i="1" s="1"/>
  <c r="H584" i="1" s="1"/>
  <c r="H585" i="1" s="1"/>
  <c r="H586" i="1" s="1"/>
  <c r="H587" i="1" s="1"/>
  <c r="H588" i="1" s="1"/>
  <c r="H589" i="1" s="1"/>
  <c r="H590" i="1" s="1"/>
  <c r="H591" i="1" s="1"/>
  <c r="H592" i="1" s="1"/>
  <c r="H593" i="1" s="1"/>
  <c r="H594" i="1" s="1"/>
  <c r="H595" i="1" s="1"/>
  <c r="H596" i="1" s="1"/>
  <c r="H597" i="1" s="1"/>
  <c r="H598" i="1" s="1"/>
  <c r="H599" i="1" s="1"/>
  <c r="H600" i="1" s="1"/>
  <c r="H601" i="1" s="1"/>
  <c r="H602" i="1" s="1"/>
  <c r="H603" i="1" s="1"/>
  <c r="H604" i="1" s="1"/>
  <c r="H605" i="1" s="1"/>
  <c r="H606" i="1" s="1"/>
  <c r="H607" i="1" s="1"/>
  <c r="H608" i="1" s="1"/>
  <c r="H609" i="1" s="1"/>
  <c r="H610" i="1" s="1"/>
  <c r="H611" i="1" s="1"/>
  <c r="H612" i="1" s="1"/>
  <c r="H613" i="1" s="1"/>
  <c r="H614" i="1" s="1"/>
  <c r="H615" i="1" s="1"/>
  <c r="H616" i="1" s="1"/>
  <c r="H617" i="1" s="1"/>
  <c r="H618" i="1" s="1"/>
  <c r="H619" i="1" s="1"/>
  <c r="H620" i="1" s="1"/>
  <c r="H621" i="1" s="1"/>
  <c r="H622" i="1" s="1"/>
  <c r="H623" i="1" s="1"/>
  <c r="H624" i="1" s="1"/>
  <c r="H625" i="1" s="1"/>
  <c r="H626" i="1" s="1"/>
  <c r="H627" i="1" s="1"/>
  <c r="H628" i="1" s="1"/>
  <c r="H629" i="1" s="1"/>
  <c r="H630" i="1" s="1"/>
  <c r="H631" i="1" s="1"/>
  <c r="H632" i="1" s="1"/>
  <c r="H633" i="1" s="1"/>
  <c r="H634" i="1" s="1"/>
  <c r="H635" i="1" s="1"/>
  <c r="H636" i="1" s="1"/>
  <c r="H637" i="1" s="1"/>
  <c r="H638" i="1" s="1"/>
  <c r="H639" i="1" s="1"/>
  <c r="H640" i="1" s="1"/>
  <c r="H641" i="1" s="1"/>
  <c r="H642" i="1" s="1"/>
  <c r="H643" i="1" s="1"/>
  <c r="H644" i="1" s="1"/>
  <c r="H645" i="1" s="1"/>
  <c r="H646" i="1" s="1"/>
  <c r="H647" i="1" s="1"/>
  <c r="H648" i="1" s="1"/>
  <c r="H649" i="1" s="1"/>
  <c r="H650" i="1" s="1"/>
  <c r="H651" i="1" s="1"/>
  <c r="H652" i="1" s="1"/>
  <c r="H653" i="1" s="1"/>
  <c r="H654" i="1" s="1"/>
  <c r="H655" i="1" s="1"/>
  <c r="H656" i="1" s="1"/>
  <c r="H657" i="1" s="1"/>
  <c r="H658" i="1" s="1"/>
  <c r="H659" i="1" s="1"/>
  <c r="H660" i="1" s="1"/>
  <c r="H661" i="1" s="1"/>
  <c r="H662" i="1" s="1"/>
  <c r="H663" i="1" s="1"/>
  <c r="H664" i="1" s="1"/>
  <c r="H665" i="1" s="1"/>
  <c r="H666" i="1" s="1"/>
  <c r="H667" i="1" s="1"/>
  <c r="H668" i="1" s="1"/>
  <c r="H669" i="1" s="1"/>
  <c r="H670" i="1" s="1"/>
  <c r="H671" i="1" s="1"/>
  <c r="H672" i="1" s="1"/>
  <c r="H673" i="1" s="1"/>
  <c r="H674" i="1" s="1"/>
  <c r="H675" i="1" s="1"/>
  <c r="H676" i="1" s="1"/>
  <c r="H677" i="1" s="1"/>
  <c r="H678" i="1" s="1"/>
  <c r="H679" i="1" s="1"/>
  <c r="H680" i="1" s="1"/>
  <c r="H681" i="1" s="1"/>
  <c r="H682" i="1" s="1"/>
  <c r="H683" i="1" s="1"/>
  <c r="H684" i="1" s="1"/>
  <c r="H685" i="1" s="1"/>
  <c r="H686" i="1" s="1"/>
  <c r="H687" i="1" s="1"/>
  <c r="H688" i="1" s="1"/>
  <c r="H689" i="1" s="1"/>
  <c r="H690" i="1" s="1"/>
  <c r="H691" i="1" s="1"/>
  <c r="H692" i="1" s="1"/>
  <c r="H693" i="1" s="1"/>
  <c r="H694" i="1" s="1"/>
  <c r="H695" i="1" s="1"/>
  <c r="H696" i="1" s="1"/>
  <c r="H697" i="1" s="1"/>
  <c r="H698" i="1" s="1"/>
  <c r="H699" i="1" s="1"/>
  <c r="H700" i="1" s="1"/>
  <c r="H701" i="1" s="1"/>
  <c r="H702" i="1" s="1"/>
  <c r="H703" i="1" s="1"/>
  <c r="H704" i="1" s="1"/>
  <c r="H705" i="1" s="1"/>
  <c r="H706" i="1" s="1"/>
  <c r="H707" i="1" s="1"/>
  <c r="H708" i="1" s="1"/>
  <c r="H709" i="1" s="1"/>
  <c r="H710" i="1" s="1"/>
  <c r="H711" i="1" s="1"/>
  <c r="H712" i="1" s="1"/>
  <c r="H713" i="1" s="1"/>
  <c r="H714" i="1" s="1"/>
  <c r="H715" i="1" s="1"/>
  <c r="H716" i="1" s="1"/>
  <c r="H717" i="1" s="1"/>
  <c r="H718" i="1" s="1"/>
  <c r="H719" i="1" s="1"/>
  <c r="H720" i="1" s="1"/>
  <c r="H721" i="1" s="1"/>
  <c r="H722" i="1" s="1"/>
  <c r="H723" i="1" s="1"/>
  <c r="H724" i="1" s="1"/>
  <c r="H725" i="1" s="1"/>
  <c r="H726" i="1" s="1"/>
  <c r="H727" i="1" s="1"/>
  <c r="H728" i="1" s="1"/>
  <c r="H729" i="1" s="1"/>
  <c r="H730" i="1" s="1"/>
  <c r="H731" i="1" s="1"/>
  <c r="H732" i="1" s="1"/>
  <c r="H733" i="1" s="1"/>
  <c r="H734" i="1" s="1"/>
  <c r="H735" i="1" s="1"/>
  <c r="H736" i="1" s="1"/>
  <c r="H737" i="1" s="1"/>
  <c r="H738" i="1" s="1"/>
  <c r="H739" i="1" s="1"/>
  <c r="H740" i="1" s="1"/>
  <c r="H741" i="1" s="1"/>
  <c r="H742" i="1" s="1"/>
  <c r="H743" i="1" s="1"/>
  <c r="H744" i="1" s="1"/>
  <c r="H745" i="1" s="1"/>
  <c r="H746" i="1" s="1"/>
  <c r="H747" i="1" s="1"/>
  <c r="H748" i="1" s="1"/>
  <c r="H749" i="1" s="1"/>
  <c r="H750" i="1" s="1"/>
  <c r="H751" i="1" s="1"/>
  <c r="H752" i="1" s="1"/>
  <c r="H753" i="1" s="1"/>
  <c r="H754" i="1" s="1"/>
  <c r="H755" i="1" s="1"/>
  <c r="H756" i="1" s="1"/>
  <c r="H757" i="1" s="1"/>
  <c r="H758" i="1" s="1"/>
  <c r="H759" i="1" s="1"/>
  <c r="H760" i="1" s="1"/>
  <c r="H761" i="1" s="1"/>
  <c r="H762" i="1" s="1"/>
  <c r="H763" i="1" s="1"/>
  <c r="H764" i="1" s="1"/>
  <c r="H765" i="1" s="1"/>
  <c r="H766" i="1" s="1"/>
  <c r="H767" i="1" s="1"/>
  <c r="H768" i="1" s="1"/>
  <c r="H769" i="1" s="1"/>
  <c r="H770" i="1" s="1"/>
  <c r="H771" i="1" s="1"/>
  <c r="H772" i="1" s="1"/>
  <c r="H773" i="1" s="1"/>
  <c r="H774" i="1" s="1"/>
  <c r="H775" i="1" s="1"/>
  <c r="H776" i="1" s="1"/>
  <c r="H777" i="1" s="1"/>
  <c r="H778" i="1" s="1"/>
  <c r="H779" i="1" s="1"/>
  <c r="H780" i="1" s="1"/>
  <c r="H781" i="1" s="1"/>
  <c r="H782" i="1" s="1"/>
  <c r="H783" i="1" s="1"/>
  <c r="H784" i="1" s="1"/>
  <c r="H785" i="1" s="1"/>
  <c r="H786" i="1" s="1"/>
  <c r="H787" i="1" s="1"/>
  <c r="H788" i="1" s="1"/>
  <c r="H789" i="1" s="1"/>
  <c r="H790" i="1" s="1"/>
  <c r="H791" i="1" s="1"/>
  <c r="H792" i="1" s="1"/>
  <c r="H793" i="1" s="1"/>
  <c r="H794" i="1" s="1"/>
  <c r="H795" i="1" s="1"/>
  <c r="H796" i="1" s="1"/>
  <c r="H797" i="1" s="1"/>
  <c r="H798" i="1" s="1"/>
  <c r="H799" i="1" s="1"/>
  <c r="H800" i="1" s="1"/>
  <c r="H801" i="1" s="1"/>
  <c r="H802" i="1" s="1"/>
  <c r="H803" i="1" s="1"/>
  <c r="H804" i="1" s="1"/>
  <c r="H805" i="1" s="1"/>
  <c r="H806" i="1" s="1"/>
  <c r="H807" i="1" s="1"/>
  <c r="H808" i="1" s="1"/>
  <c r="H809" i="1" s="1"/>
  <c r="H810" i="1" s="1"/>
  <c r="H811" i="1" s="1"/>
  <c r="H812" i="1" s="1"/>
  <c r="H813" i="1" s="1"/>
  <c r="H814" i="1" s="1"/>
  <c r="H815" i="1" s="1"/>
  <c r="H816" i="1" s="1"/>
  <c r="H817" i="1" s="1"/>
  <c r="H818" i="1" s="1"/>
  <c r="H819" i="1" s="1"/>
  <c r="H820" i="1" s="1"/>
  <c r="H821" i="1" s="1"/>
  <c r="H822" i="1" s="1"/>
  <c r="H823" i="1" s="1"/>
  <c r="H824" i="1" s="1"/>
  <c r="H825" i="1" s="1"/>
  <c r="H826" i="1" s="1"/>
  <c r="H827" i="1" s="1"/>
  <c r="H828" i="1" s="1"/>
  <c r="H829" i="1" s="1"/>
  <c r="H830" i="1" s="1"/>
  <c r="H831" i="1" s="1"/>
  <c r="H832" i="1" s="1"/>
  <c r="H833" i="1" s="1"/>
  <c r="H834" i="1" s="1"/>
  <c r="H835" i="1" s="1"/>
  <c r="H836" i="1" s="1"/>
  <c r="H837" i="1" s="1"/>
  <c r="H838" i="1" s="1"/>
  <c r="H839" i="1" s="1"/>
  <c r="H840" i="1" s="1"/>
  <c r="H841" i="1" s="1"/>
  <c r="H842" i="1" s="1"/>
  <c r="H843" i="1" s="1"/>
  <c r="H844" i="1" s="1"/>
  <c r="H845" i="1" s="1"/>
  <c r="H846" i="1" s="1"/>
  <c r="H847" i="1" s="1"/>
  <c r="H848" i="1" s="1"/>
  <c r="H849" i="1" s="1"/>
  <c r="H850" i="1" s="1"/>
  <c r="H851" i="1" s="1"/>
  <c r="H852" i="1" s="1"/>
  <c r="H853" i="1" s="1"/>
  <c r="H854" i="1" s="1"/>
  <c r="H855" i="1" s="1"/>
  <c r="H856" i="1" s="1"/>
  <c r="H857" i="1" s="1"/>
  <c r="H858" i="1" s="1"/>
  <c r="H859" i="1" s="1"/>
  <c r="H860" i="1" s="1"/>
  <c r="H861" i="1" s="1"/>
  <c r="H862" i="1" s="1"/>
  <c r="H863" i="1" s="1"/>
  <c r="H864" i="1" s="1"/>
  <c r="H865" i="1" s="1"/>
  <c r="H866" i="1" s="1"/>
  <c r="H867" i="1" s="1"/>
  <c r="H868" i="1" s="1"/>
  <c r="H869" i="1" s="1"/>
  <c r="H870" i="1" s="1"/>
  <c r="H871" i="1" s="1"/>
  <c r="H872" i="1" s="1"/>
  <c r="H873" i="1" s="1"/>
  <c r="H874" i="1" s="1"/>
  <c r="H875" i="1" s="1"/>
  <c r="H876" i="1" s="1"/>
  <c r="H877" i="1" s="1"/>
  <c r="H878" i="1" s="1"/>
  <c r="H879" i="1" s="1"/>
  <c r="H880" i="1" s="1"/>
  <c r="H881" i="1" s="1"/>
  <c r="H882" i="1" s="1"/>
  <c r="H883" i="1" s="1"/>
  <c r="H884" i="1" s="1"/>
  <c r="H885" i="1" s="1"/>
  <c r="H886" i="1" s="1"/>
  <c r="H887" i="1" s="1"/>
  <c r="H888" i="1" s="1"/>
  <c r="H889" i="1" s="1"/>
  <c r="H890" i="1" s="1"/>
  <c r="H891" i="1" s="1"/>
  <c r="H892" i="1" s="1"/>
  <c r="H893" i="1" s="1"/>
  <c r="H894" i="1" s="1"/>
  <c r="H895" i="1" s="1"/>
  <c r="H896" i="1" s="1"/>
  <c r="H897" i="1" s="1"/>
  <c r="H898" i="1" s="1"/>
  <c r="H899" i="1" s="1"/>
  <c r="H900" i="1" s="1"/>
  <c r="H901" i="1" s="1"/>
  <c r="H902" i="1" s="1"/>
  <c r="H903" i="1" s="1"/>
  <c r="H904" i="1" s="1"/>
  <c r="H905" i="1" s="1"/>
  <c r="H906" i="1" s="1"/>
  <c r="H907" i="1" s="1"/>
  <c r="H908" i="1" s="1"/>
  <c r="H909" i="1" s="1"/>
  <c r="H910" i="1" s="1"/>
  <c r="H911" i="1" s="1"/>
  <c r="H912" i="1" s="1"/>
  <c r="H913" i="1" s="1"/>
  <c r="H914" i="1" s="1"/>
  <c r="H915" i="1" s="1"/>
  <c r="H916" i="1" s="1"/>
  <c r="H917" i="1" s="1"/>
  <c r="H918" i="1" s="1"/>
  <c r="H919" i="1" s="1"/>
  <c r="H920" i="1" s="1"/>
  <c r="H921" i="1" s="1"/>
  <c r="H922" i="1" s="1"/>
  <c r="H923" i="1" s="1"/>
  <c r="H924" i="1" s="1"/>
  <c r="H925" i="1" s="1"/>
  <c r="H926" i="1" s="1"/>
  <c r="H927" i="1" s="1"/>
  <c r="H928" i="1" s="1"/>
  <c r="H929" i="1" s="1"/>
  <c r="H930" i="1" s="1"/>
  <c r="H931" i="1" s="1"/>
  <c r="H932" i="1" s="1"/>
  <c r="H933" i="1" s="1"/>
  <c r="H934" i="1" s="1"/>
  <c r="H935" i="1" s="1"/>
  <c r="H936" i="1" s="1"/>
  <c r="H937" i="1" s="1"/>
  <c r="H938" i="1" s="1"/>
  <c r="H939" i="1" s="1"/>
  <c r="H940" i="1" s="1"/>
  <c r="H941" i="1" s="1"/>
  <c r="H942" i="1" s="1"/>
  <c r="H943" i="1" s="1"/>
  <c r="H944" i="1" s="1"/>
  <c r="H945" i="1" s="1"/>
  <c r="H946" i="1" s="1"/>
  <c r="H947" i="1" s="1"/>
  <c r="H948" i="1" s="1"/>
  <c r="H949" i="1" s="1"/>
  <c r="H950" i="1" s="1"/>
  <c r="H951" i="1" s="1"/>
  <c r="H952" i="1" s="1"/>
  <c r="H953" i="1" s="1"/>
  <c r="H954" i="1" s="1"/>
  <c r="H955" i="1" s="1"/>
  <c r="H956" i="1" s="1"/>
  <c r="H957" i="1" s="1"/>
  <c r="H958" i="1" s="1"/>
  <c r="H959" i="1" s="1"/>
  <c r="H960" i="1" s="1"/>
  <c r="H961" i="1" s="1"/>
  <c r="H962" i="1" s="1"/>
  <c r="H963" i="1" s="1"/>
  <c r="H964" i="1" s="1"/>
  <c r="H965" i="1" s="1"/>
  <c r="H966" i="1" s="1"/>
  <c r="H967" i="1" s="1"/>
  <c r="H968" i="1" s="1"/>
  <c r="H969" i="1" s="1"/>
  <c r="H970" i="1" s="1"/>
  <c r="H971" i="1" s="1"/>
  <c r="H972" i="1" s="1"/>
  <c r="H973" i="1" s="1"/>
  <c r="H974" i="1" s="1"/>
  <c r="H975" i="1" s="1"/>
  <c r="H976" i="1" s="1"/>
  <c r="H977" i="1" s="1"/>
  <c r="H978" i="1" s="1"/>
  <c r="H979" i="1" s="1"/>
  <c r="H980" i="1" s="1"/>
  <c r="H981" i="1" s="1"/>
  <c r="H982" i="1" s="1"/>
  <c r="H983" i="1" s="1"/>
  <c r="H984" i="1" s="1"/>
  <c r="H985" i="1" s="1"/>
  <c r="H986" i="1" s="1"/>
  <c r="H987" i="1" s="1"/>
  <c r="H988" i="1" s="1"/>
  <c r="H989" i="1" s="1"/>
  <c r="H990" i="1" s="1"/>
  <c r="H991" i="1" s="1"/>
  <c r="H992" i="1" s="1"/>
  <c r="H993" i="1" s="1"/>
  <c r="H994" i="1" s="1"/>
  <c r="H995" i="1" s="1"/>
  <c r="H996" i="1" s="1"/>
  <c r="H997" i="1" s="1"/>
  <c r="H998" i="1" s="1"/>
  <c r="H999" i="1" s="1"/>
  <c r="H1000" i="1" s="1"/>
  <c r="H1001" i="1" s="1"/>
  <c r="H1002" i="1" s="1"/>
  <c r="H1003" i="1" s="1"/>
  <c r="H1004" i="1" s="1"/>
  <c r="H1005" i="1" s="1"/>
  <c r="H1006" i="1" s="1"/>
  <c r="H1007" i="1" s="1"/>
  <c r="H1008" i="1" s="1"/>
  <c r="H1009" i="1" s="1"/>
  <c r="H1010" i="1" s="1"/>
  <c r="H1011" i="1" s="1"/>
  <c r="H1012" i="1" s="1"/>
  <c r="H1013" i="1" s="1"/>
  <c r="H1014" i="1" s="1"/>
  <c r="H1015" i="1" s="1"/>
  <c r="H1016" i="1" s="1"/>
  <c r="H1017" i="1" s="1"/>
  <c r="H1018" i="1" s="1"/>
  <c r="H1019" i="1" s="1"/>
  <c r="H1020" i="1" s="1"/>
  <c r="H1021" i="1" s="1"/>
  <c r="H1022" i="1" s="1"/>
  <c r="H1023" i="1" s="1"/>
  <c r="H1024" i="1" s="1"/>
  <c r="H1025" i="1" s="1"/>
  <c r="H1026" i="1" s="1"/>
  <c r="H1027" i="1" s="1"/>
  <c r="H1028" i="1" s="1"/>
  <c r="H1029" i="1" s="1"/>
  <c r="H1030" i="1" s="1"/>
  <c r="H1031" i="1" s="1"/>
  <c r="H1032" i="1" s="1"/>
  <c r="H1033" i="1" s="1"/>
  <c r="H1034" i="1" s="1"/>
  <c r="H1035" i="1" s="1"/>
  <c r="H1036" i="1" s="1"/>
  <c r="H1037" i="1" s="1"/>
  <c r="H1038" i="1" s="1"/>
  <c r="H1039" i="1" s="1"/>
  <c r="H1040" i="1" s="1"/>
  <c r="H1041" i="1" s="1"/>
  <c r="H1042" i="1" s="1"/>
  <c r="H1043" i="1" s="1"/>
  <c r="H1044" i="1" s="1"/>
  <c r="H1045" i="1" s="1"/>
  <c r="H1046" i="1" s="1"/>
  <c r="H1047" i="1" s="1"/>
  <c r="H1048" i="1" s="1"/>
  <c r="H1049" i="1" s="1"/>
  <c r="H1050" i="1" s="1"/>
  <c r="H1051" i="1" s="1"/>
  <c r="H1052" i="1" s="1"/>
  <c r="H1053" i="1" s="1"/>
  <c r="H1054" i="1" s="1"/>
  <c r="H1055" i="1" s="1"/>
  <c r="H1056" i="1" s="1"/>
  <c r="H1057" i="1" s="1"/>
  <c r="H1058" i="1" s="1"/>
  <c r="H1059" i="1" s="1"/>
  <c r="H1060" i="1" s="1"/>
  <c r="H1061" i="1" s="1"/>
  <c r="H1062" i="1" s="1"/>
  <c r="H1063" i="1" s="1"/>
  <c r="H1064" i="1" s="1"/>
  <c r="H1065" i="1" s="1"/>
  <c r="H1066" i="1" s="1"/>
  <c r="H1067" i="1" s="1"/>
  <c r="H1068" i="1" s="1"/>
  <c r="H1069" i="1" s="1"/>
  <c r="H1070" i="1" s="1"/>
  <c r="H1071" i="1" s="1"/>
  <c r="H1072" i="1" s="1"/>
  <c r="H1073" i="1" s="1"/>
  <c r="H1074" i="1" s="1"/>
  <c r="H1075" i="1" s="1"/>
  <c r="H1076" i="1" s="1"/>
  <c r="H1077" i="1" s="1"/>
  <c r="H1078" i="1" s="1"/>
  <c r="H1079" i="1" s="1"/>
  <c r="H1080" i="1" s="1"/>
  <c r="H1081" i="1" s="1"/>
  <c r="H1082" i="1" s="1"/>
  <c r="H1083" i="1" s="1"/>
  <c r="H1084" i="1" s="1"/>
  <c r="H1085" i="1" s="1"/>
  <c r="H1086" i="1" s="1"/>
  <c r="H1087" i="1" s="1"/>
  <c r="H1088" i="1" s="1"/>
  <c r="H1089" i="1" s="1"/>
  <c r="H1090" i="1" s="1"/>
  <c r="H1091" i="1" s="1"/>
  <c r="H1092" i="1" s="1"/>
  <c r="H1093" i="1" s="1"/>
  <c r="H1094" i="1" s="1"/>
  <c r="H1095" i="1" s="1"/>
  <c r="H1096" i="1" s="1"/>
  <c r="H1097" i="1" s="1"/>
  <c r="H1098" i="1" s="1"/>
  <c r="H1099" i="1" s="1"/>
  <c r="H1100" i="1" s="1"/>
  <c r="H1101" i="1" s="1"/>
  <c r="H1102" i="1" s="1"/>
  <c r="H1103" i="1" s="1"/>
  <c r="H1104" i="1" s="1"/>
  <c r="H1105" i="1" s="1"/>
  <c r="H1106" i="1" s="1"/>
  <c r="H1107" i="1" s="1"/>
  <c r="H1108" i="1" s="1"/>
  <c r="H1109" i="1" s="1"/>
  <c r="H1110" i="1" s="1"/>
  <c r="H1111" i="1" s="1"/>
  <c r="H1112" i="1" s="1"/>
  <c r="H1113" i="1" s="1"/>
  <c r="H1114" i="1" s="1"/>
  <c r="H1115" i="1" s="1"/>
  <c r="H1116" i="1" s="1"/>
  <c r="H1117" i="1" s="1"/>
  <c r="H1118" i="1" s="1"/>
  <c r="H1119" i="1" s="1"/>
  <c r="H1120" i="1" s="1"/>
  <c r="H1121" i="1" s="1"/>
  <c r="H1122" i="1" s="1"/>
  <c r="H1123" i="1" s="1"/>
  <c r="H1124" i="1" s="1"/>
  <c r="H1125" i="1" s="1"/>
  <c r="H1126" i="1" s="1"/>
  <c r="H1127" i="1" s="1"/>
  <c r="H1128" i="1" s="1"/>
  <c r="H1129" i="1" s="1"/>
  <c r="H1130" i="1" s="1"/>
  <c r="H1131" i="1" s="1"/>
  <c r="H1132" i="1" s="1"/>
  <c r="H1133" i="1" s="1"/>
  <c r="H1134" i="1" s="1"/>
  <c r="H1135" i="1" s="1"/>
  <c r="H1136" i="1" s="1"/>
  <c r="H1137" i="1" s="1"/>
  <c r="H1138" i="1" s="1"/>
  <c r="H1139" i="1" s="1"/>
  <c r="H1140" i="1" s="1"/>
  <c r="H1141" i="1" s="1"/>
  <c r="H1142" i="1" s="1"/>
  <c r="H1143" i="1" s="1"/>
  <c r="H1144" i="1" s="1"/>
  <c r="H1145" i="1" s="1"/>
  <c r="H1146" i="1" s="1"/>
  <c r="H1147" i="1" s="1"/>
  <c r="H1148" i="1" s="1"/>
  <c r="H1149" i="1" s="1"/>
  <c r="H1150" i="1" s="1"/>
  <c r="H1151" i="1" s="1"/>
  <c r="H1152" i="1" s="1"/>
  <c r="H1153" i="1" s="1"/>
  <c r="H1154" i="1" s="1"/>
  <c r="H1155" i="1" s="1"/>
  <c r="H1156" i="1" s="1"/>
  <c r="H1157" i="1" s="1"/>
  <c r="H1158" i="1" s="1"/>
  <c r="H1159" i="1" s="1"/>
  <c r="H1160" i="1" s="1"/>
  <c r="H1161" i="1" s="1"/>
  <c r="H1162" i="1" s="1"/>
  <c r="H1163" i="1" s="1"/>
  <c r="H1164" i="1" s="1"/>
  <c r="H1165" i="1" s="1"/>
  <c r="H1166" i="1" s="1"/>
  <c r="H1167" i="1" s="1"/>
  <c r="H1168" i="1" s="1"/>
  <c r="H1169" i="1" s="1"/>
  <c r="H1170" i="1" s="1"/>
  <c r="H1171" i="1" s="1"/>
  <c r="H1172" i="1" s="1"/>
  <c r="H1173" i="1" s="1"/>
  <c r="H1174" i="1" s="1"/>
  <c r="H1175" i="1" s="1"/>
  <c r="H1176" i="1" s="1"/>
  <c r="H1177" i="1" s="1"/>
  <c r="H1178" i="1" s="1"/>
  <c r="H1179" i="1" s="1"/>
  <c r="H1180" i="1" s="1"/>
  <c r="H1181" i="1" s="1"/>
  <c r="H1182" i="1" s="1"/>
  <c r="H1183" i="1" s="1"/>
  <c r="H1184" i="1" s="1"/>
  <c r="H1185" i="1" s="1"/>
  <c r="H1186" i="1" s="1"/>
  <c r="H1187" i="1" s="1"/>
  <c r="H1188" i="1" s="1"/>
  <c r="H1189" i="1" s="1"/>
  <c r="H1190" i="1" s="1"/>
  <c r="H1191" i="1" s="1"/>
  <c r="H1192" i="1" s="1"/>
  <c r="H1193" i="1" s="1"/>
  <c r="H1194" i="1" s="1"/>
  <c r="H1195" i="1" s="1"/>
  <c r="H1196" i="1" s="1"/>
  <c r="H1197" i="1" s="1"/>
  <c r="H1198" i="1" s="1"/>
  <c r="H1199" i="1" s="1"/>
  <c r="H1200" i="1" s="1"/>
  <c r="H1201" i="1" s="1"/>
  <c r="H1202" i="1" s="1"/>
  <c r="H1203" i="1" s="1"/>
  <c r="H1204" i="1" s="1"/>
  <c r="H1205" i="1" s="1"/>
  <c r="H1206" i="1" s="1"/>
  <c r="H1207" i="1" s="1"/>
  <c r="H1208" i="1" s="1"/>
  <c r="H1209" i="1" s="1"/>
  <c r="H1210" i="1" s="1"/>
  <c r="H1211" i="1" s="1"/>
  <c r="H1212" i="1" s="1"/>
  <c r="H1213" i="1" s="1"/>
  <c r="H1214" i="1" s="1"/>
  <c r="H1215" i="1" s="1"/>
  <c r="H1216" i="1" s="1"/>
  <c r="H1217" i="1" s="1"/>
  <c r="H1218" i="1" s="1"/>
  <c r="H1219" i="1" s="1"/>
  <c r="H1220" i="1" s="1"/>
  <c r="H1221" i="1" s="1"/>
  <c r="H1222" i="1" s="1"/>
  <c r="H1223" i="1" s="1"/>
  <c r="H1224" i="1" s="1"/>
  <c r="H1225" i="1" s="1"/>
  <c r="H1226" i="1" s="1"/>
  <c r="H1227" i="1" s="1"/>
  <c r="H1228" i="1" s="1"/>
  <c r="H1229" i="1" s="1"/>
  <c r="H1230" i="1" s="1"/>
  <c r="H1231" i="1" s="1"/>
  <c r="H1232" i="1" s="1"/>
  <c r="H1233" i="1" s="1"/>
  <c r="H1234" i="1" s="1"/>
  <c r="H1235" i="1" s="1"/>
  <c r="H1236" i="1" s="1"/>
  <c r="H1237" i="1" s="1"/>
  <c r="H1238" i="1" s="1"/>
  <c r="H1239" i="1" s="1"/>
  <c r="H1240" i="1" s="1"/>
  <c r="H1241" i="1" s="1"/>
  <c r="H1242" i="1" s="1"/>
  <c r="H1243" i="1" s="1"/>
  <c r="H1244" i="1" s="1"/>
  <c r="H1245" i="1" s="1"/>
  <c r="H1246" i="1" s="1"/>
  <c r="H1247" i="1" s="1"/>
  <c r="H1248" i="1" s="1"/>
  <c r="H1249" i="1" s="1"/>
  <c r="H1250" i="1" s="1"/>
  <c r="H1251" i="1" s="1"/>
  <c r="H1252" i="1" s="1"/>
  <c r="H1253" i="1" s="1"/>
  <c r="H1254" i="1" s="1"/>
  <c r="H1255" i="1" s="1"/>
  <c r="H1256" i="1" s="1"/>
  <c r="H1257" i="1" s="1"/>
  <c r="H1258" i="1" s="1"/>
  <c r="H1259" i="1" s="1"/>
  <c r="H1260" i="1" s="1"/>
  <c r="H1261" i="1" s="1"/>
  <c r="H1262" i="1" s="1"/>
  <c r="H1263" i="1" s="1"/>
  <c r="H1264" i="1" s="1"/>
  <c r="H1265" i="1" s="1"/>
  <c r="H1266" i="1" s="1"/>
  <c r="H1267" i="1" s="1"/>
  <c r="H1268" i="1" s="1"/>
  <c r="H1269" i="1" s="1"/>
  <c r="H1270" i="1" s="1"/>
  <c r="H1271" i="1" s="1"/>
  <c r="H1272" i="1" s="1"/>
  <c r="H1273" i="1" s="1"/>
  <c r="H1274" i="1" s="1"/>
  <c r="H1275" i="1" s="1"/>
  <c r="H1276" i="1" s="1"/>
  <c r="H1277" i="1" s="1"/>
  <c r="H1278" i="1" s="1"/>
  <c r="H1279" i="1" s="1"/>
  <c r="H1280" i="1" s="1"/>
  <c r="H1281" i="1" s="1"/>
  <c r="H1282" i="1" s="1"/>
  <c r="H1283" i="1" s="1"/>
  <c r="H1284" i="1" s="1"/>
  <c r="H1285" i="1" s="1"/>
  <c r="H1286" i="1" s="1"/>
  <c r="H1287" i="1" s="1"/>
  <c r="H1288" i="1" s="1"/>
  <c r="H1289" i="1" s="1"/>
  <c r="H1290" i="1" s="1"/>
  <c r="H1291" i="1" s="1"/>
  <c r="H1292" i="1" s="1"/>
  <c r="H1293" i="1" s="1"/>
  <c r="H1294" i="1" s="1"/>
  <c r="H1295" i="1" s="1"/>
  <c r="H1296" i="1" s="1"/>
  <c r="H1297" i="1" s="1"/>
  <c r="H1298" i="1" s="1"/>
  <c r="H1299" i="1" s="1"/>
  <c r="H1300" i="1" s="1"/>
  <c r="H1301" i="1" s="1"/>
  <c r="H1302" i="1" s="1"/>
  <c r="H1303" i="1" s="1"/>
  <c r="H1304" i="1" s="1"/>
  <c r="H1305" i="1" s="1"/>
  <c r="H1306" i="1" s="1"/>
  <c r="H1307" i="1" s="1"/>
  <c r="H1308" i="1" s="1"/>
  <c r="H1309" i="1" s="1"/>
  <c r="H1310" i="1" s="1"/>
  <c r="H1311" i="1" s="1"/>
  <c r="H1312" i="1" s="1"/>
  <c r="H1313" i="1" s="1"/>
  <c r="H1314" i="1" s="1"/>
  <c r="H1315" i="1" s="1"/>
  <c r="H1316" i="1" s="1"/>
  <c r="H1317" i="1" s="1"/>
  <c r="H1318" i="1" s="1"/>
  <c r="H1319" i="1" s="1"/>
  <c r="H1320" i="1" s="1"/>
  <c r="H1321" i="1" s="1"/>
  <c r="H1322" i="1" s="1"/>
  <c r="H1323" i="1" s="1"/>
  <c r="H1324" i="1" s="1"/>
  <c r="H1325" i="1" s="1"/>
  <c r="H1326" i="1" s="1"/>
  <c r="H1327" i="1" s="1"/>
  <c r="H1328" i="1" s="1"/>
  <c r="H1329" i="1" s="1"/>
  <c r="H1330" i="1" s="1"/>
  <c r="H1331" i="1" s="1"/>
  <c r="H1332" i="1" s="1"/>
  <c r="H1333" i="1" s="1"/>
  <c r="H1334" i="1" s="1"/>
  <c r="H1335" i="1" s="1"/>
  <c r="H1336" i="1" s="1"/>
  <c r="H1337" i="1" s="1"/>
  <c r="H1338" i="1" s="1"/>
  <c r="H1339" i="1" s="1"/>
  <c r="H1340" i="1" s="1"/>
  <c r="H1341" i="1" s="1"/>
  <c r="H1342" i="1" s="1"/>
  <c r="H1343" i="1" s="1"/>
  <c r="H1344" i="1" s="1"/>
  <c r="H1345" i="1" s="1"/>
  <c r="H1346" i="1" s="1"/>
  <c r="H1347" i="1" s="1"/>
  <c r="H1348" i="1" s="1"/>
  <c r="H1349" i="1" s="1"/>
  <c r="H1350" i="1" s="1"/>
  <c r="H1351" i="1" s="1"/>
  <c r="H1352" i="1" s="1"/>
  <c r="H1353" i="1" s="1"/>
  <c r="H1354" i="1" s="1"/>
  <c r="H1355" i="1" s="1"/>
  <c r="H1356" i="1" s="1"/>
  <c r="H1357" i="1" s="1"/>
  <c r="H1358" i="1" s="1"/>
  <c r="H1359" i="1" s="1"/>
  <c r="H1360" i="1" s="1"/>
  <c r="H1361" i="1" s="1"/>
  <c r="H1362" i="1" s="1"/>
  <c r="H1363" i="1" s="1"/>
  <c r="H1364" i="1" s="1"/>
  <c r="H1365" i="1" s="1"/>
  <c r="H1366" i="1" s="1"/>
  <c r="H1367" i="1" s="1"/>
  <c r="H1368" i="1" s="1"/>
  <c r="H1369" i="1" s="1"/>
  <c r="H1370" i="1" s="1"/>
  <c r="H1371" i="1" s="1"/>
  <c r="H1372" i="1" s="1"/>
  <c r="H1373" i="1" s="1"/>
  <c r="H1374" i="1" s="1"/>
  <c r="H1375" i="1" s="1"/>
  <c r="H1376" i="1" s="1"/>
  <c r="H1377" i="1" s="1"/>
  <c r="H1378" i="1" s="1"/>
  <c r="H1379" i="1" s="1"/>
  <c r="H1380" i="1" s="1"/>
  <c r="H1381" i="1" s="1"/>
  <c r="H1382" i="1" s="1"/>
  <c r="H1383" i="1" s="1"/>
  <c r="H1384" i="1" s="1"/>
  <c r="H1385" i="1" s="1"/>
  <c r="H1386" i="1" s="1"/>
  <c r="H1387" i="1" s="1"/>
  <c r="H1388" i="1" s="1"/>
  <c r="H1389" i="1" s="1"/>
  <c r="H1390" i="1" s="1"/>
  <c r="H1391" i="1" s="1"/>
  <c r="H1392" i="1" s="1"/>
  <c r="H1393" i="1" s="1"/>
  <c r="H1394" i="1" s="1"/>
  <c r="H1395" i="1" s="1"/>
  <c r="H1396" i="1" s="1"/>
  <c r="H1397" i="1" s="1"/>
  <c r="H1398" i="1" s="1"/>
  <c r="H1399" i="1" s="1"/>
  <c r="H1400" i="1" s="1"/>
  <c r="H1401" i="1" s="1"/>
  <c r="H1402" i="1" s="1"/>
  <c r="H1403" i="1" s="1"/>
  <c r="H1404" i="1" s="1"/>
  <c r="H1405" i="1" s="1"/>
  <c r="H1406" i="1" s="1"/>
  <c r="H1407" i="1" s="1"/>
  <c r="H1408" i="1" s="1"/>
  <c r="H1409" i="1" s="1"/>
  <c r="H1410" i="1" s="1"/>
  <c r="H1411" i="1" s="1"/>
  <c r="H1412" i="1" s="1"/>
  <c r="H1413" i="1" s="1"/>
  <c r="H1414" i="1" s="1"/>
  <c r="H1415" i="1" s="1"/>
  <c r="H1416" i="1" s="1"/>
  <c r="H1417" i="1" s="1"/>
  <c r="H1418" i="1" s="1"/>
  <c r="H1419" i="1" s="1"/>
  <c r="H1420" i="1" s="1"/>
  <c r="H1421" i="1" s="1"/>
  <c r="H1422" i="1" s="1"/>
  <c r="H1423" i="1" s="1"/>
  <c r="H1424" i="1" s="1"/>
  <c r="H1425" i="1" s="1"/>
  <c r="H1426" i="1" s="1"/>
  <c r="H1427" i="1" s="1"/>
  <c r="H1428" i="1" s="1"/>
  <c r="H1429" i="1" s="1"/>
  <c r="H1430" i="1" s="1"/>
  <c r="H1431" i="1" s="1"/>
  <c r="H1432" i="1" s="1"/>
  <c r="H1433" i="1" s="1"/>
  <c r="H1434" i="1" s="1"/>
  <c r="H1435" i="1" s="1"/>
  <c r="H1436" i="1" s="1"/>
  <c r="H1437" i="1" s="1"/>
  <c r="H1438" i="1" s="1"/>
  <c r="H1439" i="1" s="1"/>
  <c r="H1440" i="1" s="1"/>
  <c r="H1441" i="1" s="1"/>
  <c r="H1442" i="1" s="1"/>
  <c r="H1443" i="1" s="1"/>
  <c r="H1444" i="1" s="1"/>
  <c r="H1445" i="1" s="1"/>
  <c r="H1446" i="1" s="1"/>
  <c r="H1447" i="1" s="1"/>
  <c r="H1448" i="1" s="1"/>
  <c r="H1449" i="1" s="1"/>
  <c r="H1450" i="1" s="1"/>
  <c r="H1451" i="1" s="1"/>
  <c r="H1452" i="1" s="1"/>
  <c r="H1453" i="1" s="1"/>
  <c r="H1454" i="1" s="1"/>
  <c r="H1455" i="1" s="1"/>
  <c r="H1456" i="1" s="1"/>
  <c r="H1457" i="1" s="1"/>
  <c r="H1458" i="1" s="1"/>
  <c r="H1459" i="1" s="1"/>
  <c r="H1460" i="1" s="1"/>
  <c r="H1461" i="1" s="1"/>
  <c r="H1462" i="1" s="1"/>
  <c r="H1463" i="1" s="1"/>
  <c r="H1464" i="1" s="1"/>
  <c r="H1465" i="1" s="1"/>
  <c r="H1466" i="1" s="1"/>
  <c r="H1467" i="1" s="1"/>
  <c r="H1468" i="1" s="1"/>
  <c r="H1469" i="1" s="1"/>
  <c r="H1470" i="1" s="1"/>
  <c r="H1471" i="1" s="1"/>
  <c r="H1472" i="1" s="1"/>
  <c r="H1473" i="1" s="1"/>
  <c r="H1474" i="1" s="1"/>
  <c r="H1475" i="1" s="1"/>
  <c r="H1476" i="1" s="1"/>
  <c r="H1477" i="1" s="1"/>
  <c r="H1478" i="1" s="1"/>
  <c r="H1479" i="1" s="1"/>
  <c r="H1480" i="1" s="1"/>
  <c r="H1481" i="1" s="1"/>
  <c r="H1482" i="1" s="1"/>
  <c r="H1483" i="1" s="1"/>
  <c r="H1484" i="1" s="1"/>
  <c r="H1485" i="1" s="1"/>
  <c r="H1486" i="1" s="1"/>
  <c r="H1487" i="1" s="1"/>
  <c r="H1488" i="1" s="1"/>
  <c r="H1489" i="1" s="1"/>
  <c r="H1490" i="1" s="1"/>
  <c r="H1491" i="1" s="1"/>
  <c r="H1492" i="1" s="1"/>
  <c r="H1493" i="1" s="1"/>
  <c r="H1494" i="1" s="1"/>
  <c r="H1495" i="1" s="1"/>
  <c r="H1496" i="1" s="1"/>
  <c r="H1497" i="1" s="1"/>
  <c r="H1498" i="1" s="1"/>
  <c r="H1499" i="1" s="1"/>
  <c r="H1500" i="1" s="1"/>
  <c r="H1501" i="1" s="1"/>
  <c r="H1502" i="1" s="1"/>
  <c r="H1503" i="1" s="1"/>
  <c r="H1504" i="1" s="1"/>
  <c r="H1505" i="1" s="1"/>
  <c r="H1506" i="1" s="1"/>
  <c r="H1507" i="1" s="1"/>
  <c r="H1508" i="1" s="1"/>
  <c r="H1509" i="1" s="1"/>
  <c r="H1510" i="1" s="1"/>
  <c r="H1511" i="1" s="1"/>
  <c r="H1512" i="1" s="1"/>
  <c r="H1513" i="1" s="1"/>
  <c r="H1514" i="1" s="1"/>
  <c r="H1515" i="1" s="1"/>
  <c r="H1516" i="1" s="1"/>
  <c r="H1517" i="1" s="1"/>
  <c r="H1518" i="1" s="1"/>
  <c r="H1519" i="1" s="1"/>
  <c r="H1520" i="1" s="1"/>
  <c r="H1521" i="1" s="1"/>
  <c r="H1522" i="1" s="1"/>
  <c r="H1523" i="1" s="1"/>
  <c r="H1524" i="1" s="1"/>
  <c r="H1525" i="1" s="1"/>
  <c r="H1526" i="1" s="1"/>
  <c r="H1527" i="1" s="1"/>
  <c r="H1528" i="1" s="1"/>
  <c r="H1529" i="1" s="1"/>
  <c r="H1530" i="1" s="1"/>
  <c r="H1531" i="1" s="1"/>
  <c r="H1532" i="1" s="1"/>
  <c r="H1533" i="1" s="1"/>
  <c r="H1534" i="1" s="1"/>
  <c r="H1535" i="1" s="1"/>
  <c r="H1536" i="1" s="1"/>
  <c r="H1537" i="1" s="1"/>
  <c r="H1538" i="1" s="1"/>
  <c r="H1539" i="1" s="1"/>
  <c r="H1540" i="1" s="1"/>
  <c r="H1541" i="1" s="1"/>
  <c r="H1542" i="1" s="1"/>
  <c r="H1543" i="1" s="1"/>
  <c r="H1544" i="1" s="1"/>
  <c r="H1545" i="1" s="1"/>
  <c r="H1546" i="1" s="1"/>
  <c r="H1547" i="1" s="1"/>
  <c r="H1548" i="1" s="1"/>
  <c r="H1549" i="1" s="1"/>
  <c r="H1550" i="1" s="1"/>
  <c r="H1551" i="1" s="1"/>
  <c r="H1552" i="1" s="1"/>
  <c r="H1553" i="1" s="1"/>
  <c r="H1554" i="1" s="1"/>
  <c r="H1555" i="1" s="1"/>
  <c r="H1556" i="1" s="1"/>
  <c r="H1557" i="1" s="1"/>
  <c r="H1558" i="1" s="1"/>
  <c r="H1559" i="1" s="1"/>
  <c r="H1560" i="1" s="1"/>
  <c r="H1561" i="1" s="1"/>
  <c r="H1562" i="1" s="1"/>
  <c r="H1563" i="1" s="1"/>
  <c r="H1564" i="1" s="1"/>
  <c r="H1565" i="1" s="1"/>
  <c r="H1566" i="1" s="1"/>
  <c r="H1567" i="1" s="1"/>
  <c r="H1568" i="1" s="1"/>
  <c r="H1569" i="1" s="1"/>
  <c r="H1570" i="1" s="1"/>
  <c r="H1571" i="1" s="1"/>
  <c r="H1572" i="1" s="1"/>
  <c r="H1573" i="1" s="1"/>
  <c r="H1574" i="1" s="1"/>
  <c r="H1575" i="1" s="1"/>
  <c r="H1576" i="1" s="1"/>
  <c r="H1577" i="1" s="1"/>
  <c r="H1578" i="1" s="1"/>
  <c r="H1579" i="1" s="1"/>
  <c r="H1580" i="1" s="1"/>
  <c r="H1581" i="1" s="1"/>
  <c r="H1582" i="1" s="1"/>
  <c r="H1583" i="1" s="1"/>
  <c r="H1584" i="1" s="1"/>
  <c r="H1585" i="1" s="1"/>
  <c r="H1586" i="1" s="1"/>
  <c r="H1587" i="1" s="1"/>
  <c r="H1588" i="1" s="1"/>
  <c r="H1589" i="1" s="1"/>
  <c r="H1590" i="1" s="1"/>
  <c r="H1591" i="1" s="1"/>
  <c r="H1592" i="1" s="1"/>
  <c r="H1593" i="1" s="1"/>
  <c r="H1594" i="1" s="1"/>
  <c r="H1595" i="1" s="1"/>
  <c r="H1596" i="1" s="1"/>
  <c r="H1597" i="1" s="1"/>
  <c r="H1598" i="1" s="1"/>
  <c r="H1599" i="1" s="1"/>
  <c r="H1600" i="1" s="1"/>
  <c r="H1601" i="1" s="1"/>
  <c r="H1602" i="1" s="1"/>
  <c r="H1603" i="1" s="1"/>
  <c r="H1604" i="1" s="1"/>
  <c r="H1605" i="1" s="1"/>
  <c r="H1606" i="1" s="1"/>
  <c r="H1607" i="1" s="1"/>
  <c r="H1608" i="1" s="1"/>
  <c r="H1609" i="1" s="1"/>
  <c r="H1610" i="1" s="1"/>
  <c r="H1611" i="1" s="1"/>
  <c r="H1612" i="1" s="1"/>
  <c r="H1613" i="1" s="1"/>
  <c r="H1614" i="1" s="1"/>
  <c r="H1615" i="1" s="1"/>
  <c r="H1616" i="1" s="1"/>
  <c r="H1617" i="1" s="1"/>
  <c r="H1618" i="1" s="1"/>
  <c r="H1619" i="1" s="1"/>
  <c r="H1620" i="1" s="1"/>
  <c r="H1621" i="1" s="1"/>
  <c r="H1622" i="1" s="1"/>
  <c r="H1623" i="1" s="1"/>
  <c r="H1624" i="1" s="1"/>
  <c r="H1625" i="1" s="1"/>
  <c r="H1626" i="1" s="1"/>
  <c r="H1627" i="1" s="1"/>
  <c r="H1628" i="1" s="1"/>
  <c r="H1629" i="1" s="1"/>
  <c r="H1630" i="1" s="1"/>
  <c r="H1631" i="1" s="1"/>
  <c r="H1632" i="1" s="1"/>
  <c r="H1633" i="1" s="1"/>
  <c r="H1634" i="1" s="1"/>
  <c r="H1635" i="1" s="1"/>
  <c r="H1636" i="1" s="1"/>
  <c r="H1637" i="1" s="1"/>
  <c r="H1638" i="1" s="1"/>
  <c r="H1639" i="1" s="1"/>
  <c r="H1640" i="1" s="1"/>
  <c r="H1641" i="1" s="1"/>
  <c r="H1642" i="1" s="1"/>
  <c r="H1643" i="1" s="1"/>
  <c r="H1644" i="1" s="1"/>
  <c r="H1645" i="1" s="1"/>
  <c r="H1646" i="1" s="1"/>
  <c r="H1647" i="1" s="1"/>
  <c r="H1648" i="1" s="1"/>
  <c r="H1649" i="1" s="1"/>
  <c r="H1650" i="1" s="1"/>
  <c r="H1651" i="1" s="1"/>
  <c r="H1652" i="1" s="1"/>
  <c r="H1653" i="1" s="1"/>
  <c r="H1654" i="1" s="1"/>
  <c r="H1655" i="1" s="1"/>
  <c r="H1656" i="1" s="1"/>
  <c r="H1657" i="1" s="1"/>
  <c r="H1658" i="1" s="1"/>
  <c r="H1659" i="1" s="1"/>
  <c r="H1660" i="1" s="1"/>
  <c r="H1661" i="1" s="1"/>
  <c r="H1662" i="1" s="1"/>
  <c r="H1663" i="1" s="1"/>
  <c r="H1664" i="1" s="1"/>
  <c r="H1665" i="1" s="1"/>
  <c r="H1666" i="1" s="1"/>
  <c r="H1667" i="1" s="1"/>
  <c r="H1668" i="1" s="1"/>
  <c r="H1669" i="1" s="1"/>
  <c r="H1670" i="1" s="1"/>
  <c r="H1671" i="1" s="1"/>
  <c r="H1672" i="1" s="1"/>
  <c r="H1673" i="1" s="1"/>
  <c r="H1674" i="1" s="1"/>
  <c r="H1675" i="1" s="1"/>
  <c r="H1676" i="1" s="1"/>
  <c r="H1677" i="1" s="1"/>
  <c r="H1678" i="1" s="1"/>
  <c r="H1679" i="1" s="1"/>
  <c r="H1680" i="1" s="1"/>
  <c r="H1681" i="1" s="1"/>
  <c r="H1682" i="1" s="1"/>
  <c r="H1683" i="1" s="1"/>
  <c r="H1684" i="1" s="1"/>
  <c r="H1685" i="1" s="1"/>
  <c r="H1686" i="1" s="1"/>
  <c r="H1687" i="1" s="1"/>
  <c r="H1688" i="1" s="1"/>
  <c r="H1689" i="1" s="1"/>
  <c r="H1690" i="1" s="1"/>
  <c r="H1691" i="1" s="1"/>
  <c r="H1692" i="1" s="1"/>
  <c r="H1693" i="1" s="1"/>
  <c r="H1694" i="1" s="1"/>
  <c r="H1695" i="1" s="1"/>
  <c r="H1696" i="1" s="1"/>
  <c r="H1697" i="1" s="1"/>
  <c r="H1698" i="1" s="1"/>
  <c r="H1699" i="1" s="1"/>
  <c r="H1700" i="1" s="1"/>
  <c r="H1701" i="1" s="1"/>
  <c r="H1702" i="1" s="1"/>
  <c r="H1703" i="1" s="1"/>
  <c r="H1704" i="1" s="1"/>
  <c r="H1705" i="1" s="1"/>
  <c r="H1706" i="1" s="1"/>
  <c r="H1707" i="1" s="1"/>
  <c r="H1708" i="1" s="1"/>
  <c r="H1709" i="1" s="1"/>
  <c r="H1710" i="1" s="1"/>
  <c r="H1711" i="1" s="1"/>
  <c r="H1712" i="1" s="1"/>
  <c r="H1713" i="1" s="1"/>
  <c r="H1714" i="1" s="1"/>
  <c r="H1715" i="1" s="1"/>
  <c r="H1716" i="1" s="1"/>
  <c r="H1717" i="1" s="1"/>
  <c r="H1718" i="1" s="1"/>
  <c r="H1719" i="1" s="1"/>
  <c r="H1720" i="1" s="1"/>
  <c r="H1721" i="1" s="1"/>
  <c r="H1722" i="1" s="1"/>
  <c r="H1723" i="1" s="1"/>
  <c r="H1724" i="1" s="1"/>
  <c r="H1725" i="1" s="1"/>
  <c r="H1726" i="1" s="1"/>
  <c r="H1727" i="1" s="1"/>
  <c r="H1728" i="1" s="1"/>
  <c r="H1729" i="1" s="1"/>
  <c r="H1730" i="1" s="1"/>
  <c r="H1731" i="1" s="1"/>
  <c r="H1732" i="1" s="1"/>
  <c r="H1733" i="1" s="1"/>
  <c r="H1734" i="1" s="1"/>
  <c r="H1735" i="1" s="1"/>
  <c r="H1736" i="1" s="1"/>
  <c r="H1737" i="1" s="1"/>
  <c r="H1738" i="1" s="1"/>
  <c r="H1739" i="1" s="1"/>
  <c r="H1740" i="1" s="1"/>
  <c r="H1741" i="1" s="1"/>
  <c r="H1742" i="1" s="1"/>
  <c r="H1743" i="1" s="1"/>
  <c r="H1744" i="1" s="1"/>
  <c r="H1745" i="1" s="1"/>
  <c r="H1746" i="1" s="1"/>
  <c r="H1747" i="1" s="1"/>
  <c r="H1748" i="1" s="1"/>
  <c r="H1749" i="1" s="1"/>
  <c r="H1750" i="1" s="1"/>
  <c r="H1751" i="1" s="1"/>
  <c r="H1752" i="1" s="1"/>
  <c r="H1753" i="1" s="1"/>
  <c r="H1754" i="1" s="1"/>
  <c r="H1755" i="1" s="1"/>
  <c r="H1756" i="1" s="1"/>
  <c r="H1757" i="1" s="1"/>
  <c r="H1758" i="1" s="1"/>
  <c r="H1759" i="1" s="1"/>
  <c r="H1760" i="1" s="1"/>
  <c r="H1761" i="1" s="1"/>
  <c r="H1762" i="1" s="1"/>
  <c r="H1763" i="1" s="1"/>
  <c r="H1764" i="1" s="1"/>
  <c r="H1765" i="1" s="1"/>
  <c r="H1766" i="1" s="1"/>
  <c r="H1767" i="1" s="1"/>
  <c r="H1768" i="1" s="1"/>
  <c r="H1769" i="1" s="1"/>
  <c r="H1770" i="1" s="1"/>
  <c r="H1771" i="1" s="1"/>
  <c r="H1772" i="1" s="1"/>
  <c r="H1773" i="1" s="1"/>
  <c r="H1774" i="1" s="1"/>
  <c r="H1775" i="1" s="1"/>
  <c r="H1776" i="1" s="1"/>
  <c r="H1777" i="1" s="1"/>
  <c r="H1778" i="1" s="1"/>
  <c r="H1779" i="1" s="1"/>
  <c r="H1780" i="1" s="1"/>
  <c r="H1781" i="1" s="1"/>
  <c r="H1782" i="1" s="1"/>
  <c r="H1783" i="1" s="1"/>
  <c r="H1784" i="1" s="1"/>
  <c r="H1785" i="1" s="1"/>
  <c r="H1786" i="1" s="1"/>
  <c r="H1787" i="1" s="1"/>
  <c r="H1788" i="1" s="1"/>
  <c r="H1789" i="1" s="1"/>
  <c r="H1790" i="1" s="1"/>
  <c r="H1791" i="1" s="1"/>
  <c r="H1792" i="1" s="1"/>
  <c r="H1793" i="1" s="1"/>
  <c r="H1794" i="1" s="1"/>
  <c r="H1795" i="1" s="1"/>
  <c r="H1796" i="1" s="1"/>
  <c r="H1797" i="1" s="1"/>
  <c r="H1798" i="1" s="1"/>
  <c r="H1799" i="1" s="1"/>
  <c r="H1800" i="1" s="1"/>
  <c r="H1801" i="1" s="1"/>
  <c r="H1802" i="1" s="1"/>
  <c r="H1803" i="1" s="1"/>
  <c r="H1804" i="1" s="1"/>
  <c r="H1805" i="1" s="1"/>
  <c r="H1806" i="1" s="1"/>
  <c r="H1807" i="1" s="1"/>
  <c r="H1808" i="1" s="1"/>
  <c r="H1809" i="1" s="1"/>
  <c r="H1810" i="1" s="1"/>
  <c r="H1811" i="1" s="1"/>
  <c r="H1812" i="1" s="1"/>
  <c r="H1813" i="1" s="1"/>
  <c r="H1814" i="1" s="1"/>
  <c r="H1815" i="1" s="1"/>
  <c r="H1816" i="1" s="1"/>
  <c r="H1817" i="1" s="1"/>
  <c r="H1818" i="1" s="1"/>
  <c r="H1819" i="1" s="1"/>
  <c r="H1820" i="1" s="1"/>
  <c r="H1821" i="1" s="1"/>
  <c r="H1822" i="1" s="1"/>
  <c r="H1823" i="1" s="1"/>
  <c r="H1824" i="1" s="1"/>
  <c r="H1825" i="1" s="1"/>
  <c r="H1826" i="1" s="1"/>
  <c r="H1827" i="1" s="1"/>
  <c r="H1828" i="1" s="1"/>
  <c r="H1829" i="1" s="1"/>
  <c r="H1830" i="1" s="1"/>
  <c r="H1831" i="1" s="1"/>
  <c r="H1832" i="1" s="1"/>
  <c r="H1833" i="1" s="1"/>
  <c r="H1834" i="1" s="1"/>
  <c r="H1835" i="1" s="1"/>
  <c r="H1836" i="1" s="1"/>
  <c r="H1837" i="1" s="1"/>
  <c r="H1838" i="1" s="1"/>
  <c r="H1839" i="1" s="1"/>
  <c r="H1840" i="1" s="1"/>
  <c r="H1841" i="1" s="1"/>
  <c r="H1842" i="1" s="1"/>
  <c r="H1843" i="1" s="1"/>
  <c r="H1844" i="1" s="1"/>
  <c r="H1845" i="1" s="1"/>
  <c r="H1846" i="1" s="1"/>
  <c r="H1847" i="1" s="1"/>
  <c r="H1848" i="1" s="1"/>
  <c r="H1849" i="1" s="1"/>
  <c r="H1850" i="1" s="1"/>
  <c r="H1851" i="1" s="1"/>
  <c r="H1852" i="1" s="1"/>
  <c r="H1853" i="1" s="1"/>
  <c r="H1854" i="1" s="1"/>
  <c r="H1855" i="1" s="1"/>
  <c r="H1856" i="1" s="1"/>
  <c r="H1857" i="1" s="1"/>
  <c r="H1858" i="1" s="1"/>
  <c r="H1859" i="1" s="1"/>
  <c r="H1860" i="1" s="1"/>
  <c r="H1861" i="1" s="1"/>
  <c r="H1862" i="1" s="1"/>
  <c r="H1863" i="1" s="1"/>
  <c r="H1864" i="1" s="1"/>
  <c r="H1865" i="1" s="1"/>
  <c r="H1866" i="1" s="1"/>
  <c r="H1867" i="1" s="1"/>
  <c r="H1868" i="1" s="1"/>
  <c r="H1869" i="1" s="1"/>
  <c r="H1870" i="1" s="1"/>
  <c r="H1871" i="1" s="1"/>
  <c r="H1872" i="1" s="1"/>
  <c r="H1873" i="1" s="1"/>
  <c r="H1874" i="1" s="1"/>
  <c r="H1875" i="1" s="1"/>
  <c r="H1876" i="1" s="1"/>
  <c r="H1877" i="1" s="1"/>
  <c r="H1878" i="1" s="1"/>
  <c r="H1879" i="1" s="1"/>
  <c r="H1880" i="1" s="1"/>
  <c r="H1881" i="1" s="1"/>
  <c r="H1882" i="1" s="1"/>
  <c r="H1883" i="1" s="1"/>
  <c r="H1884" i="1" s="1"/>
  <c r="H1885" i="1" s="1"/>
  <c r="H1886" i="1" s="1"/>
  <c r="H1887" i="1" s="1"/>
  <c r="H1888" i="1" s="1"/>
  <c r="H1889" i="1" s="1"/>
  <c r="H1890" i="1" s="1"/>
  <c r="H1891" i="1" s="1"/>
  <c r="H1892" i="1" s="1"/>
  <c r="H1893" i="1" s="1"/>
  <c r="H1894" i="1" s="1"/>
  <c r="H1895" i="1" s="1"/>
  <c r="H1896" i="1" s="1"/>
  <c r="H1897" i="1" s="1"/>
  <c r="H1898" i="1" s="1"/>
  <c r="H1899" i="1" s="1"/>
  <c r="H1900" i="1" s="1"/>
  <c r="H1901" i="1" s="1"/>
  <c r="H1902" i="1" s="1"/>
  <c r="H1903" i="1" s="1"/>
  <c r="H1904" i="1" s="1"/>
  <c r="H1905" i="1" s="1"/>
  <c r="H1906" i="1" s="1"/>
  <c r="H1907" i="1" s="1"/>
  <c r="H1908" i="1" s="1"/>
  <c r="H1909" i="1" s="1"/>
  <c r="H1910" i="1" s="1"/>
  <c r="H1911" i="1" s="1"/>
  <c r="H1912" i="1" s="1"/>
  <c r="H1913" i="1" s="1"/>
  <c r="H1914" i="1" s="1"/>
  <c r="H1915" i="1" s="1"/>
  <c r="H1916" i="1" s="1"/>
  <c r="H1917" i="1" s="1"/>
  <c r="H1918" i="1" s="1"/>
  <c r="H1919" i="1" s="1"/>
  <c r="H1920" i="1" s="1"/>
  <c r="H1921" i="1" s="1"/>
  <c r="H1922" i="1" s="1"/>
  <c r="H1923" i="1" s="1"/>
  <c r="H1924" i="1" s="1"/>
  <c r="H1925" i="1" s="1"/>
  <c r="H1926" i="1" s="1"/>
  <c r="H1927" i="1" s="1"/>
  <c r="H1928" i="1" s="1"/>
  <c r="H1929" i="1" s="1"/>
  <c r="H1930" i="1" s="1"/>
  <c r="H1931" i="1" s="1"/>
  <c r="H1932" i="1" s="1"/>
  <c r="H1933" i="1" s="1"/>
  <c r="H1934" i="1" s="1"/>
  <c r="H1935" i="1" s="1"/>
  <c r="H1936" i="1" s="1"/>
  <c r="H1937" i="1" s="1"/>
  <c r="H1938" i="1" s="1"/>
  <c r="H1939" i="1" s="1"/>
  <c r="H1940" i="1" s="1"/>
  <c r="H1941" i="1" s="1"/>
  <c r="H1942" i="1" s="1"/>
  <c r="H1943" i="1" s="1"/>
  <c r="H1944" i="1" s="1"/>
  <c r="H1945" i="1" s="1"/>
  <c r="H1946" i="1" s="1"/>
  <c r="H1947" i="1" s="1"/>
  <c r="H1948" i="1" s="1"/>
  <c r="H1949" i="1" s="1"/>
  <c r="H1950" i="1" s="1"/>
  <c r="H1951" i="1" s="1"/>
  <c r="H1952" i="1" s="1"/>
  <c r="H1953" i="1" s="1"/>
  <c r="H1954" i="1" s="1"/>
  <c r="H1955" i="1" s="1"/>
  <c r="H1956" i="1" s="1"/>
  <c r="H1957" i="1" s="1"/>
  <c r="H1958" i="1" s="1"/>
  <c r="H1959" i="1" s="1"/>
  <c r="H1960" i="1" s="1"/>
  <c r="H1961" i="1" s="1"/>
  <c r="H1962" i="1" s="1"/>
  <c r="H1963" i="1" s="1"/>
  <c r="H1964" i="1" s="1"/>
  <c r="H1965" i="1" s="1"/>
  <c r="H1966" i="1" s="1"/>
  <c r="H1967" i="1" s="1"/>
  <c r="H1968" i="1" s="1"/>
  <c r="H1969" i="1" s="1"/>
  <c r="H1970" i="1" s="1"/>
  <c r="H1971" i="1" s="1"/>
  <c r="H1972" i="1" s="1"/>
  <c r="H1973" i="1" s="1"/>
  <c r="H1974" i="1" s="1"/>
  <c r="H1975" i="1" s="1"/>
  <c r="H1976" i="1" s="1"/>
  <c r="H1977" i="1" s="1"/>
  <c r="H1978" i="1" s="1"/>
  <c r="H1979" i="1" s="1"/>
  <c r="H1980" i="1" s="1"/>
  <c r="H1981" i="1" s="1"/>
  <c r="H1982" i="1" s="1"/>
  <c r="H1983" i="1" s="1"/>
  <c r="H1984" i="1" s="1"/>
  <c r="H1985" i="1" s="1"/>
  <c r="H1986" i="1" s="1"/>
  <c r="H1987" i="1" s="1"/>
  <c r="H1988" i="1" s="1"/>
  <c r="H1989" i="1" s="1"/>
  <c r="H1990" i="1" s="1"/>
  <c r="H1991" i="1" s="1"/>
  <c r="H1992" i="1" s="1"/>
  <c r="H1993" i="1" s="1"/>
  <c r="H1994" i="1" s="1"/>
  <c r="H1995" i="1" s="1"/>
  <c r="H1996" i="1" s="1"/>
  <c r="H1997" i="1" s="1"/>
  <c r="H1998" i="1" s="1"/>
  <c r="H1999" i="1" s="1"/>
  <c r="H2000" i="1" s="1"/>
  <c r="H2001" i="1" s="1"/>
  <c r="H2002" i="1" s="1"/>
  <c r="H2003" i="1" s="1"/>
  <c r="H2004" i="1" s="1"/>
  <c r="H2005" i="1" s="1"/>
  <c r="H2006" i="1" s="1"/>
  <c r="H2007" i="1" s="1"/>
  <c r="H2008" i="1" s="1"/>
  <c r="H2009" i="1" s="1"/>
  <c r="H2010" i="1" s="1"/>
  <c r="H2011" i="1" s="1"/>
  <c r="H2012" i="1" s="1"/>
  <c r="H2013" i="1" s="1"/>
  <c r="H2014" i="1" s="1"/>
  <c r="H2015" i="1" s="1"/>
  <c r="H2016" i="1" s="1"/>
  <c r="H2017" i="1" s="1"/>
  <c r="H2018" i="1" s="1"/>
  <c r="H2019" i="1" s="1"/>
  <c r="H2020" i="1" s="1"/>
  <c r="H2021" i="1" s="1"/>
  <c r="H2022" i="1" s="1"/>
  <c r="H2023" i="1" s="1"/>
  <c r="H2024" i="1" s="1"/>
  <c r="H2025" i="1" s="1"/>
  <c r="H2026" i="1" s="1"/>
  <c r="H2027" i="1" s="1"/>
  <c r="H2028" i="1" s="1"/>
  <c r="H2029" i="1" s="1"/>
  <c r="H2030" i="1" s="1"/>
  <c r="H2031" i="1" s="1"/>
  <c r="H2032" i="1" s="1"/>
  <c r="H2033" i="1" s="1"/>
  <c r="H2034" i="1" s="1"/>
  <c r="H2035" i="1" s="1"/>
  <c r="H2036" i="1" s="1"/>
  <c r="H2037" i="1" s="1"/>
  <c r="H2038" i="1" s="1"/>
  <c r="H2039" i="1" s="1"/>
  <c r="H2040" i="1" s="1"/>
  <c r="H2041" i="1" s="1"/>
  <c r="H2042" i="1" s="1"/>
  <c r="H2043" i="1" s="1"/>
  <c r="H2044" i="1" s="1"/>
  <c r="H2045" i="1" s="1"/>
  <c r="H2046" i="1" s="1"/>
  <c r="H2047" i="1" s="1"/>
  <c r="H2048" i="1" s="1"/>
  <c r="H2049" i="1" s="1"/>
  <c r="H2050" i="1" s="1"/>
  <c r="H2051" i="1" s="1"/>
  <c r="H2052" i="1" s="1"/>
  <c r="H2053" i="1" s="1"/>
  <c r="H2054" i="1" s="1"/>
  <c r="H2055" i="1" s="1"/>
  <c r="H2056" i="1" s="1"/>
  <c r="H2057" i="1" s="1"/>
  <c r="H2058" i="1" s="1"/>
  <c r="H2059" i="1" s="1"/>
  <c r="H2060" i="1" s="1"/>
  <c r="H2061" i="1" s="1"/>
  <c r="H2062" i="1" s="1"/>
  <c r="H2063" i="1" s="1"/>
  <c r="H2064" i="1" s="1"/>
  <c r="H2065" i="1" s="1"/>
  <c r="H2066" i="1" s="1"/>
  <c r="H2067" i="1" s="1"/>
  <c r="H2068" i="1" s="1"/>
  <c r="H2069" i="1" s="1"/>
  <c r="H2070" i="1" s="1"/>
  <c r="H2071" i="1" s="1"/>
  <c r="H2072" i="1" s="1"/>
  <c r="H2073" i="1" s="1"/>
  <c r="H2074" i="1" s="1"/>
  <c r="H2075" i="1" s="1"/>
  <c r="H2076" i="1" s="1"/>
  <c r="H2077" i="1" s="1"/>
  <c r="H2078" i="1" s="1"/>
  <c r="H2079" i="1" s="1"/>
  <c r="H2080" i="1" s="1"/>
  <c r="H2081" i="1" s="1"/>
  <c r="H2082" i="1" s="1"/>
  <c r="H2083" i="1" s="1"/>
  <c r="H2084" i="1" s="1"/>
  <c r="H2085" i="1" s="1"/>
  <c r="H2086" i="1" s="1"/>
  <c r="H2087" i="1" s="1"/>
  <c r="H2088" i="1" s="1"/>
  <c r="H2089" i="1" s="1"/>
  <c r="H2090" i="1" s="1"/>
  <c r="H2091" i="1" s="1"/>
  <c r="H2092" i="1" s="1"/>
  <c r="H2093" i="1" s="1"/>
  <c r="H2094" i="1" s="1"/>
  <c r="H2095" i="1" s="1"/>
  <c r="H2096" i="1" s="1"/>
  <c r="H2097" i="1" s="1"/>
  <c r="H2098" i="1" s="1"/>
  <c r="H2099" i="1" s="1"/>
  <c r="H2100" i="1" s="1"/>
  <c r="H2101" i="1" s="1"/>
  <c r="H2102" i="1" s="1"/>
  <c r="H2103" i="1" s="1"/>
  <c r="H2104" i="1" s="1"/>
  <c r="H2105" i="1" s="1"/>
  <c r="H2106" i="1" s="1"/>
  <c r="H2107" i="1" s="1"/>
  <c r="H2108" i="1" s="1"/>
  <c r="H2109" i="1" s="1"/>
  <c r="H2110" i="1" s="1"/>
  <c r="H2111" i="1" s="1"/>
  <c r="H2112" i="1" s="1"/>
  <c r="H2113" i="1" s="1"/>
  <c r="H2114" i="1" s="1"/>
  <c r="H2115" i="1" s="1"/>
  <c r="H2116" i="1" s="1"/>
  <c r="H2117" i="1" s="1"/>
  <c r="H2118" i="1" s="1"/>
  <c r="H2119" i="1" s="1"/>
  <c r="H2120" i="1" s="1"/>
  <c r="H2121" i="1" s="1"/>
  <c r="H2122" i="1" s="1"/>
  <c r="H2123" i="1" s="1"/>
  <c r="H2124" i="1" s="1"/>
  <c r="H2125" i="1" s="1"/>
  <c r="H2126" i="1" s="1"/>
  <c r="H2127" i="1" s="1"/>
  <c r="H2128" i="1" s="1"/>
  <c r="H2129" i="1" s="1"/>
  <c r="H2130" i="1" s="1"/>
  <c r="H2131" i="1" s="1"/>
  <c r="H2132" i="1" s="1"/>
  <c r="H2133" i="1" s="1"/>
  <c r="H2134" i="1" s="1"/>
  <c r="H2135" i="1" s="1"/>
  <c r="H2136" i="1" s="1"/>
  <c r="H2137" i="1" s="1"/>
  <c r="H2138" i="1" s="1"/>
  <c r="H2139" i="1" s="1"/>
  <c r="H2140" i="1" s="1"/>
  <c r="H2141" i="1" s="1"/>
  <c r="H2142" i="1" s="1"/>
  <c r="H2143" i="1" s="1"/>
  <c r="H2144" i="1" s="1"/>
  <c r="H2145" i="1" s="1"/>
  <c r="H2146" i="1" s="1"/>
  <c r="H2147" i="1" s="1"/>
  <c r="H2148" i="1" s="1"/>
  <c r="H2149" i="1" s="1"/>
  <c r="H2150" i="1" s="1"/>
  <c r="H2151" i="1" s="1"/>
  <c r="H2152" i="1" s="1"/>
  <c r="H2153" i="1" s="1"/>
  <c r="H2154" i="1" s="1"/>
  <c r="H2155" i="1" s="1"/>
  <c r="H2156" i="1" s="1"/>
  <c r="H2157" i="1" s="1"/>
  <c r="H2158" i="1" s="1"/>
  <c r="H2159" i="1" s="1"/>
  <c r="H2160" i="1" s="1"/>
  <c r="H2161" i="1" s="1"/>
  <c r="H2162" i="1" s="1"/>
  <c r="H2163" i="1" s="1"/>
  <c r="H2164" i="1" s="1"/>
  <c r="H2165" i="1" s="1"/>
  <c r="H2166" i="1" s="1"/>
  <c r="H2167" i="1" s="1"/>
  <c r="H2168" i="1" s="1"/>
  <c r="H2169" i="1" s="1"/>
  <c r="H2170" i="1" s="1"/>
  <c r="H2171" i="1" s="1"/>
  <c r="H2172" i="1" s="1"/>
  <c r="H2173" i="1" s="1"/>
  <c r="H2174" i="1" s="1"/>
  <c r="H2175" i="1" s="1"/>
  <c r="H2176" i="1" s="1"/>
  <c r="H2177" i="1" s="1"/>
  <c r="H2178" i="1" s="1"/>
  <c r="H2179" i="1" s="1"/>
  <c r="H2180" i="1" s="1"/>
  <c r="H2181" i="1" s="1"/>
  <c r="H2182" i="1" s="1"/>
  <c r="H2183" i="1" s="1"/>
  <c r="H2184" i="1" s="1"/>
  <c r="H2185" i="1" s="1"/>
  <c r="H2186" i="1" s="1"/>
  <c r="H2187" i="1" s="1"/>
  <c r="H2188" i="1" s="1"/>
  <c r="H2189" i="1" s="1"/>
  <c r="H2190" i="1" s="1"/>
  <c r="H2191" i="1" s="1"/>
  <c r="H2192" i="1" s="1"/>
  <c r="H2193" i="1" s="1"/>
  <c r="H2194" i="1" s="1"/>
  <c r="H2195" i="1" s="1"/>
  <c r="H2196" i="1" s="1"/>
  <c r="H2197" i="1" s="1"/>
  <c r="H2198" i="1" s="1"/>
  <c r="H2199" i="1" s="1"/>
  <c r="H2200" i="1" s="1"/>
  <c r="H2201" i="1" s="1"/>
  <c r="H2202" i="1" s="1"/>
  <c r="H2203" i="1" s="1"/>
  <c r="H2204" i="1" s="1"/>
  <c r="H2205" i="1" s="1"/>
  <c r="H2206" i="1" s="1"/>
  <c r="H2207" i="1" s="1"/>
  <c r="H2208" i="1" s="1"/>
  <c r="H2209" i="1" s="1"/>
  <c r="H2210" i="1" s="1"/>
  <c r="H2211" i="1" s="1"/>
  <c r="H2212" i="1" s="1"/>
  <c r="H2213" i="1" s="1"/>
  <c r="H2214" i="1" s="1"/>
  <c r="H2215" i="1" s="1"/>
  <c r="H2216" i="1" s="1"/>
  <c r="H2217" i="1" s="1"/>
  <c r="H2218" i="1" s="1"/>
  <c r="H2219" i="1" s="1"/>
  <c r="H2220" i="1" s="1"/>
  <c r="H2221" i="1" s="1"/>
  <c r="H2222" i="1" s="1"/>
  <c r="H2223" i="1" s="1"/>
  <c r="H2224" i="1" s="1"/>
  <c r="H2225" i="1" s="1"/>
  <c r="H2226" i="1" s="1"/>
  <c r="H2227" i="1" s="1"/>
  <c r="H2228" i="1" s="1"/>
  <c r="H2229" i="1" s="1"/>
  <c r="H2230" i="1" s="1"/>
  <c r="H2231" i="1" s="1"/>
  <c r="H2232" i="1" s="1"/>
  <c r="H2233" i="1" s="1"/>
  <c r="H2234" i="1" s="1"/>
  <c r="H2235" i="1" s="1"/>
  <c r="H2236" i="1" s="1"/>
  <c r="H2237" i="1" s="1"/>
  <c r="H2238" i="1" s="1"/>
  <c r="H2239" i="1" s="1"/>
  <c r="H2240" i="1" s="1"/>
  <c r="H2241" i="1" s="1"/>
  <c r="H2242" i="1" s="1"/>
  <c r="H2243" i="1" s="1"/>
  <c r="H2244" i="1" s="1"/>
  <c r="H2245" i="1" s="1"/>
  <c r="H2246" i="1" s="1"/>
  <c r="H2247" i="1" s="1"/>
  <c r="H2248" i="1" s="1"/>
  <c r="H2249" i="1" s="1"/>
  <c r="H2250" i="1" s="1"/>
  <c r="H2251" i="1" s="1"/>
  <c r="H2252" i="1" s="1"/>
  <c r="H2253" i="1" s="1"/>
  <c r="H2254" i="1" s="1"/>
  <c r="H2255" i="1" s="1"/>
  <c r="H2256" i="1" s="1"/>
  <c r="H2257" i="1" s="1"/>
  <c r="H2258" i="1" s="1"/>
  <c r="H2259" i="1" s="1"/>
  <c r="H2260" i="1" s="1"/>
  <c r="H2261" i="1" s="1"/>
  <c r="H2262" i="1" s="1"/>
  <c r="H2263" i="1" s="1"/>
  <c r="H2264" i="1" s="1"/>
  <c r="H2265" i="1" s="1"/>
  <c r="H2266" i="1" s="1"/>
  <c r="H2267" i="1" s="1"/>
  <c r="H2268" i="1" s="1"/>
  <c r="H2269" i="1" s="1"/>
  <c r="H2270" i="1" s="1"/>
  <c r="H2271" i="1" s="1"/>
  <c r="H2272" i="1" s="1"/>
  <c r="H2273" i="1" s="1"/>
  <c r="H2274" i="1" s="1"/>
  <c r="H2275" i="1" s="1"/>
  <c r="H2276" i="1" s="1"/>
  <c r="H2277" i="1" s="1"/>
  <c r="H2278" i="1" s="1"/>
  <c r="H2279" i="1" s="1"/>
  <c r="H2280" i="1" s="1"/>
  <c r="H2281" i="1" s="1"/>
  <c r="H2282" i="1" s="1"/>
  <c r="H2283" i="1" s="1"/>
  <c r="H2284" i="1" s="1"/>
  <c r="H2285" i="1" s="1"/>
  <c r="H2286" i="1" s="1"/>
  <c r="H2287" i="1" s="1"/>
  <c r="H2288" i="1" s="1"/>
  <c r="H2289" i="1" s="1"/>
  <c r="H2290" i="1" s="1"/>
  <c r="H2291" i="1" s="1"/>
  <c r="H2292" i="1" s="1"/>
  <c r="H2293" i="1" s="1"/>
  <c r="H2294" i="1" s="1"/>
  <c r="H2295" i="1" s="1"/>
  <c r="H2296" i="1" s="1"/>
  <c r="H2297" i="1" s="1"/>
  <c r="H2298" i="1" s="1"/>
  <c r="H2299" i="1" s="1"/>
  <c r="H2300" i="1" s="1"/>
  <c r="H2301" i="1" s="1"/>
  <c r="H2302" i="1" s="1"/>
  <c r="H2303" i="1" s="1"/>
  <c r="H2304" i="1" s="1"/>
  <c r="H2305" i="1" s="1"/>
  <c r="H2306" i="1" s="1"/>
  <c r="H2307" i="1" s="1"/>
  <c r="H2308" i="1" s="1"/>
  <c r="H2309" i="1" s="1"/>
  <c r="H2310" i="1" s="1"/>
  <c r="H2311" i="1" s="1"/>
  <c r="H2312" i="1" s="1"/>
  <c r="H2313" i="1" s="1"/>
  <c r="H2314" i="1" s="1"/>
  <c r="H2315" i="1" s="1"/>
  <c r="H2316" i="1" s="1"/>
  <c r="H2317" i="1" s="1"/>
  <c r="H2318" i="1" s="1"/>
  <c r="H2319" i="1" s="1"/>
  <c r="H2320" i="1" s="1"/>
  <c r="H2321" i="1" s="1"/>
  <c r="H2322" i="1" s="1"/>
  <c r="H2323" i="1" s="1"/>
  <c r="H2324" i="1" s="1"/>
  <c r="H2325" i="1" s="1"/>
  <c r="H2326" i="1" s="1"/>
  <c r="H2327" i="1" s="1"/>
  <c r="H2328" i="1" s="1"/>
  <c r="H2329" i="1" s="1"/>
  <c r="H2330" i="1" s="1"/>
  <c r="H2331" i="1" s="1"/>
  <c r="H2332" i="1" s="1"/>
  <c r="H2333" i="1" s="1"/>
  <c r="H2334" i="1" s="1"/>
  <c r="H2335" i="1" s="1"/>
  <c r="H2336" i="1" s="1"/>
  <c r="H2337" i="1" s="1"/>
  <c r="H2338" i="1" s="1"/>
  <c r="H2339" i="1" s="1"/>
  <c r="H2340" i="1" s="1"/>
  <c r="H2341" i="1" s="1"/>
  <c r="H2342" i="1" s="1"/>
  <c r="H2343" i="1" s="1"/>
  <c r="H2344" i="1" s="1"/>
  <c r="H2345" i="1" s="1"/>
  <c r="H2346" i="1" s="1"/>
  <c r="H2347" i="1" s="1"/>
  <c r="H2348" i="1" s="1"/>
  <c r="H2349" i="1" s="1"/>
  <c r="H2350" i="1" s="1"/>
  <c r="H2351" i="1" s="1"/>
  <c r="H2352" i="1" s="1"/>
  <c r="H2353" i="1" s="1"/>
  <c r="H2354" i="1" s="1"/>
  <c r="H2355" i="1" s="1"/>
  <c r="H2356" i="1" s="1"/>
  <c r="H2357" i="1" s="1"/>
  <c r="H2358" i="1" s="1"/>
  <c r="H2359" i="1" s="1"/>
  <c r="H2360" i="1" s="1"/>
  <c r="H2361" i="1" s="1"/>
  <c r="H2362" i="1" s="1"/>
  <c r="H2363" i="1" s="1"/>
  <c r="H2364" i="1" s="1"/>
  <c r="H2365" i="1" s="1"/>
  <c r="H2366" i="1" s="1"/>
  <c r="H2367" i="1" s="1"/>
  <c r="H2368" i="1" s="1"/>
  <c r="H2369" i="1" s="1"/>
  <c r="H2370" i="1" s="1"/>
  <c r="H2371" i="1" s="1"/>
  <c r="H2372" i="1" s="1"/>
  <c r="H2373" i="1" s="1"/>
  <c r="H2374" i="1" s="1"/>
  <c r="H2375" i="1" s="1"/>
  <c r="H2376" i="1" s="1"/>
  <c r="H2377" i="1" s="1"/>
  <c r="H2378" i="1" s="1"/>
  <c r="H2379" i="1" s="1"/>
  <c r="H2380" i="1" s="1"/>
  <c r="H2381" i="1" s="1"/>
  <c r="H2382" i="1" s="1"/>
  <c r="H2383" i="1" s="1"/>
  <c r="H2384" i="1" s="1"/>
  <c r="H2385" i="1" s="1"/>
  <c r="H2386" i="1" s="1"/>
  <c r="H2387" i="1" s="1"/>
  <c r="H2388" i="1" s="1"/>
  <c r="H2389" i="1" s="1"/>
  <c r="H2390" i="1" s="1"/>
  <c r="H2391" i="1" s="1"/>
  <c r="H2392" i="1" s="1"/>
  <c r="H2393" i="1" s="1"/>
  <c r="H2394" i="1" s="1"/>
  <c r="H2395" i="1" s="1"/>
  <c r="H2396" i="1" s="1"/>
  <c r="H2397" i="1" s="1"/>
  <c r="H2398" i="1" s="1"/>
  <c r="H2399" i="1" s="1"/>
  <c r="H2400" i="1" s="1"/>
  <c r="H2401" i="1" s="1"/>
  <c r="H2402" i="1" s="1"/>
  <c r="H2403" i="1" s="1"/>
  <c r="H2404" i="1" s="1"/>
  <c r="H2405" i="1" s="1"/>
  <c r="H2406" i="1" s="1"/>
  <c r="H2407" i="1" s="1"/>
  <c r="H2408" i="1" s="1"/>
  <c r="H2409" i="1" s="1"/>
  <c r="H2410" i="1" s="1"/>
  <c r="H2411" i="1" s="1"/>
  <c r="H2412" i="1" s="1"/>
  <c r="H2413" i="1" s="1"/>
  <c r="H2414" i="1" s="1"/>
  <c r="H2415" i="1" s="1"/>
  <c r="H2416" i="1" s="1"/>
  <c r="H2417" i="1" s="1"/>
  <c r="H2418" i="1" s="1"/>
  <c r="H2419" i="1" s="1"/>
  <c r="H2420" i="1" s="1"/>
  <c r="H2421" i="1" s="1"/>
  <c r="H2422" i="1" s="1"/>
  <c r="H2423" i="1" s="1"/>
  <c r="H2424" i="1" s="1"/>
  <c r="H2425" i="1" s="1"/>
  <c r="H2426" i="1" s="1"/>
  <c r="H2427" i="1" s="1"/>
  <c r="H2428" i="1" s="1"/>
  <c r="H2429" i="1" s="1"/>
  <c r="H2430" i="1" s="1"/>
  <c r="H2431" i="1" s="1"/>
  <c r="H2432" i="1" s="1"/>
  <c r="H2433" i="1" s="1"/>
  <c r="H2434" i="1" s="1"/>
  <c r="H2435" i="1" s="1"/>
  <c r="H2436" i="1" s="1"/>
  <c r="H2437" i="1" s="1"/>
  <c r="H2438" i="1" s="1"/>
  <c r="H2439" i="1" s="1"/>
  <c r="H2440" i="1" s="1"/>
  <c r="H2441" i="1" s="1"/>
  <c r="H2442" i="1" s="1"/>
  <c r="H2443" i="1" s="1"/>
  <c r="H2444" i="1" s="1"/>
  <c r="H2445" i="1" s="1"/>
  <c r="H2446" i="1" s="1"/>
  <c r="H2447" i="1" s="1"/>
  <c r="H2448" i="1" s="1"/>
  <c r="H2449" i="1" s="1"/>
  <c r="H2450" i="1" s="1"/>
  <c r="H2451" i="1" s="1"/>
  <c r="H2452" i="1" s="1"/>
  <c r="H2453" i="1" s="1"/>
  <c r="H2454" i="1" s="1"/>
  <c r="H2455" i="1" s="1"/>
  <c r="H2456" i="1" s="1"/>
  <c r="H2457" i="1" s="1"/>
  <c r="H2458" i="1" s="1"/>
  <c r="H2459" i="1" s="1"/>
  <c r="H2460" i="1" s="1"/>
  <c r="H2461" i="1" s="1"/>
  <c r="H2462" i="1" s="1"/>
  <c r="H2463" i="1" s="1"/>
  <c r="H2464" i="1" s="1"/>
  <c r="H2465" i="1" s="1"/>
  <c r="H2466" i="1" s="1"/>
  <c r="H2467" i="1" s="1"/>
  <c r="H2468" i="1" s="1"/>
  <c r="H2469" i="1" s="1"/>
  <c r="H2470" i="1" s="1"/>
  <c r="H2471" i="1" s="1"/>
  <c r="H2472" i="1" s="1"/>
  <c r="H2473" i="1" s="1"/>
  <c r="H2474" i="1" s="1"/>
  <c r="H2475" i="1" s="1"/>
  <c r="H2476" i="1" s="1"/>
  <c r="H2477" i="1" s="1"/>
  <c r="H2478" i="1" s="1"/>
  <c r="H2479" i="1" s="1"/>
  <c r="H2480" i="1" s="1"/>
  <c r="H2481" i="1" s="1"/>
  <c r="H2482" i="1" s="1"/>
  <c r="H2483" i="1" s="1"/>
  <c r="H2484" i="1" s="1"/>
  <c r="H2485" i="1" s="1"/>
  <c r="H2486" i="1" s="1"/>
  <c r="H2487" i="1" s="1"/>
  <c r="H2488" i="1" s="1"/>
  <c r="H2489" i="1" s="1"/>
  <c r="H2490" i="1" s="1"/>
  <c r="H2491" i="1" s="1"/>
  <c r="H2492" i="1" s="1"/>
  <c r="H2493" i="1" s="1"/>
  <c r="H2494" i="1" s="1"/>
  <c r="H2495" i="1" s="1"/>
  <c r="H2496" i="1" s="1"/>
  <c r="H2497" i="1" s="1"/>
  <c r="H2498" i="1" s="1"/>
  <c r="H2499" i="1" s="1"/>
  <c r="H2500" i="1" s="1"/>
  <c r="H2501" i="1" s="1"/>
  <c r="H2502" i="1" s="1"/>
  <c r="H2503" i="1" s="1"/>
  <c r="H2504" i="1" s="1"/>
  <c r="H2505" i="1" s="1"/>
  <c r="H2506" i="1" s="1"/>
  <c r="H2507" i="1" s="1"/>
  <c r="H2508" i="1" s="1"/>
  <c r="H2509" i="1" s="1"/>
  <c r="H2510" i="1" s="1"/>
  <c r="H2511" i="1" s="1"/>
  <c r="H2512" i="1" s="1"/>
  <c r="H2513" i="1" s="1"/>
  <c r="H2514" i="1" s="1"/>
  <c r="H2515" i="1" s="1"/>
  <c r="H2516" i="1" s="1"/>
  <c r="H2517" i="1" s="1"/>
  <c r="H2518" i="1" s="1"/>
  <c r="H2519" i="1" s="1"/>
  <c r="H2520" i="1" s="1"/>
  <c r="H2521" i="1" s="1"/>
  <c r="H2522" i="1" s="1"/>
  <c r="H2523" i="1" s="1"/>
  <c r="H2524" i="1" s="1"/>
  <c r="H2525" i="1" s="1"/>
  <c r="H2526" i="1" s="1"/>
  <c r="H2527" i="1" s="1"/>
  <c r="H2528" i="1" s="1"/>
  <c r="H2529" i="1" s="1"/>
  <c r="H2530" i="1" s="1"/>
  <c r="H2531" i="1" s="1"/>
  <c r="H2532" i="1" s="1"/>
  <c r="H2533" i="1" s="1"/>
  <c r="H2534" i="1" s="1"/>
  <c r="H2535" i="1" s="1"/>
  <c r="H2536" i="1" s="1"/>
  <c r="H2537" i="1" s="1"/>
  <c r="H2538" i="1" s="1"/>
  <c r="H2539" i="1" s="1"/>
  <c r="H2540" i="1" s="1"/>
  <c r="H2541" i="1" s="1"/>
  <c r="H2542" i="1" s="1"/>
  <c r="H2543" i="1" s="1"/>
  <c r="H2544" i="1" s="1"/>
  <c r="H2545" i="1" s="1"/>
  <c r="H2546" i="1" s="1"/>
  <c r="H2547" i="1" s="1"/>
  <c r="H2548" i="1" s="1"/>
  <c r="H2549" i="1" s="1"/>
  <c r="H2550" i="1" s="1"/>
  <c r="H2551" i="1" s="1"/>
  <c r="H2552" i="1" s="1"/>
  <c r="H2553" i="1" s="1"/>
  <c r="H2554" i="1" s="1"/>
  <c r="H2555" i="1" s="1"/>
  <c r="H2556" i="1" s="1"/>
  <c r="H2557" i="1" s="1"/>
  <c r="H2558" i="1" s="1"/>
  <c r="H2559" i="1" s="1"/>
  <c r="H2560" i="1" s="1"/>
  <c r="H2561" i="1" s="1"/>
  <c r="H2562" i="1" s="1"/>
  <c r="H2563" i="1" s="1"/>
  <c r="H2564" i="1" s="1"/>
  <c r="H2565" i="1" s="1"/>
  <c r="H2566" i="1" s="1"/>
  <c r="H2567" i="1" s="1"/>
  <c r="H2568" i="1" s="1"/>
  <c r="H2569" i="1" s="1"/>
  <c r="H2570" i="1" s="1"/>
  <c r="H2571" i="1" s="1"/>
  <c r="H2572" i="1" s="1"/>
  <c r="H2573" i="1" s="1"/>
  <c r="H2574" i="1" s="1"/>
  <c r="H2575" i="1" s="1"/>
  <c r="H2576" i="1" s="1"/>
  <c r="H2577" i="1" s="1"/>
  <c r="H2578" i="1" s="1"/>
  <c r="H2579" i="1" s="1"/>
  <c r="H2580" i="1" s="1"/>
  <c r="H2581" i="1" s="1"/>
  <c r="H2582" i="1" s="1"/>
  <c r="H2583" i="1" s="1"/>
  <c r="H2584" i="1" s="1"/>
  <c r="H2585" i="1" s="1"/>
  <c r="H2586" i="1" s="1"/>
  <c r="H2587" i="1" s="1"/>
  <c r="H2588" i="1" s="1"/>
  <c r="H2589" i="1" s="1"/>
  <c r="H2590" i="1" s="1"/>
  <c r="H2591" i="1" s="1"/>
  <c r="H2592" i="1" s="1"/>
  <c r="H2593" i="1" s="1"/>
  <c r="H2594" i="1" s="1"/>
  <c r="H2595" i="1" s="1"/>
  <c r="H2596" i="1" s="1"/>
  <c r="H2597" i="1" s="1"/>
  <c r="H2598" i="1" s="1"/>
  <c r="H2599" i="1" s="1"/>
  <c r="H2600" i="1" s="1"/>
  <c r="H2601" i="1" s="1"/>
  <c r="H2602" i="1" s="1"/>
  <c r="H2603" i="1" s="1"/>
  <c r="H2604" i="1" s="1"/>
  <c r="H2605" i="1" s="1"/>
  <c r="H2606" i="1" s="1"/>
  <c r="H2607" i="1" s="1"/>
  <c r="H2608" i="1" s="1"/>
  <c r="H2609" i="1" s="1"/>
  <c r="H2610" i="1" s="1"/>
  <c r="H2611" i="1" s="1"/>
  <c r="H2612" i="1" s="1"/>
  <c r="H2613" i="1" s="1"/>
  <c r="H2614" i="1" s="1"/>
  <c r="H2615" i="1" s="1"/>
  <c r="H2616" i="1" s="1"/>
  <c r="H2617" i="1" s="1"/>
  <c r="H2618" i="1" s="1"/>
  <c r="H2619" i="1" s="1"/>
  <c r="H2620" i="1" s="1"/>
  <c r="H2621" i="1" s="1"/>
  <c r="H2622" i="1" s="1"/>
  <c r="H2623" i="1" s="1"/>
  <c r="H2624" i="1" s="1"/>
  <c r="H2625" i="1" s="1"/>
  <c r="H2626" i="1" s="1"/>
  <c r="H2627" i="1" s="1"/>
  <c r="H2628" i="1" s="1"/>
  <c r="H2629" i="1" s="1"/>
  <c r="H2630" i="1" s="1"/>
  <c r="H2631" i="1" s="1"/>
  <c r="H2632" i="1" s="1"/>
  <c r="H2633" i="1" s="1"/>
  <c r="H2634" i="1" s="1"/>
  <c r="H2635" i="1" s="1"/>
  <c r="H2636" i="1" s="1"/>
  <c r="H2637" i="1" s="1"/>
  <c r="H2638" i="1" s="1"/>
  <c r="H2639" i="1" s="1"/>
  <c r="H2640" i="1" s="1"/>
  <c r="H2641" i="1" s="1"/>
  <c r="H2642" i="1" s="1"/>
  <c r="H2643" i="1" s="1"/>
  <c r="H2644" i="1" s="1"/>
  <c r="H2645" i="1" s="1"/>
  <c r="H2646" i="1" s="1"/>
  <c r="H2647" i="1" s="1"/>
  <c r="H2648" i="1" s="1"/>
  <c r="H2649" i="1" s="1"/>
  <c r="H2650" i="1" s="1"/>
  <c r="H2651" i="1" s="1"/>
  <c r="H2652" i="1" s="1"/>
  <c r="H2653" i="1" s="1"/>
  <c r="H2654" i="1" s="1"/>
  <c r="H2655" i="1" s="1"/>
  <c r="H2656" i="1" s="1"/>
  <c r="H2657" i="1" s="1"/>
  <c r="H2658" i="1" s="1"/>
  <c r="H2659" i="1" s="1"/>
  <c r="H2660" i="1" s="1"/>
  <c r="H2661" i="1" s="1"/>
  <c r="H2662" i="1" s="1"/>
  <c r="H2663" i="1" s="1"/>
  <c r="H2664" i="1" s="1"/>
  <c r="H2665" i="1" s="1"/>
  <c r="H2666" i="1" s="1"/>
  <c r="H2667" i="1" s="1"/>
  <c r="H2668" i="1" s="1"/>
  <c r="H2669" i="1" s="1"/>
  <c r="H2670" i="1" s="1"/>
  <c r="H2671" i="1" s="1"/>
  <c r="H2672" i="1" s="1"/>
  <c r="H2673" i="1" s="1"/>
  <c r="H2674" i="1" s="1"/>
  <c r="H2675" i="1" s="1"/>
  <c r="H2676" i="1" s="1"/>
  <c r="H2677" i="1" s="1"/>
  <c r="H2678" i="1" s="1"/>
  <c r="H2679" i="1" s="1"/>
  <c r="H2680" i="1" s="1"/>
  <c r="H2681" i="1" s="1"/>
  <c r="H2682" i="1" s="1"/>
  <c r="H2683" i="1" s="1"/>
  <c r="H2684" i="1" s="1"/>
  <c r="H2685" i="1" s="1"/>
  <c r="H2686" i="1" s="1"/>
  <c r="H2687" i="1" s="1"/>
  <c r="H2688" i="1" s="1"/>
  <c r="H2689" i="1" s="1"/>
  <c r="H2690" i="1" s="1"/>
  <c r="H2691" i="1" s="1"/>
  <c r="H2692" i="1" s="1"/>
  <c r="H2693" i="1" s="1"/>
  <c r="H2694" i="1" s="1"/>
  <c r="H2695" i="1" s="1"/>
  <c r="H2696" i="1" s="1"/>
  <c r="H2697" i="1" s="1"/>
  <c r="H2698" i="1" s="1"/>
  <c r="H2699" i="1" s="1"/>
  <c r="H2700" i="1" s="1"/>
  <c r="H2701" i="1" s="1"/>
  <c r="H2702" i="1" s="1"/>
  <c r="H2703" i="1" s="1"/>
  <c r="H2704" i="1" s="1"/>
  <c r="H2705" i="1" s="1"/>
  <c r="H2706" i="1" s="1"/>
  <c r="H2707" i="1" s="1"/>
  <c r="H2708" i="1" s="1"/>
  <c r="H2709" i="1" s="1"/>
  <c r="H2710" i="1" s="1"/>
  <c r="H2711" i="1" s="1"/>
  <c r="H2712" i="1" s="1"/>
  <c r="H2713" i="1" s="1"/>
  <c r="H2714" i="1" s="1"/>
  <c r="H2715" i="1" s="1"/>
  <c r="H2716" i="1" s="1"/>
  <c r="H2717" i="1" s="1"/>
  <c r="H2718" i="1" s="1"/>
  <c r="H2719" i="1" s="1"/>
  <c r="H2720" i="1" s="1"/>
  <c r="H2721" i="1" s="1"/>
  <c r="H2722" i="1" s="1"/>
  <c r="H2723" i="1" s="1"/>
  <c r="H2724" i="1" s="1"/>
  <c r="H2725" i="1" s="1"/>
  <c r="H2726" i="1" s="1"/>
  <c r="H2727" i="1" s="1"/>
  <c r="H2728" i="1" s="1"/>
  <c r="H2729" i="1" s="1"/>
  <c r="H2730" i="1" s="1"/>
  <c r="H2731" i="1" s="1"/>
  <c r="H2732" i="1" s="1"/>
  <c r="H2733" i="1" s="1"/>
  <c r="H2734" i="1" s="1"/>
  <c r="H2735" i="1" s="1"/>
  <c r="H2736" i="1" s="1"/>
  <c r="H2737" i="1" s="1"/>
  <c r="H2738" i="1" s="1"/>
  <c r="H2739" i="1" s="1"/>
  <c r="H2740" i="1" s="1"/>
  <c r="H2741" i="1" s="1"/>
  <c r="H2742" i="1" s="1"/>
  <c r="H2743" i="1" s="1"/>
  <c r="H2744" i="1" s="1"/>
  <c r="H2745" i="1" s="1"/>
  <c r="H2746" i="1" s="1"/>
  <c r="H2747" i="1" s="1"/>
  <c r="H2748" i="1" s="1"/>
  <c r="H2749" i="1" s="1"/>
  <c r="H2750" i="1" s="1"/>
  <c r="H2751" i="1" s="1"/>
  <c r="H2752" i="1" s="1"/>
  <c r="H2753" i="1" s="1"/>
  <c r="H2754" i="1" s="1"/>
  <c r="H2755" i="1" s="1"/>
  <c r="H2756" i="1" s="1"/>
  <c r="H2757" i="1" s="1"/>
  <c r="H2758" i="1" s="1"/>
  <c r="H2759" i="1" s="1"/>
  <c r="H2760" i="1" s="1"/>
  <c r="H2761" i="1" s="1"/>
  <c r="H2762" i="1" s="1"/>
  <c r="H2763" i="1" s="1"/>
  <c r="H2764" i="1" s="1"/>
  <c r="H2765" i="1" s="1"/>
  <c r="H2766" i="1" s="1"/>
  <c r="H2767" i="1" s="1"/>
  <c r="H2768" i="1" s="1"/>
  <c r="H2769" i="1" s="1"/>
  <c r="H2770" i="1" s="1"/>
  <c r="H2771" i="1" s="1"/>
  <c r="H2772" i="1" s="1"/>
  <c r="H2773" i="1" s="1"/>
  <c r="H2774" i="1" s="1"/>
  <c r="H2775" i="1" s="1"/>
  <c r="H2776" i="1" s="1"/>
  <c r="H2777" i="1" s="1"/>
  <c r="H2778" i="1" s="1"/>
  <c r="H2779" i="1" s="1"/>
  <c r="H2780" i="1" s="1"/>
  <c r="H2781" i="1" s="1"/>
  <c r="H2782" i="1" s="1"/>
  <c r="H2783" i="1" s="1"/>
  <c r="H2784" i="1" s="1"/>
  <c r="H2785" i="1" s="1"/>
  <c r="H2786" i="1" s="1"/>
  <c r="H2787" i="1" s="1"/>
  <c r="H2788" i="1" s="1"/>
  <c r="H2789" i="1" s="1"/>
  <c r="H2790" i="1" s="1"/>
  <c r="H2791" i="1" s="1"/>
  <c r="H2792" i="1" s="1"/>
  <c r="H2793" i="1" s="1"/>
  <c r="H2794" i="1" s="1"/>
  <c r="H2795" i="1" s="1"/>
  <c r="H2796" i="1" s="1"/>
  <c r="H2797" i="1" s="1"/>
  <c r="H2798" i="1" s="1"/>
  <c r="H2799" i="1" s="1"/>
  <c r="H2800" i="1" s="1"/>
  <c r="H2801" i="1" s="1"/>
  <c r="H2802" i="1" s="1"/>
  <c r="H2803" i="1" s="1"/>
  <c r="H2804" i="1" s="1"/>
  <c r="H2805" i="1" s="1"/>
  <c r="H2806" i="1" s="1"/>
  <c r="H2807" i="1" s="1"/>
  <c r="H2808" i="1" s="1"/>
  <c r="H2809" i="1" s="1"/>
  <c r="H2810" i="1" s="1"/>
  <c r="H2811" i="1" s="1"/>
  <c r="H2812" i="1" s="1"/>
  <c r="H2813" i="1" s="1"/>
  <c r="H2814" i="1" s="1"/>
  <c r="H2815" i="1" s="1"/>
  <c r="H2816" i="1" s="1"/>
  <c r="H2817" i="1" s="1"/>
  <c r="H2818" i="1" s="1"/>
  <c r="H2819" i="1" s="1"/>
  <c r="H2820" i="1" s="1"/>
  <c r="H2821" i="1" s="1"/>
  <c r="H2822" i="1" s="1"/>
  <c r="H2823" i="1" s="1"/>
  <c r="H2824" i="1" s="1"/>
  <c r="H2825" i="1" s="1"/>
  <c r="H2826" i="1" s="1"/>
  <c r="H2827" i="1" s="1"/>
  <c r="H2828" i="1" s="1"/>
  <c r="H2829" i="1" s="1"/>
  <c r="H2830" i="1" s="1"/>
  <c r="H2831" i="1" s="1"/>
  <c r="H2832" i="1" s="1"/>
  <c r="H2833" i="1" s="1"/>
  <c r="H2834" i="1" s="1"/>
  <c r="H2835" i="1" s="1"/>
  <c r="H2836" i="1" s="1"/>
  <c r="H2837" i="1" s="1"/>
  <c r="H2838" i="1" s="1"/>
  <c r="H2839" i="1" s="1"/>
  <c r="H2840" i="1" s="1"/>
  <c r="H2841" i="1" s="1"/>
  <c r="H2842" i="1" s="1"/>
  <c r="H2843" i="1" s="1"/>
  <c r="H2844" i="1" s="1"/>
  <c r="H2845" i="1" s="1"/>
  <c r="H2846" i="1" s="1"/>
  <c r="H2847" i="1" s="1"/>
  <c r="H2848" i="1" s="1"/>
  <c r="H2849" i="1" s="1"/>
  <c r="H2850" i="1" s="1"/>
  <c r="H2851" i="1" s="1"/>
  <c r="H2852" i="1" s="1"/>
  <c r="H2853" i="1" s="1"/>
  <c r="H2854" i="1" s="1"/>
  <c r="H2855" i="1" s="1"/>
  <c r="H2856" i="1" s="1"/>
  <c r="H2857" i="1" s="1"/>
  <c r="H2858" i="1" s="1"/>
  <c r="H2859" i="1" s="1"/>
  <c r="H2860" i="1" s="1"/>
  <c r="H2861" i="1" s="1"/>
  <c r="H2862" i="1" s="1"/>
  <c r="H2863" i="1" s="1"/>
  <c r="H2864" i="1" s="1"/>
  <c r="H2865" i="1" s="1"/>
  <c r="H2866" i="1" s="1"/>
  <c r="H2867" i="1" s="1"/>
  <c r="H2868" i="1" s="1"/>
  <c r="H2869" i="1" s="1"/>
  <c r="H2870" i="1" s="1"/>
  <c r="H2871" i="1" s="1"/>
  <c r="H2872" i="1" s="1"/>
  <c r="H2873" i="1" s="1"/>
  <c r="H2874" i="1" s="1"/>
  <c r="H2875" i="1" s="1"/>
  <c r="H2876" i="1" s="1"/>
  <c r="H2877" i="1" s="1"/>
  <c r="H2878" i="1" s="1"/>
  <c r="H2879" i="1" s="1"/>
  <c r="H2880" i="1" s="1"/>
  <c r="H2881" i="1" s="1"/>
  <c r="H2882" i="1" s="1"/>
  <c r="H2883" i="1" s="1"/>
  <c r="H2884" i="1" s="1"/>
  <c r="H2885" i="1" s="1"/>
  <c r="H2886" i="1" s="1"/>
  <c r="H2887" i="1" s="1"/>
  <c r="H2888" i="1" s="1"/>
  <c r="H2889" i="1" s="1"/>
  <c r="H2890" i="1" s="1"/>
  <c r="H2891" i="1" s="1"/>
  <c r="H2892" i="1" s="1"/>
  <c r="H2893" i="1" s="1"/>
  <c r="H2894" i="1" s="1"/>
  <c r="H2895" i="1" s="1"/>
  <c r="H2896" i="1" s="1"/>
  <c r="H2897" i="1" s="1"/>
  <c r="H2898" i="1" s="1"/>
  <c r="H2899" i="1" s="1"/>
  <c r="H2900" i="1" s="1"/>
  <c r="H2901" i="1" s="1"/>
  <c r="H2902" i="1" s="1"/>
  <c r="H2903" i="1" s="1"/>
  <c r="H2904" i="1" s="1"/>
  <c r="H2905" i="1" s="1"/>
  <c r="H2906" i="1" s="1"/>
  <c r="H2907" i="1" s="1"/>
  <c r="H2908" i="1" s="1"/>
  <c r="H2909" i="1" s="1"/>
  <c r="H2910" i="1" s="1"/>
  <c r="H2911" i="1" s="1"/>
  <c r="H2912" i="1" s="1"/>
  <c r="H2913" i="1" s="1"/>
  <c r="H2914" i="1" s="1"/>
  <c r="H2915" i="1" s="1"/>
  <c r="H2916" i="1" s="1"/>
  <c r="H2917" i="1" s="1"/>
  <c r="H2918" i="1" s="1"/>
  <c r="H2919" i="1" s="1"/>
  <c r="H2920" i="1" s="1"/>
  <c r="H2921" i="1" s="1"/>
  <c r="H2922" i="1" s="1"/>
  <c r="H2923" i="1" s="1"/>
  <c r="H2924" i="1" s="1"/>
  <c r="H2925" i="1" s="1"/>
  <c r="H2926" i="1" s="1"/>
  <c r="H2927" i="1" s="1"/>
  <c r="H2928" i="1" s="1"/>
  <c r="H2929" i="1" s="1"/>
  <c r="H2930" i="1" s="1"/>
  <c r="H2931" i="1" s="1"/>
  <c r="H2932" i="1" s="1"/>
  <c r="H2933" i="1" s="1"/>
  <c r="H2934" i="1" s="1"/>
  <c r="H2935" i="1" s="1"/>
  <c r="H2936" i="1" s="1"/>
  <c r="H2937" i="1" s="1"/>
  <c r="H2938" i="1" s="1"/>
  <c r="H2939" i="1" s="1"/>
  <c r="H2940" i="1" s="1"/>
  <c r="H2941" i="1" s="1"/>
  <c r="H2942" i="1" s="1"/>
  <c r="H2943" i="1" s="1"/>
  <c r="H2944" i="1" s="1"/>
  <c r="H2945" i="1" s="1"/>
  <c r="H2946" i="1" s="1"/>
  <c r="H2947" i="1" s="1"/>
  <c r="H2948" i="1" s="1"/>
  <c r="H2949" i="1" s="1"/>
  <c r="H2950" i="1" s="1"/>
  <c r="H2951" i="1" s="1"/>
  <c r="H2952" i="1" s="1"/>
  <c r="H2953" i="1" s="1"/>
  <c r="H2954" i="1" s="1"/>
  <c r="H2955" i="1" s="1"/>
  <c r="H2956" i="1" s="1"/>
  <c r="H2957" i="1" s="1"/>
  <c r="H2958" i="1" s="1"/>
  <c r="H2959" i="1" s="1"/>
  <c r="H2960" i="1" s="1"/>
  <c r="H2961" i="1" s="1"/>
  <c r="H2962" i="1" s="1"/>
  <c r="H2963" i="1" s="1"/>
  <c r="H2964" i="1" s="1"/>
  <c r="H2965" i="1" s="1"/>
  <c r="H2966" i="1" s="1"/>
  <c r="H2967" i="1" s="1"/>
  <c r="H2968" i="1" s="1"/>
  <c r="H2969" i="1" s="1"/>
  <c r="H2970" i="1" s="1"/>
  <c r="H2971" i="1" s="1"/>
  <c r="H2972" i="1" s="1"/>
  <c r="H2973" i="1" s="1"/>
  <c r="H2974" i="1" s="1"/>
  <c r="H2975" i="1" s="1"/>
  <c r="H2976" i="1" s="1"/>
  <c r="H2977" i="1" s="1"/>
  <c r="H2978" i="1" s="1"/>
  <c r="H2979" i="1" s="1"/>
  <c r="H2980" i="1" s="1"/>
  <c r="H2981" i="1" s="1"/>
  <c r="H2982" i="1" s="1"/>
  <c r="H2983" i="1" s="1"/>
  <c r="H2984" i="1" s="1"/>
  <c r="H2985" i="1" s="1"/>
  <c r="H2986" i="1" s="1"/>
  <c r="H2987" i="1" s="1"/>
  <c r="H2988" i="1" s="1"/>
  <c r="H2989" i="1" s="1"/>
  <c r="H2990" i="1" s="1"/>
  <c r="H2991" i="1" s="1"/>
  <c r="H2992" i="1" s="1"/>
  <c r="H2993" i="1" s="1"/>
  <c r="H2994" i="1" s="1"/>
  <c r="H2995" i="1" s="1"/>
  <c r="H2996" i="1" s="1"/>
  <c r="H2997" i="1" s="1"/>
  <c r="H2998" i="1" s="1"/>
  <c r="H2999" i="1" s="1"/>
  <c r="H3000" i="1" s="1"/>
  <c r="H3001" i="1" s="1"/>
  <c r="H3002" i="1" s="1"/>
  <c r="H3003" i="1" s="1"/>
  <c r="H3004" i="1" s="1"/>
  <c r="H3005" i="1" s="1"/>
  <c r="H3006" i="1" s="1"/>
  <c r="H3007" i="1" s="1"/>
  <c r="H3008" i="1" s="1"/>
  <c r="H3009" i="1" s="1"/>
  <c r="H3010" i="1" s="1"/>
  <c r="H3011" i="1" s="1"/>
  <c r="H3012" i="1" s="1"/>
  <c r="H3013" i="1" s="1"/>
  <c r="H3014" i="1" s="1"/>
  <c r="H3015" i="1" s="1"/>
  <c r="H3016" i="1" s="1"/>
  <c r="H3017" i="1" s="1"/>
  <c r="H3018" i="1" s="1"/>
  <c r="H3019" i="1" s="1"/>
  <c r="H3020" i="1" s="1"/>
  <c r="H3021" i="1" s="1"/>
  <c r="H3022" i="1" s="1"/>
  <c r="H3023" i="1" s="1"/>
  <c r="H3024" i="1" s="1"/>
  <c r="H3025" i="1" s="1"/>
  <c r="H3026" i="1" s="1"/>
  <c r="H3027" i="1" s="1"/>
  <c r="H3028" i="1" s="1"/>
  <c r="H3029" i="1" s="1"/>
  <c r="H3030" i="1" s="1"/>
  <c r="H3031" i="1" s="1"/>
  <c r="H3032" i="1" s="1"/>
  <c r="H3033" i="1" s="1"/>
  <c r="H3034" i="1" s="1"/>
  <c r="H3035" i="1" s="1"/>
  <c r="H3036" i="1" s="1"/>
  <c r="H3037" i="1" s="1"/>
  <c r="H3038" i="1" s="1"/>
  <c r="H3039" i="1" s="1"/>
  <c r="H3040" i="1" s="1"/>
  <c r="H3041" i="1" s="1"/>
  <c r="H3042" i="1" s="1"/>
  <c r="H3043" i="1" s="1"/>
  <c r="H3044" i="1" s="1"/>
  <c r="H3045" i="1" s="1"/>
  <c r="H3046" i="1" s="1"/>
  <c r="H3047" i="1" s="1"/>
  <c r="H3048" i="1" s="1"/>
  <c r="H3049" i="1" s="1"/>
  <c r="H3050" i="1" s="1"/>
  <c r="H3051" i="1" s="1"/>
  <c r="H3052" i="1" s="1"/>
  <c r="H3053" i="1" s="1"/>
  <c r="H3054" i="1" s="1"/>
  <c r="H3055" i="1" s="1"/>
  <c r="H3056" i="1" s="1"/>
  <c r="H3057" i="1" s="1"/>
  <c r="H3058" i="1" s="1"/>
  <c r="H3059" i="1" s="1"/>
  <c r="H3060" i="1" s="1"/>
  <c r="H3061" i="1" s="1"/>
  <c r="H3062" i="1" s="1"/>
  <c r="H3063" i="1" s="1"/>
  <c r="H3064" i="1" s="1"/>
  <c r="H3065" i="1" s="1"/>
  <c r="H3066" i="1" s="1"/>
  <c r="H3067" i="1" s="1"/>
  <c r="H3068" i="1" s="1"/>
  <c r="H3069" i="1" s="1"/>
  <c r="H3070" i="1" s="1"/>
  <c r="H3071" i="1" s="1"/>
  <c r="H3072" i="1" s="1"/>
  <c r="H3073" i="1" s="1"/>
  <c r="H3074" i="1" s="1"/>
  <c r="H3075" i="1" s="1"/>
  <c r="H3076" i="1" s="1"/>
  <c r="H3077" i="1" s="1"/>
  <c r="H3078" i="1" s="1"/>
  <c r="H3079" i="1" s="1"/>
  <c r="H3080" i="1" s="1"/>
  <c r="H3081" i="1" s="1"/>
  <c r="H3082" i="1" s="1"/>
  <c r="H3083" i="1" s="1"/>
  <c r="H3084" i="1" s="1"/>
  <c r="H3085" i="1" s="1"/>
  <c r="H3086" i="1" s="1"/>
  <c r="H3087" i="1" s="1"/>
  <c r="H3088" i="1" s="1"/>
  <c r="H3089" i="1" s="1"/>
  <c r="H3090" i="1" s="1"/>
  <c r="H3091" i="1" s="1"/>
  <c r="H3092" i="1" s="1"/>
  <c r="H3093" i="1" s="1"/>
  <c r="H3094" i="1" s="1"/>
  <c r="H3095" i="1" s="1"/>
  <c r="H3096" i="1" s="1"/>
  <c r="H3097" i="1" s="1"/>
  <c r="H3098" i="1" s="1"/>
  <c r="H3099" i="1" s="1"/>
  <c r="H3100" i="1" s="1"/>
  <c r="H3101" i="1" s="1"/>
  <c r="H3102" i="1" s="1"/>
  <c r="H3103" i="1" s="1"/>
  <c r="H3104" i="1" s="1"/>
  <c r="H3105" i="1" s="1"/>
  <c r="H3106" i="1" s="1"/>
  <c r="H3107" i="1" s="1"/>
  <c r="H3108" i="1" s="1"/>
  <c r="H3109" i="1" s="1"/>
  <c r="H3110" i="1" s="1"/>
  <c r="H3111" i="1" s="1"/>
  <c r="H3112" i="1" s="1"/>
  <c r="H3113" i="1" s="1"/>
  <c r="H3114" i="1" s="1"/>
  <c r="H3115" i="1" s="1"/>
  <c r="H3116" i="1" s="1"/>
  <c r="H3117" i="1" s="1"/>
  <c r="H3118" i="1" s="1"/>
  <c r="H3119" i="1" s="1"/>
  <c r="H3120" i="1" s="1"/>
  <c r="H3121" i="1" s="1"/>
  <c r="H3122" i="1" s="1"/>
  <c r="H3123" i="1" s="1"/>
  <c r="H3124" i="1" s="1"/>
  <c r="H3125" i="1" s="1"/>
  <c r="H3126" i="1" s="1"/>
  <c r="H3127" i="1" s="1"/>
  <c r="H3128" i="1" s="1"/>
  <c r="H3129" i="1" s="1"/>
  <c r="H3130" i="1" s="1"/>
  <c r="H3131" i="1" s="1"/>
  <c r="H3132" i="1" s="1"/>
  <c r="H3133" i="1" s="1"/>
  <c r="H3134" i="1" s="1"/>
  <c r="H3135" i="1" s="1"/>
  <c r="H3136" i="1" s="1"/>
  <c r="H3137" i="1" s="1"/>
  <c r="H3138" i="1" s="1"/>
  <c r="H3139" i="1" s="1"/>
  <c r="H3140" i="1" s="1"/>
  <c r="H3141" i="1" s="1"/>
  <c r="H3142" i="1" s="1"/>
  <c r="H3143" i="1" s="1"/>
  <c r="H3144" i="1" s="1"/>
  <c r="H3145" i="1" s="1"/>
  <c r="H3146" i="1" s="1"/>
  <c r="H3147" i="1" s="1"/>
  <c r="H3148" i="1" s="1"/>
  <c r="H3149" i="1" s="1"/>
  <c r="H3150" i="1" s="1"/>
  <c r="H3151" i="1" s="1"/>
  <c r="H3152" i="1" s="1"/>
  <c r="H3153" i="1" s="1"/>
  <c r="H3154" i="1" s="1"/>
  <c r="H3155" i="1" s="1"/>
  <c r="H3156" i="1" s="1"/>
  <c r="H3157" i="1" s="1"/>
  <c r="H3158" i="1" s="1"/>
  <c r="H3159" i="1" s="1"/>
  <c r="H3160" i="1" s="1"/>
  <c r="H3161" i="1" s="1"/>
  <c r="H3162" i="1" s="1"/>
  <c r="H3163" i="1" s="1"/>
  <c r="H3164" i="1" s="1"/>
  <c r="H3165" i="1" s="1"/>
  <c r="H3166" i="1" s="1"/>
  <c r="H3167" i="1" s="1"/>
  <c r="H3168" i="1" s="1"/>
  <c r="H3169" i="1" s="1"/>
  <c r="H3170" i="1" s="1"/>
  <c r="H3171" i="1" s="1"/>
  <c r="H3172" i="1" s="1"/>
  <c r="H3173" i="1" s="1"/>
  <c r="H3174" i="1" s="1"/>
  <c r="H3175" i="1" s="1"/>
  <c r="H3176" i="1" s="1"/>
  <c r="H3177" i="1" s="1"/>
  <c r="H3178" i="1" s="1"/>
  <c r="H3179" i="1" s="1"/>
  <c r="H3180" i="1" s="1"/>
  <c r="H3181" i="1" s="1"/>
  <c r="H3182" i="1" s="1"/>
  <c r="H3183" i="1" s="1"/>
  <c r="H3184" i="1" s="1"/>
  <c r="H3185" i="1" s="1"/>
  <c r="H3186" i="1" s="1"/>
  <c r="H3187" i="1" s="1"/>
  <c r="H3188" i="1" s="1"/>
  <c r="H3189" i="1" s="1"/>
  <c r="H3190" i="1" s="1"/>
  <c r="H3191" i="1" s="1"/>
  <c r="H3192" i="1" s="1"/>
  <c r="H3193" i="1" s="1"/>
  <c r="H3194" i="1" s="1"/>
  <c r="H3195" i="1" s="1"/>
  <c r="H3196" i="1" s="1"/>
  <c r="H3197" i="1" s="1"/>
  <c r="H3198" i="1" s="1"/>
  <c r="H3199" i="1" s="1"/>
  <c r="H3200" i="1" s="1"/>
  <c r="H3201" i="1" s="1"/>
  <c r="H3202" i="1" s="1"/>
  <c r="H3203" i="1" s="1"/>
  <c r="H3204" i="1" s="1"/>
  <c r="H3205" i="1" s="1"/>
  <c r="H3206" i="1" s="1"/>
  <c r="H3207" i="1" s="1"/>
  <c r="H3208" i="1" s="1"/>
  <c r="H3209" i="1" s="1"/>
  <c r="H3210" i="1" s="1"/>
  <c r="H3211" i="1" s="1"/>
  <c r="H3212" i="1" s="1"/>
  <c r="H3213" i="1" s="1"/>
  <c r="H3214" i="1" s="1"/>
  <c r="H3215" i="1" s="1"/>
  <c r="H3216" i="1" s="1"/>
  <c r="H3217" i="1" s="1"/>
  <c r="H3218" i="1" s="1"/>
  <c r="H3219" i="1" s="1"/>
  <c r="H3220" i="1" s="1"/>
  <c r="H3221" i="1" s="1"/>
  <c r="H3222" i="1" s="1"/>
  <c r="H3223" i="1" s="1"/>
  <c r="H3224" i="1" s="1"/>
  <c r="H3225" i="1" s="1"/>
  <c r="H3226" i="1" s="1"/>
  <c r="H3227" i="1" s="1"/>
  <c r="H3228" i="1" s="1"/>
  <c r="H3229" i="1" s="1"/>
  <c r="H3230" i="1" s="1"/>
  <c r="H3231" i="1" s="1"/>
  <c r="H3232" i="1" s="1"/>
  <c r="H3233" i="1" s="1"/>
  <c r="H3234" i="1" s="1"/>
  <c r="H3235" i="1" s="1"/>
  <c r="H3236" i="1" s="1"/>
  <c r="H3237" i="1" s="1"/>
  <c r="H3238" i="1" s="1"/>
  <c r="H3239" i="1" s="1"/>
  <c r="H3240" i="1" s="1"/>
  <c r="H3241" i="1" s="1"/>
  <c r="H3242" i="1" s="1"/>
  <c r="H3243" i="1" s="1"/>
  <c r="H3244" i="1" s="1"/>
  <c r="H3245" i="1" s="1"/>
  <c r="H3246" i="1" s="1"/>
  <c r="H3247" i="1" s="1"/>
  <c r="H3248" i="1" s="1"/>
  <c r="H3249" i="1" s="1"/>
  <c r="H3250" i="1" s="1"/>
  <c r="H3251" i="1" s="1"/>
  <c r="H3252" i="1" s="1"/>
  <c r="H3253" i="1" s="1"/>
  <c r="H3254" i="1" s="1"/>
  <c r="H3255" i="1" s="1"/>
  <c r="H3256" i="1" s="1"/>
  <c r="H3257" i="1" s="1"/>
  <c r="H3258" i="1" s="1"/>
  <c r="H3259" i="1" s="1"/>
  <c r="H3260" i="1" s="1"/>
  <c r="H3261" i="1" s="1"/>
  <c r="H3262" i="1" s="1"/>
  <c r="H3263" i="1" s="1"/>
  <c r="H3264" i="1" s="1"/>
  <c r="H3265" i="1" s="1"/>
  <c r="H3266" i="1" s="1"/>
  <c r="H3267" i="1" s="1"/>
  <c r="H3268" i="1" s="1"/>
  <c r="H3269" i="1" s="1"/>
  <c r="H3270" i="1" s="1"/>
  <c r="H3271" i="1" s="1"/>
  <c r="H3272" i="1" s="1"/>
  <c r="H3273" i="1" s="1"/>
  <c r="H3274" i="1" s="1"/>
  <c r="H3275" i="1" s="1"/>
  <c r="H3276" i="1" s="1"/>
  <c r="H3277" i="1" s="1"/>
  <c r="H3278" i="1" s="1"/>
  <c r="H3279" i="1" s="1"/>
  <c r="H3280" i="1" s="1"/>
  <c r="H3281" i="1" s="1"/>
  <c r="H3282" i="1" s="1"/>
  <c r="H3283" i="1" s="1"/>
  <c r="H3284" i="1" s="1"/>
  <c r="H3285" i="1" s="1"/>
  <c r="H3286" i="1" s="1"/>
  <c r="H3287" i="1" s="1"/>
  <c r="H3288" i="1" s="1"/>
  <c r="H3289" i="1" s="1"/>
  <c r="H3290" i="1" s="1"/>
  <c r="H3291" i="1" s="1"/>
  <c r="H3292" i="1" s="1"/>
  <c r="H3293" i="1" s="1"/>
  <c r="H3294" i="1" s="1"/>
  <c r="H3295" i="1" s="1"/>
  <c r="H3296" i="1" s="1"/>
  <c r="H3297" i="1" s="1"/>
  <c r="H3298" i="1" s="1"/>
  <c r="H3299" i="1" s="1"/>
  <c r="H3300" i="1" s="1"/>
  <c r="H3301" i="1" s="1"/>
  <c r="H3302" i="1" s="1"/>
  <c r="H3303" i="1" s="1"/>
  <c r="H3304" i="1" s="1"/>
  <c r="H3305" i="1" s="1"/>
  <c r="H3306" i="1" s="1"/>
  <c r="H3307" i="1" s="1"/>
  <c r="H3308" i="1" s="1"/>
  <c r="H3309" i="1" s="1"/>
  <c r="H3310" i="1" s="1"/>
  <c r="H3311" i="1" s="1"/>
  <c r="H3312" i="1" s="1"/>
  <c r="H3313" i="1" s="1"/>
  <c r="H3314" i="1" s="1"/>
  <c r="H3315" i="1" s="1"/>
  <c r="H3316" i="1" s="1"/>
  <c r="H3317" i="1" s="1"/>
  <c r="H3318" i="1" s="1"/>
  <c r="H3319" i="1" s="1"/>
  <c r="H3320" i="1" s="1"/>
  <c r="H3321" i="1" s="1"/>
  <c r="H3322" i="1" s="1"/>
  <c r="H3323" i="1" s="1"/>
  <c r="H3324" i="1" s="1"/>
  <c r="H3325" i="1" s="1"/>
  <c r="H3326" i="1" s="1"/>
  <c r="H3327" i="1" s="1"/>
  <c r="H3328" i="1" s="1"/>
  <c r="H3329" i="1" s="1"/>
  <c r="H3330" i="1" s="1"/>
  <c r="H3331" i="1" s="1"/>
  <c r="H3332" i="1" s="1"/>
  <c r="H3333" i="1" s="1"/>
  <c r="H3334" i="1" s="1"/>
  <c r="H3335" i="1" s="1"/>
  <c r="H3336" i="1" s="1"/>
  <c r="H3337" i="1" s="1"/>
  <c r="H3338" i="1" s="1"/>
  <c r="H3339" i="1" s="1"/>
  <c r="H3340" i="1" s="1"/>
  <c r="H3341" i="1" s="1"/>
  <c r="H3342" i="1" s="1"/>
  <c r="H3343" i="1" s="1"/>
  <c r="H3344" i="1" s="1"/>
  <c r="H3345" i="1" s="1"/>
  <c r="H3346" i="1" s="1"/>
  <c r="H3347" i="1" s="1"/>
  <c r="H3348" i="1" s="1"/>
  <c r="H3349" i="1" s="1"/>
  <c r="H3350" i="1" s="1"/>
  <c r="H3351" i="1" s="1"/>
  <c r="H3352" i="1" s="1"/>
  <c r="H3353" i="1" s="1"/>
  <c r="H3354" i="1" s="1"/>
  <c r="H3355" i="1" s="1"/>
  <c r="H3356" i="1" s="1"/>
  <c r="H3357" i="1" s="1"/>
  <c r="H3358" i="1" s="1"/>
  <c r="H3359" i="1" s="1"/>
  <c r="H3360" i="1" s="1"/>
  <c r="H3361" i="1" s="1"/>
  <c r="H3362" i="1" s="1"/>
  <c r="H3363" i="1" s="1"/>
  <c r="H3364" i="1" s="1"/>
  <c r="H3365" i="1" s="1"/>
  <c r="H3366" i="1" s="1"/>
  <c r="H3367" i="1" s="1"/>
  <c r="H3368" i="1" s="1"/>
  <c r="H3369" i="1" s="1"/>
  <c r="H3370" i="1" s="1"/>
  <c r="H3371" i="1" s="1"/>
  <c r="H3372" i="1" s="1"/>
  <c r="H3373" i="1" s="1"/>
  <c r="H3374" i="1" s="1"/>
  <c r="H3375" i="1" s="1"/>
  <c r="H3376" i="1" s="1"/>
  <c r="H3377" i="1" s="1"/>
  <c r="H3378" i="1" s="1"/>
  <c r="H3379" i="1" s="1"/>
  <c r="H3380" i="1" s="1"/>
  <c r="H3381" i="1" s="1"/>
  <c r="H3382" i="1" s="1"/>
  <c r="H3383" i="1" s="1"/>
  <c r="H3384" i="1" s="1"/>
  <c r="H3385" i="1" s="1"/>
  <c r="H3386" i="1" s="1"/>
  <c r="H3387" i="1" s="1"/>
  <c r="H3388" i="1" s="1"/>
  <c r="H3389" i="1" s="1"/>
  <c r="H3390" i="1" s="1"/>
  <c r="H3391" i="1" s="1"/>
  <c r="H3392" i="1" s="1"/>
  <c r="H3393" i="1" s="1"/>
  <c r="H3394" i="1" s="1"/>
  <c r="H3395" i="1" s="1"/>
  <c r="H3396" i="1" s="1"/>
  <c r="H3397" i="1" s="1"/>
  <c r="H3398" i="1" s="1"/>
  <c r="H3399" i="1" s="1"/>
  <c r="H3400" i="1" s="1"/>
  <c r="H3401" i="1" s="1"/>
  <c r="H3402" i="1" s="1"/>
  <c r="H3403" i="1" s="1"/>
  <c r="H3404" i="1" s="1"/>
  <c r="H3405" i="1" s="1"/>
  <c r="H3406" i="1" s="1"/>
  <c r="H3407" i="1" s="1"/>
  <c r="H3408" i="1" s="1"/>
  <c r="H3409" i="1" s="1"/>
  <c r="H3410" i="1" s="1"/>
  <c r="H3411" i="1" s="1"/>
  <c r="H3412" i="1" s="1"/>
  <c r="H3413" i="1" s="1"/>
  <c r="H3414" i="1" s="1"/>
  <c r="H3415" i="1" s="1"/>
  <c r="H3416" i="1" s="1"/>
  <c r="H3417" i="1" s="1"/>
  <c r="H3418" i="1" s="1"/>
  <c r="H3419" i="1" s="1"/>
  <c r="H3420" i="1" s="1"/>
  <c r="H3421" i="1" s="1"/>
  <c r="H3422" i="1" s="1"/>
  <c r="H3423" i="1" s="1"/>
  <c r="H3424" i="1" s="1"/>
  <c r="H3425" i="1" s="1"/>
  <c r="H3426" i="1" s="1"/>
  <c r="H3427" i="1" s="1"/>
  <c r="H3428" i="1" s="1"/>
  <c r="H3429" i="1" s="1"/>
  <c r="H3430" i="1" s="1"/>
  <c r="H3431" i="1" s="1"/>
  <c r="H3432" i="1" s="1"/>
  <c r="H3433" i="1" s="1"/>
  <c r="H3434" i="1" s="1"/>
  <c r="H3435" i="1" s="1"/>
  <c r="H3436" i="1" s="1"/>
  <c r="H3437" i="1" s="1"/>
  <c r="H3438" i="1" s="1"/>
  <c r="H3439" i="1" s="1"/>
  <c r="H3440" i="1" s="1"/>
  <c r="H3441" i="1" s="1"/>
  <c r="H3442" i="1" s="1"/>
  <c r="H3443" i="1" s="1"/>
  <c r="H3444" i="1" s="1"/>
  <c r="H3445" i="1" s="1"/>
  <c r="H3446" i="1" s="1"/>
  <c r="H3447" i="1" s="1"/>
  <c r="H3448" i="1" s="1"/>
  <c r="H3449" i="1" s="1"/>
  <c r="H3450" i="1" s="1"/>
  <c r="H3451" i="1" s="1"/>
  <c r="H3452" i="1" s="1"/>
  <c r="H3453" i="1" s="1"/>
  <c r="H3454" i="1" s="1"/>
  <c r="H3455" i="1" s="1"/>
  <c r="H3456" i="1" s="1"/>
  <c r="H3457" i="1" s="1"/>
  <c r="H3458" i="1" s="1"/>
  <c r="H3459" i="1" s="1"/>
  <c r="H3460" i="1" s="1"/>
  <c r="H3461" i="1" s="1"/>
  <c r="H3462" i="1" s="1"/>
  <c r="H3463" i="1" s="1"/>
  <c r="H3464" i="1" s="1"/>
  <c r="H3465" i="1" s="1"/>
  <c r="H3466" i="1" s="1"/>
  <c r="H3467" i="1" s="1"/>
  <c r="H3468" i="1" s="1"/>
  <c r="H3469" i="1" s="1"/>
  <c r="H3470" i="1" s="1"/>
  <c r="H3471" i="1" s="1"/>
  <c r="H3472" i="1" s="1"/>
  <c r="H3473" i="1" s="1"/>
  <c r="H3474" i="1" s="1"/>
  <c r="H3475" i="1" s="1"/>
  <c r="H3476" i="1" s="1"/>
  <c r="H3477" i="1" s="1"/>
  <c r="H3478" i="1" s="1"/>
  <c r="H3479" i="1" s="1"/>
  <c r="H3480" i="1" s="1"/>
  <c r="H3481" i="1" s="1"/>
  <c r="H3482" i="1" s="1"/>
  <c r="H3483" i="1" s="1"/>
  <c r="H3484" i="1" s="1"/>
  <c r="H3485" i="1" s="1"/>
  <c r="H3486" i="1" s="1"/>
  <c r="H3487" i="1" s="1"/>
  <c r="H3488" i="1" s="1"/>
  <c r="H3489" i="1" s="1"/>
  <c r="H3490" i="1" s="1"/>
  <c r="H3491" i="1" s="1"/>
  <c r="H3492" i="1" s="1"/>
  <c r="H3493" i="1" s="1"/>
  <c r="H3494" i="1" s="1"/>
  <c r="H3495" i="1" s="1"/>
  <c r="H3496" i="1" s="1"/>
  <c r="H3497" i="1" s="1"/>
  <c r="H3498" i="1" s="1"/>
  <c r="H3499" i="1" s="1"/>
  <c r="H3500" i="1" s="1"/>
  <c r="H3501" i="1" s="1"/>
  <c r="H3502" i="1" s="1"/>
  <c r="H3503" i="1" s="1"/>
  <c r="H3504" i="1" s="1"/>
  <c r="H3505" i="1" s="1"/>
  <c r="H3506" i="1" s="1"/>
  <c r="H3507" i="1" s="1"/>
  <c r="H3508" i="1" s="1"/>
  <c r="H3509" i="1" s="1"/>
  <c r="H3510" i="1" s="1"/>
  <c r="H3511" i="1" s="1"/>
  <c r="H3512" i="1" s="1"/>
  <c r="H3513" i="1" s="1"/>
  <c r="H3514" i="1" s="1"/>
  <c r="H3515" i="1" s="1"/>
  <c r="H3516" i="1" s="1"/>
  <c r="H3517" i="1" s="1"/>
  <c r="H3518" i="1" s="1"/>
  <c r="H3519" i="1" s="1"/>
  <c r="H3520" i="1" s="1"/>
  <c r="H3521" i="1" s="1"/>
  <c r="H3522" i="1" s="1"/>
  <c r="H3523" i="1" s="1"/>
  <c r="H3524" i="1" s="1"/>
  <c r="H3525" i="1" s="1"/>
  <c r="H3526" i="1" s="1"/>
  <c r="H3527" i="1" s="1"/>
  <c r="H3528" i="1" s="1"/>
  <c r="H3529" i="1" s="1"/>
  <c r="H3530" i="1" s="1"/>
  <c r="H3531" i="1" s="1"/>
  <c r="H3532" i="1" s="1"/>
  <c r="H3533" i="1" s="1"/>
  <c r="H3534" i="1" s="1"/>
  <c r="H3535" i="1" s="1"/>
  <c r="H3536" i="1" s="1"/>
  <c r="H3537" i="1" s="1"/>
  <c r="H3538" i="1" s="1"/>
  <c r="H3539" i="1" s="1"/>
  <c r="H3540" i="1" s="1"/>
  <c r="H3541" i="1" s="1"/>
  <c r="H3542" i="1" s="1"/>
  <c r="H3543" i="1" s="1"/>
  <c r="H3544" i="1" s="1"/>
  <c r="H3545" i="1" s="1"/>
  <c r="H3546" i="1" s="1"/>
  <c r="H3547" i="1" s="1"/>
  <c r="H3548" i="1" s="1"/>
  <c r="H3549" i="1" s="1"/>
  <c r="H3550" i="1" s="1"/>
  <c r="H3551" i="1" s="1"/>
  <c r="H3552" i="1" s="1"/>
  <c r="H3553" i="1" s="1"/>
  <c r="H3554" i="1" s="1"/>
  <c r="H3555" i="1" s="1"/>
  <c r="H3556" i="1" s="1"/>
  <c r="H3557" i="1" s="1"/>
  <c r="H3558" i="1" s="1"/>
  <c r="H3559" i="1" s="1"/>
  <c r="H3560" i="1" s="1"/>
  <c r="H3561" i="1" s="1"/>
  <c r="H3562" i="1" s="1"/>
  <c r="H3563" i="1" s="1"/>
  <c r="H3564" i="1" s="1"/>
  <c r="H3565" i="1" s="1"/>
  <c r="H3566" i="1" s="1"/>
  <c r="H3567" i="1" s="1"/>
  <c r="H3568" i="1" s="1"/>
  <c r="H3569" i="1" s="1"/>
  <c r="H3570" i="1" s="1"/>
  <c r="H3571" i="1" s="1"/>
  <c r="H3572" i="1" s="1"/>
  <c r="H3573" i="1" s="1"/>
  <c r="H3574" i="1" s="1"/>
  <c r="H3575" i="1" s="1"/>
  <c r="H3576" i="1" s="1"/>
  <c r="H3577" i="1" s="1"/>
  <c r="H3578" i="1" s="1"/>
  <c r="H3579" i="1" s="1"/>
  <c r="H3580" i="1" s="1"/>
  <c r="H3581" i="1" s="1"/>
  <c r="H3582" i="1" s="1"/>
  <c r="H3583" i="1" s="1"/>
  <c r="H3584" i="1" s="1"/>
  <c r="H3585" i="1" s="1"/>
  <c r="H3586" i="1" s="1"/>
  <c r="H3587" i="1" s="1"/>
  <c r="H3588" i="1" s="1"/>
  <c r="H3589" i="1" s="1"/>
  <c r="H3590" i="1" s="1"/>
  <c r="H3591" i="1" s="1"/>
  <c r="H3592" i="1" s="1"/>
  <c r="H3593" i="1" s="1"/>
  <c r="H3594" i="1" s="1"/>
  <c r="H3595" i="1" s="1"/>
  <c r="H3596" i="1" s="1"/>
  <c r="H3597" i="1" s="1"/>
  <c r="H3598" i="1" s="1"/>
  <c r="H3599" i="1" s="1"/>
  <c r="H3600" i="1" s="1"/>
  <c r="H3601" i="1" s="1"/>
  <c r="H3602" i="1" s="1"/>
  <c r="H3603" i="1" s="1"/>
  <c r="H3604" i="1" s="1"/>
  <c r="H3605" i="1" s="1"/>
  <c r="H3606" i="1" s="1"/>
  <c r="H3607" i="1" s="1"/>
  <c r="H3608" i="1" s="1"/>
  <c r="H3609" i="1" s="1"/>
  <c r="H3610" i="1" s="1"/>
  <c r="H3611" i="1" s="1"/>
  <c r="H3612" i="1" s="1"/>
  <c r="H3613" i="1" s="1"/>
  <c r="H3614" i="1" s="1"/>
  <c r="H3615" i="1" s="1"/>
  <c r="H3616" i="1" s="1"/>
  <c r="H3617" i="1" s="1"/>
  <c r="H3618" i="1" s="1"/>
  <c r="H3619" i="1" s="1"/>
  <c r="H3620" i="1" s="1"/>
  <c r="H3621" i="1" s="1"/>
  <c r="H3622" i="1" s="1"/>
  <c r="H3623" i="1" s="1"/>
  <c r="H3624" i="1" s="1"/>
  <c r="H3625" i="1" s="1"/>
  <c r="H3626" i="1" s="1"/>
  <c r="H3627" i="1" s="1"/>
  <c r="H3628" i="1" s="1"/>
  <c r="H3629" i="1" s="1"/>
  <c r="H3630" i="1" s="1"/>
  <c r="H3631" i="1" s="1"/>
  <c r="H3632" i="1" s="1"/>
  <c r="H3633" i="1" s="1"/>
  <c r="H3634" i="1" s="1"/>
  <c r="H3635" i="1" s="1"/>
  <c r="H3636" i="1" s="1"/>
  <c r="H3637" i="1" s="1"/>
  <c r="H3638" i="1" s="1"/>
  <c r="H3639" i="1" s="1"/>
  <c r="H3640" i="1" s="1"/>
  <c r="H3641" i="1" s="1"/>
  <c r="H3642" i="1" s="1"/>
  <c r="H3643" i="1" s="1"/>
  <c r="H3644" i="1" s="1"/>
  <c r="H3645" i="1" s="1"/>
  <c r="H3646" i="1" s="1"/>
  <c r="H3647" i="1" s="1"/>
  <c r="H3648" i="1" s="1"/>
  <c r="H3649" i="1" s="1"/>
  <c r="H3650" i="1" s="1"/>
  <c r="H3651" i="1" s="1"/>
  <c r="H3652" i="1" s="1"/>
  <c r="H3653" i="1" s="1"/>
  <c r="H3654" i="1" s="1"/>
  <c r="H3655" i="1" s="1"/>
  <c r="H3656" i="1" s="1"/>
  <c r="H3657" i="1" s="1"/>
  <c r="H3658" i="1" s="1"/>
  <c r="H3659" i="1" s="1"/>
  <c r="H3660" i="1" s="1"/>
  <c r="H3661" i="1" s="1"/>
  <c r="H3662" i="1" s="1"/>
  <c r="H3663" i="1" s="1"/>
  <c r="H3664" i="1" s="1"/>
  <c r="H3665" i="1" s="1"/>
  <c r="H3666" i="1" s="1"/>
  <c r="H3667" i="1" s="1"/>
  <c r="H3668" i="1" s="1"/>
  <c r="H3669" i="1" s="1"/>
  <c r="H3670" i="1" s="1"/>
  <c r="H3671" i="1" s="1"/>
  <c r="H3672" i="1" s="1"/>
  <c r="H3673" i="1" s="1"/>
  <c r="H3674" i="1" s="1"/>
  <c r="H3675" i="1" s="1"/>
  <c r="H3676" i="1" s="1"/>
  <c r="H3677" i="1" s="1"/>
  <c r="H3678" i="1" s="1"/>
  <c r="H3679" i="1" s="1"/>
  <c r="H3680" i="1" s="1"/>
  <c r="H3681" i="1" s="1"/>
  <c r="H3682" i="1" s="1"/>
  <c r="H3683" i="1" s="1"/>
  <c r="H3684" i="1" s="1"/>
  <c r="H3685" i="1" s="1"/>
  <c r="H3686" i="1" s="1"/>
  <c r="H3687" i="1" s="1"/>
  <c r="H3688" i="1" s="1"/>
  <c r="H3689" i="1" s="1"/>
  <c r="H3690" i="1" s="1"/>
  <c r="H3691" i="1" s="1"/>
  <c r="H3692" i="1" s="1"/>
  <c r="H3693" i="1" s="1"/>
  <c r="H3694" i="1" s="1"/>
  <c r="H3695" i="1" s="1"/>
  <c r="H3696" i="1" s="1"/>
  <c r="H3697" i="1" s="1"/>
  <c r="H3698" i="1" s="1"/>
  <c r="H3699" i="1" s="1"/>
  <c r="H3700" i="1" s="1"/>
  <c r="H3701" i="1" s="1"/>
  <c r="H3702" i="1" s="1"/>
  <c r="H3703" i="1" s="1"/>
  <c r="H3704" i="1" s="1"/>
  <c r="H3705" i="1" s="1"/>
  <c r="H3706" i="1" s="1"/>
  <c r="H3707" i="1" s="1"/>
  <c r="H3708" i="1" s="1"/>
  <c r="H3709" i="1" s="1"/>
  <c r="H3710" i="1" s="1"/>
  <c r="H3711" i="1" s="1"/>
  <c r="H3712" i="1" s="1"/>
  <c r="H3713" i="1" s="1"/>
  <c r="H3714" i="1" s="1"/>
  <c r="H3715" i="1" s="1"/>
  <c r="H3716" i="1" s="1"/>
  <c r="H3717" i="1" s="1"/>
  <c r="H3718" i="1" s="1"/>
  <c r="H3719" i="1" s="1"/>
  <c r="H3720" i="1" s="1"/>
  <c r="H3721" i="1" s="1"/>
  <c r="H3722" i="1" s="1"/>
  <c r="H3723" i="1" s="1"/>
  <c r="H3724" i="1" s="1"/>
  <c r="H3725" i="1" s="1"/>
  <c r="H3726" i="1" s="1"/>
  <c r="H3727" i="1" s="1"/>
  <c r="H3728" i="1" s="1"/>
  <c r="H3729" i="1" s="1"/>
  <c r="H3730" i="1" s="1"/>
  <c r="H3731" i="1" s="1"/>
  <c r="H3732" i="1" s="1"/>
  <c r="H3733" i="1" s="1"/>
  <c r="H3734" i="1" s="1"/>
  <c r="H3735" i="1" s="1"/>
  <c r="H3736" i="1" s="1"/>
  <c r="H3737" i="1" s="1"/>
  <c r="H3738" i="1" s="1"/>
  <c r="H3739" i="1" s="1"/>
  <c r="H3740" i="1" s="1"/>
  <c r="H3741" i="1" s="1"/>
  <c r="H3742" i="1" s="1"/>
  <c r="H3743" i="1" s="1"/>
  <c r="H3744" i="1" s="1"/>
  <c r="H3745" i="1" s="1"/>
  <c r="H3746" i="1" s="1"/>
  <c r="H3747" i="1" s="1"/>
  <c r="H3748" i="1" s="1"/>
  <c r="H3749" i="1" s="1"/>
  <c r="H3750" i="1" s="1"/>
  <c r="H3751" i="1" s="1"/>
  <c r="H3752" i="1" s="1"/>
  <c r="H3753" i="1" s="1"/>
  <c r="H3754" i="1" s="1"/>
  <c r="H3755" i="1" s="1"/>
  <c r="H3756" i="1" s="1"/>
  <c r="H3757" i="1" s="1"/>
  <c r="H3758" i="1" s="1"/>
  <c r="H3759" i="1" s="1"/>
  <c r="H3760" i="1" s="1"/>
  <c r="H3761" i="1" s="1"/>
  <c r="H3762" i="1" s="1"/>
  <c r="H3763" i="1" s="1"/>
  <c r="H3764" i="1" s="1"/>
  <c r="H3765" i="1" s="1"/>
  <c r="H3766" i="1" s="1"/>
  <c r="H3767" i="1" s="1"/>
  <c r="H3768" i="1" s="1"/>
  <c r="H3769" i="1" s="1"/>
  <c r="H3770" i="1" s="1"/>
  <c r="H3771" i="1" s="1"/>
  <c r="H3772" i="1" s="1"/>
  <c r="H3773" i="1" s="1"/>
  <c r="H3774" i="1" s="1"/>
  <c r="H3775" i="1" s="1"/>
  <c r="H3776" i="1" s="1"/>
  <c r="H3777" i="1" s="1"/>
  <c r="H3778" i="1" s="1"/>
  <c r="H3779" i="1" s="1"/>
  <c r="H3780" i="1" s="1"/>
  <c r="H3781" i="1" s="1"/>
  <c r="H3782" i="1" s="1"/>
  <c r="H3783" i="1" s="1"/>
  <c r="H3784" i="1" s="1"/>
  <c r="H3785" i="1" s="1"/>
  <c r="H3786" i="1" s="1"/>
  <c r="H3787" i="1" s="1"/>
  <c r="H3788" i="1" s="1"/>
  <c r="H3789" i="1" s="1"/>
  <c r="H3790" i="1" s="1"/>
  <c r="H3791" i="1" s="1"/>
  <c r="H3792" i="1" s="1"/>
  <c r="H3793" i="1" s="1"/>
  <c r="H3794" i="1" s="1"/>
  <c r="H3795" i="1" s="1"/>
  <c r="H3796" i="1" s="1"/>
  <c r="H3797" i="1" s="1"/>
  <c r="H3798" i="1" s="1"/>
  <c r="H3799" i="1" s="1"/>
  <c r="H3800" i="1" s="1"/>
  <c r="H3801" i="1" s="1"/>
  <c r="H3802" i="1" s="1"/>
  <c r="H3803" i="1" s="1"/>
  <c r="H3804" i="1" s="1"/>
  <c r="H3805" i="1" s="1"/>
  <c r="H3806" i="1" s="1"/>
  <c r="H3807" i="1" s="1"/>
  <c r="H3808" i="1" s="1"/>
  <c r="H3809" i="1" s="1"/>
  <c r="H3810" i="1" s="1"/>
  <c r="H3811" i="1" s="1"/>
  <c r="H3812" i="1" s="1"/>
  <c r="H3813" i="1" s="1"/>
  <c r="H3814" i="1" s="1"/>
  <c r="H3815" i="1" s="1"/>
  <c r="H3816" i="1" s="1"/>
  <c r="H3817" i="1" s="1"/>
  <c r="H3818" i="1" s="1"/>
  <c r="H3819" i="1" s="1"/>
  <c r="H3820" i="1" s="1"/>
  <c r="H3821" i="1" s="1"/>
  <c r="H3822" i="1" s="1"/>
  <c r="H3823" i="1" s="1"/>
  <c r="H3824" i="1" s="1"/>
  <c r="H3825" i="1" s="1"/>
  <c r="H3826" i="1" s="1"/>
  <c r="H3827" i="1" s="1"/>
  <c r="H3828" i="1" s="1"/>
  <c r="H3829" i="1" s="1"/>
  <c r="H3830" i="1" s="1"/>
  <c r="H3831" i="1" s="1"/>
  <c r="H3832" i="1" s="1"/>
  <c r="H3833" i="1" s="1"/>
  <c r="H3834" i="1" s="1"/>
  <c r="H3835" i="1" s="1"/>
  <c r="H3836" i="1" s="1"/>
  <c r="H3837" i="1" s="1"/>
  <c r="H3838" i="1" s="1"/>
  <c r="H3839" i="1" s="1"/>
  <c r="H3840" i="1" s="1"/>
  <c r="H3841" i="1" s="1"/>
  <c r="H3842" i="1" s="1"/>
  <c r="H3843" i="1" s="1"/>
  <c r="H3844" i="1" s="1"/>
  <c r="H3845" i="1" s="1"/>
  <c r="H3846" i="1" s="1"/>
  <c r="H3847" i="1" s="1"/>
  <c r="H3848" i="1" s="1"/>
  <c r="H3849" i="1" s="1"/>
  <c r="H3850" i="1" s="1"/>
  <c r="H3851" i="1" s="1"/>
  <c r="H3852" i="1" s="1"/>
  <c r="H3853" i="1" s="1"/>
  <c r="H3854" i="1" s="1"/>
  <c r="H3855" i="1" s="1"/>
  <c r="H3856" i="1" s="1"/>
  <c r="H3857" i="1" s="1"/>
  <c r="H3858" i="1" s="1"/>
  <c r="H3859" i="1" s="1"/>
  <c r="H3860" i="1" s="1"/>
  <c r="H3861" i="1" s="1"/>
  <c r="H3862" i="1" s="1"/>
  <c r="H3863" i="1" s="1"/>
  <c r="H3864" i="1" s="1"/>
  <c r="H3865" i="1" s="1"/>
  <c r="H3866" i="1" s="1"/>
  <c r="H3867" i="1" s="1"/>
  <c r="H3868" i="1" s="1"/>
  <c r="H3869" i="1" s="1"/>
  <c r="H3870" i="1" s="1"/>
  <c r="H3871" i="1" s="1"/>
  <c r="H3872" i="1" s="1"/>
  <c r="H3873" i="1" s="1"/>
  <c r="H3874" i="1" s="1"/>
  <c r="H3875" i="1" s="1"/>
  <c r="H3876" i="1" s="1"/>
  <c r="H3877" i="1" s="1"/>
  <c r="H3878" i="1" s="1"/>
  <c r="H3879" i="1" s="1"/>
  <c r="H3880" i="1" s="1"/>
  <c r="H3881" i="1" s="1"/>
  <c r="H3882" i="1" s="1"/>
  <c r="H3883" i="1" s="1"/>
  <c r="H3884" i="1" s="1"/>
  <c r="H3885" i="1" s="1"/>
  <c r="H3886" i="1" s="1"/>
  <c r="H3887" i="1" s="1"/>
  <c r="H3888" i="1" s="1"/>
  <c r="H3889" i="1" s="1"/>
  <c r="H3890" i="1" s="1"/>
  <c r="H3891" i="1" s="1"/>
  <c r="H3892" i="1" s="1"/>
  <c r="H3893" i="1" s="1"/>
  <c r="H3894" i="1" s="1"/>
  <c r="H3895" i="1" s="1"/>
  <c r="H3896" i="1" s="1"/>
  <c r="H3897" i="1" s="1"/>
  <c r="H3898" i="1" s="1"/>
  <c r="H3899" i="1" s="1"/>
  <c r="H3900" i="1" s="1"/>
  <c r="H3901" i="1" s="1"/>
  <c r="H3902" i="1" s="1"/>
  <c r="H3903" i="1" s="1"/>
  <c r="H3904" i="1" s="1"/>
  <c r="H3905" i="1" s="1"/>
  <c r="H3906" i="1" s="1"/>
  <c r="H3907" i="1" s="1"/>
  <c r="H3908" i="1" s="1"/>
  <c r="H3909" i="1" s="1"/>
  <c r="H3910" i="1" s="1"/>
  <c r="H3911" i="1" s="1"/>
  <c r="H3912" i="1" s="1"/>
  <c r="H3913" i="1" s="1"/>
  <c r="H3914" i="1" s="1"/>
  <c r="H3915" i="1" s="1"/>
  <c r="H3916" i="1" s="1"/>
  <c r="H3917" i="1" s="1"/>
  <c r="H3918" i="1" s="1"/>
  <c r="H3919" i="1" s="1"/>
  <c r="H3920" i="1" s="1"/>
  <c r="H3921" i="1" s="1"/>
  <c r="H3922" i="1" s="1"/>
  <c r="H3923" i="1" s="1"/>
  <c r="H3924" i="1" s="1"/>
  <c r="H3925" i="1" s="1"/>
  <c r="H3926" i="1" s="1"/>
  <c r="H3927" i="1" s="1"/>
  <c r="H3928" i="1" s="1"/>
  <c r="H3929" i="1" s="1"/>
  <c r="H3930" i="1" s="1"/>
  <c r="H3931" i="1" s="1"/>
  <c r="H3932" i="1" s="1"/>
  <c r="H3933" i="1" s="1"/>
  <c r="H3934" i="1" s="1"/>
  <c r="H3935" i="1" s="1"/>
  <c r="H3936" i="1" s="1"/>
  <c r="H3937" i="1" s="1"/>
  <c r="H3938" i="1" s="1"/>
  <c r="H3939" i="1" s="1"/>
  <c r="H3940" i="1" s="1"/>
  <c r="H3941" i="1" s="1"/>
  <c r="H3942" i="1" s="1"/>
  <c r="H3943" i="1" s="1"/>
  <c r="H3944" i="1" s="1"/>
  <c r="H3945" i="1" s="1"/>
  <c r="H3946" i="1" s="1"/>
  <c r="H3947" i="1" s="1"/>
  <c r="H3948" i="1" s="1"/>
  <c r="H3949" i="1" s="1"/>
  <c r="H3950" i="1" s="1"/>
  <c r="H3951" i="1" s="1"/>
  <c r="H3952" i="1" s="1"/>
  <c r="H3953" i="1" s="1"/>
  <c r="H3954" i="1" s="1"/>
  <c r="H3955" i="1" s="1"/>
  <c r="H3956" i="1" s="1"/>
  <c r="H3957" i="1" s="1"/>
  <c r="H3958" i="1" s="1"/>
  <c r="H3959" i="1" s="1"/>
  <c r="H3960" i="1" s="1"/>
  <c r="H3961" i="1" s="1"/>
  <c r="H3962" i="1" s="1"/>
  <c r="H3963" i="1" s="1"/>
  <c r="H3964" i="1" s="1"/>
  <c r="H3965" i="1" s="1"/>
  <c r="H3966" i="1" s="1"/>
  <c r="H3967" i="1" s="1"/>
  <c r="H3968" i="1" s="1"/>
  <c r="H3969" i="1" s="1"/>
  <c r="H3970" i="1" s="1"/>
  <c r="H3971" i="1" s="1"/>
  <c r="H3972" i="1" s="1"/>
  <c r="H3973" i="1" s="1"/>
  <c r="H3974" i="1" s="1"/>
  <c r="H3975" i="1" s="1"/>
  <c r="H3976" i="1" s="1"/>
  <c r="H3977" i="1" s="1"/>
  <c r="H3978" i="1" s="1"/>
  <c r="H3979" i="1" s="1"/>
  <c r="H3980" i="1" s="1"/>
  <c r="H3981" i="1" s="1"/>
  <c r="H3982" i="1" s="1"/>
  <c r="H3983" i="1" s="1"/>
  <c r="H3984" i="1" s="1"/>
  <c r="H3985" i="1" s="1"/>
  <c r="H3986" i="1" s="1"/>
  <c r="H3987" i="1" s="1"/>
  <c r="H3988" i="1" s="1"/>
  <c r="H3989" i="1" s="1"/>
  <c r="H3990" i="1" s="1"/>
  <c r="H3991" i="1" s="1"/>
  <c r="H3992" i="1" s="1"/>
  <c r="H3993" i="1" s="1"/>
  <c r="H3994" i="1" s="1"/>
  <c r="H3995" i="1" s="1"/>
  <c r="H3996" i="1" s="1"/>
  <c r="H3997" i="1" s="1"/>
  <c r="H3998" i="1" s="1"/>
  <c r="H3999" i="1" s="1"/>
  <c r="H4000" i="1" s="1"/>
  <c r="H4001" i="1" s="1"/>
  <c r="H4002" i="1" s="1"/>
  <c r="H4003" i="1" s="1"/>
  <c r="H4004" i="1" s="1"/>
  <c r="H4005" i="1" s="1"/>
  <c r="H4006" i="1" s="1"/>
  <c r="H4007" i="1" s="1"/>
  <c r="H4008" i="1" s="1"/>
  <c r="H4009" i="1" s="1"/>
  <c r="H4010" i="1" s="1"/>
  <c r="H4011" i="1" s="1"/>
  <c r="H4012" i="1" s="1"/>
  <c r="H4013" i="1" s="1"/>
  <c r="H4014" i="1" s="1"/>
  <c r="H4015" i="1" s="1"/>
  <c r="H4016" i="1" s="1"/>
  <c r="H4017" i="1" s="1"/>
  <c r="H4018" i="1" s="1"/>
  <c r="H4019" i="1" s="1"/>
  <c r="H4020" i="1" s="1"/>
  <c r="H4021" i="1" s="1"/>
  <c r="H4022" i="1" s="1"/>
  <c r="H4023" i="1" s="1"/>
  <c r="H4024" i="1" s="1"/>
  <c r="H4025" i="1" s="1"/>
  <c r="H4026" i="1" s="1"/>
  <c r="H4027" i="1" s="1"/>
  <c r="H4028" i="1" s="1"/>
  <c r="H4029" i="1" s="1"/>
  <c r="H4030" i="1" s="1"/>
  <c r="H4031" i="1" s="1"/>
  <c r="H4032" i="1" s="1"/>
  <c r="H4033" i="1" s="1"/>
  <c r="H4034" i="1" s="1"/>
  <c r="H4035" i="1" s="1"/>
  <c r="H4036" i="1" s="1"/>
  <c r="H4037" i="1" s="1"/>
  <c r="H4038" i="1" s="1"/>
  <c r="H4039" i="1" s="1"/>
  <c r="H4040" i="1" s="1"/>
  <c r="H4041" i="1" s="1"/>
  <c r="H4042" i="1" s="1"/>
  <c r="H4043" i="1" s="1"/>
  <c r="H4044" i="1" s="1"/>
  <c r="H4045" i="1" s="1"/>
  <c r="H4046" i="1" s="1"/>
  <c r="H4047" i="1" s="1"/>
  <c r="H4048" i="1" s="1"/>
  <c r="H4049" i="1" s="1"/>
  <c r="H4050" i="1" s="1"/>
  <c r="H4051" i="1" s="1"/>
  <c r="H4052" i="1" s="1"/>
  <c r="H4053" i="1" s="1"/>
  <c r="H4054" i="1" s="1"/>
  <c r="H4055" i="1" s="1"/>
  <c r="H4056" i="1" s="1"/>
  <c r="H4057" i="1" s="1"/>
  <c r="H4058" i="1" s="1"/>
  <c r="H4059" i="1" s="1"/>
  <c r="H4060" i="1" s="1"/>
  <c r="H4061" i="1" s="1"/>
  <c r="H4062" i="1" s="1"/>
  <c r="H4063" i="1" s="1"/>
  <c r="H4064" i="1" s="1"/>
  <c r="H4065" i="1" s="1"/>
  <c r="H4066" i="1" s="1"/>
  <c r="H4067" i="1" s="1"/>
  <c r="H4068" i="1" s="1"/>
  <c r="H4069" i="1" s="1"/>
  <c r="H4070" i="1" s="1"/>
  <c r="H4071" i="1" s="1"/>
  <c r="H4072" i="1" s="1"/>
  <c r="H4073" i="1" s="1"/>
  <c r="H4074" i="1" s="1"/>
  <c r="H4075" i="1" s="1"/>
  <c r="H4076" i="1" s="1"/>
  <c r="H4077" i="1" s="1"/>
  <c r="H4078" i="1" s="1"/>
  <c r="H4079" i="1" s="1"/>
  <c r="H4080" i="1" s="1"/>
  <c r="H4081" i="1" s="1"/>
  <c r="H4082" i="1" s="1"/>
  <c r="H4083" i="1" s="1"/>
  <c r="H4084" i="1" s="1"/>
  <c r="H4085" i="1" s="1"/>
  <c r="H4086" i="1" s="1"/>
  <c r="H4087" i="1" s="1"/>
  <c r="H4088" i="1" s="1"/>
  <c r="H4089" i="1" s="1"/>
  <c r="H4090" i="1" s="1"/>
  <c r="H4091" i="1" s="1"/>
  <c r="H4092" i="1" s="1"/>
  <c r="H4093" i="1" s="1"/>
  <c r="H4094" i="1" s="1"/>
  <c r="H4095" i="1" s="1"/>
  <c r="H4096" i="1" s="1"/>
  <c r="H4097" i="1" s="1"/>
  <c r="H4098" i="1" s="1"/>
  <c r="H4099" i="1" s="1"/>
  <c r="H4100" i="1" s="1"/>
  <c r="H4101" i="1" s="1"/>
  <c r="H4102" i="1" s="1"/>
  <c r="H4103" i="1" s="1"/>
  <c r="H4104" i="1" s="1"/>
  <c r="H4105" i="1" s="1"/>
  <c r="H4106" i="1" s="1"/>
  <c r="H4107" i="1" s="1"/>
  <c r="H4108" i="1" s="1"/>
  <c r="H4109" i="1" s="1"/>
  <c r="H4110" i="1" s="1"/>
  <c r="H4111" i="1" s="1"/>
  <c r="H4112" i="1" s="1"/>
  <c r="H4113" i="1" s="1"/>
  <c r="H4114" i="1" s="1"/>
  <c r="H4115" i="1" s="1"/>
  <c r="H4116" i="1" s="1"/>
  <c r="H4117" i="1" s="1"/>
  <c r="H4118" i="1" s="1"/>
  <c r="H4119" i="1" s="1"/>
  <c r="H4120" i="1" s="1"/>
  <c r="H4121" i="1" s="1"/>
  <c r="H4122" i="1" s="1"/>
  <c r="H4123" i="1" s="1"/>
  <c r="H4124" i="1" s="1"/>
  <c r="H4125" i="1" s="1"/>
  <c r="H4126" i="1" s="1"/>
  <c r="H4127" i="1" s="1"/>
  <c r="H4128" i="1" s="1"/>
  <c r="H4129" i="1" s="1"/>
  <c r="H4130" i="1" s="1"/>
  <c r="H4131" i="1" s="1"/>
  <c r="H4132" i="1" s="1"/>
  <c r="H4133" i="1" s="1"/>
  <c r="H4134" i="1" s="1"/>
  <c r="H4135" i="1" s="1"/>
  <c r="H4136" i="1" s="1"/>
  <c r="H4137" i="1" s="1"/>
  <c r="H4138" i="1" s="1"/>
  <c r="H4139" i="1" s="1"/>
  <c r="H4140" i="1" s="1"/>
  <c r="H4141" i="1" s="1"/>
  <c r="H4142" i="1" s="1"/>
  <c r="H4143" i="1" s="1"/>
  <c r="H4144" i="1" s="1"/>
  <c r="H4145" i="1" s="1"/>
  <c r="H4146" i="1" s="1"/>
  <c r="H4147" i="1" s="1"/>
  <c r="H4148" i="1" s="1"/>
  <c r="H4149" i="1" s="1"/>
  <c r="H4150" i="1" s="1"/>
  <c r="H4151" i="1" s="1"/>
  <c r="H4152" i="1" s="1"/>
  <c r="H4153" i="1" s="1"/>
  <c r="H4154" i="1" s="1"/>
  <c r="H4155" i="1" s="1"/>
  <c r="H4156" i="1" s="1"/>
  <c r="H4157" i="1" s="1"/>
  <c r="H4158" i="1" s="1"/>
  <c r="H4159" i="1" s="1"/>
  <c r="H4160" i="1" s="1"/>
  <c r="H4161" i="1" s="1"/>
  <c r="H4162" i="1" s="1"/>
  <c r="H4163" i="1" s="1"/>
  <c r="H4164" i="1" s="1"/>
  <c r="H4165" i="1" s="1"/>
  <c r="H4166" i="1" s="1"/>
  <c r="H4167" i="1" s="1"/>
  <c r="H4168" i="1" s="1"/>
  <c r="H4169" i="1" s="1"/>
  <c r="H4170" i="1" s="1"/>
  <c r="H4171" i="1" s="1"/>
  <c r="H4172" i="1" s="1"/>
  <c r="H4173" i="1" s="1"/>
  <c r="H4174" i="1" s="1"/>
  <c r="H4175" i="1" s="1"/>
  <c r="H4176" i="1" s="1"/>
  <c r="H4177" i="1" s="1"/>
  <c r="H4178" i="1" s="1"/>
  <c r="H4179" i="1" s="1"/>
  <c r="H4180" i="1" s="1"/>
  <c r="H4181" i="1" s="1"/>
  <c r="H4182" i="1" s="1"/>
  <c r="H4183" i="1" s="1"/>
  <c r="H4184" i="1" s="1"/>
  <c r="H4185" i="1" s="1"/>
  <c r="H4186" i="1" s="1"/>
  <c r="H4187" i="1" s="1"/>
  <c r="H4188" i="1" s="1"/>
  <c r="H4189" i="1" s="1"/>
  <c r="H4190" i="1" s="1"/>
  <c r="H4191" i="1" s="1"/>
  <c r="H4192" i="1" s="1"/>
  <c r="H4193" i="1" s="1"/>
  <c r="H4194" i="1" s="1"/>
  <c r="H4195" i="1" s="1"/>
  <c r="H4196" i="1" s="1"/>
  <c r="H4197" i="1" s="1"/>
  <c r="H4198" i="1" s="1"/>
  <c r="H4199" i="1" s="1"/>
  <c r="H4200" i="1" s="1"/>
  <c r="H4201" i="1" s="1"/>
  <c r="H4202" i="1" s="1"/>
  <c r="H4203" i="1" s="1"/>
  <c r="H4204" i="1" s="1"/>
  <c r="H4205" i="1" s="1"/>
  <c r="H4206" i="1" s="1"/>
  <c r="H4207" i="1" s="1"/>
  <c r="H4208" i="1" s="1"/>
  <c r="H4209" i="1" s="1"/>
  <c r="H4210" i="1" s="1"/>
  <c r="H4211" i="1" s="1"/>
  <c r="H4212" i="1" s="1"/>
  <c r="H4213" i="1" s="1"/>
  <c r="H4214" i="1" s="1"/>
  <c r="H4215" i="1" s="1"/>
  <c r="H4216" i="1" s="1"/>
  <c r="H4217" i="1" s="1"/>
  <c r="H4218" i="1" s="1"/>
  <c r="H4219" i="1" s="1"/>
  <c r="H4220" i="1" s="1"/>
  <c r="H4221" i="1" s="1"/>
  <c r="H4222" i="1" s="1"/>
  <c r="H4223" i="1" s="1"/>
  <c r="H4224" i="1" s="1"/>
  <c r="H4225" i="1" s="1"/>
  <c r="H4226" i="1" s="1"/>
  <c r="H4227" i="1" s="1"/>
  <c r="H4228" i="1" s="1"/>
  <c r="H4229" i="1" s="1"/>
  <c r="H4230" i="1" s="1"/>
  <c r="H4231" i="1" s="1"/>
  <c r="H4232" i="1" s="1"/>
  <c r="H4233" i="1" s="1"/>
  <c r="H4234" i="1" s="1"/>
  <c r="H4235" i="1" s="1"/>
  <c r="H4236" i="1" s="1"/>
  <c r="H4237" i="1" s="1"/>
  <c r="H4238" i="1" s="1"/>
  <c r="H4239" i="1" s="1"/>
  <c r="H4240" i="1" s="1"/>
  <c r="H4241" i="1" s="1"/>
  <c r="H4242" i="1" s="1"/>
  <c r="H4243" i="1" s="1"/>
  <c r="H4244" i="1" s="1"/>
  <c r="H4245" i="1" s="1"/>
  <c r="H4246" i="1" s="1"/>
  <c r="H4247" i="1" s="1"/>
  <c r="H4248" i="1" s="1"/>
  <c r="H4249" i="1" s="1"/>
  <c r="H4250" i="1" s="1"/>
  <c r="H4251" i="1" s="1"/>
  <c r="H4252" i="1" s="1"/>
  <c r="H4253" i="1" s="1"/>
  <c r="H4254" i="1" s="1"/>
  <c r="H4255" i="1" s="1"/>
  <c r="H4256" i="1" s="1"/>
  <c r="H4257" i="1" s="1"/>
  <c r="H4258" i="1" s="1"/>
  <c r="H4259" i="1" s="1"/>
  <c r="H4260" i="1" s="1"/>
  <c r="H4261" i="1" s="1"/>
  <c r="H4262" i="1" s="1"/>
  <c r="H4263" i="1" s="1"/>
  <c r="H4264" i="1" s="1"/>
  <c r="H4265" i="1" s="1"/>
  <c r="H4266" i="1" s="1"/>
  <c r="H4267" i="1" s="1"/>
  <c r="H4268" i="1" s="1"/>
  <c r="H4269" i="1" s="1"/>
  <c r="H4270" i="1" s="1"/>
  <c r="H4271" i="1" s="1"/>
  <c r="H4272" i="1" s="1"/>
  <c r="H4273" i="1" s="1"/>
  <c r="H4274" i="1" s="1"/>
  <c r="H4275" i="1" s="1"/>
  <c r="H4276" i="1" s="1"/>
  <c r="H4277" i="1" s="1"/>
  <c r="H4278" i="1" s="1"/>
  <c r="H4279" i="1" s="1"/>
  <c r="H4280" i="1" s="1"/>
  <c r="H4281" i="1" s="1"/>
  <c r="H4282" i="1" s="1"/>
  <c r="H4283" i="1" s="1"/>
  <c r="H4284" i="1" s="1"/>
  <c r="H4285" i="1" s="1"/>
  <c r="H4286" i="1" s="1"/>
  <c r="H4287" i="1" s="1"/>
  <c r="H4288" i="1" s="1"/>
  <c r="H4289" i="1" s="1"/>
  <c r="H4290" i="1" s="1"/>
  <c r="H4291" i="1" s="1"/>
  <c r="H4292" i="1" s="1"/>
  <c r="H4293" i="1" s="1"/>
  <c r="H4294" i="1" s="1"/>
  <c r="H4295" i="1" s="1"/>
  <c r="H4296" i="1" s="1"/>
  <c r="H4297" i="1" s="1"/>
  <c r="H4298" i="1" s="1"/>
  <c r="H4299" i="1" s="1"/>
  <c r="H4300" i="1" s="1"/>
  <c r="H4301" i="1" s="1"/>
  <c r="H4302" i="1" s="1"/>
  <c r="H4303" i="1" s="1"/>
  <c r="H4304" i="1" s="1"/>
  <c r="H4305" i="1" s="1"/>
  <c r="H4306" i="1" s="1"/>
  <c r="H4307" i="1" s="1"/>
  <c r="H4308" i="1" s="1"/>
  <c r="H4309" i="1" s="1"/>
  <c r="H4310" i="1" s="1"/>
  <c r="H4311" i="1" s="1"/>
  <c r="H4312" i="1" s="1"/>
  <c r="H4313" i="1" s="1"/>
  <c r="H4314" i="1" s="1"/>
  <c r="H4315" i="1" s="1"/>
  <c r="H4316" i="1" s="1"/>
  <c r="H4317" i="1" s="1"/>
  <c r="H4318" i="1" s="1"/>
  <c r="H4319" i="1" s="1"/>
  <c r="H4320" i="1" s="1"/>
  <c r="H4321" i="1" s="1"/>
  <c r="H4322" i="1" s="1"/>
  <c r="H4323" i="1" s="1"/>
  <c r="H4324" i="1" s="1"/>
  <c r="H4325" i="1" s="1"/>
  <c r="H4326" i="1" s="1"/>
  <c r="H4327" i="1" s="1"/>
  <c r="H4328" i="1" s="1"/>
  <c r="H4329" i="1" s="1"/>
  <c r="H4330" i="1" s="1"/>
  <c r="H4331" i="1" s="1"/>
  <c r="H4332" i="1" s="1"/>
  <c r="H4333" i="1" s="1"/>
  <c r="H4334" i="1" s="1"/>
  <c r="H4335" i="1" s="1"/>
  <c r="H4336" i="1" s="1"/>
  <c r="H4337" i="1" s="1"/>
  <c r="H4338" i="1" s="1"/>
  <c r="H4339" i="1" s="1"/>
  <c r="H4340" i="1" s="1"/>
  <c r="H4341" i="1" s="1"/>
  <c r="H4342" i="1" s="1"/>
  <c r="H4343" i="1" s="1"/>
  <c r="H4344" i="1" s="1"/>
  <c r="H4345" i="1" s="1"/>
  <c r="H4346" i="1" s="1"/>
  <c r="H4347" i="1" s="1"/>
  <c r="H4348" i="1" s="1"/>
  <c r="H4349" i="1" s="1"/>
  <c r="H4350" i="1" s="1"/>
  <c r="H4351" i="1" s="1"/>
  <c r="H4352" i="1" s="1"/>
  <c r="H4353" i="1" s="1"/>
  <c r="H4354" i="1" s="1"/>
  <c r="H4355" i="1" s="1"/>
  <c r="H4356" i="1" s="1"/>
  <c r="H4357" i="1" s="1"/>
  <c r="H4358" i="1" s="1"/>
  <c r="H4359" i="1" s="1"/>
  <c r="H4360" i="1" s="1"/>
  <c r="H4361" i="1" s="1"/>
  <c r="H4362" i="1" s="1"/>
  <c r="H4363" i="1" s="1"/>
  <c r="H4364" i="1" s="1"/>
  <c r="H4365" i="1" s="1"/>
  <c r="H4366" i="1" s="1"/>
  <c r="H4367" i="1" s="1"/>
  <c r="H4368" i="1" s="1"/>
  <c r="H4369" i="1" s="1"/>
  <c r="H4370" i="1" s="1"/>
  <c r="H4371" i="1" s="1"/>
  <c r="H4372" i="1" s="1"/>
  <c r="H4373" i="1" s="1"/>
  <c r="H4374" i="1" s="1"/>
  <c r="H4375" i="1" s="1"/>
  <c r="H4376" i="1" s="1"/>
  <c r="H4377" i="1" s="1"/>
  <c r="H4378" i="1" s="1"/>
  <c r="H4379" i="1" s="1"/>
  <c r="H4380" i="1" s="1"/>
  <c r="H4381" i="1" s="1"/>
  <c r="H4382" i="1" s="1"/>
  <c r="H4383" i="1" s="1"/>
  <c r="H4384" i="1" s="1"/>
  <c r="H4385" i="1" s="1"/>
  <c r="H4386" i="1" s="1"/>
  <c r="H4387" i="1" s="1"/>
  <c r="H4388" i="1" s="1"/>
  <c r="H4389" i="1" s="1"/>
  <c r="H4390" i="1" s="1"/>
  <c r="H4391" i="1" s="1"/>
  <c r="H4392" i="1" s="1"/>
  <c r="H4393" i="1" s="1"/>
  <c r="H4394" i="1" s="1"/>
  <c r="H4395" i="1" s="1"/>
  <c r="H4396" i="1" s="1"/>
  <c r="H4397" i="1" s="1"/>
  <c r="H4398" i="1" s="1"/>
  <c r="H4399" i="1" s="1"/>
  <c r="H4400" i="1" s="1"/>
  <c r="H4401" i="1" s="1"/>
  <c r="H4402" i="1" s="1"/>
  <c r="H4403" i="1" s="1"/>
  <c r="H4404" i="1" s="1"/>
  <c r="H4405" i="1" s="1"/>
  <c r="H4406" i="1" s="1"/>
  <c r="H4407" i="1" s="1"/>
  <c r="H4408" i="1" s="1"/>
  <c r="H4409" i="1" s="1"/>
  <c r="H4410" i="1" s="1"/>
  <c r="H4411" i="1" s="1"/>
  <c r="H4412" i="1" s="1"/>
  <c r="H4413" i="1" s="1"/>
  <c r="H4414" i="1" s="1"/>
  <c r="H4415" i="1" s="1"/>
  <c r="H4416" i="1" s="1"/>
  <c r="H4417" i="1" s="1"/>
  <c r="A2" i="1" l="1"/>
  <c r="B2"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A201" i="1"/>
  <c r="B201" i="1"/>
  <c r="A202" i="1"/>
  <c r="B202" i="1"/>
  <c r="A203" i="1"/>
  <c r="B203" i="1"/>
  <c r="A204" i="1"/>
  <c r="B204" i="1"/>
  <c r="A205" i="1"/>
  <c r="B205" i="1"/>
  <c r="A206" i="1"/>
  <c r="B206" i="1"/>
  <c r="A207" i="1"/>
  <c r="B207" i="1"/>
  <c r="A208" i="1"/>
  <c r="B208" i="1"/>
  <c r="A209" i="1"/>
  <c r="B209" i="1"/>
  <c r="A210" i="1"/>
  <c r="B210" i="1"/>
  <c r="A211" i="1"/>
  <c r="B211" i="1"/>
  <c r="A212" i="1"/>
  <c r="B212" i="1"/>
  <c r="A213" i="1"/>
  <c r="B213" i="1"/>
  <c r="A214" i="1"/>
  <c r="B214" i="1"/>
  <c r="A215" i="1"/>
  <c r="B215" i="1"/>
  <c r="A216" i="1"/>
  <c r="B216" i="1"/>
  <c r="A217" i="1"/>
  <c r="B217" i="1"/>
  <c r="A218" i="1"/>
  <c r="B218" i="1"/>
  <c r="A219" i="1"/>
  <c r="B219" i="1"/>
  <c r="A220" i="1"/>
  <c r="B220" i="1"/>
  <c r="A221" i="1"/>
  <c r="B221" i="1"/>
  <c r="A222" i="1"/>
  <c r="B222" i="1"/>
  <c r="A223" i="1"/>
  <c r="B223" i="1"/>
  <c r="A224" i="1"/>
  <c r="B224" i="1"/>
  <c r="A225" i="1"/>
  <c r="B225" i="1"/>
  <c r="A226" i="1"/>
  <c r="B226" i="1"/>
  <c r="A227" i="1"/>
  <c r="B227" i="1"/>
  <c r="A228" i="1"/>
  <c r="B228" i="1"/>
  <c r="A229" i="1"/>
  <c r="B229" i="1"/>
  <c r="A230" i="1"/>
  <c r="B230" i="1"/>
  <c r="A231" i="1"/>
  <c r="B231" i="1"/>
  <c r="A232" i="1"/>
  <c r="B232" i="1"/>
  <c r="A233" i="1"/>
  <c r="B233" i="1"/>
  <c r="A234" i="1"/>
  <c r="B234" i="1"/>
  <c r="A235" i="1"/>
  <c r="B235" i="1"/>
  <c r="A236" i="1"/>
  <c r="B236" i="1"/>
  <c r="A237" i="1"/>
  <c r="B237" i="1"/>
  <c r="A238" i="1"/>
  <c r="B238" i="1"/>
  <c r="A239" i="1"/>
  <c r="B239" i="1"/>
  <c r="A240" i="1"/>
  <c r="B240" i="1"/>
  <c r="A241" i="1"/>
  <c r="B241" i="1"/>
  <c r="A242" i="1"/>
  <c r="B242" i="1"/>
  <c r="A243" i="1"/>
  <c r="B243" i="1"/>
  <c r="A244" i="1"/>
  <c r="B244" i="1"/>
  <c r="A245" i="1"/>
  <c r="B245" i="1"/>
  <c r="A246" i="1"/>
  <c r="B246" i="1"/>
  <c r="A247" i="1"/>
  <c r="B247" i="1"/>
  <c r="A248" i="1"/>
  <c r="B248" i="1"/>
  <c r="A249" i="1"/>
  <c r="B249" i="1"/>
  <c r="A250" i="1"/>
  <c r="B250" i="1"/>
  <c r="A251" i="1"/>
  <c r="B251" i="1"/>
  <c r="A252" i="1"/>
  <c r="B252" i="1"/>
  <c r="A253" i="1"/>
  <c r="B253" i="1"/>
  <c r="A254" i="1"/>
  <c r="B254" i="1"/>
  <c r="A255" i="1"/>
  <c r="B255" i="1"/>
  <c r="A256" i="1"/>
  <c r="B256" i="1"/>
  <c r="A257" i="1"/>
  <c r="B257" i="1"/>
  <c r="A258" i="1"/>
  <c r="B258" i="1"/>
  <c r="A259" i="1"/>
  <c r="B259" i="1"/>
  <c r="A260" i="1"/>
  <c r="B260" i="1"/>
  <c r="A261" i="1"/>
  <c r="B261" i="1"/>
  <c r="A262" i="1"/>
  <c r="B262" i="1"/>
  <c r="A263" i="1"/>
  <c r="B263" i="1"/>
  <c r="A264" i="1"/>
  <c r="B264" i="1"/>
  <c r="A265" i="1"/>
  <c r="B265" i="1"/>
  <c r="A266" i="1"/>
  <c r="B266" i="1"/>
  <c r="A267" i="1"/>
  <c r="B267" i="1"/>
  <c r="A268" i="1"/>
  <c r="B268" i="1"/>
  <c r="A269" i="1"/>
  <c r="B269" i="1"/>
  <c r="A270" i="1"/>
  <c r="B270" i="1"/>
  <c r="A271" i="1"/>
  <c r="B271" i="1"/>
  <c r="A272" i="1"/>
  <c r="B272" i="1"/>
  <c r="A273" i="1"/>
  <c r="B273" i="1"/>
  <c r="A274" i="1"/>
  <c r="B274" i="1"/>
  <c r="A275" i="1"/>
  <c r="B275" i="1"/>
  <c r="A276" i="1"/>
  <c r="B276" i="1"/>
  <c r="A277" i="1"/>
  <c r="B277" i="1"/>
  <c r="A278" i="1"/>
  <c r="B278" i="1"/>
  <c r="A279" i="1"/>
  <c r="B279" i="1"/>
  <c r="A280" i="1"/>
  <c r="B280" i="1"/>
  <c r="A281" i="1"/>
  <c r="B281" i="1"/>
  <c r="A282" i="1"/>
  <c r="B282" i="1"/>
  <c r="A283" i="1"/>
  <c r="B283" i="1"/>
  <c r="A284" i="1"/>
  <c r="B284" i="1"/>
  <c r="A285" i="1"/>
  <c r="B285" i="1"/>
  <c r="A286" i="1"/>
  <c r="B286" i="1"/>
  <c r="A287" i="1"/>
  <c r="B287" i="1"/>
  <c r="A288" i="1"/>
  <c r="B288" i="1"/>
  <c r="A289" i="1"/>
  <c r="B289" i="1"/>
  <c r="A290" i="1"/>
  <c r="B290" i="1"/>
  <c r="A291" i="1"/>
  <c r="B291" i="1"/>
  <c r="A292" i="1"/>
  <c r="B292" i="1"/>
  <c r="A293" i="1"/>
  <c r="B293" i="1"/>
  <c r="A294" i="1"/>
  <c r="B294" i="1"/>
  <c r="A295" i="1"/>
  <c r="B295" i="1"/>
  <c r="A296" i="1"/>
  <c r="B296" i="1"/>
  <c r="A297" i="1"/>
  <c r="B297" i="1"/>
  <c r="A298" i="1"/>
  <c r="B298" i="1"/>
  <c r="A299" i="1"/>
  <c r="B299" i="1"/>
  <c r="A300" i="1"/>
  <c r="B300" i="1"/>
  <c r="A301" i="1"/>
  <c r="B301" i="1"/>
  <c r="A302" i="1"/>
  <c r="B302" i="1"/>
  <c r="A303" i="1"/>
  <c r="B303" i="1"/>
  <c r="A304" i="1"/>
  <c r="B304" i="1"/>
  <c r="A305" i="1"/>
  <c r="B305" i="1"/>
  <c r="A306" i="1"/>
  <c r="B306" i="1"/>
  <c r="A307" i="1"/>
  <c r="B307" i="1"/>
  <c r="A308" i="1"/>
  <c r="B308" i="1"/>
  <c r="A309" i="1"/>
  <c r="B309" i="1"/>
  <c r="A310" i="1"/>
  <c r="B310" i="1"/>
  <c r="A311" i="1"/>
  <c r="B311" i="1"/>
  <c r="A312" i="1"/>
  <c r="B312" i="1"/>
  <c r="A313" i="1"/>
  <c r="B313" i="1"/>
  <c r="A314" i="1"/>
  <c r="B314" i="1"/>
  <c r="A315" i="1"/>
  <c r="B315" i="1"/>
  <c r="A316" i="1"/>
  <c r="B316" i="1"/>
  <c r="A317" i="1"/>
  <c r="B317" i="1"/>
  <c r="A318" i="1"/>
  <c r="B318" i="1"/>
  <c r="A319" i="1"/>
  <c r="B319" i="1"/>
  <c r="A320" i="1"/>
  <c r="B320" i="1"/>
  <c r="A321" i="1"/>
  <c r="B321" i="1"/>
  <c r="A322" i="1"/>
  <c r="B322" i="1"/>
  <c r="A323" i="1"/>
  <c r="B323" i="1"/>
  <c r="A324" i="1"/>
  <c r="B324" i="1"/>
  <c r="A325" i="1"/>
  <c r="B325" i="1"/>
  <c r="A326" i="1"/>
  <c r="B326" i="1"/>
  <c r="A327" i="1"/>
  <c r="B327" i="1"/>
  <c r="A328" i="1"/>
  <c r="B328" i="1"/>
  <c r="A329" i="1"/>
  <c r="B329" i="1"/>
  <c r="A330" i="1"/>
  <c r="B330" i="1"/>
  <c r="A331" i="1"/>
  <c r="B331" i="1"/>
  <c r="A332" i="1"/>
  <c r="B332" i="1"/>
  <c r="A333" i="1"/>
  <c r="B333" i="1"/>
  <c r="A334" i="1"/>
  <c r="B334" i="1"/>
  <c r="A335" i="1"/>
  <c r="B335" i="1"/>
  <c r="A336" i="1"/>
  <c r="B336" i="1"/>
  <c r="A337" i="1"/>
  <c r="B337" i="1"/>
  <c r="A338" i="1"/>
  <c r="B338" i="1"/>
  <c r="A339" i="1"/>
  <c r="B339" i="1"/>
  <c r="A340" i="1"/>
  <c r="B340" i="1"/>
  <c r="A341" i="1"/>
  <c r="B341" i="1"/>
  <c r="A342" i="1"/>
  <c r="B342" i="1"/>
  <c r="A343" i="1"/>
  <c r="B343" i="1"/>
  <c r="A344" i="1"/>
  <c r="B344" i="1"/>
  <c r="A345" i="1"/>
  <c r="B345" i="1"/>
  <c r="A346" i="1"/>
  <c r="B346" i="1"/>
  <c r="A347" i="1"/>
  <c r="B347" i="1"/>
  <c r="A348" i="1"/>
  <c r="B348" i="1"/>
  <c r="A349" i="1"/>
  <c r="B349" i="1"/>
  <c r="A350" i="1"/>
  <c r="B350" i="1"/>
  <c r="A351" i="1"/>
  <c r="B351" i="1"/>
  <c r="A352" i="1"/>
  <c r="B352" i="1"/>
  <c r="A353" i="1"/>
  <c r="B353" i="1"/>
  <c r="A354" i="1"/>
  <c r="B354" i="1"/>
  <c r="A355" i="1"/>
  <c r="B355" i="1"/>
  <c r="A356" i="1"/>
  <c r="B356" i="1"/>
  <c r="A357" i="1"/>
  <c r="B357" i="1"/>
  <c r="A358" i="1"/>
  <c r="B358" i="1"/>
  <c r="A359" i="1"/>
  <c r="B359" i="1"/>
  <c r="A360" i="1"/>
  <c r="B360" i="1"/>
  <c r="A361" i="1"/>
  <c r="B361" i="1"/>
  <c r="A362" i="1"/>
  <c r="B362" i="1"/>
  <c r="A363" i="1"/>
  <c r="B363" i="1"/>
  <c r="A364" i="1"/>
  <c r="B364" i="1"/>
  <c r="A365" i="1"/>
  <c r="B365" i="1"/>
  <c r="A366" i="1"/>
  <c r="B366" i="1"/>
  <c r="A367" i="1"/>
  <c r="B367" i="1"/>
  <c r="A368" i="1"/>
  <c r="B368" i="1"/>
  <c r="A369" i="1"/>
  <c r="B369" i="1"/>
  <c r="A370" i="1"/>
  <c r="B370" i="1"/>
  <c r="A371" i="1"/>
  <c r="B371" i="1"/>
  <c r="A372" i="1"/>
  <c r="B372" i="1"/>
  <c r="A373" i="1"/>
  <c r="B373" i="1"/>
  <c r="A374" i="1"/>
  <c r="B374" i="1"/>
  <c r="A375" i="1"/>
  <c r="B375" i="1"/>
  <c r="A376" i="1"/>
  <c r="B376" i="1"/>
  <c r="A377" i="1"/>
  <c r="B377" i="1"/>
  <c r="A378" i="1"/>
  <c r="B378" i="1"/>
  <c r="A379" i="1"/>
  <c r="B379" i="1"/>
  <c r="A380" i="1"/>
  <c r="B380" i="1"/>
  <c r="A381" i="1"/>
  <c r="B381" i="1"/>
  <c r="A382" i="1"/>
  <c r="B382" i="1"/>
  <c r="A383" i="1"/>
  <c r="B383" i="1"/>
  <c r="A384" i="1"/>
  <c r="B384" i="1"/>
  <c r="A385" i="1"/>
  <c r="B385" i="1"/>
  <c r="A386" i="1"/>
  <c r="B386" i="1"/>
  <c r="A387" i="1"/>
  <c r="B387" i="1"/>
  <c r="A388" i="1"/>
  <c r="B388" i="1"/>
  <c r="A389" i="1"/>
  <c r="B389" i="1"/>
  <c r="A390" i="1"/>
  <c r="B390" i="1"/>
  <c r="A391" i="1"/>
  <c r="B391" i="1"/>
  <c r="A392" i="1"/>
  <c r="B392" i="1"/>
  <c r="A393" i="1"/>
  <c r="B393" i="1"/>
  <c r="A394" i="1"/>
  <c r="B394" i="1"/>
  <c r="A395" i="1"/>
  <c r="B395" i="1"/>
  <c r="A396" i="1"/>
  <c r="B396" i="1"/>
  <c r="A397" i="1"/>
  <c r="B397" i="1"/>
  <c r="A398" i="1"/>
  <c r="B398" i="1"/>
  <c r="A399" i="1"/>
  <c r="B399" i="1"/>
  <c r="A400" i="1"/>
  <c r="B400" i="1"/>
  <c r="A401" i="1"/>
  <c r="B401" i="1"/>
  <c r="A402" i="1"/>
  <c r="B402" i="1"/>
  <c r="A403" i="1"/>
  <c r="B403" i="1"/>
  <c r="A404" i="1"/>
  <c r="B404" i="1"/>
  <c r="A405" i="1"/>
  <c r="B405" i="1"/>
  <c r="A406" i="1"/>
  <c r="B406" i="1"/>
  <c r="A407" i="1"/>
  <c r="B407" i="1"/>
  <c r="A408" i="1"/>
  <c r="B408" i="1"/>
  <c r="A409" i="1"/>
  <c r="B409" i="1"/>
  <c r="A410" i="1"/>
  <c r="B410" i="1"/>
  <c r="A411" i="1"/>
  <c r="B411" i="1"/>
  <c r="A412" i="1"/>
  <c r="B412" i="1"/>
  <c r="A413" i="1"/>
  <c r="B413" i="1"/>
  <c r="A414" i="1"/>
  <c r="B414" i="1"/>
  <c r="A415" i="1"/>
  <c r="B415" i="1"/>
  <c r="A416" i="1"/>
  <c r="B416" i="1"/>
  <c r="A417" i="1"/>
  <c r="B417" i="1"/>
  <c r="A418" i="1"/>
  <c r="B418" i="1"/>
  <c r="A419" i="1"/>
  <c r="B419" i="1"/>
  <c r="A420" i="1"/>
  <c r="B420" i="1"/>
  <c r="A421" i="1"/>
  <c r="B421" i="1"/>
  <c r="A422" i="1"/>
  <c r="B422" i="1"/>
  <c r="A423" i="1"/>
  <c r="B423" i="1"/>
  <c r="A424" i="1"/>
  <c r="B424" i="1"/>
  <c r="A425" i="1"/>
  <c r="B425" i="1"/>
  <c r="A426" i="1"/>
  <c r="B426" i="1"/>
  <c r="A427" i="1"/>
  <c r="B427" i="1"/>
  <c r="A428" i="1"/>
  <c r="B428" i="1"/>
  <c r="A429" i="1"/>
  <c r="B429" i="1"/>
  <c r="A430" i="1"/>
  <c r="B430" i="1"/>
  <c r="A431" i="1"/>
  <c r="B431" i="1"/>
  <c r="A432" i="1"/>
  <c r="B432" i="1"/>
  <c r="A433" i="1"/>
  <c r="B433" i="1"/>
  <c r="A434" i="1"/>
  <c r="B434" i="1"/>
  <c r="A435" i="1"/>
  <c r="B435" i="1"/>
  <c r="A436" i="1"/>
  <c r="B436" i="1"/>
  <c r="A437" i="1"/>
  <c r="B437" i="1"/>
  <c r="A438" i="1"/>
  <c r="B438" i="1"/>
  <c r="A439" i="1"/>
  <c r="B439" i="1"/>
  <c r="A440" i="1"/>
  <c r="B440" i="1"/>
  <c r="A441" i="1"/>
  <c r="B441" i="1"/>
  <c r="A442" i="1"/>
  <c r="B442" i="1"/>
  <c r="A443" i="1"/>
  <c r="B443" i="1"/>
  <c r="A444" i="1"/>
  <c r="B444" i="1"/>
  <c r="A445" i="1"/>
  <c r="B445" i="1"/>
  <c r="A446" i="1"/>
  <c r="B446" i="1"/>
  <c r="A447" i="1"/>
  <c r="B447" i="1"/>
  <c r="A448" i="1"/>
  <c r="B448" i="1"/>
  <c r="A449" i="1"/>
  <c r="B449" i="1"/>
  <c r="A450" i="1"/>
  <c r="B450" i="1"/>
  <c r="A451" i="1"/>
  <c r="B451" i="1"/>
  <c r="A452" i="1"/>
  <c r="B452" i="1"/>
  <c r="A453" i="1"/>
  <c r="B453" i="1"/>
  <c r="A454" i="1"/>
  <c r="B454" i="1"/>
  <c r="A455" i="1"/>
  <c r="B455" i="1"/>
  <c r="A456" i="1"/>
  <c r="B456" i="1"/>
  <c r="A457" i="1"/>
  <c r="B457" i="1"/>
  <c r="A458" i="1"/>
  <c r="B458" i="1"/>
  <c r="A459" i="1"/>
  <c r="B459" i="1"/>
  <c r="A460" i="1"/>
  <c r="B460" i="1"/>
  <c r="A461" i="1"/>
  <c r="B461" i="1"/>
  <c r="A462" i="1"/>
  <c r="B462" i="1"/>
  <c r="A463" i="1"/>
  <c r="B463" i="1"/>
  <c r="A464" i="1"/>
  <c r="B464" i="1"/>
  <c r="A465" i="1"/>
  <c r="B465" i="1"/>
  <c r="A466" i="1"/>
  <c r="B466" i="1"/>
  <c r="A467" i="1"/>
  <c r="B467" i="1"/>
  <c r="A468" i="1"/>
  <c r="B468" i="1"/>
  <c r="A469" i="1"/>
  <c r="B469" i="1"/>
  <c r="A470" i="1"/>
  <c r="B470" i="1"/>
  <c r="A471" i="1"/>
  <c r="B471" i="1"/>
  <c r="A472" i="1"/>
  <c r="B472" i="1"/>
  <c r="A473" i="1"/>
  <c r="B473" i="1"/>
  <c r="A474" i="1"/>
  <c r="B474" i="1"/>
  <c r="A475" i="1"/>
  <c r="B475" i="1"/>
  <c r="A476" i="1"/>
  <c r="B476" i="1"/>
  <c r="A477" i="1"/>
  <c r="B477" i="1"/>
  <c r="A478" i="1"/>
  <c r="B478" i="1"/>
  <c r="A479" i="1"/>
  <c r="B479" i="1"/>
  <c r="A480" i="1"/>
  <c r="B480" i="1"/>
  <c r="A481" i="1"/>
  <c r="B481" i="1"/>
  <c r="A482" i="1"/>
  <c r="B482" i="1"/>
  <c r="A483" i="1"/>
  <c r="B483" i="1"/>
  <c r="A484" i="1"/>
  <c r="B484" i="1"/>
  <c r="A485" i="1"/>
  <c r="B485" i="1"/>
  <c r="A486" i="1"/>
  <c r="B486" i="1"/>
  <c r="A487" i="1"/>
  <c r="B487" i="1"/>
  <c r="A488" i="1"/>
  <c r="B488" i="1"/>
  <c r="A489" i="1"/>
  <c r="B489" i="1"/>
  <c r="A490" i="1"/>
  <c r="B490" i="1"/>
  <c r="A491" i="1"/>
  <c r="B491" i="1"/>
  <c r="A492" i="1"/>
  <c r="B492" i="1"/>
  <c r="A493" i="1"/>
  <c r="B493" i="1"/>
  <c r="A494" i="1"/>
  <c r="B494" i="1"/>
  <c r="A495" i="1"/>
  <c r="B495" i="1"/>
  <c r="A496" i="1"/>
  <c r="B496" i="1"/>
  <c r="A497" i="1"/>
  <c r="B497" i="1"/>
  <c r="A498" i="1"/>
  <c r="B498" i="1"/>
  <c r="A499" i="1"/>
  <c r="B499" i="1"/>
  <c r="A500" i="1"/>
  <c r="B500" i="1"/>
  <c r="A501" i="1"/>
  <c r="B501" i="1"/>
  <c r="A502" i="1"/>
  <c r="B502" i="1"/>
  <c r="A503" i="1"/>
  <c r="B503" i="1"/>
  <c r="A504" i="1"/>
  <c r="B504" i="1"/>
  <c r="A505" i="1"/>
  <c r="B505" i="1"/>
  <c r="A506" i="1"/>
  <c r="B506" i="1"/>
  <c r="A507" i="1"/>
  <c r="B507" i="1"/>
  <c r="A508" i="1"/>
  <c r="B508" i="1"/>
  <c r="A509" i="1"/>
  <c r="B509" i="1"/>
  <c r="A510" i="1"/>
  <c r="B510" i="1"/>
  <c r="A511" i="1"/>
  <c r="B511" i="1"/>
  <c r="A512" i="1"/>
  <c r="B512" i="1"/>
  <c r="A513" i="1"/>
  <c r="B513" i="1"/>
  <c r="A514" i="1"/>
  <c r="B514" i="1"/>
  <c r="A515" i="1"/>
  <c r="B515" i="1"/>
  <c r="A516" i="1"/>
  <c r="B516" i="1"/>
  <c r="A517" i="1"/>
  <c r="B517" i="1"/>
  <c r="A518" i="1"/>
  <c r="B518" i="1"/>
  <c r="A519" i="1"/>
  <c r="B519" i="1"/>
  <c r="A520" i="1"/>
  <c r="B520" i="1"/>
  <c r="A521" i="1"/>
  <c r="B521" i="1"/>
  <c r="A522" i="1"/>
  <c r="B522" i="1"/>
  <c r="A523" i="1"/>
  <c r="B523" i="1"/>
  <c r="A524" i="1"/>
  <c r="B524" i="1"/>
  <c r="A525" i="1"/>
  <c r="B525" i="1"/>
  <c r="A526" i="1"/>
  <c r="B526" i="1"/>
  <c r="A527" i="1"/>
  <c r="B527" i="1"/>
  <c r="A528" i="1"/>
  <c r="B528" i="1"/>
  <c r="A529" i="1"/>
  <c r="B529" i="1"/>
  <c r="A530" i="1"/>
  <c r="B530" i="1"/>
  <c r="A531" i="1"/>
  <c r="B531" i="1"/>
  <c r="A532" i="1"/>
  <c r="B532" i="1"/>
  <c r="A533" i="1"/>
  <c r="B533" i="1"/>
  <c r="A534" i="1"/>
  <c r="B534" i="1"/>
  <c r="A535" i="1"/>
  <c r="B535" i="1"/>
  <c r="A536" i="1"/>
  <c r="B536" i="1"/>
  <c r="A537" i="1"/>
  <c r="B537" i="1"/>
  <c r="A538" i="1"/>
  <c r="B538" i="1"/>
  <c r="A539" i="1"/>
  <c r="B539" i="1"/>
  <c r="A540" i="1"/>
  <c r="B540" i="1"/>
  <c r="A541" i="1"/>
  <c r="B541" i="1"/>
  <c r="A542" i="1"/>
  <c r="B542" i="1"/>
  <c r="A543" i="1"/>
  <c r="B543" i="1"/>
  <c r="A544" i="1"/>
  <c r="B544" i="1"/>
  <c r="A545" i="1"/>
  <c r="B545" i="1"/>
  <c r="A546" i="1"/>
  <c r="B546" i="1"/>
  <c r="A547" i="1"/>
  <c r="B547" i="1"/>
  <c r="A548" i="1"/>
  <c r="B548" i="1"/>
  <c r="A549" i="1"/>
  <c r="B549" i="1"/>
  <c r="A550" i="1"/>
  <c r="B550" i="1"/>
  <c r="A551" i="1"/>
  <c r="B551" i="1"/>
  <c r="A552" i="1"/>
  <c r="B552" i="1"/>
  <c r="A553" i="1"/>
  <c r="B553" i="1"/>
  <c r="A554" i="1"/>
  <c r="B554" i="1"/>
  <c r="A555" i="1"/>
  <c r="B555" i="1"/>
  <c r="A556" i="1"/>
  <c r="B556" i="1"/>
  <c r="A557" i="1"/>
  <c r="B557" i="1"/>
  <c r="A558" i="1"/>
  <c r="B558" i="1"/>
  <c r="A559" i="1"/>
  <c r="B559" i="1"/>
  <c r="A560" i="1"/>
  <c r="B560" i="1"/>
  <c r="A561" i="1"/>
  <c r="B561" i="1"/>
  <c r="A562" i="1"/>
  <c r="B562" i="1"/>
  <c r="A563" i="1"/>
  <c r="B563" i="1"/>
  <c r="A564" i="1"/>
  <c r="B564" i="1"/>
  <c r="A565" i="1"/>
  <c r="B565" i="1"/>
  <c r="A566" i="1"/>
  <c r="B566" i="1"/>
  <c r="A567" i="1"/>
  <c r="B567" i="1"/>
  <c r="A568" i="1"/>
  <c r="B568" i="1"/>
  <c r="A569" i="1"/>
  <c r="B569" i="1"/>
  <c r="A570" i="1"/>
  <c r="B570" i="1"/>
  <c r="A571" i="1"/>
  <c r="B571" i="1"/>
  <c r="A572" i="1"/>
  <c r="B572" i="1"/>
  <c r="A573" i="1"/>
  <c r="B573" i="1"/>
  <c r="A574" i="1"/>
  <c r="B574" i="1"/>
  <c r="A575" i="1"/>
  <c r="B575" i="1"/>
  <c r="A576" i="1"/>
  <c r="B576" i="1"/>
  <c r="A577" i="1"/>
  <c r="B577" i="1"/>
  <c r="A578" i="1"/>
  <c r="B578" i="1"/>
  <c r="A579" i="1"/>
  <c r="B579" i="1"/>
  <c r="A580" i="1"/>
  <c r="B580" i="1"/>
  <c r="A581" i="1"/>
  <c r="B581" i="1"/>
  <c r="A582" i="1"/>
  <c r="B582" i="1"/>
  <c r="A583" i="1"/>
  <c r="B583" i="1"/>
  <c r="A584" i="1"/>
  <c r="B584" i="1"/>
  <c r="A585" i="1"/>
  <c r="B585" i="1"/>
  <c r="A586" i="1"/>
  <c r="B586" i="1"/>
  <c r="A587" i="1"/>
  <c r="B587" i="1"/>
  <c r="A588" i="1"/>
  <c r="B588" i="1"/>
  <c r="A589" i="1"/>
  <c r="B589" i="1"/>
  <c r="A590" i="1"/>
  <c r="B590" i="1"/>
  <c r="A591" i="1"/>
  <c r="B591" i="1"/>
  <c r="A592" i="1"/>
  <c r="B592" i="1"/>
  <c r="A593" i="1"/>
  <c r="B593" i="1"/>
  <c r="A594" i="1"/>
  <c r="B594" i="1"/>
  <c r="A595" i="1"/>
  <c r="B595" i="1"/>
  <c r="A596" i="1"/>
  <c r="B596" i="1"/>
  <c r="A597" i="1"/>
  <c r="B597" i="1"/>
  <c r="A598" i="1"/>
  <c r="B598" i="1"/>
  <c r="A599" i="1"/>
  <c r="B599" i="1"/>
  <c r="A600" i="1"/>
  <c r="B600" i="1"/>
  <c r="A601" i="1"/>
  <c r="B601" i="1"/>
  <c r="A602" i="1"/>
  <c r="B602" i="1"/>
  <c r="A603" i="1"/>
  <c r="B603" i="1"/>
  <c r="A604" i="1"/>
  <c r="B604" i="1"/>
  <c r="A605" i="1"/>
  <c r="B605" i="1"/>
  <c r="A606" i="1"/>
  <c r="B606" i="1"/>
  <c r="A607" i="1"/>
  <c r="B607" i="1"/>
  <c r="A608" i="1"/>
  <c r="B608" i="1"/>
  <c r="A609" i="1"/>
  <c r="B609" i="1"/>
  <c r="A610" i="1"/>
  <c r="B610" i="1"/>
  <c r="A611" i="1"/>
  <c r="B611" i="1"/>
  <c r="A612" i="1"/>
  <c r="B612" i="1"/>
  <c r="A613" i="1"/>
  <c r="B613" i="1"/>
  <c r="A614" i="1"/>
  <c r="B614" i="1"/>
  <c r="A615" i="1"/>
  <c r="B615" i="1"/>
  <c r="A616" i="1"/>
  <c r="B616" i="1"/>
  <c r="A617" i="1"/>
  <c r="B617" i="1"/>
  <c r="A618" i="1"/>
  <c r="B618" i="1"/>
  <c r="A619" i="1"/>
  <c r="B619" i="1"/>
  <c r="A620" i="1"/>
  <c r="B620" i="1"/>
  <c r="A621" i="1"/>
  <c r="B621" i="1"/>
  <c r="A622" i="1"/>
  <c r="B622" i="1"/>
  <c r="A623" i="1"/>
  <c r="B623" i="1"/>
  <c r="A624" i="1"/>
  <c r="B624" i="1"/>
  <c r="A625" i="1"/>
  <c r="B625" i="1"/>
  <c r="A626" i="1"/>
  <c r="B626" i="1"/>
  <c r="A627" i="1"/>
  <c r="B627" i="1"/>
  <c r="A628" i="1"/>
  <c r="B628" i="1"/>
  <c r="A629" i="1"/>
  <c r="B629" i="1"/>
  <c r="A630" i="1"/>
  <c r="B630" i="1"/>
  <c r="A631" i="1"/>
  <c r="B631" i="1"/>
  <c r="A632" i="1"/>
  <c r="B632" i="1"/>
  <c r="A633" i="1"/>
  <c r="B633" i="1"/>
  <c r="A634" i="1"/>
  <c r="B634" i="1"/>
  <c r="A635" i="1"/>
  <c r="B635" i="1"/>
  <c r="A636" i="1"/>
  <c r="B636" i="1"/>
  <c r="A637" i="1"/>
  <c r="B637" i="1"/>
  <c r="A638" i="1"/>
  <c r="B638" i="1"/>
  <c r="A639" i="1"/>
  <c r="B639" i="1"/>
  <c r="A640" i="1"/>
  <c r="B640" i="1"/>
  <c r="A641" i="1"/>
  <c r="B641" i="1"/>
  <c r="A642" i="1"/>
  <c r="B642" i="1"/>
  <c r="A643" i="1"/>
  <c r="B643" i="1"/>
  <c r="A644" i="1"/>
  <c r="B644" i="1"/>
  <c r="A645" i="1"/>
  <c r="B645" i="1"/>
  <c r="A646" i="1"/>
  <c r="B646" i="1"/>
  <c r="A647" i="1"/>
  <c r="B647" i="1"/>
  <c r="A648" i="1"/>
  <c r="B648" i="1"/>
  <c r="A649" i="1"/>
  <c r="B649" i="1"/>
  <c r="A650" i="1"/>
  <c r="B650" i="1"/>
  <c r="A651" i="1"/>
  <c r="B651" i="1"/>
  <c r="A652" i="1"/>
  <c r="B652" i="1"/>
  <c r="A653" i="1"/>
  <c r="B653" i="1"/>
  <c r="A654" i="1"/>
  <c r="B654" i="1"/>
  <c r="A655" i="1"/>
  <c r="B655" i="1"/>
  <c r="A656" i="1"/>
  <c r="B656" i="1"/>
  <c r="A657" i="1"/>
  <c r="B657" i="1"/>
  <c r="A658" i="1"/>
  <c r="B658" i="1"/>
  <c r="A659" i="1"/>
  <c r="B659" i="1"/>
  <c r="A660" i="1"/>
  <c r="B660" i="1"/>
  <c r="A661" i="1"/>
  <c r="B661" i="1"/>
  <c r="A662" i="1"/>
  <c r="B662" i="1"/>
  <c r="A663" i="1"/>
  <c r="B663" i="1"/>
  <c r="A664" i="1"/>
  <c r="B664" i="1"/>
  <c r="A665" i="1"/>
  <c r="B665" i="1"/>
  <c r="A666" i="1"/>
  <c r="B666" i="1"/>
  <c r="A667" i="1"/>
  <c r="B667" i="1"/>
  <c r="A668" i="1"/>
  <c r="B668" i="1"/>
  <c r="A669" i="1"/>
  <c r="B669" i="1"/>
  <c r="A670" i="1"/>
  <c r="B670" i="1"/>
  <c r="A671" i="1"/>
  <c r="B671" i="1"/>
  <c r="A672" i="1"/>
  <c r="B672" i="1"/>
  <c r="A673" i="1"/>
  <c r="B673" i="1"/>
  <c r="A674" i="1"/>
  <c r="B674" i="1"/>
  <c r="A675" i="1"/>
  <c r="B675" i="1"/>
  <c r="A676" i="1"/>
  <c r="B676" i="1"/>
  <c r="A677" i="1"/>
  <c r="B677" i="1"/>
  <c r="A678" i="1"/>
  <c r="B678" i="1"/>
  <c r="A679" i="1"/>
  <c r="B679" i="1"/>
  <c r="A680" i="1"/>
  <c r="B680" i="1"/>
  <c r="A681" i="1"/>
  <c r="B681" i="1"/>
  <c r="A682" i="1"/>
  <c r="B682" i="1"/>
  <c r="A683" i="1"/>
  <c r="B683" i="1"/>
  <c r="A684" i="1"/>
  <c r="B684" i="1"/>
  <c r="A685" i="1"/>
  <c r="B685" i="1"/>
  <c r="A686" i="1"/>
  <c r="B686" i="1"/>
  <c r="A687" i="1"/>
  <c r="B687" i="1"/>
  <c r="A688" i="1"/>
  <c r="B688" i="1"/>
  <c r="A689" i="1"/>
  <c r="B689" i="1"/>
  <c r="A690" i="1"/>
  <c r="B690" i="1"/>
  <c r="A691" i="1"/>
  <c r="B691" i="1"/>
  <c r="A692" i="1"/>
  <c r="B692" i="1"/>
  <c r="A693" i="1"/>
  <c r="B693" i="1"/>
  <c r="A694" i="1"/>
  <c r="B694" i="1"/>
  <c r="A695" i="1"/>
  <c r="B695" i="1"/>
  <c r="A696" i="1"/>
  <c r="B696" i="1"/>
  <c r="A697" i="1"/>
  <c r="B697" i="1"/>
  <c r="A698" i="1"/>
  <c r="B698" i="1"/>
  <c r="A699" i="1"/>
  <c r="B699" i="1"/>
  <c r="A700" i="1"/>
  <c r="B700" i="1"/>
  <c r="A701" i="1"/>
  <c r="B701" i="1"/>
  <c r="A702" i="1"/>
  <c r="B702" i="1"/>
  <c r="A703" i="1"/>
  <c r="B703" i="1"/>
  <c r="A704" i="1"/>
  <c r="B704" i="1"/>
  <c r="A705" i="1"/>
  <c r="B705" i="1"/>
  <c r="A706" i="1"/>
  <c r="B706" i="1"/>
  <c r="A707" i="1"/>
  <c r="B707" i="1"/>
  <c r="A708" i="1"/>
  <c r="B708" i="1"/>
  <c r="A709" i="1"/>
  <c r="B709" i="1"/>
  <c r="A710" i="1"/>
  <c r="B710" i="1"/>
  <c r="A711" i="1"/>
  <c r="B711" i="1"/>
  <c r="A712" i="1"/>
  <c r="B712" i="1"/>
  <c r="A713" i="1"/>
  <c r="B713" i="1"/>
  <c r="A714" i="1"/>
  <c r="B714" i="1"/>
  <c r="A715" i="1"/>
  <c r="B715" i="1"/>
  <c r="A716" i="1"/>
  <c r="B716" i="1"/>
  <c r="A717" i="1"/>
  <c r="B717" i="1"/>
  <c r="A718" i="1"/>
  <c r="B718" i="1"/>
  <c r="A719" i="1"/>
  <c r="B719" i="1"/>
  <c r="A720" i="1"/>
  <c r="B720" i="1"/>
  <c r="A721" i="1"/>
  <c r="B721" i="1"/>
  <c r="A722" i="1"/>
  <c r="B722" i="1"/>
  <c r="A723" i="1"/>
  <c r="B723" i="1"/>
  <c r="A724" i="1"/>
  <c r="B724" i="1"/>
  <c r="A725" i="1"/>
  <c r="B725" i="1"/>
  <c r="A726" i="1"/>
  <c r="B726" i="1"/>
  <c r="A727" i="1"/>
  <c r="B727" i="1"/>
  <c r="A728" i="1"/>
  <c r="B728" i="1"/>
  <c r="A729" i="1"/>
  <c r="B729" i="1"/>
  <c r="A730" i="1"/>
  <c r="B730" i="1"/>
  <c r="A731" i="1"/>
  <c r="B731" i="1"/>
  <c r="A732" i="1"/>
  <c r="B732" i="1"/>
  <c r="A733" i="1"/>
  <c r="B733" i="1"/>
  <c r="A734" i="1"/>
  <c r="B734" i="1"/>
  <c r="A735" i="1"/>
  <c r="B735" i="1"/>
  <c r="A736" i="1"/>
  <c r="B736" i="1"/>
  <c r="A737" i="1"/>
  <c r="B737" i="1"/>
  <c r="A738" i="1"/>
  <c r="B738" i="1"/>
  <c r="A739" i="1"/>
  <c r="B739" i="1"/>
  <c r="A740" i="1"/>
  <c r="B740" i="1"/>
  <c r="A741" i="1"/>
  <c r="B741" i="1"/>
  <c r="A742" i="1"/>
  <c r="B742" i="1"/>
  <c r="A743" i="1"/>
  <c r="B743" i="1"/>
  <c r="A744" i="1"/>
  <c r="B744" i="1"/>
  <c r="A745" i="1"/>
  <c r="B745" i="1"/>
  <c r="A746" i="1"/>
  <c r="B746" i="1"/>
  <c r="A747" i="1"/>
  <c r="B747" i="1"/>
  <c r="A748" i="1"/>
  <c r="B748" i="1"/>
  <c r="A749" i="1"/>
  <c r="B749" i="1"/>
  <c r="A750" i="1"/>
  <c r="B750" i="1"/>
  <c r="A751" i="1"/>
  <c r="B751" i="1"/>
  <c r="A752" i="1"/>
  <c r="B752" i="1"/>
  <c r="A753" i="1"/>
  <c r="B753" i="1"/>
  <c r="A754" i="1"/>
  <c r="B754" i="1"/>
  <c r="A755" i="1"/>
  <c r="B755" i="1"/>
  <c r="A756" i="1"/>
  <c r="B756" i="1"/>
  <c r="A757" i="1"/>
  <c r="B757" i="1"/>
  <c r="A758" i="1"/>
  <c r="B758" i="1"/>
  <c r="A759" i="1"/>
  <c r="B759" i="1"/>
  <c r="A760" i="1"/>
  <c r="B760" i="1"/>
  <c r="A761" i="1"/>
  <c r="B761" i="1"/>
  <c r="A762" i="1"/>
  <c r="B762" i="1"/>
  <c r="A763" i="1"/>
  <c r="B763" i="1"/>
  <c r="A764" i="1"/>
  <c r="B764" i="1"/>
  <c r="A765" i="1"/>
  <c r="B765" i="1"/>
  <c r="A766" i="1"/>
  <c r="B766" i="1"/>
  <c r="A767" i="1"/>
  <c r="B767" i="1"/>
  <c r="A768" i="1"/>
  <c r="B768" i="1"/>
  <c r="A769" i="1"/>
  <c r="B769" i="1"/>
  <c r="A770" i="1"/>
  <c r="B770" i="1"/>
  <c r="A771" i="1"/>
  <c r="B771" i="1"/>
  <c r="A772" i="1"/>
  <c r="B772" i="1"/>
  <c r="A773" i="1"/>
  <c r="B773" i="1"/>
  <c r="A774" i="1"/>
  <c r="B774" i="1"/>
  <c r="A775" i="1"/>
  <c r="B775" i="1"/>
  <c r="A776" i="1"/>
  <c r="B776" i="1"/>
  <c r="A777" i="1"/>
  <c r="B777" i="1"/>
  <c r="A778" i="1"/>
  <c r="B778" i="1"/>
  <c r="A779" i="1"/>
  <c r="B779" i="1"/>
  <c r="A780" i="1"/>
  <c r="B780" i="1"/>
  <c r="A781" i="1"/>
  <c r="B781" i="1"/>
  <c r="A782" i="1"/>
  <c r="B782" i="1"/>
  <c r="A783" i="1"/>
  <c r="B783" i="1"/>
  <c r="A784" i="1"/>
  <c r="B784" i="1"/>
  <c r="A785" i="1"/>
  <c r="B785" i="1"/>
  <c r="A786" i="1"/>
  <c r="B786" i="1"/>
  <c r="A787" i="1"/>
  <c r="B787" i="1"/>
  <c r="A788" i="1"/>
  <c r="B788" i="1"/>
  <c r="A789" i="1"/>
  <c r="B789" i="1"/>
  <c r="A790" i="1"/>
  <c r="B790" i="1"/>
  <c r="A791" i="1"/>
  <c r="B791" i="1"/>
  <c r="A792" i="1"/>
  <c r="B792" i="1"/>
  <c r="A793" i="1"/>
  <c r="B793" i="1"/>
  <c r="A794" i="1"/>
  <c r="B794" i="1"/>
  <c r="A795" i="1"/>
  <c r="B795" i="1"/>
  <c r="A796" i="1"/>
  <c r="B796" i="1"/>
  <c r="A797" i="1"/>
  <c r="B797" i="1"/>
  <c r="A798" i="1"/>
  <c r="B798" i="1"/>
  <c r="A799" i="1"/>
  <c r="B799" i="1"/>
  <c r="A800" i="1"/>
  <c r="B800" i="1"/>
  <c r="A801" i="1"/>
  <c r="B801" i="1"/>
  <c r="A802" i="1"/>
  <c r="B802" i="1"/>
  <c r="A803" i="1"/>
  <c r="B803" i="1"/>
  <c r="A804" i="1"/>
  <c r="B804" i="1"/>
  <c r="A805" i="1"/>
  <c r="B805" i="1"/>
  <c r="A806" i="1"/>
  <c r="B806" i="1"/>
  <c r="A807" i="1"/>
  <c r="B807" i="1"/>
  <c r="A808" i="1"/>
  <c r="B808" i="1"/>
  <c r="A809" i="1"/>
  <c r="B809" i="1"/>
  <c r="A810" i="1"/>
  <c r="B810" i="1"/>
  <c r="A811" i="1"/>
  <c r="B811" i="1"/>
  <c r="A812" i="1"/>
  <c r="B812" i="1"/>
  <c r="A813" i="1"/>
  <c r="B813" i="1"/>
  <c r="A814" i="1"/>
  <c r="B814" i="1"/>
  <c r="A815" i="1"/>
  <c r="B815" i="1"/>
  <c r="A816" i="1"/>
  <c r="B816" i="1"/>
  <c r="A817" i="1"/>
  <c r="B817" i="1"/>
  <c r="A818" i="1"/>
  <c r="B818" i="1"/>
  <c r="A819" i="1"/>
  <c r="B819" i="1"/>
  <c r="A820" i="1"/>
  <c r="B820" i="1"/>
  <c r="A821" i="1"/>
  <c r="B821" i="1"/>
  <c r="A822" i="1"/>
  <c r="B822" i="1"/>
  <c r="A823" i="1"/>
  <c r="B823" i="1"/>
  <c r="A824" i="1"/>
  <c r="B824" i="1"/>
  <c r="A825" i="1"/>
  <c r="B825" i="1"/>
  <c r="A826" i="1"/>
  <c r="B826" i="1"/>
  <c r="A827" i="1"/>
  <c r="B827" i="1"/>
  <c r="A828" i="1"/>
  <c r="B828" i="1"/>
  <c r="A829" i="1"/>
  <c r="B829" i="1"/>
  <c r="A830" i="1"/>
  <c r="B830" i="1"/>
  <c r="A831" i="1"/>
  <c r="B831" i="1"/>
  <c r="A832" i="1"/>
  <c r="B832" i="1"/>
  <c r="A833" i="1"/>
  <c r="B833" i="1"/>
  <c r="A834" i="1"/>
  <c r="B834" i="1"/>
  <c r="A835" i="1"/>
  <c r="B835" i="1"/>
  <c r="A836" i="1"/>
  <c r="B836" i="1"/>
  <c r="A837" i="1"/>
  <c r="B837" i="1"/>
  <c r="A838" i="1"/>
  <c r="B838" i="1"/>
  <c r="A839" i="1"/>
  <c r="B839" i="1"/>
  <c r="A840" i="1"/>
  <c r="B840" i="1"/>
  <c r="A841" i="1"/>
  <c r="B841" i="1"/>
  <c r="A842" i="1"/>
  <c r="B842" i="1"/>
  <c r="A843" i="1"/>
  <c r="B843" i="1"/>
  <c r="A844" i="1"/>
  <c r="B844" i="1"/>
  <c r="A845" i="1"/>
  <c r="B845" i="1"/>
  <c r="A846" i="1"/>
  <c r="B846" i="1"/>
  <c r="A847" i="1"/>
  <c r="B847" i="1"/>
  <c r="A848" i="1"/>
  <c r="B848" i="1"/>
  <c r="A849" i="1"/>
  <c r="B849" i="1"/>
  <c r="A850" i="1"/>
  <c r="B850" i="1"/>
  <c r="A851" i="1"/>
  <c r="B851" i="1"/>
  <c r="A852" i="1"/>
  <c r="B852" i="1"/>
  <c r="A853" i="1"/>
  <c r="B853" i="1"/>
  <c r="A854" i="1"/>
  <c r="B854" i="1"/>
  <c r="A855" i="1"/>
  <c r="B855" i="1"/>
  <c r="A856" i="1"/>
  <c r="B856" i="1"/>
  <c r="A857" i="1"/>
  <c r="B857" i="1"/>
  <c r="A858" i="1"/>
  <c r="B858" i="1"/>
  <c r="A859" i="1"/>
  <c r="B859" i="1"/>
  <c r="A860" i="1"/>
  <c r="B860" i="1"/>
  <c r="A861" i="1"/>
  <c r="B861" i="1"/>
  <c r="A862" i="1"/>
  <c r="B862" i="1"/>
  <c r="A863" i="1"/>
  <c r="B863" i="1"/>
  <c r="A864" i="1"/>
  <c r="B864" i="1"/>
  <c r="A865" i="1"/>
  <c r="B865" i="1"/>
  <c r="A866" i="1"/>
  <c r="B866" i="1"/>
  <c r="A867" i="1"/>
  <c r="B867" i="1"/>
  <c r="A868" i="1"/>
  <c r="B868" i="1"/>
  <c r="A869" i="1"/>
  <c r="B869" i="1"/>
  <c r="A870" i="1"/>
  <c r="B870" i="1"/>
  <c r="A871" i="1"/>
  <c r="B871" i="1"/>
  <c r="A872" i="1"/>
  <c r="B872" i="1"/>
  <c r="A873" i="1"/>
  <c r="B873" i="1"/>
  <c r="A874" i="1"/>
  <c r="B874" i="1"/>
  <c r="A875" i="1"/>
  <c r="B875" i="1"/>
  <c r="A876" i="1"/>
  <c r="B876" i="1"/>
  <c r="A877" i="1"/>
  <c r="B877" i="1"/>
  <c r="A878" i="1"/>
  <c r="B878" i="1"/>
  <c r="A879" i="1"/>
  <c r="B879" i="1"/>
  <c r="A880" i="1"/>
  <c r="B880" i="1"/>
  <c r="A881" i="1"/>
  <c r="B881" i="1"/>
  <c r="A882" i="1"/>
  <c r="B882" i="1"/>
  <c r="A883" i="1"/>
  <c r="B883" i="1"/>
  <c r="A884" i="1"/>
  <c r="B884" i="1"/>
  <c r="A885" i="1"/>
  <c r="B885" i="1"/>
  <c r="A886" i="1"/>
  <c r="B886" i="1"/>
  <c r="A887" i="1"/>
  <c r="B887" i="1"/>
  <c r="A888" i="1"/>
  <c r="B888" i="1"/>
  <c r="A889" i="1"/>
  <c r="B889" i="1"/>
  <c r="A890" i="1"/>
  <c r="B890" i="1"/>
  <c r="A891" i="1"/>
  <c r="B891" i="1"/>
  <c r="A892" i="1"/>
  <c r="B892" i="1"/>
  <c r="A893" i="1"/>
  <c r="B893" i="1"/>
  <c r="A894" i="1"/>
  <c r="B894" i="1"/>
  <c r="A895" i="1"/>
  <c r="B895" i="1"/>
  <c r="A896" i="1"/>
  <c r="B896" i="1"/>
  <c r="A897" i="1"/>
  <c r="B897" i="1"/>
  <c r="A898" i="1"/>
  <c r="B898" i="1"/>
  <c r="A899" i="1"/>
  <c r="B899" i="1"/>
  <c r="A900" i="1"/>
  <c r="B900" i="1"/>
  <c r="A901" i="1"/>
  <c r="B901" i="1"/>
  <c r="A902" i="1"/>
  <c r="B902" i="1"/>
  <c r="A903" i="1"/>
  <c r="B903" i="1"/>
  <c r="A904" i="1"/>
  <c r="B904" i="1"/>
  <c r="A905" i="1"/>
  <c r="B905" i="1"/>
  <c r="A906" i="1"/>
  <c r="B906" i="1"/>
  <c r="A907" i="1"/>
  <c r="B907" i="1"/>
  <c r="A908" i="1"/>
  <c r="B908" i="1"/>
  <c r="A909" i="1"/>
  <c r="B909" i="1"/>
  <c r="A910" i="1"/>
  <c r="B910" i="1"/>
  <c r="A911" i="1"/>
  <c r="B911" i="1"/>
  <c r="A912" i="1"/>
  <c r="B912" i="1"/>
  <c r="A913" i="1"/>
  <c r="B913" i="1"/>
  <c r="A914" i="1"/>
  <c r="B914" i="1"/>
  <c r="A915" i="1"/>
  <c r="B915" i="1"/>
  <c r="A916" i="1"/>
  <c r="B916" i="1"/>
  <c r="A917" i="1"/>
  <c r="B917" i="1"/>
  <c r="A918" i="1"/>
  <c r="B918" i="1"/>
  <c r="A919" i="1"/>
  <c r="B919" i="1"/>
  <c r="A920" i="1"/>
  <c r="B920" i="1"/>
  <c r="A921" i="1"/>
  <c r="B921" i="1"/>
  <c r="A922" i="1"/>
  <c r="B922" i="1"/>
  <c r="A923" i="1"/>
  <c r="B923" i="1"/>
  <c r="A924" i="1"/>
  <c r="B924" i="1"/>
  <c r="A925" i="1"/>
  <c r="B925" i="1"/>
  <c r="A926" i="1"/>
  <c r="B926" i="1"/>
  <c r="A927" i="1"/>
  <c r="B927" i="1"/>
  <c r="A928" i="1"/>
  <c r="B928" i="1"/>
  <c r="A929" i="1"/>
  <c r="B929" i="1"/>
  <c r="A930" i="1"/>
  <c r="B930" i="1"/>
  <c r="A931" i="1"/>
  <c r="B931" i="1"/>
  <c r="A932" i="1"/>
  <c r="B932" i="1"/>
  <c r="A933" i="1"/>
  <c r="B933" i="1"/>
  <c r="A934" i="1"/>
  <c r="B934" i="1"/>
  <c r="A935" i="1"/>
  <c r="B935" i="1"/>
  <c r="A936" i="1"/>
  <c r="B936" i="1"/>
  <c r="A937" i="1"/>
  <c r="B937" i="1"/>
  <c r="A938" i="1"/>
  <c r="B938" i="1"/>
  <c r="A939" i="1"/>
  <c r="B939" i="1"/>
  <c r="A940" i="1"/>
  <c r="B940" i="1"/>
  <c r="A941" i="1"/>
  <c r="B941" i="1"/>
  <c r="A942" i="1"/>
  <c r="B942" i="1"/>
  <c r="A943" i="1"/>
  <c r="B943" i="1"/>
  <c r="A944" i="1"/>
  <c r="B944" i="1"/>
  <c r="A945" i="1"/>
  <c r="B945" i="1"/>
  <c r="A946" i="1"/>
  <c r="B946" i="1"/>
  <c r="A947" i="1"/>
  <c r="B947" i="1"/>
  <c r="A948" i="1"/>
  <c r="B948" i="1"/>
  <c r="A949" i="1"/>
  <c r="B949" i="1"/>
  <c r="A950" i="1"/>
  <c r="B950" i="1"/>
  <c r="A951" i="1"/>
  <c r="B951" i="1"/>
  <c r="A952" i="1"/>
  <c r="B952" i="1"/>
  <c r="A953" i="1"/>
  <c r="B953" i="1"/>
  <c r="A954" i="1"/>
  <c r="B954" i="1"/>
  <c r="A955" i="1"/>
  <c r="B955" i="1"/>
  <c r="A956" i="1"/>
  <c r="B956" i="1"/>
  <c r="A957" i="1"/>
  <c r="B957" i="1"/>
  <c r="A958" i="1"/>
  <c r="B958" i="1"/>
  <c r="A959" i="1"/>
  <c r="B959" i="1"/>
  <c r="A960" i="1"/>
  <c r="B960" i="1"/>
  <c r="A961" i="1"/>
  <c r="B961" i="1"/>
  <c r="A962" i="1"/>
  <c r="B962" i="1"/>
  <c r="A963" i="1"/>
  <c r="B963" i="1"/>
  <c r="A964" i="1"/>
  <c r="B964" i="1"/>
  <c r="A965" i="1"/>
  <c r="B965" i="1"/>
  <c r="A966" i="1"/>
  <c r="B966" i="1"/>
  <c r="A967" i="1"/>
  <c r="B967" i="1"/>
  <c r="A968" i="1"/>
  <c r="B968" i="1"/>
  <c r="A969" i="1"/>
  <c r="B969" i="1"/>
  <c r="A970" i="1"/>
  <c r="B970" i="1"/>
  <c r="A971" i="1"/>
  <c r="B971" i="1"/>
  <c r="A972" i="1"/>
  <c r="B972" i="1"/>
  <c r="A973" i="1"/>
  <c r="B973" i="1"/>
  <c r="A974" i="1"/>
  <c r="B974" i="1"/>
  <c r="A975" i="1"/>
  <c r="B975" i="1"/>
  <c r="A976" i="1"/>
  <c r="B976" i="1"/>
  <c r="A977" i="1"/>
  <c r="B977" i="1"/>
  <c r="A978" i="1"/>
  <c r="B978" i="1"/>
  <c r="A979" i="1"/>
  <c r="B979" i="1"/>
  <c r="A980" i="1"/>
  <c r="B980" i="1"/>
  <c r="A981" i="1"/>
  <c r="B981" i="1"/>
  <c r="A982" i="1"/>
  <c r="B982" i="1"/>
  <c r="A983" i="1"/>
  <c r="B983" i="1"/>
  <c r="A984" i="1"/>
  <c r="B984" i="1"/>
  <c r="A985" i="1"/>
  <c r="B985" i="1"/>
  <c r="A986" i="1"/>
  <c r="B986" i="1"/>
  <c r="A987" i="1"/>
  <c r="B987" i="1"/>
  <c r="A988" i="1"/>
  <c r="B988" i="1"/>
  <c r="A989" i="1"/>
  <c r="B989" i="1"/>
  <c r="A990" i="1"/>
  <c r="B990" i="1"/>
  <c r="A991" i="1"/>
  <c r="B991" i="1"/>
  <c r="A992" i="1"/>
  <c r="B992" i="1"/>
  <c r="A993" i="1"/>
  <c r="B993" i="1"/>
  <c r="A994" i="1"/>
  <c r="B994" i="1"/>
  <c r="A995" i="1"/>
  <c r="B995" i="1"/>
  <c r="A996" i="1"/>
  <c r="B996" i="1"/>
  <c r="A997" i="1"/>
  <c r="B997" i="1"/>
  <c r="A998" i="1"/>
  <c r="B998" i="1"/>
  <c r="A999" i="1"/>
  <c r="B999" i="1"/>
  <c r="A1000" i="1"/>
  <c r="B1000" i="1"/>
  <c r="A1001" i="1"/>
  <c r="B1001" i="1"/>
  <c r="A1002" i="1"/>
  <c r="B1002" i="1"/>
  <c r="A1003" i="1"/>
  <c r="B1003" i="1"/>
  <c r="A1004" i="1"/>
  <c r="B1004" i="1"/>
  <c r="A1005" i="1"/>
  <c r="B1005" i="1"/>
  <c r="A1006" i="1"/>
  <c r="B1006" i="1"/>
  <c r="A1007" i="1"/>
  <c r="B1007" i="1"/>
  <c r="A1008" i="1"/>
  <c r="B1008" i="1"/>
  <c r="A1009" i="1"/>
  <c r="B1009" i="1"/>
  <c r="A1010" i="1"/>
  <c r="B1010" i="1"/>
  <c r="A1011" i="1"/>
  <c r="B1011" i="1"/>
  <c r="A1012" i="1"/>
  <c r="B1012" i="1"/>
  <c r="A1013" i="1"/>
  <c r="B1013" i="1"/>
  <c r="A1014" i="1"/>
  <c r="B1014" i="1"/>
  <c r="A1015" i="1"/>
  <c r="B1015" i="1"/>
  <c r="A1016" i="1"/>
  <c r="B1016" i="1"/>
  <c r="A1017" i="1"/>
  <c r="B1017" i="1"/>
  <c r="A1018" i="1"/>
  <c r="B1018" i="1"/>
  <c r="A1019" i="1"/>
  <c r="B1019" i="1"/>
  <c r="A1020" i="1"/>
  <c r="B1020" i="1"/>
  <c r="A1021" i="1"/>
  <c r="B1021" i="1"/>
  <c r="A1022" i="1"/>
  <c r="B1022" i="1"/>
  <c r="A1023" i="1"/>
  <c r="B1023" i="1"/>
  <c r="A1024" i="1"/>
  <c r="B1024" i="1"/>
  <c r="A1025" i="1"/>
  <c r="B1025" i="1"/>
  <c r="A1026" i="1"/>
  <c r="B1026" i="1"/>
  <c r="A1027" i="1"/>
  <c r="B1027" i="1"/>
  <c r="A1028" i="1"/>
  <c r="B1028" i="1"/>
  <c r="A1029" i="1"/>
  <c r="B1029" i="1"/>
  <c r="A1030" i="1"/>
  <c r="B1030" i="1"/>
  <c r="A1031" i="1"/>
  <c r="B1031" i="1"/>
  <c r="A1032" i="1"/>
  <c r="B1032" i="1"/>
  <c r="A1033" i="1"/>
  <c r="B1033" i="1"/>
  <c r="A1034" i="1"/>
  <c r="B1034" i="1"/>
  <c r="A1035" i="1"/>
  <c r="B1035" i="1"/>
  <c r="A1036" i="1"/>
  <c r="B1036" i="1"/>
  <c r="A1037" i="1"/>
  <c r="B1037" i="1"/>
  <c r="A1038" i="1"/>
  <c r="B1038" i="1"/>
  <c r="A1039" i="1"/>
  <c r="B1039" i="1"/>
  <c r="A1040" i="1"/>
  <c r="B1040" i="1"/>
  <c r="A1041" i="1"/>
  <c r="B1041" i="1"/>
  <c r="A1042" i="1"/>
  <c r="B1042" i="1"/>
  <c r="A1043" i="1"/>
  <c r="B1043" i="1"/>
  <c r="A1044" i="1"/>
  <c r="B1044" i="1"/>
  <c r="A1045" i="1"/>
  <c r="B1045" i="1"/>
  <c r="A1046" i="1"/>
  <c r="B1046" i="1"/>
  <c r="A1047" i="1"/>
  <c r="B1047" i="1"/>
  <c r="A1048" i="1"/>
  <c r="B1048" i="1"/>
  <c r="A1049" i="1"/>
  <c r="B1049" i="1"/>
  <c r="A1050" i="1"/>
  <c r="B1050" i="1"/>
  <c r="A1051" i="1"/>
  <c r="B1051" i="1"/>
  <c r="A1052" i="1"/>
  <c r="B1052" i="1"/>
  <c r="A1053" i="1"/>
  <c r="B1053" i="1"/>
  <c r="A1054" i="1"/>
  <c r="B1054" i="1"/>
  <c r="A1055" i="1"/>
  <c r="B1055" i="1"/>
  <c r="A1056" i="1"/>
  <c r="B1056" i="1"/>
  <c r="A1057" i="1"/>
  <c r="B1057" i="1"/>
  <c r="A1058" i="1"/>
  <c r="B1058" i="1"/>
  <c r="A1059" i="1"/>
  <c r="B1059" i="1"/>
  <c r="A1060" i="1"/>
  <c r="B1060" i="1"/>
  <c r="A1061" i="1"/>
  <c r="B1061" i="1"/>
  <c r="A1062" i="1"/>
  <c r="B1062" i="1"/>
  <c r="A1063" i="1"/>
  <c r="B1063" i="1"/>
  <c r="A1064" i="1"/>
  <c r="B1064" i="1"/>
  <c r="A1065" i="1"/>
  <c r="B1065" i="1"/>
  <c r="A1066" i="1"/>
  <c r="B1066" i="1"/>
  <c r="A1067" i="1"/>
  <c r="B1067" i="1"/>
  <c r="A1068" i="1"/>
  <c r="B1068" i="1"/>
  <c r="A1069" i="1"/>
  <c r="B1069" i="1"/>
  <c r="A1070" i="1"/>
  <c r="B1070" i="1"/>
  <c r="A1071" i="1"/>
  <c r="B1071" i="1"/>
  <c r="A1072" i="1"/>
  <c r="B1072" i="1"/>
  <c r="A1073" i="1"/>
  <c r="B1073" i="1"/>
  <c r="A1074" i="1"/>
  <c r="B1074" i="1"/>
  <c r="A1075" i="1"/>
  <c r="B1075" i="1"/>
  <c r="A1076" i="1"/>
  <c r="B1076" i="1"/>
  <c r="A1077" i="1"/>
  <c r="B1077" i="1"/>
  <c r="A1078" i="1"/>
  <c r="B1078" i="1"/>
  <c r="A1079" i="1"/>
  <c r="B1079" i="1"/>
  <c r="A1080" i="1"/>
  <c r="B1080" i="1"/>
  <c r="A1081" i="1"/>
  <c r="B1081" i="1"/>
  <c r="A1082" i="1"/>
  <c r="B1082" i="1"/>
  <c r="A1083" i="1"/>
  <c r="B1083" i="1"/>
  <c r="A1084" i="1"/>
  <c r="B1084" i="1"/>
  <c r="A1085" i="1"/>
  <c r="B1085" i="1"/>
  <c r="A1086" i="1"/>
  <c r="B1086" i="1"/>
  <c r="A1087" i="1"/>
  <c r="B1087" i="1"/>
  <c r="A1088" i="1"/>
  <c r="B1088" i="1"/>
  <c r="A1089" i="1"/>
  <c r="B1089" i="1"/>
  <c r="A1090" i="1"/>
  <c r="B1090" i="1"/>
  <c r="A1091" i="1"/>
  <c r="B1091" i="1"/>
  <c r="A1092" i="1"/>
  <c r="B1092" i="1"/>
  <c r="A1093" i="1"/>
  <c r="B1093" i="1"/>
  <c r="A1094" i="1"/>
  <c r="B1094" i="1"/>
  <c r="A1095" i="1"/>
  <c r="B1095" i="1"/>
  <c r="A1096" i="1"/>
  <c r="B1096" i="1"/>
  <c r="A1097" i="1"/>
  <c r="B1097" i="1"/>
  <c r="A1098" i="1"/>
  <c r="B1098" i="1"/>
  <c r="A1099" i="1"/>
  <c r="B1099" i="1"/>
  <c r="A1100" i="1"/>
  <c r="B1100" i="1"/>
  <c r="A1101" i="1"/>
  <c r="B1101" i="1"/>
  <c r="A1102" i="1"/>
  <c r="B1102" i="1"/>
  <c r="A1103" i="1"/>
  <c r="B1103" i="1"/>
  <c r="A1104" i="1"/>
  <c r="B1104" i="1"/>
  <c r="A1105" i="1"/>
  <c r="B1105" i="1"/>
  <c r="A1106" i="1"/>
  <c r="B1106" i="1"/>
  <c r="A1107" i="1"/>
  <c r="B1107" i="1"/>
  <c r="A1108" i="1"/>
  <c r="B1108" i="1"/>
  <c r="A1109" i="1"/>
  <c r="B1109" i="1"/>
  <c r="A1110" i="1"/>
  <c r="B1110" i="1"/>
  <c r="A1111" i="1"/>
  <c r="B1111" i="1"/>
  <c r="A1112" i="1"/>
  <c r="B1112" i="1"/>
  <c r="A1113" i="1"/>
  <c r="B1113" i="1"/>
  <c r="A1114" i="1"/>
  <c r="B1114" i="1"/>
  <c r="A1115" i="1"/>
  <c r="B1115" i="1"/>
  <c r="A1116" i="1"/>
  <c r="B1116" i="1"/>
  <c r="A1117" i="1"/>
  <c r="B1117" i="1"/>
  <c r="A1118" i="1"/>
  <c r="B1118" i="1"/>
  <c r="A1119" i="1"/>
  <c r="B1119" i="1"/>
  <c r="A1120" i="1"/>
  <c r="B1120" i="1"/>
  <c r="A1121" i="1"/>
  <c r="B1121" i="1"/>
  <c r="A1122" i="1"/>
  <c r="B1122" i="1"/>
  <c r="A1123" i="1"/>
  <c r="B1123" i="1"/>
  <c r="A1124" i="1"/>
  <c r="B1124" i="1"/>
  <c r="A1125" i="1"/>
  <c r="B1125" i="1"/>
  <c r="A1126" i="1"/>
  <c r="B1126" i="1"/>
  <c r="A1127" i="1"/>
  <c r="B1127" i="1"/>
  <c r="A1128" i="1"/>
  <c r="B1128" i="1"/>
  <c r="A1129" i="1"/>
  <c r="B1129" i="1"/>
  <c r="A1130" i="1"/>
  <c r="B1130" i="1"/>
  <c r="A1131" i="1"/>
  <c r="B1131" i="1"/>
  <c r="A1132" i="1"/>
  <c r="B1132" i="1"/>
  <c r="A1133" i="1"/>
  <c r="B1133" i="1"/>
  <c r="A1134" i="1"/>
  <c r="B1134" i="1"/>
  <c r="A1135" i="1"/>
  <c r="B1135" i="1"/>
  <c r="A1136" i="1"/>
  <c r="B1136" i="1"/>
  <c r="A1137" i="1"/>
  <c r="B1137" i="1"/>
  <c r="A1138" i="1"/>
  <c r="B1138" i="1"/>
  <c r="A1139" i="1"/>
  <c r="B1139" i="1"/>
  <c r="A1140" i="1"/>
  <c r="B1140" i="1"/>
  <c r="A1141" i="1"/>
  <c r="B1141" i="1"/>
  <c r="A1142" i="1"/>
  <c r="B1142" i="1"/>
  <c r="A1143" i="1"/>
  <c r="B1143" i="1"/>
  <c r="A1144" i="1"/>
  <c r="B1144" i="1"/>
  <c r="A1145" i="1"/>
  <c r="B1145" i="1"/>
  <c r="A1146" i="1"/>
  <c r="B1146" i="1"/>
  <c r="A1147" i="1"/>
  <c r="B1147" i="1"/>
  <c r="A1148" i="1"/>
  <c r="B1148" i="1"/>
  <c r="A1149" i="1"/>
  <c r="B1149" i="1"/>
  <c r="A1150" i="1"/>
  <c r="B1150" i="1"/>
  <c r="A1151" i="1"/>
  <c r="B1151" i="1"/>
  <c r="A1152" i="1"/>
  <c r="B1152" i="1"/>
  <c r="A1153" i="1"/>
  <c r="B1153" i="1"/>
  <c r="A1154" i="1"/>
  <c r="B1154" i="1"/>
  <c r="A1155" i="1"/>
  <c r="B1155" i="1"/>
  <c r="A1156" i="1"/>
  <c r="B1156" i="1"/>
  <c r="A1157" i="1"/>
  <c r="B1157" i="1"/>
  <c r="A1158" i="1"/>
  <c r="B1158" i="1"/>
  <c r="A1159" i="1"/>
  <c r="B1159" i="1"/>
  <c r="A1160" i="1"/>
  <c r="B1160" i="1"/>
  <c r="A1161" i="1"/>
  <c r="B1161" i="1"/>
  <c r="A1162" i="1"/>
  <c r="B1162" i="1"/>
  <c r="A1163" i="1"/>
  <c r="B1163" i="1"/>
  <c r="A1164" i="1"/>
  <c r="B1164" i="1"/>
  <c r="A1165" i="1"/>
  <c r="B1165" i="1"/>
  <c r="A1166" i="1"/>
  <c r="B1166" i="1"/>
  <c r="A1167" i="1"/>
  <c r="B1167" i="1"/>
  <c r="A1168" i="1"/>
  <c r="B1168" i="1"/>
  <c r="A1169" i="1"/>
  <c r="B1169" i="1"/>
  <c r="A1170" i="1"/>
  <c r="B1170" i="1"/>
  <c r="A1171" i="1"/>
  <c r="B1171" i="1"/>
  <c r="A1172" i="1"/>
  <c r="B1172" i="1"/>
  <c r="A1173" i="1"/>
  <c r="B1173" i="1"/>
  <c r="A1174" i="1"/>
  <c r="B1174" i="1"/>
  <c r="A1175" i="1"/>
  <c r="B1175" i="1"/>
  <c r="A1176" i="1"/>
  <c r="B1176" i="1"/>
  <c r="A1177" i="1"/>
  <c r="B1177" i="1"/>
  <c r="A1178" i="1"/>
  <c r="B1178" i="1"/>
  <c r="A1179" i="1"/>
  <c r="B1179" i="1"/>
  <c r="A1180" i="1"/>
  <c r="B1180" i="1"/>
  <c r="A1181" i="1"/>
  <c r="B1181" i="1"/>
  <c r="A1182" i="1"/>
  <c r="B1182" i="1"/>
  <c r="A1183" i="1"/>
  <c r="B1183" i="1"/>
  <c r="A1184" i="1"/>
  <c r="B1184" i="1"/>
  <c r="A1185" i="1"/>
  <c r="B1185" i="1"/>
  <c r="A1186" i="1"/>
  <c r="B1186" i="1"/>
  <c r="A1187" i="1"/>
  <c r="B1187" i="1"/>
  <c r="A1188" i="1"/>
  <c r="B1188" i="1"/>
  <c r="A1189" i="1"/>
  <c r="B1189" i="1"/>
  <c r="A1190" i="1"/>
  <c r="B1190" i="1"/>
  <c r="A1191" i="1"/>
  <c r="B1191" i="1"/>
  <c r="A1192" i="1"/>
  <c r="B1192" i="1"/>
  <c r="A1193" i="1"/>
  <c r="B1193" i="1"/>
  <c r="A1194" i="1"/>
  <c r="B1194" i="1"/>
  <c r="A1195" i="1"/>
  <c r="B1195" i="1"/>
  <c r="A1196" i="1"/>
  <c r="B1196" i="1"/>
  <c r="A1197" i="1"/>
  <c r="B1197" i="1"/>
  <c r="A1198" i="1"/>
  <c r="B1198" i="1"/>
  <c r="A1199" i="1"/>
  <c r="B1199" i="1"/>
  <c r="A1200" i="1"/>
  <c r="B1200" i="1"/>
  <c r="A1201" i="1"/>
  <c r="B1201" i="1"/>
  <c r="A1202" i="1"/>
  <c r="B1202" i="1"/>
  <c r="A1203" i="1"/>
  <c r="B1203" i="1"/>
  <c r="A1204" i="1"/>
  <c r="B1204" i="1"/>
  <c r="A1205" i="1"/>
  <c r="B1205" i="1"/>
  <c r="A1206" i="1"/>
  <c r="B1206" i="1"/>
  <c r="A1207" i="1"/>
  <c r="B1207" i="1"/>
  <c r="A1208" i="1"/>
  <c r="B1208" i="1"/>
  <c r="A1209" i="1"/>
  <c r="B1209" i="1"/>
  <c r="A1210" i="1"/>
  <c r="B1210" i="1"/>
  <c r="A1211" i="1"/>
  <c r="B1211" i="1"/>
  <c r="A1212" i="1"/>
  <c r="B1212" i="1"/>
  <c r="A1213" i="1"/>
  <c r="B1213" i="1"/>
  <c r="A1214" i="1"/>
  <c r="B1214" i="1"/>
  <c r="A1215" i="1"/>
  <c r="B1215" i="1"/>
  <c r="A1216" i="1"/>
  <c r="B1216" i="1"/>
  <c r="A1217" i="1"/>
  <c r="B1217" i="1"/>
  <c r="A1218" i="1"/>
  <c r="B1218" i="1"/>
  <c r="A1219" i="1"/>
  <c r="B1219" i="1"/>
  <c r="A1220" i="1"/>
  <c r="B1220" i="1"/>
  <c r="A1221" i="1"/>
  <c r="B1221" i="1"/>
  <c r="A1222" i="1"/>
  <c r="B1222" i="1"/>
  <c r="A1223" i="1"/>
  <c r="B1223" i="1"/>
  <c r="A1224" i="1"/>
  <c r="B1224" i="1"/>
  <c r="A1225" i="1"/>
  <c r="B1225" i="1"/>
  <c r="A1226" i="1"/>
  <c r="B1226" i="1"/>
  <c r="A1227" i="1"/>
  <c r="B1227" i="1"/>
  <c r="A1228" i="1"/>
  <c r="B1228" i="1"/>
  <c r="A1229" i="1"/>
  <c r="B1229" i="1"/>
  <c r="A1230" i="1"/>
  <c r="B1230" i="1"/>
  <c r="A1231" i="1"/>
  <c r="B1231" i="1"/>
  <c r="A1232" i="1"/>
  <c r="B1232" i="1"/>
  <c r="A1233" i="1"/>
  <c r="B1233" i="1"/>
  <c r="A1234" i="1"/>
  <c r="B1234" i="1"/>
  <c r="A1235" i="1"/>
  <c r="B1235" i="1"/>
  <c r="A1236" i="1"/>
  <c r="B1236" i="1"/>
  <c r="A1237" i="1"/>
  <c r="B1237" i="1"/>
  <c r="A1238" i="1"/>
  <c r="B1238" i="1"/>
  <c r="A1239" i="1"/>
  <c r="B1239" i="1"/>
  <c r="A1240" i="1"/>
  <c r="B1240" i="1"/>
  <c r="A1241" i="1"/>
  <c r="B1241" i="1"/>
  <c r="A1242" i="1"/>
  <c r="B1242" i="1"/>
  <c r="A1243" i="1"/>
  <c r="B1243" i="1"/>
  <c r="A1244" i="1"/>
  <c r="B1244" i="1"/>
  <c r="A1245" i="1"/>
  <c r="B1245" i="1"/>
  <c r="A1246" i="1"/>
  <c r="B1246" i="1"/>
  <c r="A1247" i="1"/>
  <c r="B1247" i="1"/>
  <c r="A1248" i="1"/>
  <c r="B1248" i="1"/>
  <c r="A1249" i="1"/>
  <c r="B1249" i="1"/>
  <c r="A1250" i="1"/>
  <c r="B1250" i="1"/>
  <c r="A1251" i="1"/>
  <c r="B1251" i="1"/>
  <c r="A1252" i="1"/>
  <c r="B1252" i="1"/>
  <c r="A1253" i="1"/>
  <c r="B1253" i="1"/>
  <c r="A1254" i="1"/>
  <c r="B1254" i="1"/>
  <c r="A1255" i="1"/>
  <c r="B1255" i="1"/>
  <c r="A1256" i="1"/>
  <c r="B1256" i="1"/>
  <c r="A1257" i="1"/>
  <c r="B1257" i="1"/>
  <c r="A1258" i="1"/>
  <c r="B1258" i="1"/>
  <c r="A1259" i="1"/>
  <c r="B1259" i="1"/>
  <c r="A1260" i="1"/>
  <c r="B1260" i="1"/>
  <c r="A1261" i="1"/>
  <c r="B1261" i="1"/>
  <c r="A1262" i="1"/>
  <c r="B1262" i="1"/>
  <c r="A1263" i="1"/>
  <c r="B1263" i="1"/>
  <c r="A1264" i="1"/>
  <c r="B1264" i="1"/>
  <c r="A1265" i="1"/>
  <c r="B1265" i="1"/>
  <c r="A1266" i="1"/>
  <c r="B1266" i="1"/>
  <c r="A1267" i="1"/>
  <c r="B1267" i="1"/>
  <c r="A1268" i="1"/>
  <c r="B1268" i="1"/>
  <c r="A1269" i="1"/>
  <c r="B1269" i="1"/>
  <c r="A1270" i="1"/>
  <c r="B1270" i="1"/>
  <c r="A1271" i="1"/>
  <c r="B1271" i="1"/>
  <c r="A1272" i="1"/>
  <c r="B1272" i="1"/>
  <c r="A1273" i="1"/>
  <c r="B1273" i="1"/>
  <c r="A1274" i="1"/>
  <c r="B1274" i="1"/>
  <c r="A1275" i="1"/>
  <c r="B1275" i="1"/>
  <c r="A1276" i="1"/>
  <c r="B1276" i="1"/>
  <c r="A1277" i="1"/>
  <c r="B1277" i="1"/>
  <c r="A1278" i="1"/>
  <c r="B1278" i="1"/>
  <c r="A1279" i="1"/>
  <c r="B1279" i="1"/>
  <c r="A1280" i="1"/>
  <c r="B1280" i="1"/>
  <c r="A1281" i="1"/>
  <c r="B1281" i="1"/>
  <c r="A1282" i="1"/>
  <c r="B1282" i="1"/>
  <c r="A1283" i="1"/>
  <c r="B1283" i="1"/>
  <c r="A1284" i="1"/>
  <c r="B1284" i="1"/>
  <c r="A1285" i="1"/>
  <c r="B1285" i="1"/>
  <c r="A1286" i="1"/>
  <c r="B1286" i="1"/>
  <c r="A1287" i="1"/>
  <c r="B1287" i="1"/>
  <c r="A1288" i="1"/>
  <c r="B1288" i="1"/>
  <c r="A1289" i="1"/>
  <c r="B1289" i="1"/>
  <c r="A1290" i="1"/>
  <c r="B1290" i="1"/>
  <c r="A1291" i="1"/>
  <c r="B1291" i="1"/>
  <c r="A1292" i="1"/>
  <c r="B1292" i="1"/>
  <c r="A1293" i="1"/>
  <c r="B1293" i="1"/>
  <c r="A1294" i="1"/>
  <c r="B1294" i="1"/>
  <c r="A1295" i="1"/>
  <c r="B1295" i="1"/>
  <c r="A1296" i="1"/>
  <c r="B1296" i="1"/>
  <c r="A1297" i="1"/>
  <c r="B1297" i="1"/>
  <c r="A1298" i="1"/>
  <c r="B1298" i="1"/>
  <c r="A1299" i="1"/>
  <c r="B1299" i="1"/>
  <c r="A1300" i="1"/>
  <c r="B1300" i="1"/>
  <c r="A1301" i="1"/>
  <c r="B1301" i="1"/>
  <c r="A1302" i="1"/>
  <c r="B1302" i="1"/>
  <c r="A1303" i="1"/>
  <c r="B1303" i="1"/>
  <c r="A1304" i="1"/>
  <c r="B1304" i="1"/>
  <c r="A1305" i="1"/>
  <c r="B1305" i="1"/>
  <c r="A1306" i="1"/>
  <c r="B1306" i="1"/>
  <c r="A1307" i="1"/>
  <c r="B1307" i="1"/>
  <c r="A1308" i="1"/>
  <c r="B1308" i="1"/>
  <c r="A1309" i="1"/>
  <c r="B1309" i="1"/>
  <c r="A1310" i="1"/>
  <c r="B1310" i="1"/>
  <c r="A1311" i="1"/>
  <c r="B1311" i="1"/>
  <c r="A1312" i="1"/>
  <c r="B1312" i="1"/>
  <c r="A1313" i="1"/>
  <c r="B1313" i="1"/>
  <c r="A1314" i="1"/>
  <c r="B1314" i="1"/>
  <c r="A1315" i="1"/>
  <c r="B1315" i="1"/>
  <c r="A1316" i="1"/>
  <c r="B1316" i="1"/>
  <c r="A1317" i="1"/>
  <c r="B1317" i="1"/>
  <c r="A1318" i="1"/>
  <c r="B1318" i="1"/>
  <c r="A1319" i="1"/>
  <c r="B1319" i="1"/>
  <c r="A1320" i="1"/>
  <c r="B1320" i="1"/>
  <c r="A1321" i="1"/>
  <c r="B1321" i="1"/>
  <c r="A1322" i="1"/>
  <c r="B1322" i="1"/>
  <c r="A1323" i="1"/>
  <c r="B1323" i="1"/>
  <c r="A1324" i="1"/>
  <c r="B1324" i="1"/>
  <c r="A1325" i="1"/>
  <c r="B1325" i="1"/>
  <c r="A1326" i="1"/>
  <c r="B1326" i="1"/>
  <c r="A1327" i="1"/>
  <c r="B1327" i="1"/>
  <c r="A1328" i="1"/>
  <c r="B1328" i="1"/>
  <c r="A1329" i="1"/>
  <c r="B1329" i="1"/>
  <c r="A1330" i="1"/>
  <c r="B1330" i="1"/>
  <c r="A1331" i="1"/>
  <c r="B1331" i="1"/>
  <c r="A1332" i="1"/>
  <c r="B1332" i="1"/>
  <c r="A1333" i="1"/>
  <c r="B1333" i="1"/>
  <c r="A1334" i="1"/>
  <c r="B1334" i="1"/>
  <c r="A1335" i="1"/>
  <c r="B1335" i="1"/>
  <c r="A1336" i="1"/>
  <c r="B1336" i="1"/>
  <c r="A1337" i="1"/>
  <c r="B1337" i="1"/>
  <c r="A1338" i="1"/>
  <c r="B1338" i="1"/>
  <c r="A1339" i="1"/>
  <c r="B1339" i="1"/>
  <c r="A1340" i="1"/>
  <c r="B1340" i="1"/>
  <c r="A1341" i="1"/>
  <c r="B1341" i="1"/>
  <c r="A1342" i="1"/>
  <c r="B1342" i="1"/>
  <c r="A1343" i="1"/>
  <c r="B1343" i="1"/>
  <c r="A1344" i="1"/>
  <c r="B1344" i="1"/>
  <c r="A1345" i="1"/>
  <c r="B1345" i="1"/>
  <c r="A1346" i="1"/>
  <c r="B1346" i="1"/>
  <c r="A1347" i="1"/>
  <c r="B1347" i="1"/>
  <c r="A1348" i="1"/>
  <c r="B1348" i="1"/>
  <c r="A1349" i="1"/>
  <c r="B1349" i="1"/>
  <c r="A1350" i="1"/>
  <c r="B1350" i="1"/>
  <c r="A1351" i="1"/>
  <c r="B1351" i="1"/>
  <c r="A1352" i="1"/>
  <c r="B1352" i="1"/>
  <c r="A1353" i="1"/>
  <c r="B1353" i="1"/>
  <c r="A1354" i="1"/>
  <c r="B1354" i="1"/>
  <c r="A1355" i="1"/>
  <c r="B1355" i="1"/>
  <c r="A1356" i="1"/>
  <c r="B1356" i="1"/>
  <c r="A1357" i="1"/>
  <c r="B1357" i="1"/>
  <c r="A1358" i="1"/>
  <c r="B1358" i="1"/>
  <c r="A1359" i="1"/>
  <c r="B1359" i="1"/>
  <c r="A1360" i="1"/>
  <c r="B1360" i="1"/>
  <c r="A1361" i="1"/>
  <c r="B1361" i="1"/>
  <c r="A1362" i="1"/>
  <c r="B1362" i="1"/>
  <c r="A1363" i="1"/>
  <c r="B1363" i="1"/>
  <c r="A1364" i="1"/>
  <c r="B1364" i="1"/>
  <c r="A1365" i="1"/>
  <c r="B1365" i="1"/>
  <c r="A1366" i="1"/>
  <c r="B1366" i="1"/>
  <c r="A1367" i="1"/>
  <c r="B1367" i="1"/>
  <c r="A1368" i="1"/>
  <c r="B1368" i="1"/>
  <c r="A1369" i="1"/>
  <c r="B1369" i="1"/>
  <c r="A1370" i="1"/>
  <c r="B1370" i="1"/>
  <c r="A1371" i="1"/>
  <c r="B1371" i="1"/>
  <c r="A1372" i="1"/>
  <c r="B1372" i="1"/>
  <c r="A1373" i="1"/>
  <c r="B1373" i="1"/>
  <c r="A1374" i="1"/>
  <c r="B1374" i="1"/>
  <c r="A1375" i="1"/>
  <c r="B1375" i="1"/>
  <c r="A1376" i="1"/>
  <c r="B1376" i="1"/>
  <c r="A1377" i="1"/>
  <c r="B1377" i="1"/>
  <c r="A1378" i="1"/>
  <c r="B1378" i="1"/>
  <c r="A1379" i="1"/>
  <c r="B1379" i="1"/>
  <c r="A1380" i="1"/>
  <c r="B1380" i="1"/>
  <c r="A1381" i="1"/>
  <c r="B1381" i="1"/>
  <c r="A1382" i="1"/>
  <c r="B1382" i="1"/>
  <c r="A1383" i="1"/>
  <c r="B1383" i="1"/>
  <c r="A1384" i="1"/>
  <c r="B1384" i="1"/>
  <c r="A1385" i="1"/>
  <c r="B1385" i="1"/>
  <c r="A1386" i="1"/>
  <c r="B1386" i="1"/>
  <c r="A1387" i="1"/>
  <c r="B1387" i="1"/>
  <c r="A1388" i="1"/>
  <c r="B1388" i="1"/>
  <c r="A1389" i="1"/>
  <c r="B1389" i="1"/>
  <c r="A1390" i="1"/>
  <c r="B1390" i="1"/>
  <c r="A1391" i="1"/>
  <c r="B1391" i="1"/>
  <c r="A1392" i="1"/>
  <c r="B1392" i="1"/>
  <c r="A1393" i="1"/>
  <c r="B1393" i="1"/>
  <c r="A1394" i="1"/>
  <c r="B1394" i="1"/>
  <c r="A1395" i="1"/>
  <c r="B1395" i="1"/>
  <c r="A1396" i="1"/>
  <c r="B1396" i="1"/>
  <c r="A1397" i="1"/>
  <c r="B1397" i="1"/>
  <c r="A1398" i="1"/>
  <c r="B1398" i="1"/>
  <c r="A1399" i="1"/>
  <c r="B1399" i="1"/>
  <c r="A1400" i="1"/>
  <c r="B1400" i="1"/>
  <c r="A1401" i="1"/>
  <c r="B1401" i="1"/>
  <c r="A1402" i="1"/>
  <c r="B1402" i="1"/>
  <c r="A1403" i="1"/>
  <c r="B1403" i="1"/>
  <c r="A1404" i="1"/>
  <c r="B1404" i="1"/>
  <c r="A1405" i="1"/>
  <c r="B1405" i="1"/>
  <c r="A1406" i="1"/>
  <c r="B1406" i="1"/>
  <c r="A1407" i="1"/>
  <c r="B1407" i="1"/>
  <c r="A1408" i="1"/>
  <c r="B1408" i="1"/>
  <c r="A1409" i="1"/>
  <c r="B1409" i="1"/>
  <c r="A1410" i="1"/>
  <c r="B1410" i="1"/>
  <c r="A1411" i="1"/>
  <c r="B1411" i="1"/>
  <c r="A1412" i="1"/>
  <c r="B1412" i="1"/>
  <c r="A1413" i="1"/>
  <c r="B1413" i="1"/>
  <c r="A1414" i="1"/>
  <c r="B1414" i="1"/>
  <c r="A1415" i="1"/>
  <c r="B1415" i="1"/>
  <c r="A1416" i="1"/>
  <c r="B1416" i="1"/>
  <c r="A1417" i="1"/>
  <c r="B1417" i="1"/>
  <c r="A1418" i="1"/>
  <c r="B1418" i="1"/>
  <c r="A1419" i="1"/>
  <c r="B1419" i="1"/>
  <c r="A1420" i="1"/>
  <c r="B1420" i="1"/>
  <c r="A1421" i="1"/>
  <c r="B1421" i="1"/>
  <c r="A1422" i="1"/>
  <c r="B1422" i="1"/>
  <c r="A1423" i="1"/>
  <c r="B1423" i="1"/>
  <c r="A1424" i="1"/>
  <c r="B1424" i="1"/>
  <c r="A1425" i="1"/>
  <c r="B1425" i="1"/>
  <c r="A1426" i="1"/>
  <c r="B1426" i="1"/>
  <c r="A1427" i="1"/>
  <c r="B1427" i="1"/>
  <c r="A1428" i="1"/>
  <c r="B1428" i="1"/>
  <c r="A1429" i="1"/>
  <c r="B1429" i="1"/>
  <c r="A1430" i="1"/>
  <c r="B1430" i="1"/>
  <c r="A1431" i="1"/>
  <c r="B1431" i="1"/>
  <c r="A1432" i="1"/>
  <c r="B1432" i="1"/>
  <c r="A1433" i="1"/>
  <c r="B1433" i="1"/>
  <c r="A1434" i="1"/>
  <c r="B1434" i="1"/>
  <c r="A1435" i="1"/>
  <c r="B1435" i="1"/>
  <c r="A1436" i="1"/>
  <c r="B1436" i="1"/>
  <c r="A1437" i="1"/>
  <c r="B1437" i="1"/>
  <c r="A1438" i="1"/>
  <c r="B1438" i="1"/>
  <c r="A1439" i="1"/>
  <c r="B1439" i="1"/>
  <c r="A1440" i="1"/>
  <c r="B1440" i="1"/>
  <c r="A1441" i="1"/>
  <c r="B1441" i="1"/>
  <c r="A1442" i="1"/>
  <c r="B1442" i="1"/>
  <c r="A1443" i="1"/>
  <c r="B1443" i="1"/>
  <c r="A1444" i="1"/>
  <c r="B1444" i="1"/>
  <c r="A1445" i="1"/>
  <c r="B1445" i="1"/>
  <c r="A1446" i="1"/>
  <c r="B1446" i="1"/>
  <c r="A1447" i="1"/>
  <c r="B1447" i="1"/>
  <c r="A1448" i="1"/>
  <c r="B1448" i="1"/>
  <c r="A1449" i="1"/>
  <c r="B1449" i="1"/>
  <c r="A1450" i="1"/>
  <c r="B1450" i="1"/>
  <c r="A1451" i="1"/>
  <c r="B1451" i="1"/>
  <c r="A1452" i="1"/>
  <c r="B1452" i="1"/>
  <c r="A1453" i="1"/>
  <c r="B1453" i="1"/>
  <c r="A1454" i="1"/>
  <c r="B1454" i="1"/>
  <c r="A1455" i="1"/>
  <c r="B1455" i="1"/>
  <c r="A1456" i="1"/>
  <c r="B1456" i="1"/>
  <c r="A1457" i="1"/>
  <c r="B1457" i="1"/>
  <c r="A1458" i="1"/>
  <c r="B1458" i="1"/>
  <c r="A1459" i="1"/>
  <c r="B1459" i="1"/>
  <c r="A1460" i="1"/>
  <c r="B1460" i="1"/>
  <c r="A1461" i="1"/>
  <c r="B1461" i="1"/>
  <c r="A1462" i="1"/>
  <c r="B1462" i="1"/>
  <c r="A1463" i="1"/>
  <c r="B1463" i="1"/>
  <c r="A1464" i="1"/>
  <c r="B1464" i="1"/>
  <c r="A1465" i="1"/>
  <c r="B1465" i="1"/>
  <c r="A1466" i="1"/>
  <c r="B1466" i="1"/>
  <c r="A1467" i="1"/>
  <c r="B1467" i="1"/>
  <c r="A1468" i="1"/>
  <c r="B1468" i="1"/>
  <c r="A1469" i="1"/>
  <c r="B1469" i="1"/>
  <c r="A1470" i="1"/>
  <c r="B1470" i="1"/>
  <c r="A1471" i="1"/>
  <c r="B1471" i="1"/>
  <c r="A1472" i="1"/>
  <c r="B1472" i="1"/>
  <c r="A1473" i="1"/>
  <c r="B1473" i="1"/>
  <c r="A1474" i="1"/>
  <c r="B1474" i="1"/>
  <c r="A1475" i="1"/>
  <c r="B1475" i="1"/>
  <c r="A1476" i="1"/>
  <c r="B1476" i="1"/>
  <c r="A1477" i="1"/>
  <c r="B1477" i="1"/>
  <c r="A1478" i="1"/>
  <c r="B1478" i="1"/>
  <c r="A1479" i="1"/>
  <c r="B1479" i="1"/>
  <c r="A1480" i="1"/>
  <c r="B1480" i="1"/>
  <c r="A1481" i="1"/>
  <c r="B1481" i="1"/>
  <c r="A1482" i="1"/>
  <c r="B1482" i="1"/>
  <c r="A1483" i="1"/>
  <c r="B1483" i="1"/>
  <c r="A1484" i="1"/>
  <c r="B1484" i="1"/>
  <c r="A1485" i="1"/>
  <c r="B1485" i="1"/>
  <c r="A1486" i="1"/>
  <c r="B1486" i="1"/>
  <c r="A1487" i="1"/>
  <c r="B1487" i="1"/>
  <c r="A1488" i="1"/>
  <c r="B1488" i="1"/>
  <c r="A1489" i="1"/>
  <c r="B1489" i="1"/>
  <c r="A1490" i="1"/>
  <c r="B1490" i="1"/>
  <c r="A1491" i="1"/>
  <c r="B1491" i="1"/>
  <c r="A1492" i="1"/>
  <c r="B1492" i="1"/>
  <c r="A1493" i="1"/>
  <c r="B1493" i="1"/>
  <c r="A1494" i="1"/>
  <c r="B1494" i="1"/>
  <c r="A1495" i="1"/>
  <c r="B1495" i="1"/>
  <c r="A1496" i="1"/>
  <c r="B1496" i="1"/>
  <c r="A1497" i="1"/>
  <c r="B1497" i="1"/>
  <c r="A1498" i="1"/>
  <c r="B1498" i="1"/>
  <c r="A1499" i="1"/>
  <c r="B1499" i="1"/>
  <c r="A1500" i="1"/>
  <c r="B1500" i="1"/>
  <c r="A1501" i="1"/>
  <c r="B1501" i="1"/>
  <c r="A1502" i="1"/>
  <c r="B1502" i="1"/>
  <c r="A1503" i="1"/>
  <c r="B1503" i="1"/>
  <c r="A1504" i="1"/>
  <c r="B1504" i="1"/>
  <c r="A1505" i="1"/>
  <c r="B1505" i="1"/>
  <c r="A1506" i="1"/>
  <c r="B1506" i="1"/>
  <c r="A1507" i="1"/>
  <c r="B1507" i="1"/>
  <c r="A1508" i="1"/>
  <c r="B1508" i="1"/>
  <c r="A1509" i="1"/>
  <c r="B1509" i="1"/>
  <c r="A1510" i="1"/>
  <c r="B1510" i="1"/>
  <c r="A1511" i="1"/>
  <c r="B1511" i="1"/>
  <c r="A1512" i="1"/>
  <c r="B1512" i="1"/>
  <c r="A1513" i="1"/>
  <c r="B1513" i="1"/>
  <c r="A1514" i="1"/>
  <c r="B1514" i="1"/>
  <c r="A1515" i="1"/>
  <c r="B1515" i="1"/>
  <c r="A1516" i="1"/>
  <c r="B1516" i="1"/>
  <c r="A1517" i="1"/>
  <c r="B1517" i="1"/>
  <c r="A1518" i="1"/>
  <c r="B1518" i="1"/>
  <c r="A1519" i="1"/>
  <c r="B1519" i="1"/>
  <c r="A1520" i="1"/>
  <c r="B1520" i="1"/>
  <c r="A1521" i="1"/>
  <c r="B1521" i="1"/>
  <c r="A1522" i="1"/>
  <c r="B1522" i="1"/>
  <c r="A1523" i="1"/>
  <c r="B1523" i="1"/>
  <c r="A1524" i="1"/>
  <c r="B1524" i="1"/>
  <c r="A1525" i="1"/>
  <c r="B1525" i="1"/>
  <c r="A1526" i="1"/>
  <c r="B1526" i="1"/>
  <c r="A1527" i="1"/>
  <c r="B1527" i="1"/>
  <c r="A1528" i="1"/>
  <c r="B1528" i="1"/>
  <c r="A1529" i="1"/>
  <c r="B1529" i="1"/>
  <c r="A1530" i="1"/>
  <c r="B1530" i="1"/>
  <c r="A1531" i="1"/>
  <c r="B1531" i="1"/>
  <c r="A1532" i="1"/>
  <c r="B1532" i="1"/>
  <c r="A1533" i="1"/>
  <c r="B1533" i="1"/>
  <c r="A1534" i="1"/>
  <c r="B1534" i="1"/>
  <c r="A1535" i="1"/>
  <c r="B1535" i="1"/>
  <c r="A1536" i="1"/>
  <c r="B1536" i="1"/>
  <c r="A1537" i="1"/>
  <c r="B1537" i="1"/>
  <c r="A1538" i="1"/>
  <c r="B1538" i="1"/>
  <c r="A1539" i="1"/>
  <c r="B1539" i="1"/>
  <c r="A1540" i="1"/>
  <c r="B1540" i="1"/>
  <c r="A1541" i="1"/>
  <c r="B1541" i="1"/>
  <c r="A1542" i="1"/>
  <c r="B1542" i="1"/>
  <c r="A1543" i="1"/>
  <c r="B1543" i="1"/>
  <c r="A1544" i="1"/>
  <c r="B1544" i="1"/>
  <c r="A1545" i="1"/>
  <c r="B1545" i="1"/>
  <c r="A1546" i="1"/>
  <c r="B1546" i="1"/>
  <c r="A1547" i="1"/>
  <c r="B1547" i="1"/>
  <c r="A1548" i="1"/>
  <c r="B1548" i="1"/>
  <c r="A1549" i="1"/>
  <c r="B1549" i="1"/>
  <c r="A1550" i="1"/>
  <c r="B1550" i="1"/>
  <c r="A1551" i="1"/>
  <c r="B1551" i="1"/>
  <c r="A1552" i="1"/>
  <c r="B1552" i="1"/>
  <c r="A1553" i="1"/>
  <c r="B1553" i="1"/>
  <c r="A1554" i="1"/>
  <c r="B1554" i="1"/>
  <c r="A1555" i="1"/>
  <c r="B1555" i="1"/>
  <c r="A1556" i="1"/>
  <c r="B1556" i="1"/>
  <c r="A1557" i="1"/>
  <c r="B1557" i="1"/>
  <c r="A1558" i="1"/>
  <c r="B1558" i="1"/>
  <c r="A1559" i="1"/>
  <c r="B1559" i="1"/>
  <c r="A1560" i="1"/>
  <c r="B1560" i="1"/>
  <c r="A1561" i="1"/>
  <c r="B1561" i="1"/>
  <c r="A1562" i="1"/>
  <c r="B1562" i="1"/>
  <c r="A1563" i="1"/>
  <c r="B1563" i="1"/>
  <c r="A1564" i="1"/>
  <c r="B1564" i="1"/>
  <c r="A1565" i="1"/>
  <c r="B1565" i="1"/>
  <c r="A1566" i="1"/>
  <c r="B1566" i="1"/>
  <c r="A1567" i="1"/>
  <c r="B1567" i="1"/>
  <c r="A1568" i="1"/>
  <c r="B1568" i="1"/>
  <c r="A1569" i="1"/>
  <c r="B1569" i="1"/>
  <c r="A1570" i="1"/>
  <c r="B1570" i="1"/>
  <c r="A1571" i="1"/>
  <c r="B1571" i="1"/>
  <c r="A1572" i="1"/>
  <c r="B1572" i="1"/>
  <c r="A1573" i="1"/>
  <c r="B1573" i="1"/>
  <c r="A1574" i="1"/>
  <c r="B1574" i="1"/>
  <c r="A1575" i="1"/>
  <c r="B1575" i="1"/>
  <c r="A1576" i="1"/>
  <c r="B1576" i="1"/>
  <c r="A1577" i="1"/>
  <c r="B1577" i="1"/>
  <c r="A1578" i="1"/>
  <c r="B1578" i="1"/>
  <c r="A1579" i="1"/>
  <c r="B1579" i="1"/>
  <c r="A1580" i="1"/>
  <c r="B1580" i="1"/>
  <c r="A1581" i="1"/>
  <c r="B1581" i="1"/>
  <c r="A1582" i="1"/>
  <c r="B1582" i="1"/>
  <c r="A1583" i="1"/>
  <c r="B1583" i="1"/>
  <c r="A1584" i="1"/>
  <c r="B1584" i="1"/>
  <c r="A1585" i="1"/>
  <c r="B1585" i="1"/>
  <c r="A1586" i="1"/>
  <c r="B1586" i="1"/>
  <c r="A1587" i="1"/>
  <c r="B1587" i="1"/>
  <c r="A1588" i="1"/>
  <c r="B1588" i="1"/>
  <c r="A1589" i="1"/>
  <c r="B1589" i="1"/>
  <c r="A1590" i="1"/>
  <c r="B1590" i="1"/>
  <c r="A1591" i="1"/>
  <c r="B1591" i="1"/>
  <c r="A1592" i="1"/>
  <c r="B1592" i="1"/>
  <c r="A1593" i="1"/>
  <c r="B1593" i="1"/>
  <c r="A1594" i="1"/>
  <c r="B1594" i="1"/>
  <c r="A1595" i="1"/>
  <c r="B1595" i="1"/>
  <c r="A1596" i="1"/>
  <c r="B1596" i="1"/>
  <c r="A1597" i="1"/>
  <c r="B1597" i="1"/>
  <c r="A1598" i="1"/>
  <c r="B1598" i="1"/>
  <c r="A1599" i="1"/>
  <c r="B1599" i="1"/>
  <c r="A1600" i="1"/>
  <c r="B1600" i="1"/>
  <c r="A1601" i="1"/>
  <c r="B1601" i="1"/>
  <c r="A1602" i="1"/>
  <c r="B1602" i="1"/>
  <c r="A1603" i="1"/>
  <c r="B1603" i="1"/>
  <c r="A1604" i="1"/>
  <c r="B1604" i="1"/>
  <c r="A1605" i="1"/>
  <c r="B1605" i="1"/>
  <c r="A1606" i="1"/>
  <c r="B1606" i="1"/>
  <c r="A1607" i="1"/>
  <c r="B1607" i="1"/>
  <c r="A1608" i="1"/>
  <c r="B1608" i="1"/>
  <c r="A1609" i="1"/>
  <c r="B1609" i="1"/>
  <c r="A1610" i="1"/>
  <c r="B1610" i="1"/>
  <c r="A1611" i="1"/>
  <c r="B1611" i="1"/>
  <c r="A1612" i="1"/>
  <c r="B1612" i="1"/>
  <c r="A1613" i="1"/>
  <c r="B1613" i="1"/>
  <c r="A1614" i="1"/>
  <c r="B1614" i="1"/>
  <c r="A1615" i="1"/>
  <c r="B1615" i="1"/>
  <c r="A1616" i="1"/>
  <c r="B1616" i="1"/>
  <c r="A1617" i="1"/>
  <c r="B1617" i="1"/>
  <c r="A1618" i="1"/>
  <c r="B1618" i="1"/>
  <c r="A1619" i="1"/>
  <c r="B1619" i="1"/>
  <c r="A1620" i="1"/>
  <c r="B1620" i="1"/>
  <c r="A1621" i="1"/>
  <c r="B1621" i="1"/>
  <c r="A1622" i="1"/>
  <c r="B1622" i="1"/>
  <c r="A1623" i="1"/>
  <c r="B1623" i="1"/>
  <c r="A1624" i="1"/>
  <c r="B1624" i="1"/>
  <c r="A1625" i="1"/>
  <c r="B1625" i="1"/>
  <c r="A1626" i="1"/>
  <c r="B1626" i="1"/>
  <c r="A1627" i="1"/>
  <c r="B1627" i="1"/>
  <c r="A1628" i="1"/>
  <c r="B1628" i="1"/>
  <c r="A1629" i="1"/>
  <c r="B1629" i="1"/>
  <c r="A1630" i="1"/>
  <c r="B1630" i="1"/>
  <c r="A1631" i="1"/>
  <c r="B1631" i="1"/>
  <c r="A1632" i="1"/>
  <c r="B1632" i="1"/>
  <c r="A1633" i="1"/>
  <c r="B1633" i="1"/>
  <c r="A1634" i="1"/>
  <c r="B1634" i="1"/>
  <c r="A1635" i="1"/>
  <c r="B1635" i="1"/>
  <c r="A1636" i="1"/>
  <c r="B1636" i="1"/>
  <c r="A1637" i="1"/>
  <c r="B1637" i="1"/>
  <c r="A1638" i="1"/>
  <c r="B1638" i="1"/>
  <c r="A1639" i="1"/>
  <c r="B1639" i="1"/>
  <c r="A1640" i="1"/>
  <c r="B1640" i="1"/>
  <c r="A1641" i="1"/>
  <c r="B1641" i="1"/>
  <c r="A1642" i="1"/>
  <c r="B1642" i="1"/>
  <c r="A1643" i="1"/>
  <c r="B1643" i="1"/>
  <c r="A1644" i="1"/>
  <c r="B1644" i="1"/>
  <c r="A1645" i="1"/>
  <c r="B1645" i="1"/>
  <c r="A1646" i="1"/>
  <c r="B1646" i="1"/>
  <c r="A1647" i="1"/>
  <c r="B1647" i="1"/>
  <c r="A1648" i="1"/>
  <c r="B1648" i="1"/>
  <c r="A1649" i="1"/>
  <c r="B1649" i="1"/>
  <c r="A1650" i="1"/>
  <c r="B1650" i="1"/>
  <c r="A1651" i="1"/>
  <c r="B1651" i="1"/>
  <c r="A1652" i="1"/>
  <c r="B1652" i="1"/>
  <c r="A1653" i="1"/>
  <c r="B1653" i="1"/>
  <c r="A1654" i="1"/>
  <c r="B1654" i="1"/>
  <c r="A1655" i="1"/>
  <c r="B1655" i="1"/>
  <c r="A1656" i="1"/>
  <c r="B1656" i="1"/>
  <c r="A1657" i="1"/>
  <c r="B1657" i="1"/>
  <c r="A1658" i="1"/>
  <c r="B1658" i="1"/>
  <c r="A1659" i="1"/>
  <c r="B1659" i="1"/>
  <c r="A1660" i="1"/>
  <c r="B1660" i="1"/>
  <c r="A1661" i="1"/>
  <c r="B1661" i="1"/>
  <c r="A1662" i="1"/>
  <c r="B1662" i="1"/>
  <c r="A1663" i="1"/>
  <c r="B1663" i="1"/>
  <c r="A1664" i="1"/>
  <c r="B1664" i="1"/>
  <c r="A1665" i="1"/>
  <c r="B1665" i="1"/>
  <c r="A1666" i="1"/>
  <c r="B1666" i="1"/>
  <c r="A1667" i="1"/>
  <c r="B1667" i="1"/>
  <c r="A1668" i="1"/>
  <c r="B1668" i="1"/>
  <c r="A1669" i="1"/>
  <c r="B1669" i="1"/>
  <c r="A1670" i="1"/>
  <c r="B1670" i="1"/>
  <c r="A1671" i="1"/>
  <c r="B1671" i="1"/>
  <c r="A1672" i="1"/>
  <c r="B1672" i="1"/>
  <c r="A1673" i="1"/>
  <c r="B1673" i="1"/>
  <c r="A1674" i="1"/>
  <c r="B1674" i="1"/>
  <c r="A1675" i="1"/>
  <c r="B1675" i="1"/>
  <c r="A1676" i="1"/>
  <c r="B1676" i="1"/>
  <c r="A1677" i="1"/>
  <c r="B1677" i="1"/>
  <c r="A1678" i="1"/>
  <c r="B1678" i="1"/>
  <c r="A1679" i="1"/>
  <c r="B1679" i="1"/>
  <c r="A1680" i="1"/>
  <c r="B1680" i="1"/>
  <c r="A1681" i="1"/>
  <c r="B1681" i="1"/>
  <c r="A1682" i="1"/>
  <c r="B1682" i="1"/>
  <c r="A1683" i="1"/>
  <c r="B1683" i="1"/>
  <c r="A1684" i="1"/>
  <c r="B1684" i="1"/>
  <c r="A1685" i="1"/>
  <c r="B1685" i="1"/>
  <c r="A1686" i="1"/>
  <c r="B1686" i="1"/>
  <c r="A1687" i="1"/>
  <c r="B1687" i="1"/>
  <c r="A1688" i="1"/>
  <c r="B1688" i="1"/>
  <c r="A1689" i="1"/>
  <c r="B1689" i="1"/>
  <c r="A1690" i="1"/>
  <c r="B1690" i="1"/>
  <c r="A1691" i="1"/>
  <c r="B1691" i="1"/>
  <c r="A1692" i="1"/>
  <c r="B1692" i="1"/>
  <c r="A1693" i="1"/>
  <c r="B1693" i="1"/>
  <c r="A1694" i="1"/>
  <c r="B1694" i="1"/>
  <c r="A1695" i="1"/>
  <c r="B1695" i="1"/>
  <c r="A1696" i="1"/>
  <c r="B1696" i="1"/>
  <c r="A1697" i="1"/>
  <c r="B1697" i="1"/>
  <c r="A1698" i="1"/>
  <c r="B1698" i="1"/>
  <c r="A1699" i="1"/>
  <c r="B1699" i="1"/>
  <c r="A1700" i="1"/>
  <c r="B1700" i="1"/>
  <c r="A1701" i="1"/>
  <c r="B1701" i="1"/>
  <c r="A1702" i="1"/>
  <c r="B1702" i="1"/>
  <c r="A1703" i="1"/>
  <c r="B1703" i="1"/>
  <c r="A1704" i="1"/>
  <c r="B1704" i="1"/>
  <c r="A1705" i="1"/>
  <c r="B1705" i="1"/>
  <c r="A1706" i="1"/>
  <c r="B1706" i="1"/>
  <c r="A1707" i="1"/>
  <c r="B1707" i="1"/>
  <c r="A1708" i="1"/>
  <c r="B1708" i="1"/>
  <c r="A1709" i="1"/>
  <c r="B1709" i="1"/>
  <c r="A1710" i="1"/>
  <c r="B1710" i="1"/>
  <c r="A1711" i="1"/>
  <c r="B1711" i="1"/>
  <c r="A1712" i="1"/>
  <c r="B1712" i="1"/>
  <c r="A1713" i="1"/>
  <c r="B1713" i="1"/>
  <c r="A1714" i="1"/>
  <c r="B1714" i="1"/>
  <c r="A1715" i="1"/>
  <c r="B1715" i="1"/>
  <c r="A1716" i="1"/>
  <c r="B1716" i="1"/>
  <c r="A1717" i="1"/>
  <c r="B1717" i="1"/>
  <c r="A1718" i="1"/>
  <c r="B1718" i="1"/>
  <c r="A1719" i="1"/>
  <c r="B1719" i="1"/>
  <c r="A1720" i="1"/>
  <c r="B1720" i="1"/>
  <c r="A1721" i="1"/>
  <c r="B1721" i="1"/>
  <c r="A1722" i="1"/>
  <c r="B1722" i="1"/>
  <c r="A1723" i="1"/>
  <c r="B1723" i="1"/>
  <c r="A1724" i="1"/>
  <c r="B1724" i="1"/>
  <c r="A1725" i="1"/>
  <c r="B1725" i="1"/>
  <c r="A1726" i="1"/>
  <c r="B1726" i="1"/>
  <c r="A1727" i="1"/>
  <c r="B1727" i="1"/>
  <c r="A1728" i="1"/>
  <c r="B1728" i="1"/>
  <c r="A1729" i="1"/>
  <c r="B1729" i="1"/>
  <c r="A1730" i="1"/>
  <c r="B1730" i="1"/>
  <c r="A1731" i="1"/>
  <c r="B1731" i="1"/>
  <c r="A1732" i="1"/>
  <c r="B1732" i="1"/>
  <c r="A1733" i="1"/>
  <c r="B1733" i="1"/>
  <c r="A1734" i="1"/>
  <c r="B1734" i="1"/>
  <c r="A1735" i="1"/>
  <c r="B1735" i="1"/>
  <c r="A1736" i="1"/>
  <c r="B1736" i="1"/>
  <c r="A1737" i="1"/>
  <c r="B1737" i="1"/>
  <c r="A1738" i="1"/>
  <c r="B1738" i="1"/>
  <c r="A1739" i="1"/>
  <c r="B1739" i="1"/>
  <c r="A1740" i="1"/>
  <c r="B1740" i="1"/>
  <c r="A1741" i="1"/>
  <c r="B1741" i="1"/>
  <c r="A1742" i="1"/>
  <c r="B1742" i="1"/>
  <c r="A1743" i="1"/>
  <c r="B1743" i="1"/>
  <c r="A1744" i="1"/>
  <c r="B1744" i="1"/>
  <c r="A1745" i="1"/>
  <c r="B1745" i="1"/>
  <c r="A1746" i="1"/>
  <c r="B1746" i="1"/>
  <c r="A1747" i="1"/>
  <c r="B1747" i="1"/>
  <c r="A1748" i="1"/>
  <c r="B1748" i="1"/>
  <c r="A1749" i="1"/>
  <c r="B1749" i="1"/>
  <c r="A1750" i="1"/>
  <c r="B1750" i="1"/>
  <c r="A1751" i="1"/>
  <c r="B1751" i="1"/>
  <c r="A1752" i="1"/>
  <c r="B1752" i="1"/>
  <c r="A1753" i="1"/>
  <c r="B1753" i="1"/>
  <c r="A1754" i="1"/>
  <c r="B1754" i="1"/>
  <c r="A1755" i="1"/>
  <c r="B1755" i="1"/>
  <c r="A1756" i="1"/>
  <c r="B1756" i="1"/>
  <c r="A1757" i="1"/>
  <c r="B1757" i="1"/>
  <c r="A1758" i="1"/>
  <c r="B1758" i="1"/>
  <c r="A1759" i="1"/>
  <c r="B1759" i="1"/>
  <c r="A1760" i="1"/>
  <c r="B1760" i="1"/>
  <c r="A1761" i="1"/>
  <c r="B1761" i="1"/>
  <c r="A1762" i="1"/>
  <c r="B1762" i="1"/>
  <c r="A1763" i="1"/>
  <c r="B1763" i="1"/>
  <c r="A1764" i="1"/>
  <c r="B1764" i="1"/>
  <c r="A1765" i="1"/>
  <c r="B1765" i="1"/>
  <c r="A1766" i="1"/>
  <c r="B1766" i="1"/>
  <c r="A1767" i="1"/>
  <c r="B1767" i="1"/>
  <c r="A1768" i="1"/>
  <c r="B1768" i="1"/>
  <c r="A1769" i="1"/>
  <c r="B1769" i="1"/>
  <c r="A1770" i="1"/>
  <c r="B1770" i="1"/>
  <c r="A1771" i="1"/>
  <c r="B1771" i="1"/>
  <c r="A1772" i="1"/>
  <c r="B1772" i="1"/>
  <c r="A1773" i="1"/>
  <c r="B1773" i="1"/>
  <c r="A1774" i="1"/>
  <c r="B1774" i="1"/>
  <c r="A1775" i="1"/>
  <c r="B1775" i="1"/>
  <c r="A1776" i="1"/>
  <c r="B1776" i="1"/>
  <c r="A1777" i="1"/>
  <c r="B1777" i="1"/>
  <c r="A1778" i="1"/>
  <c r="B1778" i="1"/>
  <c r="A1779" i="1"/>
  <c r="B1779" i="1"/>
  <c r="A1780" i="1"/>
  <c r="B1780" i="1"/>
  <c r="A1781" i="1"/>
  <c r="B1781" i="1"/>
  <c r="A1782" i="1"/>
  <c r="B1782" i="1"/>
  <c r="A1783" i="1"/>
  <c r="B1783" i="1"/>
  <c r="A1784" i="1"/>
  <c r="B1784" i="1"/>
  <c r="A1785" i="1"/>
  <c r="B1785" i="1"/>
  <c r="A1786" i="1"/>
  <c r="B1786" i="1"/>
  <c r="A1787" i="1"/>
  <c r="B1787" i="1"/>
  <c r="A1788" i="1"/>
  <c r="B1788" i="1"/>
  <c r="A1789" i="1"/>
  <c r="B1789" i="1"/>
  <c r="A1790" i="1"/>
  <c r="B1790" i="1"/>
  <c r="A1791" i="1"/>
  <c r="B1791" i="1"/>
  <c r="A1792" i="1"/>
  <c r="B1792" i="1"/>
  <c r="A1793" i="1"/>
  <c r="B1793" i="1"/>
  <c r="A1794" i="1"/>
  <c r="B1794" i="1"/>
  <c r="A1795" i="1"/>
  <c r="B1795" i="1"/>
  <c r="A1796" i="1"/>
  <c r="B1796" i="1"/>
  <c r="A1797" i="1"/>
  <c r="B1797" i="1"/>
  <c r="A1798" i="1"/>
  <c r="B1798" i="1"/>
  <c r="A1799" i="1"/>
  <c r="B1799" i="1"/>
  <c r="A1800" i="1"/>
  <c r="B1800" i="1"/>
  <c r="A1801" i="1"/>
  <c r="B1801" i="1"/>
  <c r="A1802" i="1"/>
  <c r="B1802" i="1"/>
  <c r="A1803" i="1"/>
  <c r="B1803" i="1"/>
  <c r="A1804" i="1"/>
  <c r="B1804" i="1"/>
  <c r="A1805" i="1"/>
  <c r="B1805" i="1"/>
  <c r="A1806" i="1"/>
  <c r="B1806" i="1"/>
  <c r="A1807" i="1"/>
  <c r="B1807" i="1"/>
  <c r="A1808" i="1"/>
  <c r="B1808" i="1"/>
  <c r="A1809" i="1"/>
  <c r="B1809" i="1"/>
  <c r="A1810" i="1"/>
  <c r="B1810" i="1"/>
  <c r="A1811" i="1"/>
  <c r="B1811" i="1"/>
  <c r="A1812" i="1"/>
  <c r="B1812" i="1"/>
  <c r="A1813" i="1"/>
  <c r="B1813" i="1"/>
  <c r="A1814" i="1"/>
  <c r="B1814" i="1"/>
  <c r="A1815" i="1"/>
  <c r="B1815" i="1"/>
  <c r="A1816" i="1"/>
  <c r="B1816" i="1"/>
  <c r="A1817" i="1"/>
  <c r="B1817" i="1"/>
  <c r="A1818" i="1"/>
  <c r="B1818" i="1"/>
  <c r="A1819" i="1"/>
  <c r="B1819" i="1"/>
  <c r="A1820" i="1"/>
  <c r="B1820" i="1"/>
  <c r="A1821" i="1"/>
  <c r="B1821" i="1"/>
  <c r="A1822" i="1"/>
  <c r="B1822" i="1"/>
  <c r="A1823" i="1"/>
  <c r="B1823" i="1"/>
  <c r="A1824" i="1"/>
  <c r="B1824" i="1"/>
  <c r="A1825" i="1"/>
  <c r="B1825" i="1"/>
  <c r="A1826" i="1"/>
  <c r="B1826" i="1"/>
  <c r="A1827" i="1"/>
  <c r="B1827" i="1"/>
  <c r="A1828" i="1"/>
  <c r="B1828" i="1"/>
  <c r="A1829" i="1"/>
  <c r="B1829" i="1"/>
  <c r="A1830" i="1"/>
  <c r="B1830" i="1"/>
  <c r="A1831" i="1"/>
  <c r="B1831" i="1"/>
  <c r="A1832" i="1"/>
  <c r="B1832" i="1"/>
  <c r="A1833" i="1"/>
  <c r="B1833" i="1"/>
  <c r="A1834" i="1"/>
  <c r="B1834" i="1"/>
  <c r="A1835" i="1"/>
  <c r="B1835" i="1"/>
  <c r="A1836" i="1"/>
  <c r="B1836" i="1"/>
  <c r="A1837" i="1"/>
  <c r="B1837" i="1"/>
  <c r="A1838" i="1"/>
  <c r="B1838" i="1"/>
  <c r="A1839" i="1"/>
  <c r="B1839" i="1"/>
  <c r="A1840" i="1"/>
  <c r="B1840" i="1"/>
  <c r="A1841" i="1"/>
  <c r="B1841" i="1"/>
  <c r="A1842" i="1"/>
  <c r="B1842" i="1"/>
  <c r="A1843" i="1"/>
  <c r="B1843" i="1"/>
  <c r="A1844" i="1"/>
  <c r="B1844" i="1"/>
  <c r="A1845" i="1"/>
  <c r="B1845" i="1"/>
  <c r="A1846" i="1"/>
  <c r="B1846" i="1"/>
  <c r="A1847" i="1"/>
  <c r="B1847" i="1"/>
  <c r="A1848" i="1"/>
  <c r="B1848" i="1"/>
  <c r="A1849" i="1"/>
  <c r="B1849" i="1"/>
  <c r="A1850" i="1"/>
  <c r="B1850" i="1"/>
  <c r="A1851" i="1"/>
  <c r="B1851" i="1"/>
  <c r="A1852" i="1"/>
  <c r="B1852" i="1"/>
  <c r="A1853" i="1"/>
  <c r="B1853" i="1"/>
  <c r="A1854" i="1"/>
  <c r="B1854" i="1"/>
  <c r="A1855" i="1"/>
  <c r="B1855" i="1"/>
  <c r="A1856" i="1"/>
  <c r="B1856" i="1"/>
  <c r="A1857" i="1"/>
  <c r="B1857" i="1"/>
  <c r="A1858" i="1"/>
  <c r="B1858" i="1"/>
  <c r="A1859" i="1"/>
  <c r="B1859" i="1"/>
  <c r="A1860" i="1"/>
  <c r="B1860" i="1"/>
  <c r="A1861" i="1"/>
  <c r="B1861" i="1"/>
  <c r="A1862" i="1"/>
  <c r="B1862" i="1"/>
  <c r="A1863" i="1"/>
  <c r="B1863" i="1"/>
  <c r="A1864" i="1"/>
  <c r="B1864" i="1"/>
  <c r="A1865" i="1"/>
  <c r="B1865" i="1"/>
  <c r="A1866" i="1"/>
  <c r="B1866" i="1"/>
  <c r="A1867" i="1"/>
  <c r="B1867" i="1"/>
  <c r="A1868" i="1"/>
  <c r="B1868" i="1"/>
  <c r="A1869" i="1"/>
  <c r="B1869" i="1"/>
  <c r="A1870" i="1"/>
  <c r="B1870" i="1"/>
  <c r="A1871" i="1"/>
  <c r="B1871" i="1"/>
  <c r="A1872" i="1"/>
  <c r="B1872" i="1"/>
  <c r="A1873" i="1"/>
  <c r="B1873" i="1"/>
  <c r="A1874" i="1"/>
  <c r="B1874" i="1"/>
  <c r="A1875" i="1"/>
  <c r="B1875" i="1"/>
  <c r="A1876" i="1"/>
  <c r="B1876" i="1"/>
  <c r="A1877" i="1"/>
  <c r="B1877" i="1"/>
  <c r="A1878" i="1"/>
  <c r="B1878" i="1"/>
  <c r="A1879" i="1"/>
  <c r="B1879" i="1"/>
  <c r="A1880" i="1"/>
  <c r="B1880" i="1"/>
  <c r="A1881" i="1"/>
  <c r="B1881" i="1"/>
  <c r="A1882" i="1"/>
  <c r="B1882" i="1"/>
  <c r="A1883" i="1"/>
  <c r="B1883" i="1"/>
  <c r="A1884" i="1"/>
  <c r="B1884" i="1"/>
  <c r="A1885" i="1"/>
  <c r="B1885" i="1"/>
  <c r="A1886" i="1"/>
  <c r="B1886" i="1"/>
  <c r="A1887" i="1"/>
  <c r="B1887" i="1"/>
  <c r="A1888" i="1"/>
  <c r="B1888" i="1"/>
  <c r="A1889" i="1"/>
  <c r="B1889" i="1"/>
  <c r="A1890" i="1"/>
  <c r="B1890" i="1"/>
  <c r="A1891" i="1"/>
  <c r="B1891" i="1"/>
  <c r="A1892" i="1"/>
  <c r="B1892" i="1"/>
  <c r="A1893" i="1"/>
  <c r="B1893" i="1"/>
  <c r="A1894" i="1"/>
  <c r="B1894" i="1"/>
  <c r="A1895" i="1"/>
  <c r="B1895" i="1"/>
  <c r="A1896" i="1"/>
  <c r="B1896" i="1"/>
  <c r="A1897" i="1"/>
  <c r="B1897" i="1"/>
  <c r="A1898" i="1"/>
  <c r="B1898" i="1"/>
  <c r="A1899" i="1"/>
  <c r="B1899" i="1"/>
  <c r="A1900" i="1"/>
  <c r="B1900" i="1"/>
  <c r="A1901" i="1"/>
  <c r="B1901" i="1"/>
  <c r="A1902" i="1"/>
  <c r="B1902" i="1"/>
  <c r="A1903" i="1"/>
  <c r="B1903" i="1"/>
  <c r="A1904" i="1"/>
  <c r="B1904" i="1"/>
  <c r="A1905" i="1"/>
  <c r="B1905" i="1"/>
  <c r="A1906" i="1"/>
  <c r="B1906" i="1"/>
  <c r="A1907" i="1"/>
  <c r="B1907" i="1"/>
  <c r="A1908" i="1"/>
  <c r="B1908" i="1"/>
  <c r="A1909" i="1"/>
  <c r="B1909" i="1"/>
  <c r="A1910" i="1"/>
  <c r="B1910" i="1"/>
  <c r="A1911" i="1"/>
  <c r="B1911" i="1"/>
  <c r="A1912" i="1"/>
  <c r="B1912" i="1"/>
  <c r="A1913" i="1"/>
  <c r="B1913" i="1"/>
  <c r="A1914" i="1"/>
  <c r="B1914" i="1"/>
  <c r="A1915" i="1"/>
  <c r="B1915" i="1"/>
  <c r="A1916" i="1"/>
  <c r="B1916" i="1"/>
  <c r="A1917" i="1"/>
  <c r="B1917" i="1"/>
  <c r="A1918" i="1"/>
  <c r="B1918" i="1"/>
  <c r="A1919" i="1"/>
  <c r="B1919" i="1"/>
  <c r="A1920" i="1"/>
  <c r="B1920" i="1"/>
  <c r="A1921" i="1"/>
  <c r="B1921" i="1"/>
  <c r="A1922" i="1"/>
  <c r="B1922" i="1"/>
  <c r="A1923" i="1"/>
  <c r="B1923" i="1"/>
  <c r="A1924" i="1"/>
  <c r="B1924" i="1"/>
  <c r="A1925" i="1"/>
  <c r="B1925" i="1"/>
  <c r="A1926" i="1"/>
  <c r="B1926" i="1"/>
  <c r="A1927" i="1"/>
  <c r="B1927" i="1"/>
  <c r="A1928" i="1"/>
  <c r="B1928" i="1"/>
  <c r="A1929" i="1"/>
  <c r="B1929" i="1"/>
  <c r="A1930" i="1"/>
  <c r="B1930" i="1"/>
  <c r="A1931" i="1"/>
  <c r="B1931" i="1"/>
  <c r="A1932" i="1"/>
  <c r="B1932" i="1"/>
  <c r="A1933" i="1"/>
  <c r="B1933" i="1"/>
  <c r="A1934" i="1"/>
  <c r="B1934" i="1"/>
  <c r="A1935" i="1"/>
  <c r="B1935" i="1"/>
  <c r="A1936" i="1"/>
  <c r="B1936" i="1"/>
  <c r="A1937" i="1"/>
  <c r="B1937" i="1"/>
  <c r="A1938" i="1"/>
  <c r="B1938" i="1"/>
  <c r="A1939" i="1"/>
  <c r="B1939" i="1"/>
  <c r="A1940" i="1"/>
  <c r="B1940" i="1"/>
  <c r="A1941" i="1"/>
  <c r="B1941" i="1"/>
  <c r="A1942" i="1"/>
  <c r="B1942" i="1"/>
  <c r="A1943" i="1"/>
  <c r="B1943" i="1"/>
  <c r="A1944" i="1"/>
  <c r="B1944" i="1"/>
  <c r="A1945" i="1"/>
  <c r="B1945" i="1"/>
  <c r="A1946" i="1"/>
  <c r="B1946" i="1"/>
  <c r="A1947" i="1"/>
  <c r="B1947" i="1"/>
  <c r="A1948" i="1"/>
  <c r="B1948" i="1"/>
  <c r="A1949" i="1"/>
  <c r="B1949" i="1"/>
  <c r="A1950" i="1"/>
  <c r="B1950" i="1"/>
  <c r="A1951" i="1"/>
  <c r="B1951" i="1"/>
  <c r="A1952" i="1"/>
  <c r="B1952" i="1"/>
  <c r="A1953" i="1"/>
  <c r="B1953" i="1"/>
  <c r="A1954" i="1"/>
  <c r="B1954" i="1"/>
  <c r="A1955" i="1"/>
  <c r="B1955" i="1"/>
  <c r="A1956" i="1"/>
  <c r="B1956" i="1"/>
  <c r="A1957" i="1"/>
  <c r="B1957" i="1"/>
  <c r="A1958" i="1"/>
  <c r="B1958" i="1"/>
  <c r="A1959" i="1"/>
  <c r="B1959" i="1"/>
  <c r="A1960" i="1"/>
  <c r="B1960" i="1"/>
  <c r="A1961" i="1"/>
  <c r="B1961" i="1"/>
  <c r="A1962" i="1"/>
  <c r="B1962" i="1"/>
  <c r="A1963" i="1"/>
  <c r="B1963" i="1"/>
  <c r="A1964" i="1"/>
  <c r="B1964" i="1"/>
  <c r="A1965" i="1"/>
  <c r="B1965" i="1"/>
  <c r="A1966" i="1"/>
  <c r="B1966" i="1"/>
  <c r="A1967" i="1"/>
  <c r="B1967" i="1"/>
  <c r="A1968" i="1"/>
  <c r="B1968" i="1"/>
  <c r="A1969" i="1"/>
  <c r="B1969" i="1"/>
  <c r="A1970" i="1"/>
  <c r="B1970" i="1"/>
  <c r="A1971" i="1"/>
  <c r="B1971" i="1"/>
  <c r="A1972" i="1"/>
  <c r="B1972" i="1"/>
  <c r="A1973" i="1"/>
  <c r="B1973" i="1"/>
  <c r="A1974" i="1"/>
  <c r="B1974" i="1"/>
  <c r="A1975" i="1"/>
  <c r="B1975" i="1"/>
  <c r="A1976" i="1"/>
  <c r="B1976" i="1"/>
  <c r="A1977" i="1"/>
  <c r="B1977" i="1"/>
  <c r="A1978" i="1"/>
  <c r="B1978" i="1"/>
  <c r="A1979" i="1"/>
  <c r="B1979" i="1"/>
  <c r="A1980" i="1"/>
  <c r="B1980" i="1"/>
  <c r="A1981" i="1"/>
  <c r="B1981" i="1"/>
  <c r="A1982" i="1"/>
  <c r="B1982" i="1"/>
  <c r="A1983" i="1"/>
  <c r="B1983" i="1"/>
  <c r="A1984" i="1"/>
  <c r="B1984" i="1"/>
  <c r="A1985" i="1"/>
  <c r="B1985" i="1"/>
  <c r="A1986" i="1"/>
  <c r="B1986" i="1"/>
  <c r="A1987" i="1"/>
  <c r="B1987" i="1"/>
  <c r="A1988" i="1"/>
  <c r="B1988" i="1"/>
  <c r="A1989" i="1"/>
  <c r="B1989" i="1"/>
  <c r="A1990" i="1"/>
  <c r="B1990" i="1"/>
  <c r="A1991" i="1"/>
  <c r="B1991" i="1"/>
  <c r="A1992" i="1"/>
  <c r="B1992" i="1"/>
  <c r="A1993" i="1"/>
  <c r="B1993" i="1"/>
  <c r="A1994" i="1"/>
  <c r="B1994" i="1"/>
  <c r="A1995" i="1"/>
  <c r="B1995" i="1"/>
  <c r="A1996" i="1"/>
  <c r="B1996" i="1"/>
  <c r="A1997" i="1"/>
  <c r="B1997" i="1"/>
  <c r="A1998" i="1"/>
  <c r="B1998" i="1"/>
  <c r="A1999" i="1"/>
  <c r="B1999" i="1"/>
  <c r="A2000" i="1"/>
  <c r="B2000" i="1"/>
  <c r="A2001" i="1"/>
  <c r="B2001" i="1"/>
  <c r="A2002" i="1"/>
  <c r="B2002" i="1"/>
  <c r="A2003" i="1"/>
  <c r="B2003" i="1"/>
  <c r="A2004" i="1"/>
  <c r="B2004" i="1"/>
  <c r="A2005" i="1"/>
  <c r="B2005" i="1"/>
  <c r="A2006" i="1"/>
  <c r="B2006" i="1"/>
  <c r="A2007" i="1"/>
  <c r="B2007" i="1"/>
  <c r="A2008" i="1"/>
  <c r="B2008" i="1"/>
  <c r="A2009" i="1"/>
  <c r="B2009" i="1"/>
  <c r="A2010" i="1"/>
  <c r="B2010" i="1"/>
  <c r="A2011" i="1"/>
  <c r="B2011" i="1"/>
  <c r="A2012" i="1"/>
  <c r="B2012" i="1"/>
  <c r="A2013" i="1"/>
  <c r="B2013" i="1"/>
  <c r="A2014" i="1"/>
  <c r="B2014" i="1"/>
  <c r="A2015" i="1"/>
  <c r="B2015" i="1"/>
  <c r="A2016" i="1"/>
  <c r="B2016" i="1"/>
  <c r="A2017" i="1"/>
  <c r="B2017" i="1"/>
  <c r="A2018" i="1"/>
  <c r="B2018" i="1"/>
  <c r="A2019" i="1"/>
  <c r="B2019" i="1"/>
  <c r="A2020" i="1"/>
  <c r="B2020" i="1"/>
  <c r="A2021" i="1"/>
  <c r="B2021" i="1"/>
  <c r="A2022" i="1"/>
  <c r="B2022" i="1"/>
  <c r="A2023" i="1"/>
  <c r="B2023" i="1"/>
  <c r="A2024" i="1"/>
  <c r="B2024" i="1"/>
  <c r="A2025" i="1"/>
  <c r="B2025" i="1"/>
  <c r="A2026" i="1"/>
  <c r="B2026" i="1"/>
  <c r="A2027" i="1"/>
  <c r="B2027" i="1"/>
  <c r="A2028" i="1"/>
  <c r="B2028" i="1"/>
  <c r="A2029" i="1"/>
  <c r="B2029" i="1"/>
  <c r="A2030" i="1"/>
  <c r="B2030" i="1"/>
  <c r="A2031" i="1"/>
  <c r="B2031" i="1"/>
  <c r="A2032" i="1"/>
  <c r="B2032" i="1"/>
  <c r="A2033" i="1"/>
  <c r="B2033" i="1"/>
  <c r="A2034" i="1"/>
  <c r="B2034" i="1"/>
  <c r="A2035" i="1"/>
  <c r="B2035" i="1"/>
  <c r="A2036" i="1"/>
  <c r="B2036" i="1"/>
  <c r="A2037" i="1"/>
  <c r="B2037" i="1"/>
  <c r="A2038" i="1"/>
  <c r="B2038" i="1"/>
  <c r="A2039" i="1"/>
  <c r="B2039" i="1"/>
  <c r="A2040" i="1"/>
  <c r="B2040" i="1"/>
  <c r="A2041" i="1"/>
  <c r="B2041" i="1"/>
  <c r="A2042" i="1"/>
  <c r="B2042" i="1"/>
  <c r="A2043" i="1"/>
  <c r="B2043" i="1"/>
  <c r="A2044" i="1"/>
  <c r="B2044" i="1"/>
  <c r="A2045" i="1"/>
  <c r="B2045" i="1"/>
  <c r="A2046" i="1"/>
  <c r="B2046" i="1"/>
  <c r="A2047" i="1"/>
  <c r="B2047" i="1"/>
  <c r="A2048" i="1"/>
  <c r="B2048" i="1"/>
  <c r="A2049" i="1"/>
  <c r="B2049" i="1"/>
  <c r="A2050" i="1"/>
  <c r="B2050" i="1"/>
  <c r="A2051" i="1"/>
  <c r="B2051" i="1"/>
  <c r="A2052" i="1"/>
  <c r="B2052" i="1"/>
  <c r="A2053" i="1"/>
  <c r="B2053" i="1"/>
  <c r="A2054" i="1"/>
  <c r="B2054" i="1"/>
  <c r="A2055" i="1"/>
  <c r="B2055" i="1"/>
  <c r="A2056" i="1"/>
  <c r="B2056" i="1"/>
  <c r="A2057" i="1"/>
  <c r="B2057" i="1"/>
  <c r="A2058" i="1"/>
  <c r="B2058" i="1"/>
  <c r="A2059" i="1"/>
  <c r="B2059" i="1"/>
  <c r="A2060" i="1"/>
  <c r="B2060" i="1"/>
  <c r="A2061" i="1"/>
  <c r="B2061" i="1"/>
  <c r="A2062" i="1"/>
  <c r="B2062" i="1"/>
  <c r="A2063" i="1"/>
  <c r="B2063" i="1"/>
  <c r="A2064" i="1"/>
  <c r="B2064" i="1"/>
  <c r="A2065" i="1"/>
  <c r="B2065" i="1"/>
  <c r="A2066" i="1"/>
  <c r="B2066" i="1"/>
  <c r="A2067" i="1"/>
  <c r="B2067" i="1"/>
  <c r="A2068" i="1"/>
  <c r="B2068" i="1"/>
  <c r="A2069" i="1"/>
  <c r="B2069" i="1"/>
  <c r="A2070" i="1"/>
  <c r="B2070" i="1"/>
  <c r="A2071" i="1"/>
  <c r="B2071" i="1"/>
  <c r="A2072" i="1"/>
  <c r="B2072" i="1"/>
  <c r="A2073" i="1"/>
  <c r="B2073" i="1"/>
  <c r="A2074" i="1"/>
  <c r="B2074" i="1"/>
  <c r="A2075" i="1"/>
  <c r="B2075" i="1"/>
  <c r="A2076" i="1"/>
  <c r="B2076" i="1"/>
  <c r="A2077" i="1"/>
  <c r="B2077" i="1"/>
  <c r="A2078" i="1"/>
  <c r="B2078" i="1"/>
  <c r="A2079" i="1"/>
  <c r="B2079" i="1"/>
  <c r="A2080" i="1"/>
  <c r="B2080" i="1"/>
  <c r="A2081" i="1"/>
  <c r="B2081" i="1"/>
  <c r="A2082" i="1"/>
  <c r="B2082" i="1"/>
  <c r="A2083" i="1"/>
  <c r="B2083" i="1"/>
  <c r="A2084" i="1"/>
  <c r="B2084" i="1"/>
  <c r="A2085" i="1"/>
  <c r="B2085" i="1"/>
  <c r="A2086" i="1"/>
  <c r="B2086" i="1"/>
  <c r="A2087" i="1"/>
  <c r="B2087" i="1"/>
  <c r="A2088" i="1"/>
  <c r="B2088" i="1"/>
  <c r="A2089" i="1"/>
  <c r="B2089" i="1"/>
  <c r="A2090" i="1"/>
  <c r="B2090" i="1"/>
  <c r="A2091" i="1"/>
  <c r="B2091" i="1"/>
  <c r="A2092" i="1"/>
  <c r="B2092" i="1"/>
  <c r="A2093" i="1"/>
  <c r="B2093" i="1"/>
  <c r="A2094" i="1"/>
  <c r="B2094" i="1"/>
  <c r="A2095" i="1"/>
  <c r="B2095" i="1"/>
  <c r="A2096" i="1"/>
  <c r="B2096" i="1"/>
  <c r="A2097" i="1"/>
  <c r="B2097" i="1"/>
  <c r="A2098" i="1"/>
  <c r="B2098" i="1"/>
  <c r="A2099" i="1"/>
  <c r="B2099" i="1"/>
  <c r="A2100" i="1"/>
  <c r="B2100" i="1"/>
  <c r="A2101" i="1"/>
  <c r="B2101" i="1"/>
  <c r="A2102" i="1"/>
  <c r="B2102" i="1"/>
  <c r="A2103" i="1"/>
  <c r="B2103" i="1"/>
  <c r="A2104" i="1"/>
  <c r="B2104" i="1"/>
  <c r="A2105" i="1"/>
  <c r="B2105" i="1"/>
  <c r="A2106" i="1"/>
  <c r="B2106" i="1"/>
  <c r="A2107" i="1"/>
  <c r="B2107" i="1"/>
  <c r="A2108" i="1"/>
  <c r="B2108" i="1"/>
  <c r="A2109" i="1"/>
  <c r="B2109" i="1"/>
  <c r="A2110" i="1"/>
  <c r="B2110" i="1"/>
  <c r="A2111" i="1"/>
  <c r="B2111" i="1"/>
  <c r="A2112" i="1"/>
  <c r="B2112" i="1"/>
  <c r="A2113" i="1"/>
  <c r="B2113" i="1"/>
  <c r="A2114" i="1"/>
  <c r="B2114" i="1"/>
  <c r="A2115" i="1"/>
  <c r="B2115" i="1"/>
  <c r="A2116" i="1"/>
  <c r="B2116" i="1"/>
  <c r="A2117" i="1"/>
  <c r="B2117" i="1"/>
  <c r="A2118" i="1"/>
  <c r="B2118" i="1"/>
  <c r="A2119" i="1"/>
  <c r="B2119" i="1"/>
  <c r="A2120" i="1"/>
  <c r="B2120" i="1"/>
  <c r="A2121" i="1"/>
  <c r="B2121" i="1"/>
  <c r="A2122" i="1"/>
  <c r="B2122" i="1"/>
  <c r="A2123" i="1"/>
  <c r="B2123" i="1"/>
  <c r="A2124" i="1"/>
  <c r="B2124" i="1"/>
  <c r="A2125" i="1"/>
  <c r="B2125" i="1"/>
  <c r="A2126" i="1"/>
  <c r="B2126" i="1"/>
  <c r="A2127" i="1"/>
  <c r="B2127" i="1"/>
  <c r="A2128" i="1"/>
  <c r="B2128" i="1"/>
  <c r="A2129" i="1"/>
  <c r="B2129" i="1"/>
  <c r="A2130" i="1"/>
  <c r="B2130" i="1"/>
  <c r="A2131" i="1"/>
  <c r="B2131" i="1"/>
  <c r="A2132" i="1"/>
  <c r="B2132" i="1"/>
  <c r="A2133" i="1"/>
  <c r="B2133" i="1"/>
  <c r="A2134" i="1"/>
  <c r="B2134" i="1"/>
  <c r="A2135" i="1"/>
  <c r="B2135" i="1"/>
  <c r="A2136" i="1"/>
  <c r="B2136" i="1"/>
  <c r="A2137" i="1"/>
  <c r="B2137" i="1"/>
  <c r="A2138" i="1"/>
  <c r="B2138" i="1"/>
  <c r="A2139" i="1"/>
  <c r="B2139" i="1"/>
  <c r="A2140" i="1"/>
  <c r="B2140" i="1"/>
  <c r="A2141" i="1"/>
  <c r="B2141" i="1"/>
  <c r="A2142" i="1"/>
  <c r="B2142" i="1"/>
  <c r="A2143" i="1"/>
  <c r="B2143" i="1"/>
  <c r="A2144" i="1"/>
  <c r="B2144" i="1"/>
  <c r="A2145" i="1"/>
  <c r="B2145" i="1"/>
  <c r="A2146" i="1"/>
  <c r="B2146" i="1"/>
  <c r="A2147" i="1"/>
  <c r="B2147" i="1"/>
  <c r="A2148" i="1"/>
  <c r="B2148" i="1"/>
  <c r="A2149" i="1"/>
  <c r="B2149" i="1"/>
  <c r="A2150" i="1"/>
  <c r="B2150" i="1"/>
  <c r="A2151" i="1"/>
  <c r="B2151" i="1"/>
  <c r="A2152" i="1"/>
  <c r="B2152" i="1"/>
  <c r="A2153" i="1"/>
  <c r="B2153" i="1"/>
  <c r="A2154" i="1"/>
  <c r="B2154" i="1"/>
  <c r="A2155" i="1"/>
  <c r="B2155" i="1"/>
  <c r="A2156" i="1"/>
  <c r="B2156" i="1"/>
  <c r="A2157" i="1"/>
  <c r="B2157" i="1"/>
  <c r="A2158" i="1"/>
  <c r="B2158" i="1"/>
  <c r="A2159" i="1"/>
  <c r="B2159" i="1"/>
  <c r="A2160" i="1"/>
  <c r="B2160" i="1"/>
  <c r="A2161" i="1"/>
  <c r="B2161" i="1"/>
  <c r="A2162" i="1"/>
  <c r="B2162" i="1"/>
  <c r="A2163" i="1"/>
  <c r="B2163" i="1"/>
  <c r="A2164" i="1"/>
  <c r="B2164" i="1"/>
  <c r="A2165" i="1"/>
  <c r="B2165" i="1"/>
  <c r="A2166" i="1"/>
  <c r="B2166" i="1"/>
  <c r="A2167" i="1"/>
  <c r="B2167" i="1"/>
  <c r="A2168" i="1"/>
  <c r="B2168" i="1"/>
  <c r="A2169" i="1"/>
  <c r="B2169" i="1"/>
  <c r="A2170" i="1"/>
  <c r="B2170" i="1"/>
  <c r="A2171" i="1"/>
  <c r="B2171" i="1"/>
  <c r="A2172" i="1"/>
  <c r="B2172" i="1"/>
  <c r="A2173" i="1"/>
  <c r="B2173" i="1"/>
  <c r="A2174" i="1"/>
  <c r="B2174" i="1"/>
  <c r="A2175" i="1"/>
  <c r="B2175" i="1"/>
  <c r="A2176" i="1"/>
  <c r="B2176" i="1"/>
  <c r="A2177" i="1"/>
  <c r="B2177" i="1"/>
  <c r="A2178" i="1"/>
  <c r="B2178" i="1"/>
  <c r="A2179" i="1"/>
  <c r="B2179" i="1"/>
  <c r="A2180" i="1"/>
  <c r="B2180" i="1"/>
  <c r="A2181" i="1"/>
  <c r="B2181" i="1"/>
  <c r="A2182" i="1"/>
  <c r="B2182" i="1"/>
  <c r="A2183" i="1"/>
  <c r="B2183" i="1"/>
  <c r="A2184" i="1"/>
  <c r="B2184" i="1"/>
  <c r="A2185" i="1"/>
  <c r="B2185" i="1"/>
  <c r="A2186" i="1"/>
  <c r="B2186" i="1"/>
  <c r="A2187" i="1"/>
  <c r="B2187" i="1"/>
  <c r="A2188" i="1"/>
  <c r="B2188" i="1"/>
  <c r="A2189" i="1"/>
  <c r="B2189" i="1"/>
  <c r="A2190" i="1"/>
  <c r="B2190" i="1"/>
  <c r="A2191" i="1"/>
  <c r="B2191" i="1"/>
  <c r="A2192" i="1"/>
  <c r="B2192" i="1"/>
  <c r="A2193" i="1"/>
  <c r="B2193" i="1"/>
  <c r="A2194" i="1"/>
  <c r="B2194" i="1"/>
  <c r="A2195" i="1"/>
  <c r="B2195" i="1"/>
  <c r="A2196" i="1"/>
  <c r="B2196" i="1"/>
  <c r="A2197" i="1"/>
  <c r="B2197" i="1"/>
  <c r="A2198" i="1"/>
  <c r="B2198" i="1"/>
  <c r="A2199" i="1"/>
  <c r="B2199" i="1"/>
  <c r="A2200" i="1"/>
  <c r="B2200" i="1"/>
  <c r="A2201" i="1"/>
  <c r="B2201" i="1"/>
  <c r="A2202" i="1"/>
  <c r="B2202" i="1"/>
  <c r="A2203" i="1"/>
  <c r="B2203" i="1"/>
  <c r="A2204" i="1"/>
  <c r="B2204" i="1"/>
  <c r="A2205" i="1"/>
  <c r="B2205" i="1"/>
  <c r="A2206" i="1"/>
  <c r="B2206" i="1"/>
  <c r="A2207" i="1"/>
  <c r="B2207" i="1"/>
  <c r="A2208" i="1"/>
  <c r="B2208" i="1"/>
  <c r="A2209" i="1"/>
  <c r="B2209" i="1"/>
  <c r="A2210" i="1"/>
  <c r="B2210" i="1"/>
  <c r="A2211" i="1"/>
  <c r="B2211" i="1"/>
  <c r="A2212" i="1"/>
  <c r="B2212" i="1"/>
  <c r="A2213" i="1"/>
  <c r="B2213" i="1"/>
  <c r="A2214" i="1"/>
  <c r="B2214" i="1"/>
  <c r="A2215" i="1"/>
  <c r="B2215" i="1"/>
  <c r="A2216" i="1"/>
  <c r="B2216" i="1"/>
  <c r="A2217" i="1"/>
  <c r="B2217" i="1"/>
  <c r="A2218" i="1"/>
  <c r="B2218" i="1"/>
  <c r="A2219" i="1"/>
  <c r="B2219" i="1"/>
  <c r="A2220" i="1"/>
  <c r="B2220" i="1"/>
  <c r="A2221" i="1"/>
  <c r="B2221" i="1"/>
  <c r="A2222" i="1"/>
  <c r="B2222" i="1"/>
  <c r="A2223" i="1"/>
  <c r="B2223" i="1"/>
  <c r="A2224" i="1"/>
  <c r="B2224" i="1"/>
  <c r="A2225" i="1"/>
  <c r="B2225" i="1"/>
  <c r="A2226" i="1"/>
  <c r="B2226" i="1"/>
  <c r="A2227" i="1"/>
  <c r="B2227" i="1"/>
  <c r="A2228" i="1"/>
  <c r="B2228" i="1"/>
  <c r="A2229" i="1"/>
  <c r="B2229" i="1"/>
  <c r="A2230" i="1"/>
  <c r="B2230" i="1"/>
  <c r="A2231" i="1"/>
  <c r="B2231" i="1"/>
  <c r="A2232" i="1"/>
  <c r="B2232" i="1"/>
  <c r="A2233" i="1"/>
  <c r="B2233" i="1"/>
  <c r="A2234" i="1"/>
  <c r="B2234" i="1"/>
  <c r="A2235" i="1"/>
  <c r="B2235" i="1"/>
  <c r="A2236" i="1"/>
  <c r="B2236" i="1"/>
  <c r="A2237" i="1"/>
  <c r="B2237" i="1"/>
  <c r="A2238" i="1"/>
  <c r="B2238" i="1"/>
  <c r="A2239" i="1"/>
  <c r="B2239" i="1"/>
  <c r="A2240" i="1"/>
  <c r="B2240" i="1"/>
  <c r="A2241" i="1"/>
  <c r="B2241" i="1"/>
  <c r="A2242" i="1"/>
  <c r="B2242" i="1"/>
  <c r="A2243" i="1"/>
  <c r="B2243" i="1"/>
  <c r="A2244" i="1"/>
  <c r="B2244" i="1"/>
  <c r="A2245" i="1"/>
  <c r="B2245" i="1"/>
  <c r="A2246" i="1"/>
  <c r="B2246" i="1"/>
  <c r="A2247" i="1"/>
  <c r="B2247" i="1"/>
  <c r="A2248" i="1"/>
  <c r="B2248" i="1"/>
  <c r="A2249" i="1"/>
  <c r="B2249" i="1"/>
  <c r="A2250" i="1"/>
  <c r="B2250" i="1"/>
  <c r="A2251" i="1"/>
  <c r="B2251" i="1"/>
  <c r="A2252" i="1"/>
  <c r="B2252" i="1"/>
  <c r="A2253" i="1"/>
  <c r="B2253" i="1"/>
  <c r="A2254" i="1"/>
  <c r="B2254" i="1"/>
  <c r="A2255" i="1"/>
  <c r="B2255" i="1"/>
  <c r="A2256" i="1"/>
  <c r="B2256" i="1"/>
  <c r="A2257" i="1"/>
  <c r="B2257" i="1"/>
  <c r="A2258" i="1"/>
  <c r="B2258" i="1"/>
  <c r="A2259" i="1"/>
  <c r="B2259" i="1"/>
  <c r="A2260" i="1"/>
  <c r="B2260" i="1"/>
  <c r="A2261" i="1"/>
  <c r="B2261" i="1"/>
  <c r="A2262" i="1"/>
  <c r="B2262" i="1"/>
  <c r="A2263" i="1"/>
  <c r="B2263" i="1"/>
  <c r="A2264" i="1"/>
  <c r="B2264" i="1"/>
  <c r="A2265" i="1"/>
  <c r="B2265" i="1"/>
  <c r="A2266" i="1"/>
  <c r="B2266" i="1"/>
  <c r="A2267" i="1"/>
  <c r="B2267" i="1"/>
  <c r="A2268" i="1"/>
  <c r="B2268" i="1"/>
  <c r="A2269" i="1"/>
  <c r="B2269" i="1"/>
  <c r="A2270" i="1"/>
  <c r="B2270" i="1"/>
  <c r="A2271" i="1"/>
  <c r="B2271" i="1"/>
  <c r="A2272" i="1"/>
  <c r="B2272" i="1"/>
  <c r="A2273" i="1"/>
  <c r="B2273" i="1"/>
  <c r="A2274" i="1"/>
  <c r="B2274" i="1"/>
  <c r="A2275" i="1"/>
  <c r="B2275" i="1"/>
  <c r="A2276" i="1"/>
  <c r="B2276" i="1"/>
  <c r="A2277" i="1"/>
  <c r="B2277" i="1"/>
  <c r="A2278" i="1"/>
  <c r="B2278" i="1"/>
  <c r="A2279" i="1"/>
  <c r="B2279" i="1"/>
  <c r="A2280" i="1"/>
  <c r="B2280" i="1"/>
  <c r="A2281" i="1"/>
  <c r="B2281" i="1"/>
  <c r="A2282" i="1"/>
  <c r="B2282" i="1"/>
  <c r="A2283" i="1"/>
  <c r="B2283" i="1"/>
  <c r="A2284" i="1"/>
  <c r="B2284" i="1"/>
  <c r="A2285" i="1"/>
  <c r="B2285" i="1"/>
  <c r="A2286" i="1"/>
  <c r="B2286" i="1"/>
  <c r="A2287" i="1"/>
  <c r="B2287" i="1"/>
  <c r="A2288" i="1"/>
  <c r="B2288" i="1"/>
  <c r="A2289" i="1"/>
  <c r="B2289" i="1"/>
  <c r="A2290" i="1"/>
  <c r="B2290" i="1"/>
  <c r="A2291" i="1"/>
  <c r="B2291" i="1"/>
  <c r="A2292" i="1"/>
  <c r="B2292" i="1"/>
  <c r="A2293" i="1"/>
  <c r="B2293" i="1"/>
  <c r="A2294" i="1"/>
  <c r="B2294" i="1"/>
  <c r="A2295" i="1"/>
  <c r="B2295" i="1"/>
  <c r="A2296" i="1"/>
  <c r="B2296" i="1"/>
  <c r="A2297" i="1"/>
  <c r="B2297" i="1"/>
  <c r="A2298" i="1"/>
  <c r="B2298" i="1"/>
  <c r="A2299" i="1"/>
  <c r="B2299" i="1"/>
  <c r="A2300" i="1"/>
  <c r="B2300" i="1"/>
  <c r="A2301" i="1"/>
  <c r="B2301" i="1"/>
  <c r="A2302" i="1"/>
  <c r="B2302" i="1"/>
  <c r="A2303" i="1"/>
  <c r="B2303" i="1"/>
  <c r="A2304" i="1"/>
  <c r="B2304" i="1"/>
  <c r="A2305" i="1"/>
  <c r="B2305" i="1"/>
  <c r="A2306" i="1"/>
  <c r="B2306" i="1"/>
  <c r="A2307" i="1"/>
  <c r="B2307" i="1"/>
  <c r="A2308" i="1"/>
  <c r="B2308" i="1"/>
  <c r="A2309" i="1"/>
  <c r="B2309" i="1"/>
  <c r="A2310" i="1"/>
  <c r="B2310" i="1"/>
  <c r="A2311" i="1"/>
  <c r="B2311" i="1"/>
  <c r="A2312" i="1"/>
  <c r="B2312" i="1"/>
  <c r="A2313" i="1"/>
  <c r="B2313" i="1"/>
  <c r="A2314" i="1"/>
  <c r="B2314" i="1"/>
  <c r="A2315" i="1"/>
  <c r="B2315" i="1"/>
  <c r="A2316" i="1"/>
  <c r="B2316" i="1"/>
  <c r="A2317" i="1"/>
  <c r="B2317" i="1"/>
  <c r="A2318" i="1"/>
  <c r="B2318" i="1"/>
  <c r="A2319" i="1"/>
  <c r="B2319" i="1"/>
  <c r="A2320" i="1"/>
  <c r="B2320" i="1"/>
  <c r="A2321" i="1"/>
  <c r="B2321" i="1"/>
  <c r="A2322" i="1"/>
  <c r="B2322" i="1"/>
  <c r="A2323" i="1"/>
  <c r="B2323" i="1"/>
  <c r="A2324" i="1"/>
  <c r="B2324" i="1"/>
  <c r="A2325" i="1"/>
  <c r="B2325" i="1"/>
  <c r="A2326" i="1"/>
  <c r="B2326" i="1"/>
  <c r="A2327" i="1"/>
  <c r="B2327" i="1"/>
  <c r="A2328" i="1"/>
  <c r="B2328" i="1"/>
  <c r="A2329" i="1"/>
  <c r="B2329" i="1"/>
  <c r="A2330" i="1"/>
  <c r="B2330" i="1"/>
  <c r="A2331" i="1"/>
  <c r="B2331" i="1"/>
  <c r="A2332" i="1"/>
  <c r="B2332" i="1"/>
  <c r="A2333" i="1"/>
  <c r="B2333" i="1"/>
  <c r="A2334" i="1"/>
  <c r="B2334" i="1"/>
  <c r="A2335" i="1"/>
  <c r="B2335" i="1"/>
  <c r="A2336" i="1"/>
  <c r="B2336" i="1"/>
  <c r="A2337" i="1"/>
  <c r="B2337" i="1"/>
  <c r="A2338" i="1"/>
  <c r="B2338" i="1"/>
  <c r="A2339" i="1"/>
  <c r="B2339" i="1"/>
  <c r="A2340" i="1"/>
  <c r="B2340" i="1"/>
  <c r="A2341" i="1"/>
  <c r="B2341" i="1"/>
  <c r="A2342" i="1"/>
  <c r="B2342" i="1"/>
  <c r="A2343" i="1"/>
  <c r="B2343" i="1"/>
  <c r="A2344" i="1"/>
  <c r="B2344" i="1"/>
  <c r="A2345" i="1"/>
  <c r="B2345" i="1"/>
  <c r="A2346" i="1"/>
  <c r="B2346" i="1"/>
  <c r="A2347" i="1"/>
  <c r="B2347" i="1"/>
  <c r="A2348" i="1"/>
  <c r="B2348" i="1"/>
  <c r="A2349" i="1"/>
  <c r="B2349" i="1"/>
  <c r="A2350" i="1"/>
  <c r="B2350" i="1"/>
  <c r="A2351" i="1"/>
  <c r="B2351" i="1"/>
  <c r="A2352" i="1"/>
  <c r="B2352" i="1"/>
  <c r="A2353" i="1"/>
  <c r="B2353" i="1"/>
  <c r="A2354" i="1"/>
  <c r="B2354" i="1"/>
  <c r="A2355" i="1"/>
  <c r="B2355" i="1"/>
  <c r="A2356" i="1"/>
  <c r="B2356" i="1"/>
  <c r="A2357" i="1"/>
  <c r="B2357" i="1"/>
  <c r="A2358" i="1"/>
  <c r="B2358" i="1"/>
  <c r="A2359" i="1"/>
  <c r="B2359" i="1"/>
  <c r="A2360" i="1"/>
  <c r="B2360" i="1"/>
  <c r="A2361" i="1"/>
  <c r="B2361" i="1"/>
  <c r="A2362" i="1"/>
  <c r="B2362" i="1"/>
  <c r="A2363" i="1"/>
  <c r="B2363" i="1"/>
  <c r="A2364" i="1"/>
  <c r="B2364" i="1"/>
  <c r="A2365" i="1"/>
  <c r="B2365" i="1"/>
  <c r="A2366" i="1"/>
  <c r="B2366" i="1"/>
  <c r="A2367" i="1"/>
  <c r="B2367" i="1"/>
  <c r="A2368" i="1"/>
  <c r="B2368" i="1"/>
  <c r="A2369" i="1"/>
  <c r="B2369" i="1"/>
  <c r="A2370" i="1"/>
  <c r="B2370" i="1"/>
  <c r="A2371" i="1"/>
  <c r="B2371" i="1"/>
  <c r="A2372" i="1"/>
  <c r="B2372" i="1"/>
  <c r="A2373" i="1"/>
  <c r="B2373" i="1"/>
  <c r="A2374" i="1"/>
  <c r="B2374" i="1"/>
  <c r="A2375" i="1"/>
  <c r="B2375" i="1"/>
  <c r="A2376" i="1"/>
  <c r="B2376" i="1"/>
  <c r="A2377" i="1"/>
  <c r="B2377" i="1"/>
  <c r="A2378" i="1"/>
  <c r="B2378" i="1"/>
  <c r="A2379" i="1"/>
  <c r="B2379" i="1"/>
  <c r="A2380" i="1"/>
  <c r="B2380" i="1"/>
  <c r="A2381" i="1"/>
  <c r="B2381" i="1"/>
  <c r="A2382" i="1"/>
  <c r="B2382" i="1"/>
  <c r="A2383" i="1"/>
  <c r="B2383" i="1"/>
  <c r="A2384" i="1"/>
  <c r="B2384" i="1"/>
  <c r="A2385" i="1"/>
  <c r="B2385" i="1"/>
  <c r="A2386" i="1"/>
  <c r="B2386" i="1"/>
  <c r="A2387" i="1"/>
  <c r="B2387" i="1"/>
  <c r="A2388" i="1"/>
  <c r="B2388" i="1"/>
  <c r="A2389" i="1"/>
  <c r="B2389" i="1"/>
  <c r="A2390" i="1"/>
  <c r="B2390" i="1"/>
  <c r="A2391" i="1"/>
  <c r="B2391" i="1"/>
  <c r="A2392" i="1"/>
  <c r="B2392" i="1"/>
  <c r="A2393" i="1"/>
  <c r="B2393" i="1"/>
  <c r="A2394" i="1"/>
  <c r="B2394" i="1"/>
  <c r="A2395" i="1"/>
  <c r="B2395" i="1"/>
  <c r="A2396" i="1"/>
  <c r="B2396" i="1"/>
  <c r="A2397" i="1"/>
  <c r="B2397" i="1"/>
  <c r="A2398" i="1"/>
  <c r="B2398" i="1"/>
  <c r="A2399" i="1"/>
  <c r="B2399" i="1"/>
  <c r="A2400" i="1"/>
  <c r="B2400" i="1"/>
  <c r="A2401" i="1"/>
  <c r="B2401" i="1"/>
  <c r="A2402" i="1"/>
  <c r="B2402" i="1"/>
  <c r="A2403" i="1"/>
  <c r="B2403" i="1"/>
  <c r="A2404" i="1"/>
  <c r="B2404" i="1"/>
  <c r="A2405" i="1"/>
  <c r="B2405" i="1"/>
  <c r="A2406" i="1"/>
  <c r="B2406" i="1"/>
  <c r="A2407" i="1"/>
  <c r="B2407" i="1"/>
  <c r="A2408" i="1"/>
  <c r="B2408" i="1"/>
  <c r="A2409" i="1"/>
  <c r="B2409" i="1"/>
  <c r="A2410" i="1"/>
  <c r="B2410" i="1"/>
  <c r="A2411" i="1"/>
  <c r="B2411" i="1"/>
  <c r="A2412" i="1"/>
  <c r="B2412" i="1"/>
  <c r="A2413" i="1"/>
  <c r="B2413" i="1"/>
  <c r="A2414" i="1"/>
  <c r="B2414" i="1"/>
  <c r="A2415" i="1"/>
  <c r="B2415" i="1"/>
  <c r="A2416" i="1"/>
  <c r="B2416" i="1"/>
  <c r="A2417" i="1"/>
  <c r="B2417" i="1"/>
  <c r="A2418" i="1"/>
  <c r="B2418" i="1"/>
  <c r="A2419" i="1"/>
  <c r="B2419" i="1"/>
  <c r="A2420" i="1"/>
  <c r="B2420" i="1"/>
  <c r="A2421" i="1"/>
  <c r="B2421" i="1"/>
  <c r="A2422" i="1"/>
  <c r="B2422" i="1"/>
  <c r="A2423" i="1"/>
  <c r="B2423" i="1"/>
  <c r="A2424" i="1"/>
  <c r="B2424" i="1"/>
  <c r="A2425" i="1"/>
  <c r="B2425" i="1"/>
  <c r="A2426" i="1"/>
  <c r="B2426" i="1"/>
  <c r="A2427" i="1"/>
  <c r="B2427" i="1"/>
  <c r="A2428" i="1"/>
  <c r="B2428" i="1"/>
  <c r="A2429" i="1"/>
  <c r="B2429" i="1"/>
  <c r="A2430" i="1"/>
  <c r="B2430" i="1"/>
  <c r="A2431" i="1"/>
  <c r="B2431" i="1"/>
  <c r="A2432" i="1"/>
  <c r="B2432" i="1"/>
  <c r="A2433" i="1"/>
  <c r="B2433" i="1"/>
  <c r="A2434" i="1"/>
  <c r="B2434" i="1"/>
  <c r="A2435" i="1"/>
  <c r="B2435" i="1"/>
  <c r="A2436" i="1"/>
  <c r="B2436" i="1"/>
  <c r="A2437" i="1"/>
  <c r="B2437" i="1"/>
  <c r="A2438" i="1"/>
  <c r="B2438" i="1"/>
  <c r="A2439" i="1"/>
  <c r="B2439" i="1"/>
  <c r="A2440" i="1"/>
  <c r="B2440" i="1"/>
  <c r="A2441" i="1"/>
  <c r="B2441" i="1"/>
  <c r="A2442" i="1"/>
  <c r="B2442" i="1"/>
  <c r="A2443" i="1"/>
  <c r="B2443" i="1"/>
  <c r="A2444" i="1"/>
  <c r="B2444" i="1"/>
  <c r="A2445" i="1"/>
  <c r="B2445" i="1"/>
  <c r="A2446" i="1"/>
  <c r="B2446" i="1"/>
  <c r="A2447" i="1"/>
  <c r="B2447" i="1"/>
  <c r="A2448" i="1"/>
  <c r="B2448" i="1"/>
  <c r="A2449" i="1"/>
  <c r="B2449" i="1"/>
  <c r="A2450" i="1"/>
  <c r="B2450" i="1"/>
  <c r="A2451" i="1"/>
  <c r="B2451" i="1"/>
  <c r="A2452" i="1"/>
  <c r="B2452" i="1"/>
  <c r="A2453" i="1"/>
  <c r="B2453" i="1"/>
  <c r="A2454" i="1"/>
  <c r="B2454" i="1"/>
  <c r="A2455" i="1"/>
  <c r="B2455" i="1"/>
  <c r="A2456" i="1"/>
  <c r="B2456" i="1"/>
  <c r="A2457" i="1"/>
  <c r="B2457" i="1"/>
  <c r="A2458" i="1"/>
  <c r="B2458" i="1"/>
  <c r="A2459" i="1"/>
  <c r="B2459" i="1"/>
  <c r="A2460" i="1"/>
  <c r="B2460" i="1"/>
  <c r="A2461" i="1"/>
  <c r="B2461" i="1"/>
  <c r="A2462" i="1"/>
  <c r="B2462" i="1"/>
  <c r="A2463" i="1"/>
  <c r="B2463" i="1"/>
  <c r="A2464" i="1"/>
  <c r="B2464" i="1"/>
  <c r="A2465" i="1"/>
  <c r="B2465" i="1"/>
  <c r="A2466" i="1"/>
  <c r="B2466" i="1"/>
  <c r="A2467" i="1"/>
  <c r="B2467" i="1"/>
  <c r="A2468" i="1"/>
  <c r="B2468" i="1"/>
  <c r="A2469" i="1"/>
  <c r="B2469" i="1"/>
  <c r="A2470" i="1"/>
  <c r="B2470" i="1"/>
  <c r="A2471" i="1"/>
  <c r="B2471" i="1"/>
  <c r="A2472" i="1"/>
  <c r="B2472" i="1"/>
  <c r="A2473" i="1"/>
  <c r="B2473" i="1"/>
  <c r="A2474" i="1"/>
  <c r="B2474" i="1"/>
  <c r="A2475" i="1"/>
  <c r="B2475" i="1"/>
  <c r="A2476" i="1"/>
  <c r="B2476" i="1"/>
  <c r="A2477" i="1"/>
  <c r="B2477" i="1"/>
  <c r="A2478" i="1"/>
  <c r="B2478" i="1"/>
  <c r="A2479" i="1"/>
  <c r="B2479" i="1"/>
  <c r="A2480" i="1"/>
  <c r="B2480" i="1"/>
  <c r="A2481" i="1"/>
  <c r="B2481" i="1"/>
  <c r="A2482" i="1"/>
  <c r="B2482" i="1"/>
  <c r="A2483" i="1"/>
  <c r="B2483" i="1"/>
  <c r="A2484" i="1"/>
  <c r="B2484" i="1"/>
  <c r="A2485" i="1"/>
  <c r="B2485" i="1"/>
  <c r="A2486" i="1"/>
  <c r="B2486" i="1"/>
  <c r="A2487" i="1"/>
  <c r="B2487" i="1"/>
  <c r="A2488" i="1"/>
  <c r="B2488" i="1"/>
  <c r="A2489" i="1"/>
  <c r="B2489" i="1"/>
  <c r="A2490" i="1"/>
  <c r="B2490" i="1"/>
  <c r="A2491" i="1"/>
  <c r="B2491" i="1"/>
  <c r="A2492" i="1"/>
  <c r="B2492" i="1"/>
  <c r="A2493" i="1"/>
  <c r="B2493" i="1"/>
  <c r="A2494" i="1"/>
  <c r="B2494" i="1"/>
  <c r="A2495" i="1"/>
  <c r="B2495" i="1"/>
  <c r="A2496" i="1"/>
  <c r="B2496" i="1"/>
  <c r="A2497" i="1"/>
  <c r="B2497" i="1"/>
  <c r="A2498" i="1"/>
  <c r="B2498" i="1"/>
  <c r="A2499" i="1"/>
  <c r="B2499" i="1"/>
  <c r="A2500" i="1"/>
  <c r="B2500" i="1"/>
  <c r="A2501" i="1"/>
  <c r="B2501" i="1"/>
  <c r="A2502" i="1"/>
  <c r="B2502" i="1"/>
  <c r="A2503" i="1"/>
  <c r="B2503" i="1"/>
  <c r="A2504" i="1"/>
  <c r="B2504" i="1"/>
  <c r="A2505" i="1"/>
  <c r="B2505" i="1"/>
  <c r="A2506" i="1"/>
  <c r="B2506" i="1"/>
  <c r="A2507" i="1"/>
  <c r="B2507" i="1"/>
  <c r="A2508" i="1"/>
  <c r="B2508" i="1"/>
  <c r="A2509" i="1"/>
  <c r="B2509" i="1"/>
  <c r="A2510" i="1"/>
  <c r="B2510" i="1"/>
  <c r="A2511" i="1"/>
  <c r="B2511" i="1"/>
  <c r="A2512" i="1"/>
  <c r="B2512" i="1"/>
  <c r="A2513" i="1"/>
  <c r="B2513" i="1"/>
  <c r="A2514" i="1"/>
  <c r="B2514" i="1"/>
  <c r="A2515" i="1"/>
  <c r="B2515" i="1"/>
  <c r="A2516" i="1"/>
  <c r="B2516" i="1"/>
  <c r="A2517" i="1"/>
  <c r="B2517" i="1"/>
  <c r="A2518" i="1"/>
  <c r="B2518" i="1"/>
  <c r="A2519" i="1"/>
  <c r="B2519" i="1"/>
  <c r="A2520" i="1"/>
  <c r="B2520" i="1"/>
  <c r="A2521" i="1"/>
  <c r="B2521" i="1"/>
  <c r="A2522" i="1"/>
  <c r="B2522" i="1"/>
  <c r="A2523" i="1"/>
  <c r="B2523" i="1"/>
  <c r="A2524" i="1"/>
  <c r="B2524" i="1"/>
  <c r="A2525" i="1"/>
  <c r="B2525" i="1"/>
  <c r="A2526" i="1"/>
  <c r="B2526" i="1"/>
  <c r="A2527" i="1"/>
  <c r="B2527" i="1"/>
  <c r="A2528" i="1"/>
  <c r="B2528" i="1"/>
  <c r="A2529" i="1"/>
  <c r="B2529" i="1"/>
  <c r="A2530" i="1"/>
  <c r="B2530" i="1"/>
  <c r="A2531" i="1"/>
  <c r="B2531" i="1"/>
  <c r="A2532" i="1"/>
  <c r="B2532" i="1"/>
  <c r="A2533" i="1"/>
  <c r="B2533" i="1"/>
  <c r="A2534" i="1"/>
  <c r="B2534" i="1"/>
  <c r="A2535" i="1"/>
  <c r="B2535" i="1"/>
  <c r="A2536" i="1"/>
  <c r="B2536" i="1"/>
  <c r="A2537" i="1"/>
  <c r="B2537" i="1"/>
  <c r="A2538" i="1"/>
  <c r="B2538" i="1"/>
  <c r="A2539" i="1"/>
  <c r="B2539" i="1"/>
  <c r="A2540" i="1"/>
  <c r="B2540" i="1"/>
  <c r="A2541" i="1"/>
  <c r="B2541" i="1"/>
  <c r="A2542" i="1"/>
  <c r="B2542" i="1"/>
  <c r="A2543" i="1"/>
  <c r="B2543" i="1"/>
  <c r="A2544" i="1"/>
  <c r="B2544" i="1"/>
  <c r="A2545" i="1"/>
  <c r="B2545" i="1"/>
  <c r="A2546" i="1"/>
  <c r="B2546" i="1"/>
  <c r="A2547" i="1"/>
  <c r="B2547" i="1"/>
  <c r="A2548" i="1"/>
  <c r="B2548" i="1"/>
  <c r="A2549" i="1"/>
  <c r="B2549" i="1"/>
  <c r="A2550" i="1"/>
  <c r="B2550" i="1"/>
  <c r="A2551" i="1"/>
  <c r="B2551" i="1"/>
  <c r="A2552" i="1"/>
  <c r="B2552" i="1"/>
  <c r="A2553" i="1"/>
  <c r="B2553" i="1"/>
  <c r="A2554" i="1"/>
  <c r="B2554" i="1"/>
  <c r="A2555" i="1"/>
  <c r="B2555" i="1"/>
  <c r="A2556" i="1"/>
  <c r="B2556" i="1"/>
  <c r="A2557" i="1"/>
  <c r="B2557" i="1"/>
  <c r="A2558" i="1"/>
  <c r="B2558" i="1"/>
  <c r="A2559" i="1"/>
  <c r="B2559" i="1"/>
  <c r="A2560" i="1"/>
  <c r="B2560" i="1"/>
  <c r="A2561" i="1"/>
  <c r="B2561" i="1"/>
  <c r="A2562" i="1"/>
  <c r="B2562" i="1"/>
  <c r="A2563" i="1"/>
  <c r="B2563" i="1"/>
  <c r="A2564" i="1"/>
  <c r="B2564" i="1"/>
  <c r="A2565" i="1"/>
  <c r="B2565" i="1"/>
  <c r="A2566" i="1"/>
  <c r="B2566" i="1"/>
  <c r="A2567" i="1"/>
  <c r="B2567" i="1"/>
  <c r="A2568" i="1"/>
  <c r="B2568" i="1"/>
  <c r="A2569" i="1"/>
  <c r="B2569" i="1"/>
  <c r="A2570" i="1"/>
  <c r="B2570" i="1"/>
  <c r="A2571" i="1"/>
  <c r="B2571" i="1"/>
  <c r="A2572" i="1"/>
  <c r="B2572" i="1"/>
  <c r="A2573" i="1"/>
  <c r="B2573" i="1"/>
  <c r="A2574" i="1"/>
  <c r="B2574" i="1"/>
  <c r="A2575" i="1"/>
  <c r="B2575" i="1"/>
  <c r="A2576" i="1"/>
  <c r="B2576" i="1"/>
  <c r="A2577" i="1"/>
  <c r="B2577" i="1"/>
  <c r="A2578" i="1"/>
  <c r="B2578" i="1"/>
  <c r="A2579" i="1"/>
  <c r="B2579" i="1"/>
  <c r="A2580" i="1"/>
  <c r="B2580" i="1"/>
  <c r="A2581" i="1"/>
  <c r="B2581" i="1"/>
  <c r="A2582" i="1"/>
  <c r="B2582" i="1"/>
  <c r="A2583" i="1"/>
  <c r="B2583" i="1"/>
  <c r="A2584" i="1"/>
  <c r="B2584" i="1"/>
  <c r="A2585" i="1"/>
  <c r="B2585" i="1"/>
  <c r="A2586" i="1"/>
  <c r="B2586" i="1"/>
  <c r="A2587" i="1"/>
  <c r="B2587" i="1"/>
  <c r="A2588" i="1"/>
  <c r="B2588" i="1"/>
  <c r="A2589" i="1"/>
  <c r="B2589" i="1"/>
  <c r="A2590" i="1"/>
  <c r="B2590" i="1"/>
  <c r="A2591" i="1"/>
  <c r="B2591" i="1"/>
  <c r="A2592" i="1"/>
  <c r="B2592" i="1"/>
  <c r="A2593" i="1"/>
  <c r="B2593" i="1"/>
  <c r="A2594" i="1"/>
  <c r="B2594" i="1"/>
  <c r="A2595" i="1"/>
  <c r="B2595" i="1"/>
  <c r="A2596" i="1"/>
  <c r="B2596" i="1"/>
  <c r="A2597" i="1"/>
  <c r="B2597" i="1"/>
  <c r="A2598" i="1"/>
  <c r="B2598" i="1"/>
  <c r="A2599" i="1"/>
  <c r="B2599" i="1"/>
  <c r="A2600" i="1"/>
  <c r="B2600" i="1"/>
  <c r="A2601" i="1"/>
  <c r="B2601" i="1"/>
  <c r="A2602" i="1"/>
  <c r="B2602" i="1"/>
  <c r="A2603" i="1"/>
  <c r="B2603" i="1"/>
  <c r="A2604" i="1"/>
  <c r="B2604" i="1"/>
  <c r="A2605" i="1"/>
  <c r="B2605" i="1"/>
  <c r="A2606" i="1"/>
  <c r="B2606" i="1"/>
  <c r="A2607" i="1"/>
  <c r="B2607" i="1"/>
  <c r="A2608" i="1"/>
  <c r="B2608" i="1"/>
  <c r="A2609" i="1"/>
  <c r="B2609" i="1"/>
  <c r="A2610" i="1"/>
  <c r="B2610" i="1"/>
  <c r="A2611" i="1"/>
  <c r="B2611" i="1"/>
  <c r="A2612" i="1"/>
  <c r="B2612" i="1"/>
  <c r="A2613" i="1"/>
  <c r="B2613" i="1"/>
  <c r="A2614" i="1"/>
  <c r="B2614" i="1"/>
  <c r="A2615" i="1"/>
  <c r="B2615" i="1"/>
  <c r="A2616" i="1"/>
  <c r="B2616" i="1"/>
  <c r="A2617" i="1"/>
  <c r="B2617" i="1"/>
  <c r="A2618" i="1"/>
  <c r="B2618" i="1"/>
  <c r="A2619" i="1"/>
  <c r="B2619" i="1"/>
  <c r="A2620" i="1"/>
  <c r="B2620" i="1"/>
  <c r="A2621" i="1"/>
  <c r="B2621" i="1"/>
  <c r="A2622" i="1"/>
  <c r="B2622" i="1"/>
  <c r="A2623" i="1"/>
  <c r="B2623" i="1"/>
  <c r="A2624" i="1"/>
  <c r="B2624" i="1"/>
  <c r="A2625" i="1"/>
  <c r="B2625" i="1"/>
  <c r="A2626" i="1"/>
  <c r="B2626" i="1"/>
  <c r="A2627" i="1"/>
  <c r="B2627" i="1"/>
  <c r="A2628" i="1"/>
  <c r="B2628" i="1"/>
  <c r="A2629" i="1"/>
  <c r="B2629" i="1"/>
  <c r="A2630" i="1"/>
  <c r="B2630" i="1"/>
  <c r="A2631" i="1"/>
  <c r="B2631" i="1"/>
  <c r="A2632" i="1"/>
  <c r="B2632" i="1"/>
  <c r="A2633" i="1"/>
  <c r="B2633" i="1"/>
  <c r="A2634" i="1"/>
  <c r="B2634" i="1"/>
  <c r="A2635" i="1"/>
  <c r="B2635" i="1"/>
  <c r="A2636" i="1"/>
  <c r="B2636" i="1"/>
  <c r="A2637" i="1"/>
  <c r="B2637" i="1"/>
  <c r="A2638" i="1"/>
  <c r="B2638" i="1"/>
  <c r="A2639" i="1"/>
  <c r="B2639" i="1"/>
  <c r="A2640" i="1"/>
  <c r="B2640" i="1"/>
  <c r="A2641" i="1"/>
  <c r="B2641" i="1"/>
  <c r="A2642" i="1"/>
  <c r="B2642" i="1"/>
  <c r="A2643" i="1"/>
  <c r="B2643" i="1"/>
  <c r="A2644" i="1"/>
  <c r="B2644" i="1"/>
  <c r="A2645" i="1"/>
  <c r="B2645" i="1"/>
  <c r="A2646" i="1"/>
  <c r="B2646" i="1"/>
  <c r="A2647" i="1"/>
  <c r="B2647" i="1"/>
  <c r="A2648" i="1"/>
  <c r="B2648" i="1"/>
  <c r="A2649" i="1"/>
  <c r="B2649" i="1"/>
  <c r="A2650" i="1"/>
  <c r="B2650" i="1"/>
  <c r="A2651" i="1"/>
  <c r="B2651" i="1"/>
  <c r="A2652" i="1"/>
  <c r="B2652" i="1"/>
  <c r="A2653" i="1"/>
  <c r="B2653" i="1"/>
  <c r="A2654" i="1"/>
  <c r="B2654" i="1"/>
  <c r="A2655" i="1"/>
  <c r="B2655" i="1"/>
  <c r="A2656" i="1"/>
  <c r="B2656" i="1"/>
  <c r="A2657" i="1"/>
  <c r="B2657" i="1"/>
  <c r="A2658" i="1"/>
  <c r="B2658" i="1"/>
  <c r="A2659" i="1"/>
  <c r="B2659" i="1"/>
  <c r="A2660" i="1"/>
  <c r="B2660" i="1"/>
  <c r="A2661" i="1"/>
  <c r="B2661" i="1"/>
  <c r="A2662" i="1"/>
  <c r="B2662" i="1"/>
  <c r="A2663" i="1"/>
  <c r="B2663" i="1"/>
  <c r="A2664" i="1"/>
  <c r="B2664" i="1"/>
  <c r="A2665" i="1"/>
  <c r="B2665" i="1"/>
  <c r="A2666" i="1"/>
  <c r="B2666" i="1"/>
  <c r="A2667" i="1"/>
  <c r="B2667" i="1"/>
  <c r="A2668" i="1"/>
  <c r="B2668" i="1"/>
  <c r="A2669" i="1"/>
  <c r="B2669" i="1"/>
  <c r="A2670" i="1"/>
  <c r="B2670" i="1"/>
  <c r="A2671" i="1"/>
  <c r="B2671" i="1"/>
  <c r="A2672" i="1"/>
  <c r="B2672" i="1"/>
  <c r="A2673" i="1"/>
  <c r="B2673" i="1"/>
  <c r="A2674" i="1"/>
  <c r="B2674" i="1"/>
  <c r="A2675" i="1"/>
  <c r="B2675" i="1"/>
  <c r="A2676" i="1"/>
  <c r="B2676" i="1"/>
  <c r="A2677" i="1"/>
  <c r="B2677" i="1"/>
  <c r="A2678" i="1"/>
  <c r="B2678" i="1"/>
  <c r="A2679" i="1"/>
  <c r="B2679" i="1"/>
  <c r="A2680" i="1"/>
  <c r="B2680" i="1"/>
  <c r="A2681" i="1"/>
  <c r="B2681" i="1"/>
  <c r="A2682" i="1"/>
  <c r="B2682" i="1"/>
  <c r="A2683" i="1"/>
  <c r="B2683" i="1"/>
  <c r="A2684" i="1"/>
  <c r="B2684" i="1"/>
  <c r="A2685" i="1"/>
  <c r="B2685" i="1"/>
  <c r="A2686" i="1"/>
  <c r="B2686" i="1"/>
  <c r="A2687" i="1"/>
  <c r="B2687" i="1"/>
  <c r="A2688" i="1"/>
  <c r="B2688" i="1"/>
  <c r="A2689" i="1"/>
  <c r="B2689" i="1"/>
  <c r="A2690" i="1"/>
  <c r="B2690" i="1"/>
  <c r="A2691" i="1"/>
  <c r="B2691" i="1"/>
  <c r="A2692" i="1"/>
  <c r="B2692" i="1"/>
  <c r="A2693" i="1"/>
  <c r="B2693" i="1"/>
  <c r="A2694" i="1"/>
  <c r="B2694" i="1"/>
  <c r="A2695" i="1"/>
  <c r="B2695" i="1"/>
  <c r="A2696" i="1"/>
  <c r="B2696" i="1"/>
  <c r="A2697" i="1"/>
  <c r="B2697" i="1"/>
  <c r="A2698" i="1"/>
  <c r="B2698" i="1"/>
  <c r="A2699" i="1"/>
  <c r="B2699" i="1"/>
  <c r="A2700" i="1"/>
  <c r="B2700" i="1"/>
  <c r="A2701" i="1"/>
  <c r="B2701" i="1"/>
  <c r="A2702" i="1"/>
  <c r="B2702" i="1"/>
  <c r="A2703" i="1"/>
  <c r="B2703" i="1"/>
  <c r="A2704" i="1"/>
  <c r="B2704" i="1"/>
  <c r="A2705" i="1"/>
  <c r="B2705" i="1"/>
  <c r="A2706" i="1"/>
  <c r="B2706" i="1"/>
  <c r="A2707" i="1"/>
  <c r="B2707" i="1"/>
  <c r="A2708" i="1"/>
  <c r="B2708" i="1"/>
  <c r="A2709" i="1"/>
  <c r="B2709" i="1"/>
  <c r="A2710" i="1"/>
  <c r="B2710" i="1"/>
  <c r="A2711" i="1"/>
  <c r="B2711" i="1"/>
  <c r="A2712" i="1"/>
  <c r="B2712" i="1"/>
  <c r="A2713" i="1"/>
  <c r="B2713" i="1"/>
  <c r="A2714" i="1"/>
  <c r="B2714" i="1"/>
  <c r="A2715" i="1"/>
  <c r="B2715" i="1"/>
  <c r="A2716" i="1"/>
  <c r="B2716" i="1"/>
  <c r="A2717" i="1"/>
  <c r="B2717" i="1"/>
  <c r="A2718" i="1"/>
  <c r="B2718" i="1"/>
  <c r="A2719" i="1"/>
  <c r="B2719" i="1"/>
  <c r="A2720" i="1"/>
  <c r="B2720" i="1"/>
  <c r="A2721" i="1"/>
  <c r="B2721" i="1"/>
  <c r="A2722" i="1"/>
  <c r="B2722" i="1"/>
  <c r="A2723" i="1"/>
  <c r="B2723" i="1"/>
  <c r="A2724" i="1"/>
  <c r="B2724" i="1"/>
  <c r="A2725" i="1"/>
  <c r="B2725" i="1"/>
  <c r="A2726" i="1"/>
  <c r="B2726" i="1"/>
  <c r="A2727" i="1"/>
  <c r="B2727" i="1"/>
  <c r="A2728" i="1"/>
  <c r="B2728" i="1"/>
  <c r="A2729" i="1"/>
  <c r="B2729" i="1"/>
  <c r="A2730" i="1"/>
  <c r="B2730" i="1"/>
  <c r="A2731" i="1"/>
  <c r="B2731" i="1"/>
  <c r="A2732" i="1"/>
  <c r="B2732" i="1"/>
  <c r="A2733" i="1"/>
  <c r="B2733" i="1"/>
  <c r="A2734" i="1"/>
  <c r="B2734" i="1"/>
  <c r="A2735" i="1"/>
  <c r="B2735" i="1"/>
  <c r="A2736" i="1"/>
  <c r="B2736" i="1"/>
  <c r="A2737" i="1"/>
  <c r="B2737" i="1"/>
  <c r="A2738" i="1"/>
  <c r="B2738" i="1"/>
  <c r="A2739" i="1"/>
  <c r="B2739" i="1"/>
  <c r="A2740" i="1"/>
  <c r="B2740" i="1"/>
  <c r="A2741" i="1"/>
  <c r="B2741" i="1"/>
  <c r="A2742" i="1"/>
  <c r="B2742" i="1"/>
  <c r="A2743" i="1"/>
  <c r="B2743" i="1"/>
  <c r="A2744" i="1"/>
  <c r="B2744" i="1"/>
  <c r="A2745" i="1"/>
  <c r="B2745" i="1"/>
  <c r="A2746" i="1"/>
  <c r="B2746" i="1"/>
  <c r="A2747" i="1"/>
  <c r="B2747" i="1"/>
  <c r="A2748" i="1"/>
  <c r="B2748" i="1"/>
  <c r="A2749" i="1"/>
  <c r="B2749" i="1"/>
  <c r="A2750" i="1"/>
  <c r="B2750" i="1"/>
  <c r="A2751" i="1"/>
  <c r="B2751" i="1"/>
  <c r="A2752" i="1"/>
  <c r="B2752" i="1"/>
  <c r="A2753" i="1"/>
  <c r="B2753" i="1"/>
  <c r="A2754" i="1"/>
  <c r="B2754" i="1"/>
  <c r="A2755" i="1"/>
  <c r="B2755" i="1"/>
  <c r="A2756" i="1"/>
  <c r="B2756" i="1"/>
  <c r="A2757" i="1"/>
  <c r="B2757" i="1"/>
  <c r="A2758" i="1"/>
  <c r="B2758" i="1"/>
  <c r="A2759" i="1"/>
  <c r="B2759" i="1"/>
  <c r="A2760" i="1"/>
  <c r="B2760" i="1"/>
  <c r="A2761" i="1"/>
  <c r="B2761" i="1"/>
  <c r="A2762" i="1"/>
  <c r="B2762" i="1"/>
  <c r="A2763" i="1"/>
  <c r="B2763" i="1"/>
  <c r="A2764" i="1"/>
  <c r="B2764" i="1"/>
  <c r="A2765" i="1"/>
  <c r="B2765" i="1"/>
  <c r="A2766" i="1"/>
  <c r="B2766" i="1"/>
  <c r="A2767" i="1"/>
  <c r="B2767" i="1"/>
  <c r="A2768" i="1"/>
  <c r="B2768" i="1"/>
  <c r="A2769" i="1"/>
  <c r="B2769" i="1"/>
  <c r="A2770" i="1"/>
  <c r="B2770" i="1"/>
  <c r="A2771" i="1"/>
  <c r="B2771" i="1"/>
  <c r="A2772" i="1"/>
  <c r="B2772" i="1"/>
  <c r="A2773" i="1"/>
  <c r="B2773" i="1"/>
  <c r="A2774" i="1"/>
  <c r="B2774" i="1"/>
  <c r="A2775" i="1"/>
  <c r="B2775" i="1"/>
  <c r="A2776" i="1"/>
  <c r="B2776" i="1"/>
  <c r="A2777" i="1"/>
  <c r="B2777" i="1"/>
  <c r="A2778" i="1"/>
  <c r="B2778" i="1"/>
  <c r="A2779" i="1"/>
  <c r="B2779" i="1"/>
  <c r="A2780" i="1"/>
  <c r="B2780" i="1"/>
  <c r="A2781" i="1"/>
  <c r="B2781" i="1"/>
  <c r="A2782" i="1"/>
  <c r="B2782" i="1"/>
  <c r="A2783" i="1"/>
  <c r="B2783" i="1"/>
  <c r="A2784" i="1"/>
  <c r="B2784" i="1"/>
  <c r="A2785" i="1"/>
  <c r="B2785" i="1"/>
  <c r="A2786" i="1"/>
  <c r="B2786" i="1"/>
  <c r="A2787" i="1"/>
  <c r="B2787" i="1"/>
  <c r="A2788" i="1"/>
  <c r="B2788" i="1"/>
  <c r="A2789" i="1"/>
  <c r="B2789" i="1"/>
  <c r="A2790" i="1"/>
  <c r="B2790" i="1"/>
  <c r="A2791" i="1"/>
  <c r="B2791" i="1"/>
  <c r="A2792" i="1"/>
  <c r="B2792" i="1"/>
  <c r="A2793" i="1"/>
  <c r="B2793" i="1"/>
  <c r="A2794" i="1"/>
  <c r="B2794" i="1"/>
  <c r="A2795" i="1"/>
  <c r="B2795" i="1"/>
  <c r="A2796" i="1"/>
  <c r="B2796" i="1"/>
  <c r="A2797" i="1"/>
  <c r="B2797" i="1"/>
  <c r="A2798" i="1"/>
  <c r="B2798" i="1"/>
  <c r="A2799" i="1"/>
  <c r="B2799" i="1"/>
  <c r="A2800" i="1"/>
  <c r="B2800" i="1"/>
  <c r="A2801" i="1"/>
  <c r="B2801" i="1"/>
  <c r="A2802" i="1"/>
  <c r="B2802" i="1"/>
  <c r="A2803" i="1"/>
  <c r="B2803" i="1"/>
  <c r="A2804" i="1"/>
  <c r="B2804" i="1"/>
  <c r="A2805" i="1"/>
  <c r="B2805" i="1"/>
  <c r="A2806" i="1"/>
  <c r="B2806" i="1"/>
  <c r="A2807" i="1"/>
  <c r="B2807" i="1"/>
  <c r="A2808" i="1"/>
  <c r="B2808" i="1"/>
  <c r="A2809" i="1"/>
  <c r="B2809" i="1"/>
  <c r="A2810" i="1"/>
  <c r="B2810" i="1"/>
  <c r="A2811" i="1"/>
  <c r="B2811" i="1"/>
  <c r="A2812" i="1"/>
  <c r="B2812" i="1"/>
  <c r="A2813" i="1"/>
  <c r="B2813" i="1"/>
  <c r="A2814" i="1"/>
  <c r="B2814" i="1"/>
  <c r="A2815" i="1"/>
  <c r="B2815" i="1"/>
  <c r="A2816" i="1"/>
  <c r="B2816" i="1"/>
  <c r="A2817" i="1"/>
  <c r="B2817" i="1"/>
  <c r="A2818" i="1"/>
  <c r="B2818" i="1"/>
  <c r="A2819" i="1"/>
  <c r="B2819" i="1"/>
  <c r="A2820" i="1"/>
  <c r="B2820" i="1"/>
  <c r="A2821" i="1"/>
  <c r="B2821" i="1"/>
  <c r="A2822" i="1"/>
  <c r="B2822" i="1"/>
  <c r="A2823" i="1"/>
  <c r="B2823" i="1"/>
  <c r="A2824" i="1"/>
  <c r="B2824" i="1"/>
  <c r="A2825" i="1"/>
  <c r="B2825" i="1"/>
  <c r="A2826" i="1"/>
  <c r="B2826" i="1"/>
  <c r="A2827" i="1"/>
  <c r="B2827" i="1"/>
  <c r="A2828" i="1"/>
  <c r="B2828" i="1"/>
  <c r="A2829" i="1"/>
  <c r="B2829" i="1"/>
  <c r="A2830" i="1"/>
  <c r="B2830" i="1"/>
  <c r="A2831" i="1"/>
  <c r="B2831" i="1"/>
  <c r="A2832" i="1"/>
  <c r="B2832" i="1"/>
  <c r="A2833" i="1"/>
  <c r="B2833" i="1"/>
  <c r="A2834" i="1"/>
  <c r="B2834" i="1"/>
  <c r="A2835" i="1"/>
  <c r="B2835" i="1"/>
  <c r="A2836" i="1"/>
  <c r="B2836" i="1"/>
  <c r="A2837" i="1"/>
  <c r="B2837" i="1"/>
  <c r="A2838" i="1"/>
  <c r="B2838" i="1"/>
  <c r="A2839" i="1"/>
  <c r="B2839" i="1"/>
  <c r="A2840" i="1"/>
  <c r="B2840" i="1"/>
  <c r="A2841" i="1"/>
  <c r="B2841" i="1"/>
  <c r="A2842" i="1"/>
  <c r="B2842" i="1"/>
  <c r="A2843" i="1"/>
  <c r="B2843" i="1"/>
  <c r="A2844" i="1"/>
  <c r="B2844" i="1"/>
  <c r="A2845" i="1"/>
  <c r="B2845" i="1"/>
  <c r="A2846" i="1"/>
  <c r="B2846" i="1"/>
  <c r="A2847" i="1"/>
  <c r="B2847" i="1"/>
  <c r="A2848" i="1"/>
  <c r="B2848" i="1"/>
  <c r="A2849" i="1"/>
  <c r="B2849" i="1"/>
  <c r="A2850" i="1"/>
  <c r="B2850" i="1"/>
  <c r="A2851" i="1"/>
  <c r="B2851" i="1"/>
  <c r="A2852" i="1"/>
  <c r="B2852" i="1"/>
  <c r="A2853" i="1"/>
  <c r="B2853" i="1"/>
  <c r="A2854" i="1"/>
  <c r="B2854" i="1"/>
  <c r="A2855" i="1"/>
  <c r="B2855" i="1"/>
  <c r="A2856" i="1"/>
  <c r="B2856" i="1"/>
  <c r="A2857" i="1"/>
  <c r="B2857" i="1"/>
  <c r="A2858" i="1"/>
  <c r="B2858" i="1"/>
  <c r="A2859" i="1"/>
  <c r="B2859" i="1"/>
  <c r="A2860" i="1"/>
  <c r="B2860" i="1"/>
  <c r="A2861" i="1"/>
  <c r="B2861" i="1"/>
  <c r="A2862" i="1"/>
  <c r="B2862" i="1"/>
  <c r="A2863" i="1"/>
  <c r="B2863" i="1"/>
  <c r="A2864" i="1"/>
  <c r="B2864" i="1"/>
  <c r="A2865" i="1"/>
  <c r="B2865" i="1"/>
  <c r="A2866" i="1"/>
  <c r="B2866" i="1"/>
  <c r="A2867" i="1"/>
  <c r="B2867" i="1"/>
  <c r="A2868" i="1"/>
  <c r="B2868" i="1"/>
  <c r="A2869" i="1"/>
  <c r="B2869" i="1"/>
  <c r="A2870" i="1"/>
  <c r="B2870" i="1"/>
  <c r="A2871" i="1"/>
  <c r="B2871" i="1"/>
  <c r="A2872" i="1"/>
  <c r="B2872" i="1"/>
  <c r="A2873" i="1"/>
  <c r="B2873" i="1"/>
  <c r="A2874" i="1"/>
  <c r="B2874" i="1"/>
  <c r="A2875" i="1"/>
  <c r="B2875" i="1"/>
  <c r="A2876" i="1"/>
  <c r="B2876" i="1"/>
  <c r="A2877" i="1"/>
  <c r="B2877" i="1"/>
  <c r="A2878" i="1"/>
  <c r="B2878" i="1"/>
  <c r="A2879" i="1"/>
  <c r="B2879" i="1"/>
  <c r="A2880" i="1"/>
  <c r="B2880" i="1"/>
  <c r="A2881" i="1"/>
  <c r="B2881" i="1"/>
  <c r="A2882" i="1"/>
  <c r="B2882" i="1"/>
  <c r="A2883" i="1"/>
  <c r="B2883" i="1"/>
  <c r="A2884" i="1"/>
  <c r="B2884" i="1"/>
  <c r="A2885" i="1"/>
  <c r="B2885" i="1"/>
  <c r="A2886" i="1"/>
  <c r="B2886" i="1"/>
  <c r="A2887" i="1"/>
  <c r="B2887" i="1"/>
  <c r="A2888" i="1"/>
  <c r="B2888" i="1"/>
  <c r="A2889" i="1"/>
  <c r="B2889" i="1"/>
  <c r="A2890" i="1"/>
  <c r="B2890" i="1"/>
  <c r="A2891" i="1"/>
  <c r="B2891" i="1"/>
  <c r="A2892" i="1"/>
  <c r="B2892" i="1"/>
  <c r="A2893" i="1"/>
  <c r="B2893" i="1"/>
  <c r="A2894" i="1"/>
  <c r="B2894" i="1"/>
  <c r="A2895" i="1"/>
  <c r="B2895" i="1"/>
  <c r="A2896" i="1"/>
  <c r="B2896" i="1"/>
  <c r="A2897" i="1"/>
  <c r="B2897" i="1"/>
  <c r="A2898" i="1"/>
  <c r="B2898" i="1"/>
  <c r="A2899" i="1"/>
  <c r="B2899" i="1"/>
  <c r="A2900" i="1"/>
  <c r="B2900" i="1"/>
  <c r="A2901" i="1"/>
  <c r="B2901" i="1"/>
  <c r="A2902" i="1"/>
  <c r="B2902" i="1"/>
  <c r="A2903" i="1"/>
  <c r="B2903" i="1"/>
  <c r="A2904" i="1"/>
  <c r="B2904" i="1"/>
  <c r="A2905" i="1"/>
  <c r="B2905" i="1"/>
  <c r="A2906" i="1"/>
  <c r="B2906" i="1"/>
  <c r="A2907" i="1"/>
  <c r="B2907" i="1"/>
  <c r="A2908" i="1"/>
  <c r="B2908" i="1"/>
  <c r="A2909" i="1"/>
  <c r="B2909" i="1"/>
  <c r="A2910" i="1"/>
  <c r="B2910" i="1"/>
  <c r="A2911" i="1"/>
  <c r="B2911" i="1"/>
  <c r="A2912" i="1"/>
  <c r="B2912" i="1"/>
  <c r="A2913" i="1"/>
  <c r="B2913" i="1"/>
  <c r="A2914" i="1"/>
  <c r="B2914" i="1"/>
  <c r="A2915" i="1"/>
  <c r="B2915" i="1"/>
  <c r="A2916" i="1"/>
  <c r="B2916" i="1"/>
  <c r="A2917" i="1"/>
  <c r="B2917" i="1"/>
  <c r="A2918" i="1"/>
  <c r="B2918" i="1"/>
  <c r="A2919" i="1"/>
  <c r="B2919" i="1"/>
  <c r="A2920" i="1"/>
  <c r="B2920" i="1"/>
  <c r="A2921" i="1"/>
  <c r="B2921" i="1"/>
  <c r="A2922" i="1"/>
  <c r="B2922" i="1"/>
  <c r="A2923" i="1"/>
  <c r="B2923" i="1"/>
  <c r="A2924" i="1"/>
  <c r="B2924" i="1"/>
  <c r="A2925" i="1"/>
  <c r="B2925" i="1"/>
  <c r="A2926" i="1"/>
  <c r="B2926" i="1"/>
  <c r="A2927" i="1"/>
  <c r="B2927" i="1"/>
  <c r="A2928" i="1"/>
  <c r="B2928" i="1"/>
  <c r="A2929" i="1"/>
  <c r="B2929" i="1"/>
  <c r="A2930" i="1"/>
  <c r="B2930" i="1"/>
  <c r="A2931" i="1"/>
  <c r="B2931" i="1"/>
  <c r="A2932" i="1"/>
  <c r="B2932" i="1"/>
  <c r="A2933" i="1"/>
  <c r="B2933" i="1"/>
  <c r="A2934" i="1"/>
  <c r="B2934" i="1"/>
  <c r="A2935" i="1"/>
  <c r="B2935" i="1"/>
  <c r="A2936" i="1"/>
  <c r="B2936" i="1"/>
  <c r="A2937" i="1"/>
  <c r="B2937" i="1"/>
  <c r="A2938" i="1"/>
  <c r="B2938" i="1"/>
  <c r="A2939" i="1"/>
  <c r="B2939" i="1"/>
  <c r="A2940" i="1"/>
  <c r="B2940" i="1"/>
  <c r="A2941" i="1"/>
  <c r="B2941" i="1"/>
  <c r="A2942" i="1"/>
  <c r="B2942" i="1"/>
  <c r="A2943" i="1"/>
  <c r="B2943" i="1"/>
  <c r="A2944" i="1"/>
  <c r="B2944" i="1"/>
  <c r="A2945" i="1"/>
  <c r="B2945" i="1"/>
  <c r="A2946" i="1"/>
  <c r="B2946" i="1"/>
  <c r="A2947" i="1"/>
  <c r="B2947" i="1"/>
  <c r="A2948" i="1"/>
  <c r="B2948" i="1"/>
  <c r="A2949" i="1"/>
  <c r="B2949" i="1"/>
  <c r="A2950" i="1"/>
  <c r="B2950" i="1"/>
  <c r="A2951" i="1"/>
  <c r="B2951" i="1"/>
  <c r="A2952" i="1"/>
  <c r="B2952" i="1"/>
  <c r="A2953" i="1"/>
  <c r="B2953" i="1"/>
  <c r="A2954" i="1"/>
  <c r="B2954" i="1"/>
  <c r="A2955" i="1"/>
  <c r="B2955" i="1"/>
  <c r="A2956" i="1"/>
  <c r="B2956" i="1"/>
  <c r="A2957" i="1"/>
  <c r="B2957" i="1"/>
  <c r="A2958" i="1"/>
  <c r="B2958" i="1"/>
  <c r="A2959" i="1"/>
  <c r="B2959" i="1"/>
  <c r="A2960" i="1"/>
  <c r="B2960" i="1"/>
  <c r="A2961" i="1"/>
  <c r="B2961" i="1"/>
  <c r="A2962" i="1"/>
  <c r="B2962" i="1"/>
  <c r="A2963" i="1"/>
  <c r="B2963" i="1"/>
  <c r="A2964" i="1"/>
  <c r="B2964" i="1"/>
  <c r="A2965" i="1"/>
  <c r="B2965" i="1"/>
  <c r="A2966" i="1"/>
  <c r="B2966" i="1"/>
  <c r="A2967" i="1"/>
  <c r="B2967" i="1"/>
  <c r="A2968" i="1"/>
  <c r="B2968" i="1"/>
  <c r="A2969" i="1"/>
  <c r="B2969" i="1"/>
  <c r="A2970" i="1"/>
  <c r="B2970" i="1"/>
  <c r="A2971" i="1"/>
  <c r="B2971" i="1"/>
  <c r="A2972" i="1"/>
  <c r="B2972" i="1"/>
  <c r="A2973" i="1"/>
  <c r="B2973" i="1"/>
  <c r="A2974" i="1"/>
  <c r="B2974" i="1"/>
  <c r="A2975" i="1"/>
  <c r="B2975" i="1"/>
  <c r="A2976" i="1"/>
  <c r="B2976" i="1"/>
  <c r="A2977" i="1"/>
  <c r="B2977" i="1"/>
  <c r="A2978" i="1"/>
  <c r="B2978" i="1"/>
  <c r="A2979" i="1"/>
  <c r="B2979" i="1"/>
  <c r="A2980" i="1"/>
  <c r="B2980" i="1"/>
  <c r="A2981" i="1"/>
  <c r="B2981" i="1"/>
  <c r="A2982" i="1"/>
  <c r="B2982" i="1"/>
  <c r="A2983" i="1"/>
  <c r="B2983" i="1"/>
  <c r="A2984" i="1"/>
  <c r="B2984" i="1"/>
  <c r="A2985" i="1"/>
  <c r="B2985" i="1"/>
  <c r="A2986" i="1"/>
  <c r="B2986" i="1"/>
  <c r="A2987" i="1"/>
  <c r="B2987" i="1"/>
  <c r="A2988" i="1"/>
  <c r="B2988" i="1"/>
  <c r="A2989" i="1"/>
  <c r="B2989" i="1"/>
  <c r="A2990" i="1"/>
  <c r="B2990" i="1"/>
  <c r="A2991" i="1"/>
  <c r="B2991" i="1"/>
  <c r="A2992" i="1"/>
  <c r="B2992" i="1"/>
  <c r="A2993" i="1"/>
  <c r="B2993" i="1"/>
  <c r="A2994" i="1"/>
  <c r="B2994" i="1"/>
  <c r="A2995" i="1"/>
  <c r="B2995" i="1"/>
  <c r="A2996" i="1"/>
  <c r="B2996" i="1"/>
  <c r="A2997" i="1"/>
  <c r="B2997" i="1"/>
  <c r="A2998" i="1"/>
  <c r="B2998" i="1"/>
  <c r="A2999" i="1"/>
  <c r="B2999" i="1"/>
  <c r="A3000" i="1"/>
  <c r="B3000" i="1"/>
  <c r="A3001" i="1"/>
  <c r="B3001" i="1"/>
  <c r="A3002" i="1"/>
  <c r="B3002" i="1"/>
  <c r="A3003" i="1"/>
  <c r="B3003" i="1"/>
  <c r="A3004" i="1"/>
  <c r="B3004" i="1"/>
  <c r="A3005" i="1"/>
  <c r="B3005" i="1"/>
  <c r="A3006" i="1"/>
  <c r="B3006" i="1"/>
  <c r="A3007" i="1"/>
  <c r="B3007" i="1"/>
  <c r="A3008" i="1"/>
  <c r="B3008" i="1"/>
  <c r="A3009" i="1"/>
  <c r="B3009" i="1"/>
  <c r="A3010" i="1"/>
  <c r="B3010" i="1"/>
  <c r="A3011" i="1"/>
  <c r="B3011" i="1"/>
  <c r="A3012" i="1"/>
  <c r="B3012" i="1"/>
  <c r="A3013" i="1"/>
  <c r="B3013" i="1"/>
  <c r="A3014" i="1"/>
  <c r="B3014" i="1"/>
  <c r="A3015" i="1"/>
  <c r="B3015" i="1"/>
  <c r="A3016" i="1"/>
  <c r="B3016" i="1"/>
  <c r="A3017" i="1"/>
  <c r="B3017" i="1"/>
  <c r="A3018" i="1"/>
  <c r="B3018" i="1"/>
  <c r="A3019" i="1"/>
  <c r="B3019" i="1"/>
  <c r="A3020" i="1"/>
  <c r="B3020" i="1"/>
  <c r="A3021" i="1"/>
  <c r="B3021" i="1"/>
  <c r="A3022" i="1"/>
  <c r="B3022" i="1"/>
  <c r="A3023" i="1"/>
  <c r="B3023" i="1"/>
  <c r="A3024" i="1"/>
  <c r="B3024" i="1"/>
  <c r="A3025" i="1"/>
  <c r="B3025" i="1"/>
  <c r="A3026" i="1"/>
  <c r="B3026" i="1"/>
  <c r="A3027" i="1"/>
  <c r="B3027" i="1"/>
  <c r="A3028" i="1"/>
  <c r="B3028" i="1"/>
  <c r="A3029" i="1"/>
  <c r="B3029" i="1"/>
  <c r="A3030" i="1"/>
  <c r="B3030" i="1"/>
  <c r="A3031" i="1"/>
  <c r="B3031" i="1"/>
  <c r="A3032" i="1"/>
  <c r="B3032" i="1"/>
  <c r="A3033" i="1"/>
  <c r="B3033" i="1"/>
  <c r="A3034" i="1"/>
  <c r="B3034" i="1"/>
  <c r="A3035" i="1"/>
  <c r="B3035" i="1"/>
  <c r="A3036" i="1"/>
  <c r="B3036" i="1"/>
  <c r="A3037" i="1"/>
  <c r="B3037" i="1"/>
  <c r="A3038" i="1"/>
  <c r="B3038" i="1"/>
  <c r="A3039" i="1"/>
  <c r="B3039" i="1"/>
  <c r="A3040" i="1"/>
  <c r="B3040" i="1"/>
  <c r="A3041" i="1"/>
  <c r="B3041" i="1"/>
  <c r="A3042" i="1"/>
  <c r="B3042" i="1"/>
  <c r="A3043" i="1"/>
  <c r="B3043" i="1"/>
  <c r="A3044" i="1"/>
  <c r="B3044" i="1"/>
  <c r="A3045" i="1"/>
  <c r="B3045" i="1"/>
  <c r="A3046" i="1"/>
  <c r="B3046" i="1"/>
  <c r="A3047" i="1"/>
  <c r="B3047" i="1"/>
  <c r="A3048" i="1"/>
  <c r="B3048" i="1"/>
  <c r="A3049" i="1"/>
  <c r="B3049" i="1"/>
  <c r="A3050" i="1"/>
  <c r="B3050" i="1"/>
  <c r="A3051" i="1"/>
  <c r="B3051" i="1"/>
  <c r="A3052" i="1"/>
  <c r="B3052" i="1"/>
  <c r="A3053" i="1"/>
  <c r="B3053" i="1"/>
  <c r="A3054" i="1"/>
  <c r="B3054" i="1"/>
  <c r="A3055" i="1"/>
  <c r="B3055" i="1"/>
  <c r="A3056" i="1"/>
  <c r="B3056" i="1"/>
  <c r="A3057" i="1"/>
  <c r="B3057" i="1"/>
  <c r="A3058" i="1"/>
  <c r="B3058" i="1"/>
  <c r="A3059" i="1"/>
  <c r="B3059" i="1"/>
  <c r="A3060" i="1"/>
  <c r="B3060" i="1"/>
  <c r="A3061" i="1"/>
  <c r="B3061" i="1"/>
  <c r="A3062" i="1"/>
  <c r="B3062" i="1"/>
  <c r="A3063" i="1"/>
  <c r="B3063" i="1"/>
  <c r="A3064" i="1"/>
  <c r="B3064" i="1"/>
  <c r="A3065" i="1"/>
  <c r="B3065" i="1"/>
  <c r="A3066" i="1"/>
  <c r="B3066" i="1"/>
  <c r="A3067" i="1"/>
  <c r="B3067" i="1"/>
  <c r="A3068" i="1"/>
  <c r="B3068" i="1"/>
  <c r="A3069" i="1"/>
  <c r="B3069" i="1"/>
  <c r="A3070" i="1"/>
  <c r="B3070" i="1"/>
  <c r="A3071" i="1"/>
  <c r="B3071" i="1"/>
  <c r="A3072" i="1"/>
  <c r="B3072" i="1"/>
  <c r="A3073" i="1"/>
  <c r="B3073" i="1"/>
  <c r="A3074" i="1"/>
  <c r="B3074" i="1"/>
  <c r="A3075" i="1"/>
  <c r="B3075" i="1"/>
  <c r="A3076" i="1"/>
  <c r="B3076" i="1"/>
  <c r="A3077" i="1"/>
  <c r="B3077" i="1"/>
  <c r="A3078" i="1"/>
  <c r="B3078" i="1"/>
  <c r="A3079" i="1"/>
  <c r="B3079" i="1"/>
  <c r="A3080" i="1"/>
  <c r="B3080" i="1"/>
  <c r="A3081" i="1"/>
  <c r="B3081" i="1"/>
  <c r="A3082" i="1"/>
  <c r="B3082" i="1"/>
  <c r="A3083" i="1"/>
  <c r="B3083" i="1"/>
  <c r="A3084" i="1"/>
  <c r="B3084" i="1"/>
  <c r="A3085" i="1"/>
  <c r="B3085" i="1"/>
  <c r="A3086" i="1"/>
  <c r="B3086" i="1"/>
  <c r="A3087" i="1"/>
  <c r="B3087" i="1"/>
  <c r="A3088" i="1"/>
  <c r="B3088" i="1"/>
  <c r="A3089" i="1"/>
  <c r="B3089" i="1"/>
  <c r="A3090" i="1"/>
  <c r="B3090" i="1"/>
  <c r="A3091" i="1"/>
  <c r="B3091" i="1"/>
  <c r="A3092" i="1"/>
  <c r="B3092" i="1"/>
  <c r="A3093" i="1"/>
  <c r="B3093" i="1"/>
  <c r="A3094" i="1"/>
  <c r="B3094" i="1"/>
  <c r="A3095" i="1"/>
  <c r="B3095" i="1"/>
  <c r="A3096" i="1"/>
  <c r="B3096" i="1"/>
  <c r="A3097" i="1"/>
  <c r="B3097" i="1"/>
  <c r="A3098" i="1"/>
  <c r="B3098" i="1"/>
  <c r="A3099" i="1"/>
  <c r="B3099" i="1"/>
  <c r="A3100" i="1"/>
  <c r="B3100" i="1"/>
  <c r="A3101" i="1"/>
  <c r="B3101" i="1"/>
  <c r="A3102" i="1"/>
  <c r="B3102" i="1"/>
  <c r="A3103" i="1"/>
  <c r="B3103" i="1"/>
  <c r="A3104" i="1"/>
  <c r="B3104" i="1"/>
  <c r="A3105" i="1"/>
  <c r="B3105" i="1"/>
  <c r="A3106" i="1"/>
  <c r="B3106" i="1"/>
  <c r="A3107" i="1"/>
  <c r="B3107" i="1"/>
  <c r="A3108" i="1"/>
  <c r="B3108" i="1"/>
  <c r="A3109" i="1"/>
  <c r="B3109" i="1"/>
  <c r="A3110" i="1"/>
  <c r="B3110" i="1"/>
  <c r="A3111" i="1"/>
  <c r="B3111" i="1"/>
  <c r="A3112" i="1"/>
  <c r="B3112" i="1"/>
  <c r="A3113" i="1"/>
  <c r="B3113" i="1"/>
  <c r="A3114" i="1"/>
  <c r="B3114" i="1"/>
  <c r="A3115" i="1"/>
  <c r="B3115" i="1"/>
  <c r="A3116" i="1"/>
  <c r="B3116" i="1"/>
  <c r="A3117" i="1"/>
  <c r="B3117" i="1"/>
  <c r="A3118" i="1"/>
  <c r="B3118" i="1"/>
  <c r="A3119" i="1"/>
  <c r="B3119" i="1"/>
  <c r="A3120" i="1"/>
  <c r="B3120" i="1"/>
  <c r="A3121" i="1"/>
  <c r="B3121" i="1"/>
  <c r="A3122" i="1"/>
  <c r="B3122" i="1"/>
  <c r="A3123" i="1"/>
  <c r="B3123" i="1"/>
  <c r="A3124" i="1"/>
  <c r="B3124" i="1"/>
  <c r="A3125" i="1"/>
  <c r="B3125" i="1"/>
  <c r="A3126" i="1"/>
  <c r="B3126" i="1"/>
  <c r="A3127" i="1"/>
  <c r="B3127" i="1"/>
  <c r="A3128" i="1"/>
  <c r="B3128" i="1"/>
  <c r="A3129" i="1"/>
  <c r="B3129" i="1"/>
  <c r="A3130" i="1"/>
  <c r="B3130" i="1"/>
  <c r="A3131" i="1"/>
  <c r="B3131" i="1"/>
  <c r="A3132" i="1"/>
  <c r="B3132" i="1"/>
  <c r="A3133" i="1"/>
  <c r="B3133" i="1"/>
  <c r="A3134" i="1"/>
  <c r="B3134" i="1"/>
  <c r="A3135" i="1"/>
  <c r="B3135" i="1"/>
  <c r="A3136" i="1"/>
  <c r="B3136" i="1"/>
  <c r="A3137" i="1"/>
  <c r="B3137" i="1"/>
  <c r="A3138" i="1"/>
  <c r="B3138" i="1"/>
  <c r="A3139" i="1"/>
  <c r="B3139" i="1"/>
  <c r="A3140" i="1"/>
  <c r="B3140" i="1"/>
  <c r="A3141" i="1"/>
  <c r="B3141" i="1"/>
  <c r="A3142" i="1"/>
  <c r="B3142" i="1"/>
  <c r="A3143" i="1"/>
  <c r="B3143" i="1"/>
  <c r="A3144" i="1"/>
  <c r="B3144" i="1"/>
  <c r="A3145" i="1"/>
  <c r="B3145" i="1"/>
  <c r="A3146" i="1"/>
  <c r="B3146" i="1"/>
  <c r="A3147" i="1"/>
  <c r="B3147" i="1"/>
  <c r="A3148" i="1"/>
  <c r="B3148" i="1"/>
  <c r="A3149" i="1"/>
  <c r="B3149" i="1"/>
  <c r="A3150" i="1"/>
  <c r="B3150" i="1"/>
  <c r="A3151" i="1"/>
  <c r="B3151" i="1"/>
  <c r="A3152" i="1"/>
  <c r="B3152" i="1"/>
  <c r="A3153" i="1"/>
  <c r="B3153" i="1"/>
  <c r="A3154" i="1"/>
  <c r="B3154" i="1"/>
  <c r="A3155" i="1"/>
  <c r="B3155" i="1"/>
  <c r="A3156" i="1"/>
  <c r="B3156" i="1"/>
  <c r="A3157" i="1"/>
  <c r="B3157" i="1"/>
  <c r="A3158" i="1"/>
  <c r="B3158" i="1"/>
  <c r="A3159" i="1"/>
  <c r="B3159" i="1"/>
  <c r="A3160" i="1"/>
  <c r="B3160" i="1"/>
  <c r="A3161" i="1"/>
  <c r="B3161" i="1"/>
  <c r="A3162" i="1"/>
  <c r="B3162" i="1"/>
  <c r="A3163" i="1"/>
  <c r="B3163" i="1"/>
  <c r="A3164" i="1"/>
  <c r="B3164" i="1"/>
  <c r="A3165" i="1"/>
  <c r="B3165" i="1"/>
  <c r="A3166" i="1"/>
  <c r="B3166" i="1"/>
  <c r="A3167" i="1"/>
  <c r="B3167" i="1"/>
  <c r="A3168" i="1"/>
  <c r="B3168" i="1"/>
  <c r="A3169" i="1"/>
  <c r="B3169" i="1"/>
  <c r="A3170" i="1"/>
  <c r="B3170" i="1"/>
  <c r="A3171" i="1"/>
  <c r="B3171" i="1"/>
  <c r="A3172" i="1"/>
  <c r="B3172" i="1"/>
  <c r="A3173" i="1"/>
  <c r="B3173" i="1"/>
  <c r="A3174" i="1"/>
  <c r="B3174" i="1"/>
  <c r="A3175" i="1"/>
  <c r="B3175" i="1"/>
  <c r="A3176" i="1"/>
  <c r="B3176" i="1"/>
  <c r="A3177" i="1"/>
  <c r="B3177" i="1"/>
  <c r="A3178" i="1"/>
  <c r="B3178" i="1"/>
  <c r="A3179" i="1"/>
  <c r="B3179" i="1"/>
  <c r="A3180" i="1"/>
  <c r="B3180" i="1"/>
  <c r="A3181" i="1"/>
  <c r="B3181" i="1"/>
  <c r="A3182" i="1"/>
  <c r="B3182" i="1"/>
  <c r="A3183" i="1"/>
  <c r="B3183" i="1"/>
  <c r="A3184" i="1"/>
  <c r="B3184" i="1"/>
  <c r="A3185" i="1"/>
  <c r="B3185" i="1"/>
  <c r="A3186" i="1"/>
  <c r="B3186" i="1"/>
  <c r="A3187" i="1"/>
  <c r="B3187" i="1"/>
  <c r="A3188" i="1"/>
  <c r="B3188" i="1"/>
  <c r="A3189" i="1"/>
  <c r="B3189" i="1"/>
  <c r="A3190" i="1"/>
  <c r="B3190" i="1"/>
  <c r="A3191" i="1"/>
  <c r="B3191" i="1"/>
  <c r="A3192" i="1"/>
  <c r="B3192" i="1"/>
  <c r="A3193" i="1"/>
  <c r="B3193" i="1"/>
  <c r="A3194" i="1"/>
  <c r="B3194" i="1"/>
  <c r="A3195" i="1"/>
  <c r="B3195" i="1"/>
  <c r="A3196" i="1"/>
  <c r="B3196" i="1"/>
  <c r="A3197" i="1"/>
  <c r="B3197" i="1"/>
  <c r="A3198" i="1"/>
  <c r="B3198" i="1"/>
  <c r="A3199" i="1"/>
  <c r="B3199" i="1"/>
  <c r="A3200" i="1"/>
  <c r="B3200" i="1"/>
  <c r="A3201" i="1"/>
  <c r="B3201" i="1"/>
  <c r="A3202" i="1"/>
  <c r="B3202" i="1"/>
  <c r="A3203" i="1"/>
  <c r="B3203" i="1"/>
  <c r="A3204" i="1"/>
  <c r="B3204" i="1"/>
  <c r="A3205" i="1"/>
  <c r="B3205" i="1"/>
  <c r="A3206" i="1"/>
  <c r="B3206" i="1"/>
  <c r="A3207" i="1"/>
  <c r="B3207" i="1"/>
  <c r="A3208" i="1"/>
  <c r="B3208" i="1"/>
  <c r="A3209" i="1"/>
  <c r="B3209" i="1"/>
  <c r="A3210" i="1"/>
  <c r="B3210" i="1"/>
  <c r="A3211" i="1"/>
  <c r="B3211" i="1"/>
  <c r="A3212" i="1"/>
  <c r="B3212" i="1"/>
  <c r="A3213" i="1"/>
  <c r="B3213" i="1"/>
  <c r="A3214" i="1"/>
  <c r="B3214" i="1"/>
  <c r="A3215" i="1"/>
  <c r="B3215" i="1"/>
  <c r="A3216" i="1"/>
  <c r="B3216" i="1"/>
  <c r="A3217" i="1"/>
  <c r="B3217" i="1"/>
  <c r="A3218" i="1"/>
  <c r="B3218" i="1"/>
  <c r="A3219" i="1"/>
  <c r="B3219" i="1"/>
  <c r="A3220" i="1"/>
  <c r="B3220" i="1"/>
  <c r="A3221" i="1"/>
  <c r="B3221" i="1"/>
  <c r="A3222" i="1"/>
  <c r="B3222" i="1"/>
  <c r="A3223" i="1"/>
  <c r="B3223" i="1"/>
  <c r="A3224" i="1"/>
  <c r="B3224" i="1"/>
  <c r="A3225" i="1"/>
  <c r="B3225" i="1"/>
  <c r="A3226" i="1"/>
  <c r="B3226" i="1"/>
  <c r="A3227" i="1"/>
  <c r="B3227" i="1"/>
  <c r="A3228" i="1"/>
  <c r="B3228" i="1"/>
  <c r="A3229" i="1"/>
  <c r="B3229" i="1"/>
  <c r="A3230" i="1"/>
  <c r="B3230" i="1"/>
  <c r="A3231" i="1"/>
  <c r="B3231" i="1"/>
  <c r="A3232" i="1"/>
  <c r="B3232" i="1"/>
  <c r="A3233" i="1"/>
  <c r="B3233" i="1"/>
  <c r="A3234" i="1"/>
  <c r="B3234" i="1"/>
  <c r="A3235" i="1"/>
  <c r="B3235" i="1"/>
  <c r="A3236" i="1"/>
  <c r="B3236" i="1"/>
  <c r="A3237" i="1"/>
  <c r="B3237" i="1"/>
  <c r="A3238" i="1"/>
  <c r="B3238" i="1"/>
  <c r="A3239" i="1"/>
  <c r="B3239" i="1"/>
  <c r="A3240" i="1"/>
  <c r="B3240" i="1"/>
  <c r="A3241" i="1"/>
  <c r="B3241" i="1"/>
  <c r="A3242" i="1"/>
  <c r="B3242" i="1"/>
  <c r="A3243" i="1"/>
  <c r="B3243" i="1"/>
  <c r="A3244" i="1"/>
  <c r="B3244" i="1"/>
  <c r="A3245" i="1"/>
  <c r="B3245" i="1"/>
  <c r="A3246" i="1"/>
  <c r="B3246" i="1"/>
  <c r="A3247" i="1"/>
  <c r="B3247" i="1"/>
  <c r="A3248" i="1"/>
  <c r="B3248" i="1"/>
  <c r="A3249" i="1"/>
  <c r="B3249" i="1"/>
  <c r="A3250" i="1"/>
  <c r="B3250" i="1"/>
  <c r="A3251" i="1"/>
  <c r="B3251" i="1"/>
  <c r="A3252" i="1"/>
  <c r="B3252" i="1"/>
  <c r="A3253" i="1"/>
  <c r="B3253" i="1"/>
  <c r="A3254" i="1"/>
  <c r="B3254" i="1"/>
  <c r="A3255" i="1"/>
  <c r="B3255" i="1"/>
  <c r="A3256" i="1"/>
  <c r="B3256" i="1"/>
  <c r="A3257" i="1"/>
  <c r="B3257" i="1"/>
  <c r="A3258" i="1"/>
  <c r="B3258" i="1"/>
  <c r="A3259" i="1"/>
  <c r="B3259" i="1"/>
  <c r="A3260" i="1"/>
  <c r="B3260" i="1"/>
  <c r="A3261" i="1"/>
  <c r="B3261" i="1"/>
  <c r="A3262" i="1"/>
  <c r="B3262" i="1"/>
  <c r="A3263" i="1"/>
  <c r="B3263" i="1"/>
  <c r="A3264" i="1"/>
  <c r="B3264" i="1"/>
  <c r="A3265" i="1"/>
  <c r="B3265" i="1"/>
  <c r="A3266" i="1"/>
  <c r="B3266" i="1"/>
  <c r="A3267" i="1"/>
  <c r="B3267" i="1"/>
  <c r="A3268" i="1"/>
  <c r="B3268" i="1"/>
  <c r="A3269" i="1"/>
  <c r="B3269" i="1"/>
  <c r="A3270" i="1"/>
  <c r="B3270" i="1"/>
  <c r="A3271" i="1"/>
  <c r="B3271" i="1"/>
  <c r="A3272" i="1"/>
  <c r="B3272" i="1"/>
  <c r="A3273" i="1"/>
  <c r="B3273" i="1"/>
  <c r="A3274" i="1"/>
  <c r="B3274" i="1"/>
  <c r="A3275" i="1"/>
  <c r="B3275" i="1"/>
  <c r="A3276" i="1"/>
  <c r="B3276" i="1"/>
  <c r="A3277" i="1"/>
  <c r="B3277" i="1"/>
  <c r="A3278" i="1"/>
  <c r="B3278" i="1"/>
  <c r="A3279" i="1"/>
  <c r="B3279" i="1"/>
  <c r="A3280" i="1"/>
  <c r="B3280" i="1"/>
  <c r="A3281" i="1"/>
  <c r="B3281" i="1"/>
  <c r="A3282" i="1"/>
  <c r="B3282" i="1"/>
  <c r="A3283" i="1"/>
  <c r="B3283" i="1"/>
  <c r="A3284" i="1"/>
  <c r="B3284" i="1"/>
  <c r="A3285" i="1"/>
  <c r="B3285" i="1"/>
  <c r="A3286" i="1"/>
  <c r="B3286" i="1"/>
  <c r="A3287" i="1"/>
  <c r="B3287" i="1"/>
  <c r="A3288" i="1"/>
  <c r="B3288" i="1"/>
  <c r="A3289" i="1"/>
  <c r="B3289" i="1"/>
  <c r="A3290" i="1"/>
  <c r="B3290" i="1"/>
  <c r="A3291" i="1"/>
  <c r="B3291" i="1"/>
  <c r="A3292" i="1"/>
  <c r="B3292" i="1"/>
  <c r="A3293" i="1"/>
  <c r="B3293" i="1"/>
  <c r="A3294" i="1"/>
  <c r="B3294" i="1"/>
  <c r="A3295" i="1"/>
  <c r="B3295" i="1"/>
  <c r="A3296" i="1"/>
  <c r="B3296" i="1"/>
  <c r="A3297" i="1"/>
  <c r="B3297" i="1"/>
  <c r="A3298" i="1"/>
  <c r="B3298" i="1"/>
  <c r="A3299" i="1"/>
  <c r="B3299" i="1"/>
  <c r="A3300" i="1"/>
  <c r="B3300" i="1"/>
  <c r="A3301" i="1"/>
  <c r="B3301" i="1"/>
  <c r="A3302" i="1"/>
  <c r="B3302" i="1"/>
  <c r="A3303" i="1"/>
  <c r="B3303" i="1"/>
  <c r="A3304" i="1"/>
  <c r="B3304" i="1"/>
  <c r="A3305" i="1"/>
  <c r="B3305" i="1"/>
  <c r="A3306" i="1"/>
  <c r="B3306" i="1"/>
  <c r="A3307" i="1"/>
  <c r="B3307" i="1"/>
  <c r="A3308" i="1"/>
  <c r="B3308" i="1"/>
  <c r="A3309" i="1"/>
  <c r="B3309" i="1"/>
  <c r="A3310" i="1"/>
  <c r="B3310" i="1"/>
  <c r="A3311" i="1"/>
  <c r="B3311" i="1"/>
  <c r="A3312" i="1"/>
  <c r="B3312" i="1"/>
  <c r="A3313" i="1"/>
  <c r="B3313" i="1"/>
  <c r="A3314" i="1"/>
  <c r="B3314" i="1"/>
  <c r="A3315" i="1"/>
  <c r="B3315" i="1"/>
  <c r="A3316" i="1"/>
  <c r="B3316" i="1"/>
  <c r="A3317" i="1"/>
  <c r="B3317" i="1"/>
  <c r="A3318" i="1"/>
  <c r="B3318" i="1"/>
  <c r="A3319" i="1"/>
  <c r="B3319" i="1"/>
  <c r="A3320" i="1"/>
  <c r="B3320" i="1"/>
  <c r="A3321" i="1"/>
  <c r="B3321" i="1"/>
  <c r="A3322" i="1"/>
  <c r="B3322" i="1"/>
  <c r="A3323" i="1"/>
  <c r="B3323" i="1"/>
  <c r="A3324" i="1"/>
  <c r="B3324" i="1"/>
  <c r="A3325" i="1"/>
  <c r="B3325" i="1"/>
  <c r="A3326" i="1"/>
  <c r="B3326" i="1"/>
  <c r="A3327" i="1"/>
  <c r="B3327" i="1"/>
  <c r="A3328" i="1"/>
  <c r="B3328" i="1"/>
  <c r="A3329" i="1"/>
  <c r="B3329" i="1"/>
  <c r="A3330" i="1"/>
  <c r="B3330" i="1"/>
  <c r="A3331" i="1"/>
  <c r="B3331" i="1"/>
  <c r="A3332" i="1"/>
  <c r="B3332" i="1"/>
  <c r="A3333" i="1"/>
  <c r="B3333" i="1"/>
  <c r="A3334" i="1"/>
  <c r="B3334" i="1"/>
  <c r="A3335" i="1"/>
  <c r="B3335" i="1"/>
  <c r="A3336" i="1"/>
  <c r="B3336" i="1"/>
  <c r="A3337" i="1"/>
  <c r="B3337" i="1"/>
  <c r="A3338" i="1"/>
  <c r="B3338" i="1"/>
  <c r="A3339" i="1"/>
  <c r="B3339" i="1"/>
  <c r="A3340" i="1"/>
  <c r="B3340" i="1"/>
  <c r="A3341" i="1"/>
  <c r="B3341" i="1"/>
  <c r="A3342" i="1"/>
  <c r="B3342" i="1"/>
  <c r="A3343" i="1"/>
  <c r="B3343" i="1"/>
  <c r="A3344" i="1"/>
  <c r="B3344" i="1"/>
  <c r="A3345" i="1"/>
  <c r="B3345" i="1"/>
  <c r="A3346" i="1"/>
  <c r="B3346" i="1"/>
  <c r="A3347" i="1"/>
  <c r="B3347" i="1"/>
  <c r="A3348" i="1"/>
  <c r="B3348" i="1"/>
  <c r="A3349" i="1"/>
  <c r="B3349" i="1"/>
  <c r="A3350" i="1"/>
  <c r="B3350" i="1"/>
  <c r="A3351" i="1"/>
  <c r="B3351" i="1"/>
  <c r="A3352" i="1"/>
  <c r="B3352" i="1"/>
  <c r="A3353" i="1"/>
  <c r="B3353" i="1"/>
  <c r="A3354" i="1"/>
  <c r="B3354" i="1"/>
  <c r="A3355" i="1"/>
  <c r="B3355" i="1"/>
  <c r="A3356" i="1"/>
  <c r="B3356" i="1"/>
  <c r="A3357" i="1"/>
  <c r="B3357" i="1"/>
  <c r="A3358" i="1"/>
  <c r="B3358" i="1"/>
  <c r="A3359" i="1"/>
  <c r="B3359" i="1"/>
  <c r="A3360" i="1"/>
  <c r="B3360" i="1"/>
  <c r="A3361" i="1"/>
  <c r="B3361" i="1"/>
  <c r="A3362" i="1"/>
  <c r="B3362" i="1"/>
  <c r="A3363" i="1"/>
  <c r="B3363" i="1"/>
  <c r="A3364" i="1"/>
  <c r="B3364" i="1"/>
  <c r="A3365" i="1"/>
  <c r="B3365" i="1"/>
  <c r="A3366" i="1"/>
  <c r="B3366" i="1"/>
  <c r="A3367" i="1"/>
  <c r="B3367" i="1"/>
  <c r="A3368" i="1"/>
  <c r="B3368" i="1"/>
  <c r="A3369" i="1"/>
  <c r="B3369" i="1"/>
  <c r="A3370" i="1"/>
  <c r="B3370" i="1"/>
  <c r="A3371" i="1"/>
  <c r="B3371" i="1"/>
  <c r="A3372" i="1"/>
  <c r="B3372" i="1"/>
  <c r="A3373" i="1"/>
  <c r="B3373" i="1"/>
  <c r="A3374" i="1"/>
  <c r="B3374" i="1"/>
  <c r="A3375" i="1"/>
  <c r="B3375" i="1"/>
  <c r="A3376" i="1"/>
  <c r="B3376" i="1"/>
  <c r="A3377" i="1"/>
  <c r="B3377" i="1"/>
  <c r="A3378" i="1"/>
  <c r="B3378" i="1"/>
  <c r="A3379" i="1"/>
  <c r="B3379" i="1"/>
  <c r="A3380" i="1"/>
  <c r="B3380" i="1"/>
  <c r="A3381" i="1"/>
  <c r="B3381" i="1"/>
  <c r="A3382" i="1"/>
  <c r="B3382" i="1"/>
  <c r="A3383" i="1"/>
  <c r="B3383" i="1"/>
  <c r="A3384" i="1"/>
  <c r="B3384" i="1"/>
  <c r="A3385" i="1"/>
  <c r="B3385" i="1"/>
  <c r="A3386" i="1"/>
  <c r="B3386" i="1"/>
  <c r="A3387" i="1"/>
  <c r="B3387" i="1"/>
  <c r="A3388" i="1"/>
  <c r="B3388" i="1"/>
  <c r="A3389" i="1"/>
  <c r="B3389" i="1"/>
  <c r="A3390" i="1"/>
  <c r="B3390" i="1"/>
  <c r="A3391" i="1"/>
  <c r="B3391" i="1"/>
  <c r="A3392" i="1"/>
  <c r="B3392" i="1"/>
  <c r="A3393" i="1"/>
  <c r="B3393" i="1"/>
  <c r="A3394" i="1"/>
  <c r="B3394" i="1"/>
  <c r="A3395" i="1"/>
  <c r="B3395" i="1"/>
  <c r="A3396" i="1"/>
  <c r="B3396" i="1"/>
  <c r="A3397" i="1"/>
  <c r="B3397" i="1"/>
  <c r="A3398" i="1"/>
  <c r="B3398" i="1"/>
  <c r="A3399" i="1"/>
  <c r="B3399" i="1"/>
  <c r="A3400" i="1"/>
  <c r="B3400" i="1"/>
  <c r="A3401" i="1"/>
  <c r="B3401" i="1"/>
  <c r="A3402" i="1"/>
  <c r="B3402" i="1"/>
  <c r="A3403" i="1"/>
  <c r="B3403" i="1"/>
  <c r="A3404" i="1"/>
  <c r="B3404" i="1"/>
  <c r="A3405" i="1"/>
  <c r="B3405" i="1"/>
  <c r="A3406" i="1"/>
  <c r="B3406" i="1"/>
  <c r="A3407" i="1"/>
  <c r="B3407" i="1"/>
  <c r="A3408" i="1"/>
  <c r="B3408" i="1"/>
  <c r="A3409" i="1"/>
  <c r="B3409" i="1"/>
  <c r="A3410" i="1"/>
  <c r="B3410" i="1"/>
  <c r="A3411" i="1"/>
  <c r="B3411" i="1"/>
  <c r="A3412" i="1"/>
  <c r="B3412" i="1"/>
  <c r="A3413" i="1"/>
  <c r="B3413" i="1"/>
  <c r="A3414" i="1"/>
  <c r="B3414" i="1"/>
  <c r="A3415" i="1"/>
  <c r="B3415" i="1"/>
  <c r="A3416" i="1"/>
  <c r="B3416" i="1"/>
  <c r="A3417" i="1"/>
  <c r="B3417" i="1"/>
  <c r="A3418" i="1"/>
  <c r="B3418" i="1"/>
  <c r="A3419" i="1"/>
  <c r="B3419" i="1"/>
  <c r="A3420" i="1"/>
  <c r="B3420" i="1"/>
  <c r="A3421" i="1"/>
  <c r="B3421" i="1"/>
  <c r="A3422" i="1"/>
  <c r="B3422" i="1"/>
  <c r="A3423" i="1"/>
  <c r="B3423" i="1"/>
  <c r="A3424" i="1"/>
  <c r="B3424" i="1"/>
  <c r="A3425" i="1"/>
  <c r="B3425" i="1"/>
  <c r="A3426" i="1"/>
  <c r="B3426" i="1"/>
  <c r="A3427" i="1"/>
  <c r="B3427" i="1"/>
  <c r="A3428" i="1"/>
  <c r="B3428" i="1"/>
  <c r="A3429" i="1"/>
  <c r="B3429" i="1"/>
  <c r="A3430" i="1"/>
  <c r="B3430" i="1"/>
  <c r="A3431" i="1"/>
  <c r="B3431" i="1"/>
  <c r="A3432" i="1"/>
  <c r="B3432" i="1"/>
  <c r="A3433" i="1"/>
  <c r="B3433" i="1"/>
  <c r="A3434" i="1"/>
  <c r="B3434" i="1"/>
  <c r="A3435" i="1"/>
  <c r="B3435" i="1"/>
  <c r="A3436" i="1"/>
  <c r="B3436" i="1"/>
  <c r="A3437" i="1"/>
  <c r="B3437" i="1"/>
  <c r="A3438" i="1"/>
  <c r="B3438" i="1"/>
  <c r="A3439" i="1"/>
  <c r="B3439" i="1"/>
  <c r="A3440" i="1"/>
  <c r="B3440" i="1"/>
  <c r="A3441" i="1"/>
  <c r="B3441" i="1"/>
  <c r="A3442" i="1"/>
  <c r="B3442" i="1"/>
  <c r="A3443" i="1"/>
  <c r="B3443" i="1"/>
  <c r="A3444" i="1"/>
  <c r="B3444" i="1"/>
  <c r="A3445" i="1"/>
  <c r="B3445" i="1"/>
  <c r="A3446" i="1"/>
  <c r="B3446" i="1"/>
  <c r="A3447" i="1"/>
  <c r="B3447" i="1"/>
  <c r="A3448" i="1"/>
  <c r="B3448" i="1"/>
  <c r="A3449" i="1"/>
  <c r="B3449" i="1"/>
  <c r="A3450" i="1"/>
  <c r="B3450" i="1"/>
  <c r="A3451" i="1"/>
  <c r="B3451" i="1"/>
  <c r="A3452" i="1"/>
  <c r="B3452" i="1"/>
  <c r="A3453" i="1"/>
  <c r="B3453" i="1"/>
  <c r="A3454" i="1"/>
  <c r="B3454" i="1"/>
  <c r="A3455" i="1"/>
  <c r="B3455" i="1"/>
  <c r="A3456" i="1"/>
  <c r="B3456" i="1"/>
  <c r="A3457" i="1"/>
  <c r="B3457" i="1"/>
  <c r="A3458" i="1"/>
  <c r="B3458" i="1"/>
  <c r="A3459" i="1"/>
  <c r="B3459" i="1"/>
  <c r="A3460" i="1"/>
  <c r="B3460" i="1"/>
  <c r="A3461" i="1"/>
  <c r="B3461" i="1"/>
  <c r="A3462" i="1"/>
  <c r="B3462" i="1"/>
  <c r="A3463" i="1"/>
  <c r="B3463" i="1"/>
  <c r="A3464" i="1"/>
  <c r="B3464" i="1"/>
  <c r="A3465" i="1"/>
  <c r="B3465" i="1"/>
  <c r="A3466" i="1"/>
  <c r="B3466" i="1"/>
  <c r="A3467" i="1"/>
  <c r="B3467" i="1"/>
  <c r="A3468" i="1"/>
  <c r="B3468" i="1"/>
  <c r="A3469" i="1"/>
  <c r="B3469" i="1"/>
  <c r="A3470" i="1"/>
  <c r="B3470" i="1"/>
  <c r="A3471" i="1"/>
  <c r="B3471" i="1"/>
  <c r="A3472" i="1"/>
  <c r="B3472" i="1"/>
  <c r="A3473" i="1"/>
  <c r="B3473" i="1"/>
  <c r="A3474" i="1"/>
  <c r="B3474" i="1"/>
  <c r="A3475" i="1"/>
  <c r="B3475" i="1"/>
  <c r="A3476" i="1"/>
  <c r="B3476" i="1"/>
  <c r="A3477" i="1"/>
  <c r="B3477" i="1"/>
  <c r="A3478" i="1"/>
  <c r="B3478" i="1"/>
  <c r="A3479" i="1"/>
  <c r="B3479" i="1"/>
  <c r="A3480" i="1"/>
  <c r="B3480" i="1"/>
  <c r="A3481" i="1"/>
  <c r="B3481" i="1"/>
  <c r="A3482" i="1"/>
  <c r="B3482" i="1"/>
  <c r="A3483" i="1"/>
  <c r="B3483" i="1"/>
  <c r="A3484" i="1"/>
  <c r="B3484" i="1"/>
  <c r="A3485" i="1"/>
  <c r="B3485" i="1"/>
  <c r="A3486" i="1"/>
  <c r="B3486" i="1"/>
  <c r="A3487" i="1"/>
  <c r="B3487" i="1"/>
  <c r="A3488" i="1"/>
  <c r="B3488" i="1"/>
  <c r="A3489" i="1"/>
  <c r="B3489" i="1"/>
  <c r="A3490" i="1"/>
  <c r="B3490" i="1"/>
  <c r="A3491" i="1"/>
  <c r="B3491" i="1"/>
  <c r="A3492" i="1"/>
  <c r="B3492" i="1"/>
  <c r="A3493" i="1"/>
  <c r="B3493" i="1"/>
  <c r="A3494" i="1"/>
  <c r="B3494" i="1"/>
  <c r="A3495" i="1"/>
  <c r="B3495" i="1"/>
  <c r="A3496" i="1"/>
  <c r="B3496" i="1"/>
  <c r="A3497" i="1"/>
  <c r="B3497" i="1"/>
  <c r="A3498" i="1"/>
  <c r="B3498" i="1"/>
  <c r="A3499" i="1"/>
  <c r="B3499" i="1"/>
  <c r="A3500" i="1"/>
  <c r="B3500" i="1"/>
  <c r="A3501" i="1"/>
  <c r="B3501" i="1"/>
  <c r="A3502" i="1"/>
  <c r="B3502" i="1"/>
  <c r="A3503" i="1"/>
  <c r="B3503" i="1"/>
  <c r="A3504" i="1"/>
  <c r="B3504" i="1"/>
  <c r="A3505" i="1"/>
  <c r="B3505" i="1"/>
  <c r="A3506" i="1"/>
  <c r="B3506" i="1"/>
  <c r="A3507" i="1"/>
  <c r="B3507" i="1"/>
  <c r="A3508" i="1"/>
  <c r="B3508" i="1"/>
  <c r="A3509" i="1"/>
  <c r="B3509" i="1"/>
  <c r="A3510" i="1"/>
  <c r="B3510" i="1"/>
  <c r="A3511" i="1"/>
  <c r="B3511" i="1"/>
  <c r="A3512" i="1"/>
  <c r="B3512" i="1"/>
  <c r="A3513" i="1"/>
  <c r="B3513" i="1"/>
  <c r="A3514" i="1"/>
  <c r="B3514" i="1"/>
  <c r="A3515" i="1"/>
  <c r="B3515" i="1"/>
  <c r="A3516" i="1"/>
  <c r="B3516" i="1"/>
  <c r="A3517" i="1"/>
  <c r="B3517" i="1"/>
  <c r="A3518" i="1"/>
  <c r="B3518" i="1"/>
  <c r="A3519" i="1"/>
  <c r="B3519" i="1"/>
  <c r="A3520" i="1"/>
  <c r="B3520" i="1"/>
  <c r="A3521" i="1"/>
  <c r="B3521" i="1"/>
  <c r="A3522" i="1"/>
  <c r="B3522" i="1"/>
  <c r="A3523" i="1"/>
  <c r="B3523" i="1"/>
  <c r="A3524" i="1"/>
  <c r="B3524" i="1"/>
  <c r="A3525" i="1"/>
  <c r="B3525" i="1"/>
  <c r="A3526" i="1"/>
  <c r="B3526" i="1"/>
  <c r="A3527" i="1"/>
  <c r="B3527" i="1"/>
  <c r="A3528" i="1"/>
  <c r="B3528" i="1"/>
  <c r="A3529" i="1"/>
  <c r="B3529" i="1"/>
  <c r="A3530" i="1"/>
  <c r="B3530" i="1"/>
  <c r="A3531" i="1"/>
  <c r="B3531" i="1"/>
  <c r="A3532" i="1"/>
  <c r="B3532" i="1"/>
  <c r="A3533" i="1"/>
  <c r="B3533" i="1"/>
  <c r="A3534" i="1"/>
  <c r="B3534" i="1"/>
  <c r="A3535" i="1"/>
  <c r="B3535" i="1"/>
  <c r="A3536" i="1"/>
  <c r="B3536" i="1"/>
  <c r="A3537" i="1"/>
  <c r="B3537" i="1"/>
  <c r="A3538" i="1"/>
  <c r="B3538" i="1"/>
  <c r="A3539" i="1"/>
  <c r="B3539" i="1"/>
  <c r="A3540" i="1"/>
  <c r="B3540" i="1"/>
  <c r="A3541" i="1"/>
  <c r="B3541" i="1"/>
  <c r="A3542" i="1"/>
  <c r="B3542" i="1"/>
  <c r="A3543" i="1"/>
  <c r="B3543" i="1"/>
  <c r="A3544" i="1"/>
  <c r="B3544" i="1"/>
  <c r="A3545" i="1"/>
  <c r="B3545" i="1"/>
  <c r="A3546" i="1"/>
  <c r="B3546" i="1"/>
  <c r="A3547" i="1"/>
  <c r="B3547" i="1"/>
  <c r="A3548" i="1"/>
  <c r="B3548" i="1"/>
  <c r="A3549" i="1"/>
  <c r="B3549" i="1"/>
  <c r="A3550" i="1"/>
  <c r="B3550" i="1"/>
  <c r="A3551" i="1"/>
  <c r="B3551" i="1"/>
  <c r="A3552" i="1"/>
  <c r="B3552" i="1"/>
  <c r="A3553" i="1"/>
  <c r="B3553" i="1"/>
  <c r="A3554" i="1"/>
  <c r="B3554" i="1"/>
  <c r="A3555" i="1"/>
  <c r="B3555" i="1"/>
  <c r="A3556" i="1"/>
  <c r="B3556" i="1"/>
  <c r="A3557" i="1"/>
  <c r="B3557" i="1"/>
  <c r="A3558" i="1"/>
  <c r="B3558" i="1"/>
  <c r="A3559" i="1"/>
  <c r="B3559" i="1"/>
  <c r="A3560" i="1"/>
  <c r="B3560" i="1"/>
  <c r="A3561" i="1"/>
  <c r="B3561" i="1"/>
  <c r="A3562" i="1"/>
  <c r="B3562" i="1"/>
  <c r="A3563" i="1"/>
  <c r="B3563" i="1"/>
  <c r="A3564" i="1"/>
  <c r="B3564" i="1"/>
  <c r="A3565" i="1"/>
  <c r="B3565" i="1"/>
  <c r="A3566" i="1"/>
  <c r="B3566" i="1"/>
  <c r="A3567" i="1"/>
  <c r="B3567" i="1"/>
  <c r="A3568" i="1"/>
  <c r="B3568" i="1"/>
  <c r="A3569" i="1"/>
  <c r="B3569" i="1"/>
  <c r="A3570" i="1"/>
  <c r="B3570" i="1"/>
  <c r="A3571" i="1"/>
  <c r="B3571" i="1"/>
  <c r="A3572" i="1"/>
  <c r="B3572" i="1"/>
  <c r="A3573" i="1"/>
  <c r="B3573" i="1"/>
  <c r="A3574" i="1"/>
  <c r="B3574" i="1"/>
  <c r="A3575" i="1"/>
  <c r="B3575" i="1"/>
  <c r="A3576" i="1"/>
  <c r="B3576" i="1"/>
  <c r="A3577" i="1"/>
  <c r="B3577" i="1"/>
  <c r="A3578" i="1"/>
  <c r="B3578" i="1"/>
  <c r="A3579" i="1"/>
  <c r="B3579" i="1"/>
  <c r="A3580" i="1"/>
  <c r="B3580" i="1"/>
  <c r="A3581" i="1"/>
  <c r="B3581" i="1"/>
  <c r="A3582" i="1"/>
  <c r="B3582" i="1"/>
  <c r="A3583" i="1"/>
  <c r="B3583" i="1"/>
  <c r="A3584" i="1"/>
  <c r="B3584" i="1"/>
  <c r="A3585" i="1"/>
  <c r="B3585" i="1"/>
  <c r="A3586" i="1"/>
  <c r="B3586" i="1"/>
  <c r="A3587" i="1"/>
  <c r="B3587" i="1"/>
  <c r="A3588" i="1"/>
  <c r="B3588" i="1"/>
  <c r="A3589" i="1"/>
  <c r="B3589" i="1"/>
  <c r="A3590" i="1"/>
  <c r="B3590" i="1"/>
  <c r="A3591" i="1"/>
  <c r="B3591" i="1"/>
  <c r="A3592" i="1"/>
  <c r="B3592" i="1"/>
  <c r="A3593" i="1"/>
  <c r="B3593" i="1"/>
  <c r="A3594" i="1"/>
  <c r="B3594" i="1"/>
  <c r="A3595" i="1"/>
  <c r="B3595" i="1"/>
  <c r="A3596" i="1"/>
  <c r="B3596" i="1"/>
  <c r="A3597" i="1"/>
  <c r="B3597" i="1"/>
  <c r="A3598" i="1"/>
  <c r="B3598" i="1"/>
  <c r="A3599" i="1"/>
  <c r="B3599" i="1"/>
  <c r="A3600" i="1"/>
  <c r="B3600" i="1"/>
  <c r="A3601" i="1"/>
  <c r="B3601" i="1"/>
  <c r="A3602" i="1"/>
  <c r="B3602" i="1"/>
  <c r="A3603" i="1"/>
  <c r="B3603" i="1"/>
  <c r="A3604" i="1"/>
  <c r="B3604" i="1"/>
  <c r="A3605" i="1"/>
  <c r="B3605" i="1"/>
  <c r="A3606" i="1"/>
  <c r="B3606" i="1"/>
  <c r="A3607" i="1"/>
  <c r="B3607" i="1"/>
  <c r="A3608" i="1"/>
  <c r="B3608" i="1"/>
  <c r="A3609" i="1"/>
  <c r="B3609" i="1"/>
  <c r="A3610" i="1"/>
  <c r="B3610" i="1"/>
  <c r="A3611" i="1"/>
  <c r="B3611" i="1"/>
  <c r="A3612" i="1"/>
  <c r="B3612" i="1"/>
  <c r="A3613" i="1"/>
  <c r="B3613" i="1"/>
  <c r="A3614" i="1"/>
  <c r="B3614" i="1"/>
  <c r="A3615" i="1"/>
  <c r="B3615" i="1"/>
  <c r="A3616" i="1"/>
  <c r="B3616" i="1"/>
  <c r="A3617" i="1"/>
  <c r="B3617" i="1"/>
  <c r="A3618" i="1"/>
  <c r="B3618" i="1"/>
  <c r="A3619" i="1"/>
  <c r="B3619" i="1"/>
  <c r="A3620" i="1"/>
  <c r="B3620" i="1"/>
  <c r="A3621" i="1"/>
  <c r="B3621" i="1"/>
  <c r="A3622" i="1"/>
  <c r="B3622" i="1"/>
  <c r="A3623" i="1"/>
  <c r="B3623" i="1"/>
  <c r="A3624" i="1"/>
  <c r="B3624" i="1"/>
  <c r="A3625" i="1"/>
  <c r="B3625" i="1"/>
  <c r="A3626" i="1"/>
  <c r="B3626" i="1"/>
  <c r="A3627" i="1"/>
  <c r="B3627" i="1"/>
  <c r="A3628" i="1"/>
  <c r="B3628" i="1"/>
  <c r="A3629" i="1"/>
  <c r="B3629" i="1"/>
  <c r="A3630" i="1"/>
  <c r="B3630" i="1"/>
  <c r="A3631" i="1"/>
  <c r="B3631" i="1"/>
  <c r="A3632" i="1"/>
  <c r="B3632" i="1"/>
  <c r="A3633" i="1"/>
  <c r="B3633" i="1"/>
  <c r="A3634" i="1"/>
  <c r="B3634" i="1"/>
  <c r="A3635" i="1"/>
  <c r="B3635" i="1"/>
  <c r="A3636" i="1"/>
  <c r="B3636" i="1"/>
  <c r="A3637" i="1"/>
  <c r="B3637" i="1"/>
  <c r="A3638" i="1"/>
  <c r="B3638" i="1"/>
  <c r="A3639" i="1"/>
  <c r="B3639" i="1"/>
  <c r="A3640" i="1"/>
  <c r="B3640" i="1"/>
  <c r="A3641" i="1"/>
  <c r="B3641" i="1"/>
  <c r="A3642" i="1"/>
  <c r="B3642" i="1"/>
  <c r="A3643" i="1"/>
  <c r="B3643" i="1"/>
  <c r="A3644" i="1"/>
  <c r="B3644" i="1"/>
  <c r="A3645" i="1"/>
  <c r="B3645" i="1"/>
  <c r="A3646" i="1"/>
  <c r="B3646" i="1"/>
  <c r="A3647" i="1"/>
  <c r="B3647" i="1"/>
  <c r="A3648" i="1"/>
  <c r="B3648" i="1"/>
  <c r="A3649" i="1"/>
  <c r="B3649" i="1"/>
  <c r="A3650" i="1"/>
  <c r="B3650" i="1"/>
  <c r="A3651" i="1"/>
  <c r="B3651" i="1"/>
  <c r="A3652" i="1"/>
  <c r="B3652" i="1"/>
  <c r="A3653" i="1"/>
  <c r="B3653" i="1"/>
  <c r="A3654" i="1"/>
  <c r="B3654" i="1"/>
  <c r="A3655" i="1"/>
  <c r="B3655" i="1"/>
  <c r="A3656" i="1"/>
  <c r="B3656" i="1"/>
  <c r="A3657" i="1"/>
  <c r="B3657" i="1"/>
  <c r="A3658" i="1"/>
  <c r="B3658" i="1"/>
  <c r="A3659" i="1"/>
  <c r="B3659" i="1"/>
  <c r="A3660" i="1"/>
  <c r="B3660" i="1"/>
  <c r="A3661" i="1"/>
  <c r="B3661" i="1"/>
  <c r="A3662" i="1"/>
  <c r="B3662" i="1"/>
  <c r="A3663" i="1"/>
  <c r="B3663" i="1"/>
  <c r="A3664" i="1"/>
  <c r="B3664" i="1"/>
  <c r="A3665" i="1"/>
  <c r="B3665" i="1"/>
  <c r="A3666" i="1"/>
  <c r="B3666" i="1"/>
  <c r="A3667" i="1"/>
  <c r="B3667" i="1"/>
  <c r="A3668" i="1"/>
  <c r="B3668" i="1"/>
  <c r="A3669" i="1"/>
  <c r="B3669" i="1"/>
  <c r="A3670" i="1"/>
  <c r="B3670" i="1"/>
  <c r="A3671" i="1"/>
  <c r="B3671" i="1"/>
  <c r="A3672" i="1"/>
  <c r="B3672" i="1"/>
  <c r="A3673" i="1"/>
  <c r="B3673" i="1"/>
  <c r="A3674" i="1"/>
  <c r="B3674" i="1"/>
  <c r="A3675" i="1"/>
  <c r="B3675" i="1"/>
  <c r="A3676" i="1"/>
  <c r="B3676" i="1"/>
  <c r="A3677" i="1"/>
  <c r="B3677" i="1"/>
  <c r="A3678" i="1"/>
  <c r="B3678" i="1"/>
  <c r="A3679" i="1"/>
  <c r="B3679" i="1"/>
  <c r="A3680" i="1"/>
  <c r="B3680" i="1"/>
  <c r="A3681" i="1"/>
  <c r="B3681" i="1"/>
  <c r="A3682" i="1"/>
  <c r="B3682" i="1"/>
  <c r="A3683" i="1"/>
  <c r="B3683" i="1"/>
  <c r="A3684" i="1"/>
  <c r="B3684" i="1"/>
  <c r="A3685" i="1"/>
  <c r="B3685" i="1"/>
  <c r="A3686" i="1"/>
  <c r="B3686" i="1"/>
  <c r="A3687" i="1"/>
  <c r="B3687" i="1"/>
  <c r="A3688" i="1"/>
  <c r="B3688" i="1"/>
  <c r="A3689" i="1"/>
  <c r="B3689" i="1"/>
  <c r="A3690" i="1"/>
  <c r="B3690" i="1"/>
  <c r="A3691" i="1"/>
  <c r="B3691" i="1"/>
  <c r="A3692" i="1"/>
  <c r="B3692" i="1"/>
  <c r="A3693" i="1"/>
  <c r="B3693" i="1"/>
  <c r="A3694" i="1"/>
  <c r="B3694" i="1"/>
  <c r="A3695" i="1"/>
  <c r="B3695" i="1"/>
  <c r="A3696" i="1"/>
  <c r="B3696" i="1"/>
  <c r="A3697" i="1"/>
  <c r="B3697" i="1"/>
  <c r="A3698" i="1"/>
  <c r="B3698" i="1"/>
  <c r="A3699" i="1"/>
  <c r="B3699" i="1"/>
  <c r="A3700" i="1"/>
  <c r="B3700" i="1"/>
  <c r="A3701" i="1"/>
  <c r="B3701" i="1"/>
  <c r="A3702" i="1"/>
  <c r="B3702" i="1"/>
  <c r="A3703" i="1"/>
  <c r="B3703" i="1"/>
  <c r="A3704" i="1"/>
  <c r="B3704" i="1"/>
  <c r="A3705" i="1"/>
  <c r="B3705" i="1"/>
  <c r="A3706" i="1"/>
  <c r="B3706" i="1"/>
  <c r="A3707" i="1"/>
  <c r="B3707" i="1"/>
  <c r="A3708" i="1"/>
  <c r="B3708" i="1"/>
  <c r="A3709" i="1"/>
  <c r="B3709" i="1"/>
  <c r="A3710" i="1"/>
  <c r="B3710" i="1"/>
  <c r="A3711" i="1"/>
  <c r="B3711" i="1"/>
  <c r="A3712" i="1"/>
  <c r="B3712" i="1"/>
  <c r="A3713" i="1"/>
  <c r="B3713" i="1"/>
  <c r="A3714" i="1"/>
  <c r="B3714" i="1"/>
  <c r="A3715" i="1"/>
  <c r="B3715" i="1"/>
  <c r="A3716" i="1"/>
  <c r="B3716" i="1"/>
  <c r="A3717" i="1"/>
  <c r="B3717" i="1"/>
  <c r="A3718" i="1"/>
  <c r="B3718" i="1"/>
  <c r="A3719" i="1"/>
  <c r="B3719" i="1"/>
  <c r="A3720" i="1"/>
  <c r="B3720" i="1"/>
  <c r="A3721" i="1"/>
  <c r="B3721" i="1"/>
  <c r="A3722" i="1"/>
  <c r="B3722" i="1"/>
  <c r="A3723" i="1"/>
  <c r="B3723" i="1"/>
  <c r="A3724" i="1"/>
  <c r="B3724" i="1"/>
  <c r="A3725" i="1"/>
  <c r="B3725" i="1"/>
  <c r="A3726" i="1"/>
  <c r="B3726" i="1"/>
  <c r="A3727" i="1"/>
  <c r="B3727" i="1"/>
  <c r="A3728" i="1"/>
  <c r="B3728" i="1"/>
  <c r="A3729" i="1"/>
  <c r="B3729" i="1"/>
  <c r="A3730" i="1"/>
  <c r="B3730" i="1"/>
  <c r="A3731" i="1"/>
  <c r="B3731" i="1"/>
  <c r="A3732" i="1"/>
  <c r="B3732" i="1"/>
  <c r="A3733" i="1"/>
  <c r="B3733" i="1"/>
  <c r="A3734" i="1"/>
  <c r="B3734" i="1"/>
  <c r="A3735" i="1"/>
  <c r="B3735" i="1"/>
  <c r="A3736" i="1"/>
  <c r="B3736" i="1"/>
  <c r="A3737" i="1"/>
  <c r="B3737" i="1"/>
  <c r="A3738" i="1"/>
  <c r="B3738" i="1"/>
  <c r="A3739" i="1"/>
  <c r="B3739" i="1"/>
  <c r="A3740" i="1"/>
  <c r="B3740" i="1"/>
  <c r="A3741" i="1"/>
  <c r="B3741" i="1"/>
  <c r="A3742" i="1"/>
  <c r="B3742" i="1"/>
  <c r="A3743" i="1"/>
  <c r="B3743" i="1"/>
  <c r="A3744" i="1"/>
  <c r="B3744" i="1"/>
  <c r="A3745" i="1"/>
  <c r="B3745" i="1"/>
  <c r="A3746" i="1"/>
  <c r="B3746" i="1"/>
  <c r="A3747" i="1"/>
  <c r="B3747" i="1"/>
  <c r="A3748" i="1"/>
  <c r="B3748" i="1"/>
  <c r="A3749" i="1"/>
  <c r="B3749" i="1"/>
  <c r="A3750" i="1"/>
  <c r="B3750" i="1"/>
  <c r="A3751" i="1"/>
  <c r="B3751" i="1"/>
  <c r="A3752" i="1"/>
  <c r="B3752" i="1"/>
  <c r="A3753" i="1"/>
  <c r="B3753" i="1"/>
  <c r="A3754" i="1"/>
  <c r="B3754" i="1"/>
  <c r="A3755" i="1"/>
  <c r="B3755" i="1"/>
  <c r="A3756" i="1"/>
  <c r="B3756" i="1"/>
  <c r="A3757" i="1"/>
  <c r="B3757" i="1"/>
  <c r="A3758" i="1"/>
  <c r="B3758" i="1"/>
  <c r="A3759" i="1"/>
  <c r="B3759" i="1"/>
  <c r="A3760" i="1"/>
  <c r="B3760" i="1"/>
  <c r="A3761" i="1"/>
  <c r="B3761" i="1"/>
  <c r="A3762" i="1"/>
  <c r="B3762" i="1"/>
  <c r="A3763" i="1"/>
  <c r="B3763" i="1"/>
  <c r="A3764" i="1"/>
  <c r="B3764" i="1"/>
  <c r="A3765" i="1"/>
  <c r="B3765" i="1"/>
  <c r="A3766" i="1"/>
  <c r="B3766" i="1"/>
  <c r="A3767" i="1"/>
  <c r="B3767" i="1"/>
  <c r="A3768" i="1"/>
  <c r="B3768" i="1"/>
  <c r="A3769" i="1"/>
  <c r="B3769" i="1"/>
  <c r="A3770" i="1"/>
  <c r="B3770" i="1"/>
  <c r="A3771" i="1"/>
  <c r="B3771" i="1"/>
  <c r="A3772" i="1"/>
  <c r="B3772" i="1"/>
  <c r="A3773" i="1"/>
  <c r="B3773" i="1"/>
  <c r="A3774" i="1"/>
  <c r="B3774" i="1"/>
  <c r="A3775" i="1"/>
  <c r="B3775" i="1"/>
  <c r="A3776" i="1"/>
  <c r="B3776" i="1"/>
  <c r="A3777" i="1"/>
  <c r="B3777" i="1"/>
  <c r="A3778" i="1"/>
  <c r="B3778" i="1"/>
  <c r="A3779" i="1"/>
  <c r="B3779" i="1"/>
  <c r="A3780" i="1"/>
  <c r="B3780" i="1"/>
  <c r="A3781" i="1"/>
  <c r="B3781" i="1"/>
  <c r="A3782" i="1"/>
  <c r="B3782" i="1"/>
  <c r="A3783" i="1"/>
  <c r="B3783" i="1"/>
  <c r="A3784" i="1"/>
  <c r="B3784" i="1"/>
  <c r="A3785" i="1"/>
  <c r="B3785" i="1"/>
  <c r="A3786" i="1"/>
  <c r="B3786" i="1"/>
  <c r="A3787" i="1"/>
  <c r="B3787" i="1"/>
  <c r="A3788" i="1"/>
  <c r="B3788" i="1"/>
  <c r="A3789" i="1"/>
  <c r="B3789" i="1"/>
  <c r="A3790" i="1"/>
  <c r="B3790" i="1"/>
  <c r="A3791" i="1"/>
  <c r="B3791" i="1"/>
  <c r="A3792" i="1"/>
  <c r="B3792" i="1"/>
  <c r="A3793" i="1"/>
  <c r="B3793" i="1"/>
  <c r="A3794" i="1"/>
  <c r="B3794" i="1"/>
  <c r="A3795" i="1"/>
  <c r="B3795" i="1"/>
  <c r="A3796" i="1"/>
  <c r="B3796" i="1"/>
  <c r="A3797" i="1"/>
  <c r="B3797" i="1"/>
  <c r="A3798" i="1"/>
  <c r="B3798" i="1"/>
  <c r="A3799" i="1"/>
  <c r="B3799" i="1"/>
  <c r="A3800" i="1"/>
  <c r="B3800" i="1"/>
  <c r="A3801" i="1"/>
  <c r="B3801" i="1"/>
  <c r="A3802" i="1"/>
  <c r="B3802" i="1"/>
  <c r="A3803" i="1"/>
  <c r="B3803" i="1"/>
  <c r="A3804" i="1"/>
  <c r="B3804" i="1"/>
  <c r="A3805" i="1"/>
  <c r="B3805" i="1"/>
  <c r="A3806" i="1"/>
  <c r="B3806" i="1"/>
  <c r="A3807" i="1"/>
  <c r="B3807" i="1"/>
  <c r="A3808" i="1"/>
  <c r="B3808" i="1"/>
  <c r="A3809" i="1"/>
  <c r="B3809" i="1"/>
  <c r="A3810" i="1"/>
  <c r="B3810" i="1"/>
  <c r="A3811" i="1"/>
  <c r="B3811" i="1"/>
  <c r="A3812" i="1"/>
  <c r="B3812" i="1"/>
  <c r="A3813" i="1"/>
  <c r="B3813" i="1"/>
  <c r="A3814" i="1"/>
  <c r="B3814" i="1"/>
  <c r="A3815" i="1"/>
  <c r="B3815" i="1"/>
  <c r="A3816" i="1"/>
  <c r="B3816" i="1"/>
  <c r="A3817" i="1"/>
  <c r="B3817" i="1"/>
  <c r="A3818" i="1"/>
  <c r="B3818" i="1"/>
  <c r="A3819" i="1"/>
  <c r="B3819" i="1"/>
  <c r="A3820" i="1"/>
  <c r="B3820" i="1"/>
  <c r="A3821" i="1"/>
  <c r="B3821" i="1"/>
  <c r="A3822" i="1"/>
  <c r="B3822" i="1"/>
  <c r="A3823" i="1"/>
  <c r="B3823" i="1"/>
  <c r="A3824" i="1"/>
  <c r="B3824" i="1"/>
  <c r="A3825" i="1"/>
  <c r="B3825" i="1"/>
  <c r="A3826" i="1"/>
  <c r="B3826" i="1"/>
  <c r="A3827" i="1"/>
  <c r="B3827" i="1"/>
  <c r="A3828" i="1"/>
  <c r="B3828" i="1"/>
  <c r="A3829" i="1"/>
  <c r="B3829" i="1"/>
  <c r="A3830" i="1"/>
  <c r="B3830" i="1"/>
  <c r="A3831" i="1"/>
  <c r="B3831" i="1"/>
  <c r="A3832" i="1"/>
  <c r="B3832" i="1"/>
  <c r="A3833" i="1"/>
  <c r="B3833" i="1"/>
  <c r="A3834" i="1"/>
  <c r="B3834" i="1"/>
  <c r="A3835" i="1"/>
  <c r="B3835" i="1"/>
  <c r="A3836" i="1"/>
  <c r="B3836" i="1"/>
  <c r="A3837" i="1"/>
  <c r="B3837" i="1"/>
  <c r="A3838" i="1"/>
  <c r="B3838" i="1"/>
  <c r="A3839" i="1"/>
  <c r="B3839" i="1"/>
  <c r="A3840" i="1"/>
  <c r="B3840" i="1"/>
  <c r="A3841" i="1"/>
  <c r="B3841" i="1"/>
  <c r="A3842" i="1"/>
  <c r="B3842" i="1"/>
  <c r="A3843" i="1"/>
  <c r="B3843" i="1"/>
  <c r="A3844" i="1"/>
  <c r="B3844" i="1"/>
  <c r="A3845" i="1"/>
  <c r="B3845" i="1"/>
  <c r="A3846" i="1"/>
  <c r="B3846" i="1"/>
  <c r="A3847" i="1"/>
  <c r="B3847" i="1"/>
  <c r="A3848" i="1"/>
  <c r="B3848" i="1"/>
  <c r="A3849" i="1"/>
  <c r="B3849" i="1"/>
  <c r="A3850" i="1"/>
  <c r="B3850" i="1"/>
  <c r="A3851" i="1"/>
  <c r="B3851" i="1"/>
  <c r="A3852" i="1"/>
  <c r="B3852" i="1"/>
  <c r="A3853" i="1"/>
  <c r="B3853" i="1"/>
  <c r="A3854" i="1"/>
  <c r="B3854" i="1"/>
  <c r="A3855" i="1"/>
  <c r="B3855" i="1"/>
  <c r="A3856" i="1"/>
  <c r="B3856" i="1"/>
  <c r="A3857" i="1"/>
  <c r="B3857" i="1"/>
  <c r="A3858" i="1"/>
  <c r="B3858" i="1"/>
  <c r="A3859" i="1"/>
  <c r="B3859" i="1"/>
  <c r="A3860" i="1"/>
  <c r="B3860" i="1"/>
  <c r="A3861" i="1"/>
  <c r="B3861" i="1"/>
  <c r="A3862" i="1"/>
  <c r="B3862" i="1"/>
  <c r="A3863" i="1"/>
  <c r="B3863" i="1"/>
  <c r="A3864" i="1"/>
  <c r="B3864" i="1"/>
  <c r="A3865" i="1"/>
  <c r="B3865" i="1"/>
  <c r="A3866" i="1"/>
  <c r="B3866" i="1"/>
  <c r="A3867" i="1"/>
  <c r="B3867" i="1"/>
  <c r="A3868" i="1"/>
  <c r="B3868" i="1"/>
  <c r="A3869" i="1"/>
  <c r="B3869" i="1"/>
  <c r="A3870" i="1"/>
  <c r="B3870" i="1"/>
  <c r="A3871" i="1"/>
  <c r="B3871" i="1"/>
  <c r="A3872" i="1"/>
  <c r="B3872" i="1"/>
  <c r="A3873" i="1"/>
  <c r="B3873" i="1"/>
  <c r="A3874" i="1"/>
  <c r="B3874" i="1"/>
  <c r="A3875" i="1"/>
  <c r="B3875" i="1"/>
  <c r="A3876" i="1"/>
  <c r="B3876" i="1"/>
  <c r="A3877" i="1"/>
  <c r="B3877" i="1"/>
  <c r="A3878" i="1"/>
  <c r="B3878" i="1"/>
  <c r="A3879" i="1"/>
  <c r="B3879" i="1"/>
  <c r="A3880" i="1"/>
  <c r="B3880" i="1"/>
  <c r="A3881" i="1"/>
  <c r="B3881" i="1"/>
  <c r="A3882" i="1"/>
  <c r="B3882" i="1"/>
  <c r="A3883" i="1"/>
  <c r="B3883" i="1"/>
  <c r="A3884" i="1"/>
  <c r="B3884" i="1"/>
  <c r="A3885" i="1"/>
  <c r="B3885" i="1"/>
  <c r="A3886" i="1"/>
  <c r="B3886" i="1"/>
  <c r="A3887" i="1"/>
  <c r="B3887" i="1"/>
  <c r="A3888" i="1"/>
  <c r="B3888" i="1"/>
  <c r="A3889" i="1"/>
  <c r="B3889" i="1"/>
  <c r="A3890" i="1"/>
  <c r="B3890" i="1"/>
  <c r="A3891" i="1"/>
  <c r="B3891" i="1"/>
  <c r="A3892" i="1"/>
  <c r="B3892" i="1"/>
  <c r="A3893" i="1"/>
  <c r="B3893" i="1"/>
  <c r="A3894" i="1"/>
  <c r="B3894" i="1"/>
  <c r="A3895" i="1"/>
  <c r="B3895" i="1"/>
  <c r="A3896" i="1"/>
  <c r="B3896" i="1"/>
  <c r="A3897" i="1"/>
  <c r="B3897" i="1"/>
  <c r="A3898" i="1"/>
  <c r="B3898" i="1"/>
  <c r="A3899" i="1"/>
  <c r="B3899" i="1"/>
  <c r="A3900" i="1"/>
  <c r="B3900" i="1"/>
  <c r="A3901" i="1"/>
  <c r="B3901" i="1"/>
  <c r="A3902" i="1"/>
  <c r="B3902" i="1"/>
  <c r="A3903" i="1"/>
  <c r="B3903" i="1"/>
  <c r="A3904" i="1"/>
  <c r="B3904" i="1"/>
  <c r="A3905" i="1"/>
  <c r="B3905" i="1"/>
  <c r="A3906" i="1"/>
  <c r="B3906" i="1"/>
  <c r="A3907" i="1"/>
  <c r="B3907" i="1"/>
  <c r="A3908" i="1"/>
  <c r="B3908" i="1"/>
  <c r="A3909" i="1"/>
  <c r="B3909" i="1"/>
  <c r="A3910" i="1"/>
  <c r="B3910" i="1"/>
  <c r="A3911" i="1"/>
  <c r="B3911" i="1"/>
  <c r="A3912" i="1"/>
  <c r="B3912" i="1"/>
  <c r="A3913" i="1"/>
  <c r="B3913" i="1"/>
  <c r="A3914" i="1"/>
  <c r="B3914" i="1"/>
  <c r="A3915" i="1"/>
  <c r="B3915" i="1"/>
  <c r="A3916" i="1"/>
  <c r="B3916" i="1"/>
  <c r="A3917" i="1"/>
  <c r="B3917" i="1"/>
  <c r="A3918" i="1"/>
  <c r="B3918" i="1"/>
  <c r="A3919" i="1"/>
  <c r="B3919" i="1"/>
  <c r="A3920" i="1"/>
  <c r="B3920" i="1"/>
  <c r="A3921" i="1"/>
  <c r="B3921" i="1"/>
  <c r="A3922" i="1"/>
  <c r="B3922" i="1"/>
  <c r="A3923" i="1"/>
  <c r="B3923" i="1"/>
  <c r="A3924" i="1"/>
  <c r="B3924" i="1"/>
  <c r="A3925" i="1"/>
  <c r="B3925" i="1"/>
  <c r="A3926" i="1"/>
  <c r="B3926" i="1"/>
  <c r="A3927" i="1"/>
  <c r="B3927" i="1"/>
  <c r="A3928" i="1"/>
  <c r="B3928" i="1"/>
  <c r="A3929" i="1"/>
  <c r="B3929" i="1"/>
  <c r="A3930" i="1"/>
  <c r="B3930" i="1"/>
  <c r="A3931" i="1"/>
  <c r="B3931" i="1"/>
  <c r="A3932" i="1"/>
  <c r="B3932" i="1"/>
  <c r="A3933" i="1"/>
  <c r="B3933" i="1"/>
  <c r="A3934" i="1"/>
  <c r="B3934" i="1"/>
  <c r="A3935" i="1"/>
  <c r="B3935" i="1"/>
  <c r="A3936" i="1"/>
  <c r="B3936" i="1"/>
  <c r="A3937" i="1"/>
  <c r="B3937" i="1"/>
  <c r="A3938" i="1"/>
  <c r="B3938" i="1"/>
  <c r="A3939" i="1"/>
  <c r="B3939" i="1"/>
  <c r="A3940" i="1"/>
  <c r="B3940" i="1"/>
  <c r="A3941" i="1"/>
  <c r="B3941" i="1"/>
  <c r="A3942" i="1"/>
  <c r="B3942" i="1"/>
  <c r="A3943" i="1"/>
  <c r="B3943" i="1"/>
  <c r="A3944" i="1"/>
  <c r="B3944" i="1"/>
  <c r="A3945" i="1"/>
  <c r="B3945" i="1"/>
  <c r="A3946" i="1"/>
  <c r="B3946" i="1"/>
  <c r="A3947" i="1"/>
  <c r="B3947" i="1"/>
  <c r="A3948" i="1"/>
  <c r="B3948" i="1"/>
  <c r="A3949" i="1"/>
  <c r="B3949" i="1"/>
  <c r="A3950" i="1"/>
  <c r="B3950" i="1"/>
  <c r="A3951" i="1"/>
  <c r="B3951" i="1"/>
  <c r="A3952" i="1"/>
  <c r="B3952" i="1"/>
  <c r="A3953" i="1"/>
  <c r="B3953" i="1"/>
  <c r="A3954" i="1"/>
  <c r="B3954" i="1"/>
  <c r="A3955" i="1"/>
  <c r="B3955" i="1"/>
  <c r="A3956" i="1"/>
  <c r="B3956" i="1"/>
  <c r="A3957" i="1"/>
  <c r="B3957" i="1"/>
  <c r="A3958" i="1"/>
  <c r="B3958" i="1"/>
  <c r="A3959" i="1"/>
  <c r="B3959" i="1"/>
  <c r="A3960" i="1"/>
  <c r="B3960" i="1"/>
  <c r="A3961" i="1"/>
  <c r="B3961" i="1"/>
  <c r="A3962" i="1"/>
  <c r="B3962" i="1"/>
  <c r="A3963" i="1"/>
  <c r="B3963" i="1"/>
  <c r="A3964" i="1"/>
  <c r="B3964" i="1"/>
  <c r="A3965" i="1"/>
  <c r="B3965" i="1"/>
  <c r="A3966" i="1"/>
  <c r="B3966" i="1"/>
  <c r="A3967" i="1"/>
  <c r="B3967" i="1"/>
  <c r="A3968" i="1"/>
  <c r="B3968" i="1"/>
  <c r="A3969" i="1"/>
  <c r="B3969" i="1"/>
  <c r="A3970" i="1"/>
  <c r="B3970" i="1"/>
  <c r="A3971" i="1"/>
  <c r="B3971" i="1"/>
  <c r="A3972" i="1"/>
  <c r="B3972" i="1"/>
  <c r="A3973" i="1"/>
  <c r="B3973" i="1"/>
  <c r="A3974" i="1"/>
  <c r="B3974" i="1"/>
  <c r="A3975" i="1"/>
  <c r="B3975" i="1"/>
  <c r="A3976" i="1"/>
  <c r="B3976" i="1"/>
  <c r="A3977" i="1"/>
  <c r="B3977" i="1"/>
  <c r="A3978" i="1"/>
  <c r="B3978" i="1"/>
  <c r="A3979" i="1"/>
  <c r="B3979" i="1"/>
  <c r="A3980" i="1"/>
  <c r="B3980" i="1"/>
  <c r="A3981" i="1"/>
  <c r="B3981" i="1"/>
  <c r="A3982" i="1"/>
  <c r="B3982" i="1"/>
  <c r="A3983" i="1"/>
  <c r="B3983" i="1"/>
  <c r="A3984" i="1"/>
  <c r="B3984" i="1"/>
  <c r="A3985" i="1"/>
  <c r="B3985" i="1"/>
  <c r="A3986" i="1"/>
  <c r="B3986" i="1"/>
  <c r="A3987" i="1"/>
  <c r="B3987" i="1"/>
  <c r="A3988" i="1"/>
  <c r="B3988" i="1"/>
  <c r="A3989" i="1"/>
  <c r="B3989" i="1"/>
  <c r="A3990" i="1"/>
  <c r="B3990" i="1"/>
  <c r="A3991" i="1"/>
  <c r="B3991" i="1"/>
  <c r="A3992" i="1"/>
  <c r="B3992" i="1"/>
  <c r="A3993" i="1"/>
  <c r="B3993" i="1"/>
  <c r="A3994" i="1"/>
  <c r="B3994" i="1"/>
  <c r="A3995" i="1"/>
  <c r="B3995" i="1"/>
  <c r="A3996" i="1"/>
  <c r="B3996" i="1"/>
  <c r="A3997" i="1"/>
  <c r="B3997" i="1"/>
  <c r="A3998" i="1"/>
  <c r="B3998" i="1"/>
  <c r="A3999" i="1"/>
  <c r="B3999" i="1"/>
  <c r="A4000" i="1"/>
  <c r="B4000" i="1"/>
  <c r="A4001" i="1"/>
  <c r="B4001" i="1"/>
  <c r="A4002" i="1"/>
  <c r="B4002" i="1"/>
  <c r="A4003" i="1"/>
  <c r="B4003" i="1"/>
  <c r="A4004" i="1"/>
  <c r="B4004" i="1"/>
  <c r="A4005" i="1"/>
  <c r="B4005" i="1"/>
  <c r="A4006" i="1"/>
  <c r="B4006" i="1"/>
  <c r="A4007" i="1"/>
  <c r="B4007" i="1"/>
  <c r="A4008" i="1"/>
  <c r="B4008" i="1"/>
  <c r="A4009" i="1"/>
  <c r="B4009" i="1"/>
  <c r="A4010" i="1"/>
  <c r="B4010" i="1"/>
  <c r="A4011" i="1"/>
  <c r="B4011" i="1"/>
  <c r="A4012" i="1"/>
  <c r="B4012" i="1"/>
  <c r="A4013" i="1"/>
  <c r="B4013" i="1"/>
  <c r="A4014" i="1"/>
  <c r="B4014" i="1"/>
  <c r="A4015" i="1"/>
  <c r="B4015" i="1"/>
  <c r="A4016" i="1"/>
  <c r="B4016" i="1"/>
  <c r="A4017" i="1"/>
  <c r="B4017" i="1"/>
  <c r="A4018" i="1"/>
  <c r="B4018" i="1"/>
  <c r="A4019" i="1"/>
  <c r="B4019" i="1"/>
  <c r="A4020" i="1"/>
  <c r="B4020" i="1"/>
  <c r="A4021" i="1"/>
  <c r="B4021" i="1"/>
  <c r="A4022" i="1"/>
  <c r="B4022" i="1"/>
  <c r="A4023" i="1"/>
  <c r="B4023" i="1"/>
  <c r="A4024" i="1"/>
  <c r="B4024" i="1"/>
  <c r="A4025" i="1"/>
  <c r="B4025" i="1"/>
  <c r="A4026" i="1"/>
  <c r="B4026" i="1"/>
  <c r="A4027" i="1"/>
  <c r="B4027" i="1"/>
  <c r="A4028" i="1"/>
  <c r="B4028" i="1"/>
  <c r="A4029" i="1"/>
  <c r="B4029" i="1"/>
  <c r="A4030" i="1"/>
  <c r="B4030" i="1"/>
  <c r="A4031" i="1"/>
  <c r="B4031" i="1"/>
  <c r="A4032" i="1"/>
  <c r="B4032" i="1"/>
  <c r="A4033" i="1"/>
  <c r="B4033" i="1"/>
  <c r="A4034" i="1"/>
  <c r="B4034" i="1"/>
  <c r="A4035" i="1"/>
  <c r="B4035" i="1"/>
  <c r="A4036" i="1"/>
  <c r="B4036" i="1"/>
  <c r="A4037" i="1"/>
  <c r="B4037" i="1"/>
  <c r="A4038" i="1"/>
  <c r="B4038" i="1"/>
  <c r="A4039" i="1"/>
  <c r="B4039" i="1"/>
  <c r="A4040" i="1"/>
  <c r="B4040" i="1"/>
  <c r="A4041" i="1"/>
  <c r="B4041" i="1"/>
  <c r="A4042" i="1"/>
  <c r="B4042" i="1"/>
  <c r="A4043" i="1"/>
  <c r="B4043" i="1"/>
  <c r="A4044" i="1"/>
  <c r="B4044" i="1"/>
  <c r="A4045" i="1"/>
  <c r="B4045" i="1"/>
  <c r="A4046" i="1"/>
  <c r="B4046" i="1"/>
  <c r="A4047" i="1"/>
  <c r="B4047" i="1"/>
  <c r="A4048" i="1"/>
  <c r="B4048" i="1"/>
  <c r="A4049" i="1"/>
  <c r="B4049" i="1"/>
  <c r="A4050" i="1"/>
  <c r="B4050" i="1"/>
  <c r="A4051" i="1"/>
  <c r="B4051" i="1"/>
  <c r="A4052" i="1"/>
  <c r="B4052" i="1"/>
  <c r="A4053" i="1"/>
  <c r="B4053" i="1"/>
  <c r="A4054" i="1"/>
  <c r="B4054" i="1"/>
  <c r="A4055" i="1"/>
  <c r="B4055" i="1"/>
  <c r="A4056" i="1"/>
  <c r="B4056" i="1"/>
  <c r="A4057" i="1"/>
  <c r="B4057" i="1"/>
  <c r="A4058" i="1"/>
  <c r="B4058" i="1"/>
  <c r="A4059" i="1"/>
  <c r="B4059" i="1"/>
  <c r="A4060" i="1"/>
  <c r="B4060" i="1"/>
  <c r="A4061" i="1"/>
  <c r="B4061" i="1"/>
  <c r="A4062" i="1"/>
  <c r="B4062" i="1"/>
  <c r="A4063" i="1"/>
  <c r="B4063" i="1"/>
  <c r="A4064" i="1"/>
  <c r="B4064" i="1"/>
  <c r="A4065" i="1"/>
  <c r="B4065" i="1"/>
  <c r="A4066" i="1"/>
  <c r="B4066" i="1"/>
  <c r="A4067" i="1"/>
  <c r="B4067" i="1"/>
  <c r="A4068" i="1"/>
  <c r="B4068" i="1"/>
  <c r="A4069" i="1"/>
  <c r="B4069" i="1"/>
  <c r="A4070" i="1"/>
  <c r="B4070" i="1"/>
  <c r="A4071" i="1"/>
  <c r="B4071" i="1"/>
  <c r="A4072" i="1"/>
  <c r="B4072" i="1"/>
  <c r="A4073" i="1"/>
  <c r="B4073" i="1"/>
  <c r="A4074" i="1"/>
  <c r="B4074" i="1"/>
  <c r="A4075" i="1"/>
  <c r="B4075" i="1"/>
  <c r="A4076" i="1"/>
  <c r="B4076" i="1"/>
  <c r="A4077" i="1"/>
  <c r="B4077" i="1"/>
  <c r="A4078" i="1"/>
  <c r="B4078" i="1"/>
  <c r="A4079" i="1"/>
  <c r="B4079" i="1"/>
  <c r="A4080" i="1"/>
  <c r="B4080" i="1"/>
  <c r="A4081" i="1"/>
  <c r="B4081" i="1"/>
  <c r="A4082" i="1"/>
  <c r="B4082" i="1"/>
  <c r="A4083" i="1"/>
  <c r="B4083" i="1"/>
  <c r="A4084" i="1"/>
  <c r="B4084" i="1"/>
  <c r="A4085" i="1"/>
  <c r="B4085" i="1"/>
  <c r="A4086" i="1"/>
  <c r="B4086" i="1"/>
  <c r="A4087" i="1"/>
  <c r="B4087" i="1"/>
  <c r="A4088" i="1"/>
  <c r="B4088" i="1"/>
  <c r="A4089" i="1"/>
  <c r="B4089" i="1"/>
  <c r="A4090" i="1"/>
  <c r="B4090" i="1"/>
  <c r="A4091" i="1"/>
  <c r="B4091" i="1"/>
  <c r="A4092" i="1"/>
  <c r="B4092" i="1"/>
  <c r="A4093" i="1"/>
  <c r="B4093" i="1"/>
  <c r="A4094" i="1"/>
  <c r="B4094" i="1"/>
  <c r="A4095" i="1"/>
  <c r="B4095" i="1"/>
  <c r="A4096" i="1"/>
  <c r="B4096" i="1"/>
  <c r="A4097" i="1"/>
  <c r="B4097" i="1"/>
  <c r="A4098" i="1"/>
  <c r="B4098" i="1"/>
  <c r="A4099" i="1"/>
  <c r="B4099" i="1"/>
  <c r="A4100" i="1"/>
  <c r="B4100" i="1"/>
  <c r="A4101" i="1"/>
  <c r="B4101" i="1"/>
  <c r="A4102" i="1"/>
  <c r="B4102" i="1"/>
  <c r="A4103" i="1"/>
  <c r="B4103" i="1"/>
  <c r="A4104" i="1"/>
  <c r="B4104" i="1"/>
  <c r="A4105" i="1"/>
  <c r="B4105" i="1"/>
  <c r="A4106" i="1"/>
  <c r="B4106" i="1"/>
  <c r="A4107" i="1"/>
  <c r="B4107" i="1"/>
  <c r="A4108" i="1"/>
  <c r="B4108" i="1"/>
  <c r="A4109" i="1"/>
  <c r="B4109" i="1"/>
  <c r="A4110" i="1"/>
  <c r="B4110" i="1"/>
  <c r="A4111" i="1"/>
  <c r="B4111" i="1"/>
  <c r="A4112" i="1"/>
  <c r="B4112" i="1"/>
  <c r="A4113" i="1"/>
  <c r="B4113" i="1"/>
  <c r="A4114" i="1"/>
  <c r="B4114" i="1"/>
  <c r="A4115" i="1"/>
  <c r="B4115" i="1"/>
  <c r="A4116" i="1"/>
  <c r="B4116" i="1"/>
  <c r="A4117" i="1"/>
  <c r="B4117" i="1"/>
  <c r="A4118" i="1"/>
  <c r="B4118" i="1"/>
  <c r="A4119" i="1"/>
  <c r="B4119" i="1"/>
  <c r="A4120" i="1"/>
  <c r="B4120" i="1"/>
  <c r="A4121" i="1"/>
  <c r="B4121" i="1"/>
  <c r="A4122" i="1"/>
  <c r="B4122" i="1"/>
  <c r="A4123" i="1"/>
  <c r="B4123" i="1"/>
  <c r="A4124" i="1"/>
  <c r="B4124" i="1"/>
  <c r="A4125" i="1"/>
  <c r="B4125" i="1"/>
  <c r="A4126" i="1"/>
  <c r="B4126" i="1"/>
  <c r="A4127" i="1"/>
  <c r="B4127" i="1"/>
  <c r="A4128" i="1"/>
  <c r="B4128" i="1"/>
  <c r="A4129" i="1"/>
  <c r="B4129" i="1"/>
  <c r="A4130" i="1"/>
  <c r="B4130" i="1"/>
  <c r="A4131" i="1"/>
  <c r="B4131" i="1"/>
  <c r="A4132" i="1"/>
  <c r="B4132" i="1"/>
  <c r="A4133" i="1"/>
  <c r="B4133" i="1"/>
  <c r="A4134" i="1"/>
  <c r="B4134" i="1"/>
  <c r="A4135" i="1"/>
  <c r="B4135" i="1"/>
  <c r="A4136" i="1"/>
  <c r="B4136" i="1"/>
  <c r="A4137" i="1"/>
  <c r="B4137" i="1"/>
  <c r="A4138" i="1"/>
  <c r="B4138" i="1"/>
  <c r="A4139" i="1"/>
  <c r="B4139" i="1"/>
  <c r="A4140" i="1"/>
  <c r="B4140" i="1"/>
  <c r="A4141" i="1"/>
  <c r="B4141" i="1"/>
  <c r="A4142" i="1"/>
  <c r="B4142" i="1"/>
  <c r="A4143" i="1"/>
  <c r="B4143" i="1"/>
  <c r="A4144" i="1"/>
  <c r="B4144" i="1"/>
  <c r="A4145" i="1"/>
  <c r="B4145" i="1"/>
  <c r="A4146" i="1"/>
  <c r="B4146" i="1"/>
  <c r="A4147" i="1"/>
  <c r="B4147" i="1"/>
  <c r="A4148" i="1"/>
  <c r="B4148" i="1"/>
  <c r="A4149" i="1"/>
  <c r="B4149" i="1"/>
  <c r="A4150" i="1"/>
  <c r="B4150" i="1"/>
  <c r="A4151" i="1"/>
  <c r="B4151" i="1"/>
  <c r="A4152" i="1"/>
  <c r="B4152" i="1"/>
  <c r="A4153" i="1"/>
  <c r="B4153" i="1"/>
  <c r="A4154" i="1"/>
  <c r="B4154" i="1"/>
  <c r="A4155" i="1"/>
  <c r="B4155" i="1"/>
  <c r="A4156" i="1"/>
  <c r="B4156" i="1"/>
  <c r="A4157" i="1"/>
  <c r="B4157" i="1"/>
  <c r="A4158" i="1"/>
  <c r="B4158" i="1"/>
  <c r="A4159" i="1"/>
  <c r="B4159" i="1"/>
  <c r="A4160" i="1"/>
  <c r="B4160" i="1"/>
  <c r="A4161" i="1"/>
  <c r="B4161" i="1"/>
  <c r="A4162" i="1"/>
  <c r="B4162" i="1"/>
  <c r="A4163" i="1"/>
  <c r="B4163" i="1"/>
  <c r="A4164" i="1"/>
  <c r="B4164" i="1"/>
  <c r="A4165" i="1"/>
  <c r="B4165" i="1"/>
  <c r="A4166" i="1"/>
  <c r="B4166" i="1"/>
  <c r="A4167" i="1"/>
  <c r="B4167" i="1"/>
  <c r="A4168" i="1"/>
  <c r="B4168" i="1"/>
  <c r="A4169" i="1"/>
  <c r="B4169" i="1"/>
  <c r="A4170" i="1"/>
  <c r="B4170" i="1"/>
  <c r="A4171" i="1"/>
  <c r="B4171" i="1"/>
  <c r="A4172" i="1"/>
  <c r="B4172" i="1"/>
  <c r="A4173" i="1"/>
  <c r="B4173" i="1"/>
  <c r="A4174" i="1"/>
  <c r="B4174" i="1"/>
  <c r="A4175" i="1"/>
  <c r="B4175" i="1"/>
  <c r="A4176" i="1"/>
  <c r="B4176" i="1"/>
  <c r="A4177" i="1"/>
  <c r="B4177" i="1"/>
  <c r="A4178" i="1"/>
  <c r="B4178" i="1"/>
  <c r="A4179" i="1"/>
  <c r="B4179" i="1"/>
  <c r="A4180" i="1"/>
  <c r="B4180" i="1"/>
  <c r="A4181" i="1"/>
  <c r="B4181" i="1"/>
  <c r="A4182" i="1"/>
  <c r="B4182" i="1"/>
  <c r="A4183" i="1"/>
  <c r="B4183" i="1"/>
  <c r="A4184" i="1"/>
  <c r="B4184" i="1"/>
  <c r="A4185" i="1"/>
  <c r="B4185" i="1"/>
  <c r="A4186" i="1"/>
  <c r="B4186" i="1"/>
  <c r="A4187" i="1"/>
  <c r="B4187" i="1"/>
  <c r="A4188" i="1"/>
  <c r="B4188" i="1"/>
  <c r="A4189" i="1"/>
  <c r="B4189" i="1"/>
  <c r="A4190" i="1"/>
  <c r="B4190" i="1"/>
  <c r="A4191" i="1"/>
  <c r="B4191" i="1"/>
  <c r="A4192" i="1"/>
  <c r="B4192" i="1"/>
  <c r="A4193" i="1"/>
  <c r="B4193" i="1"/>
  <c r="A4194" i="1"/>
  <c r="B4194" i="1"/>
  <c r="A4195" i="1"/>
  <c r="B4195" i="1"/>
  <c r="A4196" i="1"/>
  <c r="B4196" i="1"/>
  <c r="A4197" i="1"/>
  <c r="B4197" i="1"/>
  <c r="A4198" i="1"/>
  <c r="B4198" i="1"/>
  <c r="A4199" i="1"/>
  <c r="B4199" i="1"/>
  <c r="A4200" i="1"/>
  <c r="B4200" i="1"/>
  <c r="A4201" i="1"/>
  <c r="B4201" i="1"/>
  <c r="A4202" i="1"/>
  <c r="B4202" i="1"/>
  <c r="A4203" i="1"/>
  <c r="B4203" i="1"/>
  <c r="A4204" i="1"/>
  <c r="B4204" i="1"/>
  <c r="A4205" i="1"/>
  <c r="B4205" i="1"/>
  <c r="A4206" i="1"/>
  <c r="B4206" i="1"/>
  <c r="A4207" i="1"/>
  <c r="B4207" i="1"/>
  <c r="A4208" i="1"/>
  <c r="B4208" i="1"/>
  <c r="A4209" i="1"/>
  <c r="B4209" i="1"/>
  <c r="A4210" i="1"/>
  <c r="B4210" i="1"/>
  <c r="A4211" i="1"/>
  <c r="B4211" i="1"/>
  <c r="A4212" i="1"/>
  <c r="B4212" i="1"/>
  <c r="A4213" i="1"/>
  <c r="B4213" i="1"/>
  <c r="A4214" i="1"/>
  <c r="B4214" i="1"/>
  <c r="A4215" i="1"/>
  <c r="B4215" i="1"/>
  <c r="A4216" i="1"/>
  <c r="B4216" i="1"/>
  <c r="A4217" i="1"/>
  <c r="B4217" i="1"/>
  <c r="A4218" i="1"/>
  <c r="B4218" i="1"/>
  <c r="A4219" i="1"/>
  <c r="B4219" i="1"/>
  <c r="A4220" i="1"/>
  <c r="B4220" i="1"/>
  <c r="A4221" i="1"/>
  <c r="B4221" i="1"/>
  <c r="A4222" i="1"/>
  <c r="B4222" i="1"/>
  <c r="A4223" i="1"/>
  <c r="B4223" i="1"/>
  <c r="A4224" i="1"/>
  <c r="B4224" i="1"/>
  <c r="A4225" i="1"/>
  <c r="B4225" i="1"/>
  <c r="A4226" i="1"/>
  <c r="B4226" i="1"/>
  <c r="A4227" i="1"/>
  <c r="B4227" i="1"/>
  <c r="A4228" i="1"/>
  <c r="B4228" i="1"/>
  <c r="A4229" i="1"/>
  <c r="B4229" i="1"/>
  <c r="A4230" i="1"/>
  <c r="B4230" i="1"/>
  <c r="A4231" i="1"/>
  <c r="B4231" i="1"/>
  <c r="A4232" i="1"/>
  <c r="B4232" i="1"/>
  <c r="A4233" i="1"/>
  <c r="B4233" i="1"/>
  <c r="A4234" i="1"/>
  <c r="B4234" i="1"/>
  <c r="A4235" i="1"/>
  <c r="B4235" i="1"/>
  <c r="A4236" i="1"/>
  <c r="B4236" i="1"/>
  <c r="A4237" i="1"/>
  <c r="B4237" i="1"/>
  <c r="A4238" i="1"/>
  <c r="B4238" i="1"/>
  <c r="A4239" i="1"/>
  <c r="B4239" i="1"/>
  <c r="A4240" i="1"/>
  <c r="B4240" i="1"/>
  <c r="A4241" i="1"/>
  <c r="B4241" i="1"/>
  <c r="A4242" i="1"/>
  <c r="B4242" i="1"/>
  <c r="A4243" i="1"/>
  <c r="B4243" i="1"/>
  <c r="A4244" i="1"/>
  <c r="B4244" i="1"/>
  <c r="A4245" i="1"/>
  <c r="B4245" i="1"/>
  <c r="A4246" i="1"/>
  <c r="B4246" i="1"/>
  <c r="A4247" i="1"/>
  <c r="B4247" i="1"/>
  <c r="A4248" i="1"/>
  <c r="B4248" i="1"/>
  <c r="A4249" i="1"/>
  <c r="B4249" i="1"/>
  <c r="A4250" i="1"/>
  <c r="B4250" i="1"/>
  <c r="A4251" i="1"/>
  <c r="B4251" i="1"/>
  <c r="A4252" i="1"/>
  <c r="B4252" i="1"/>
  <c r="A4253" i="1"/>
  <c r="B4253" i="1"/>
  <c r="A4254" i="1"/>
  <c r="B4254" i="1"/>
  <c r="A4255" i="1"/>
  <c r="B4255" i="1"/>
  <c r="A4256" i="1"/>
  <c r="B4256" i="1"/>
  <c r="A4257" i="1"/>
  <c r="B4257" i="1"/>
  <c r="A4258" i="1"/>
  <c r="B4258" i="1"/>
  <c r="A4259" i="1"/>
  <c r="B4259" i="1"/>
  <c r="A4260" i="1"/>
  <c r="B4260" i="1"/>
  <c r="A4261" i="1"/>
  <c r="B4261" i="1"/>
  <c r="A4262" i="1"/>
  <c r="B4262" i="1"/>
  <c r="A4263" i="1"/>
  <c r="B4263" i="1"/>
  <c r="A4264" i="1"/>
  <c r="B4264" i="1"/>
  <c r="A4265" i="1"/>
  <c r="B4265" i="1"/>
  <c r="A4266" i="1"/>
  <c r="B4266" i="1"/>
  <c r="A4267" i="1"/>
  <c r="B4267" i="1"/>
  <c r="A4268" i="1"/>
  <c r="B4268" i="1"/>
  <c r="A4269" i="1"/>
  <c r="B4269" i="1"/>
  <c r="A4270" i="1"/>
  <c r="B4270" i="1"/>
  <c r="A4271" i="1"/>
  <c r="B4271" i="1"/>
  <c r="A4272" i="1"/>
  <c r="B4272" i="1"/>
  <c r="A4273" i="1"/>
  <c r="B4273" i="1"/>
  <c r="A4274" i="1"/>
  <c r="B4274" i="1"/>
  <c r="A4275" i="1"/>
  <c r="B4275" i="1"/>
  <c r="A4276" i="1"/>
  <c r="B4276" i="1"/>
  <c r="A4277" i="1"/>
  <c r="B4277" i="1"/>
  <c r="A4278" i="1"/>
  <c r="B4278" i="1"/>
  <c r="A4279" i="1"/>
  <c r="B4279" i="1"/>
  <c r="A4280" i="1"/>
  <c r="B4280" i="1"/>
  <c r="A4281" i="1"/>
  <c r="B4281" i="1"/>
  <c r="A4282" i="1"/>
  <c r="B4282" i="1"/>
  <c r="A4283" i="1"/>
  <c r="B4283" i="1"/>
  <c r="A4284" i="1"/>
  <c r="B4284" i="1"/>
  <c r="A4285" i="1"/>
  <c r="B4285" i="1"/>
  <c r="A4286" i="1"/>
  <c r="B4286" i="1"/>
  <c r="A4287" i="1"/>
  <c r="B4287" i="1"/>
  <c r="A4288" i="1"/>
  <c r="B4288" i="1"/>
  <c r="A4289" i="1"/>
  <c r="B4289" i="1"/>
  <c r="A4290" i="1"/>
  <c r="B4290" i="1"/>
  <c r="A4291" i="1"/>
  <c r="B4291" i="1"/>
  <c r="A4292" i="1"/>
  <c r="B4292" i="1"/>
  <c r="A4293" i="1"/>
  <c r="B4293" i="1"/>
  <c r="A4294" i="1"/>
  <c r="B4294" i="1"/>
  <c r="A4295" i="1"/>
  <c r="B4295" i="1"/>
  <c r="A4296" i="1"/>
  <c r="B4296" i="1"/>
  <c r="A4297" i="1"/>
  <c r="B4297" i="1"/>
  <c r="A4298" i="1"/>
  <c r="B4298" i="1"/>
  <c r="A4299" i="1"/>
  <c r="B4299" i="1"/>
  <c r="A4300" i="1"/>
  <c r="B4300" i="1"/>
  <c r="A4301" i="1"/>
  <c r="B4301" i="1"/>
  <c r="A4302" i="1"/>
  <c r="B4302" i="1"/>
  <c r="A4303" i="1"/>
  <c r="B4303" i="1"/>
  <c r="A4304" i="1"/>
  <c r="B4304" i="1"/>
  <c r="A4305" i="1"/>
  <c r="B4305" i="1"/>
  <c r="A4306" i="1"/>
  <c r="B4306" i="1"/>
  <c r="A4307" i="1"/>
  <c r="B4307" i="1"/>
  <c r="A4308" i="1"/>
  <c r="B4308" i="1"/>
  <c r="A4309" i="1"/>
  <c r="B4309" i="1"/>
  <c r="A4310" i="1"/>
  <c r="B4310" i="1"/>
  <c r="A4311" i="1"/>
  <c r="B4311" i="1"/>
  <c r="A4312" i="1"/>
  <c r="B4312" i="1"/>
  <c r="A4313" i="1"/>
  <c r="B4313" i="1"/>
  <c r="A4314" i="1"/>
  <c r="B4314" i="1"/>
  <c r="A4315" i="1"/>
  <c r="B4315" i="1"/>
  <c r="A4316" i="1"/>
  <c r="B4316" i="1"/>
  <c r="A4317" i="1"/>
  <c r="B4317" i="1"/>
  <c r="A4318" i="1"/>
  <c r="B4318" i="1"/>
  <c r="A4319" i="1"/>
  <c r="B4319" i="1"/>
  <c r="A4320" i="1"/>
  <c r="B4320" i="1"/>
  <c r="A4321" i="1"/>
  <c r="B4321" i="1"/>
  <c r="A4322" i="1"/>
  <c r="B4322" i="1"/>
  <c r="A4323" i="1"/>
  <c r="B4323" i="1"/>
  <c r="A4324" i="1"/>
  <c r="B4324" i="1"/>
  <c r="A4325" i="1"/>
  <c r="B4325" i="1"/>
  <c r="A4326" i="1"/>
  <c r="B4326" i="1"/>
  <c r="A4327" i="1"/>
  <c r="B4327" i="1"/>
  <c r="A4328" i="1"/>
  <c r="B4328" i="1"/>
  <c r="A4329" i="1"/>
  <c r="B4329" i="1"/>
  <c r="A4330" i="1"/>
  <c r="B4330" i="1"/>
  <c r="A4331" i="1"/>
  <c r="B4331" i="1"/>
  <c r="A4332" i="1"/>
  <c r="B4332" i="1"/>
  <c r="A4333" i="1"/>
  <c r="B4333" i="1"/>
  <c r="A4334" i="1"/>
  <c r="B4334" i="1"/>
  <c r="A4335" i="1"/>
  <c r="B4335" i="1"/>
  <c r="A4336" i="1"/>
  <c r="B4336" i="1"/>
  <c r="A4337" i="1"/>
  <c r="B4337" i="1"/>
  <c r="A4338" i="1"/>
  <c r="B4338" i="1"/>
  <c r="A4339" i="1"/>
  <c r="B4339" i="1"/>
  <c r="A4340" i="1"/>
  <c r="B4340" i="1"/>
  <c r="A4341" i="1"/>
  <c r="B4341" i="1"/>
  <c r="A4342" i="1"/>
  <c r="B4342" i="1"/>
  <c r="A4343" i="1"/>
  <c r="B4343" i="1"/>
  <c r="A4344" i="1"/>
  <c r="B4344" i="1"/>
  <c r="A4345" i="1"/>
  <c r="B4345" i="1"/>
  <c r="A4346" i="1"/>
  <c r="B4346" i="1"/>
  <c r="A4347" i="1"/>
  <c r="B4347" i="1"/>
  <c r="A4348" i="1"/>
  <c r="B4348" i="1"/>
  <c r="A4349" i="1"/>
  <c r="B4349" i="1"/>
  <c r="A4350" i="1"/>
  <c r="B4350" i="1"/>
  <c r="A4351" i="1"/>
  <c r="B4351" i="1"/>
  <c r="A4352" i="1"/>
  <c r="B4352" i="1"/>
  <c r="A4353" i="1"/>
  <c r="B4353" i="1"/>
  <c r="A4354" i="1"/>
  <c r="B4354" i="1"/>
  <c r="A4355" i="1"/>
  <c r="B4355" i="1"/>
  <c r="A4356" i="1"/>
  <c r="B4356" i="1"/>
  <c r="A4357" i="1"/>
  <c r="B4357" i="1"/>
  <c r="A4358" i="1"/>
  <c r="B4358" i="1"/>
  <c r="A4359" i="1"/>
  <c r="B4359" i="1"/>
  <c r="A4360" i="1"/>
  <c r="B4360" i="1"/>
  <c r="A4361" i="1"/>
  <c r="B4361" i="1"/>
  <c r="A4362" i="1"/>
  <c r="B4362" i="1"/>
  <c r="A4363" i="1"/>
  <c r="B4363" i="1"/>
  <c r="A4364" i="1"/>
  <c r="B4364" i="1"/>
  <c r="A4365" i="1"/>
  <c r="B4365" i="1"/>
  <c r="A4366" i="1"/>
  <c r="B4366" i="1"/>
  <c r="A4367" i="1"/>
  <c r="B4367" i="1"/>
  <c r="A4368" i="1"/>
  <c r="B4368" i="1"/>
  <c r="A4369" i="1"/>
  <c r="B4369" i="1"/>
  <c r="A4370" i="1"/>
  <c r="B4370" i="1"/>
  <c r="A4371" i="1"/>
  <c r="B4371" i="1"/>
  <c r="A4372" i="1"/>
  <c r="B4372" i="1"/>
  <c r="A4373" i="1"/>
  <c r="B4373" i="1"/>
  <c r="A4374" i="1"/>
  <c r="B4374" i="1"/>
  <c r="A4375" i="1"/>
  <c r="B4375" i="1"/>
  <c r="A4376" i="1"/>
  <c r="B4376" i="1"/>
  <c r="A4377" i="1"/>
  <c r="B4377" i="1"/>
  <c r="A4378" i="1"/>
  <c r="B4378" i="1"/>
  <c r="A4379" i="1"/>
  <c r="B4379" i="1"/>
  <c r="A4380" i="1"/>
  <c r="B4380" i="1"/>
  <c r="A4381" i="1"/>
  <c r="B4381" i="1"/>
  <c r="A4382" i="1"/>
  <c r="B4382" i="1"/>
  <c r="A4383" i="1"/>
  <c r="B4383" i="1"/>
  <c r="A4384" i="1"/>
  <c r="B4384" i="1"/>
  <c r="A4385" i="1"/>
  <c r="B4385" i="1"/>
  <c r="A4386" i="1"/>
  <c r="B4386" i="1"/>
  <c r="A4387" i="1"/>
  <c r="B4387" i="1"/>
  <c r="A4388" i="1"/>
  <c r="B4388" i="1"/>
  <c r="A4389" i="1"/>
  <c r="B4389" i="1"/>
  <c r="A4390" i="1"/>
  <c r="B4390" i="1"/>
  <c r="A4391" i="1"/>
  <c r="B4391" i="1"/>
  <c r="A4392" i="1"/>
  <c r="B4392" i="1"/>
  <c r="A4393" i="1"/>
  <c r="B4393" i="1"/>
  <c r="A4394" i="1"/>
  <c r="B4394" i="1"/>
  <c r="A4395" i="1"/>
  <c r="B4395" i="1"/>
  <c r="A4396" i="1"/>
  <c r="B4396" i="1"/>
  <c r="A4397" i="1"/>
  <c r="B4397" i="1"/>
  <c r="A4398" i="1"/>
  <c r="B4398" i="1"/>
  <c r="A4399" i="1"/>
  <c r="B4399" i="1"/>
  <c r="A4400" i="1"/>
  <c r="B4400" i="1"/>
  <c r="A4401" i="1"/>
  <c r="B4401" i="1"/>
  <c r="A4402" i="1"/>
  <c r="B4402" i="1"/>
  <c r="A4403" i="1"/>
  <c r="B4403" i="1"/>
  <c r="A4404" i="1"/>
  <c r="B4404" i="1"/>
  <c r="A4405" i="1"/>
  <c r="B4405" i="1"/>
  <c r="A4406" i="1"/>
  <c r="B4406" i="1"/>
  <c r="A4407" i="1"/>
  <c r="B4407" i="1"/>
  <c r="A4408" i="1"/>
  <c r="B4408" i="1"/>
  <c r="A4409" i="1"/>
  <c r="B4409" i="1"/>
  <c r="A4410" i="1"/>
  <c r="B4410" i="1"/>
  <c r="A4411" i="1"/>
  <c r="B4411" i="1"/>
  <c r="A4412" i="1"/>
  <c r="B4412" i="1"/>
  <c r="A4413" i="1"/>
  <c r="B4413" i="1"/>
  <c r="A4414" i="1"/>
  <c r="B4414" i="1"/>
  <c r="A4415" i="1"/>
  <c r="B4415" i="1"/>
  <c r="A4416" i="1"/>
  <c r="B4416" i="1"/>
  <c r="A4417" i="1"/>
  <c r="B4417" i="1"/>
</calcChain>
</file>

<file path=xl/sharedStrings.xml><?xml version="1.0" encoding="utf-8"?>
<sst xmlns="http://schemas.openxmlformats.org/spreadsheetml/2006/main" count="95474" uniqueCount="15182">
  <si>
    <t>operon</t>
  </si>
  <si>
    <t>gene</t>
  </si>
  <si>
    <t>name</t>
  </si>
  <si>
    <t>type</t>
  </si>
  <si>
    <t>start</t>
  </si>
  <si>
    <t>end</t>
  </si>
  <si>
    <t>strand</t>
  </si>
  <si>
    <t>dnaA</t>
  </si>
  <si>
    <t>CDS</t>
  </si>
  <si>
    <t>+</t>
  </si>
  <si>
    <t>dnaN</t>
  </si>
  <si>
    <t>S2</t>
  </si>
  <si>
    <t>putative-non-coding</t>
  </si>
  <si>
    <t>-</t>
  </si>
  <si>
    <t>S4</t>
  </si>
  <si>
    <t>rlbA</t>
  </si>
  <si>
    <t>recF</t>
  </si>
  <si>
    <t>remB</t>
  </si>
  <si>
    <t>gyrB</t>
  </si>
  <si>
    <t>gyrA</t>
  </si>
  <si>
    <t>SSU-rRNA-bacteria_rrnO-16S</t>
  </si>
  <si>
    <t>rRNA</t>
  </si>
  <si>
    <t>trnO-Ile</t>
  </si>
  <si>
    <t>tRNA</t>
  </si>
  <si>
    <t>trnO-Ala</t>
  </si>
  <si>
    <t>LSU-rRNA-archaea_rrnO-23S</t>
  </si>
  <si>
    <t>5S-rRNA_rrnO-5S</t>
  </si>
  <si>
    <t>yaaC</t>
  </si>
  <si>
    <t>guaB</t>
  </si>
  <si>
    <t>S9</t>
  </si>
  <si>
    <t>dacA</t>
  </si>
  <si>
    <t>pdxS</t>
  </si>
  <si>
    <t>pdxT</t>
  </si>
  <si>
    <t>T-box_tboS</t>
  </si>
  <si>
    <t>riboswitch</t>
  </si>
  <si>
    <t>serS</t>
  </si>
  <si>
    <t>S13</t>
  </si>
  <si>
    <t>trnSL-Ser1</t>
  </si>
  <si>
    <t>dck</t>
  </si>
  <si>
    <t>dgk</t>
  </si>
  <si>
    <t>sleL</t>
  </si>
  <si>
    <t>yaaI</t>
  </si>
  <si>
    <t>tadA</t>
  </si>
  <si>
    <t>scr_Bacteria-large-SRP_scr</t>
  </si>
  <si>
    <t>SRP</t>
  </si>
  <si>
    <t>dnaX</t>
  </si>
  <si>
    <t>ebfC</t>
  </si>
  <si>
    <t>recR</t>
  </si>
  <si>
    <t>yaaL</t>
  </si>
  <si>
    <t>bofA</t>
  </si>
  <si>
    <t>SSU-rRNA-bacteria_rrnA-16S</t>
  </si>
  <si>
    <t>trnA-Ile</t>
  </si>
  <si>
    <t>trnA-Ala</t>
  </si>
  <si>
    <t>LSU-rRNA-archaea_rrnA-23S</t>
  </si>
  <si>
    <t>Bacillaceae-1</t>
  </si>
  <si>
    <t>sRNA</t>
  </si>
  <si>
    <t>5S-rRNA_rrnA-5S</t>
  </si>
  <si>
    <t>csfB</t>
  </si>
  <si>
    <t>xpaC</t>
  </si>
  <si>
    <t>yaaN</t>
  </si>
  <si>
    <t>yaaO</t>
  </si>
  <si>
    <t>tmk</t>
  </si>
  <si>
    <t>darA</t>
  </si>
  <si>
    <t>yaaR</t>
  </si>
  <si>
    <t>holB</t>
  </si>
  <si>
    <t>ricT</t>
  </si>
  <si>
    <t>dnaH</t>
  </si>
  <si>
    <t>trmNF</t>
  </si>
  <si>
    <t>yazA</t>
  </si>
  <si>
    <t>rsmI</t>
  </si>
  <si>
    <t>abrB</t>
  </si>
  <si>
    <t>metS</t>
  </si>
  <si>
    <t>dayD</t>
  </si>
  <si>
    <t>S25</t>
  </si>
  <si>
    <t>yabE</t>
  </si>
  <si>
    <t>rnmV</t>
  </si>
  <si>
    <t>rsmA</t>
  </si>
  <si>
    <t>prtG</t>
  </si>
  <si>
    <t>veg</t>
  </si>
  <si>
    <t>sspF</t>
  </si>
  <si>
    <t>S31</t>
  </si>
  <si>
    <t>ispE</t>
  </si>
  <si>
    <t>purR</t>
  </si>
  <si>
    <t>ridA</t>
  </si>
  <si>
    <t>spoVG</t>
  </si>
  <si>
    <t>glmU</t>
  </si>
  <si>
    <t>prs</t>
  </si>
  <si>
    <t>ctc</t>
  </si>
  <si>
    <t>pth</t>
  </si>
  <si>
    <t>fin</t>
  </si>
  <si>
    <t>mfd</t>
  </si>
  <si>
    <t>spoVT</t>
  </si>
  <si>
    <t>yabM</t>
  </si>
  <si>
    <t>yabN</t>
  </si>
  <si>
    <t>hslR</t>
  </si>
  <si>
    <t>spcP</t>
  </si>
  <si>
    <t>spcQ</t>
  </si>
  <si>
    <t>divIC</t>
  </si>
  <si>
    <t>yabR</t>
  </si>
  <si>
    <t>trnSL-Met1</t>
  </si>
  <si>
    <t>trnSL-Glu1</t>
  </si>
  <si>
    <t>spoIIE</t>
  </si>
  <si>
    <t>yabS</t>
  </si>
  <si>
    <t>prkT</t>
  </si>
  <si>
    <t>tilS</t>
  </si>
  <si>
    <t>hprT</t>
  </si>
  <si>
    <t>ftsH</t>
  </si>
  <si>
    <t>S37</t>
  </si>
  <si>
    <t>coaX</t>
  </si>
  <si>
    <t>hslO</t>
  </si>
  <si>
    <t>yacD</t>
  </si>
  <si>
    <t>cysK</t>
  </si>
  <si>
    <t>pabB</t>
  </si>
  <si>
    <t>pabA</t>
  </si>
  <si>
    <t>pabC</t>
  </si>
  <si>
    <t>folP</t>
  </si>
  <si>
    <t>folB</t>
  </si>
  <si>
    <t>folK</t>
  </si>
  <si>
    <t>yazB</t>
  </si>
  <si>
    <t>dusB</t>
  </si>
  <si>
    <t>lysS</t>
  </si>
  <si>
    <t>S41</t>
  </si>
  <si>
    <t>SSU-rRNA-bacteria_rrnJ-16S</t>
  </si>
  <si>
    <t>LSU-rRNA-archaea_rrnJ-23S</t>
  </si>
  <si>
    <t>5S-rRNA_rrnJ-5S</t>
  </si>
  <si>
    <t>trnJ-Val</t>
  </si>
  <si>
    <t>trnJ-Thr</t>
  </si>
  <si>
    <t>trnJ-Lys</t>
  </si>
  <si>
    <t>trnJ-Leu1</t>
  </si>
  <si>
    <t>trnJ-Gly</t>
  </si>
  <si>
    <t>trnJ-Leu2</t>
  </si>
  <si>
    <t>trnJ-Arg</t>
  </si>
  <si>
    <t>trnJ-Pro</t>
  </si>
  <si>
    <t>trnJ-Ala</t>
  </si>
  <si>
    <t>ctsR</t>
  </si>
  <si>
    <t>mcsA</t>
  </si>
  <si>
    <t>mcsB</t>
  </si>
  <si>
    <t>clpC</t>
  </si>
  <si>
    <t>radA</t>
  </si>
  <si>
    <t>disA</t>
  </si>
  <si>
    <t>yacL</t>
  </si>
  <si>
    <t>ispD</t>
  </si>
  <si>
    <t>ispF</t>
  </si>
  <si>
    <t>gltX</t>
  </si>
  <si>
    <t>T-box</t>
  </si>
  <si>
    <t>cysE</t>
  </si>
  <si>
    <t>cysS</t>
  </si>
  <si>
    <t>mrnC</t>
  </si>
  <si>
    <t>rlmB</t>
  </si>
  <si>
    <t>raeA</t>
  </si>
  <si>
    <t>sigH</t>
  </si>
  <si>
    <t>rpmGB</t>
  </si>
  <si>
    <t>secE</t>
  </si>
  <si>
    <t>rplK</t>
  </si>
  <si>
    <t>rplA</t>
  </si>
  <si>
    <t>L10-leader_ldlJ</t>
  </si>
  <si>
    <t>rplJ</t>
  </si>
  <si>
    <t>rplL</t>
  </si>
  <si>
    <t>rpoB</t>
  </si>
  <si>
    <t>rpoC</t>
  </si>
  <si>
    <t>rulS</t>
  </si>
  <si>
    <t>rpsL</t>
  </si>
  <si>
    <t>rpsG</t>
  </si>
  <si>
    <t>fusA</t>
  </si>
  <si>
    <t>tufA</t>
  </si>
  <si>
    <t>ybaC</t>
  </si>
  <si>
    <t>rpsJ</t>
  </si>
  <si>
    <t>rplC</t>
  </si>
  <si>
    <t>rplD</t>
  </si>
  <si>
    <t>rplW</t>
  </si>
  <si>
    <t>rplB</t>
  </si>
  <si>
    <t>rpsS</t>
  </si>
  <si>
    <t>rplV</t>
  </si>
  <si>
    <t>rpsC</t>
  </si>
  <si>
    <t>rplP</t>
  </si>
  <si>
    <t>rpmC</t>
  </si>
  <si>
    <t>rpsQ</t>
  </si>
  <si>
    <t>rplNA</t>
  </si>
  <si>
    <t>rplX</t>
  </si>
  <si>
    <t>rplE</t>
  </si>
  <si>
    <t>rpsNA</t>
  </si>
  <si>
    <t>rpsH</t>
  </si>
  <si>
    <t>rplF</t>
  </si>
  <si>
    <t>rplR</t>
  </si>
  <si>
    <t>rpsE</t>
  </si>
  <si>
    <t>rpmD</t>
  </si>
  <si>
    <t>rplO</t>
  </si>
  <si>
    <t>secY</t>
  </si>
  <si>
    <t>adk</t>
  </si>
  <si>
    <t>mapA</t>
  </si>
  <si>
    <t>ybzG</t>
  </si>
  <si>
    <t>infA</t>
  </si>
  <si>
    <t>rpmJ</t>
  </si>
  <si>
    <t>rpsM</t>
  </si>
  <si>
    <t>rpsK</t>
  </si>
  <si>
    <t>rpoA</t>
  </si>
  <si>
    <t>rplQ</t>
  </si>
  <si>
    <t>truA</t>
  </si>
  <si>
    <t>L13-leader_ldlM</t>
  </si>
  <si>
    <t>rplM</t>
  </si>
  <si>
    <t>rpsI</t>
  </si>
  <si>
    <t>S58</t>
  </si>
  <si>
    <t>ybaJ</t>
  </si>
  <si>
    <t>ybaK</t>
  </si>
  <si>
    <t>cwlD</t>
  </si>
  <si>
    <t>salA</t>
  </si>
  <si>
    <t>gerD</t>
  </si>
  <si>
    <t>pdaB</t>
  </si>
  <si>
    <t>kbaA</t>
  </si>
  <si>
    <t>SSU-rRNA-bacteria_rrnI-16S</t>
  </si>
  <si>
    <t>ybaR</t>
  </si>
  <si>
    <t>ybaS</t>
  </si>
  <si>
    <t>eesA</t>
  </si>
  <si>
    <t>feuC</t>
  </si>
  <si>
    <t>feuB</t>
  </si>
  <si>
    <t>feuA</t>
  </si>
  <si>
    <t>btr</t>
  </si>
  <si>
    <t>ybbC</t>
  </si>
  <si>
    <t>nagZ</t>
  </si>
  <si>
    <t>amiE</t>
  </si>
  <si>
    <t>murP</t>
  </si>
  <si>
    <t>murR</t>
  </si>
  <si>
    <t>murQ</t>
  </si>
  <si>
    <t>ybbK</t>
  </si>
  <si>
    <t>trnSL-Glu2</t>
  </si>
  <si>
    <t>trnSL-Val1</t>
  </si>
  <si>
    <t>trnSL-Thr1</t>
  </si>
  <si>
    <t>trnSL-Tyr1</t>
  </si>
  <si>
    <t>trnSL-Gln2</t>
  </si>
  <si>
    <t>sigW</t>
  </si>
  <si>
    <t>rsiW</t>
  </si>
  <si>
    <t>cdaA</t>
  </si>
  <si>
    <t>cdaR</t>
  </si>
  <si>
    <t>glmM</t>
  </si>
  <si>
    <t>glmS_glmSA</t>
  </si>
  <si>
    <t>glmS</t>
  </si>
  <si>
    <t>alkA</t>
  </si>
  <si>
    <t>adaA</t>
  </si>
  <si>
    <t>adaB</t>
  </si>
  <si>
    <t>S72</t>
  </si>
  <si>
    <t>ndhF</t>
  </si>
  <si>
    <t>ybcC</t>
  </si>
  <si>
    <t>ybcF</t>
  </si>
  <si>
    <t>ybcH</t>
  </si>
  <si>
    <t>ybcI</t>
  </si>
  <si>
    <t>ybzH</t>
  </si>
  <si>
    <t>ybcL</t>
  </si>
  <si>
    <t>ybcM</t>
  </si>
  <si>
    <t>skfA</t>
  </si>
  <si>
    <t>skfB</t>
  </si>
  <si>
    <t>skfC</t>
  </si>
  <si>
    <t>skfE</t>
  </si>
  <si>
    <t>skfF</t>
  </si>
  <si>
    <t>skfG</t>
  </si>
  <si>
    <t>skfH</t>
  </si>
  <si>
    <t>ybdK</t>
  </si>
  <si>
    <t>ybzI</t>
  </si>
  <si>
    <t>ybdM</t>
  </si>
  <si>
    <t>ybdN</t>
  </si>
  <si>
    <t>ybdO</t>
  </si>
  <si>
    <t>ybxG</t>
  </si>
  <si>
    <t>csgA</t>
  </si>
  <si>
    <t>ybxH</t>
  </si>
  <si>
    <t>ybxI</t>
  </si>
  <si>
    <t>cypC</t>
  </si>
  <si>
    <t>ybyB</t>
  </si>
  <si>
    <t>ybeC</t>
  </si>
  <si>
    <t>glpQA</t>
  </si>
  <si>
    <t>glpT</t>
  </si>
  <si>
    <t>S81</t>
  </si>
  <si>
    <t>glpP dependent leader</t>
  </si>
  <si>
    <t>ybeF</t>
  </si>
  <si>
    <t>ybfA</t>
  </si>
  <si>
    <t>ybfB</t>
  </si>
  <si>
    <t>ybfEc</t>
  </si>
  <si>
    <t>ybfEn</t>
  </si>
  <si>
    <t>putative-coding</t>
  </si>
  <si>
    <t>ybfF</t>
  </si>
  <si>
    <t>ybfG</t>
  </si>
  <si>
    <t>ybfH</t>
  </si>
  <si>
    <t>ybfI</t>
  </si>
  <si>
    <t>purT</t>
  </si>
  <si>
    <t>mpr</t>
  </si>
  <si>
    <t>ybfJ</t>
  </si>
  <si>
    <t>cesB</t>
  </si>
  <si>
    <t>pssA</t>
  </si>
  <si>
    <t>ybfM</t>
  </si>
  <si>
    <t>psd</t>
  </si>
  <si>
    <t>ybfO</t>
  </si>
  <si>
    <t>ybfP</t>
  </si>
  <si>
    <t>ybfQ</t>
  </si>
  <si>
    <t>gltP</t>
  </si>
  <si>
    <t>gamP</t>
  </si>
  <si>
    <t>gamA</t>
  </si>
  <si>
    <t>gamR</t>
  </si>
  <si>
    <t>ybgB</t>
  </si>
  <si>
    <t>ilvE</t>
  </si>
  <si>
    <t>ybgF</t>
  </si>
  <si>
    <t>ybgG</t>
  </si>
  <si>
    <t>glnT</t>
  </si>
  <si>
    <t>glsA</t>
  </si>
  <si>
    <t>glnJ</t>
  </si>
  <si>
    <t>glnL</t>
  </si>
  <si>
    <t>kdgD</t>
  </si>
  <si>
    <t>gucD</t>
  </si>
  <si>
    <t>gudP</t>
  </si>
  <si>
    <t>gudD</t>
  </si>
  <si>
    <t>garR</t>
  </si>
  <si>
    <t>garD</t>
  </si>
  <si>
    <t>S95</t>
  </si>
  <si>
    <t>ycbJ</t>
  </si>
  <si>
    <t>rtpA</t>
  </si>
  <si>
    <t>ycbK</t>
  </si>
  <si>
    <t>T-box_tboW</t>
  </si>
  <si>
    <t>ycbL</t>
  </si>
  <si>
    <t>ycbM</t>
  </si>
  <si>
    <t>ycbN</t>
  </si>
  <si>
    <t>ycbO</t>
  </si>
  <si>
    <t>NA</t>
  </si>
  <si>
    <t>ycbP</t>
  </si>
  <si>
    <t>cwlJ</t>
  </si>
  <si>
    <t>ycbR</t>
  </si>
  <si>
    <t>phoD</t>
  </si>
  <si>
    <t>tatAD</t>
  </si>
  <si>
    <t>tatCD</t>
  </si>
  <si>
    <t>pcp</t>
  </si>
  <si>
    <t>ycbU</t>
  </si>
  <si>
    <t>lmrB</t>
  </si>
  <si>
    <t>lmrA</t>
  </si>
  <si>
    <t>ansZ</t>
  </si>
  <si>
    <t>estA</t>
  </si>
  <si>
    <t>yczC</t>
  </si>
  <si>
    <t>yccF</t>
  </si>
  <si>
    <t>natK</t>
  </si>
  <si>
    <t>natR</t>
  </si>
  <si>
    <t>natA</t>
  </si>
  <si>
    <t>natB</t>
  </si>
  <si>
    <t>yccK</t>
  </si>
  <si>
    <t>ycdA</t>
  </si>
  <si>
    <t>ycdB</t>
  </si>
  <si>
    <t>ycdC</t>
  </si>
  <si>
    <t>cwlK</t>
  </si>
  <si>
    <t>rapJ</t>
  </si>
  <si>
    <t>ycdF</t>
  </si>
  <si>
    <t>ycdG</t>
  </si>
  <si>
    <t>znuA</t>
  </si>
  <si>
    <t>znuC</t>
  </si>
  <si>
    <t>znuB</t>
  </si>
  <si>
    <t>yceB</t>
  </si>
  <si>
    <t>yceC</t>
  </si>
  <si>
    <t>yceD</t>
  </si>
  <si>
    <t>yceE</t>
  </si>
  <si>
    <t>yceF</t>
  </si>
  <si>
    <t>yceG</t>
  </si>
  <si>
    <t>yceH</t>
  </si>
  <si>
    <t>niaP</t>
  </si>
  <si>
    <t>yceJ</t>
  </si>
  <si>
    <t>yceK</t>
  </si>
  <si>
    <t>opuAA</t>
  </si>
  <si>
    <t>opuAB</t>
  </si>
  <si>
    <t>opuAC</t>
  </si>
  <si>
    <t>amhX</t>
  </si>
  <si>
    <t>ycgA</t>
  </si>
  <si>
    <t>ycgB</t>
  </si>
  <si>
    <t>amyE</t>
  </si>
  <si>
    <t>lctE</t>
  </si>
  <si>
    <t>lctP</t>
  </si>
  <si>
    <t>mdr</t>
  </si>
  <si>
    <t>ycgE</t>
  </si>
  <si>
    <t>ycgF</t>
  </si>
  <si>
    <t>ycgG</t>
  </si>
  <si>
    <t>ycgH</t>
  </si>
  <si>
    <t>ycgI</t>
  </si>
  <si>
    <t>nadE</t>
  </si>
  <si>
    <t>tmrB</t>
  </si>
  <si>
    <t>S111</t>
  </si>
  <si>
    <t>aroK</t>
  </si>
  <si>
    <t>ycgJ</t>
  </si>
  <si>
    <t>ycgK</t>
  </si>
  <si>
    <t>cah</t>
  </si>
  <si>
    <t>ycgL</t>
  </si>
  <si>
    <t>putB</t>
  </si>
  <si>
    <t>putC</t>
  </si>
  <si>
    <t>putP</t>
  </si>
  <si>
    <t>S117</t>
  </si>
  <si>
    <t>putR</t>
  </si>
  <si>
    <t>ycgQ</t>
  </si>
  <si>
    <t>ycgR</t>
  </si>
  <si>
    <t>ycgS</t>
  </si>
  <si>
    <t>ffoR</t>
  </si>
  <si>
    <t>nasF</t>
  </si>
  <si>
    <t>nasE</t>
  </si>
  <si>
    <t>nasD</t>
  </si>
  <si>
    <t>nasC</t>
  </si>
  <si>
    <t>nasB</t>
  </si>
  <si>
    <t>nasA</t>
  </si>
  <si>
    <t>folEB</t>
  </si>
  <si>
    <t>yciB</t>
  </si>
  <si>
    <t>yczL</t>
  </si>
  <si>
    <t>zinU</t>
  </si>
  <si>
    <t>yckA</t>
  </si>
  <si>
    <t>yckB</t>
  </si>
  <si>
    <t>yckC</t>
  </si>
  <si>
    <t>yckD</t>
  </si>
  <si>
    <t>bglC</t>
  </si>
  <si>
    <t>nin</t>
  </si>
  <si>
    <t>nucA</t>
  </si>
  <si>
    <t>tlpC</t>
  </si>
  <si>
    <t>hxlB</t>
  </si>
  <si>
    <t>hxlA</t>
  </si>
  <si>
    <t>hxlR</t>
  </si>
  <si>
    <t>S126</t>
  </si>
  <si>
    <t>srfAA</t>
  </si>
  <si>
    <t>srfAB</t>
  </si>
  <si>
    <t>comS</t>
  </si>
  <si>
    <t>srfAC</t>
  </si>
  <si>
    <t>srfAD</t>
  </si>
  <si>
    <t>srfT</t>
  </si>
  <si>
    <t>ycxB</t>
  </si>
  <si>
    <t>ycxC</t>
  </si>
  <si>
    <t>ycxD</t>
  </si>
  <si>
    <t>sfpAn</t>
  </si>
  <si>
    <t>yczE</t>
  </si>
  <si>
    <t>tcyC</t>
  </si>
  <si>
    <t>tcyB</t>
  </si>
  <si>
    <t>tcyA</t>
  </si>
  <si>
    <t>bsdA</t>
  </si>
  <si>
    <t>ubiX</t>
  </si>
  <si>
    <t>bsdC</t>
  </si>
  <si>
    <t>bsdD</t>
  </si>
  <si>
    <t>yclD</t>
  </si>
  <si>
    <t>yclE</t>
  </si>
  <si>
    <t>dtpT</t>
  </si>
  <si>
    <t>yclG</t>
  </si>
  <si>
    <t>yczF</t>
  </si>
  <si>
    <t>gerKA</t>
  </si>
  <si>
    <t>gerKC</t>
  </si>
  <si>
    <t>gerKB</t>
  </si>
  <si>
    <t>yclH</t>
  </si>
  <si>
    <t>yclI</t>
  </si>
  <si>
    <t>yclJ</t>
  </si>
  <si>
    <t>yclK</t>
  </si>
  <si>
    <t>rapC</t>
  </si>
  <si>
    <t>phrC</t>
  </si>
  <si>
    <t>yczM</t>
  </si>
  <si>
    <t>yczN</t>
  </si>
  <si>
    <t>thrD</t>
  </si>
  <si>
    <t>pbtN</t>
  </si>
  <si>
    <t>pbtO</t>
  </si>
  <si>
    <t>pbtP</t>
  </si>
  <si>
    <t>pbtQ</t>
  </si>
  <si>
    <t>ycnB</t>
  </si>
  <si>
    <t>ycnC</t>
  </si>
  <si>
    <t>nfrAB</t>
  </si>
  <si>
    <t>ycnE</t>
  </si>
  <si>
    <t>yczG</t>
  </si>
  <si>
    <t>gabR</t>
  </si>
  <si>
    <t>gabT</t>
  </si>
  <si>
    <t>gabD</t>
  </si>
  <si>
    <t>glcU</t>
  </si>
  <si>
    <t>gdh</t>
  </si>
  <si>
    <t>cutI</t>
  </si>
  <si>
    <t>cutJ</t>
  </si>
  <si>
    <t>cutR</t>
  </si>
  <si>
    <t>ycnL</t>
  </si>
  <si>
    <t>mtlA</t>
  </si>
  <si>
    <t>mtlF</t>
  </si>
  <si>
    <t>mtlD</t>
  </si>
  <si>
    <t>ycsA</t>
  </si>
  <si>
    <t>sipU</t>
  </si>
  <si>
    <t>yczH</t>
  </si>
  <si>
    <t>ycsD</t>
  </si>
  <si>
    <t>yczO</t>
  </si>
  <si>
    <t>ribZ</t>
  </si>
  <si>
    <t>pxpA</t>
  </si>
  <si>
    <t>pxpG</t>
  </si>
  <si>
    <t>pxpI</t>
  </si>
  <si>
    <t>pxpB</t>
  </si>
  <si>
    <t>pxpC</t>
  </si>
  <si>
    <t>pxpR</t>
  </si>
  <si>
    <t>lipC</t>
  </si>
  <si>
    <t>yczJ</t>
  </si>
  <si>
    <t>yczI</t>
  </si>
  <si>
    <t>pbpC</t>
  </si>
  <si>
    <t>ycsN</t>
  </si>
  <si>
    <t>mtlR</t>
  </si>
  <si>
    <t>ydaB</t>
  </si>
  <si>
    <t>ydaC</t>
  </si>
  <si>
    <t>ydaD</t>
  </si>
  <si>
    <t>lyxE</t>
  </si>
  <si>
    <t>ydaF</t>
  </si>
  <si>
    <t>ydaG</t>
  </si>
  <si>
    <t>S140</t>
  </si>
  <si>
    <t>BsrC_bsrC</t>
  </si>
  <si>
    <t>amj</t>
  </si>
  <si>
    <t>ydzA</t>
  </si>
  <si>
    <t>lrpC</t>
  </si>
  <si>
    <t>topB</t>
  </si>
  <si>
    <t>epsJ</t>
  </si>
  <si>
    <t>epsK</t>
  </si>
  <si>
    <t>ydaL</t>
  </si>
  <si>
    <t>ydaM</t>
  </si>
  <si>
    <t>ydaN</t>
  </si>
  <si>
    <t>kimA</t>
  </si>
  <si>
    <t>ydaO-yuaA_swaO</t>
  </si>
  <si>
    <t>poxB</t>
  </si>
  <si>
    <t>S144</t>
  </si>
  <si>
    <t>S145</t>
  </si>
  <si>
    <t>ydzK</t>
  </si>
  <si>
    <t>mntH</t>
  </si>
  <si>
    <t>ydaS</t>
  </si>
  <si>
    <t>ydaT</t>
  </si>
  <si>
    <t>ydbA</t>
  </si>
  <si>
    <t>gsiB</t>
  </si>
  <si>
    <t>ydbD</t>
  </si>
  <si>
    <t>dctB</t>
  </si>
  <si>
    <t>ydbB</t>
  </si>
  <si>
    <t>ydbC</t>
  </si>
  <si>
    <t>dctS</t>
  </si>
  <si>
    <t>dctR</t>
  </si>
  <si>
    <t>dctP</t>
  </si>
  <si>
    <t>ydbI</t>
  </si>
  <si>
    <t>novel</t>
  </si>
  <si>
    <t>ydbL</t>
  </si>
  <si>
    <t>ydbM</t>
  </si>
  <si>
    <t>fbpB</t>
  </si>
  <si>
    <t>fbpA</t>
  </si>
  <si>
    <t>ydbO</t>
  </si>
  <si>
    <t>ydbP</t>
  </si>
  <si>
    <t>ddlA</t>
  </si>
  <si>
    <t>murF</t>
  </si>
  <si>
    <t>cshA</t>
  </si>
  <si>
    <t>ydbS</t>
  </si>
  <si>
    <t>ydbT</t>
  </si>
  <si>
    <t>ydcA</t>
  </si>
  <si>
    <t>acpS</t>
  </si>
  <si>
    <t>ydcC</t>
  </si>
  <si>
    <t>alrA</t>
  </si>
  <si>
    <t>ndoAI</t>
  </si>
  <si>
    <t>ndoA</t>
  </si>
  <si>
    <t>S163</t>
  </si>
  <si>
    <t>rsbRA</t>
  </si>
  <si>
    <t>rsbS</t>
  </si>
  <si>
    <t>rsbT</t>
  </si>
  <si>
    <t>rsbU</t>
  </si>
  <si>
    <t>rsbV</t>
  </si>
  <si>
    <t>rsbW</t>
  </si>
  <si>
    <t>sigB</t>
  </si>
  <si>
    <t>rsbX</t>
  </si>
  <si>
    <t>ydcF</t>
  </si>
  <si>
    <t>ydcG</t>
  </si>
  <si>
    <t>ydcH</t>
  </si>
  <si>
    <t>S166</t>
  </si>
  <si>
    <t>cmpA</t>
  </si>
  <si>
    <t>tex</t>
  </si>
  <si>
    <t>ydcK</t>
  </si>
  <si>
    <t>trnS-Asn</t>
  </si>
  <si>
    <t>ydcL</t>
  </si>
  <si>
    <t>immA</t>
  </si>
  <si>
    <t>immR</t>
  </si>
  <si>
    <t>trnS-Leu1</t>
  </si>
  <si>
    <t>trnS-Leu2</t>
  </si>
  <si>
    <t>xis</t>
  </si>
  <si>
    <t>ydzL</t>
  </si>
  <si>
    <t>ydcO</t>
  </si>
  <si>
    <t>helP</t>
  </si>
  <si>
    <t>conQ</t>
  </si>
  <si>
    <t>nicK</t>
  </si>
  <si>
    <t>Bacillus-plasmid</t>
  </si>
  <si>
    <t>ydcS</t>
  </si>
  <si>
    <t>ydcT</t>
  </si>
  <si>
    <t>yddA</t>
  </si>
  <si>
    <t>conB</t>
  </si>
  <si>
    <t>conC</t>
  </si>
  <si>
    <t>conD</t>
  </si>
  <si>
    <t>conE</t>
  </si>
  <si>
    <t>yddF</t>
  </si>
  <si>
    <t>conG</t>
  </si>
  <si>
    <t>cwlT</t>
  </si>
  <si>
    <t>yddI</t>
  </si>
  <si>
    <t>yddJ</t>
  </si>
  <si>
    <t>S170_sncO</t>
  </si>
  <si>
    <t>yddK</t>
  </si>
  <si>
    <t>rapI</t>
  </si>
  <si>
    <t>phrI</t>
  </si>
  <si>
    <t>yddM</t>
  </si>
  <si>
    <t>yddN</t>
  </si>
  <si>
    <t>lrpA</t>
  </si>
  <si>
    <t>lrpB</t>
  </si>
  <si>
    <t>yddR</t>
  </si>
  <si>
    <t>ydzM</t>
  </si>
  <si>
    <t>yddT</t>
  </si>
  <si>
    <t>ydzN</t>
  </si>
  <si>
    <t>cspA</t>
  </si>
  <si>
    <t>cspC</t>
  </si>
  <si>
    <t>S180_sncZ</t>
  </si>
  <si>
    <t>cdnL</t>
  </si>
  <si>
    <t>S181</t>
  </si>
  <si>
    <t>ydzE</t>
  </si>
  <si>
    <t>ydeC</t>
  </si>
  <si>
    <t>ydeD</t>
  </si>
  <si>
    <t>ydeE</t>
  </si>
  <si>
    <t>ydeF</t>
  </si>
  <si>
    <t>ydeH</t>
  </si>
  <si>
    <t>ydeI</t>
  </si>
  <si>
    <t>ydeJ</t>
  </si>
  <si>
    <t>ydeK</t>
  </si>
  <si>
    <t>ydeL</t>
  </si>
  <si>
    <t>ydeM</t>
  </si>
  <si>
    <t>ydeN</t>
  </si>
  <si>
    <t>ydzF</t>
  </si>
  <si>
    <t>ydeO</t>
  </si>
  <si>
    <t>ydeP</t>
  </si>
  <si>
    <t>ydeQ</t>
  </si>
  <si>
    <t>ydeR</t>
  </si>
  <si>
    <t>ydeS</t>
  </si>
  <si>
    <t>ydzO</t>
  </si>
  <si>
    <t>aseR</t>
  </si>
  <si>
    <t>arsF</t>
  </si>
  <si>
    <t>ydzSn</t>
  </si>
  <si>
    <t>ydzSc</t>
  </si>
  <si>
    <t>ydfB</t>
  </si>
  <si>
    <t>ydfC</t>
  </si>
  <si>
    <t>ydfD</t>
  </si>
  <si>
    <t>ydfE</t>
  </si>
  <si>
    <t>ydfF</t>
  </si>
  <si>
    <t>ydfG</t>
  </si>
  <si>
    <t>ydfH</t>
  </si>
  <si>
    <t>ydfI</t>
  </si>
  <si>
    <t>ydfJ</t>
  </si>
  <si>
    <t>cesA</t>
  </si>
  <si>
    <t>ydfK</t>
  </si>
  <si>
    <t>ydfL</t>
  </si>
  <si>
    <t>mneP</t>
  </si>
  <si>
    <t>ydfN</t>
  </si>
  <si>
    <t>ydfO</t>
  </si>
  <si>
    <t>ydfP</t>
  </si>
  <si>
    <t>ydfQ</t>
  </si>
  <si>
    <t>ydzH</t>
  </si>
  <si>
    <t>ydfS</t>
  </si>
  <si>
    <t>ydzR</t>
  </si>
  <si>
    <t>ydfR</t>
  </si>
  <si>
    <t>cotP</t>
  </si>
  <si>
    <t>ydgA</t>
  </si>
  <si>
    <t>ydgB</t>
  </si>
  <si>
    <t>ydgC</t>
  </si>
  <si>
    <t>ydgD</t>
  </si>
  <si>
    <t>ydgE</t>
  </si>
  <si>
    <t>vmlR</t>
  </si>
  <si>
    <t>S198_ncr1575</t>
  </si>
  <si>
    <t>ydgF</t>
  </si>
  <si>
    <t>dinB</t>
  </si>
  <si>
    <t>ydgG</t>
  </si>
  <si>
    <t>ydgH</t>
  </si>
  <si>
    <t>ydgI</t>
  </si>
  <si>
    <t>ydgJ</t>
  </si>
  <si>
    <t>ydgK</t>
  </si>
  <si>
    <t>ydhB</t>
  </si>
  <si>
    <t>ydhC</t>
  </si>
  <si>
    <t>spoL</t>
  </si>
  <si>
    <t>ydhE</t>
  </si>
  <si>
    <t>ydhF</t>
  </si>
  <si>
    <t>phoB</t>
  </si>
  <si>
    <t>fra</t>
  </si>
  <si>
    <t>ydhH</t>
  </si>
  <si>
    <t>ydhI</t>
  </si>
  <si>
    <t>ydhJ</t>
  </si>
  <si>
    <t>ydhK</t>
  </si>
  <si>
    <t>pbuE</t>
  </si>
  <si>
    <t>Purine_aswA</t>
  </si>
  <si>
    <t>gmuB</t>
  </si>
  <si>
    <t>gmuA</t>
  </si>
  <si>
    <t>gmuC</t>
  </si>
  <si>
    <t>gmuD</t>
  </si>
  <si>
    <t>gmuR</t>
  </si>
  <si>
    <t>gmuE</t>
  </si>
  <si>
    <t>gmuF</t>
  </si>
  <si>
    <t>gmuG</t>
  </si>
  <si>
    <t>ydhUc</t>
  </si>
  <si>
    <t>ydhUn</t>
  </si>
  <si>
    <t>trnE-Arg</t>
  </si>
  <si>
    <t>SSU-rRNA-bacteria_rrnE-16S</t>
  </si>
  <si>
    <t>LSU-rRNA-archaea_rrnE-23S</t>
  </si>
  <si>
    <t>5S-rRNA_rrnE-5S</t>
  </si>
  <si>
    <t>trnE-Asp</t>
  </si>
  <si>
    <t>thiL</t>
  </si>
  <si>
    <t>tsaE</t>
  </si>
  <si>
    <t>tsaB</t>
  </si>
  <si>
    <t>rimI</t>
  </si>
  <si>
    <t>tsaD</t>
  </si>
  <si>
    <t>ydiF</t>
  </si>
  <si>
    <t>moaC</t>
  </si>
  <si>
    <t>rex</t>
  </si>
  <si>
    <t>tatAY</t>
  </si>
  <si>
    <t>tatCY</t>
  </si>
  <si>
    <t>ydiK</t>
  </si>
  <si>
    <t>ydiL</t>
  </si>
  <si>
    <t>groES</t>
  </si>
  <si>
    <t>groEL</t>
  </si>
  <si>
    <t>bsuMA</t>
  </si>
  <si>
    <t>bsuMB</t>
  </si>
  <si>
    <t>ydzWc</t>
  </si>
  <si>
    <t>S214</t>
  </si>
  <si>
    <t>S215</t>
  </si>
  <si>
    <t>bsuRA</t>
  </si>
  <si>
    <t>bsuRB</t>
  </si>
  <si>
    <t>bsuRC</t>
  </si>
  <si>
    <t>ydjC</t>
  </si>
  <si>
    <t>gutR</t>
  </si>
  <si>
    <t>gutB</t>
  </si>
  <si>
    <t>gutP</t>
  </si>
  <si>
    <t>ydjE</t>
  </si>
  <si>
    <t>pspA</t>
  </si>
  <si>
    <t>ydjG</t>
  </si>
  <si>
    <t>ydjH</t>
  </si>
  <si>
    <t>ydjI</t>
  </si>
  <si>
    <t>ydjJ</t>
  </si>
  <si>
    <t>iolT</t>
  </si>
  <si>
    <t>bdhA</t>
  </si>
  <si>
    <t>walM</t>
  </si>
  <si>
    <t>ydjN</t>
  </si>
  <si>
    <t>S224</t>
  </si>
  <si>
    <t>ydzJ</t>
  </si>
  <si>
    <t>ydjO</t>
  </si>
  <si>
    <t>ydjP</t>
  </si>
  <si>
    <t>yeaA</t>
  </si>
  <si>
    <t>cotA</t>
  </si>
  <si>
    <t>gabP</t>
  </si>
  <si>
    <t>mneS</t>
  </si>
  <si>
    <t>yeaC</t>
  </si>
  <si>
    <t>guaA</t>
  </si>
  <si>
    <t>pbuG</t>
  </si>
  <si>
    <t>Purine_gswC</t>
  </si>
  <si>
    <t>yebC</t>
  </si>
  <si>
    <t>yebD</t>
  </si>
  <si>
    <t>yebE</t>
  </si>
  <si>
    <t>yebG</t>
  </si>
  <si>
    <t>Purine_gswD</t>
  </si>
  <si>
    <t>Purine</t>
  </si>
  <si>
    <t>purE</t>
  </si>
  <si>
    <t>purK</t>
  </si>
  <si>
    <t>purB</t>
  </si>
  <si>
    <t>purC</t>
  </si>
  <si>
    <t>purS</t>
  </si>
  <si>
    <t>purQ</t>
  </si>
  <si>
    <t>purL</t>
  </si>
  <si>
    <t>purF</t>
  </si>
  <si>
    <t>purM</t>
  </si>
  <si>
    <t>purN</t>
  </si>
  <si>
    <t>purH</t>
  </si>
  <si>
    <t>purD</t>
  </si>
  <si>
    <t>yezC</t>
  </si>
  <si>
    <t>yecA</t>
  </si>
  <si>
    <t>yezF</t>
  </si>
  <si>
    <t>yerA</t>
  </si>
  <si>
    <t>yerB</t>
  </si>
  <si>
    <t>yerC</t>
  </si>
  <si>
    <t>yerD</t>
  </si>
  <si>
    <t>pcrB</t>
  </si>
  <si>
    <t>pcrA</t>
  </si>
  <si>
    <t>ligA</t>
  </si>
  <si>
    <t>yerH</t>
  </si>
  <si>
    <t>yerI</t>
  </si>
  <si>
    <t>sapB</t>
  </si>
  <si>
    <t>opuE</t>
  </si>
  <si>
    <t>gatC</t>
  </si>
  <si>
    <t>gatA</t>
  </si>
  <si>
    <t>gatB</t>
  </si>
  <si>
    <t>yerO</t>
  </si>
  <si>
    <t>srfP</t>
  </si>
  <si>
    <t>dagK</t>
  </si>
  <si>
    <t>rlmCD</t>
  </si>
  <si>
    <t>yefC</t>
  </si>
  <si>
    <t>yeeA</t>
  </si>
  <si>
    <t>yeeB</t>
  </si>
  <si>
    <t>yeeC</t>
  </si>
  <si>
    <t>yefB</t>
  </si>
  <si>
    <t>yezG</t>
  </si>
  <si>
    <t>yeeF</t>
  </si>
  <si>
    <t>rapH</t>
  </si>
  <si>
    <t>phrH</t>
  </si>
  <si>
    <t>yeeI</t>
  </si>
  <si>
    <t>cotK</t>
  </si>
  <si>
    <t>yezE</t>
  </si>
  <si>
    <t>yesE</t>
  </si>
  <si>
    <t>yesF</t>
  </si>
  <si>
    <t>cotJA</t>
  </si>
  <si>
    <t>cotJB</t>
  </si>
  <si>
    <t>cotJC</t>
  </si>
  <si>
    <t>yesJ</t>
  </si>
  <si>
    <t>yesK</t>
  </si>
  <si>
    <t>yesL</t>
  </si>
  <si>
    <t>yesM</t>
  </si>
  <si>
    <t>yesN</t>
  </si>
  <si>
    <t>yesO</t>
  </si>
  <si>
    <t>rhgR</t>
  </si>
  <si>
    <t>rhgT</t>
  </si>
  <si>
    <t>yesU</t>
  </si>
  <si>
    <t>yesV</t>
  </si>
  <si>
    <t>rhgW</t>
  </si>
  <si>
    <t>rhgX</t>
  </si>
  <si>
    <t>yesY</t>
  </si>
  <si>
    <t>rhgZ</t>
  </si>
  <si>
    <t>lplD</t>
  </si>
  <si>
    <t>yetF</t>
  </si>
  <si>
    <t>hmoA</t>
  </si>
  <si>
    <t>yetH</t>
  </si>
  <si>
    <t>S249</t>
  </si>
  <si>
    <t>yetI</t>
  </si>
  <si>
    <t>yezD</t>
  </si>
  <si>
    <t>calJ</t>
  </si>
  <si>
    <t>yetK</t>
  </si>
  <si>
    <t>flvL</t>
  </si>
  <si>
    <t>flvM</t>
  </si>
  <si>
    <t>yetN</t>
  </si>
  <si>
    <t>cypD</t>
  </si>
  <si>
    <t>S250</t>
  </si>
  <si>
    <t>ltaSA</t>
  </si>
  <si>
    <t>spmH</t>
  </si>
  <si>
    <t>spmG</t>
  </si>
  <si>
    <t>yfnF</t>
  </si>
  <si>
    <t>yfnE</t>
  </si>
  <si>
    <t>yfnD</t>
  </si>
  <si>
    <t>yfnC</t>
  </si>
  <si>
    <t>pynN</t>
  </si>
  <si>
    <t>mtrA</t>
  </si>
  <si>
    <t>vdhT</t>
  </si>
  <si>
    <t>yfmS</t>
  </si>
  <si>
    <t>ettA</t>
  </si>
  <si>
    <t>yfmQ</t>
  </si>
  <si>
    <t>copP</t>
  </si>
  <si>
    <t>copO</t>
  </si>
  <si>
    <t>ettM</t>
  </si>
  <si>
    <t>yfmL</t>
  </si>
  <si>
    <t>yfmK</t>
  </si>
  <si>
    <t>yfmJ</t>
  </si>
  <si>
    <t>yfmI</t>
  </si>
  <si>
    <t>S253</t>
  </si>
  <si>
    <t>S254</t>
  </si>
  <si>
    <t>yfmG</t>
  </si>
  <si>
    <t>fecF</t>
  </si>
  <si>
    <t>fecE</t>
  </si>
  <si>
    <t>fecD</t>
  </si>
  <si>
    <t>fecC</t>
  </si>
  <si>
    <t>yfmB</t>
  </si>
  <si>
    <t>yfmA</t>
  </si>
  <si>
    <t>yflT</t>
  </si>
  <si>
    <t>pelA</t>
  </si>
  <si>
    <t>maeS</t>
  </si>
  <si>
    <t>citS</t>
  </si>
  <si>
    <t>citT</t>
  </si>
  <si>
    <t>yflP</t>
  </si>
  <si>
    <t>citM</t>
  </si>
  <si>
    <t>yflN</t>
  </si>
  <si>
    <t>nosA</t>
  </si>
  <si>
    <t>yflK</t>
  </si>
  <si>
    <t>acyP</t>
  </si>
  <si>
    <t>yflJ</t>
  </si>
  <si>
    <t>S265</t>
  </si>
  <si>
    <t>yflI</t>
  </si>
  <si>
    <t>yflH</t>
  </si>
  <si>
    <t>mapB</t>
  </si>
  <si>
    <t>nagP</t>
  </si>
  <si>
    <t>ltaSB</t>
  </si>
  <si>
    <t>yflD</t>
  </si>
  <si>
    <t>yflB</t>
  </si>
  <si>
    <t>yflA</t>
  </si>
  <si>
    <t>yfkT</t>
  </si>
  <si>
    <t>yfkS</t>
  </si>
  <si>
    <t>yfkR</t>
  </si>
  <si>
    <t>yfkQ</t>
  </si>
  <si>
    <t>treP</t>
  </si>
  <si>
    <t>treA</t>
  </si>
  <si>
    <t>treR</t>
  </si>
  <si>
    <t>hypO</t>
  </si>
  <si>
    <t>yfkN</t>
  </si>
  <si>
    <t>sufLB</t>
  </si>
  <si>
    <t>yfkL</t>
  </si>
  <si>
    <t>yfkK</t>
  </si>
  <si>
    <t>yfkJ</t>
  </si>
  <si>
    <t>yfkI</t>
  </si>
  <si>
    <t>rbn</t>
  </si>
  <si>
    <t>S275</t>
  </si>
  <si>
    <t>yfkF</t>
  </si>
  <si>
    <t>chaA</t>
  </si>
  <si>
    <t>yfkD</t>
  </si>
  <si>
    <t>mscC</t>
  </si>
  <si>
    <t>yfkA</t>
  </si>
  <si>
    <t>yfjT</t>
  </si>
  <si>
    <t>pdaA</t>
  </si>
  <si>
    <t>yfjR</t>
  </si>
  <si>
    <t>yfjQ</t>
  </si>
  <si>
    <t>yfjP</t>
  </si>
  <si>
    <t>yfjO</t>
  </si>
  <si>
    <t>yfzA</t>
  </si>
  <si>
    <t>dusC</t>
  </si>
  <si>
    <t>yfjM</t>
  </si>
  <si>
    <t>yfjL</t>
  </si>
  <si>
    <t>acoA</t>
  </si>
  <si>
    <t>acoB</t>
  </si>
  <si>
    <t>acoC</t>
  </si>
  <si>
    <t>acoL</t>
  </si>
  <si>
    <t>acoR</t>
  </si>
  <si>
    <t>sspH</t>
  </si>
  <si>
    <t>yfjF</t>
  </si>
  <si>
    <t>yfjE</t>
  </si>
  <si>
    <t>yfjD</t>
  </si>
  <si>
    <t>yfjC</t>
  </si>
  <si>
    <t>yfjB</t>
  </si>
  <si>
    <t>yfjA</t>
  </si>
  <si>
    <t>S283</t>
  </si>
  <si>
    <t>malA</t>
  </si>
  <si>
    <t>malR</t>
  </si>
  <si>
    <t>malP</t>
  </si>
  <si>
    <t>yfiB</t>
  </si>
  <si>
    <t>yfiC</t>
  </si>
  <si>
    <t>catD</t>
  </si>
  <si>
    <t>catE</t>
  </si>
  <si>
    <t>yfiF</t>
  </si>
  <si>
    <t>yfiG</t>
  </si>
  <si>
    <t>yfiH</t>
  </si>
  <si>
    <t>yfiI</t>
  </si>
  <si>
    <t>linJ</t>
  </si>
  <si>
    <t>linK</t>
  </si>
  <si>
    <t>bifL</t>
  </si>
  <si>
    <t>bifM</t>
  </si>
  <si>
    <t>bifN</t>
  </si>
  <si>
    <t>padR</t>
  </si>
  <si>
    <t>estB</t>
  </si>
  <si>
    <t>icaC</t>
  </si>
  <si>
    <t>S286</t>
  </si>
  <si>
    <t>yfiR</t>
  </si>
  <si>
    <t>yfiS</t>
  </si>
  <si>
    <t>bstA</t>
  </si>
  <si>
    <t>yfiU</t>
  </si>
  <si>
    <t>yfiV</t>
  </si>
  <si>
    <t>mprF</t>
  </si>
  <si>
    <t>sxzY</t>
  </si>
  <si>
    <t>sxzZ</t>
  </si>
  <si>
    <t>sxzA</t>
  </si>
  <si>
    <t>yfhB</t>
  </si>
  <si>
    <t>yfhC</t>
  </si>
  <si>
    <t>yfhD</t>
  </si>
  <si>
    <t>yfhE</t>
  </si>
  <si>
    <t>yfhF</t>
  </si>
  <si>
    <t>recX</t>
  </si>
  <si>
    <t>yfhH</t>
  </si>
  <si>
    <t>yfhI</t>
  </si>
  <si>
    <t>sspK</t>
  </si>
  <si>
    <t>yfhJ</t>
  </si>
  <si>
    <t>yfhK</t>
  </si>
  <si>
    <t>spdL</t>
  </si>
  <si>
    <t>ephM</t>
  </si>
  <si>
    <t>csbB</t>
  </si>
  <si>
    <t>yfhO</t>
  </si>
  <si>
    <t>yfhP</t>
  </si>
  <si>
    <t>mutY</t>
  </si>
  <si>
    <t>fabL</t>
  </si>
  <si>
    <t>sspE</t>
  </si>
  <si>
    <t>yfhS</t>
  </si>
  <si>
    <t>ygaB</t>
  </si>
  <si>
    <t>ygaC</t>
  </si>
  <si>
    <t>ygaD</t>
  </si>
  <si>
    <t>ygaE</t>
  </si>
  <si>
    <t>gsaB</t>
  </si>
  <si>
    <t>bcp</t>
  </si>
  <si>
    <t>perR</t>
  </si>
  <si>
    <t>ygzB</t>
  </si>
  <si>
    <t>ygxA</t>
  </si>
  <si>
    <t>SSU-rRNA-bacteria_rrnD-16S</t>
  </si>
  <si>
    <t>LSU-rRNA-archaea_rrnD-23S</t>
  </si>
  <si>
    <t>5S-rRNA_rrnD-5S</t>
  </si>
  <si>
    <t>asnTA</t>
  </si>
  <si>
    <t>trnD-Ser</t>
  </si>
  <si>
    <t>trnD-Glu</t>
  </si>
  <si>
    <t>trnD-Val</t>
  </si>
  <si>
    <t>trnD-Met</t>
  </si>
  <si>
    <t>trnD-Asp</t>
  </si>
  <si>
    <t>trnD-Phe</t>
  </si>
  <si>
    <t>trnD-Thr</t>
  </si>
  <si>
    <t>trnD-Tyr</t>
  </si>
  <si>
    <t>trnD-Trp</t>
  </si>
  <si>
    <t>trnD-His</t>
  </si>
  <si>
    <t>trnD-Gln</t>
  </si>
  <si>
    <t>glyTB</t>
  </si>
  <si>
    <t>cysTA</t>
  </si>
  <si>
    <t>leuTA</t>
  </si>
  <si>
    <t>leuTB</t>
  </si>
  <si>
    <t>spo0M</t>
  </si>
  <si>
    <t>ygzA</t>
  </si>
  <si>
    <t>ygzC</t>
  </si>
  <si>
    <t>ygaJ</t>
  </si>
  <si>
    <t>TPP_tswD</t>
  </si>
  <si>
    <t>thiC</t>
  </si>
  <si>
    <t>ygaK</t>
  </si>
  <si>
    <t>senS</t>
  </si>
  <si>
    <t>katA</t>
  </si>
  <si>
    <t>S309</t>
  </si>
  <si>
    <t>ssuB</t>
  </si>
  <si>
    <t>ssuA</t>
  </si>
  <si>
    <t>ssuC</t>
  </si>
  <si>
    <t>ssuD</t>
  </si>
  <si>
    <t>ygaN</t>
  </si>
  <si>
    <t>rpsNB</t>
  </si>
  <si>
    <t>ygaO</t>
  </si>
  <si>
    <t>ygzD</t>
  </si>
  <si>
    <t>trnSL-Gly1</t>
  </si>
  <si>
    <t>yhzB</t>
  </si>
  <si>
    <t>queG</t>
  </si>
  <si>
    <t>yhbB</t>
  </si>
  <si>
    <t>trmL</t>
  </si>
  <si>
    <t>yhbD</t>
  </si>
  <si>
    <t>yhbE</t>
  </si>
  <si>
    <t>yhbF</t>
  </si>
  <si>
    <t>S313</t>
  </si>
  <si>
    <t>prkA</t>
  </si>
  <si>
    <t>yhbH</t>
  </si>
  <si>
    <t>yhbI</t>
  </si>
  <si>
    <t>yhbJ</t>
  </si>
  <si>
    <t>yhcA</t>
  </si>
  <si>
    <t>yhcB</t>
  </si>
  <si>
    <t>yhcC</t>
  </si>
  <si>
    <t>yhcD</t>
  </si>
  <si>
    <t>yhcE</t>
  </si>
  <si>
    <t>yhcF</t>
  </si>
  <si>
    <t>yhcG</t>
  </si>
  <si>
    <t>yhcH</t>
  </si>
  <si>
    <t>yhcI</t>
  </si>
  <si>
    <t>cspB</t>
  </si>
  <si>
    <t>yhcJ</t>
  </si>
  <si>
    <t>dgcK</t>
  </si>
  <si>
    <t>tcyP</t>
  </si>
  <si>
    <t>yhcM</t>
  </si>
  <si>
    <t>yhcN</t>
  </si>
  <si>
    <t>yhcO</t>
  </si>
  <si>
    <t>yhcQ</t>
  </si>
  <si>
    <t>mncR</t>
  </si>
  <si>
    <t>srtA</t>
  </si>
  <si>
    <t>yhcT</t>
  </si>
  <si>
    <t>yhcU</t>
  </si>
  <si>
    <t>yhcV</t>
  </si>
  <si>
    <t>glpW</t>
  </si>
  <si>
    <t>yhcX</t>
  </si>
  <si>
    <t>yhxA</t>
  </si>
  <si>
    <t>glpP</t>
  </si>
  <si>
    <t>glpF</t>
  </si>
  <si>
    <t>glpK</t>
  </si>
  <si>
    <t>glpD</t>
  </si>
  <si>
    <t>pgcA</t>
  </si>
  <si>
    <t>yhcY</t>
  </si>
  <si>
    <t>yhcZ</t>
  </si>
  <si>
    <t>azr</t>
  </si>
  <si>
    <t>yhdB</t>
  </si>
  <si>
    <t>yhdC</t>
  </si>
  <si>
    <t>lytF</t>
  </si>
  <si>
    <t>nsrR</t>
  </si>
  <si>
    <t>S326</t>
  </si>
  <si>
    <t>ygxB</t>
  </si>
  <si>
    <t>spoVR</t>
  </si>
  <si>
    <t>phoA</t>
  </si>
  <si>
    <t>S328</t>
  </si>
  <si>
    <t>lytE</t>
  </si>
  <si>
    <t>citR</t>
  </si>
  <si>
    <t>citA</t>
  </si>
  <si>
    <t>yhdF</t>
  </si>
  <si>
    <t>bcaP</t>
  </si>
  <si>
    <t>yhdH</t>
  </si>
  <si>
    <t>yhdI</t>
  </si>
  <si>
    <t>yhdJ</t>
  </si>
  <si>
    <t>asiMB</t>
  </si>
  <si>
    <t>asiMA</t>
  </si>
  <si>
    <t>sigM</t>
  </si>
  <si>
    <t>akrN</t>
  </si>
  <si>
    <t>plsC</t>
  </si>
  <si>
    <t>yhdP</t>
  </si>
  <si>
    <t>cueR</t>
  </si>
  <si>
    <t>yhdR</t>
  </si>
  <si>
    <t>yhdT</t>
  </si>
  <si>
    <t>crcBA</t>
  </si>
  <si>
    <t>crcBB</t>
  </si>
  <si>
    <t>yhdW</t>
  </si>
  <si>
    <t>yhdX</t>
  </si>
  <si>
    <t>mscY</t>
  </si>
  <si>
    <t>srtN</t>
  </si>
  <si>
    <t>yheN</t>
  </si>
  <si>
    <t>dat</t>
  </si>
  <si>
    <t>nhaC</t>
  </si>
  <si>
    <t>nhaX</t>
  </si>
  <si>
    <t>bmrB</t>
  </si>
  <si>
    <t>bmrC</t>
  </si>
  <si>
    <t>bmrD</t>
  </si>
  <si>
    <t>BmrCD leader</t>
  </si>
  <si>
    <t>yheG</t>
  </si>
  <si>
    <t>yheF</t>
  </si>
  <si>
    <t>sspB</t>
  </si>
  <si>
    <t>yheE</t>
  </si>
  <si>
    <t>spaD</t>
  </si>
  <si>
    <t>spaC</t>
  </si>
  <si>
    <t>yheB</t>
  </si>
  <si>
    <t>yheA</t>
  </si>
  <si>
    <t>yhaZ</t>
  </si>
  <si>
    <t>S345</t>
  </si>
  <si>
    <t>yhaX</t>
  </si>
  <si>
    <t>hemZ</t>
  </si>
  <si>
    <t>khtU</t>
  </si>
  <si>
    <t>khtT</t>
  </si>
  <si>
    <t>khtS</t>
  </si>
  <si>
    <t>yhaR</t>
  </si>
  <si>
    <t>yhzD</t>
  </si>
  <si>
    <t>yhaQ</t>
  </si>
  <si>
    <t>yhaP</t>
  </si>
  <si>
    <t>yhaO</t>
  </si>
  <si>
    <t>sbcE</t>
  </si>
  <si>
    <t>yhaM</t>
  </si>
  <si>
    <t>yhaL</t>
  </si>
  <si>
    <t>prsA</t>
  </si>
  <si>
    <t>sscA</t>
  </si>
  <si>
    <t>sscB</t>
  </si>
  <si>
    <t>S348</t>
  </si>
  <si>
    <t>yhaJ</t>
  </si>
  <si>
    <t>yhaI</t>
  </si>
  <si>
    <t>scoC</t>
  </si>
  <si>
    <t>yhzF</t>
  </si>
  <si>
    <t>yhaH</t>
  </si>
  <si>
    <t>trpP</t>
  </si>
  <si>
    <t>serC</t>
  </si>
  <si>
    <t>hinT</t>
  </si>
  <si>
    <t>S357</t>
  </si>
  <si>
    <t>ecsA</t>
  </si>
  <si>
    <t>ecsB</t>
  </si>
  <si>
    <t>ecsC</t>
  </si>
  <si>
    <t>sndC</t>
  </si>
  <si>
    <t>yhfA</t>
  </si>
  <si>
    <t>hmoB</t>
  </si>
  <si>
    <t>pbpF</t>
  </si>
  <si>
    <t>hemE</t>
  </si>
  <si>
    <t>hemH</t>
  </si>
  <si>
    <t>hemY</t>
  </si>
  <si>
    <t>yhgD</t>
  </si>
  <si>
    <t>yhgE</t>
  </si>
  <si>
    <t>fabHB</t>
  </si>
  <si>
    <t>yhfC</t>
  </si>
  <si>
    <t>S359</t>
  </si>
  <si>
    <t>yhfE</t>
  </si>
  <si>
    <t>yhfF</t>
  </si>
  <si>
    <t>gltT</t>
  </si>
  <si>
    <t>yhfH</t>
  </si>
  <si>
    <t>yhfI</t>
  </si>
  <si>
    <t>lplJ</t>
  </si>
  <si>
    <t>yhfK</t>
  </si>
  <si>
    <t>lcfB</t>
  </si>
  <si>
    <t>yhfM</t>
  </si>
  <si>
    <t>yhfN</t>
  </si>
  <si>
    <t>aprE</t>
  </si>
  <si>
    <t>yhfO</t>
  </si>
  <si>
    <t>yhfP</t>
  </si>
  <si>
    <t>yhfQ</t>
  </si>
  <si>
    <t>phoE</t>
  </si>
  <si>
    <t>yhfS</t>
  </si>
  <si>
    <t>yhfT</t>
  </si>
  <si>
    <t>bioY</t>
  </si>
  <si>
    <t>hemAT</t>
  </si>
  <si>
    <t>yhfW</t>
  </si>
  <si>
    <t>yhxC</t>
  </si>
  <si>
    <t>yhzC</t>
  </si>
  <si>
    <t>comK</t>
  </si>
  <si>
    <t>yhxD</t>
  </si>
  <si>
    <t>S367</t>
  </si>
  <si>
    <t>yhjA</t>
  </si>
  <si>
    <t>yhjB</t>
  </si>
  <si>
    <t>yhjC</t>
  </si>
  <si>
    <t>yhjD</t>
  </si>
  <si>
    <t>yhjE</t>
  </si>
  <si>
    <t>sipV</t>
  </si>
  <si>
    <t>yhjG</t>
  </si>
  <si>
    <t>yhjH</t>
  </si>
  <si>
    <t>glcP</t>
  </si>
  <si>
    <t>ntdC</t>
  </si>
  <si>
    <t>ntdB</t>
  </si>
  <si>
    <t>ntdA</t>
  </si>
  <si>
    <t>S372</t>
  </si>
  <si>
    <t>ntdR</t>
  </si>
  <si>
    <t>yhjN</t>
  </si>
  <si>
    <t>yhjP</t>
  </si>
  <si>
    <t>yhjQ</t>
  </si>
  <si>
    <t>yhjR</t>
  </si>
  <si>
    <t>addB</t>
  </si>
  <si>
    <t>addA</t>
  </si>
  <si>
    <t>sbcD</t>
  </si>
  <si>
    <t>sbcC</t>
  </si>
  <si>
    <t>hlpB</t>
  </si>
  <si>
    <t>gerPF</t>
  </si>
  <si>
    <t>gerPE</t>
  </si>
  <si>
    <t>gerPD</t>
  </si>
  <si>
    <t>gerPC</t>
  </si>
  <si>
    <t>gerPB</t>
  </si>
  <si>
    <t>gerPA</t>
  </si>
  <si>
    <t>S381</t>
  </si>
  <si>
    <t>pchI</t>
  </si>
  <si>
    <t>yisJ</t>
  </si>
  <si>
    <t>mblK</t>
  </si>
  <si>
    <t>yisL</t>
  </si>
  <si>
    <t>wprA</t>
  </si>
  <si>
    <t>yisN</t>
  </si>
  <si>
    <t>asnO</t>
  </si>
  <si>
    <t>yizA</t>
  </si>
  <si>
    <t>farP</t>
  </si>
  <si>
    <t>yisQ</t>
  </si>
  <si>
    <t>yisR</t>
  </si>
  <si>
    <t>iolQ</t>
  </si>
  <si>
    <t>iolX</t>
  </si>
  <si>
    <t>yisT</t>
  </si>
  <si>
    <t>yisV</t>
  </si>
  <si>
    <t>yisX</t>
  </si>
  <si>
    <t>yisY</t>
  </si>
  <si>
    <t>yisZ</t>
  </si>
  <si>
    <t>yitA</t>
  </si>
  <si>
    <t>yitB</t>
  </si>
  <si>
    <t>slpH</t>
  </si>
  <si>
    <t>slpS</t>
  </si>
  <si>
    <t>yitE</t>
  </si>
  <si>
    <t>yitF</t>
  </si>
  <si>
    <t>yitG</t>
  </si>
  <si>
    <t>yitH</t>
  </si>
  <si>
    <t>yitI</t>
  </si>
  <si>
    <t>samT</t>
  </si>
  <si>
    <t>SAM_mswK</t>
  </si>
  <si>
    <t>yitK</t>
  </si>
  <si>
    <t>yitL</t>
  </si>
  <si>
    <t>yitM</t>
  </si>
  <si>
    <t>yitP</t>
  </si>
  <si>
    <t>yizB</t>
  </si>
  <si>
    <t>yitQ</t>
  </si>
  <si>
    <t>yitR</t>
  </si>
  <si>
    <t>nprB</t>
  </si>
  <si>
    <t>fakBB</t>
  </si>
  <si>
    <t>yitT</t>
  </si>
  <si>
    <t>ipi</t>
  </si>
  <si>
    <t>yizC</t>
  </si>
  <si>
    <t>ribZC</t>
  </si>
  <si>
    <t>yitV</t>
  </si>
  <si>
    <t>yitW</t>
  </si>
  <si>
    <t>yitZ</t>
  </si>
  <si>
    <t>argC</t>
  </si>
  <si>
    <t>argJ</t>
  </si>
  <si>
    <t>argB</t>
  </si>
  <si>
    <t>argD</t>
  </si>
  <si>
    <t>carA</t>
  </si>
  <si>
    <t>carB</t>
  </si>
  <si>
    <t>argF</t>
  </si>
  <si>
    <t>yjzD</t>
  </si>
  <si>
    <t>yjzC</t>
  </si>
  <si>
    <t>yjaU</t>
  </si>
  <si>
    <t>yjaV</t>
  </si>
  <si>
    <t>med</t>
  </si>
  <si>
    <t>comZ</t>
  </si>
  <si>
    <t>S400</t>
  </si>
  <si>
    <t>yjzB</t>
  </si>
  <si>
    <t>fabHA</t>
  </si>
  <si>
    <t>fabF</t>
  </si>
  <si>
    <t>yjaZ</t>
  </si>
  <si>
    <t>appD</t>
  </si>
  <si>
    <t>appF</t>
  </si>
  <si>
    <t>appAn</t>
  </si>
  <si>
    <t>appAc</t>
  </si>
  <si>
    <t>appB</t>
  </si>
  <si>
    <t>appC</t>
  </si>
  <si>
    <t>yjbA</t>
  </si>
  <si>
    <t>trpS</t>
  </si>
  <si>
    <t>T-box_tboWA</t>
  </si>
  <si>
    <t>S406</t>
  </si>
  <si>
    <t>oppA</t>
  </si>
  <si>
    <t>oppB</t>
  </si>
  <si>
    <t>oppC</t>
  </si>
  <si>
    <t>oppD</t>
  </si>
  <si>
    <t>oppF</t>
  </si>
  <si>
    <t>yjbB</t>
  </si>
  <si>
    <t>yjbC</t>
  </si>
  <si>
    <t>spxA</t>
  </si>
  <si>
    <t>yjbE</t>
  </si>
  <si>
    <t>mecA</t>
  </si>
  <si>
    <t>coiA</t>
  </si>
  <si>
    <t>pepF</t>
  </si>
  <si>
    <t>yizD</t>
  </si>
  <si>
    <t>rsaE_S415_RsaE_roxS</t>
  </si>
  <si>
    <t>spxH</t>
  </si>
  <si>
    <t>yjbI</t>
  </si>
  <si>
    <t>S416</t>
  </si>
  <si>
    <t>cwlQ</t>
  </si>
  <si>
    <t>yjbK</t>
  </si>
  <si>
    <t>yjbL</t>
  </si>
  <si>
    <t>relP</t>
  </si>
  <si>
    <t>ppnKA</t>
  </si>
  <si>
    <t>yjbO</t>
  </si>
  <si>
    <t>prpE</t>
  </si>
  <si>
    <t>kefQ</t>
  </si>
  <si>
    <t>tenA</t>
  </si>
  <si>
    <t>tenI</t>
  </si>
  <si>
    <t>thiO</t>
  </si>
  <si>
    <t>thiS</t>
  </si>
  <si>
    <t>thiG</t>
  </si>
  <si>
    <t>thiF</t>
  </si>
  <si>
    <t>thiD</t>
  </si>
  <si>
    <t>TPP_tswA</t>
  </si>
  <si>
    <t>fabI</t>
  </si>
  <si>
    <t>cotO</t>
  </si>
  <si>
    <t>cotZ</t>
  </si>
  <si>
    <t>cotY</t>
  </si>
  <si>
    <t>yjcA</t>
  </si>
  <si>
    <t>cotX</t>
  </si>
  <si>
    <t>cotW</t>
  </si>
  <si>
    <t>cotV</t>
  </si>
  <si>
    <t>S423</t>
  </si>
  <si>
    <t>yjzK</t>
  </si>
  <si>
    <t>yjcB</t>
  </si>
  <si>
    <t>yjcZ</t>
  </si>
  <si>
    <t>spoVIF</t>
  </si>
  <si>
    <t>yjcD</t>
  </si>
  <si>
    <t>yjzE</t>
  </si>
  <si>
    <t>yjcF</t>
  </si>
  <si>
    <t>yjcG</t>
  </si>
  <si>
    <t>yjcH</t>
  </si>
  <si>
    <t>metI</t>
  </si>
  <si>
    <t>metC</t>
  </si>
  <si>
    <t>SAM_mswA</t>
  </si>
  <si>
    <t>trnSL-Val2</t>
  </si>
  <si>
    <t>yjcK</t>
  </si>
  <si>
    <t>yjcL</t>
  </si>
  <si>
    <t>yjcM</t>
  </si>
  <si>
    <t>yjcN</t>
  </si>
  <si>
    <t>yjcP</t>
  </si>
  <si>
    <t>yjcQ</t>
  </si>
  <si>
    <t>yjcS</t>
  </si>
  <si>
    <t>yjdA</t>
  </si>
  <si>
    <t>yjdB</t>
  </si>
  <si>
    <t>manR</t>
  </si>
  <si>
    <t>manP</t>
  </si>
  <si>
    <t>manA</t>
  </si>
  <si>
    <t>yjdF</t>
  </si>
  <si>
    <t>yjdG</t>
  </si>
  <si>
    <t>yjdH</t>
  </si>
  <si>
    <t>trnE</t>
  </si>
  <si>
    <t>yjzH</t>
  </si>
  <si>
    <t>yjdJ</t>
  </si>
  <si>
    <t>S444</t>
  </si>
  <si>
    <t>ctaO</t>
  </si>
  <si>
    <t>cotT</t>
  </si>
  <si>
    <t>pdaC</t>
  </si>
  <si>
    <t>yjfA</t>
  </si>
  <si>
    <t>yjfB</t>
  </si>
  <si>
    <t>yjfC</t>
  </si>
  <si>
    <t>yjgA</t>
  </si>
  <si>
    <t>yjgB</t>
  </si>
  <si>
    <t>yjgC</t>
  </si>
  <si>
    <t>yjgD</t>
  </si>
  <si>
    <t>yjhA</t>
  </si>
  <si>
    <t>yjhB</t>
  </si>
  <si>
    <t>yjiA</t>
  </si>
  <si>
    <t>cypE</t>
  </si>
  <si>
    <t>ppuG</t>
  </si>
  <si>
    <t>yjzI</t>
  </si>
  <si>
    <t>yjjA</t>
  </si>
  <si>
    <t>yjkA</t>
  </si>
  <si>
    <t>yjkB</t>
  </si>
  <si>
    <t>yjlA</t>
  </si>
  <si>
    <t>yjlB</t>
  </si>
  <si>
    <t>yjlC</t>
  </si>
  <si>
    <t>ndh</t>
  </si>
  <si>
    <t>uxaC</t>
  </si>
  <si>
    <t>exuM</t>
  </si>
  <si>
    <t>yjmC</t>
  </si>
  <si>
    <t>yjmD</t>
  </si>
  <si>
    <t>uxuA</t>
  </si>
  <si>
    <t>uxuB</t>
  </si>
  <si>
    <t>exuT</t>
  </si>
  <si>
    <t>exuR</t>
  </si>
  <si>
    <t>uxaB</t>
  </si>
  <si>
    <t>uxaA</t>
  </si>
  <si>
    <t>yjnA</t>
  </si>
  <si>
    <t>yjoA</t>
  </si>
  <si>
    <t>yjoB</t>
  </si>
  <si>
    <t>rapA</t>
  </si>
  <si>
    <t>phrA</t>
  </si>
  <si>
    <t>yjpA</t>
  </si>
  <si>
    <t>xlyB</t>
  </si>
  <si>
    <t>pghB</t>
  </si>
  <si>
    <t>xpdC</t>
  </si>
  <si>
    <t>yjqA</t>
  </si>
  <si>
    <t>xkdA</t>
  </si>
  <si>
    <t>xre</t>
  </si>
  <si>
    <t>yjzJ</t>
  </si>
  <si>
    <t>xkdB</t>
  </si>
  <si>
    <t>xkdC</t>
  </si>
  <si>
    <t>ykzK</t>
  </si>
  <si>
    <t>xkdD</t>
  </si>
  <si>
    <t>xtrA</t>
  </si>
  <si>
    <t>xtmA</t>
  </si>
  <si>
    <t>xtmB</t>
  </si>
  <si>
    <t>xkdE</t>
  </si>
  <si>
    <t>xkdF</t>
  </si>
  <si>
    <t>xkdG</t>
  </si>
  <si>
    <t>ykzL</t>
  </si>
  <si>
    <t>xkdH</t>
  </si>
  <si>
    <t>xkdI</t>
  </si>
  <si>
    <t>xkdJ</t>
  </si>
  <si>
    <t>ykzM</t>
  </si>
  <si>
    <t>xkdK</t>
  </si>
  <si>
    <t>xkdM</t>
  </si>
  <si>
    <t>xkdN</t>
  </si>
  <si>
    <t>xkzB</t>
  </si>
  <si>
    <t>xkdO</t>
  </si>
  <si>
    <t>xkdP</t>
  </si>
  <si>
    <t>xkdQ</t>
  </si>
  <si>
    <t>xkdR</t>
  </si>
  <si>
    <t>xkdS</t>
  </si>
  <si>
    <t>xkdT</t>
  </si>
  <si>
    <t>xkdU</t>
  </si>
  <si>
    <t>xkzA</t>
  </si>
  <si>
    <t>xkdV</t>
  </si>
  <si>
    <t>xkdW</t>
  </si>
  <si>
    <t>xkdX</t>
  </si>
  <si>
    <t>xepA</t>
  </si>
  <si>
    <t>xhlA</t>
  </si>
  <si>
    <t>xhlB</t>
  </si>
  <si>
    <t>xlyA</t>
  </si>
  <si>
    <t>spoIISC</t>
  </si>
  <si>
    <t>spoIISB</t>
  </si>
  <si>
    <t>spoIISA</t>
  </si>
  <si>
    <t>pitB</t>
  </si>
  <si>
    <t>ykaA</t>
  </si>
  <si>
    <t>steT</t>
  </si>
  <si>
    <t>mhqA</t>
  </si>
  <si>
    <t>ykcB</t>
  </si>
  <si>
    <t>ykcC</t>
  </si>
  <si>
    <t>S462</t>
  </si>
  <si>
    <t>htrA</t>
  </si>
  <si>
    <t>proCC</t>
  </si>
  <si>
    <t>dppA</t>
  </si>
  <si>
    <t>dppB</t>
  </si>
  <si>
    <t>dppC</t>
  </si>
  <si>
    <t>dppD</t>
  </si>
  <si>
    <t>dppE</t>
  </si>
  <si>
    <t>ldcA</t>
  </si>
  <si>
    <t>aeeB</t>
  </si>
  <si>
    <t>eepC</t>
  </si>
  <si>
    <t>ykfD</t>
  </si>
  <si>
    <t>pgl</t>
  </si>
  <si>
    <t>ddaH</t>
  </si>
  <si>
    <t>ykhA</t>
  </si>
  <si>
    <t>hmpA</t>
  </si>
  <si>
    <t>ykjA</t>
  </si>
  <si>
    <t>ykzH</t>
  </si>
  <si>
    <t>ykkA</t>
  </si>
  <si>
    <t>ykkB</t>
  </si>
  <si>
    <t>gdnC</t>
  </si>
  <si>
    <t>gdnD</t>
  </si>
  <si>
    <t>ykkC-yxkD_gdwA</t>
  </si>
  <si>
    <t>purU</t>
  </si>
  <si>
    <t>proB</t>
  </si>
  <si>
    <t>proA</t>
  </si>
  <si>
    <t>pswB</t>
  </si>
  <si>
    <t>ohrA</t>
  </si>
  <si>
    <t>ohrR</t>
  </si>
  <si>
    <t>ohrB</t>
  </si>
  <si>
    <t>ykzN</t>
  </si>
  <si>
    <t>guaN</t>
  </si>
  <si>
    <t>metE</t>
  </si>
  <si>
    <t>SAM_mswB</t>
  </si>
  <si>
    <t>ispA</t>
  </si>
  <si>
    <t>rsbRB</t>
  </si>
  <si>
    <t>thiX</t>
  </si>
  <si>
    <t>thiW</t>
  </si>
  <si>
    <t>thiV</t>
  </si>
  <si>
    <t>thiU</t>
  </si>
  <si>
    <t>TPP_tswB</t>
  </si>
  <si>
    <t>ykoG</t>
  </si>
  <si>
    <t>ykoH</t>
  </si>
  <si>
    <t>ykoI</t>
  </si>
  <si>
    <t>ykoJ</t>
  </si>
  <si>
    <t>ykzD</t>
  </si>
  <si>
    <t>mgtE</t>
  </si>
  <si>
    <t>ykoK_swmG</t>
  </si>
  <si>
    <t>tnrA</t>
  </si>
  <si>
    <t>ykzB</t>
  </si>
  <si>
    <t>ykoL</t>
  </si>
  <si>
    <t>ykoM</t>
  </si>
  <si>
    <t>ykoN</t>
  </si>
  <si>
    <t>ykoP</t>
  </si>
  <si>
    <t>ykoQ</t>
  </si>
  <si>
    <t>ykoS</t>
  </si>
  <si>
    <t>ykoT</t>
  </si>
  <si>
    <t>ligD</t>
  </si>
  <si>
    <t>ligV</t>
  </si>
  <si>
    <t>dgcW</t>
  </si>
  <si>
    <t>ykoX</t>
  </si>
  <si>
    <t>mnrW</t>
  </si>
  <si>
    <t>ykoY</t>
  </si>
  <si>
    <t>sigI</t>
  </si>
  <si>
    <t>rsgI</t>
  </si>
  <si>
    <t>sspD</t>
  </si>
  <si>
    <t>htpK</t>
  </si>
  <si>
    <t>htpX</t>
  </si>
  <si>
    <t>ktrD</t>
  </si>
  <si>
    <t>ykzP</t>
  </si>
  <si>
    <t>ykzE</t>
  </si>
  <si>
    <t>ykrP</t>
  </si>
  <si>
    <t>kinE</t>
  </si>
  <si>
    <t>ogt</t>
  </si>
  <si>
    <t>mtnA</t>
  </si>
  <si>
    <t>mtnK</t>
  </si>
  <si>
    <t>SAM_mswC</t>
  </si>
  <si>
    <t>mtnU</t>
  </si>
  <si>
    <t>mtnE</t>
  </si>
  <si>
    <t>mtnW</t>
  </si>
  <si>
    <t>mtnX</t>
  </si>
  <si>
    <t>mtnB</t>
  </si>
  <si>
    <t>mtnD</t>
  </si>
  <si>
    <t>SAM_mswD</t>
  </si>
  <si>
    <t>ykvA</t>
  </si>
  <si>
    <t>spo0E</t>
  </si>
  <si>
    <t>kinD</t>
  </si>
  <si>
    <t>eag</t>
  </si>
  <si>
    <t>mhqR</t>
  </si>
  <si>
    <t>motB</t>
  </si>
  <si>
    <t>motA</t>
  </si>
  <si>
    <t>clpE</t>
  </si>
  <si>
    <t>ykvI</t>
  </si>
  <si>
    <t>queC</t>
  </si>
  <si>
    <t>queD</t>
  </si>
  <si>
    <t>queE</t>
  </si>
  <si>
    <t>queF</t>
  </si>
  <si>
    <t>qswA</t>
  </si>
  <si>
    <t>ykvN</t>
  </si>
  <si>
    <t>ykvO</t>
  </si>
  <si>
    <t>ykvP</t>
  </si>
  <si>
    <t>ykzQ</t>
  </si>
  <si>
    <t>ykvQ</t>
  </si>
  <si>
    <t>S498</t>
  </si>
  <si>
    <t>S499</t>
  </si>
  <si>
    <t>ykvR</t>
  </si>
  <si>
    <t>ykvS</t>
  </si>
  <si>
    <t>ykzS</t>
  </si>
  <si>
    <t>ykvT</t>
  </si>
  <si>
    <t>ykvU</t>
  </si>
  <si>
    <t>stoA</t>
  </si>
  <si>
    <t>S502</t>
  </si>
  <si>
    <t>pfeT</t>
  </si>
  <si>
    <t>S503</t>
  </si>
  <si>
    <t>papB</t>
  </si>
  <si>
    <t>ykvZ</t>
  </si>
  <si>
    <t>glcT</t>
  </si>
  <si>
    <t>ptsG</t>
  </si>
  <si>
    <t>ptsH</t>
  </si>
  <si>
    <t>ptsI</t>
  </si>
  <si>
    <t>splA</t>
  </si>
  <si>
    <t>splB</t>
  </si>
  <si>
    <t>ykwB</t>
  </si>
  <si>
    <t>mcpC</t>
  </si>
  <si>
    <t>ohaC</t>
  </si>
  <si>
    <t>ykwD</t>
  </si>
  <si>
    <t>S507</t>
  </si>
  <si>
    <t>pbpH</t>
  </si>
  <si>
    <t>kinA</t>
  </si>
  <si>
    <t>dapX</t>
  </si>
  <si>
    <t>ykzT</t>
  </si>
  <si>
    <t>cheV</t>
  </si>
  <si>
    <t>kre</t>
  </si>
  <si>
    <t>ykuC</t>
  </si>
  <si>
    <t>ltdD</t>
  </si>
  <si>
    <t>ppeE</t>
  </si>
  <si>
    <t>fadH</t>
  </si>
  <si>
    <t>ykuG</t>
  </si>
  <si>
    <t>ykzU</t>
  </si>
  <si>
    <t>ykuH</t>
  </si>
  <si>
    <t>ykuI</t>
  </si>
  <si>
    <t>S512_FsrA_fsrA</t>
  </si>
  <si>
    <t>ykuJ</t>
  </si>
  <si>
    <t>ykuK</t>
  </si>
  <si>
    <t>abbA</t>
  </si>
  <si>
    <t>ykuL</t>
  </si>
  <si>
    <t>ccpC</t>
  </si>
  <si>
    <t>fldN</t>
  </si>
  <si>
    <t>ykuO</t>
  </si>
  <si>
    <t>fldP</t>
  </si>
  <si>
    <t>dapH</t>
  </si>
  <si>
    <t>dapI</t>
  </si>
  <si>
    <t>ykuS</t>
  </si>
  <si>
    <t>mscT</t>
  </si>
  <si>
    <t>ahpA</t>
  </si>
  <si>
    <t>ykuV</t>
  </si>
  <si>
    <t>rok</t>
  </si>
  <si>
    <t>sppO</t>
  </si>
  <si>
    <t>mobA</t>
  </si>
  <si>
    <t>moeB</t>
  </si>
  <si>
    <t>moeA</t>
  </si>
  <si>
    <t>mobB</t>
  </si>
  <si>
    <t>moaE</t>
  </si>
  <si>
    <t>moaD</t>
  </si>
  <si>
    <t>yknU</t>
  </si>
  <si>
    <t>yknV</t>
  </si>
  <si>
    <t>skiW</t>
  </si>
  <si>
    <t>skiX</t>
  </si>
  <si>
    <t>skiY</t>
  </si>
  <si>
    <t>skiZ</t>
  </si>
  <si>
    <t>fruR</t>
  </si>
  <si>
    <t>fruK</t>
  </si>
  <si>
    <t>fruA</t>
  </si>
  <si>
    <t>sipT</t>
  </si>
  <si>
    <t>ykoA</t>
  </si>
  <si>
    <t>ykpA</t>
  </si>
  <si>
    <t>panE</t>
  </si>
  <si>
    <t>ampS</t>
  </si>
  <si>
    <t>ykpC</t>
  </si>
  <si>
    <t>mreBH</t>
  </si>
  <si>
    <t>abhA</t>
  </si>
  <si>
    <t>S526</t>
  </si>
  <si>
    <t>kinC</t>
  </si>
  <si>
    <t>ykqA</t>
  </si>
  <si>
    <t>ktrC</t>
  </si>
  <si>
    <t>adeC</t>
  </si>
  <si>
    <t>rnjA</t>
  </si>
  <si>
    <t>rnpZA</t>
  </si>
  <si>
    <t>ykrA</t>
  </si>
  <si>
    <t>defB</t>
  </si>
  <si>
    <t>ykzV</t>
  </si>
  <si>
    <t>ykyA</t>
  </si>
  <si>
    <t>pdhA</t>
  </si>
  <si>
    <t>pdhB</t>
  </si>
  <si>
    <t>pdhC</t>
  </si>
  <si>
    <t>pdhD</t>
  </si>
  <si>
    <t>slp</t>
  </si>
  <si>
    <t>SR1_srrA</t>
  </si>
  <si>
    <t>rgpA</t>
  </si>
  <si>
    <t>speA</t>
  </si>
  <si>
    <t>yktA</t>
  </si>
  <si>
    <t>yktB</t>
  </si>
  <si>
    <t>ykzI</t>
  </si>
  <si>
    <t>yktD</t>
  </si>
  <si>
    <t>suhB</t>
  </si>
  <si>
    <t>ykzC</t>
  </si>
  <si>
    <t>nprE</t>
  </si>
  <si>
    <t>ylaA</t>
  </si>
  <si>
    <t>ylaB</t>
  </si>
  <si>
    <t>sigP</t>
  </si>
  <si>
    <t>sigQ</t>
  </si>
  <si>
    <t>ylaE</t>
  </si>
  <si>
    <t>ylaF</t>
  </si>
  <si>
    <t>bipA</t>
  </si>
  <si>
    <t>ylaH</t>
  </si>
  <si>
    <t>ylaI</t>
  </si>
  <si>
    <t>ylaJ</t>
  </si>
  <si>
    <t>ylaK</t>
  </si>
  <si>
    <t>glsB</t>
  </si>
  <si>
    <t>ylaL</t>
  </si>
  <si>
    <t>ylaN</t>
  </si>
  <si>
    <t>ftsW</t>
  </si>
  <si>
    <t>pycA</t>
  </si>
  <si>
    <t>ctaA</t>
  </si>
  <si>
    <t>ctaB</t>
  </si>
  <si>
    <t>ctaC</t>
  </si>
  <si>
    <t>ctaD</t>
  </si>
  <si>
    <t>ctaE</t>
  </si>
  <si>
    <t>ctaF</t>
  </si>
  <si>
    <t>ctaG</t>
  </si>
  <si>
    <t>ylbA</t>
  </si>
  <si>
    <t>ylbB</t>
  </si>
  <si>
    <t>ylbC</t>
  </si>
  <si>
    <t>ylbD</t>
  </si>
  <si>
    <t>ylbE</t>
  </si>
  <si>
    <t>S547</t>
  </si>
  <si>
    <t>ricF</t>
  </si>
  <si>
    <t>ylbG</t>
  </si>
  <si>
    <t>ylbH_csfG</t>
  </si>
  <si>
    <t>rsmD</t>
  </si>
  <si>
    <t>coaD</t>
  </si>
  <si>
    <t>spoVV</t>
  </si>
  <si>
    <t>ylbK</t>
  </si>
  <si>
    <t>ylbL</t>
  </si>
  <si>
    <t>ylbM</t>
  </si>
  <si>
    <t>ylzH</t>
  </si>
  <si>
    <t>ylbN</t>
  </si>
  <si>
    <t>rpmF</t>
  </si>
  <si>
    <t>gerR</t>
  </si>
  <si>
    <t>ylbP</t>
  </si>
  <si>
    <t>bshC</t>
  </si>
  <si>
    <t>mraZ</t>
  </si>
  <si>
    <t>rsmH</t>
  </si>
  <si>
    <t>ftsL</t>
  </si>
  <si>
    <t>pbpB</t>
  </si>
  <si>
    <t>S555</t>
  </si>
  <si>
    <t>spoVD</t>
  </si>
  <si>
    <t>murE</t>
  </si>
  <si>
    <t>mraY</t>
  </si>
  <si>
    <t>murD</t>
  </si>
  <si>
    <t>spoVE</t>
  </si>
  <si>
    <t>murG</t>
  </si>
  <si>
    <t>murB</t>
  </si>
  <si>
    <t>divIB</t>
  </si>
  <si>
    <t>ylxW</t>
  </si>
  <si>
    <t>ylxX</t>
  </si>
  <si>
    <t>sbp</t>
  </si>
  <si>
    <t>S560</t>
  </si>
  <si>
    <t>ftsA</t>
  </si>
  <si>
    <t>ftsZ</t>
  </si>
  <si>
    <t>bpr</t>
  </si>
  <si>
    <t>S562</t>
  </si>
  <si>
    <t>spoIIGA</t>
  </si>
  <si>
    <t>sigE</t>
  </si>
  <si>
    <t>sigG</t>
  </si>
  <si>
    <t>ylmA</t>
  </si>
  <si>
    <t>thiQ</t>
  </si>
  <si>
    <t>TPP_tswE</t>
  </si>
  <si>
    <t>ylmC</t>
  </si>
  <si>
    <t>ylmD</t>
  </si>
  <si>
    <t>ylmE</t>
  </si>
  <si>
    <t>sepF</t>
  </si>
  <si>
    <t>ylmG</t>
  </si>
  <si>
    <t>ylmH</t>
  </si>
  <si>
    <t>divIVA</t>
  </si>
  <si>
    <t>ileS</t>
  </si>
  <si>
    <t>T-box_iswA</t>
  </si>
  <si>
    <t>ylyA</t>
  </si>
  <si>
    <t>lspA</t>
  </si>
  <si>
    <t>rluD</t>
  </si>
  <si>
    <t>PyrR_pyaA</t>
  </si>
  <si>
    <t>pyrR</t>
  </si>
  <si>
    <t>PyrR_pyaB</t>
  </si>
  <si>
    <t>pyrP</t>
  </si>
  <si>
    <t>PyrR_pyaC</t>
  </si>
  <si>
    <t>pyrB</t>
  </si>
  <si>
    <t>pyrC</t>
  </si>
  <si>
    <t>pyrAA</t>
  </si>
  <si>
    <t>pyrAB</t>
  </si>
  <si>
    <t>pyrK</t>
  </si>
  <si>
    <t>pyrD</t>
  </si>
  <si>
    <t>pyrF</t>
  </si>
  <si>
    <t>pyrE</t>
  </si>
  <si>
    <t>cysH</t>
  </si>
  <si>
    <t>cysP</t>
  </si>
  <si>
    <t>sat</t>
  </si>
  <si>
    <t>cysC</t>
  </si>
  <si>
    <t>sumT</t>
  </si>
  <si>
    <t>sirB</t>
  </si>
  <si>
    <t>sirC</t>
  </si>
  <si>
    <t>fbnA</t>
  </si>
  <si>
    <t>tcaB</t>
  </si>
  <si>
    <t>yloC</t>
  </si>
  <si>
    <t>remA</t>
  </si>
  <si>
    <t>gmk</t>
  </si>
  <si>
    <t>rpoZ</t>
  </si>
  <si>
    <t>coaBC</t>
  </si>
  <si>
    <t>priA</t>
  </si>
  <si>
    <t>defA</t>
  </si>
  <si>
    <t>fmt</t>
  </si>
  <si>
    <t>rsmB</t>
  </si>
  <si>
    <t>rlmN</t>
  </si>
  <si>
    <t>S572</t>
  </si>
  <si>
    <t>prpC</t>
  </si>
  <si>
    <t>prkC</t>
  </si>
  <si>
    <t>rsgA</t>
  </si>
  <si>
    <t>rpe</t>
  </si>
  <si>
    <t>thiN</t>
  </si>
  <si>
    <t>spoVM</t>
  </si>
  <si>
    <t>rpmB</t>
  </si>
  <si>
    <t>yloU</t>
  </si>
  <si>
    <t>yloV</t>
  </si>
  <si>
    <t>sdaAB</t>
  </si>
  <si>
    <t>sdaAA</t>
  </si>
  <si>
    <t>recG</t>
  </si>
  <si>
    <t>fapR</t>
  </si>
  <si>
    <t>plsX</t>
  </si>
  <si>
    <t>fabD</t>
  </si>
  <si>
    <t>fabG</t>
  </si>
  <si>
    <t>acpA</t>
  </si>
  <si>
    <t>rnc</t>
  </si>
  <si>
    <t>smc</t>
  </si>
  <si>
    <t>ftsY</t>
  </si>
  <si>
    <t>ylqB</t>
  </si>
  <si>
    <t>ylxM</t>
  </si>
  <si>
    <t>ffh</t>
  </si>
  <si>
    <t>rpsP</t>
  </si>
  <si>
    <t>ylqC</t>
  </si>
  <si>
    <t>ylqD</t>
  </si>
  <si>
    <t>rimM</t>
  </si>
  <si>
    <t>trmD</t>
  </si>
  <si>
    <t>rplS</t>
  </si>
  <si>
    <t>rbgA</t>
  </si>
  <si>
    <t>rnhB</t>
  </si>
  <si>
    <t>ylqG</t>
  </si>
  <si>
    <t>ylqH</t>
  </si>
  <si>
    <t>sucC</t>
  </si>
  <si>
    <t>sucD</t>
  </si>
  <si>
    <t>dprA</t>
  </si>
  <si>
    <t>topA</t>
  </si>
  <si>
    <t>trmFO</t>
  </si>
  <si>
    <t>codV</t>
  </si>
  <si>
    <t>clpQ</t>
  </si>
  <si>
    <t>clpY</t>
  </si>
  <si>
    <t>codY</t>
  </si>
  <si>
    <t>flgB</t>
  </si>
  <si>
    <t>flgC</t>
  </si>
  <si>
    <t>fliE</t>
  </si>
  <si>
    <t>fliF</t>
  </si>
  <si>
    <t>fliG</t>
  </si>
  <si>
    <t>fliH</t>
  </si>
  <si>
    <t>fliI</t>
  </si>
  <si>
    <t>fliJ</t>
  </si>
  <si>
    <t>ylxF</t>
  </si>
  <si>
    <t>fliK</t>
  </si>
  <si>
    <t>flgD</t>
  </si>
  <si>
    <t>flgE</t>
  </si>
  <si>
    <t>swrD</t>
  </si>
  <si>
    <t>fliL</t>
  </si>
  <si>
    <t>fliM</t>
  </si>
  <si>
    <t>fliY</t>
  </si>
  <si>
    <t>cheY</t>
  </si>
  <si>
    <t>fliZ</t>
  </si>
  <si>
    <t>fliP</t>
  </si>
  <si>
    <t>fliQ</t>
  </si>
  <si>
    <t>fliR</t>
  </si>
  <si>
    <t>flhB</t>
  </si>
  <si>
    <t>flhA</t>
  </si>
  <si>
    <t>flhF</t>
  </si>
  <si>
    <t>flhG</t>
  </si>
  <si>
    <t>cheB</t>
  </si>
  <si>
    <t>cheA</t>
  </si>
  <si>
    <t>cheW</t>
  </si>
  <si>
    <t>cheC</t>
  </si>
  <si>
    <t>cheD</t>
  </si>
  <si>
    <t>sigD</t>
  </si>
  <si>
    <t>swrB</t>
  </si>
  <si>
    <t>rpsB</t>
  </si>
  <si>
    <t>tsf</t>
  </si>
  <si>
    <t>pyrH</t>
  </si>
  <si>
    <t>frr</t>
  </si>
  <si>
    <t>uppS</t>
  </si>
  <si>
    <t>cdsA</t>
  </si>
  <si>
    <t>dxr</t>
  </si>
  <si>
    <t>rasP</t>
  </si>
  <si>
    <t>proS</t>
  </si>
  <si>
    <t>polC</t>
  </si>
  <si>
    <t>surG</t>
  </si>
  <si>
    <t>rimP</t>
  </si>
  <si>
    <t>nusA</t>
  </si>
  <si>
    <t>rulR</t>
  </si>
  <si>
    <t>rulQ</t>
  </si>
  <si>
    <t>infB</t>
  </si>
  <si>
    <t>ylxP</t>
  </si>
  <si>
    <t>rbfA</t>
  </si>
  <si>
    <t>ribC</t>
  </si>
  <si>
    <t>rpsO</t>
  </si>
  <si>
    <t>pnpA</t>
  </si>
  <si>
    <t>mlpA</t>
  </si>
  <si>
    <t>ymxH</t>
  </si>
  <si>
    <t>spoVFA</t>
  </si>
  <si>
    <t>spoVFB</t>
  </si>
  <si>
    <t>asd</t>
  </si>
  <si>
    <t>dapG</t>
  </si>
  <si>
    <t>dapA</t>
  </si>
  <si>
    <t>S601</t>
  </si>
  <si>
    <t>rnjB</t>
  </si>
  <si>
    <t>tepA</t>
  </si>
  <si>
    <t>tepJ</t>
  </si>
  <si>
    <t>spoIIIE</t>
  </si>
  <si>
    <t>ymfC</t>
  </si>
  <si>
    <t>bcbE</t>
  </si>
  <si>
    <t>ymfF</t>
  </si>
  <si>
    <t>ymfH</t>
  </si>
  <si>
    <t>ymfJ</t>
  </si>
  <si>
    <t>ymfKn</t>
  </si>
  <si>
    <t>ymfKc</t>
  </si>
  <si>
    <t>rodZ</t>
  </si>
  <si>
    <t>pgsA</t>
  </si>
  <si>
    <t>recA</t>
  </si>
  <si>
    <t>pbpX</t>
  </si>
  <si>
    <t>rny</t>
  </si>
  <si>
    <t>pdeB</t>
  </si>
  <si>
    <t>spoVS</t>
  </si>
  <si>
    <t>tdh</t>
  </si>
  <si>
    <t>kbl</t>
  </si>
  <si>
    <t>miaB</t>
  </si>
  <si>
    <t>ricA</t>
  </si>
  <si>
    <t>cotE</t>
  </si>
  <si>
    <t>mutS</t>
  </si>
  <si>
    <t>mutL</t>
  </si>
  <si>
    <t>surX</t>
  </si>
  <si>
    <t>S612_ncr952</t>
  </si>
  <si>
    <t>ymzD</t>
  </si>
  <si>
    <t>ymcC</t>
  </si>
  <si>
    <t>pksA</t>
  </si>
  <si>
    <t>pksB</t>
  </si>
  <si>
    <t>pksC</t>
  </si>
  <si>
    <t>pksD</t>
  </si>
  <si>
    <t>pksE</t>
  </si>
  <si>
    <t>acpK</t>
  </si>
  <si>
    <t>pksF</t>
  </si>
  <si>
    <t>pksG</t>
  </si>
  <si>
    <t>pksH</t>
  </si>
  <si>
    <t>pksI</t>
  </si>
  <si>
    <t>pksJ</t>
  </si>
  <si>
    <t>pksL</t>
  </si>
  <si>
    <t>pksM</t>
  </si>
  <si>
    <t>pksN</t>
  </si>
  <si>
    <t>pksR</t>
  </si>
  <si>
    <t>pksS</t>
  </si>
  <si>
    <t>ymzB</t>
  </si>
  <si>
    <t>ymaE</t>
  </si>
  <si>
    <t>aprX</t>
  </si>
  <si>
    <t>ymzEn</t>
  </si>
  <si>
    <t>ebrB</t>
  </si>
  <si>
    <t>ebrA</t>
  </si>
  <si>
    <t>ymzEc</t>
  </si>
  <si>
    <t>pghC</t>
  </si>
  <si>
    <t>ymaD</t>
  </si>
  <si>
    <t>ymaG</t>
  </si>
  <si>
    <t>ymaF</t>
  </si>
  <si>
    <t>miaA</t>
  </si>
  <si>
    <t>hfq</t>
  </si>
  <si>
    <t>ymzA</t>
  </si>
  <si>
    <t>S620</t>
  </si>
  <si>
    <t>nrdI</t>
  </si>
  <si>
    <t>nrdE</t>
  </si>
  <si>
    <t>nrdF</t>
  </si>
  <si>
    <t>ymaB</t>
  </si>
  <si>
    <t>cwlC</t>
  </si>
  <si>
    <t>S623</t>
  </si>
  <si>
    <t>spoVK</t>
  </si>
  <si>
    <t>hflX</t>
  </si>
  <si>
    <t>ynbB</t>
  </si>
  <si>
    <t>glnR</t>
  </si>
  <si>
    <t>glnA</t>
  </si>
  <si>
    <t>ynxB</t>
  </si>
  <si>
    <t>ynzF</t>
  </si>
  <si>
    <t>ynaB</t>
  </si>
  <si>
    <t>ynaC</t>
  </si>
  <si>
    <t>ynaD</t>
  </si>
  <si>
    <t>ynaE</t>
  </si>
  <si>
    <t>xynP</t>
  </si>
  <si>
    <t>xynB</t>
  </si>
  <si>
    <t>S632</t>
  </si>
  <si>
    <t>xylR</t>
  </si>
  <si>
    <t>xylA</t>
  </si>
  <si>
    <t>xylB</t>
  </si>
  <si>
    <t>yncB</t>
  </si>
  <si>
    <t>yncC</t>
  </si>
  <si>
    <t>alrB</t>
  </si>
  <si>
    <t>yncE</t>
  </si>
  <si>
    <t>dutA</t>
  </si>
  <si>
    <t>S641</t>
  </si>
  <si>
    <t>cotU</t>
  </si>
  <si>
    <t>thyA</t>
  </si>
  <si>
    <t>S645</t>
  </si>
  <si>
    <t>yncM</t>
  </si>
  <si>
    <t>ynzK</t>
  </si>
  <si>
    <t>cotC</t>
  </si>
  <si>
    <t>tatAC</t>
  </si>
  <si>
    <t>yndA</t>
  </si>
  <si>
    <t>ynzB</t>
  </si>
  <si>
    <t>flvS</t>
  </si>
  <si>
    <t>yndD</t>
  </si>
  <si>
    <t>yndE</t>
  </si>
  <si>
    <t>yndF</t>
  </si>
  <si>
    <t>yndG</t>
  </si>
  <si>
    <t>yndH</t>
  </si>
  <si>
    <t>yndJ</t>
  </si>
  <si>
    <t>yndK</t>
  </si>
  <si>
    <t>S651</t>
  </si>
  <si>
    <t>S655_653_SurA_surA</t>
  </si>
  <si>
    <t>pghL</t>
  </si>
  <si>
    <t>yndM</t>
  </si>
  <si>
    <t>fosB</t>
  </si>
  <si>
    <t>S659_ncr982_ncrF</t>
  </si>
  <si>
    <t>lexA</t>
  </si>
  <si>
    <t>dinK</t>
  </si>
  <si>
    <t>dinL</t>
  </si>
  <si>
    <t>ynzC</t>
  </si>
  <si>
    <t>tktA</t>
  </si>
  <si>
    <t>S661</t>
  </si>
  <si>
    <t>pcfA</t>
  </si>
  <si>
    <t>yneF</t>
  </si>
  <si>
    <t>spo0D</t>
  </si>
  <si>
    <t>ccdA</t>
  </si>
  <si>
    <t>yneI</t>
  </si>
  <si>
    <t>yneJ</t>
  </si>
  <si>
    <t>yneK</t>
  </si>
  <si>
    <t>S665</t>
  </si>
  <si>
    <t>cotM</t>
  </si>
  <si>
    <t>citB</t>
  </si>
  <si>
    <t>yneN</t>
  </si>
  <si>
    <t>sspP</t>
  </si>
  <si>
    <t>sspO</t>
  </si>
  <si>
    <t>ynzL</t>
  </si>
  <si>
    <t>yneR</t>
  </si>
  <si>
    <t>plsY</t>
  </si>
  <si>
    <t>sspN</t>
  </si>
  <si>
    <t>sspT</t>
  </si>
  <si>
    <t>yneP</t>
  </si>
  <si>
    <t>yneQ</t>
  </si>
  <si>
    <t>yneT</t>
  </si>
  <si>
    <t>parE</t>
  </si>
  <si>
    <t>parC</t>
  </si>
  <si>
    <t>ynfCc</t>
  </si>
  <si>
    <t>ynfCn</t>
  </si>
  <si>
    <t>alsT</t>
  </si>
  <si>
    <t>S675</t>
  </si>
  <si>
    <t>eglS</t>
  </si>
  <si>
    <t>xynC</t>
  </si>
  <si>
    <t>xynD</t>
  </si>
  <si>
    <t>yngA</t>
  </si>
  <si>
    <t>yngB</t>
  </si>
  <si>
    <t>yngC</t>
  </si>
  <si>
    <t>nrnB</t>
  </si>
  <si>
    <t>ldeE</t>
  </si>
  <si>
    <t>ldeF</t>
  </si>
  <si>
    <t>ldeG</t>
  </si>
  <si>
    <t>lgeHB</t>
  </si>
  <si>
    <t>ldeHA</t>
  </si>
  <si>
    <t>ldeI</t>
  </si>
  <si>
    <t>ldeJ</t>
  </si>
  <si>
    <t>yngK</t>
  </si>
  <si>
    <t>yngL</t>
  </si>
  <si>
    <t>ppsE</t>
  </si>
  <si>
    <t>ppsD</t>
  </si>
  <si>
    <t>ppsC</t>
  </si>
  <si>
    <t>ppsB</t>
  </si>
  <si>
    <t>ppsA</t>
  </si>
  <si>
    <t>dacC</t>
  </si>
  <si>
    <t>galM</t>
  </si>
  <si>
    <t>yoeA</t>
  </si>
  <si>
    <t>iseA</t>
  </si>
  <si>
    <t>yoeC</t>
  </si>
  <si>
    <t>yoeD</t>
  </si>
  <si>
    <t>ggt</t>
  </si>
  <si>
    <t>ftsR</t>
  </si>
  <si>
    <t>yogA</t>
  </si>
  <si>
    <t>gltB</t>
  </si>
  <si>
    <t>gltA</t>
  </si>
  <si>
    <t>gltC</t>
  </si>
  <si>
    <t>proJ</t>
  </si>
  <si>
    <t>proH</t>
  </si>
  <si>
    <t>rtp</t>
  </si>
  <si>
    <t>yoxD</t>
  </si>
  <si>
    <t>yoxC</t>
  </si>
  <si>
    <t>yoxB</t>
  </si>
  <si>
    <t>yoaA</t>
  </si>
  <si>
    <t>yoaB</t>
  </si>
  <si>
    <t>yoaC</t>
  </si>
  <si>
    <t>yoaD</t>
  </si>
  <si>
    <t>SAM_mswF</t>
  </si>
  <si>
    <t>yoaE</t>
  </si>
  <si>
    <t>yoaF</t>
  </si>
  <si>
    <t>yoaG</t>
  </si>
  <si>
    <t>yozQ</t>
  </si>
  <si>
    <t>yoaH</t>
  </si>
  <si>
    <t>yoaI</t>
  </si>
  <si>
    <t>exlX</t>
  </si>
  <si>
    <t>yoaM</t>
  </si>
  <si>
    <t>yozS</t>
  </si>
  <si>
    <t>oxdD</t>
  </si>
  <si>
    <t>yoaO</t>
  </si>
  <si>
    <t>yoaQ</t>
  </si>
  <si>
    <t>yozT</t>
  </si>
  <si>
    <t>yozF</t>
  </si>
  <si>
    <t>yoaR</t>
  </si>
  <si>
    <t>yoaS</t>
  </si>
  <si>
    <t>yozG</t>
  </si>
  <si>
    <t>yoaT</t>
  </si>
  <si>
    <t>yoaV</t>
  </si>
  <si>
    <t>yoaU</t>
  </si>
  <si>
    <t>yoaW</t>
  </si>
  <si>
    <t>yoaZ</t>
  </si>
  <si>
    <t>penP</t>
  </si>
  <si>
    <t>yobB</t>
  </si>
  <si>
    <t>yppS</t>
  </si>
  <si>
    <t>S708_ncr1015</t>
  </si>
  <si>
    <t>xynA</t>
  </si>
  <si>
    <t>yozV</t>
  </si>
  <si>
    <t>yobD</t>
  </si>
  <si>
    <t>yozH</t>
  </si>
  <si>
    <t>yobF</t>
  </si>
  <si>
    <t>yobE</t>
  </si>
  <si>
    <t>yozX</t>
  </si>
  <si>
    <t>yozJ</t>
  </si>
  <si>
    <t>yozY</t>
  </si>
  <si>
    <t>yozZ</t>
  </si>
  <si>
    <t>rapK</t>
  </si>
  <si>
    <t>phrK</t>
  </si>
  <si>
    <t>yobHc</t>
  </si>
  <si>
    <t>yobHm</t>
  </si>
  <si>
    <t>yozL</t>
  </si>
  <si>
    <t>yozM</t>
  </si>
  <si>
    <t>yobI</t>
  </si>
  <si>
    <t>S713</t>
  </si>
  <si>
    <t>yoyA</t>
  </si>
  <si>
    <t>S718_716_asrE</t>
  </si>
  <si>
    <t>S717_BsrG</t>
  </si>
  <si>
    <t>bsrE</t>
  </si>
  <si>
    <t>sr5</t>
  </si>
  <si>
    <t>asRNA</t>
  </si>
  <si>
    <t>yobJ</t>
  </si>
  <si>
    <t>rttM</t>
  </si>
  <si>
    <t>rttL</t>
  </si>
  <si>
    <t>yobM</t>
  </si>
  <si>
    <t>yobN</t>
  </si>
  <si>
    <t>yobO</t>
  </si>
  <si>
    <t>csaA</t>
  </si>
  <si>
    <t>yobQ</t>
  </si>
  <si>
    <t>yobR</t>
  </si>
  <si>
    <t>yobS</t>
  </si>
  <si>
    <t>yobT</t>
  </si>
  <si>
    <t>S728_BsrF_bsrF</t>
  </si>
  <si>
    <t>yobU</t>
  </si>
  <si>
    <t>yobV</t>
  </si>
  <si>
    <t>yobW</t>
  </si>
  <si>
    <t>czrA</t>
  </si>
  <si>
    <t>yocA</t>
  </si>
  <si>
    <t>yozB</t>
  </si>
  <si>
    <t>yocB</t>
  </si>
  <si>
    <t>yocC</t>
  </si>
  <si>
    <t>yocD</t>
  </si>
  <si>
    <t>desE</t>
  </si>
  <si>
    <t>desK</t>
  </si>
  <si>
    <t>desR</t>
  </si>
  <si>
    <t>S731</t>
  </si>
  <si>
    <t>S732</t>
  </si>
  <si>
    <t>walL</t>
  </si>
  <si>
    <t>recQ</t>
  </si>
  <si>
    <t>bsrB_6S_ssrSA</t>
  </si>
  <si>
    <t>azoJ</t>
  </si>
  <si>
    <t>yocK</t>
  </si>
  <si>
    <t>yocL</t>
  </si>
  <si>
    <t>yoyB</t>
  </si>
  <si>
    <t>yozN</t>
  </si>
  <si>
    <t>yocN</t>
  </si>
  <si>
    <t>yocM</t>
  </si>
  <si>
    <t>yozO</t>
  </si>
  <si>
    <t>S742</t>
  </si>
  <si>
    <t>yozC</t>
  </si>
  <si>
    <t>dhaS</t>
  </si>
  <si>
    <t>sqhC</t>
  </si>
  <si>
    <t>sodF</t>
  </si>
  <si>
    <t>yocR</t>
  </si>
  <si>
    <t>yocS</t>
  </si>
  <si>
    <t>odhB</t>
  </si>
  <si>
    <t>odhA</t>
  </si>
  <si>
    <t>yojO</t>
  </si>
  <si>
    <t>yojN</t>
  </si>
  <si>
    <t>sodC</t>
  </si>
  <si>
    <t>cwlS</t>
  </si>
  <si>
    <t>yojK</t>
  </si>
  <si>
    <t>cdaS</t>
  </si>
  <si>
    <t>mdtK</t>
  </si>
  <si>
    <t>rsbRC</t>
  </si>
  <si>
    <t>bshBB</t>
  </si>
  <si>
    <t>yojF</t>
  </si>
  <si>
    <t>yoyC</t>
  </si>
  <si>
    <t>yojE</t>
  </si>
  <si>
    <t>gerT</t>
  </si>
  <si>
    <t>yojB</t>
  </si>
  <si>
    <t>yojA</t>
  </si>
  <si>
    <t>yodA</t>
  </si>
  <si>
    <t>arxR</t>
  </si>
  <si>
    <t>noxC</t>
  </si>
  <si>
    <t>yodD</t>
  </si>
  <si>
    <t>yodE</t>
  </si>
  <si>
    <t>yoyD</t>
  </si>
  <si>
    <t>yodF</t>
  </si>
  <si>
    <t>ctpA</t>
  </si>
  <si>
    <t>yodH</t>
  </si>
  <si>
    <t>yodI</t>
  </si>
  <si>
    <t>ldcB</t>
  </si>
  <si>
    <t>deoD</t>
  </si>
  <si>
    <t>yoyE</t>
  </si>
  <si>
    <t>yodL</t>
  </si>
  <si>
    <t>pgpB</t>
  </si>
  <si>
    <t>yozD</t>
  </si>
  <si>
    <t>yodN</t>
  </si>
  <si>
    <t>yoyF</t>
  </si>
  <si>
    <t>yozE</t>
  </si>
  <si>
    <t>yokU</t>
  </si>
  <si>
    <t>kamA</t>
  </si>
  <si>
    <t>kamB</t>
  </si>
  <si>
    <t>yodQ</t>
  </si>
  <si>
    <t>yodR</t>
  </si>
  <si>
    <t>yodS</t>
  </si>
  <si>
    <t>yodT</t>
  </si>
  <si>
    <t>yoyG</t>
  </si>
  <si>
    <t>cgeE</t>
  </si>
  <si>
    <t>cgeD</t>
  </si>
  <si>
    <t>cgeC</t>
  </si>
  <si>
    <t>cgeA</t>
  </si>
  <si>
    <t>cgeB</t>
  </si>
  <si>
    <t>phyC</t>
  </si>
  <si>
    <t>spsMn</t>
  </si>
  <si>
    <t>sprB</t>
  </si>
  <si>
    <t>yotM</t>
  </si>
  <si>
    <t>yotK</t>
  </si>
  <si>
    <t>yotJ</t>
  </si>
  <si>
    <t>yotI</t>
  </si>
  <si>
    <t>yotH</t>
  </si>
  <si>
    <t>yotG</t>
  </si>
  <si>
    <t>yotF</t>
  </si>
  <si>
    <t>yotE</t>
  </si>
  <si>
    <t>yotD</t>
  </si>
  <si>
    <t>yotC</t>
  </si>
  <si>
    <t>yotB</t>
  </si>
  <si>
    <t>yosX</t>
  </si>
  <si>
    <t>yotL</t>
  </si>
  <si>
    <t>sspC</t>
  </si>
  <si>
    <t>yosU</t>
  </si>
  <si>
    <t>yosT</t>
  </si>
  <si>
    <t>nrdFB</t>
  </si>
  <si>
    <t>nrdEB</t>
  </si>
  <si>
    <t>Intron-gpI_srdEi</t>
  </si>
  <si>
    <t>intron</t>
  </si>
  <si>
    <t>nrdIB</t>
  </si>
  <si>
    <t>yosA</t>
  </si>
  <si>
    <t>yorV</t>
  </si>
  <si>
    <t>yorN</t>
  </si>
  <si>
    <t>yorM</t>
  </si>
  <si>
    <t>yorD</t>
  </si>
  <si>
    <t>yorC</t>
  </si>
  <si>
    <t>yorB</t>
  </si>
  <si>
    <t>yorA</t>
  </si>
  <si>
    <t>pghZ</t>
  </si>
  <si>
    <t>yoqW</t>
  </si>
  <si>
    <t>yoqY</t>
  </si>
  <si>
    <t>yoqU</t>
  </si>
  <si>
    <t>yoqT</t>
  </si>
  <si>
    <t>yoqO</t>
  </si>
  <si>
    <t>yoqN</t>
  </si>
  <si>
    <t>yoqM</t>
  </si>
  <si>
    <t>yopT</t>
  </si>
  <si>
    <t>yopS</t>
  </si>
  <si>
    <t>yopR</t>
  </si>
  <si>
    <t>yopQ</t>
  </si>
  <si>
    <t>yopP</t>
  </si>
  <si>
    <t>yopO</t>
  </si>
  <si>
    <t>yopN</t>
  </si>
  <si>
    <t>yopM</t>
  </si>
  <si>
    <t>S784</t>
  </si>
  <si>
    <t>S786_aimX</t>
  </si>
  <si>
    <t>aimP</t>
  </si>
  <si>
    <t>aimR</t>
  </si>
  <si>
    <t>yopE</t>
  </si>
  <si>
    <t>yoyH</t>
  </si>
  <si>
    <t>yoyI</t>
  </si>
  <si>
    <t>yopC</t>
  </si>
  <si>
    <t>yopA</t>
  </si>
  <si>
    <t>yonX</t>
  </si>
  <si>
    <t>yonV</t>
  </si>
  <si>
    <t>yonU</t>
  </si>
  <si>
    <t>yoyJ</t>
  </si>
  <si>
    <t>spbT</t>
  </si>
  <si>
    <t>SR6-antitoxin_apbT</t>
  </si>
  <si>
    <t>yonS</t>
  </si>
  <si>
    <t>yonR</t>
  </si>
  <si>
    <t>S796</t>
  </si>
  <si>
    <t>S797</t>
  </si>
  <si>
    <t>yonP</t>
  </si>
  <si>
    <t>yonO</t>
  </si>
  <si>
    <t>hupN</t>
  </si>
  <si>
    <t>S801</t>
  </si>
  <si>
    <t>yonK</t>
  </si>
  <si>
    <t>yonJ</t>
  </si>
  <si>
    <t>yonH</t>
  </si>
  <si>
    <t>yonI</t>
  </si>
  <si>
    <t>yonG</t>
  </si>
  <si>
    <t>yomM</t>
  </si>
  <si>
    <t>yozP</t>
  </si>
  <si>
    <t>yomK</t>
  </si>
  <si>
    <t>yomJ</t>
  </si>
  <si>
    <t>cwlP</t>
  </si>
  <si>
    <t>bdbB</t>
  </si>
  <si>
    <t>sunS</t>
  </si>
  <si>
    <t>bdbA</t>
  </si>
  <si>
    <t>sunT</t>
  </si>
  <si>
    <t>sunA</t>
  </si>
  <si>
    <t>bhlB</t>
  </si>
  <si>
    <t>sunI</t>
  </si>
  <si>
    <t>uvrX</t>
  </si>
  <si>
    <t>yolD</t>
  </si>
  <si>
    <t>yolC</t>
  </si>
  <si>
    <t>yolB</t>
  </si>
  <si>
    <t>yolA</t>
  </si>
  <si>
    <t>bsrG_S809_BsrG</t>
  </si>
  <si>
    <t>bsrG</t>
  </si>
  <si>
    <t>S810_asrG</t>
  </si>
  <si>
    <t>S811</t>
  </si>
  <si>
    <t>yokL</t>
  </si>
  <si>
    <t>yokK</t>
  </si>
  <si>
    <t>yokJ</t>
  </si>
  <si>
    <t>yokI</t>
  </si>
  <si>
    <t>yokG</t>
  </si>
  <si>
    <t>nukF</t>
  </si>
  <si>
    <t>yokE</t>
  </si>
  <si>
    <t>aacD</t>
  </si>
  <si>
    <t>S816</t>
  </si>
  <si>
    <t>yokB</t>
  </si>
  <si>
    <t>sprA</t>
  </si>
  <si>
    <t>spsMc</t>
  </si>
  <si>
    <t>msrB</t>
  </si>
  <si>
    <t>msrA</t>
  </si>
  <si>
    <t>ypoP</t>
  </si>
  <si>
    <t>dinF</t>
  </si>
  <si>
    <t>ypmT</t>
  </si>
  <si>
    <t>ypmS</t>
  </si>
  <si>
    <t>ypmR</t>
  </si>
  <si>
    <t>scuA</t>
  </si>
  <si>
    <t>ypmP</t>
  </si>
  <si>
    <t>ilvA</t>
  </si>
  <si>
    <t>silP</t>
  </si>
  <si>
    <t>yplQ</t>
  </si>
  <si>
    <t>ypkP</t>
  </si>
  <si>
    <t>dfrA</t>
  </si>
  <si>
    <t>thyB</t>
  </si>
  <si>
    <t>ypjQ</t>
  </si>
  <si>
    <t>ypjP</t>
  </si>
  <si>
    <t>S821</t>
  </si>
  <si>
    <t>rsmJ</t>
  </si>
  <si>
    <t>brxA</t>
  </si>
  <si>
    <t>ilvD</t>
  </si>
  <si>
    <t>ypgR</t>
  </si>
  <si>
    <t>hdhQ</t>
  </si>
  <si>
    <t>bsaA</t>
  </si>
  <si>
    <t>metAA</t>
  </si>
  <si>
    <t>ugtP</t>
  </si>
  <si>
    <t>S827</t>
  </si>
  <si>
    <t>cspD</t>
  </si>
  <si>
    <t>degR</t>
  </si>
  <si>
    <t>ypzA</t>
  </si>
  <si>
    <t>ypeQ</t>
  </si>
  <si>
    <t>ypeP</t>
  </si>
  <si>
    <t>queP</t>
  </si>
  <si>
    <t>ypdQ</t>
  </si>
  <si>
    <t>sspL</t>
  </si>
  <si>
    <t>exnP</t>
  </si>
  <si>
    <t>ypzF</t>
  </si>
  <si>
    <t>ypbS</t>
  </si>
  <si>
    <t>dynA</t>
  </si>
  <si>
    <t>fbpC</t>
  </si>
  <si>
    <t>S834</t>
  </si>
  <si>
    <t>bpsB</t>
  </si>
  <si>
    <t>bpsA</t>
  </si>
  <si>
    <t>pbuX</t>
  </si>
  <si>
    <t>xpt</t>
  </si>
  <si>
    <t>Purine_gswA</t>
  </si>
  <si>
    <t>ypwA</t>
  </si>
  <si>
    <t>kdgT</t>
  </si>
  <si>
    <t>kdgA</t>
  </si>
  <si>
    <t>kdgK</t>
  </si>
  <si>
    <t>kdgR</t>
  </si>
  <si>
    <t>kduI</t>
  </si>
  <si>
    <t>kduD</t>
  </si>
  <si>
    <t>ypvA</t>
  </si>
  <si>
    <t>yptA</t>
  </si>
  <si>
    <t>ypzG</t>
  </si>
  <si>
    <t>rlmKB</t>
  </si>
  <si>
    <t>rnpB_RNaseP-bact-b_rnpB</t>
  </si>
  <si>
    <t>ribozyme</t>
  </si>
  <si>
    <t>gpsB</t>
  </si>
  <si>
    <t>cotD</t>
  </si>
  <si>
    <t>yprB</t>
  </si>
  <si>
    <t>yprA</t>
  </si>
  <si>
    <t>ypqE</t>
  </si>
  <si>
    <t>ypqA</t>
  </si>
  <si>
    <t>yppG</t>
  </si>
  <si>
    <t>yppF</t>
  </si>
  <si>
    <t>yppE</t>
  </si>
  <si>
    <t>yppD</t>
  </si>
  <si>
    <t>sspM</t>
  </si>
  <si>
    <t>yppC</t>
  </si>
  <si>
    <t>recU</t>
  </si>
  <si>
    <t>ponA</t>
  </si>
  <si>
    <t>ypoC</t>
  </si>
  <si>
    <t>nth</t>
  </si>
  <si>
    <t>dnaD</t>
  </si>
  <si>
    <t>asnS</t>
  </si>
  <si>
    <t>aspB</t>
  </si>
  <si>
    <t>tseB</t>
  </si>
  <si>
    <t>ypmA</t>
  </si>
  <si>
    <t>S849</t>
  </si>
  <si>
    <t>panB</t>
  </si>
  <si>
    <t>birA</t>
  </si>
  <si>
    <t>cca</t>
  </si>
  <si>
    <t>bshA</t>
  </si>
  <si>
    <t>bshBA</t>
  </si>
  <si>
    <t>mgsA</t>
  </si>
  <si>
    <t>dapB</t>
  </si>
  <si>
    <t>ypjD</t>
  </si>
  <si>
    <t>ypjC</t>
  </si>
  <si>
    <t>ypjB</t>
  </si>
  <si>
    <t>qcrC</t>
  </si>
  <si>
    <t>qcrB</t>
  </si>
  <si>
    <t>qcrA</t>
  </si>
  <si>
    <t>ypiF</t>
  </si>
  <si>
    <t>ypiB</t>
  </si>
  <si>
    <t>ypiA</t>
  </si>
  <si>
    <t>aroA</t>
  </si>
  <si>
    <t>tyrA</t>
  </si>
  <si>
    <t>hisC</t>
  </si>
  <si>
    <t>trpA</t>
  </si>
  <si>
    <t>trpB</t>
  </si>
  <si>
    <t>trpF</t>
  </si>
  <si>
    <t>trpC</t>
  </si>
  <si>
    <t>trpD</t>
  </si>
  <si>
    <t>trpE</t>
  </si>
  <si>
    <t>Trp-leader-2</t>
  </si>
  <si>
    <t>aroH</t>
  </si>
  <si>
    <t>aroB</t>
  </si>
  <si>
    <t>aroF</t>
  </si>
  <si>
    <t>cheR</t>
  </si>
  <si>
    <t>ndk</t>
  </si>
  <si>
    <t>hepT</t>
  </si>
  <si>
    <t>menG</t>
  </si>
  <si>
    <t>hepS</t>
  </si>
  <si>
    <t>mtrB</t>
  </si>
  <si>
    <t>folEA</t>
  </si>
  <si>
    <t>hbs</t>
  </si>
  <si>
    <t>spoIVA</t>
  </si>
  <si>
    <t>yphF</t>
  </si>
  <si>
    <t>yphE</t>
  </si>
  <si>
    <t>S863</t>
  </si>
  <si>
    <t>gpsA</t>
  </si>
  <si>
    <t>der</t>
  </si>
  <si>
    <t>ypzH</t>
  </si>
  <si>
    <t>yphB</t>
  </si>
  <si>
    <t>yphA</t>
  </si>
  <si>
    <t>ypzI</t>
  </si>
  <si>
    <t>fni</t>
  </si>
  <si>
    <t>rpfA</t>
  </si>
  <si>
    <t>cmk</t>
  </si>
  <si>
    <t>ypfB</t>
  </si>
  <si>
    <t>dgrA</t>
  </si>
  <si>
    <t>sleC</t>
  </si>
  <si>
    <t>sleB</t>
  </si>
  <si>
    <t>prsW</t>
  </si>
  <si>
    <t>ypdA</t>
  </si>
  <si>
    <t>S869</t>
  </si>
  <si>
    <t>gudB</t>
  </si>
  <si>
    <t>mecB</t>
  </si>
  <si>
    <t>ypbG</t>
  </si>
  <si>
    <t>ypbF</t>
  </si>
  <si>
    <t>ypbE</t>
  </si>
  <si>
    <t>ypbD</t>
  </si>
  <si>
    <t>gmmB</t>
  </si>
  <si>
    <t>fer</t>
  </si>
  <si>
    <t>fmnP</t>
  </si>
  <si>
    <t>ypzE</t>
  </si>
  <si>
    <t>serA</t>
  </si>
  <si>
    <t>aroC</t>
  </si>
  <si>
    <t>rsiX</t>
  </si>
  <si>
    <t>sigX</t>
  </si>
  <si>
    <t>S877</t>
  </si>
  <si>
    <t>resE</t>
  </si>
  <si>
    <t>resD</t>
  </si>
  <si>
    <t>resC</t>
  </si>
  <si>
    <t>resB</t>
  </si>
  <si>
    <t>resA</t>
  </si>
  <si>
    <t>rluB</t>
  </si>
  <si>
    <t>spmB</t>
  </si>
  <si>
    <t>spmA</t>
  </si>
  <si>
    <t>dacB</t>
  </si>
  <si>
    <t>ypuI</t>
  </si>
  <si>
    <t>spcB</t>
  </si>
  <si>
    <t>scpA</t>
  </si>
  <si>
    <t>ypuF</t>
  </si>
  <si>
    <t>ypzK</t>
  </si>
  <si>
    <t>ribH</t>
  </si>
  <si>
    <t>ribBA</t>
  </si>
  <si>
    <t>ribE</t>
  </si>
  <si>
    <t>ribD</t>
  </si>
  <si>
    <t>FMN_fswA</t>
  </si>
  <si>
    <t>ypuD</t>
  </si>
  <si>
    <t>S882</t>
  </si>
  <si>
    <t>sipS</t>
  </si>
  <si>
    <t>ypzJ</t>
  </si>
  <si>
    <t>ypzC</t>
  </si>
  <si>
    <t>ypuC</t>
  </si>
  <si>
    <t>ypuB</t>
  </si>
  <si>
    <t>S885</t>
  </si>
  <si>
    <t>ypzD</t>
  </si>
  <si>
    <t>ppiB</t>
  </si>
  <si>
    <t>ypuA</t>
  </si>
  <si>
    <t>lysA</t>
  </si>
  <si>
    <t>spoVAF</t>
  </si>
  <si>
    <t>spoVAEA</t>
  </si>
  <si>
    <t>spoVAEB</t>
  </si>
  <si>
    <t>spoVAD</t>
  </si>
  <si>
    <t>spoVAC</t>
  </si>
  <si>
    <t>spoVAB</t>
  </si>
  <si>
    <t>spoVAA</t>
  </si>
  <si>
    <t>sigF</t>
  </si>
  <si>
    <t>spoIIAB</t>
  </si>
  <si>
    <t>spoIIAA</t>
  </si>
  <si>
    <t>dacF</t>
  </si>
  <si>
    <t>pupG</t>
  </si>
  <si>
    <t>deoB</t>
  </si>
  <si>
    <t>yqzK</t>
  </si>
  <si>
    <t>fur</t>
  </si>
  <si>
    <t>spoIIM</t>
  </si>
  <si>
    <t>yqkK</t>
  </si>
  <si>
    <t>mleA</t>
  </si>
  <si>
    <t>mleN</t>
  </si>
  <si>
    <t>ansB</t>
  </si>
  <si>
    <t>ansA</t>
  </si>
  <si>
    <t>ansR</t>
  </si>
  <si>
    <t>yqxK</t>
  </si>
  <si>
    <t>nudF</t>
  </si>
  <si>
    <t>mciZ</t>
  </si>
  <si>
    <t>yqkF</t>
  </si>
  <si>
    <t>yqkE</t>
  </si>
  <si>
    <t>yqkD</t>
  </si>
  <si>
    <t>yqkC</t>
  </si>
  <si>
    <t>yqkB</t>
  </si>
  <si>
    <t>yqkA</t>
  </si>
  <si>
    <t>yqjZ</t>
  </si>
  <si>
    <t>yqjY</t>
  </si>
  <si>
    <t>yqjX</t>
  </si>
  <si>
    <t>polYB</t>
  </si>
  <si>
    <t>yqzH</t>
  </si>
  <si>
    <t>yqjV</t>
  </si>
  <si>
    <t>yqjU</t>
  </si>
  <si>
    <t>yqjT</t>
  </si>
  <si>
    <t>coaA</t>
  </si>
  <si>
    <t>dsdA</t>
  </si>
  <si>
    <t>yqjQ</t>
  </si>
  <si>
    <t>yqjP</t>
  </si>
  <si>
    <t>pswI</t>
  </si>
  <si>
    <t>proI</t>
  </si>
  <si>
    <t>yqjN</t>
  </si>
  <si>
    <t>yqjM</t>
  </si>
  <si>
    <t>yqjL</t>
  </si>
  <si>
    <t>S903</t>
  </si>
  <si>
    <t>rpmGCc</t>
  </si>
  <si>
    <t>rpmGCn</t>
  </si>
  <si>
    <t>rnz</t>
  </si>
  <si>
    <t>zwf</t>
  </si>
  <si>
    <t>gndA</t>
  </si>
  <si>
    <t>polYA</t>
  </si>
  <si>
    <t>mifM</t>
  </si>
  <si>
    <t>oxaAB</t>
  </si>
  <si>
    <t>yqjE</t>
  </si>
  <si>
    <t>yqjF</t>
  </si>
  <si>
    <t>yqjD</t>
  </si>
  <si>
    <t>yqjC</t>
  </si>
  <si>
    <t>yqjB</t>
  </si>
  <si>
    <t>S907</t>
  </si>
  <si>
    <t>yqjA</t>
  </si>
  <si>
    <t>artR</t>
  </si>
  <si>
    <t>artQ</t>
  </si>
  <si>
    <t>artP</t>
  </si>
  <si>
    <t>brxB</t>
  </si>
  <si>
    <t>bmrU</t>
  </si>
  <si>
    <t>bmr</t>
  </si>
  <si>
    <t>bmrR</t>
  </si>
  <si>
    <t>bkdB</t>
  </si>
  <si>
    <t>bkdAB</t>
  </si>
  <si>
    <t>bkdAA</t>
  </si>
  <si>
    <t>lpdV</t>
  </si>
  <si>
    <t>buk</t>
  </si>
  <si>
    <t>bcd</t>
  </si>
  <si>
    <t>ptb</t>
  </si>
  <si>
    <t>bkdR</t>
  </si>
  <si>
    <t>yqzF</t>
  </si>
  <si>
    <t>mmgF</t>
  </si>
  <si>
    <t>mmgE</t>
  </si>
  <si>
    <t>mmgD</t>
  </si>
  <si>
    <t>mmgC</t>
  </si>
  <si>
    <t>mmgB</t>
  </si>
  <si>
    <t>mmgA</t>
  </si>
  <si>
    <t>glpQ</t>
  </si>
  <si>
    <t>yqiI</t>
  </si>
  <si>
    <t>yqiH</t>
  </si>
  <si>
    <t>yqiG</t>
  </si>
  <si>
    <t>S912</t>
  </si>
  <si>
    <t>spo0A</t>
  </si>
  <si>
    <t>spoIVB</t>
  </si>
  <si>
    <t>recN</t>
  </si>
  <si>
    <t>argR</t>
  </si>
  <si>
    <t>yqxC</t>
  </si>
  <si>
    <t>dxs</t>
  </si>
  <si>
    <t>folD</t>
  </si>
  <si>
    <t>nusB</t>
  </si>
  <si>
    <t>yqhY</t>
  </si>
  <si>
    <t>accC</t>
  </si>
  <si>
    <t>accB</t>
  </si>
  <si>
    <t>spoIIIAH</t>
  </si>
  <si>
    <t>spoIIIAG</t>
  </si>
  <si>
    <t>spoIIIAF</t>
  </si>
  <si>
    <t>spoIIIAE</t>
  </si>
  <si>
    <t>spoIIIAD</t>
  </si>
  <si>
    <t>spoIIIAC</t>
  </si>
  <si>
    <t>spoIIIAB</t>
  </si>
  <si>
    <t>spoIIIAA</t>
  </si>
  <si>
    <t>yqhV</t>
  </si>
  <si>
    <t>efp</t>
  </si>
  <si>
    <t>papA</t>
  </si>
  <si>
    <t>yqhS</t>
  </si>
  <si>
    <t>yqhR</t>
  </si>
  <si>
    <t>yqhQ</t>
  </si>
  <si>
    <t>yqhP</t>
  </si>
  <si>
    <t>yqhO</t>
  </si>
  <si>
    <t>mntR</t>
  </si>
  <si>
    <t>lipM</t>
  </si>
  <si>
    <t>yqhL</t>
  </si>
  <si>
    <t>gcvPB</t>
  </si>
  <si>
    <t>gcvPA</t>
  </si>
  <si>
    <t>gcvT</t>
  </si>
  <si>
    <t>Glycine_swgA</t>
  </si>
  <si>
    <t>yqhH</t>
  </si>
  <si>
    <t>yqhG</t>
  </si>
  <si>
    <t>sinI</t>
  </si>
  <si>
    <t>sinR</t>
  </si>
  <si>
    <t>tasA</t>
  </si>
  <si>
    <t>sipW</t>
  </si>
  <si>
    <t>tapA</t>
  </si>
  <si>
    <t>yqzG</t>
  </si>
  <si>
    <t>spoIIT</t>
  </si>
  <si>
    <t>comGG</t>
  </si>
  <si>
    <t>comGF</t>
  </si>
  <si>
    <t>comGE</t>
  </si>
  <si>
    <t>comGD</t>
  </si>
  <si>
    <t>comGC</t>
  </si>
  <si>
    <t>comGB</t>
  </si>
  <si>
    <t>comGA</t>
  </si>
  <si>
    <t>yqxL</t>
  </si>
  <si>
    <t>yqhB</t>
  </si>
  <si>
    <t>rsbRD</t>
  </si>
  <si>
    <t>trnSL-Gln1</t>
  </si>
  <si>
    <t>mgsR</t>
  </si>
  <si>
    <t>yqgY</t>
  </si>
  <si>
    <t>yqgX</t>
  </si>
  <si>
    <t>yqgW</t>
  </si>
  <si>
    <t>yqgV</t>
  </si>
  <si>
    <t>yqgU</t>
  </si>
  <si>
    <t>yqgT</t>
  </si>
  <si>
    <t>ltaSC</t>
  </si>
  <si>
    <t>glcK</t>
  </si>
  <si>
    <t>yqgQ</t>
  </si>
  <si>
    <t>glpG</t>
  </si>
  <si>
    <t>yqgO</t>
  </si>
  <si>
    <t>S931</t>
  </si>
  <si>
    <t>rpmGA</t>
  </si>
  <si>
    <t>yqgM</t>
  </si>
  <si>
    <t>yqgL</t>
  </si>
  <si>
    <t>yqzD</t>
  </si>
  <si>
    <t>yqzC</t>
  </si>
  <si>
    <t>pstBB</t>
  </si>
  <si>
    <t>pstBA</t>
  </si>
  <si>
    <t>pstA</t>
  </si>
  <si>
    <t>pstC</t>
  </si>
  <si>
    <t>pstS</t>
  </si>
  <si>
    <t>pbpA</t>
  </si>
  <si>
    <t>yqgE</t>
  </si>
  <si>
    <t>sodA</t>
  </si>
  <si>
    <t>yqgC</t>
  </si>
  <si>
    <t>yqgB</t>
  </si>
  <si>
    <t>yqgA</t>
  </si>
  <si>
    <t>yqfZ</t>
  </si>
  <si>
    <t>ispG</t>
  </si>
  <si>
    <t>yqfX</t>
  </si>
  <si>
    <t>yqfW</t>
  </si>
  <si>
    <t>zur</t>
  </si>
  <si>
    <t>yqfU</t>
  </si>
  <si>
    <t>nfo</t>
  </si>
  <si>
    <t>cshB</t>
  </si>
  <si>
    <t>yqfT</t>
  </si>
  <si>
    <t>yqfQ</t>
  </si>
  <si>
    <t>ispH</t>
  </si>
  <si>
    <t>yqfO</t>
  </si>
  <si>
    <t>trmK</t>
  </si>
  <si>
    <t>cccA</t>
  </si>
  <si>
    <t>S951</t>
  </si>
  <si>
    <t>sigA</t>
  </si>
  <si>
    <t>dnaG</t>
  </si>
  <si>
    <t>yqxD</t>
  </si>
  <si>
    <t>antE</t>
  </si>
  <si>
    <t>ppsR</t>
  </si>
  <si>
    <t>ccpN</t>
  </si>
  <si>
    <t>glyS</t>
  </si>
  <si>
    <t>glyQ</t>
  </si>
  <si>
    <t>tboG</t>
  </si>
  <si>
    <t>S956</t>
  </si>
  <si>
    <t>recO</t>
  </si>
  <si>
    <t>yqzL</t>
  </si>
  <si>
    <t>era</t>
  </si>
  <si>
    <t>cdd</t>
  </si>
  <si>
    <t>phoH</t>
  </si>
  <si>
    <t>yqfD</t>
  </si>
  <si>
    <t>yqfC</t>
  </si>
  <si>
    <t>yqfB</t>
  </si>
  <si>
    <t>floA</t>
  </si>
  <si>
    <t>nfeDA</t>
  </si>
  <si>
    <t>yqeY</t>
  </si>
  <si>
    <t>rpsU</t>
  </si>
  <si>
    <t>yqeW</t>
  </si>
  <si>
    <t>mtaB</t>
  </si>
  <si>
    <t>rsmE</t>
  </si>
  <si>
    <t>prmA</t>
  </si>
  <si>
    <t>dnaJ</t>
  </si>
  <si>
    <t>dnaK</t>
  </si>
  <si>
    <t>grpE</t>
  </si>
  <si>
    <t>hrcA</t>
  </si>
  <si>
    <t>hemN</t>
  </si>
  <si>
    <t>lepA</t>
  </si>
  <si>
    <t>SurC_surC</t>
  </si>
  <si>
    <t>yqxA</t>
  </si>
  <si>
    <t>spoIIP</t>
  </si>
  <si>
    <t>gpr</t>
  </si>
  <si>
    <t>rpsT</t>
  </si>
  <si>
    <t>holA</t>
  </si>
  <si>
    <t>S962</t>
  </si>
  <si>
    <t>yqzM</t>
  </si>
  <si>
    <t>comEC</t>
  </si>
  <si>
    <t>comEB</t>
  </si>
  <si>
    <t>comEA</t>
  </si>
  <si>
    <t>comER</t>
  </si>
  <si>
    <t>yqeM</t>
  </si>
  <si>
    <t>rsfS</t>
  </si>
  <si>
    <t>yqeK</t>
  </si>
  <si>
    <t>nadD</t>
  </si>
  <si>
    <t>yqeI</t>
  </si>
  <si>
    <t>aroE</t>
  </si>
  <si>
    <t>rgpH</t>
  </si>
  <si>
    <t>yqeG</t>
  </si>
  <si>
    <t>S965_sdaM</t>
  </si>
  <si>
    <t>sda</t>
  </si>
  <si>
    <t>S967</t>
  </si>
  <si>
    <t>S968</t>
  </si>
  <si>
    <t>yqeF</t>
  </si>
  <si>
    <t>cwlH</t>
  </si>
  <si>
    <t>yqeD</t>
  </si>
  <si>
    <t>yqeC</t>
  </si>
  <si>
    <t>yqeB</t>
  </si>
  <si>
    <t>nucB</t>
  </si>
  <si>
    <t>sigKn</t>
  </si>
  <si>
    <t>spoIVCA</t>
  </si>
  <si>
    <t>arsC</t>
  </si>
  <si>
    <t>arsB</t>
  </si>
  <si>
    <t>yqcK</t>
  </si>
  <si>
    <t>arsR</t>
  </si>
  <si>
    <t>yqcI</t>
  </si>
  <si>
    <t>rapE</t>
  </si>
  <si>
    <t>phrE</t>
  </si>
  <si>
    <t>rttG</t>
  </si>
  <si>
    <t>rttF</t>
  </si>
  <si>
    <t>yqxJ</t>
  </si>
  <si>
    <t>yqxI</t>
  </si>
  <si>
    <t>S975</t>
  </si>
  <si>
    <t>yqbP</t>
  </si>
  <si>
    <t>yqbO</t>
  </si>
  <si>
    <t>ratA_ratA</t>
  </si>
  <si>
    <t>asrH</t>
  </si>
  <si>
    <t>S977</t>
  </si>
  <si>
    <t>BsrG</t>
  </si>
  <si>
    <t>txpA</t>
  </si>
  <si>
    <t>bsrH_S978_BsrG</t>
  </si>
  <si>
    <t>bsrH</t>
  </si>
  <si>
    <t>yqbM</t>
  </si>
  <si>
    <t>yqbG</t>
  </si>
  <si>
    <t>yqbE</t>
  </si>
  <si>
    <t>yqbD</t>
  </si>
  <si>
    <t>yqbC</t>
  </si>
  <si>
    <t>yqbA</t>
  </si>
  <si>
    <t>yqaS</t>
  </si>
  <si>
    <t>yqaR</t>
  </si>
  <si>
    <t>yqaP</t>
  </si>
  <si>
    <t>yqaN</t>
  </si>
  <si>
    <t>yqzO</t>
  </si>
  <si>
    <t>sknM</t>
  </si>
  <si>
    <t>yqaL</t>
  </si>
  <si>
    <t>yqaK</t>
  </si>
  <si>
    <t>yqaJ</t>
  </si>
  <si>
    <t>yqaI</t>
  </si>
  <si>
    <t>sknH</t>
  </si>
  <si>
    <t>yqaG</t>
  </si>
  <si>
    <t>yqdA</t>
  </si>
  <si>
    <t>yqaF</t>
  </si>
  <si>
    <t>sknR</t>
  </si>
  <si>
    <t>yqaC</t>
  </si>
  <si>
    <t>yqaB</t>
  </si>
  <si>
    <t>sigKc</t>
  </si>
  <si>
    <t>yrkS</t>
  </si>
  <si>
    <t>psiE</t>
  </si>
  <si>
    <t>yrkQ</t>
  </si>
  <si>
    <t>yrkP</t>
  </si>
  <si>
    <t>yrkO</t>
  </si>
  <si>
    <t>yrkN</t>
  </si>
  <si>
    <t>S987</t>
  </si>
  <si>
    <t>yrkL</t>
  </si>
  <si>
    <t>yrkK</t>
  </si>
  <si>
    <t>yrkJ</t>
  </si>
  <si>
    <t>yrkI</t>
  </si>
  <si>
    <t>yrkH</t>
  </si>
  <si>
    <t>yrkF</t>
  </si>
  <si>
    <t>yrkE</t>
  </si>
  <si>
    <t>yrkD</t>
  </si>
  <si>
    <t>yrzM</t>
  </si>
  <si>
    <t>yrzN</t>
  </si>
  <si>
    <t>yrkC</t>
  </si>
  <si>
    <t>bltR</t>
  </si>
  <si>
    <t>blt</t>
  </si>
  <si>
    <t>bltD</t>
  </si>
  <si>
    <t>yrkA</t>
  </si>
  <si>
    <t>yrzO</t>
  </si>
  <si>
    <t>yrdR</t>
  </si>
  <si>
    <t>czcR</t>
  </si>
  <si>
    <t>yrdP</t>
  </si>
  <si>
    <t>czcD</t>
  </si>
  <si>
    <t>yrdN</t>
  </si>
  <si>
    <t>gltR</t>
  </si>
  <si>
    <t>yrdK</t>
  </si>
  <si>
    <t>brnQ</t>
  </si>
  <si>
    <t>azlD</t>
  </si>
  <si>
    <t>azlC</t>
  </si>
  <si>
    <t>azlB</t>
  </si>
  <si>
    <t>yrdF</t>
  </si>
  <si>
    <t>cypA</t>
  </si>
  <si>
    <t>yrdDm</t>
  </si>
  <si>
    <t>yrdC</t>
  </si>
  <si>
    <t>yrdB</t>
  </si>
  <si>
    <t>S1003</t>
  </si>
  <si>
    <t>yrdA</t>
  </si>
  <si>
    <t>aadK</t>
  </si>
  <si>
    <t>yrpB</t>
  </si>
  <si>
    <t>murI</t>
  </si>
  <si>
    <t>yrpD</t>
  </si>
  <si>
    <t>S1009</t>
  </si>
  <si>
    <t>yrpDX</t>
  </si>
  <si>
    <t>zinT</t>
  </si>
  <si>
    <t>sigZ</t>
  </si>
  <si>
    <t>yrpG</t>
  </si>
  <si>
    <t>yraO</t>
  </si>
  <si>
    <t>yraN</t>
  </si>
  <si>
    <t>prpF</t>
  </si>
  <si>
    <t>csn</t>
  </si>
  <si>
    <t>yraL</t>
  </si>
  <si>
    <t>yraJ</t>
  </si>
  <si>
    <t>yraI</t>
  </si>
  <si>
    <t>yraH</t>
  </si>
  <si>
    <t>yraG</t>
  </si>
  <si>
    <t>yraF</t>
  </si>
  <si>
    <t>adhB</t>
  </si>
  <si>
    <t>yraE</t>
  </si>
  <si>
    <t>yraD</t>
  </si>
  <si>
    <t>adhR</t>
  </si>
  <si>
    <t>yrzP</t>
  </si>
  <si>
    <t>adhA</t>
  </si>
  <si>
    <t>sufL</t>
  </si>
  <si>
    <t>sacC</t>
  </si>
  <si>
    <t>levG</t>
  </si>
  <si>
    <t>levF</t>
  </si>
  <si>
    <t>levE</t>
  </si>
  <si>
    <t>levD</t>
  </si>
  <si>
    <t>levR</t>
  </si>
  <si>
    <t>aapA</t>
  </si>
  <si>
    <t>yrhP</t>
  </si>
  <si>
    <t>yrhO</t>
  </si>
  <si>
    <t>sigV</t>
  </si>
  <si>
    <t>rsiV</t>
  </si>
  <si>
    <t>oatA</t>
  </si>
  <si>
    <t>yrhK</t>
  </si>
  <si>
    <t>S1022_ncr1175_surF</t>
  </si>
  <si>
    <t>cypB</t>
  </si>
  <si>
    <t>bscR</t>
  </si>
  <si>
    <t>yrhH</t>
  </si>
  <si>
    <t>S1024</t>
  </si>
  <si>
    <t>yrzI</t>
  </si>
  <si>
    <t>S1027</t>
  </si>
  <si>
    <t>yrhG</t>
  </si>
  <si>
    <t>S1029</t>
  </si>
  <si>
    <t>yrhF</t>
  </si>
  <si>
    <t>yrhE</t>
  </si>
  <si>
    <t>yrhD</t>
  </si>
  <si>
    <t>yrhC</t>
  </si>
  <si>
    <t>mccB</t>
  </si>
  <si>
    <t>mccA</t>
  </si>
  <si>
    <t>mtnN</t>
  </si>
  <si>
    <t>yrrT</t>
  </si>
  <si>
    <t>yrzA</t>
  </si>
  <si>
    <t>yrrS</t>
  </si>
  <si>
    <t>pbpI</t>
  </si>
  <si>
    <t>greA</t>
  </si>
  <si>
    <t>udk</t>
  </si>
  <si>
    <t>yrrO</t>
  </si>
  <si>
    <t>yrrN</t>
  </si>
  <si>
    <t>yrrM</t>
  </si>
  <si>
    <t>yrrL</t>
  </si>
  <si>
    <t>yrzB</t>
  </si>
  <si>
    <t>rimF</t>
  </si>
  <si>
    <t>yrzL</t>
  </si>
  <si>
    <t>alaS</t>
  </si>
  <si>
    <t>S1038</t>
  </si>
  <si>
    <t>yrrI</t>
  </si>
  <si>
    <t>glnQ</t>
  </si>
  <si>
    <t>glnH</t>
  </si>
  <si>
    <t>glnM</t>
  </si>
  <si>
    <t>glnP</t>
  </si>
  <si>
    <t>yrzQ</t>
  </si>
  <si>
    <t>yrzR</t>
  </si>
  <si>
    <t>yrrD</t>
  </si>
  <si>
    <t>recDB</t>
  </si>
  <si>
    <t>yrrB</t>
  </si>
  <si>
    <t>mnmA</t>
  </si>
  <si>
    <t>iscSA</t>
  </si>
  <si>
    <t>cymR</t>
  </si>
  <si>
    <t>S1042</t>
  </si>
  <si>
    <t>rarA</t>
  </si>
  <si>
    <t>tcdA</t>
  </si>
  <si>
    <t>bsrA_6S_ssrSB</t>
  </si>
  <si>
    <t>aspS</t>
  </si>
  <si>
    <t>hisS</t>
  </si>
  <si>
    <t>T-box_tboH</t>
  </si>
  <si>
    <t>yrvJ</t>
  </si>
  <si>
    <t>yrzK</t>
  </si>
  <si>
    <t>dtd</t>
  </si>
  <si>
    <t>rsh</t>
  </si>
  <si>
    <t>apt</t>
  </si>
  <si>
    <t>recJ</t>
  </si>
  <si>
    <t>yrvD</t>
  </si>
  <si>
    <t>yrvC</t>
  </si>
  <si>
    <t>secDF</t>
  </si>
  <si>
    <t>comN</t>
  </si>
  <si>
    <t>spoVB</t>
  </si>
  <si>
    <t>yrzE</t>
  </si>
  <si>
    <t>yrbG</t>
  </si>
  <si>
    <t>yrbF</t>
  </si>
  <si>
    <t>tgt</t>
  </si>
  <si>
    <t>queA</t>
  </si>
  <si>
    <t>yrzS</t>
  </si>
  <si>
    <t>ruvB</t>
  </si>
  <si>
    <t>ruvA</t>
  </si>
  <si>
    <t>bofC</t>
  </si>
  <si>
    <t>csbX</t>
  </si>
  <si>
    <t>yrbE</t>
  </si>
  <si>
    <t>yrzF</t>
  </si>
  <si>
    <t>S1052</t>
  </si>
  <si>
    <t>yrzH</t>
  </si>
  <si>
    <t>yrzT</t>
  </si>
  <si>
    <t>alaP</t>
  </si>
  <si>
    <t>yrbC</t>
  </si>
  <si>
    <t>sgpA</t>
  </si>
  <si>
    <t>safA</t>
  </si>
  <si>
    <t>nadA</t>
  </si>
  <si>
    <t>nadC</t>
  </si>
  <si>
    <t>nadB</t>
  </si>
  <si>
    <t>nifS</t>
  </si>
  <si>
    <t>niaR</t>
  </si>
  <si>
    <t>pheA</t>
  </si>
  <si>
    <t>thrR</t>
  </si>
  <si>
    <t>obgE</t>
  </si>
  <si>
    <t>spo0B</t>
  </si>
  <si>
    <t>rpmA</t>
  </si>
  <si>
    <t>rppA</t>
  </si>
  <si>
    <t>rplU</t>
  </si>
  <si>
    <t>L21-leader_ldlU</t>
  </si>
  <si>
    <t>spoIVFB</t>
  </si>
  <si>
    <t>spoIVFA</t>
  </si>
  <si>
    <t>minD</t>
  </si>
  <si>
    <t>minC</t>
  </si>
  <si>
    <t>mreD</t>
  </si>
  <si>
    <t>mreC</t>
  </si>
  <si>
    <t>mreB</t>
  </si>
  <si>
    <t>ysxA</t>
  </si>
  <si>
    <t>maf</t>
  </si>
  <si>
    <t>spoIIB</t>
  </si>
  <si>
    <t>comC</t>
  </si>
  <si>
    <t>folC</t>
  </si>
  <si>
    <t>valS</t>
  </si>
  <si>
    <t>T-box_tboV</t>
  </si>
  <si>
    <t>yszA</t>
  </si>
  <si>
    <t>cotN</t>
  </si>
  <si>
    <t>spoVID</t>
  </si>
  <si>
    <t>hemL</t>
  </si>
  <si>
    <t>hemB</t>
  </si>
  <si>
    <t>hemD</t>
  </si>
  <si>
    <t>hemC</t>
  </si>
  <si>
    <t>hemX</t>
  </si>
  <si>
    <t>hemA</t>
  </si>
  <si>
    <t>ysxD</t>
  </si>
  <si>
    <t>engB</t>
  </si>
  <si>
    <t>lonA</t>
  </si>
  <si>
    <t>lonB</t>
  </si>
  <si>
    <t>clpX</t>
  </si>
  <si>
    <t>tig</t>
  </si>
  <si>
    <t>ysoA</t>
  </si>
  <si>
    <t>leuD</t>
  </si>
  <si>
    <t>leuC</t>
  </si>
  <si>
    <t>leuB</t>
  </si>
  <si>
    <t>leuA</t>
  </si>
  <si>
    <t>ilvC</t>
  </si>
  <si>
    <t>ilvH</t>
  </si>
  <si>
    <t>ilvB</t>
  </si>
  <si>
    <t>S1070</t>
  </si>
  <si>
    <t>T-box_tboILV</t>
  </si>
  <si>
    <t>cotQ</t>
  </si>
  <si>
    <t>ysnE</t>
  </si>
  <si>
    <t>ysnF</t>
  </si>
  <si>
    <t>trnSL-Arg2</t>
  </si>
  <si>
    <t>ysnB</t>
  </si>
  <si>
    <t>rdgB</t>
  </si>
  <si>
    <t>rph</t>
  </si>
  <si>
    <t>gerM</t>
  </si>
  <si>
    <t>rcmE</t>
  </si>
  <si>
    <t>ysmB</t>
  </si>
  <si>
    <t>gerE</t>
  </si>
  <si>
    <t>sdhB</t>
  </si>
  <si>
    <t>sdhA</t>
  </si>
  <si>
    <t>sdhC</t>
  </si>
  <si>
    <t>yslB</t>
  </si>
  <si>
    <t>lysCB</t>
  </si>
  <si>
    <t>lysCA</t>
  </si>
  <si>
    <t>Lysine_kswC</t>
  </si>
  <si>
    <t>uvrC</t>
  </si>
  <si>
    <t>trxA</t>
  </si>
  <si>
    <t>abfB</t>
  </si>
  <si>
    <t>etfA</t>
  </si>
  <si>
    <t>etfB</t>
  </si>
  <si>
    <t>fadB</t>
  </si>
  <si>
    <t>fadR</t>
  </si>
  <si>
    <t>lcfA</t>
  </si>
  <si>
    <t>yshE</t>
  </si>
  <si>
    <t>mutSB</t>
  </si>
  <si>
    <t>polX</t>
  </si>
  <si>
    <t>yshB</t>
  </si>
  <si>
    <t>zapA</t>
  </si>
  <si>
    <t>rnhC</t>
  </si>
  <si>
    <t>pheT</t>
  </si>
  <si>
    <t>pheS</t>
  </si>
  <si>
    <t>S1082</t>
  </si>
  <si>
    <t>rlmBB</t>
  </si>
  <si>
    <t>sspI</t>
  </si>
  <si>
    <t>S1083</t>
  </si>
  <si>
    <t>ysfB</t>
  </si>
  <si>
    <t>glcD</t>
  </si>
  <si>
    <t>glcF</t>
  </si>
  <si>
    <t>ysfE</t>
  </si>
  <si>
    <t>cstA</t>
  </si>
  <si>
    <t>abfA</t>
  </si>
  <si>
    <t>araQ</t>
  </si>
  <si>
    <t>araP</t>
  </si>
  <si>
    <t>araN</t>
  </si>
  <si>
    <t>egsA</t>
  </si>
  <si>
    <t>araL</t>
  </si>
  <si>
    <t>araD</t>
  </si>
  <si>
    <t>araB</t>
  </si>
  <si>
    <t>araA</t>
  </si>
  <si>
    <t>abnA</t>
  </si>
  <si>
    <t>frvX</t>
  </si>
  <si>
    <t>ysdB</t>
  </si>
  <si>
    <t>ysdA</t>
  </si>
  <si>
    <t>rplT</t>
  </si>
  <si>
    <t>rpmI</t>
  </si>
  <si>
    <t>infC</t>
  </si>
  <si>
    <t>yscB</t>
  </si>
  <si>
    <t>pftB</t>
  </si>
  <si>
    <t>pftA</t>
  </si>
  <si>
    <t>lytT</t>
  </si>
  <si>
    <t>lytS</t>
  </si>
  <si>
    <t>ysaA</t>
  </si>
  <si>
    <t>thrS</t>
  </si>
  <si>
    <t>tboT</t>
  </si>
  <si>
    <t>ytxC</t>
  </si>
  <si>
    <t>ytxB</t>
  </si>
  <si>
    <t>dnaI</t>
  </si>
  <si>
    <t>dnaB</t>
  </si>
  <si>
    <t>nrdR</t>
  </si>
  <si>
    <t>speD</t>
  </si>
  <si>
    <t>gapB</t>
  </si>
  <si>
    <t>ytbD</t>
  </si>
  <si>
    <t>ytbE</t>
  </si>
  <si>
    <t>ytcD</t>
  </si>
  <si>
    <t>coaE</t>
  </si>
  <si>
    <t>spcF</t>
  </si>
  <si>
    <t>mutM</t>
  </si>
  <si>
    <t>polA</t>
  </si>
  <si>
    <t>phoR</t>
  </si>
  <si>
    <t>phoP</t>
  </si>
  <si>
    <t>mdh</t>
  </si>
  <si>
    <t>icd</t>
  </si>
  <si>
    <t>citZ</t>
  </si>
  <si>
    <t>ytvI</t>
  </si>
  <si>
    <t>ytwI</t>
  </si>
  <si>
    <t>ytzA</t>
  </si>
  <si>
    <t>pyk</t>
  </si>
  <si>
    <t>pfkA</t>
  </si>
  <si>
    <t>accA</t>
  </si>
  <si>
    <t>accD</t>
  </si>
  <si>
    <t>S1105</t>
  </si>
  <si>
    <t>maeB</t>
  </si>
  <si>
    <t>S1109</t>
  </si>
  <si>
    <t>dnaEC</t>
  </si>
  <si>
    <t>ytrH</t>
  </si>
  <si>
    <t>ytrI</t>
  </si>
  <si>
    <t>ytzJ</t>
  </si>
  <si>
    <t>nrnA</t>
  </si>
  <si>
    <t>ytpI</t>
  </si>
  <si>
    <t>ytoI</t>
  </si>
  <si>
    <t>ytnM</t>
  </si>
  <si>
    <t>sndA</t>
  </si>
  <si>
    <t>ribR</t>
  </si>
  <si>
    <t>cmoJ</t>
  </si>
  <si>
    <t>cmoI</t>
  </si>
  <si>
    <t>cmoO</t>
  </si>
  <si>
    <t>tcyN</t>
  </si>
  <si>
    <t>tcyM</t>
  </si>
  <si>
    <t>tcyL</t>
  </si>
  <si>
    <t>tcyK</t>
  </si>
  <si>
    <t>tcyJ</t>
  </si>
  <si>
    <t>snaA</t>
  </si>
  <si>
    <t>ascR</t>
  </si>
  <si>
    <t>ytkL</t>
  </si>
  <si>
    <t>ytkK</t>
  </si>
  <si>
    <t>argH</t>
  </si>
  <si>
    <t>argG</t>
  </si>
  <si>
    <t>moaB</t>
  </si>
  <si>
    <t>ackA</t>
  </si>
  <si>
    <t>ytxK</t>
  </si>
  <si>
    <t>tpx</t>
  </si>
  <si>
    <t>gerW</t>
  </si>
  <si>
    <t>ytfI</t>
  </si>
  <si>
    <t>yteJ</t>
  </si>
  <si>
    <t>sppA</t>
  </si>
  <si>
    <t>ppnKB</t>
  </si>
  <si>
    <t>ytcJ</t>
  </si>
  <si>
    <t>ytcI</t>
  </si>
  <si>
    <t>sspA</t>
  </si>
  <si>
    <t>trmG</t>
  </si>
  <si>
    <t>iscSB</t>
  </si>
  <si>
    <t>braB</t>
  </si>
  <si>
    <t>ezrA</t>
  </si>
  <si>
    <t>hisK</t>
  </si>
  <si>
    <t>msrC</t>
  </si>
  <si>
    <t>refZ</t>
  </si>
  <si>
    <t>dgcP</t>
  </si>
  <si>
    <t>rpsD</t>
  </si>
  <si>
    <t>S1136</t>
  </si>
  <si>
    <t>S1137</t>
  </si>
  <si>
    <t>tyrS</t>
  </si>
  <si>
    <t>T-box_tboY</t>
  </si>
  <si>
    <t>ytzK</t>
  </si>
  <si>
    <t>acsA</t>
  </si>
  <si>
    <t>acuA</t>
  </si>
  <si>
    <t>acuB</t>
  </si>
  <si>
    <t>acuC</t>
  </si>
  <si>
    <t>motS</t>
  </si>
  <si>
    <t>motP</t>
  </si>
  <si>
    <t>ccpA</t>
  </si>
  <si>
    <t>aroX</t>
  </si>
  <si>
    <t>brxJ</t>
  </si>
  <si>
    <t>ytxH</t>
  </si>
  <si>
    <t>ytxG</t>
  </si>
  <si>
    <t>murC</t>
  </si>
  <si>
    <t>sftA</t>
  </si>
  <si>
    <t>ytpR</t>
  </si>
  <si>
    <t>ytpQ</t>
  </si>
  <si>
    <t>ytpP</t>
  </si>
  <si>
    <t>ytoQ</t>
  </si>
  <si>
    <t>ytoP</t>
  </si>
  <si>
    <t>ytzB</t>
  </si>
  <si>
    <t>maeC</t>
  </si>
  <si>
    <t>ytnP</t>
  </si>
  <si>
    <t>trmB</t>
  </si>
  <si>
    <t>ytzH</t>
  </si>
  <si>
    <t>ytmP</t>
  </si>
  <si>
    <t>amyX</t>
  </si>
  <si>
    <t>ytlR</t>
  </si>
  <si>
    <t>ytlQ</t>
  </si>
  <si>
    <t>ytlP</t>
  </si>
  <si>
    <t>ytkP</t>
  </si>
  <si>
    <t>ytjP</t>
  </si>
  <si>
    <t>pbuO</t>
  </si>
  <si>
    <t>ythQ</t>
  </si>
  <si>
    <t>ythP</t>
  </si>
  <si>
    <t>S1151</t>
  </si>
  <si>
    <t>ytzE</t>
  </si>
  <si>
    <t>rsuA</t>
  </si>
  <si>
    <t>murJ</t>
  </si>
  <si>
    <t>ytfP</t>
  </si>
  <si>
    <t>opuD</t>
  </si>
  <si>
    <t>yteV</t>
  </si>
  <si>
    <t>rmgU</t>
  </si>
  <si>
    <t>rmgT</t>
  </si>
  <si>
    <t>rmgS</t>
  </si>
  <si>
    <t>rmgQ</t>
  </si>
  <si>
    <t>rmgP</t>
  </si>
  <si>
    <t>rmgR</t>
  </si>
  <si>
    <t>ytcQ</t>
  </si>
  <si>
    <t>ytcP</t>
  </si>
  <si>
    <t>ytbQ</t>
  </si>
  <si>
    <t>bioI</t>
  </si>
  <si>
    <t>bioB</t>
  </si>
  <si>
    <t>bioD</t>
  </si>
  <si>
    <t>bioFC</t>
  </si>
  <si>
    <t>bioK</t>
  </si>
  <si>
    <t>bioW</t>
  </si>
  <si>
    <t>ytaP</t>
  </si>
  <si>
    <t>msmR</t>
  </si>
  <si>
    <t>msmE</t>
  </si>
  <si>
    <t>msmF</t>
  </si>
  <si>
    <t>msmG</t>
  </si>
  <si>
    <t>melA</t>
  </si>
  <si>
    <t>ytwF</t>
  </si>
  <si>
    <t>leuS</t>
  </si>
  <si>
    <t>T-box_tboL</t>
  </si>
  <si>
    <t>S1157</t>
  </si>
  <si>
    <t>ytvB</t>
  </si>
  <si>
    <t>blrA</t>
  </si>
  <si>
    <t>yttB</t>
  </si>
  <si>
    <t>yttA</t>
  </si>
  <si>
    <t>bceB</t>
  </si>
  <si>
    <t>bceA</t>
  </si>
  <si>
    <t>bceS</t>
  </si>
  <si>
    <t>bceR</t>
  </si>
  <si>
    <t>ytrF</t>
  </si>
  <si>
    <t>ytrE</t>
  </si>
  <si>
    <t>ytrD</t>
  </si>
  <si>
    <t>ytrC</t>
  </si>
  <si>
    <t>ytrB</t>
  </si>
  <si>
    <t>ytrA</t>
  </si>
  <si>
    <t>ytzC</t>
  </si>
  <si>
    <t>ytqA</t>
  </si>
  <si>
    <t>ytqB</t>
  </si>
  <si>
    <t>tbcS</t>
  </si>
  <si>
    <t>ytpA</t>
  </si>
  <si>
    <t>ytoA</t>
  </si>
  <si>
    <t>ytnA</t>
  </si>
  <si>
    <t>asnB</t>
  </si>
  <si>
    <t>metK</t>
  </si>
  <si>
    <t>pckA</t>
  </si>
  <si>
    <t>ytmB</t>
  </si>
  <si>
    <t>ytmA</t>
  </si>
  <si>
    <t>ytlA</t>
  </si>
  <si>
    <t>ytlC</t>
  </si>
  <si>
    <t>ytlD</t>
  </si>
  <si>
    <t>rppG</t>
  </si>
  <si>
    <t>ytkC</t>
  </si>
  <si>
    <t>dps</t>
  </si>
  <si>
    <t>ytkA</t>
  </si>
  <si>
    <t>ytzI</t>
  </si>
  <si>
    <t>luxS</t>
  </si>
  <si>
    <t>ytiB</t>
  </si>
  <si>
    <t>ytjA</t>
  </si>
  <si>
    <t>rpmEB</t>
  </si>
  <si>
    <t>ythA</t>
  </si>
  <si>
    <t>ythB</t>
  </si>
  <si>
    <t>ytzL</t>
  </si>
  <si>
    <t>mntD</t>
  </si>
  <si>
    <t>mntC</t>
  </si>
  <si>
    <t>mntB</t>
  </si>
  <si>
    <t>mntA</t>
  </si>
  <si>
    <t>S1175</t>
  </si>
  <si>
    <t>menC</t>
  </si>
  <si>
    <t>menE</t>
  </si>
  <si>
    <t>menB</t>
  </si>
  <si>
    <t>menH</t>
  </si>
  <si>
    <t>menD</t>
  </si>
  <si>
    <t>menF</t>
  </si>
  <si>
    <t>yteA</t>
  </si>
  <si>
    <t>ytdA</t>
  </si>
  <si>
    <t>ytcA</t>
  </si>
  <si>
    <t>ytcB</t>
  </si>
  <si>
    <t>ytcC</t>
  </si>
  <si>
    <t>cotOO</t>
  </si>
  <si>
    <t>cotS</t>
  </si>
  <si>
    <t>cotSA</t>
  </si>
  <si>
    <t>cotI</t>
  </si>
  <si>
    <t>ytaB</t>
  </si>
  <si>
    <t>glgP</t>
  </si>
  <si>
    <t>glgA</t>
  </si>
  <si>
    <t>glgD</t>
  </si>
  <si>
    <t>glgC</t>
  </si>
  <si>
    <t>glgB</t>
  </si>
  <si>
    <t>trnB-Glu</t>
  </si>
  <si>
    <t>trnB-Ser2</t>
  </si>
  <si>
    <t>trnB-Asn</t>
  </si>
  <si>
    <t>trnB-Ile2</t>
  </si>
  <si>
    <t>trnB-Gly2</t>
  </si>
  <si>
    <t>trnB-His</t>
  </si>
  <si>
    <t>trnB-Phe</t>
  </si>
  <si>
    <t>trnB-Asp</t>
  </si>
  <si>
    <t>trnB-Met2</t>
  </si>
  <si>
    <t>trnB-Ser1</t>
  </si>
  <si>
    <t>trnB-Met3</t>
  </si>
  <si>
    <t>trnB-Met1</t>
  </si>
  <si>
    <t>trnB-Ala</t>
  </si>
  <si>
    <t>trnB-Pro</t>
  </si>
  <si>
    <t>trnB-Arg</t>
  </si>
  <si>
    <t>trnB-Leu2</t>
  </si>
  <si>
    <t>trnB-Gly1</t>
  </si>
  <si>
    <t>trnB-Leu1</t>
  </si>
  <si>
    <t>trnB-Lys</t>
  </si>
  <si>
    <t>trnB-Thr</t>
  </si>
  <si>
    <t>trnB-Val</t>
  </si>
  <si>
    <t>5S-rRNA_rrnB-5S</t>
  </si>
  <si>
    <t>LSU-rRNA-eukarya_rrnB-23S</t>
  </si>
  <si>
    <t>SSU-rRNA-bacteria_rrnB-16S</t>
  </si>
  <si>
    <t>thiT</t>
  </si>
  <si>
    <t>TPP_tswC</t>
  </si>
  <si>
    <t>yuaI</t>
  </si>
  <si>
    <t>floT</t>
  </si>
  <si>
    <t>nfeDB</t>
  </si>
  <si>
    <t>yuaE</t>
  </si>
  <si>
    <t>yuaD</t>
  </si>
  <si>
    <t>gbsB</t>
  </si>
  <si>
    <t>gbsA</t>
  </si>
  <si>
    <t>gbsR</t>
  </si>
  <si>
    <t>bslA</t>
  </si>
  <si>
    <t>ktrA</t>
  </si>
  <si>
    <t>ktrB</t>
  </si>
  <si>
    <t>ydaO-yuaA_swdA</t>
  </si>
  <si>
    <t>yubF</t>
  </si>
  <si>
    <t>lytG</t>
  </si>
  <si>
    <t>yubD</t>
  </si>
  <si>
    <t>cdoA</t>
  </si>
  <si>
    <t>uppP</t>
  </si>
  <si>
    <t>yubA</t>
  </si>
  <si>
    <t>trnSL-Ala1</t>
  </si>
  <si>
    <t>iolU</t>
  </si>
  <si>
    <t>rhaA</t>
  </si>
  <si>
    <t>rhaM</t>
  </si>
  <si>
    <t>rhaB</t>
  </si>
  <si>
    <t>rhaR</t>
  </si>
  <si>
    <t>rhaE</t>
  </si>
  <si>
    <t>tlpB</t>
  </si>
  <si>
    <t>mcpA</t>
  </si>
  <si>
    <t>tlpA</t>
  </si>
  <si>
    <t>mcpB</t>
  </si>
  <si>
    <t>tgl</t>
  </si>
  <si>
    <t>yuzH</t>
  </si>
  <si>
    <t>yugU</t>
  </si>
  <si>
    <t>yugT</t>
  </si>
  <si>
    <t>yugS</t>
  </si>
  <si>
    <t>S1193</t>
  </si>
  <si>
    <t>yugP</t>
  </si>
  <si>
    <t>yuzI</t>
  </si>
  <si>
    <t>mstX</t>
  </si>
  <si>
    <t>kbfO</t>
  </si>
  <si>
    <t>yugN</t>
  </si>
  <si>
    <t>yugM</t>
  </si>
  <si>
    <t>pgi</t>
  </si>
  <si>
    <t>bdhK</t>
  </si>
  <si>
    <t>bdhJ</t>
  </si>
  <si>
    <t>yuzA</t>
  </si>
  <si>
    <t>yugI</t>
  </si>
  <si>
    <t>S1202_ncr1241</t>
  </si>
  <si>
    <t>yugH</t>
  </si>
  <si>
    <t>yugG</t>
  </si>
  <si>
    <t>yugF</t>
  </si>
  <si>
    <t>yugE</t>
  </si>
  <si>
    <t>patB</t>
  </si>
  <si>
    <t>kinB</t>
  </si>
  <si>
    <t>kapB</t>
  </si>
  <si>
    <t>kapD</t>
  </si>
  <si>
    <t>yuxJ</t>
  </si>
  <si>
    <t>pbpD</t>
  </si>
  <si>
    <t>yuxK</t>
  </si>
  <si>
    <t>yufK</t>
  </si>
  <si>
    <t>maeL</t>
  </si>
  <si>
    <t>maeM</t>
  </si>
  <si>
    <t>nupN</t>
  </si>
  <si>
    <t>nupO</t>
  </si>
  <si>
    <t>nupP</t>
  </si>
  <si>
    <t>nupQ</t>
  </si>
  <si>
    <t>maeN</t>
  </si>
  <si>
    <t>yufS</t>
  </si>
  <si>
    <t>mrpA</t>
  </si>
  <si>
    <t>mrpB</t>
  </si>
  <si>
    <t>mrpC</t>
  </si>
  <si>
    <t>mrpD</t>
  </si>
  <si>
    <t>mrpE</t>
  </si>
  <si>
    <t>mrpF</t>
  </si>
  <si>
    <t>mrpG</t>
  </si>
  <si>
    <t>yuxO</t>
  </si>
  <si>
    <t>comA</t>
  </si>
  <si>
    <t>comP</t>
  </si>
  <si>
    <t>comX</t>
  </si>
  <si>
    <t>comQ</t>
  </si>
  <si>
    <t>S1214</t>
  </si>
  <si>
    <t>degQ</t>
  </si>
  <si>
    <t>pdeH</t>
  </si>
  <si>
    <t>cotIC</t>
  </si>
  <si>
    <t>pncB</t>
  </si>
  <si>
    <t>pncA</t>
  </si>
  <si>
    <t>yueI</t>
  </si>
  <si>
    <t>yueH</t>
  </si>
  <si>
    <t>yueG</t>
  </si>
  <si>
    <t>yueF</t>
  </si>
  <si>
    <t>yuzE</t>
  </si>
  <si>
    <t>yuzF</t>
  </si>
  <si>
    <t>yueE</t>
  </si>
  <si>
    <t>bznD</t>
  </si>
  <si>
    <t>yueC</t>
  </si>
  <si>
    <t>yueB</t>
  </si>
  <si>
    <t>yukAB</t>
  </si>
  <si>
    <t>yukC</t>
  </si>
  <si>
    <t>yukD</t>
  </si>
  <si>
    <t>yukE</t>
  </si>
  <si>
    <t>S1224</t>
  </si>
  <si>
    <t>S1225</t>
  </si>
  <si>
    <t>S1227</t>
  </si>
  <si>
    <t>adeR</t>
  </si>
  <si>
    <t>ald</t>
  </si>
  <si>
    <t>yukJ</t>
  </si>
  <si>
    <t>mbtH</t>
  </si>
  <si>
    <t>dhbF</t>
  </si>
  <si>
    <t>dhbB</t>
  </si>
  <si>
    <t>dhbE</t>
  </si>
  <si>
    <t>dhbC</t>
  </si>
  <si>
    <t>dhbA</t>
  </si>
  <si>
    <t>besA</t>
  </si>
  <si>
    <t>yuiH</t>
  </si>
  <si>
    <t>bioYB</t>
  </si>
  <si>
    <t>hisP</t>
  </si>
  <si>
    <t>pepA</t>
  </si>
  <si>
    <t>yuiD</t>
  </si>
  <si>
    <t>spsC</t>
  </si>
  <si>
    <t>S1234</t>
  </si>
  <si>
    <t>yuiB</t>
  </si>
  <si>
    <t>yuiA</t>
  </si>
  <si>
    <t>S1236</t>
  </si>
  <si>
    <t>yumB</t>
  </si>
  <si>
    <t>trxBB</t>
  </si>
  <si>
    <t>yuzG</t>
  </si>
  <si>
    <t>guaC</t>
  </si>
  <si>
    <t>paiB</t>
  </si>
  <si>
    <t>paiA</t>
  </si>
  <si>
    <t>sufA</t>
  </si>
  <si>
    <t>dapF</t>
  </si>
  <si>
    <t>yutK</t>
  </si>
  <si>
    <t>S1243</t>
  </si>
  <si>
    <t>yuzB</t>
  </si>
  <si>
    <t>yutJ</t>
  </si>
  <si>
    <t>yuzD</t>
  </si>
  <si>
    <t>yutI</t>
  </si>
  <si>
    <t>yuxL</t>
  </si>
  <si>
    <t>thrB</t>
  </si>
  <si>
    <t>thrC</t>
  </si>
  <si>
    <t>hom</t>
  </si>
  <si>
    <t>cotNH</t>
  </si>
  <si>
    <t>yutG</t>
  </si>
  <si>
    <t>nucF</t>
  </si>
  <si>
    <t>yutE</t>
  </si>
  <si>
    <t>yutD</t>
  </si>
  <si>
    <t>yutC</t>
  </si>
  <si>
    <t>lipA</t>
  </si>
  <si>
    <t>lytH</t>
  </si>
  <si>
    <t>fisB</t>
  </si>
  <si>
    <t>yunC</t>
  </si>
  <si>
    <t>yunD</t>
  </si>
  <si>
    <t>yunE</t>
  </si>
  <si>
    <t>yunF</t>
  </si>
  <si>
    <t>yunG</t>
  </si>
  <si>
    <t>pucH</t>
  </si>
  <si>
    <t>pucR</t>
  </si>
  <si>
    <t>pucJ</t>
  </si>
  <si>
    <t>pucK</t>
  </si>
  <si>
    <t>pucL</t>
  </si>
  <si>
    <t>pucM</t>
  </si>
  <si>
    <t>yuzJ</t>
  </si>
  <si>
    <t>pucE</t>
  </si>
  <si>
    <t>pucD</t>
  </si>
  <si>
    <t>pucC</t>
  </si>
  <si>
    <t>pucB</t>
  </si>
  <si>
    <t>pucA</t>
  </si>
  <si>
    <t>pucG</t>
  </si>
  <si>
    <t>pucF</t>
  </si>
  <si>
    <t>bsnA</t>
  </si>
  <si>
    <t>frlP</t>
  </si>
  <si>
    <t>frlD</t>
  </si>
  <si>
    <t>frlM</t>
  </si>
  <si>
    <t>frlN</t>
  </si>
  <si>
    <t>frlO</t>
  </si>
  <si>
    <t>frlB</t>
  </si>
  <si>
    <t>yurQ</t>
  </si>
  <si>
    <t>dadA</t>
  </si>
  <si>
    <t>frlR</t>
  </si>
  <si>
    <t>sspG</t>
  </si>
  <si>
    <t>yurS</t>
  </si>
  <si>
    <t>glxB</t>
  </si>
  <si>
    <t>yuzN</t>
  </si>
  <si>
    <t>sufB</t>
  </si>
  <si>
    <t>sufU</t>
  </si>
  <si>
    <t>sufS</t>
  </si>
  <si>
    <t>sufD</t>
  </si>
  <si>
    <t>sufC</t>
  </si>
  <si>
    <t>bsrI</t>
  </si>
  <si>
    <t>yuzK</t>
  </si>
  <si>
    <t>yurZ</t>
  </si>
  <si>
    <t>metQ</t>
  </si>
  <si>
    <t>metP</t>
  </si>
  <si>
    <t>metN</t>
  </si>
  <si>
    <t>SAM_mswH</t>
  </si>
  <si>
    <t>yusD</t>
  </si>
  <si>
    <t>yusE</t>
  </si>
  <si>
    <t>yusG</t>
  </si>
  <si>
    <t>gcvH</t>
  </si>
  <si>
    <t>yusI</t>
  </si>
  <si>
    <t>fadE</t>
  </si>
  <si>
    <t>fadA</t>
  </si>
  <si>
    <t>fadN</t>
  </si>
  <si>
    <t>putM</t>
  </si>
  <si>
    <t>yuzL</t>
  </si>
  <si>
    <t>yuzM</t>
  </si>
  <si>
    <t>yusN</t>
  </si>
  <si>
    <t>mdtR</t>
  </si>
  <si>
    <t>mdtP</t>
  </si>
  <si>
    <t>yusQ</t>
  </si>
  <si>
    <t>yusR</t>
  </si>
  <si>
    <t>yusS</t>
  </si>
  <si>
    <t>yusT</t>
  </si>
  <si>
    <t>yusU</t>
  </si>
  <si>
    <t>feuV</t>
  </si>
  <si>
    <t>cotNW</t>
  </si>
  <si>
    <t>yusYc</t>
  </si>
  <si>
    <t>yusYn</t>
  </si>
  <si>
    <t>yusZ</t>
  </si>
  <si>
    <t>mrgA</t>
  </si>
  <si>
    <t>htrB</t>
  </si>
  <si>
    <t>cssR</t>
  </si>
  <si>
    <t>cssS</t>
  </si>
  <si>
    <t>spxO</t>
  </si>
  <si>
    <t>yuxN</t>
  </si>
  <si>
    <t>fumC</t>
  </si>
  <si>
    <t>yvzF</t>
  </si>
  <si>
    <t>gerAA</t>
  </si>
  <si>
    <t>gerAB</t>
  </si>
  <si>
    <t>gerAC</t>
  </si>
  <si>
    <t>liaR</t>
  </si>
  <si>
    <t>liaS</t>
  </si>
  <si>
    <t>liaF</t>
  </si>
  <si>
    <t>liaG</t>
  </si>
  <si>
    <t>liaH</t>
  </si>
  <si>
    <t>liaI</t>
  </si>
  <si>
    <t>yvqJ</t>
  </si>
  <si>
    <t>yvqK</t>
  </si>
  <si>
    <t>yvrA</t>
  </si>
  <si>
    <t>yvrB</t>
  </si>
  <si>
    <t>yvrC</t>
  </si>
  <si>
    <t>yvrD</t>
  </si>
  <si>
    <t>yvrE</t>
  </si>
  <si>
    <t>yvrG</t>
  </si>
  <si>
    <t>yvrH</t>
  </si>
  <si>
    <t>rsoA</t>
  </si>
  <si>
    <t>sigO</t>
  </si>
  <si>
    <t>yvrJ</t>
  </si>
  <si>
    <t>oxdC</t>
  </si>
  <si>
    <t>rsiO</t>
  </si>
  <si>
    <t>yvrN</t>
  </si>
  <si>
    <t>yvrO</t>
  </si>
  <si>
    <t>yvrP</t>
  </si>
  <si>
    <t>fhuC</t>
  </si>
  <si>
    <t>fhuG</t>
  </si>
  <si>
    <t>fhuB</t>
  </si>
  <si>
    <t>fhuD</t>
  </si>
  <si>
    <t>lysP</t>
  </si>
  <si>
    <t>S1279</t>
  </si>
  <si>
    <t>Lysine_kswB</t>
  </si>
  <si>
    <t>sspJ</t>
  </si>
  <si>
    <t>yvsG</t>
  </si>
  <si>
    <t>ltaSP</t>
  </si>
  <si>
    <t>yvgK</t>
  </si>
  <si>
    <t>modA</t>
  </si>
  <si>
    <t>modB</t>
  </si>
  <si>
    <t>pgoN</t>
  </si>
  <si>
    <t>yvgO</t>
  </si>
  <si>
    <t>nhaK</t>
  </si>
  <si>
    <t>cysI</t>
  </si>
  <si>
    <t>cysJ</t>
  </si>
  <si>
    <t>helD</t>
  </si>
  <si>
    <t>yvgT</t>
  </si>
  <si>
    <t>bdbC</t>
  </si>
  <si>
    <t>bdbD</t>
  </si>
  <si>
    <t>cadA</t>
  </si>
  <si>
    <t>copA</t>
  </si>
  <si>
    <t>copZ</t>
  </si>
  <si>
    <t>csoR</t>
  </si>
  <si>
    <t>iolW</t>
  </si>
  <si>
    <t>azoRB</t>
  </si>
  <si>
    <t>yvaC</t>
  </si>
  <si>
    <t>yvaD</t>
  </si>
  <si>
    <t>yvaE</t>
  </si>
  <si>
    <t>yvaF</t>
  </si>
  <si>
    <t>yvaG</t>
  </si>
  <si>
    <t>ssrA_tmRNA_ssrA</t>
  </si>
  <si>
    <t>tmRNA</t>
  </si>
  <si>
    <t>smpB</t>
  </si>
  <si>
    <t>rnr</t>
  </si>
  <si>
    <t>secG</t>
  </si>
  <si>
    <t>yvaM</t>
  </si>
  <si>
    <t>yvzC</t>
  </si>
  <si>
    <t>rghRA</t>
  </si>
  <si>
    <t>catR</t>
  </si>
  <si>
    <t>yvaQ</t>
  </si>
  <si>
    <t>opuBD</t>
  </si>
  <si>
    <t>opuBC</t>
  </si>
  <si>
    <t>opuBB</t>
  </si>
  <si>
    <t>opuBA</t>
  </si>
  <si>
    <t>S1290</t>
  </si>
  <si>
    <t>yvaV</t>
  </si>
  <si>
    <t>S1292</t>
  </si>
  <si>
    <t>sdpA</t>
  </si>
  <si>
    <t>sdpB</t>
  </si>
  <si>
    <t>spbC</t>
  </si>
  <si>
    <t>sdpI</t>
  </si>
  <si>
    <t>sdpR</t>
  </si>
  <si>
    <t>opuCD</t>
  </si>
  <si>
    <t>opuCC</t>
  </si>
  <si>
    <t>opuCB</t>
  </si>
  <si>
    <t>opuCA</t>
  </si>
  <si>
    <t>opcR</t>
  </si>
  <si>
    <t>yvbG</t>
  </si>
  <si>
    <t>yvbH</t>
  </si>
  <si>
    <t>yvbI</t>
  </si>
  <si>
    <t>yvbJ</t>
  </si>
  <si>
    <t>yvbK</t>
  </si>
  <si>
    <t>eno</t>
  </si>
  <si>
    <t>pgm</t>
  </si>
  <si>
    <t>tpiA</t>
  </si>
  <si>
    <t>pgk</t>
  </si>
  <si>
    <t>gapA</t>
  </si>
  <si>
    <t>cggR</t>
  </si>
  <si>
    <t>araE</t>
  </si>
  <si>
    <t>araR</t>
  </si>
  <si>
    <t>yvbT</t>
  </si>
  <si>
    <t>yvbU</t>
  </si>
  <si>
    <t>cyeB</t>
  </si>
  <si>
    <t>yvbW</t>
  </si>
  <si>
    <t>T-box_tboX</t>
  </si>
  <si>
    <t>yvbX</t>
  </si>
  <si>
    <t>lutC</t>
  </si>
  <si>
    <t>lutB</t>
  </si>
  <si>
    <t>lutA</t>
  </si>
  <si>
    <t>yvfT</t>
  </si>
  <si>
    <t>yvfS</t>
  </si>
  <si>
    <t>yvfR</t>
  </si>
  <si>
    <t>rsbQ</t>
  </si>
  <si>
    <t>rsbP</t>
  </si>
  <si>
    <t>ganB</t>
  </si>
  <si>
    <t>ganA</t>
  </si>
  <si>
    <t>ganQ</t>
  </si>
  <si>
    <t>ganP</t>
  </si>
  <si>
    <t>ganS</t>
  </si>
  <si>
    <t>ganR</t>
  </si>
  <si>
    <t>lutR</t>
  </si>
  <si>
    <t>lutP</t>
  </si>
  <si>
    <t>sigL</t>
  </si>
  <si>
    <t>yvfG</t>
  </si>
  <si>
    <t>epsO</t>
  </si>
  <si>
    <t>epsN</t>
  </si>
  <si>
    <t>epsM</t>
  </si>
  <si>
    <t>epsL</t>
  </si>
  <si>
    <t>epsI</t>
  </si>
  <si>
    <t>epsH</t>
  </si>
  <si>
    <t>epsG</t>
  </si>
  <si>
    <t>epsF</t>
  </si>
  <si>
    <t>epsE</t>
  </si>
  <si>
    <t>epsD</t>
  </si>
  <si>
    <t>epsC</t>
  </si>
  <si>
    <t>epsB</t>
  </si>
  <si>
    <t>epsA</t>
  </si>
  <si>
    <t>slrR</t>
  </si>
  <si>
    <t>pnbA</t>
  </si>
  <si>
    <t>padC</t>
  </si>
  <si>
    <t>yveG</t>
  </si>
  <si>
    <t>yveF</t>
  </si>
  <si>
    <t>racX</t>
  </si>
  <si>
    <t>pbpE</t>
  </si>
  <si>
    <t>SacY/T dependent leader</t>
  </si>
  <si>
    <t>sacB</t>
  </si>
  <si>
    <t>levB</t>
  </si>
  <si>
    <t>aspP</t>
  </si>
  <si>
    <t>yvdT</t>
  </si>
  <si>
    <t>psmA</t>
  </si>
  <si>
    <t>psmB</t>
  </si>
  <si>
    <t>yvdQ</t>
  </si>
  <si>
    <t>cotNP</t>
  </si>
  <si>
    <t>cotR</t>
  </si>
  <si>
    <t>trnQ-Arg</t>
  </si>
  <si>
    <t>clpP</t>
  </si>
  <si>
    <t>mdxM</t>
  </si>
  <si>
    <t>mdxL</t>
  </si>
  <si>
    <t>mdxK</t>
  </si>
  <si>
    <t>mdxJ</t>
  </si>
  <si>
    <t>mdxG</t>
  </si>
  <si>
    <t>mdxF</t>
  </si>
  <si>
    <t>mdxE</t>
  </si>
  <si>
    <t>mdxD</t>
  </si>
  <si>
    <t>mdxR</t>
  </si>
  <si>
    <t>yvdD</t>
  </si>
  <si>
    <t>yvdC</t>
  </si>
  <si>
    <t>yvdB</t>
  </si>
  <si>
    <t>yvdA</t>
  </si>
  <si>
    <t>yvcT</t>
  </si>
  <si>
    <t>psdB</t>
  </si>
  <si>
    <t>psdA</t>
  </si>
  <si>
    <t>psdS</t>
  </si>
  <si>
    <t>psdR</t>
  </si>
  <si>
    <t>yvzJ</t>
  </si>
  <si>
    <t>yvcN</t>
  </si>
  <si>
    <t>crh</t>
  </si>
  <si>
    <t>whiA</t>
  </si>
  <si>
    <t>mgfK</t>
  </si>
  <si>
    <t>yvcJ</t>
  </si>
  <si>
    <t>yvcI</t>
  </si>
  <si>
    <t>trxB</t>
  </si>
  <si>
    <t>S1326</t>
  </si>
  <si>
    <t>cwlO</t>
  </si>
  <si>
    <t>yvcD</t>
  </si>
  <si>
    <t>bmrA</t>
  </si>
  <si>
    <t>yvzA</t>
  </si>
  <si>
    <t>yvcB</t>
  </si>
  <si>
    <t>yvcA</t>
  </si>
  <si>
    <t>hisIE</t>
  </si>
  <si>
    <t>hisF</t>
  </si>
  <si>
    <t>hisA</t>
  </si>
  <si>
    <t>hisH</t>
  </si>
  <si>
    <t>hisB</t>
  </si>
  <si>
    <t>hisD</t>
  </si>
  <si>
    <t>hisG</t>
  </si>
  <si>
    <t>hisZ</t>
  </si>
  <si>
    <t>yvpB</t>
  </si>
  <si>
    <t>pelC</t>
  </si>
  <si>
    <t>hprF</t>
  </si>
  <si>
    <t>ppaX</t>
  </si>
  <si>
    <t>yvoD</t>
  </si>
  <si>
    <t>lgt</t>
  </si>
  <si>
    <t>hprK</t>
  </si>
  <si>
    <t>nagA</t>
  </si>
  <si>
    <t>nagBA</t>
  </si>
  <si>
    <t>nagR</t>
  </si>
  <si>
    <t>yvnB</t>
  </si>
  <si>
    <t>yvnA</t>
  </si>
  <si>
    <t>cypX</t>
  </si>
  <si>
    <t>pchC</t>
  </si>
  <si>
    <t>S1335</t>
  </si>
  <si>
    <t>pchR</t>
  </si>
  <si>
    <t>pchE</t>
  </si>
  <si>
    <t>yvlD</t>
  </si>
  <si>
    <t>yvlC</t>
  </si>
  <si>
    <t>yvlB</t>
  </si>
  <si>
    <t>yvlA</t>
  </si>
  <si>
    <t>yvkN</t>
  </si>
  <si>
    <t>yvzB</t>
  </si>
  <si>
    <t>uvrA</t>
  </si>
  <si>
    <t>uvrB</t>
  </si>
  <si>
    <t>csbA</t>
  </si>
  <si>
    <t>yvkC</t>
  </si>
  <si>
    <t>yvkB</t>
  </si>
  <si>
    <t>yvkA</t>
  </si>
  <si>
    <t>minJ</t>
  </si>
  <si>
    <t>swrAAc</t>
  </si>
  <si>
    <t>swrAAn</t>
  </si>
  <si>
    <t>ctpB</t>
  </si>
  <si>
    <t>ftsX</t>
  </si>
  <si>
    <t>ftsE</t>
  </si>
  <si>
    <t>S1347</t>
  </si>
  <si>
    <t>cccB</t>
  </si>
  <si>
    <t>yvjA</t>
  </si>
  <si>
    <t>prfB</t>
  </si>
  <si>
    <t>secA</t>
  </si>
  <si>
    <t>hpf</t>
  </si>
  <si>
    <t>S1350</t>
  </si>
  <si>
    <t>yvzG</t>
  </si>
  <si>
    <t>fliT</t>
  </si>
  <si>
    <t>fliS</t>
  </si>
  <si>
    <t>fliD</t>
  </si>
  <si>
    <t>yvyC</t>
  </si>
  <si>
    <t>hag</t>
  </si>
  <si>
    <t>csrA</t>
  </si>
  <si>
    <t>fliW</t>
  </si>
  <si>
    <t>yviE</t>
  </si>
  <si>
    <t>flgL</t>
  </si>
  <si>
    <t>flgK</t>
  </si>
  <si>
    <t>flgN</t>
  </si>
  <si>
    <t>flgM</t>
  </si>
  <si>
    <t>yvyF</t>
  </si>
  <si>
    <t>comFC</t>
  </si>
  <si>
    <t>comFB</t>
  </si>
  <si>
    <t>comFA</t>
  </si>
  <si>
    <t>fakBA</t>
  </si>
  <si>
    <t>S1354</t>
  </si>
  <si>
    <t>degU</t>
  </si>
  <si>
    <t>degS</t>
  </si>
  <si>
    <t>yvyE</t>
  </si>
  <si>
    <t>tagV</t>
  </si>
  <si>
    <t>S1358</t>
  </si>
  <si>
    <t>tagO</t>
  </si>
  <si>
    <t>S1359</t>
  </si>
  <si>
    <t>tuaH</t>
  </si>
  <si>
    <t>tuaG</t>
  </si>
  <si>
    <t>tuaF</t>
  </si>
  <si>
    <t>tuaE</t>
  </si>
  <si>
    <t>tuaD</t>
  </si>
  <si>
    <t>tuaC</t>
  </si>
  <si>
    <t>tuaB</t>
  </si>
  <si>
    <t>tuaAc</t>
  </si>
  <si>
    <t>tuaAn</t>
  </si>
  <si>
    <t>lytC</t>
  </si>
  <si>
    <t>lytB</t>
  </si>
  <si>
    <t>lytA</t>
  </si>
  <si>
    <t>tagU</t>
  </si>
  <si>
    <t>mnaA</t>
  </si>
  <si>
    <t>gtaB</t>
  </si>
  <si>
    <t>yvzH</t>
  </si>
  <si>
    <t>ggaB</t>
  </si>
  <si>
    <t>ggaA</t>
  </si>
  <si>
    <t>S1368</t>
  </si>
  <si>
    <t>yvzE</t>
  </si>
  <si>
    <t>tagH</t>
  </si>
  <si>
    <t>tagG</t>
  </si>
  <si>
    <t>tagF</t>
  </si>
  <si>
    <t>tagE</t>
  </si>
  <si>
    <t>tagD</t>
  </si>
  <si>
    <t>tagA</t>
  </si>
  <si>
    <t>tagB</t>
  </si>
  <si>
    <t>S1376</t>
  </si>
  <si>
    <t>tagC</t>
  </si>
  <si>
    <t>lytD</t>
  </si>
  <si>
    <t>pmiA</t>
  </si>
  <si>
    <t>gerBA</t>
  </si>
  <si>
    <t>gerBB</t>
  </si>
  <si>
    <t>gerBC</t>
  </si>
  <si>
    <t>ywtG</t>
  </si>
  <si>
    <t>tagT</t>
  </si>
  <si>
    <t>ribZB</t>
  </si>
  <si>
    <t>pgdS</t>
  </si>
  <si>
    <t>edmS</t>
  </si>
  <si>
    <t>capA</t>
  </si>
  <si>
    <t>capC</t>
  </si>
  <si>
    <t>capB</t>
  </si>
  <si>
    <t>rbsR</t>
  </si>
  <si>
    <t>rbsK</t>
  </si>
  <si>
    <t>rbsD</t>
  </si>
  <si>
    <t>rbsA</t>
  </si>
  <si>
    <t>rbsC</t>
  </si>
  <si>
    <t>rbsB</t>
  </si>
  <si>
    <t>ywsB</t>
  </si>
  <si>
    <t>ywsA</t>
  </si>
  <si>
    <t>ywrO</t>
  </si>
  <si>
    <t>alsD</t>
  </si>
  <si>
    <t>alsS</t>
  </si>
  <si>
    <t>alsR</t>
  </si>
  <si>
    <t>ywrK</t>
  </si>
  <si>
    <t>ywrJ</t>
  </si>
  <si>
    <t>cotB</t>
  </si>
  <si>
    <t>cotH</t>
  </si>
  <si>
    <t>S1388</t>
  </si>
  <si>
    <t>ywrF</t>
  </si>
  <si>
    <t>hpxW</t>
  </si>
  <si>
    <t>ywrE</t>
  </si>
  <si>
    <t>chrS</t>
  </si>
  <si>
    <t>chrB</t>
  </si>
  <si>
    <t>chrA</t>
  </si>
  <si>
    <t>ywqO</t>
  </si>
  <si>
    <t>ywqM</t>
  </si>
  <si>
    <t>ywqN</t>
  </si>
  <si>
    <t>nfi</t>
  </si>
  <si>
    <t>rttO</t>
  </si>
  <si>
    <t>rttN</t>
  </si>
  <si>
    <t>ywqI</t>
  </si>
  <si>
    <t>ywqH</t>
  </si>
  <si>
    <t>ywqG</t>
  </si>
  <si>
    <t>uglF</t>
  </si>
  <si>
    <t>ptpZ</t>
  </si>
  <si>
    <t>ptkA</t>
  </si>
  <si>
    <t>tkmA</t>
  </si>
  <si>
    <t>ywzD</t>
  </si>
  <si>
    <t>ywqB</t>
  </si>
  <si>
    <t>hepA</t>
  </si>
  <si>
    <t>ywpJ</t>
  </si>
  <si>
    <t>glcR</t>
  </si>
  <si>
    <t>ssbB</t>
  </si>
  <si>
    <t>ywpG</t>
  </si>
  <si>
    <t>ywpF</t>
  </si>
  <si>
    <t>ywpE</t>
  </si>
  <si>
    <t>ywpD</t>
  </si>
  <si>
    <t>mscL</t>
  </si>
  <si>
    <t>fabZ</t>
  </si>
  <si>
    <t>rapD</t>
  </si>
  <si>
    <t>flhP</t>
  </si>
  <si>
    <t>flhO</t>
  </si>
  <si>
    <t>mbl</t>
  </si>
  <si>
    <t>spoIIID</t>
  </si>
  <si>
    <t>usd</t>
  </si>
  <si>
    <t>ywoH</t>
  </si>
  <si>
    <t>ywoG</t>
  </si>
  <si>
    <t>ywoF</t>
  </si>
  <si>
    <t>pucI</t>
  </si>
  <si>
    <t>ywoD</t>
  </si>
  <si>
    <t>ywoC</t>
  </si>
  <si>
    <t>ywoB</t>
  </si>
  <si>
    <t>amtB</t>
  </si>
  <si>
    <t>glnK</t>
  </si>
  <si>
    <t>bcrC</t>
  </si>
  <si>
    <t>ywnJ</t>
  </si>
  <si>
    <t>spoIIQ</t>
  </si>
  <si>
    <t>ywnH</t>
  </si>
  <si>
    <t>ywnG</t>
  </si>
  <si>
    <t>ywnF</t>
  </si>
  <si>
    <t>clsA</t>
  </si>
  <si>
    <t>mta</t>
  </si>
  <si>
    <t>ywnC</t>
  </si>
  <si>
    <t>ywnB</t>
  </si>
  <si>
    <t>ywnA</t>
  </si>
  <si>
    <t>ureC</t>
  </si>
  <si>
    <t>ureB</t>
  </si>
  <si>
    <t>ureA</t>
  </si>
  <si>
    <t>ywzE</t>
  </si>
  <si>
    <t>ywzF</t>
  </si>
  <si>
    <t>5-ureB-sRNA</t>
  </si>
  <si>
    <t>csbD</t>
  </si>
  <si>
    <t>ywmF</t>
  </si>
  <si>
    <t>rapB</t>
  </si>
  <si>
    <t>moaA</t>
  </si>
  <si>
    <t>fdhD</t>
  </si>
  <si>
    <t>ywmE</t>
  </si>
  <si>
    <t>ywmD</t>
  </si>
  <si>
    <t>ywmC</t>
  </si>
  <si>
    <t>spoIID</t>
  </si>
  <si>
    <t>murAA</t>
  </si>
  <si>
    <t>ywmB</t>
  </si>
  <si>
    <t>ywzB</t>
  </si>
  <si>
    <t>ywmA</t>
  </si>
  <si>
    <t>atpC</t>
  </si>
  <si>
    <t>atpD</t>
  </si>
  <si>
    <t>atpG</t>
  </si>
  <si>
    <t>atpA</t>
  </si>
  <si>
    <t>atpH</t>
  </si>
  <si>
    <t>atpF</t>
  </si>
  <si>
    <t>atpE</t>
  </si>
  <si>
    <t>atpB</t>
  </si>
  <si>
    <t>atpI</t>
  </si>
  <si>
    <t>upp</t>
  </si>
  <si>
    <t>glyA</t>
  </si>
  <si>
    <t>ywlG</t>
  </si>
  <si>
    <t>rpiB</t>
  </si>
  <si>
    <t>prpB</t>
  </si>
  <si>
    <t>mntP</t>
  </si>
  <si>
    <t>tsaC</t>
  </si>
  <si>
    <t>ywlB</t>
  </si>
  <si>
    <t>spoIIR</t>
  </si>
  <si>
    <t>ywlA</t>
  </si>
  <si>
    <t>ywkF</t>
  </si>
  <si>
    <t>prfA</t>
  </si>
  <si>
    <t>ywkD</t>
  </si>
  <si>
    <t>racA</t>
  </si>
  <si>
    <t>ywkB</t>
  </si>
  <si>
    <t>maeA</t>
  </si>
  <si>
    <t>tdk</t>
  </si>
  <si>
    <t>rpmEA</t>
  </si>
  <si>
    <t>rho</t>
  </si>
  <si>
    <t>S1436</t>
  </si>
  <si>
    <t>glpX</t>
  </si>
  <si>
    <t>murAB</t>
  </si>
  <si>
    <t>tal</t>
  </si>
  <si>
    <t>fbaA</t>
  </si>
  <si>
    <t>spo0F</t>
  </si>
  <si>
    <t>ywjG</t>
  </si>
  <si>
    <t>pyrG</t>
  </si>
  <si>
    <t>PyrG-leader</t>
  </si>
  <si>
    <t>rpoE</t>
  </si>
  <si>
    <t>acdA</t>
  </si>
  <si>
    <t>fadF</t>
  </si>
  <si>
    <t>clsB</t>
  </si>
  <si>
    <t>uvsE</t>
  </si>
  <si>
    <t>S1445</t>
  </si>
  <si>
    <t>ywjC</t>
  </si>
  <si>
    <t>ywjB</t>
  </si>
  <si>
    <t>ywjA</t>
  </si>
  <si>
    <t>clsC</t>
  </si>
  <si>
    <t>narI</t>
  </si>
  <si>
    <t>narJ</t>
  </si>
  <si>
    <t>narH</t>
  </si>
  <si>
    <t>narG</t>
  </si>
  <si>
    <t>arfM</t>
  </si>
  <si>
    <t>ywiC</t>
  </si>
  <si>
    <t>fnr</t>
  </si>
  <si>
    <t>narK</t>
  </si>
  <si>
    <t>argS</t>
  </si>
  <si>
    <t>ywiB</t>
  </si>
  <si>
    <t>sboA</t>
  </si>
  <si>
    <t>sboX</t>
  </si>
  <si>
    <t>albA</t>
  </si>
  <si>
    <t>albB</t>
  </si>
  <si>
    <t>albC</t>
  </si>
  <si>
    <t>albD</t>
  </si>
  <si>
    <t>albE</t>
  </si>
  <si>
    <t>albF</t>
  </si>
  <si>
    <t>albG</t>
  </si>
  <si>
    <t>ywhL</t>
  </si>
  <si>
    <t>ywhK</t>
  </si>
  <si>
    <t>rapF</t>
  </si>
  <si>
    <t>phrF</t>
  </si>
  <si>
    <t>speB</t>
  </si>
  <si>
    <t>speE</t>
  </si>
  <si>
    <t>ywhH</t>
  </si>
  <si>
    <t>pbpG</t>
  </si>
  <si>
    <t>S1453</t>
  </si>
  <si>
    <t>ywhD</t>
  </si>
  <si>
    <t>ywhC</t>
  </si>
  <si>
    <t>hmtB</t>
  </si>
  <si>
    <t>ywhA</t>
  </si>
  <si>
    <t>thrZ</t>
  </si>
  <si>
    <t>T-box_tboTB</t>
  </si>
  <si>
    <t>T-box_tboTA</t>
  </si>
  <si>
    <t>mmr</t>
  </si>
  <si>
    <t>ywgA</t>
  </si>
  <si>
    <t>ywfO</t>
  </si>
  <si>
    <t>ywzC</t>
  </si>
  <si>
    <t>psrF</t>
  </si>
  <si>
    <t>ywfM</t>
  </si>
  <si>
    <t>lipL</t>
  </si>
  <si>
    <t>cysL</t>
  </si>
  <si>
    <t>pta</t>
  </si>
  <si>
    <t>hemQ</t>
  </si>
  <si>
    <t>bacG</t>
  </si>
  <si>
    <t>bacF</t>
  </si>
  <si>
    <t>bacE</t>
  </si>
  <si>
    <t>bacD</t>
  </si>
  <si>
    <t>bacC</t>
  </si>
  <si>
    <t>bacB</t>
  </si>
  <si>
    <t>bacA</t>
  </si>
  <si>
    <t>S1459</t>
  </si>
  <si>
    <t>ywfA</t>
  </si>
  <si>
    <t>rocC</t>
  </si>
  <si>
    <t>rocB</t>
  </si>
  <si>
    <t>rocA</t>
  </si>
  <si>
    <t>rocG</t>
  </si>
  <si>
    <t>bslB</t>
  </si>
  <si>
    <t>spsL</t>
  </si>
  <si>
    <t>spsK</t>
  </si>
  <si>
    <t>spsJ</t>
  </si>
  <si>
    <t>spsI</t>
  </si>
  <si>
    <t>spsG</t>
  </si>
  <si>
    <t>spsF</t>
  </si>
  <si>
    <t>spsE</t>
  </si>
  <si>
    <t>spsD</t>
  </si>
  <si>
    <t>spsB</t>
  </si>
  <si>
    <t>spsA</t>
  </si>
  <si>
    <t>gerQ</t>
  </si>
  <si>
    <t>ywdK</t>
  </si>
  <si>
    <t>ywdJ</t>
  </si>
  <si>
    <t>ywdI</t>
  </si>
  <si>
    <t>ywdH</t>
  </si>
  <si>
    <t>ung</t>
  </si>
  <si>
    <t>ywdF</t>
  </si>
  <si>
    <t>ywzG</t>
  </si>
  <si>
    <t>pdxK</t>
  </si>
  <si>
    <t>ywdA</t>
  </si>
  <si>
    <t>sacA</t>
  </si>
  <si>
    <t>sacP</t>
  </si>
  <si>
    <t>sacT</t>
  </si>
  <si>
    <t>ywcI</t>
  </si>
  <si>
    <t>nirC</t>
  </si>
  <si>
    <t>vpr</t>
  </si>
  <si>
    <t>ywcH</t>
  </si>
  <si>
    <t>nfrAA</t>
  </si>
  <si>
    <t>rodA</t>
  </si>
  <si>
    <t>ywcE</t>
  </si>
  <si>
    <t>qoxD</t>
  </si>
  <si>
    <t>qoxC</t>
  </si>
  <si>
    <t>qoxB</t>
  </si>
  <si>
    <t>qoxA</t>
  </si>
  <si>
    <t>ywzA</t>
  </si>
  <si>
    <t>galT</t>
  </si>
  <si>
    <t>galK</t>
  </si>
  <si>
    <t>ywcD</t>
  </si>
  <si>
    <t>slrC</t>
  </si>
  <si>
    <t>slrA</t>
  </si>
  <si>
    <t>vbfB</t>
  </si>
  <si>
    <t>vbfA</t>
  </si>
  <si>
    <t>ywbO</t>
  </si>
  <si>
    <t>efeB</t>
  </si>
  <si>
    <t>efeM</t>
  </si>
  <si>
    <t>efeU</t>
  </si>
  <si>
    <t>thiE</t>
  </si>
  <si>
    <t>thiM</t>
  </si>
  <si>
    <t>cidR</t>
  </si>
  <si>
    <t>cidA</t>
  </si>
  <si>
    <t>cidB</t>
  </si>
  <si>
    <t>ywbF</t>
  </si>
  <si>
    <t>ywbE</t>
  </si>
  <si>
    <t>rlmI</t>
  </si>
  <si>
    <t>glxA</t>
  </si>
  <si>
    <t>ywbB</t>
  </si>
  <si>
    <t>ywbA</t>
  </si>
  <si>
    <t>epr</t>
  </si>
  <si>
    <t>sacX</t>
  </si>
  <si>
    <t>sacY</t>
  </si>
  <si>
    <t>gspA</t>
  </si>
  <si>
    <t>ywaF</t>
  </si>
  <si>
    <t>tyrZR</t>
  </si>
  <si>
    <t>T-box_tboYB</t>
  </si>
  <si>
    <t>tyrZ</t>
  </si>
  <si>
    <t>eapD</t>
  </si>
  <si>
    <t>relQ</t>
  </si>
  <si>
    <t>menA</t>
  </si>
  <si>
    <t>ywzH</t>
  </si>
  <si>
    <t>dltA</t>
  </si>
  <si>
    <t>dltB</t>
  </si>
  <si>
    <t>dltC</t>
  </si>
  <si>
    <t>dltD</t>
  </si>
  <si>
    <t>dltE</t>
  </si>
  <si>
    <t>licH</t>
  </si>
  <si>
    <t>licA</t>
  </si>
  <si>
    <t>licC</t>
  </si>
  <si>
    <t>licB</t>
  </si>
  <si>
    <t>ilvK</t>
  </si>
  <si>
    <t>licR</t>
  </si>
  <si>
    <t>yxzF</t>
  </si>
  <si>
    <t>aag</t>
  </si>
  <si>
    <t>katX</t>
  </si>
  <si>
    <t>yxlH</t>
  </si>
  <si>
    <t>yxlG</t>
  </si>
  <si>
    <t>yxlF</t>
  </si>
  <si>
    <t>yxlE</t>
  </si>
  <si>
    <t>yxlD</t>
  </si>
  <si>
    <t>yxlC</t>
  </si>
  <si>
    <t>sigY</t>
  </si>
  <si>
    <t>yxlA</t>
  </si>
  <si>
    <t>S1485</t>
  </si>
  <si>
    <t>nnrA</t>
  </si>
  <si>
    <t>cydD</t>
  </si>
  <si>
    <t>cydC</t>
  </si>
  <si>
    <t>cydB</t>
  </si>
  <si>
    <t>cydA</t>
  </si>
  <si>
    <t>cimH</t>
  </si>
  <si>
    <t>yxkI</t>
  </si>
  <si>
    <t>yxzE</t>
  </si>
  <si>
    <t>yxkH</t>
  </si>
  <si>
    <t>msmX</t>
  </si>
  <si>
    <t>yxkF</t>
  </si>
  <si>
    <t>aldY</t>
  </si>
  <si>
    <t>gdnE</t>
  </si>
  <si>
    <t>ykkC-yxkD_gdwB</t>
  </si>
  <si>
    <t>yxkC</t>
  </si>
  <si>
    <t>galE</t>
  </si>
  <si>
    <t>yxkA</t>
  </si>
  <si>
    <t>yxjO</t>
  </si>
  <si>
    <t>S1494</t>
  </si>
  <si>
    <t>yxjN</t>
  </si>
  <si>
    <t>pepT</t>
  </si>
  <si>
    <t>S1495</t>
  </si>
  <si>
    <t>yxjJ</t>
  </si>
  <si>
    <t>yxjI</t>
  </si>
  <si>
    <t>yxjH</t>
  </si>
  <si>
    <t>SAM_mswI</t>
  </si>
  <si>
    <t>S1498</t>
  </si>
  <si>
    <t>yxjG</t>
  </si>
  <si>
    <t>SAM_mswJ</t>
  </si>
  <si>
    <t>yxjF</t>
  </si>
  <si>
    <t>scoB</t>
  </si>
  <si>
    <t>scoA</t>
  </si>
  <si>
    <t>yxjC</t>
  </si>
  <si>
    <t>rlmA</t>
  </si>
  <si>
    <t>nupG</t>
  </si>
  <si>
    <t>yxiTc</t>
  </si>
  <si>
    <t>yxiTn</t>
  </si>
  <si>
    <t>yxiS</t>
  </si>
  <si>
    <t>katE</t>
  </si>
  <si>
    <t>citH</t>
  </si>
  <si>
    <t>bglS</t>
  </si>
  <si>
    <t>licT</t>
  </si>
  <si>
    <t>yxiP</t>
  </si>
  <si>
    <t>yxiO</t>
  </si>
  <si>
    <t>deaD</t>
  </si>
  <si>
    <t>yxiM</t>
  </si>
  <si>
    <t>wapI</t>
  </si>
  <si>
    <t>wapA</t>
  </si>
  <si>
    <t>yxxF</t>
  </si>
  <si>
    <t>yxiE</t>
  </si>
  <si>
    <t>bglH</t>
  </si>
  <si>
    <t>bglP</t>
  </si>
  <si>
    <t>LicT dependent leader</t>
  </si>
  <si>
    <t>yxxE</t>
  </si>
  <si>
    <t>rtbE</t>
  </si>
  <si>
    <t>rtbD</t>
  </si>
  <si>
    <t>yxiC</t>
  </si>
  <si>
    <t>yxiB</t>
  </si>
  <si>
    <t>abnB</t>
  </si>
  <si>
    <t>yxzL</t>
  </si>
  <si>
    <t>hutP</t>
  </si>
  <si>
    <t>hutH</t>
  </si>
  <si>
    <t>hutU</t>
  </si>
  <si>
    <t>hutI</t>
  </si>
  <si>
    <t>hutG</t>
  </si>
  <si>
    <t>hutM</t>
  </si>
  <si>
    <t>pdp</t>
  </si>
  <si>
    <t>nupC</t>
  </si>
  <si>
    <t>deoC</t>
  </si>
  <si>
    <t>deoR</t>
  </si>
  <si>
    <t>yxxB</t>
  </si>
  <si>
    <t>yxeR</t>
  </si>
  <si>
    <t>yxeQ</t>
  </si>
  <si>
    <t>sndB</t>
  </si>
  <si>
    <t>yxeO</t>
  </si>
  <si>
    <t>yxeN</t>
  </si>
  <si>
    <t>yxeM</t>
  </si>
  <si>
    <t>snaB</t>
  </si>
  <si>
    <t>yxeK</t>
  </si>
  <si>
    <t>yxeJ</t>
  </si>
  <si>
    <t>yxeI</t>
  </si>
  <si>
    <t>S1520</t>
  </si>
  <si>
    <t>hadM</t>
  </si>
  <si>
    <t>yxeG</t>
  </si>
  <si>
    <t>yxeF</t>
  </si>
  <si>
    <t>cotNE</t>
  </si>
  <si>
    <t>yxeD</t>
  </si>
  <si>
    <t>yxeC</t>
  </si>
  <si>
    <t>frxB</t>
  </si>
  <si>
    <t>yxeA</t>
  </si>
  <si>
    <t>tpeM</t>
  </si>
  <si>
    <t>tpeL</t>
  </si>
  <si>
    <t>tpeK</t>
  </si>
  <si>
    <t>tpeJ</t>
  </si>
  <si>
    <t>iolJ</t>
  </si>
  <si>
    <t>iolI</t>
  </si>
  <si>
    <t>iolH</t>
  </si>
  <si>
    <t>iolG</t>
  </si>
  <si>
    <t>iolF</t>
  </si>
  <si>
    <t>iolE</t>
  </si>
  <si>
    <t>iolD</t>
  </si>
  <si>
    <t>iolC</t>
  </si>
  <si>
    <t>iolB</t>
  </si>
  <si>
    <t>iolA</t>
  </si>
  <si>
    <t>iolR</t>
  </si>
  <si>
    <t>iolS</t>
  </si>
  <si>
    <t>yxcE</t>
  </si>
  <si>
    <t>yxcD</t>
  </si>
  <si>
    <t>csbC</t>
  </si>
  <si>
    <t>htpG</t>
  </si>
  <si>
    <t>yxcA</t>
  </si>
  <si>
    <t>yxbG</t>
  </si>
  <si>
    <t>yxbF</t>
  </si>
  <si>
    <t>aldX</t>
  </si>
  <si>
    <t>yxbD</t>
  </si>
  <si>
    <t>yxbC</t>
  </si>
  <si>
    <t>S1534_srlX</t>
  </si>
  <si>
    <t>yxbB</t>
  </si>
  <si>
    <t>yxbA</t>
  </si>
  <si>
    <t>yxnB</t>
  </si>
  <si>
    <t>asnH</t>
  </si>
  <si>
    <t>yxaM</t>
  </si>
  <si>
    <t>yxaL</t>
  </si>
  <si>
    <t>yxaJ</t>
  </si>
  <si>
    <t>yxaI</t>
  </si>
  <si>
    <t>yxaH</t>
  </si>
  <si>
    <t>qdoI</t>
  </si>
  <si>
    <t>qdoR</t>
  </si>
  <si>
    <t>yxnA</t>
  </si>
  <si>
    <t>yxaD</t>
  </si>
  <si>
    <t>yxzK</t>
  </si>
  <si>
    <t>yxaC</t>
  </si>
  <si>
    <t>yxaB</t>
  </si>
  <si>
    <t>glxK</t>
  </si>
  <si>
    <t>gntR</t>
  </si>
  <si>
    <t>gntK</t>
  </si>
  <si>
    <t>gntP</t>
  </si>
  <si>
    <t>gntZ</t>
  </si>
  <si>
    <t>ahpC</t>
  </si>
  <si>
    <t>ahpF</t>
  </si>
  <si>
    <t>bglA</t>
  </si>
  <si>
    <t>ptsJ</t>
  </si>
  <si>
    <t>S1542</t>
  </si>
  <si>
    <t>yydK</t>
  </si>
  <si>
    <t>yyzN</t>
  </si>
  <si>
    <t>liaM</t>
  </si>
  <si>
    <t>liaL</t>
  </si>
  <si>
    <t>liaK</t>
  </si>
  <si>
    <t>liaE</t>
  </si>
  <si>
    <t>liaD</t>
  </si>
  <si>
    <t>fbp</t>
  </si>
  <si>
    <t>yydD</t>
  </si>
  <si>
    <t>yydC</t>
  </si>
  <si>
    <t>yydB</t>
  </si>
  <si>
    <t>rlmH</t>
  </si>
  <si>
    <t>yyzF</t>
  </si>
  <si>
    <t>S1546</t>
  </si>
  <si>
    <t>yycS</t>
  </si>
  <si>
    <t>yycR</t>
  </si>
  <si>
    <t>yyzG</t>
  </si>
  <si>
    <t>yycQ</t>
  </si>
  <si>
    <t>yycP</t>
  </si>
  <si>
    <t>yycO</t>
  </si>
  <si>
    <t>yycN</t>
  </si>
  <si>
    <t>rapG</t>
  </si>
  <si>
    <t>phrG</t>
  </si>
  <si>
    <t>argI</t>
  </si>
  <si>
    <t>rocE</t>
  </si>
  <si>
    <t>rocD</t>
  </si>
  <si>
    <t>rocR</t>
  </si>
  <si>
    <t>htrC</t>
  </si>
  <si>
    <t>walJ</t>
  </si>
  <si>
    <t>walI</t>
  </si>
  <si>
    <t>walH</t>
  </si>
  <si>
    <t>walK</t>
  </si>
  <si>
    <t>walR</t>
  </si>
  <si>
    <t>trnY-Phe</t>
  </si>
  <si>
    <t>trnY-Lys</t>
  </si>
  <si>
    <t>purA</t>
  </si>
  <si>
    <t>yycE</t>
  </si>
  <si>
    <t>dnaC</t>
  </si>
  <si>
    <t>yycD</t>
  </si>
  <si>
    <t>yyzB</t>
  </si>
  <si>
    <t>yycC</t>
  </si>
  <si>
    <t>yycB</t>
  </si>
  <si>
    <t>yycA</t>
  </si>
  <si>
    <t>rplI</t>
  </si>
  <si>
    <t>gdpP</t>
  </si>
  <si>
    <t>yybS</t>
  </si>
  <si>
    <t>S1559</t>
  </si>
  <si>
    <t>yyzH</t>
  </si>
  <si>
    <t>cotF</t>
  </si>
  <si>
    <t>hypR</t>
  </si>
  <si>
    <t>ppaC</t>
  </si>
  <si>
    <t>yybP</t>
  </si>
  <si>
    <t>yybO</t>
  </si>
  <si>
    <t>yyzI</t>
  </si>
  <si>
    <t>yyzL</t>
  </si>
  <si>
    <t>yybN</t>
  </si>
  <si>
    <t>yybM</t>
  </si>
  <si>
    <t>yybL</t>
  </si>
  <si>
    <t>yybK</t>
  </si>
  <si>
    <t>yybJ</t>
  </si>
  <si>
    <t>ictI</t>
  </si>
  <si>
    <t>yybH</t>
  </si>
  <si>
    <t>yybG</t>
  </si>
  <si>
    <t>yybF</t>
  </si>
  <si>
    <t>yybE</t>
  </si>
  <si>
    <t>yybD</t>
  </si>
  <si>
    <t>yybC</t>
  </si>
  <si>
    <t>yybA</t>
  </si>
  <si>
    <t>yyaT</t>
  </si>
  <si>
    <t>yyaS</t>
  </si>
  <si>
    <t>yyaR</t>
  </si>
  <si>
    <t>yyaQ</t>
  </si>
  <si>
    <t>tetB</t>
  </si>
  <si>
    <t>tetL</t>
  </si>
  <si>
    <t>yyaO</t>
  </si>
  <si>
    <t>yyaN</t>
  </si>
  <si>
    <t>yyaM</t>
  </si>
  <si>
    <t>yyaL</t>
  </si>
  <si>
    <t>yyaK</t>
  </si>
  <si>
    <t>yyaJ</t>
  </si>
  <si>
    <t>ccpB</t>
  </si>
  <si>
    <t>exoA</t>
  </si>
  <si>
    <t>S1574</t>
  </si>
  <si>
    <t>rpsR</t>
  </si>
  <si>
    <t>ssbA</t>
  </si>
  <si>
    <t>rpsF</t>
  </si>
  <si>
    <t>engD</t>
  </si>
  <si>
    <t>yyaE</t>
  </si>
  <si>
    <t>yyzM</t>
  </si>
  <si>
    <t>yyaD</t>
  </si>
  <si>
    <t>parB</t>
  </si>
  <si>
    <t>parA</t>
  </si>
  <si>
    <t>sprC</t>
  </si>
  <si>
    <t>yyaB</t>
  </si>
  <si>
    <t>nocA</t>
  </si>
  <si>
    <t>rsmG</t>
  </si>
  <si>
    <t>trmF</t>
  </si>
  <si>
    <t>mnmE</t>
  </si>
  <si>
    <t>jag</t>
  </si>
  <si>
    <t>oxaAA</t>
  </si>
  <si>
    <t>rnpA</t>
  </si>
  <si>
    <t>rpmH</t>
  </si>
  <si>
    <t>S1579</t>
  </si>
  <si>
    <t>S1583</t>
  </si>
  <si>
    <t>color_toggle</t>
  </si>
  <si>
    <t>dnaA-dnaN</t>
  </si>
  <si>
    <t>&lt;15</t>
  </si>
  <si>
    <t>BsubCyc;DBTBS;SubtiWiki</t>
  </si>
  <si>
    <t>BSGatlas-TSS-1</t>
  </si>
  <si>
    <t>BSGatlas-terminator-1</t>
  </si>
  <si>
    <t>BSGatlas-terminator-2</t>
  </si>
  <si>
    <t>BSGatlas</t>
  </si>
  <si>
    <t>BSGatlas-TSS-3</t>
  </si>
  <si>
    <t>BSGatlas-TSS-2</t>
  </si>
  <si>
    <t>BSGatlas-TSS-4</t>
  </si>
  <si>
    <t>rlbA-recF-remB-gyrB</t>
  </si>
  <si>
    <t>BsubCyc;DBTBS</t>
  </si>
  <si>
    <t>BSGatlas-TSS-5</t>
  </si>
  <si>
    <t>BSGatlas-terminator-3</t>
  </si>
  <si>
    <t>rlbA-recF-remB-gyrB-gyrA</t>
  </si>
  <si>
    <t>SubtiWiki</t>
  </si>
  <si>
    <t>BSGatlas-terminator-4</t>
  </si>
  <si>
    <t>recF-remB-gyrB</t>
  </si>
  <si>
    <t>BSGatlas-TSS-6</t>
  </si>
  <si>
    <t>recF-remB-gyrB-gyrA</t>
  </si>
  <si>
    <t>BSGatlas-TSS-8</t>
  </si>
  <si>
    <t>SSU-rRNA-bacteria_rrnO-16S-trnO-Ile-trnO-Ala-LSU-rRNA-archaea_rrnO-23S-5S-rRNA_rrnO-5S</t>
  </si>
  <si>
    <t>BSGatlas-TSS-9</t>
  </si>
  <si>
    <t>BSGatlas-terminator-5</t>
  </si>
  <si>
    <t>BSGatlas-TSS-10</t>
  </si>
  <si>
    <t>BSGatlas-TSS-11</t>
  </si>
  <si>
    <t>BsubCyc;SubtiWiki</t>
  </si>
  <si>
    <t>BSGatlas-TSS-13</t>
  </si>
  <si>
    <t>BSGatlas-TSS-14</t>
  </si>
  <si>
    <t>BSGatlas-TSS-12</t>
  </si>
  <si>
    <t>BSGatlas-terminator-7</t>
  </si>
  <si>
    <t>BSGatlas-terminator-8</t>
  </si>
  <si>
    <t>BSGatlas-TSS-16</t>
  </si>
  <si>
    <t>BSGatlas-terminator-6</t>
  </si>
  <si>
    <t>BSGatlas-TSS-15</t>
  </si>
  <si>
    <t>BSGatlas-terminator-9</t>
  </si>
  <si>
    <t>dacA-pdxS-pdxT-T-box_tboS</t>
  </si>
  <si>
    <t>BSGatlas-terminator-10</t>
  </si>
  <si>
    <t>dacA-pdxS-pdxT-T-box_tboS-serS</t>
  </si>
  <si>
    <t>BSGatlas-terminator-11</t>
  </si>
  <si>
    <t>pdxS-pdxT</t>
  </si>
  <si>
    <t>BSGatlas-TSS-17</t>
  </si>
  <si>
    <t>pdxS-pdxT-T-box_tboS</t>
  </si>
  <si>
    <t>pdxS-pdxT-T-box_tboS-serS</t>
  </si>
  <si>
    <t>BSGatlas-TSS-18</t>
  </si>
  <si>
    <t>BSGatlas-TSS-19</t>
  </si>
  <si>
    <t>BSGatlas-terminator-12</t>
  </si>
  <si>
    <t>BSGatlas-terminator-14</t>
  </si>
  <si>
    <t>BSGatlas-terminator-15</t>
  </si>
  <si>
    <t>dck-dgk</t>
  </si>
  <si>
    <t>BSGatlas-TSS-21</t>
  </si>
  <si>
    <t>BSGatlas-terminator-13</t>
  </si>
  <si>
    <t>BSGatlas-TSS-22</t>
  </si>
  <si>
    <t>BSGatlas-terminator-16</t>
  </si>
  <si>
    <t>sleL-yaaI</t>
  </si>
  <si>
    <t>BSGatlas-TSS-24</t>
  </si>
  <si>
    <t>tadA-scr_Bacteria-large-SRP_scr</t>
  </si>
  <si>
    <t>BSGatlas-TSS-23</t>
  </si>
  <si>
    <t>BSGatlas-terminator-17</t>
  </si>
  <si>
    <t>BSGatlas-TSS-25</t>
  </si>
  <si>
    <t>dnaX-ebfC-recR-yaaL-bofA</t>
  </si>
  <si>
    <t>BSGatlas-TSS-26</t>
  </si>
  <si>
    <t>BSGatlas-TSS-28</t>
  </si>
  <si>
    <t>SSU-rRNA-bacteria_rrnA-16S-trnA-Ile-trnA-Ala-LSU-rRNA-archaea_rrnA-23S-Bacillaceae-1-5S-rRNA_rrnA-5S</t>
  </si>
  <si>
    <t>BSGatlas-TSS-29</t>
  </si>
  <si>
    <t>BSGatlas-terminator-18</t>
  </si>
  <si>
    <t>BSGatlas-TSS-30</t>
  </si>
  <si>
    <t>BSGatlas-TSS-31</t>
  </si>
  <si>
    <t>BSGatlas-terminator-19</t>
  </si>
  <si>
    <t>xpaC-yaaN</t>
  </si>
  <si>
    <t>BSGatlas-TSS-32</t>
  </si>
  <si>
    <t>xpaC-yaaN-yaaO</t>
  </si>
  <si>
    <t>xpaC-yaaN-yaaO-tmk-darA-yaaR-holB-ricT-dnaH-trmNF-yazA-rsmI</t>
  </si>
  <si>
    <t>BSGatlas-terminator-20</t>
  </si>
  <si>
    <t>BSGatlas-terminator-22</t>
  </si>
  <si>
    <t>tmk-darA-yaaR-holB-ricT-dnaH-trmNF-yazA-rsmI</t>
  </si>
  <si>
    <t>BSGatlas-TSS-33</t>
  </si>
  <si>
    <t>darA-yaaR-holB-ricT-dnaH-trmNF-yazA-rsmI</t>
  </si>
  <si>
    <t>BSGatlas-TSS-34</t>
  </si>
  <si>
    <t>BSGatlas-TSS-35</t>
  </si>
  <si>
    <t>BSGatlas-terminator-21</t>
  </si>
  <si>
    <t>BSGatlas-TSS-36</t>
  </si>
  <si>
    <t>BSGatlas-TSS-37</t>
  </si>
  <si>
    <t>BSGatlas-TSS-39</t>
  </si>
  <si>
    <t>BSGatlas-TSS-38</t>
  </si>
  <si>
    <t>BSGatlas-terminator-23</t>
  </si>
  <si>
    <t>BSGatlas-terminator-24</t>
  </si>
  <si>
    <t>metS-dayD</t>
  </si>
  <si>
    <t>BSGatlas-TSS-44</t>
  </si>
  <si>
    <t>BSGatlas-TSS-40</t>
  </si>
  <si>
    <t>BSGatlas-terminator-25</t>
  </si>
  <si>
    <t>BSGatlas-terminator-26</t>
  </si>
  <si>
    <t>BSGatlas-TSS-41</t>
  </si>
  <si>
    <t>BSGatlas-TSS-42</t>
  </si>
  <si>
    <t>rnmV-rsmA</t>
  </si>
  <si>
    <t>BSGatlas-TSS-43</t>
  </si>
  <si>
    <t>BSGatlas-terminator-27</t>
  </si>
  <si>
    <t>BSGatlas-TSS-45</t>
  </si>
  <si>
    <t>BSGatlas-TSS-46</t>
  </si>
  <si>
    <t>BSGatlas-terminator-28</t>
  </si>
  <si>
    <t>BSGatlas-TSS-47</t>
  </si>
  <si>
    <t>BSGatlas-terminator-29</t>
  </si>
  <si>
    <t>BSGatlas-terminator-30</t>
  </si>
  <si>
    <t>BSGatlas-TSS-48</t>
  </si>
  <si>
    <t>BSGatlas-TSS-50</t>
  </si>
  <si>
    <t>BSGatlas-TSS-51</t>
  </si>
  <si>
    <t>BSGatlas-terminator-31</t>
  </si>
  <si>
    <t>BSGatlas-TSS-53</t>
  </si>
  <si>
    <t>ispE-purR-ridA</t>
  </si>
  <si>
    <t>BSGatlas-TSS-52</t>
  </si>
  <si>
    <t>BSGatlas-terminator-32</t>
  </si>
  <si>
    <t>purR-ridA</t>
  </si>
  <si>
    <t>BSGatlas-TSS-54</t>
  </si>
  <si>
    <t>BSGatlas-terminator-33</t>
  </si>
  <si>
    <t>BSGatlas-terminator-34</t>
  </si>
  <si>
    <t>BSGatlas-TSS-55</t>
  </si>
  <si>
    <t>glmU-prs-ctc</t>
  </si>
  <si>
    <t>BSGatlas-TSS-56</t>
  </si>
  <si>
    <t>BSGatlas-terminator-36</t>
  </si>
  <si>
    <t>glmU-prs-ctc-pth-fin-mfd-spoVT</t>
  </si>
  <si>
    <t>BSGatlas-terminator-37</t>
  </si>
  <si>
    <t>BSGatlas-terminator-38</t>
  </si>
  <si>
    <t>BSGatlas-TSS-57</t>
  </si>
  <si>
    <t>ctc-pth-fin</t>
  </si>
  <si>
    <t>ctc-pth-fin-mfd-spoVT</t>
  </si>
  <si>
    <t>pth-fin-mfd-spoVT</t>
  </si>
  <si>
    <t>BSGatlas-TSS-58</t>
  </si>
  <si>
    <t>fin-mfd-spoVT</t>
  </si>
  <si>
    <t>BSGatlas-TSS-59</t>
  </si>
  <si>
    <t>yabM-yabN-hslR-spcP-spcQ-divIC-yabR</t>
  </si>
  <si>
    <t>BSGatlas-TSS-60</t>
  </si>
  <si>
    <t>BSGatlas-terminator-40</t>
  </si>
  <si>
    <t>BSGatlas-terminator-41</t>
  </si>
  <si>
    <t>yabN-hslR-spcP-spcQ-divIC-yabR</t>
  </si>
  <si>
    <t>BSGatlas-TSS-61</t>
  </si>
  <si>
    <t>BSGatlas-TSS-62</t>
  </si>
  <si>
    <t>spcP-spcQ-divIC-yabR</t>
  </si>
  <si>
    <t>BSGatlas-TSS-64</t>
  </si>
  <si>
    <t>divIC-yabR</t>
  </si>
  <si>
    <t>BSGatlas-TSS-65</t>
  </si>
  <si>
    <t>BSGatlas-TSS-66</t>
  </si>
  <si>
    <t>BSGatlas-TSS-67</t>
  </si>
  <si>
    <t>BSGatlas-terminator-42</t>
  </si>
  <si>
    <t>BSGatlas-terminator-43</t>
  </si>
  <si>
    <t>BSGatlas-TSS-68</t>
  </si>
  <si>
    <t>spoIIE-yabS-prkT-tilS-hprT-ftsH</t>
  </si>
  <si>
    <t>BSGatlas-terminator-46</t>
  </si>
  <si>
    <t>BSGatlas-TSS-69</t>
  </si>
  <si>
    <t>BSGatlas-terminator-44</t>
  </si>
  <si>
    <t>yabS-prkT-tilS-hprT-ftsH</t>
  </si>
  <si>
    <t>BSGatlas-TSS-70</t>
  </si>
  <si>
    <t>BSGatlas-TSS-71</t>
  </si>
  <si>
    <t>tilS-hprT-ftsH</t>
  </si>
  <si>
    <t>BSGatlas-TSS-72</t>
  </si>
  <si>
    <t>BSGatlas-TSS-73</t>
  </si>
  <si>
    <t>hprT-ftsH</t>
  </si>
  <si>
    <t>BSGatlas-TSS-74</t>
  </si>
  <si>
    <t>BSGatlas-TSS-76</t>
  </si>
  <si>
    <t>coaX-hslO</t>
  </si>
  <si>
    <t>BSGatlas-TSS-78</t>
  </si>
  <si>
    <t>coaX-hslO-yacD-cysK</t>
  </si>
  <si>
    <t>BSGatlas-terminator-47</t>
  </si>
  <si>
    <t>BSGatlas-TSS-79</t>
  </si>
  <si>
    <t>BSGatlas-TSS-80</t>
  </si>
  <si>
    <t>pabB-pabA-pabC-folP-folB-folK-yazB-dusB</t>
  </si>
  <si>
    <t>BSGatlas-TSS-81</t>
  </si>
  <si>
    <t>BSGatlas-terminator-48</t>
  </si>
  <si>
    <t>pabB-pabA-pabC-folP-folB-folK-yazB-dusB-lysS</t>
  </si>
  <si>
    <t>BSGatlas-terminator-49</t>
  </si>
  <si>
    <t>BSGatlas-TSS-82</t>
  </si>
  <si>
    <t>pabA-pabC-folP-folB-folK-yazB-dusB</t>
  </si>
  <si>
    <t>BSGatlas-TSS-83</t>
  </si>
  <si>
    <t>pabA-pabC-folP-folB-folK-yazB-dusB-lysS</t>
  </si>
  <si>
    <t>BSGatlas-TSS-84</t>
  </si>
  <si>
    <t>BSGatlas-TSS-85</t>
  </si>
  <si>
    <t>SSU-rRNA-bacteria_rrnJ-16S-LSU-rRNA-archaea_rrnJ-23S-5S-rRNA_rrnJ-5S-trnJ-Val-trnJ-Thr-trnJ-Lys-trnJ-Leu1-trnJ-Gly-trnJ-Leu2-trnJ-Arg-trnJ-Pro-trnJ-Ala</t>
  </si>
  <si>
    <t>BsubCyc</t>
  </si>
  <si>
    <t>BSGatlas-TSS-86</t>
  </si>
  <si>
    <t>ctsR-mcsA-mcsB-clpC</t>
  </si>
  <si>
    <t>BSGatlas-TSS-87</t>
  </si>
  <si>
    <t>BSGatlas-terminator-51</t>
  </si>
  <si>
    <t>ctsR-mcsA-mcsB-clpC-radA-disA</t>
  </si>
  <si>
    <t>BSGatlas-terminator-52</t>
  </si>
  <si>
    <t>BSGatlas-TSS-88</t>
  </si>
  <si>
    <t>BSGatlas-TSS-89</t>
  </si>
  <si>
    <t>radA-disA</t>
  </si>
  <si>
    <t>BSGatlas-TSS-91</t>
  </si>
  <si>
    <t>yacL-ispD-ispF</t>
  </si>
  <si>
    <t>BSGatlas-TSS-92</t>
  </si>
  <si>
    <t>gltX-T-box</t>
  </si>
  <si>
    <t>BSGatlas-TSS-93</t>
  </si>
  <si>
    <t>BSGatlas-terminator-54</t>
  </si>
  <si>
    <t>gltX-T-box-cysE-cysS-mrnC-rlmB-raeA</t>
  </si>
  <si>
    <t>BSGatlas-TSS-95</t>
  </si>
  <si>
    <t>sigH-rpmGB-secE</t>
  </si>
  <si>
    <t>rplK-rplA-L10-leader_ldlJ</t>
  </si>
  <si>
    <t>BSGatlas-TSS-97</t>
  </si>
  <si>
    <t>BSGatlas-terminator-58</t>
  </si>
  <si>
    <t>rplK-rplA-L10-leader_ldlJ-rplJ-rplL</t>
  </si>
  <si>
    <t>BSGatlas-terminator-59</t>
  </si>
  <si>
    <t>BSGatlas-terminator-60</t>
  </si>
  <si>
    <t>rplJ-rplL</t>
  </si>
  <si>
    <t>BSGatlas-TSS-99</t>
  </si>
  <si>
    <t>rpoB-rpoC</t>
  </si>
  <si>
    <t>rulS-rpsL-rpsG-fusA-tufA</t>
  </si>
  <si>
    <t>BSGatlas-TSS-103</t>
  </si>
  <si>
    <t>BSGatlas-terminator-63</t>
  </si>
  <si>
    <t>BSGatlas-TSS-106</t>
  </si>
  <si>
    <t>rpsJ-rplC-rplD-rplW-rplB-rpsS-rplV-rpsC-rplP-rpmC-rpsQ-rplNA-rplX-rplE-rpsNA-rpsH-rplF-rplR-rpsE-rpmD-rplO-secY-adk-mapA-ybzG-infA-rpmJ-rpsM-rpsK-rpoA-rplQ</t>
  </si>
  <si>
    <t>BSGatlas-TSS-107</t>
  </si>
  <si>
    <t>BSGatlas-terminator-67</t>
  </si>
  <si>
    <t>rplO-secY-adk-mapA</t>
  </si>
  <si>
    <t>truA-L13-leader_ldlM-rplM-rpsI</t>
  </si>
  <si>
    <t>BSGatlas-TSS-109</t>
  </si>
  <si>
    <t>BSGatlas-terminator-68</t>
  </si>
  <si>
    <t>BSGatlas-TSS-110</t>
  </si>
  <si>
    <t>rplM-rpsI</t>
  </si>
  <si>
    <t>BSGatlas-TSS-111</t>
  </si>
  <si>
    <t>BSGatlas-TSS-112</t>
  </si>
  <si>
    <t>BSGatlas-terminator-69</t>
  </si>
  <si>
    <t>BSGatlas-TSS-113</t>
  </si>
  <si>
    <t>ybaK-cwlD</t>
  </si>
  <si>
    <t>BSGatlas-TSS-114</t>
  </si>
  <si>
    <t>BSGatlas-terminator-70</t>
  </si>
  <si>
    <t>BSGatlas-TSS-115</t>
  </si>
  <si>
    <t>BSGatlas-TSS-116</t>
  </si>
  <si>
    <t>BSGatlas-terminator-72</t>
  </si>
  <si>
    <t>BSGatlas-TSS-117</t>
  </si>
  <si>
    <t>BSGatlas-terminator-71</t>
  </si>
  <si>
    <t>BSGatlas-terminator-73</t>
  </si>
  <si>
    <t>BSGatlas-TSS-118</t>
  </si>
  <si>
    <t>BSGatlas-terminator-74</t>
  </si>
  <si>
    <t>BSGatlas-terminator-75</t>
  </si>
  <si>
    <t>BSGatlas-TSS-119</t>
  </si>
  <si>
    <t>BSGatlas-TSS-120</t>
  </si>
  <si>
    <t>BSGatlas-terminator-76</t>
  </si>
  <si>
    <t>BSGatlas-TSS-121</t>
  </si>
  <si>
    <t>BSGatlas-terminator-77</t>
  </si>
  <si>
    <t>eesA-feuC-feuB-feuA</t>
  </si>
  <si>
    <t>BSGatlas-TSS-123</t>
  </si>
  <si>
    <t>BSGatlas-terminator-78</t>
  </si>
  <si>
    <t>BSGatlas-TSS-124</t>
  </si>
  <si>
    <t>BSGatlas-TSS-125</t>
  </si>
  <si>
    <t>BSGatlas-TSS-126</t>
  </si>
  <si>
    <t>ybbC-nagZ-amiE-murP-murR-murQ</t>
  </si>
  <si>
    <t>BSGatlas-TSS-127</t>
  </si>
  <si>
    <t>BSGatlas-terminator-79</t>
  </si>
  <si>
    <t>BSGatlas-terminator-80</t>
  </si>
  <si>
    <t>BSGatlas-TSS-128</t>
  </si>
  <si>
    <t>trnSL-Glu2-trnSL-Val1-trnSL-Thr1-trnSL-Tyr1-trnSL-Gln2</t>
  </si>
  <si>
    <t>BSGatlas-TSS-129</t>
  </si>
  <si>
    <t>BSGatlas-terminator-81</t>
  </si>
  <si>
    <t>sigW-rsiW</t>
  </si>
  <si>
    <t>BSGatlas-TSS-130</t>
  </si>
  <si>
    <t>BSGatlas-terminator-83</t>
  </si>
  <si>
    <t>BSGatlas-TSS-131</t>
  </si>
  <si>
    <t>cdaA-cdaR-glmM</t>
  </si>
  <si>
    <t>BSGatlas-TSS-133</t>
  </si>
  <si>
    <t>BSGatlas-terminator-84</t>
  </si>
  <si>
    <t>cdaA-cdaR-glmM-glmS_glmSA-glmS</t>
  </si>
  <si>
    <t>BSGatlas-terminator-86</t>
  </si>
  <si>
    <t>BSGatlas-TSS-134</t>
  </si>
  <si>
    <t>BSGatlas-TSS-135</t>
  </si>
  <si>
    <t>BSGatlas-TSS-136</t>
  </si>
  <si>
    <t>BSGatlas-TSS-137</t>
  </si>
  <si>
    <t>BSGatlas-terminator-85</t>
  </si>
  <si>
    <t>adaA-adaB</t>
  </si>
  <si>
    <t>BSGatlas-TSS-138</t>
  </si>
  <si>
    <t>BSGatlas-TSS-139</t>
  </si>
  <si>
    <t>BSGatlas-terminator-87</t>
  </si>
  <si>
    <t>BSGatlas-terminator-88</t>
  </si>
  <si>
    <t>ndhF-ybcC-ybcF-ybcH-ybcI</t>
  </si>
  <si>
    <t>BSGatlas-TSS-141</t>
  </si>
  <si>
    <t>BSGatlas-terminator-89</t>
  </si>
  <si>
    <t>BSGatlas-TSS-142</t>
  </si>
  <si>
    <t>BSGatlas-terminator-90</t>
  </si>
  <si>
    <t>BSGatlas-terminator-91</t>
  </si>
  <si>
    <t>BSGatlas-TSS-143</t>
  </si>
  <si>
    <t>BSGatlas-terminator-92</t>
  </si>
  <si>
    <t>BSGatlas-TSS-144</t>
  </si>
  <si>
    <t>BSGatlas-terminator-94</t>
  </si>
  <si>
    <t>skfA-skfB-skfC-skfE-skfF-skfG-skfH</t>
  </si>
  <si>
    <t>BSGatlas-terminator-95</t>
  </si>
  <si>
    <t>skfE-skfF-skfG-skfH</t>
  </si>
  <si>
    <t>BSGatlas-TSS-145</t>
  </si>
  <si>
    <t>BSGatlas-TSS-147</t>
  </si>
  <si>
    <t>BSGatlas-TSS-148</t>
  </si>
  <si>
    <t>BSGatlas-terminator-96</t>
  </si>
  <si>
    <t>BSGatlas-TSS-149</t>
  </si>
  <si>
    <t>BSGatlas-TSS-150</t>
  </si>
  <si>
    <t>BSGatlas-terminator-97</t>
  </si>
  <si>
    <t>BSGatlas-TSS-151</t>
  </si>
  <si>
    <t>BSGatlas-terminator-98</t>
  </si>
  <si>
    <t>BSGatlas-TSS-152</t>
  </si>
  <si>
    <t>BSGatlas-terminator-99</t>
  </si>
  <si>
    <t>csgA-ybxH</t>
  </si>
  <si>
    <t>BSGatlas-TSS-153</t>
  </si>
  <si>
    <t>BSGatlas-terminator-101</t>
  </si>
  <si>
    <t>BSGatlas-TSS-154</t>
  </si>
  <si>
    <t>BSGatlas-terminator-100</t>
  </si>
  <si>
    <t>BSGatlas-TSS-155</t>
  </si>
  <si>
    <t>BSGatlas-terminator-103</t>
  </si>
  <si>
    <t>BSGatlas-TSS-156</t>
  </si>
  <si>
    <t>BSGatlas-TSS-157</t>
  </si>
  <si>
    <t>BSGatlas-terminator-102</t>
  </si>
  <si>
    <t>BSGatlas-TSS-158</t>
  </si>
  <si>
    <t>BSGatlas-terminator-104</t>
  </si>
  <si>
    <t>BSGatlas-terminator-106</t>
  </si>
  <si>
    <t>BSGatlas-TSS-159</t>
  </si>
  <si>
    <t>BSGatlas-terminator-105</t>
  </si>
  <si>
    <t>glpQA-glpT</t>
  </si>
  <si>
    <t>BSGatlas-TSS-161</t>
  </si>
  <si>
    <t>BSGatlas-TSS-162</t>
  </si>
  <si>
    <t>DBTBS</t>
  </si>
  <si>
    <t>BSGatlas-TSS-160</t>
  </si>
  <si>
    <t>BSGatlas-terminator-107</t>
  </si>
  <si>
    <t>ybeF-ybfA-ybfB</t>
  </si>
  <si>
    <t>BSGatlas-terminator-108</t>
  </si>
  <si>
    <t>ybfA-ybfB</t>
  </si>
  <si>
    <t>BSGatlas-TSS-163</t>
  </si>
  <si>
    <t>ybfEc-ybfEn</t>
  </si>
  <si>
    <t>BSGatlas-TSS-164</t>
  </si>
  <si>
    <t>BSGatlas-terminator-109</t>
  </si>
  <si>
    <t>ybfEc-ybfEn-ybfF-ybfG</t>
  </si>
  <si>
    <t>BSGatlas-TSS-165</t>
  </si>
  <si>
    <t>ybfH-ybfI</t>
  </si>
  <si>
    <t>BSGatlas-TSS-166</t>
  </si>
  <si>
    <t>BSGatlas-TSS-167</t>
  </si>
  <si>
    <t>BSGatlas-terminator-110</t>
  </si>
  <si>
    <t>BSGatlas-TSS-168</t>
  </si>
  <si>
    <t>mpr-ybfJ</t>
  </si>
  <si>
    <t>BSGatlas-terminator-111</t>
  </si>
  <si>
    <t>BSGatlas-TSS-169</t>
  </si>
  <si>
    <t>cesB-pssA-ybfM-psd</t>
  </si>
  <si>
    <t>BSGatlas-TSS-171</t>
  </si>
  <si>
    <t>BSGatlas-terminator-112</t>
  </si>
  <si>
    <t>BSGatlas-terminator-113</t>
  </si>
  <si>
    <t>BSGatlas-TSS-172</t>
  </si>
  <si>
    <t>pssA-ybfM-psd</t>
  </si>
  <si>
    <t>BSGatlas-TSS-173</t>
  </si>
  <si>
    <t>BSGatlas-TSS-174</t>
  </si>
  <si>
    <t>BSGatlas-terminator-114</t>
  </si>
  <si>
    <t>ybfO-ybfP</t>
  </si>
  <si>
    <t>ybfO-ybfP-ybfQ</t>
  </si>
  <si>
    <t>BSGatlas-terminator-115</t>
  </si>
  <si>
    <t>ybfP-ybfQ</t>
  </si>
  <si>
    <t>BSGatlas-TSS-175</t>
  </si>
  <si>
    <t>BSGatlas-TSS-176</t>
  </si>
  <si>
    <t>BSGatlas-TSS-178</t>
  </si>
  <si>
    <t>BSGatlas-terminator-116</t>
  </si>
  <si>
    <t>BSGatlas-TSS-179</t>
  </si>
  <si>
    <t>gamP-gamA</t>
  </si>
  <si>
    <t>BSGatlas-TSS-182</t>
  </si>
  <si>
    <t>BSGatlas-terminator-117</t>
  </si>
  <si>
    <t>BSGatlas-TSS-185</t>
  </si>
  <si>
    <t>gamR-ybgB</t>
  </si>
  <si>
    <t>BSGatlas-TSS-180</t>
  </si>
  <si>
    <t>BSGatlas-terminator-118</t>
  </si>
  <si>
    <t>BSGatlas-TSS-181</t>
  </si>
  <si>
    <t>BSGatlas-TSS-183</t>
  </si>
  <si>
    <t>BSGatlas-TSS-184</t>
  </si>
  <si>
    <t>BSGatlas-TSS-186</t>
  </si>
  <si>
    <t>BSGatlas-terminator-119</t>
  </si>
  <si>
    <t>BSGatlas-TSS-187</t>
  </si>
  <si>
    <t>BSGatlas-terminator-120</t>
  </si>
  <si>
    <t>ybgF-ybgG</t>
  </si>
  <si>
    <t>BSGatlas-TSS-188</t>
  </si>
  <si>
    <t>BSGatlas-terminator-121</t>
  </si>
  <si>
    <t>glnT-glsA</t>
  </si>
  <si>
    <t>BSGatlas-TSS-189</t>
  </si>
  <si>
    <t>BSGatlas-terminator-122</t>
  </si>
  <si>
    <t>glnJ-glnL</t>
  </si>
  <si>
    <t>BSGatlas-TSS-190</t>
  </si>
  <si>
    <t>BSGatlas-terminator-123</t>
  </si>
  <si>
    <t>kdgD-gucD-gudP-gudD-garR</t>
  </si>
  <si>
    <t>BSGatlas-TSS-191</t>
  </si>
  <si>
    <t>BSGatlas-terminator-124</t>
  </si>
  <si>
    <t>kdgD-gucD-gudP-gudD-garR-garD-S95-ycbJ</t>
  </si>
  <si>
    <t>BSGatlas-TSS-192</t>
  </si>
  <si>
    <t>BSGatlas-TSS-194</t>
  </si>
  <si>
    <t>BSGatlas-terminator-126</t>
  </si>
  <si>
    <t>rtpA-ycbK</t>
  </si>
  <si>
    <t>BSGatlas-terminator-127</t>
  </si>
  <si>
    <t>BSGatlas-terminator-125</t>
  </si>
  <si>
    <t>BSGatlas-TSS-195</t>
  </si>
  <si>
    <t>ycbL-ycbM</t>
  </si>
  <si>
    <t>BSGatlas-TSS-196</t>
  </si>
  <si>
    <t>ycbL-ycbM-ycbN-ycbO</t>
  </si>
  <si>
    <t>BSGatlas-terminator-129</t>
  </si>
  <si>
    <t>unnamed_gene</t>
  </si>
  <si>
    <t>BSGatlas-terminator-128</t>
  </si>
  <si>
    <t>BSGatlas-TSS-197</t>
  </si>
  <si>
    <t>BSGatlas-terminator-130</t>
  </si>
  <si>
    <t>BSGatlas-TSS-198</t>
  </si>
  <si>
    <t>BSGatlas-TSS-201</t>
  </si>
  <si>
    <t>BSGatlas-TSS-203</t>
  </si>
  <si>
    <t>BSGatlas-TSS-199</t>
  </si>
  <si>
    <t>BSGatlas-terminator-133</t>
  </si>
  <si>
    <t>BSGatlas-terminator-134</t>
  </si>
  <si>
    <t>BSGatlas-TSS-200</t>
  </si>
  <si>
    <t>BSGatlas-terminator-135</t>
  </si>
  <si>
    <t>BSGatlas-terminator-136</t>
  </si>
  <si>
    <t>BSGatlas-TSS-202</t>
  </si>
  <si>
    <t>phoD-tatAD-tatCD</t>
  </si>
  <si>
    <t>BSGatlas-TSS-204</t>
  </si>
  <si>
    <t>BSGatlas-terminator-137</t>
  </si>
  <si>
    <t>BSGatlas-TSS-206</t>
  </si>
  <si>
    <t>BSGatlas-TSS-205</t>
  </si>
  <si>
    <t>BSGatlas-terminator-139</t>
  </si>
  <si>
    <t>lmrB-lmrA</t>
  </si>
  <si>
    <t>BSGatlas-TSS-207</t>
  </si>
  <si>
    <t>BSGatlas-terminator-138</t>
  </si>
  <si>
    <t>BSGatlas-TSS-208</t>
  </si>
  <si>
    <t>BSGatlas-terminator-140</t>
  </si>
  <si>
    <t>BSGatlas-terminator-141</t>
  </si>
  <si>
    <t>BSGatlas-TSS-209</t>
  </si>
  <si>
    <t>BSGatlas-terminator-142</t>
  </si>
  <si>
    <t>BSGatlas-TSS-210</t>
  </si>
  <si>
    <t>BSGatlas-terminator-143</t>
  </si>
  <si>
    <t>BSGatlas-TSS-211</t>
  </si>
  <si>
    <t>BSGatlas-terminator-144</t>
  </si>
  <si>
    <t>BSGatlas-terminator-145</t>
  </si>
  <si>
    <t>natK-natR</t>
  </si>
  <si>
    <t>BSGatlas-TSS-212</t>
  </si>
  <si>
    <t>BSGatlas-terminator-146</t>
  </si>
  <si>
    <t>natA-natB</t>
  </si>
  <si>
    <t>BSGatlas-TSS-213</t>
  </si>
  <si>
    <t>BSGatlas-terminator-147</t>
  </si>
  <si>
    <t>BSGatlas-TSS-214</t>
  </si>
  <si>
    <t>BSGatlas-terminator-149</t>
  </si>
  <si>
    <t>BSGatlas-terminator-148</t>
  </si>
  <si>
    <t>BSGatlas-TSS-215</t>
  </si>
  <si>
    <t>BSGatlas-TSS-216</t>
  </si>
  <si>
    <t>BSGatlas-terminator-150</t>
  </si>
  <si>
    <t>BSGatlas-TSS-217</t>
  </si>
  <si>
    <t>BSGatlas-TSS-219</t>
  </si>
  <si>
    <t>BSGatlas-TSS-218</t>
  </si>
  <si>
    <t>BSGatlas-terminator-151</t>
  </si>
  <si>
    <t>ycdF-ycdG</t>
  </si>
  <si>
    <t>BSGatlas-TSS-220</t>
  </si>
  <si>
    <t>BSGatlas-terminator-153</t>
  </si>
  <si>
    <t>BSGatlas-terminator-154</t>
  </si>
  <si>
    <t>BSGatlas-TSS-221</t>
  </si>
  <si>
    <t>BSGatlas-terminator-155</t>
  </si>
  <si>
    <t>znuA-znuC-znuB</t>
  </si>
  <si>
    <t>BSGatlas-terminator-156</t>
  </si>
  <si>
    <t>BSGatlas-TSS-222</t>
  </si>
  <si>
    <t>znuC-znuB</t>
  </si>
  <si>
    <t>BSGatlas-TSS-223</t>
  </si>
  <si>
    <t>BSGatlas-TSS-225</t>
  </si>
  <si>
    <t>yceC-yceD-yceE-yceF</t>
  </si>
  <si>
    <t>BSGatlas-TSS-224</t>
  </si>
  <si>
    <t>BSGatlas-terminator-157</t>
  </si>
  <si>
    <t>yceC-yceD-yceE-yceF-yceG-yceH</t>
  </si>
  <si>
    <t>BSGatlas-terminator-158</t>
  </si>
  <si>
    <t>BSGatlas-terminator-159</t>
  </si>
  <si>
    <t>BSGatlas-TSS-226</t>
  </si>
  <si>
    <t>BSGatlas-TSS-227</t>
  </si>
  <si>
    <t>BSGatlas-TSS-228</t>
  </si>
  <si>
    <t>BSGatlas-terminator-160</t>
  </si>
  <si>
    <t>BSGatlas-terminator-161</t>
  </si>
  <si>
    <t>BSGatlas-TSS-229</t>
  </si>
  <si>
    <t>BSGatlas-terminator-162</t>
  </si>
  <si>
    <t>opuAA-opuAB-opuAC</t>
  </si>
  <si>
    <t>BSGatlas-TSS-230</t>
  </si>
  <si>
    <t>BSGatlas-terminator-164</t>
  </si>
  <si>
    <t>BSGatlas-terminator-166</t>
  </si>
  <si>
    <t>BSGatlas-TSS-231</t>
  </si>
  <si>
    <t>BSGatlas-TSS-232</t>
  </si>
  <si>
    <t>BSGatlas-TSS-233</t>
  </si>
  <si>
    <t>BSGatlas-terminator-165</t>
  </si>
  <si>
    <t>BSGatlas-TSS-234</t>
  </si>
  <si>
    <t>BSGatlas-terminator-167</t>
  </si>
  <si>
    <t>BSGatlas-TSS-235</t>
  </si>
  <si>
    <t>ycgB-amyE</t>
  </si>
  <si>
    <t>BSGatlas-terminator-168</t>
  </si>
  <si>
    <t>BSGatlas-TSS-236</t>
  </si>
  <si>
    <t>BSGatlas-TSS-237</t>
  </si>
  <si>
    <t>BSGatlas-TSS-238</t>
  </si>
  <si>
    <t>BSGatlas-TSS-239</t>
  </si>
  <si>
    <t>BSGatlas-terminator-169</t>
  </si>
  <si>
    <t>lctE-lctP</t>
  </si>
  <si>
    <t>BSGatlas-terminator-171</t>
  </si>
  <si>
    <t>BSGatlas-TSS-240</t>
  </si>
  <si>
    <t>BSGatlas-terminator-170</t>
  </si>
  <si>
    <t>BSGatlas-TSS-242</t>
  </si>
  <si>
    <t>BSGatlas-terminator-172</t>
  </si>
  <si>
    <t>ycgE-ycgF-ycgG</t>
  </si>
  <si>
    <t>BSGatlas-TSS-241</t>
  </si>
  <si>
    <t>BSGatlas-terminator-174</t>
  </si>
  <si>
    <t>ycgF-ycgG</t>
  </si>
  <si>
    <t>BSGatlas-TSS-243</t>
  </si>
  <si>
    <t>BSGatlas-TSS-244</t>
  </si>
  <si>
    <t>BSGatlas-TSS-245</t>
  </si>
  <si>
    <t>BSGatlas-terminator-173</t>
  </si>
  <si>
    <t>BSGatlas-TSS-246</t>
  </si>
  <si>
    <t>BSGatlas-TSS-247</t>
  </si>
  <si>
    <t>BSGatlas-terminator-176</t>
  </si>
  <si>
    <t>BSGatlas-terminator-178</t>
  </si>
  <si>
    <t>BSGatlas-TSS-248</t>
  </si>
  <si>
    <t>BSGatlas-TSS-249</t>
  </si>
  <si>
    <t>BSGatlas-terminator-175</t>
  </si>
  <si>
    <t>BSGatlas-terminator-177</t>
  </si>
  <si>
    <t>BSGatlas-terminator-179</t>
  </si>
  <si>
    <t>BSGatlas-TSS-251</t>
  </si>
  <si>
    <t>BSGatlas-TSS-250</t>
  </si>
  <si>
    <t>BSGatlas-terminator-180</t>
  </si>
  <si>
    <t>BSGatlas-TSS-252</t>
  </si>
  <si>
    <t>BSGatlas-TSS-253</t>
  </si>
  <si>
    <t>BSGatlas-terminator-181</t>
  </si>
  <si>
    <t>ycgK-cah</t>
  </si>
  <si>
    <t>BSGatlas-TSS-254</t>
  </si>
  <si>
    <t>BSGatlas-terminator-182</t>
  </si>
  <si>
    <t>ycgK-cah-ycgL</t>
  </si>
  <si>
    <t>BSGatlas-terminator-183</t>
  </si>
  <si>
    <t>BSGatlas-TSS-255</t>
  </si>
  <si>
    <t>cah-ycgL</t>
  </si>
  <si>
    <t>BSGatlas-TSS-256</t>
  </si>
  <si>
    <t>putB-putC</t>
  </si>
  <si>
    <t>BSGatlas-TSS-257</t>
  </si>
  <si>
    <t>BSGatlas-terminator-184</t>
  </si>
  <si>
    <t>putB-putC-putP</t>
  </si>
  <si>
    <t>BSGatlas-terminator-185</t>
  </si>
  <si>
    <t>BSGatlas-TSS-258</t>
  </si>
  <si>
    <t>BSGatlas-TSS-259</t>
  </si>
  <si>
    <t>BSGatlas-TSS-260</t>
  </si>
  <si>
    <t>BSGatlas-TSS-262</t>
  </si>
  <si>
    <t>BSGatlas-TSS-261</t>
  </si>
  <si>
    <t>ycgQ-ycgR</t>
  </si>
  <si>
    <t>BSGatlas-TSS-263</t>
  </si>
  <si>
    <t>BSGatlas-terminator-186</t>
  </si>
  <si>
    <t>ycgQ-ycgR-ycgS</t>
  </si>
  <si>
    <t>BSGatlas-TSS-264</t>
  </si>
  <si>
    <t>BSGatlas-TSS-266</t>
  </si>
  <si>
    <t>BSGatlas-terminator-187</t>
  </si>
  <si>
    <t>BSGatlas-TSS-265</t>
  </si>
  <si>
    <t>BSGatlas-terminator-189</t>
  </si>
  <si>
    <t>nasF-nasE</t>
  </si>
  <si>
    <t>BSGatlas-TSS-268</t>
  </si>
  <si>
    <t>BSGatlas-terminator-188</t>
  </si>
  <si>
    <t>nasF-nasE-nasD</t>
  </si>
  <si>
    <t>BSGatlas-TSS-269</t>
  </si>
  <si>
    <t>nasF-nasE-nasD-nasC-nasB</t>
  </si>
  <si>
    <t>BSGatlas-TSS-270</t>
  </si>
  <si>
    <t>BSGatlas-TSS-271</t>
  </si>
  <si>
    <t>BSGatlas-terminator-191</t>
  </si>
  <si>
    <t>folEB-yciB-yczL-zinU</t>
  </si>
  <si>
    <t>BSGatlas-TSS-272</t>
  </si>
  <si>
    <t>BSGatlas-terminator-192</t>
  </si>
  <si>
    <t>yczL-zinU</t>
  </si>
  <si>
    <t>BSGatlas-TSS-273</t>
  </si>
  <si>
    <t>yckA-yckB</t>
  </si>
  <si>
    <t>BSGatlas-TSS-274</t>
  </si>
  <si>
    <t>BSGatlas-terminator-193</t>
  </si>
  <si>
    <t>BSGatlas-TSS-275</t>
  </si>
  <si>
    <t>BSGatlas-TSS-276</t>
  </si>
  <si>
    <t>BSGatlas-terminator-194</t>
  </si>
  <si>
    <t>BSGatlas-TSS-277</t>
  </si>
  <si>
    <t>BSGatlas-terminator-195</t>
  </si>
  <si>
    <t>BSGatlas-TSS-278</t>
  </si>
  <si>
    <t>BSGatlas-terminator-198</t>
  </si>
  <si>
    <t>BSGatlas-TSS-279</t>
  </si>
  <si>
    <t>BSGatlas-terminator-196</t>
  </si>
  <si>
    <t>nin-nucA</t>
  </si>
  <si>
    <t>BSGatlas-TSS-280</t>
  </si>
  <si>
    <t>BSGatlas-TSS-282</t>
  </si>
  <si>
    <t>BSGatlas-terminator-197</t>
  </si>
  <si>
    <t>BSGatlas-TSS-283</t>
  </si>
  <si>
    <t>hxlB-hxlA</t>
  </si>
  <si>
    <t>BSGatlas-TSS-284</t>
  </si>
  <si>
    <t>BSGatlas-terminator-199</t>
  </si>
  <si>
    <t>BSGatlas-TSS-285</t>
  </si>
  <si>
    <t>BSGatlas-terminator-200</t>
  </si>
  <si>
    <t>BSGatlas-TSS-286</t>
  </si>
  <si>
    <t>srfAA-srfAB-comS-srfAC-srfAD</t>
  </si>
  <si>
    <t>BSGatlas-terminator-201</t>
  </si>
  <si>
    <t>BSGatlas-TSS-287</t>
  </si>
  <si>
    <t>BSGatlas-terminator-203</t>
  </si>
  <si>
    <t>BSGatlas-TSS-288</t>
  </si>
  <si>
    <t>BSGatlas-terminator-202</t>
  </si>
  <si>
    <t>BSGatlas-TSS-289</t>
  </si>
  <si>
    <t>ycxB-ycxC</t>
  </si>
  <si>
    <t>BSGatlas-TSS-290</t>
  </si>
  <si>
    <t>BSGatlas-TSS-291</t>
  </si>
  <si>
    <t>BSGatlas-TSS-292</t>
  </si>
  <si>
    <t>BSGatlas-terminator-204</t>
  </si>
  <si>
    <t>tcyC-tcyB-tcyA</t>
  </si>
  <si>
    <t>BSGatlas-TSS-293</t>
  </si>
  <si>
    <t>BSGatlas-terminator-205</t>
  </si>
  <si>
    <t>BSGatlas-terminator-206</t>
  </si>
  <si>
    <t>BSGatlas-terminator-207</t>
  </si>
  <si>
    <t>BSGatlas-TSS-294</t>
  </si>
  <si>
    <t>BSGatlas-TSS-295</t>
  </si>
  <si>
    <t>ubiX-bsdC-bsdD</t>
  </si>
  <si>
    <t>BSGatlas-TSS-296</t>
  </si>
  <si>
    <t>BSGatlas-terminator-208</t>
  </si>
  <si>
    <t>BSGatlas-TSS-297</t>
  </si>
  <si>
    <t>BSGatlas-terminator-210</t>
  </si>
  <si>
    <t>BSGatlas-TSS-299</t>
  </si>
  <si>
    <t>BSGatlas-terminator-209</t>
  </si>
  <si>
    <t>BSGatlas-TSS-301</t>
  </si>
  <si>
    <t>BSGatlas-TSS-298</t>
  </si>
  <si>
    <t>BSGatlas-terminator-211</t>
  </si>
  <si>
    <t>BSGatlas-TSS-300</t>
  </si>
  <si>
    <t>BSGatlas-TSS-302</t>
  </si>
  <si>
    <t>gerKA-gerKC-gerKB</t>
  </si>
  <si>
    <t>BSGatlas-TSS-303</t>
  </si>
  <si>
    <t>BSGatlas-terminator-212</t>
  </si>
  <si>
    <t>yclH-yclI</t>
  </si>
  <si>
    <t>yclJ-yclK</t>
  </si>
  <si>
    <t>BSGatlas-TSS-304</t>
  </si>
  <si>
    <t>BSGatlas-terminator-213</t>
  </si>
  <si>
    <t>rapC-phrC</t>
  </si>
  <si>
    <t>BSGatlas-TSS-305</t>
  </si>
  <si>
    <t>BSGatlas-terminator-215</t>
  </si>
  <si>
    <t>yczM-yczN</t>
  </si>
  <si>
    <t>BSGatlas-TSS-308</t>
  </si>
  <si>
    <t>BSGatlas-terminator-214</t>
  </si>
  <si>
    <t>BSGatlas-TSS-306</t>
  </si>
  <si>
    <t>BSGatlas-TSS-307</t>
  </si>
  <si>
    <t>BSGatlas-terminator-216</t>
  </si>
  <si>
    <t>BSGatlas-terminator-217</t>
  </si>
  <si>
    <t>BSGatlas-TSS-309</t>
  </si>
  <si>
    <t>BSGatlas-terminator-218</t>
  </si>
  <si>
    <t>pbtN-pbtO-pbtP-pbtQ</t>
  </si>
  <si>
    <t>BSGatlas-TSS-310</t>
  </si>
  <si>
    <t>BSGatlas-terminator-220</t>
  </si>
  <si>
    <t>BSGatlas-TSS-311</t>
  </si>
  <si>
    <t>ycnB-ycnC</t>
  </si>
  <si>
    <t>BSGatlas-TSS-312</t>
  </si>
  <si>
    <t>BSGatlas-terminator-219</t>
  </si>
  <si>
    <t>BSGatlas-terminator-221</t>
  </si>
  <si>
    <t>nfrAB-ycnE</t>
  </si>
  <si>
    <t>BSGatlas-TSS-314</t>
  </si>
  <si>
    <t>BSGatlas-terminator-222</t>
  </si>
  <si>
    <t>BSGatlas-TSS-316</t>
  </si>
  <si>
    <t>BSGatlas-TSS-313</t>
  </si>
  <si>
    <t>BSGatlas-terminator-224</t>
  </si>
  <si>
    <t>BSGatlas-TSS-315</t>
  </si>
  <si>
    <t>BSGatlas-TSS-317</t>
  </si>
  <si>
    <t>BSGatlas-terminator-223</t>
  </si>
  <si>
    <t>gabT-gabD</t>
  </si>
  <si>
    <t>BSGatlas-TSS-318</t>
  </si>
  <si>
    <t>BSGatlas-terminator-225</t>
  </si>
  <si>
    <t>BSGatlas-TSS-319</t>
  </si>
  <si>
    <t>BSGatlas-TSS-320</t>
  </si>
  <si>
    <t>BSGatlas-TSS-321</t>
  </si>
  <si>
    <t>BSGatlas-terminator-226</t>
  </si>
  <si>
    <t>glcU-gdh</t>
  </si>
  <si>
    <t>BSGatlas-terminator-227</t>
  </si>
  <si>
    <t>BSGatlas-TSS-322</t>
  </si>
  <si>
    <t>cutI-cutJ-cutR</t>
  </si>
  <si>
    <t>BSGatlas-TSS-323</t>
  </si>
  <si>
    <t>BSGatlas-terminator-228</t>
  </si>
  <si>
    <t>BSGatlas-TSS-324</t>
  </si>
  <si>
    <t>BSGatlas-terminator-229</t>
  </si>
  <si>
    <t>mtlA-mtlF-mtlD</t>
  </si>
  <si>
    <t>BSGatlas-TSS-325</t>
  </si>
  <si>
    <t>BSGatlas-terminator-230</t>
  </si>
  <si>
    <t>BSGatlas-TSS-326</t>
  </si>
  <si>
    <t>BSGatlas-terminator-231</t>
  </si>
  <si>
    <t>BSGatlas-TSS-327</t>
  </si>
  <si>
    <t>BSGatlas-TSS-328</t>
  </si>
  <si>
    <t>BSGatlas-terminator-232</t>
  </si>
  <si>
    <t>BSGatlas-TSS-329</t>
  </si>
  <si>
    <t>BSGatlas-TSS-330</t>
  </si>
  <si>
    <t>BSGatlas-terminator-233</t>
  </si>
  <si>
    <t>BSGatlas-terminator-234</t>
  </si>
  <si>
    <t>BSGatlas-TSS-331</t>
  </si>
  <si>
    <t>BSGatlas-terminator-235</t>
  </si>
  <si>
    <t>BSGatlas-TSS-332</t>
  </si>
  <si>
    <t>BSGatlas-terminator-236</t>
  </si>
  <si>
    <t>BSGatlas-terminator-237</t>
  </si>
  <si>
    <t>pxpA-pxpG-pxpI-pxpB</t>
  </si>
  <si>
    <t>BSGatlas-TSS-333</t>
  </si>
  <si>
    <t>BSGatlas-terminator-239</t>
  </si>
  <si>
    <t>pxpA-pxpG-pxpI-pxpB-pxpC-pxpR-lipC</t>
  </si>
  <si>
    <t>BSGatlas-terminator-240</t>
  </si>
  <si>
    <t>pxpR-lipC</t>
  </si>
  <si>
    <t>BSGatlas-TSS-334</t>
  </si>
  <si>
    <t>BSGatlas-TSS-335</t>
  </si>
  <si>
    <t>BSGatlas-TSS-337</t>
  </si>
  <si>
    <t>BSGatlas-terminator-241</t>
  </si>
  <si>
    <t>BSGatlas-TSS-336</t>
  </si>
  <si>
    <t>BSGatlas-terminator-242</t>
  </si>
  <si>
    <t>pbpC-ycsN</t>
  </si>
  <si>
    <t>BSGatlas-TSS-338</t>
  </si>
  <si>
    <t>BSGatlas-terminator-243</t>
  </si>
  <si>
    <t>BSGatlas-TSS-339</t>
  </si>
  <si>
    <t>BSGatlas-terminator-244</t>
  </si>
  <si>
    <t>BSGatlas-TSS-340</t>
  </si>
  <si>
    <t>BSGatlas-terminator-245</t>
  </si>
  <si>
    <t>BSGatlas-TSS-341</t>
  </si>
  <si>
    <t>BSGatlas-TSS-342</t>
  </si>
  <si>
    <t>BSGatlas-terminator-246</t>
  </si>
  <si>
    <t>ydaD-lyxE</t>
  </si>
  <si>
    <t>BSGatlas-TSS-343</t>
  </si>
  <si>
    <t>BSGatlas-terminator-247</t>
  </si>
  <si>
    <t>ydaD-lyxE-ydaF-ydaG</t>
  </si>
  <si>
    <t>ydaF-ydaG</t>
  </si>
  <si>
    <t>BSGatlas-TSS-344</t>
  </si>
  <si>
    <t>BSGatlas-TSS-345</t>
  </si>
  <si>
    <t>BSGatlas-TSS-346</t>
  </si>
  <si>
    <t>BSGatlas-terminator-248</t>
  </si>
  <si>
    <t>BSGatlas-terminator-249</t>
  </si>
  <si>
    <t>BSGatlas-TSS-347</t>
  </si>
  <si>
    <t>BSGatlas-TSS-348</t>
  </si>
  <si>
    <t>BSGatlas-terminator-250</t>
  </si>
  <si>
    <t>BSGatlas-TSS-350</t>
  </si>
  <si>
    <t>BSGatlas-terminator-251</t>
  </si>
  <si>
    <t>BSGatlas-TSS-349</t>
  </si>
  <si>
    <t>lrpC-topB</t>
  </si>
  <si>
    <t>BSGatlas-terminator-252</t>
  </si>
  <si>
    <t>BSGatlas-TSS-351</t>
  </si>
  <si>
    <t>BSGatlas-TSS-352</t>
  </si>
  <si>
    <t>epsJ-epsK-ydaL-ydaM-ydaN</t>
  </si>
  <si>
    <t>BSGatlas-TSS-353</t>
  </si>
  <si>
    <t>BSGatlas-terminator-253</t>
  </si>
  <si>
    <t>BSGatlas-TSS-354</t>
  </si>
  <si>
    <t>BSGatlas-terminator-255</t>
  </si>
  <si>
    <t>BSGatlas-terminator-254</t>
  </si>
  <si>
    <t>BSGatlas-TSS-355</t>
  </si>
  <si>
    <t>BSGatlas-terminator-258</t>
  </si>
  <si>
    <t>BSGatlas-TSS-356</t>
  </si>
  <si>
    <t>BSGatlas-terminator-256</t>
  </si>
  <si>
    <t>BSGatlas-terminator-257</t>
  </si>
  <si>
    <t>BSGatlas-TSS-357</t>
  </si>
  <si>
    <t>BSGatlas-TSS-358</t>
  </si>
  <si>
    <t>BSGatlas-terminator-259</t>
  </si>
  <si>
    <t>BSGatlas-TSS-359</t>
  </si>
  <si>
    <t>BSGatlas-terminator-260</t>
  </si>
  <si>
    <t>BSGatlas-TSS-360</t>
  </si>
  <si>
    <t>BSGatlas-terminator-261</t>
  </si>
  <si>
    <t>ydaS-ydaT</t>
  </si>
  <si>
    <t>BSGatlas-TSS-361</t>
  </si>
  <si>
    <t>BSGatlas-TSS-364</t>
  </si>
  <si>
    <t>BSGatlas-terminator-262</t>
  </si>
  <si>
    <t>BSGatlas-TSS-362</t>
  </si>
  <si>
    <t>BSGatlas-terminator-263</t>
  </si>
  <si>
    <t>BSGatlas-TSS-363</t>
  </si>
  <si>
    <t>BSGatlas-terminator-265</t>
  </si>
  <si>
    <t>BSGatlas-TSS-366</t>
  </si>
  <si>
    <t>BSGatlas-terminator-264</t>
  </si>
  <si>
    <t>ydbD-dctB</t>
  </si>
  <si>
    <t>BSGatlas-TSS-368</t>
  </si>
  <si>
    <t>ydbB-ydbC</t>
  </si>
  <si>
    <t>BSGatlas-TSS-365</t>
  </si>
  <si>
    <t>BSGatlas-terminator-267</t>
  </si>
  <si>
    <t>BSGatlas-terminator-266</t>
  </si>
  <si>
    <t>BSGatlas-terminator-268</t>
  </si>
  <si>
    <t>dctS-dctR-dctP</t>
  </si>
  <si>
    <t>BSGatlas-TSS-367</t>
  </si>
  <si>
    <t>BSGatlas-terminator-269</t>
  </si>
  <si>
    <t>BSGatlas-TSS-369</t>
  </si>
  <si>
    <t>BSGatlas-TSS-370</t>
  </si>
  <si>
    <t>BSGatlas-terminator-271</t>
  </si>
  <si>
    <t>BSGatlas-TSS-371</t>
  </si>
  <si>
    <t>BSGatlas-terminator-272</t>
  </si>
  <si>
    <t>BSGatlas-TSS-372</t>
  </si>
  <si>
    <t>BSGatlas-terminator-273</t>
  </si>
  <si>
    <t>BSGatlas-terminator-274</t>
  </si>
  <si>
    <t>fbpB-fbpA</t>
  </si>
  <si>
    <t>BSGatlas-TSS-373</t>
  </si>
  <si>
    <t>BSGatlas-TSS-374</t>
  </si>
  <si>
    <t>BSGatlas-terminator-276</t>
  </si>
  <si>
    <t>BSGatlas-TSS-375</t>
  </si>
  <si>
    <t>BSGatlas-TSS-377</t>
  </si>
  <si>
    <t>BSGatlas-terminator-275</t>
  </si>
  <si>
    <t>BSGatlas-TSS-376</t>
  </si>
  <si>
    <t>BSGatlas-terminator-277</t>
  </si>
  <si>
    <t>ddlA-murF</t>
  </si>
  <si>
    <t>BSGatlas-TSS-378</t>
  </si>
  <si>
    <t>BSGatlas-terminator-278</t>
  </si>
  <si>
    <t>BSGatlas-TSS-379</t>
  </si>
  <si>
    <t>BSGatlas-TSS-380</t>
  </si>
  <si>
    <t>ydbS-ydbT</t>
  </si>
  <si>
    <t>BSGatlas-TSS-381</t>
  </si>
  <si>
    <t>BSGatlas-terminator-279</t>
  </si>
  <si>
    <t>BSGatlas-TSS-383</t>
  </si>
  <si>
    <t>BSGatlas-terminator-280</t>
  </si>
  <si>
    <t>BSGatlas-terminator-282</t>
  </si>
  <si>
    <t>BSGatlas-terminator-281</t>
  </si>
  <si>
    <t>acpS-ydcC</t>
  </si>
  <si>
    <t>BSGatlas-TSS-382</t>
  </si>
  <si>
    <t>BSGatlas-terminator-283</t>
  </si>
  <si>
    <t>BSGatlas-TSS-384</t>
  </si>
  <si>
    <t>alrA-ndoAI-ndoA</t>
  </si>
  <si>
    <t>BSGatlas-TSS-385</t>
  </si>
  <si>
    <t>BSGatlas-terminator-285</t>
  </si>
  <si>
    <t>BSGatlas-terminator-286</t>
  </si>
  <si>
    <t>ndoAI-ndoA</t>
  </si>
  <si>
    <t>BSGatlas-TSS-386</t>
  </si>
  <si>
    <t>BSGatlas-TSS-387</t>
  </si>
  <si>
    <t>BSGatlas-TSS-389</t>
  </si>
  <si>
    <t>BSGatlas-terminator-284</t>
  </si>
  <si>
    <t>BSGatlas-TSS-390</t>
  </si>
  <si>
    <t>BSGatlas-TSS-391</t>
  </si>
  <si>
    <t>rsbRA-rsbS-rsbT-rsbU-rsbV-rsbW-sigB-rsbX</t>
  </si>
  <si>
    <t>BSGatlas-TSS-388</t>
  </si>
  <si>
    <t>BSGatlas-terminator-287</t>
  </si>
  <si>
    <t>BSGatlas-terminator-288</t>
  </si>
  <si>
    <t>rsbV-rsbW-sigB-rsbX</t>
  </si>
  <si>
    <t>BSGatlas-TSS-392</t>
  </si>
  <si>
    <t>BSGatlas-TSS-393</t>
  </si>
  <si>
    <t>ydcF-ydcG-ydcH</t>
  </si>
  <si>
    <t>BSGatlas-terminator-289</t>
  </si>
  <si>
    <t>ydcG-ydcH</t>
  </si>
  <si>
    <t>BSGatlas-TSS-394</t>
  </si>
  <si>
    <t>S166-cmpA</t>
  </si>
  <si>
    <t>BSGatlas-TSS-395</t>
  </si>
  <si>
    <t>BSGatlas-TSS-396</t>
  </si>
  <si>
    <t>BSGatlas-TSS-398</t>
  </si>
  <si>
    <t>ydcL-immA-immR</t>
  </si>
  <si>
    <t>BSGatlas-TSS-399</t>
  </si>
  <si>
    <t>BSGatlas-terminator-290</t>
  </si>
  <si>
    <t>BSGatlas-terminator-291</t>
  </si>
  <si>
    <t>BSGatlas-terminator-292</t>
  </si>
  <si>
    <t>BSGatlas-terminator-294</t>
  </si>
  <si>
    <t>BSGatlas-terminator-293</t>
  </si>
  <si>
    <t>BSGatlas-terminator-295</t>
  </si>
  <si>
    <t>xis-ydzL-ydcO-unnamed_gene-helP-conQ</t>
  </si>
  <si>
    <t>BSGatlas-TSS-400</t>
  </si>
  <si>
    <t>BSGatlas-terminator-296</t>
  </si>
  <si>
    <t>xis-ydzL-ydcO-unnamed_gene-helP-conQ-nicK-Bacillus-plasmid-ydcS-ydcT-yddA-conB</t>
  </si>
  <si>
    <t>BSGatlas-terminator-297</t>
  </si>
  <si>
    <t>xis-ydzL-ydcO-unnamed_gene-helP-conQ-nicK-Bacillus-plasmid-ydcS-ydcT-yddA-conB-conC-conD-conE-yddF-conG-cwlT-yddI-yddJ</t>
  </si>
  <si>
    <t>BSGatlas-terminator-298</t>
  </si>
  <si>
    <t>BSGatlas-TSS-402</t>
  </si>
  <si>
    <t>unnamed_gene-helP-conQ</t>
  </si>
  <si>
    <t>BSGatlas-TSS-401</t>
  </si>
  <si>
    <t>unnamed_gene-helP-conQ-nicK-Bacillus-plasmid-ydcS-ydcT-yddA-conB</t>
  </si>
  <si>
    <t>unnamed_gene-helP-conQ-nicK-Bacillus-plasmid-ydcS-ydcT-yddA-conB-conC-conD-conE-yddF-conG-cwlT-yddI-yddJ</t>
  </si>
  <si>
    <t>conC-conD-conE-yddF-conG-cwlT-yddI-yddJ</t>
  </si>
  <si>
    <t>BSGatlas-TSS-404</t>
  </si>
  <si>
    <t>BSGatlas-TSS-405</t>
  </si>
  <si>
    <t>BSGatlas-TSS-406</t>
  </si>
  <si>
    <t>BSGatlas-terminator-299</t>
  </si>
  <si>
    <t>rapI-phrI</t>
  </si>
  <si>
    <t>BSGatlas-terminator-300</t>
  </si>
  <si>
    <t>BSGatlas-terminator-301</t>
  </si>
  <si>
    <t>BSGatlas-TSS-407</t>
  </si>
  <si>
    <t>BSGatlas-TSS-408</t>
  </si>
  <si>
    <t>BSGatlas-TSS-409</t>
  </si>
  <si>
    <t>BSGatlas-terminator-303</t>
  </si>
  <si>
    <t>BSGatlas-TSS-410</t>
  </si>
  <si>
    <t>BSGatlas-terminator-302</t>
  </si>
  <si>
    <t>BSGatlas-terminator-304</t>
  </si>
  <si>
    <t>BSGatlas-TSS-411</t>
  </si>
  <si>
    <t>BSGatlas-terminator-305</t>
  </si>
  <si>
    <t>BSGatlas-TSS-412</t>
  </si>
  <si>
    <t>BSGatlas-TSS-413</t>
  </si>
  <si>
    <t>BSGatlas-TSS-414</t>
  </si>
  <si>
    <t>BSGatlas-terminator-306</t>
  </si>
  <si>
    <t>BSGatlas-TSS-415</t>
  </si>
  <si>
    <t>BSGatlas-terminator-309</t>
  </si>
  <si>
    <t>BSGatlas-terminator-310</t>
  </si>
  <si>
    <t>BSGatlas-terminator-307</t>
  </si>
  <si>
    <t>cspA-cspC</t>
  </si>
  <si>
    <t>BSGatlas-terminator-308</t>
  </si>
  <si>
    <t>BSGatlas-TSS-416</t>
  </si>
  <si>
    <t>BSGatlas-terminator-311</t>
  </si>
  <si>
    <t>ydzE-ydeC</t>
  </si>
  <si>
    <t>BSGatlas-TSS-417</t>
  </si>
  <si>
    <t>BSGatlas-TSS-418</t>
  </si>
  <si>
    <t>BSGatlas-TSS-419</t>
  </si>
  <si>
    <t>BSGatlas-terminator-312</t>
  </si>
  <si>
    <t>BSGatlas-TSS-420</t>
  </si>
  <si>
    <t>BSGatlas-terminator-313</t>
  </si>
  <si>
    <t>BSGatlas-TSS-421</t>
  </si>
  <si>
    <t>BSGatlas-terminator-314</t>
  </si>
  <si>
    <t>BSGatlas-TSS-423</t>
  </si>
  <si>
    <t>BSGatlas-terminator-315</t>
  </si>
  <si>
    <t>BSGatlas-TSS-425</t>
  </si>
  <si>
    <t>BSGatlas-TSS-424</t>
  </si>
  <si>
    <t>BSGatlas-TSS-426</t>
  </si>
  <si>
    <t>ydeN-ydzF</t>
  </si>
  <si>
    <t>BSGatlas-TSS-427</t>
  </si>
  <si>
    <t>BSGatlas-terminator-316</t>
  </si>
  <si>
    <t>BSGatlas-TSS-428</t>
  </si>
  <si>
    <t>BSGatlas-terminator-317</t>
  </si>
  <si>
    <t>BSGatlas-terminator-318</t>
  </si>
  <si>
    <t>BSGatlas-TSS-429</t>
  </si>
  <si>
    <t>BSGatlas-terminator-319</t>
  </si>
  <si>
    <t>BSGatlas-TSS-430</t>
  </si>
  <si>
    <t>ydeS-ydzO</t>
  </si>
  <si>
    <t>BSGatlas-TSS-431</t>
  </si>
  <si>
    <t>BSGatlas-terminator-320</t>
  </si>
  <si>
    <t>aseR-arsF-ydzSn-ydzSc</t>
  </si>
  <si>
    <t>BSGatlas-TSS-432</t>
  </si>
  <si>
    <t>BSGatlas-terminator-321</t>
  </si>
  <si>
    <t>BSGatlas-TSS-433</t>
  </si>
  <si>
    <t>BSGatlas-terminator-322</t>
  </si>
  <si>
    <t>BSGatlas-TSS-434</t>
  </si>
  <si>
    <t>BSGatlas-TSS-435</t>
  </si>
  <si>
    <t>BSGatlas-terminator-323</t>
  </si>
  <si>
    <t>BSGatlas-TSS-436</t>
  </si>
  <si>
    <t>BSGatlas-terminator-324</t>
  </si>
  <si>
    <t>ydfH-ydfI</t>
  </si>
  <si>
    <t>BSGatlas-TSS-437</t>
  </si>
  <si>
    <t>BSGatlas-terminator-325</t>
  </si>
  <si>
    <t>BSGatlas-TSS-439</t>
  </si>
  <si>
    <t>BSGatlas-terminator-326</t>
  </si>
  <si>
    <t>BSGatlas-TSS-440</t>
  </si>
  <si>
    <t>BSGatlas-TSS-443</t>
  </si>
  <si>
    <t>BSGatlas-terminator-327</t>
  </si>
  <si>
    <t>BSGatlas-terminator-328</t>
  </si>
  <si>
    <t>BSGatlas-TSS-444</t>
  </si>
  <si>
    <t>BSGatlas-terminator-329</t>
  </si>
  <si>
    <t>BSGatlas-TSS-445</t>
  </si>
  <si>
    <t>BSGatlas-TSS-446</t>
  </si>
  <si>
    <t>BSGatlas-terminator-330</t>
  </si>
  <si>
    <t>ydfN-ydfO-ydfP</t>
  </si>
  <si>
    <t>BSGatlas-TSS-447</t>
  </si>
  <si>
    <t>BSGatlas-terminator-331</t>
  </si>
  <si>
    <t>BSGatlas-terminator-332</t>
  </si>
  <si>
    <t>BSGatlas-TSS-448</t>
  </si>
  <si>
    <t>ydfO-ydfP</t>
  </si>
  <si>
    <t>BSGatlas-TSS-449</t>
  </si>
  <si>
    <t>BSGatlas-TSS-450</t>
  </si>
  <si>
    <t>BSGatlas-TSS-451</t>
  </si>
  <si>
    <t>BSGatlas-terminator-333</t>
  </si>
  <si>
    <t>BSGatlas-terminator-336</t>
  </si>
  <si>
    <t>BSGatlas-terminator-334</t>
  </si>
  <si>
    <t>BSGatlas-TSS-452</t>
  </si>
  <si>
    <t>BSGatlas-terminator-338</t>
  </si>
  <si>
    <t>BSGatlas-TSS-453</t>
  </si>
  <si>
    <t>BSGatlas-terminator-335</t>
  </si>
  <si>
    <t>BSGatlas-TSS-454</t>
  </si>
  <si>
    <t>BSGatlas-terminator-337</t>
  </si>
  <si>
    <t>BSGatlas-TSS-455</t>
  </si>
  <si>
    <t>cotP-ydgA-ydgB</t>
  </si>
  <si>
    <t>BSGatlas-TSS-456</t>
  </si>
  <si>
    <t>ydgC-ydgD-ydgE</t>
  </si>
  <si>
    <t>BSGatlas-TSS-457</t>
  </si>
  <si>
    <t>BSGatlas-terminator-340</t>
  </si>
  <si>
    <t>BSGatlas-terminator-342</t>
  </si>
  <si>
    <t>BSGatlas-terminator-339</t>
  </si>
  <si>
    <t>BSGatlas-TSS-459</t>
  </si>
  <si>
    <t>BSGatlas-terminator-341</t>
  </si>
  <si>
    <t>BSGatlas-TSS-460</t>
  </si>
  <si>
    <t>BSGatlas-terminator-343</t>
  </si>
  <si>
    <t>BSGatlas-TSS-461</t>
  </si>
  <si>
    <t>BSGatlas-terminator-344</t>
  </si>
  <si>
    <t>ydgG-ydgH</t>
  </si>
  <si>
    <t>BSGatlas-TSS-462</t>
  </si>
  <si>
    <t>BSGatlas-terminator-345</t>
  </si>
  <si>
    <t>BSGatlas-terminator-346</t>
  </si>
  <si>
    <t>ydgI-ydgJ</t>
  </si>
  <si>
    <t>BSGatlas-TSS-463</t>
  </si>
  <si>
    <t>BSGatlas-terminator-347</t>
  </si>
  <si>
    <t>BSGatlas-TSS-464</t>
  </si>
  <si>
    <t>BSGatlas-terminator-348</t>
  </si>
  <si>
    <t>BSGatlas-TSS-465</t>
  </si>
  <si>
    <t>BSGatlas-TSS-466</t>
  </si>
  <si>
    <t>BSGatlas-TSS-467</t>
  </si>
  <si>
    <t>BSGatlas-terminator-349</t>
  </si>
  <si>
    <t>BSGatlas-TSS-468</t>
  </si>
  <si>
    <t>BSGatlas-terminator-350</t>
  </si>
  <si>
    <t>ydhF-phoB</t>
  </si>
  <si>
    <t>BSGatlas-TSS-469</t>
  </si>
  <si>
    <t>BSGatlas-terminator-351</t>
  </si>
  <si>
    <t>BSGatlas-TSS-470</t>
  </si>
  <si>
    <t>BSGatlas-terminator-352</t>
  </si>
  <si>
    <t>BSGatlas-TSS-471</t>
  </si>
  <si>
    <t>BSGatlas-terminator-353</t>
  </si>
  <si>
    <t>ydhH-ydhI</t>
  </si>
  <si>
    <t>BSGatlas-TSS-473</t>
  </si>
  <si>
    <t>BSGatlas-terminator-354</t>
  </si>
  <si>
    <t>BSGatlas-TSS-472</t>
  </si>
  <si>
    <t>BSGatlas-terminator-355</t>
  </si>
  <si>
    <t>BSGatlas-TSS-474</t>
  </si>
  <si>
    <t>BSGatlas-terminator-356</t>
  </si>
  <si>
    <t>BSGatlas-TSS-475</t>
  </si>
  <si>
    <t>BSGatlas-TSS-476</t>
  </si>
  <si>
    <t>BSGatlas-terminator-357</t>
  </si>
  <si>
    <t>BSGatlas-terminator-358</t>
  </si>
  <si>
    <t>gmuB-gmuA-gmuC-gmuD-gmuR-gmuE-gmuF-gmuG</t>
  </si>
  <si>
    <t>BSGatlas-TSS-477</t>
  </si>
  <si>
    <t>BSGatlas-terminator-359</t>
  </si>
  <si>
    <t>gmuR-gmuE-gmuF-gmuG</t>
  </si>
  <si>
    <t>BSGatlas-TSS-478</t>
  </si>
  <si>
    <t>BSGatlas-terminator-360</t>
  </si>
  <si>
    <t>ydhUc-ydhUn</t>
  </si>
  <si>
    <t>BSGatlas-TSS-479</t>
  </si>
  <si>
    <t>BSGatlas-terminator-361</t>
  </si>
  <si>
    <t>BSGatlas-TSS-480</t>
  </si>
  <si>
    <t>BSGatlas-terminator-362</t>
  </si>
  <si>
    <t>BSGatlas-TSS-481</t>
  </si>
  <si>
    <t>BSGatlas-TSS-482</t>
  </si>
  <si>
    <t>SSU-rRNA-bacteria_rrnE-16S-LSU-rRNA-archaea_rrnE-23S-5S-rRNA_rrnE-5S</t>
  </si>
  <si>
    <t>BSGatlas-terminator-363</t>
  </si>
  <si>
    <t>thiL-tsaE-tsaB-rimI-tsaD</t>
  </si>
  <si>
    <t>BSGatlas-TSS-483</t>
  </si>
  <si>
    <t>BSGatlas-terminator-364</t>
  </si>
  <si>
    <t>BSGatlas-TSS-486</t>
  </si>
  <si>
    <t>BSGatlas-terminator-365</t>
  </si>
  <si>
    <t>moaC-rex-tatAY-tatCY</t>
  </si>
  <si>
    <t>BSGatlas-TSS-484</t>
  </si>
  <si>
    <t>BSGatlas-terminator-366</t>
  </si>
  <si>
    <t>BSGatlas-TSS-485</t>
  </si>
  <si>
    <t>tatAY-tatCY</t>
  </si>
  <si>
    <t>BSGatlas-TSS-487</t>
  </si>
  <si>
    <t>ydiK-ydiL</t>
  </si>
  <si>
    <t>BSGatlas-TSS-490</t>
  </si>
  <si>
    <t>BSGatlas-terminator-367</t>
  </si>
  <si>
    <t>groES-groEL</t>
  </si>
  <si>
    <t>BSGatlas-TSS-488</t>
  </si>
  <si>
    <t>BSGatlas-terminator-368</t>
  </si>
  <si>
    <t>BSGatlas-TSS-489</t>
  </si>
  <si>
    <t>BSGatlas-TSS-491</t>
  </si>
  <si>
    <t>bsuMA-bsuMB</t>
  </si>
  <si>
    <t>BSGatlas-TSS-492</t>
  </si>
  <si>
    <t>BSGatlas-terminator-369</t>
  </si>
  <si>
    <t>BSGatlas-terminator-370</t>
  </si>
  <si>
    <t>BSGatlas-terminator-371</t>
  </si>
  <si>
    <t>BSGatlas-TSS-493</t>
  </si>
  <si>
    <t>BSGatlas-TSS-494</t>
  </si>
  <si>
    <t>BSGatlas-TSS-495</t>
  </si>
  <si>
    <t>bsuRA-bsuRB-bsuRC</t>
  </si>
  <si>
    <t>BSGatlas-TSS-496</t>
  </si>
  <si>
    <t>BSGatlas-terminator-372</t>
  </si>
  <si>
    <t>BSGatlas-terminator-373</t>
  </si>
  <si>
    <t>BSGatlas-terminator-375</t>
  </si>
  <si>
    <t>BSGatlas-TSS-497</t>
  </si>
  <si>
    <t>BSGatlas-terminator-374</t>
  </si>
  <si>
    <t>BSGatlas-terminator-376</t>
  </si>
  <si>
    <t>gutB-gutP</t>
  </si>
  <si>
    <t>BSGatlas-TSS-498</t>
  </si>
  <si>
    <t>gutB-gutP-ydjE</t>
  </si>
  <si>
    <t>BSGatlas-terminator-377</t>
  </si>
  <si>
    <t>BSGatlas-TSS-499</t>
  </si>
  <si>
    <t>BSGatlas-TSS-500</t>
  </si>
  <si>
    <t>BSGatlas-terminator-378</t>
  </si>
  <si>
    <t>pspA-ydjG-ydjH-ydjI</t>
  </si>
  <si>
    <t>BSGatlas-terminator-380</t>
  </si>
  <si>
    <t>BSGatlas-TSS-501</t>
  </si>
  <si>
    <t>BSGatlas-terminator-379</t>
  </si>
  <si>
    <t>BSGatlas-TSS-502</t>
  </si>
  <si>
    <t>BSGatlas-terminator-382</t>
  </si>
  <si>
    <t>BSGatlas-terminator-381</t>
  </si>
  <si>
    <t>BSGatlas-TSS-503</t>
  </si>
  <si>
    <t>BSGatlas-terminator-383</t>
  </si>
  <si>
    <t>BSGatlas-terminator-384</t>
  </si>
  <si>
    <t>walM-ydjN</t>
  </si>
  <si>
    <t>BSGatlas-terminator-385</t>
  </si>
  <si>
    <t>BSGatlas-TSS-504</t>
  </si>
  <si>
    <t>BSGatlas-TSS-505</t>
  </si>
  <si>
    <t>BSGatlas-TSS-506</t>
  </si>
  <si>
    <t>BSGatlas-terminator-386</t>
  </si>
  <si>
    <t>BSGatlas-TSS-507</t>
  </si>
  <si>
    <t>BSGatlas-terminator-387</t>
  </si>
  <si>
    <t>ydjO-ydjP-yeaA</t>
  </si>
  <si>
    <t>BSGatlas-TSS-509</t>
  </si>
  <si>
    <t>BSGatlas-TSS-510</t>
  </si>
  <si>
    <t>BSGatlas-TSS-511</t>
  </si>
  <si>
    <t>BSGatlas-terminator-388</t>
  </si>
  <si>
    <t>BSGatlas-TSS-512</t>
  </si>
  <si>
    <t>BSGatlas-terminator-389</t>
  </si>
  <si>
    <t>BSGatlas-TSS-513</t>
  </si>
  <si>
    <t>BSGatlas-TSS-514</t>
  </si>
  <si>
    <t>BSGatlas-terminator-390</t>
  </si>
  <si>
    <t>BSGatlas-TSS-515</t>
  </si>
  <si>
    <t>BSGatlas-terminator-392</t>
  </si>
  <si>
    <t>BSGatlas-TSS-516</t>
  </si>
  <si>
    <t>BSGatlas-terminator-393</t>
  </si>
  <si>
    <t>BSGatlas-terminator-394</t>
  </si>
  <si>
    <t>BSGatlas-TSS-517</t>
  </si>
  <si>
    <t>BSGatlas-terminator-396</t>
  </si>
  <si>
    <t>BSGatlas-terminator-395</t>
  </si>
  <si>
    <t>BSGatlas-TSS-518</t>
  </si>
  <si>
    <t>BSGatlas-terminator-397</t>
  </si>
  <si>
    <t>BSGatlas-TSS-519</t>
  </si>
  <si>
    <t>BSGatlas-terminator-398</t>
  </si>
  <si>
    <t>yebE-yebG</t>
  </si>
  <si>
    <t>BSGatlas-TSS-520</t>
  </si>
  <si>
    <t>BSGatlas-terminator-399</t>
  </si>
  <si>
    <t>BSGatlas-TSS-521</t>
  </si>
  <si>
    <t>BSGatlas-terminator-400</t>
  </si>
  <si>
    <t>purE-purK-purB-purC-purS-purQ-purL-purF</t>
  </si>
  <si>
    <t>BSGatlas-TSS-522</t>
  </si>
  <si>
    <t>BSGatlas-terminator-402</t>
  </si>
  <si>
    <t>purE-purK-purB-purC-purS-purQ-purL-purF-purM-purN-purH-purD</t>
  </si>
  <si>
    <t>BSGatlas-terminator-403</t>
  </si>
  <si>
    <t>purN-purH-purD</t>
  </si>
  <si>
    <t>BSGatlas-TSS-524</t>
  </si>
  <si>
    <t>BSGatlas-TSS-526</t>
  </si>
  <si>
    <t>BSGatlas-terminator-404</t>
  </si>
  <si>
    <t>BSGatlas-terminator-406</t>
  </si>
  <si>
    <t>BSGatlas-TSS-528</t>
  </si>
  <si>
    <t>BSGatlas-terminator-405</t>
  </si>
  <si>
    <t>yerA-yerB</t>
  </si>
  <si>
    <t>BSGatlas-TSS-527</t>
  </si>
  <si>
    <t>BSGatlas-terminator-407</t>
  </si>
  <si>
    <t>yerA-yerB-yerC</t>
  </si>
  <si>
    <t>BSGatlas-terminator-408</t>
  </si>
  <si>
    <t>BSGatlas-TSS-529</t>
  </si>
  <si>
    <t>yerB-yerC</t>
  </si>
  <si>
    <t>BSGatlas-TSS-530</t>
  </si>
  <si>
    <t>BSGatlas-terminator-409</t>
  </si>
  <si>
    <t>pcrB-pcrA-ligA-yerH</t>
  </si>
  <si>
    <t>BSGatlas-TSS-531</t>
  </si>
  <si>
    <t>BSGatlas-terminator-410</t>
  </si>
  <si>
    <t>BSGatlas-TSS-533</t>
  </si>
  <si>
    <t>BSGatlas-terminator-412</t>
  </si>
  <si>
    <t>BSGatlas-TSS-535</t>
  </si>
  <si>
    <t>BSGatlas-terminator-411</t>
  </si>
  <si>
    <t>BSGatlas-terminator-413</t>
  </si>
  <si>
    <t>BSGatlas-TSS-536</t>
  </si>
  <si>
    <t>BSGatlas-terminator-414</t>
  </si>
  <si>
    <t>BSGatlas-TSS-537</t>
  </si>
  <si>
    <t>BSGatlas-TSS-538</t>
  </si>
  <si>
    <t>gatC-gatA-gatB</t>
  </si>
  <si>
    <t>BSGatlas-TSS-539</t>
  </si>
  <si>
    <t>BSGatlas-terminator-415</t>
  </si>
  <si>
    <t>BSGatlas-TSS-542</t>
  </si>
  <si>
    <t>BSGatlas-terminator-416</t>
  </si>
  <si>
    <t>BSGatlas-TSS-540</t>
  </si>
  <si>
    <t>BSGatlas-terminator-417</t>
  </si>
  <si>
    <t>BSGatlas-TSS-541</t>
  </si>
  <si>
    <t>dagK-rlmCD</t>
  </si>
  <si>
    <t>BSGatlas-TSS-543</t>
  </si>
  <si>
    <t>BSGatlas-terminator-418</t>
  </si>
  <si>
    <t>dagK-rlmCD-yefC-yeeA-yeeB-yeeC</t>
  </si>
  <si>
    <t>BSGatlas-terminator-420</t>
  </si>
  <si>
    <t>BSGatlas-TSS-545</t>
  </si>
  <si>
    <t>BSGatlas-terminator-419</t>
  </si>
  <si>
    <t>yezG-yeeF</t>
  </si>
  <si>
    <t>BSGatlas-TSS-546</t>
  </si>
  <si>
    <t>BSGatlas-TSS-547</t>
  </si>
  <si>
    <t>rapH-phrH</t>
  </si>
  <si>
    <t>BSGatlas-terminator-421</t>
  </si>
  <si>
    <t>BSGatlas-terminator-422</t>
  </si>
  <si>
    <t>BSGatlas-TSS-548</t>
  </si>
  <si>
    <t>BSGatlas-terminator-424</t>
  </si>
  <si>
    <t>BSGatlas-TSS-549</t>
  </si>
  <si>
    <t>BSGatlas-terminator-426</t>
  </si>
  <si>
    <t>BSGatlas-TSS-550</t>
  </si>
  <si>
    <t>BSGatlas-TSS-552</t>
  </si>
  <si>
    <t>BSGatlas-terminator-427</t>
  </si>
  <si>
    <t>yesE-yesF</t>
  </si>
  <si>
    <t>BSGatlas-terminator-428</t>
  </si>
  <si>
    <t>cotJA-cotJB-cotJC-yesJ</t>
  </si>
  <si>
    <t>BSGatlas-TSS-553</t>
  </si>
  <si>
    <t>BSGatlas-terminator-429</t>
  </si>
  <si>
    <t>cotJA-cotJB-cotJC-yesJ-yesK</t>
  </si>
  <si>
    <t>BSGatlas-TSS-555</t>
  </si>
  <si>
    <t>yesL-yesM-yesN</t>
  </si>
  <si>
    <t>BSGatlas-TSS-556</t>
  </si>
  <si>
    <t>BSGatlas-terminator-430</t>
  </si>
  <si>
    <t>BSGatlas-TSS-557</t>
  </si>
  <si>
    <t>rhgR-rhgT-yesU-yesV-rhgW-rhgX-yesY-rhgZ</t>
  </si>
  <si>
    <t>lplD-yetF</t>
  </si>
  <si>
    <t>BSGatlas-TSS-562</t>
  </si>
  <si>
    <t>BSGatlas-terminator-433</t>
  </si>
  <si>
    <t>BSGatlas-terminator-435</t>
  </si>
  <si>
    <t>BSGatlas-TSS-563</t>
  </si>
  <si>
    <t>BSGatlas-terminator-432</t>
  </si>
  <si>
    <t>BSGatlas-terminator-434</t>
  </si>
  <si>
    <t>BSGatlas-TSS-564</t>
  </si>
  <si>
    <t>BSGatlas-TSS-565</t>
  </si>
  <si>
    <t>BSGatlas-terminator-436</t>
  </si>
  <si>
    <t>yetI-yetI</t>
  </si>
  <si>
    <t>BSGatlas-TSS-566</t>
  </si>
  <si>
    <t>BSGatlas-terminator-437</t>
  </si>
  <si>
    <t>yezD-calJ</t>
  </si>
  <si>
    <t>BSGatlas-TSS-567</t>
  </si>
  <si>
    <t>BSGatlas-terminator-438</t>
  </si>
  <si>
    <t>yezD-calJ-yetK</t>
  </si>
  <si>
    <t>BSGatlas-terminator-439</t>
  </si>
  <si>
    <t>BSGatlas-TSS-568</t>
  </si>
  <si>
    <t>calJ-yetK</t>
  </si>
  <si>
    <t>BSGatlas-TSS-569</t>
  </si>
  <si>
    <t>BSGatlas-terminator-440</t>
  </si>
  <si>
    <t>BSGatlas-TSS-570</t>
  </si>
  <si>
    <t>BSGatlas-terminator-441</t>
  </si>
  <si>
    <t>BSGatlas-TSS-571</t>
  </si>
  <si>
    <t>BSGatlas-terminator-442</t>
  </si>
  <si>
    <t>BSGatlas-TSS-572</t>
  </si>
  <si>
    <t>BSGatlas-TSS-573</t>
  </si>
  <si>
    <t>BSGatlas-terminator-443</t>
  </si>
  <si>
    <t>spmH-spmG-yfnF-yfnE-yfnD</t>
  </si>
  <si>
    <t>BSGatlas-TSS-574</t>
  </si>
  <si>
    <t>BSGatlas-terminator-445</t>
  </si>
  <si>
    <t>BSGatlas-terminator-447</t>
  </si>
  <si>
    <t>yfnE-yfnD</t>
  </si>
  <si>
    <t>BSGatlas-TSS-575</t>
  </si>
  <si>
    <t>BSGatlas-TSS-576</t>
  </si>
  <si>
    <t>BSGatlas-TSS-577</t>
  </si>
  <si>
    <t>BSGatlas-TSS-578</t>
  </si>
  <si>
    <t>BSGatlas-terminator-446</t>
  </si>
  <si>
    <t>BSGatlas-TSS-579</t>
  </si>
  <si>
    <t>BSGatlas-terminator-448</t>
  </si>
  <si>
    <t>pynN-mtrA</t>
  </si>
  <si>
    <t>BSGatlas-TSS-580</t>
  </si>
  <si>
    <t>BSGatlas-TSS-582</t>
  </si>
  <si>
    <t>BSGatlas-terminator-449</t>
  </si>
  <si>
    <t>BSGatlas-terminator-450</t>
  </si>
  <si>
    <t>vdhT-yfmS</t>
  </si>
  <si>
    <t>BSGatlas-TSS-581</t>
  </si>
  <si>
    <t>BSGatlas-terminator-451</t>
  </si>
  <si>
    <t>BSGatlas-TSS-583</t>
  </si>
  <si>
    <t>BSGatlas-terminator-452</t>
  </si>
  <si>
    <t>BSGatlas-TSS-584</t>
  </si>
  <si>
    <t>BSGatlas-terminator-454</t>
  </si>
  <si>
    <t>BSGatlas-terminator-455</t>
  </si>
  <si>
    <t>BSGatlas-TSS-586</t>
  </si>
  <si>
    <t>BSGatlas-terminator-456</t>
  </si>
  <si>
    <t>BSGatlas-terminator-457</t>
  </si>
  <si>
    <t>copP-copO</t>
  </si>
  <si>
    <t>BSGatlas-terminator-458</t>
  </si>
  <si>
    <t>BSGatlas-TSS-588</t>
  </si>
  <si>
    <t>BSGatlas-terminator-459</t>
  </si>
  <si>
    <t>BSGatlas-terminator-460</t>
  </si>
  <si>
    <t>BSGatlas-terminator-461</t>
  </si>
  <si>
    <t>BSGatlas-TSS-587</t>
  </si>
  <si>
    <t>BSGatlas-terminator-462</t>
  </si>
  <si>
    <t>BSGatlas-TSS-589</t>
  </si>
  <si>
    <t>BSGatlas-terminator-464</t>
  </si>
  <si>
    <t>BSGatlas-TSS-590</t>
  </si>
  <si>
    <t>BSGatlas-terminator-463</t>
  </si>
  <si>
    <t>yfmJ-yfmI</t>
  </si>
  <si>
    <t>BSGatlas-TSS-592</t>
  </si>
  <si>
    <t>BSGatlas-TSS-591</t>
  </si>
  <si>
    <t>BSGatlas-TSS-593</t>
  </si>
  <si>
    <t>BSGatlas-terminator-465</t>
  </si>
  <si>
    <t>BSGatlas-terminator-467</t>
  </si>
  <si>
    <t>fecF-fecE</t>
  </si>
  <si>
    <t>BSGatlas-TSS-595</t>
  </si>
  <si>
    <t>BSGatlas-terminator-466</t>
  </si>
  <si>
    <t>fecF-fecE-fecD</t>
  </si>
  <si>
    <t>BSGatlas-TSS-596</t>
  </si>
  <si>
    <t>fecF-fecE-fecD-fecC</t>
  </si>
  <si>
    <t>BSGatlas-TSS-599</t>
  </si>
  <si>
    <t>fecF-fecE-fecD-fecC-yfmB</t>
  </si>
  <si>
    <t>BSGatlas-TSS-600</t>
  </si>
  <si>
    <t>BSGatlas-terminator-468</t>
  </si>
  <si>
    <t>fecC-yfmB</t>
  </si>
  <si>
    <t>BSGatlas-terminator-469</t>
  </si>
  <si>
    <t>yfmA-yflT</t>
  </si>
  <si>
    <t>BSGatlas-TSS-597</t>
  </si>
  <si>
    <t>BSGatlas-terminator-471</t>
  </si>
  <si>
    <t>BSGatlas-TSS-598</t>
  </si>
  <si>
    <t>BSGatlas-TSS-601</t>
  </si>
  <si>
    <t>BSGatlas-TSS-602</t>
  </si>
  <si>
    <t>BSGatlas-terminator-472</t>
  </si>
  <si>
    <t>BSGatlas-TSS-603</t>
  </si>
  <si>
    <t>BSGatlas-terminator-473</t>
  </si>
  <si>
    <t>citS-citT-yflP</t>
  </si>
  <si>
    <t>BSGatlas-TSS-604</t>
  </si>
  <si>
    <t>BSGatlas-terminator-474</t>
  </si>
  <si>
    <t>BSGatlas-terminator-475</t>
  </si>
  <si>
    <t>citM-yflN</t>
  </si>
  <si>
    <t>BSGatlas-TSS-605</t>
  </si>
  <si>
    <t>BSGatlas-terminator-476</t>
  </si>
  <si>
    <t>BSGatlas-TSS-606</t>
  </si>
  <si>
    <t>nosA-yflK</t>
  </si>
  <si>
    <t>BSGatlas-TSS-607</t>
  </si>
  <si>
    <t>BSGatlas-terminator-478</t>
  </si>
  <si>
    <t>BSGatlas-TSS-608</t>
  </si>
  <si>
    <t>BSGatlas-terminator-477</t>
  </si>
  <si>
    <t>BSGatlas-TSS-609</t>
  </si>
  <si>
    <t>BSGatlas-terminator-479</t>
  </si>
  <si>
    <t>BSGatlas-TSS-610</t>
  </si>
  <si>
    <t>yflI-yflH-mapB</t>
  </si>
  <si>
    <t>BSGatlas-TSS-611</t>
  </si>
  <si>
    <t>BSGatlas-TSS-613</t>
  </si>
  <si>
    <t>yflH-mapB</t>
  </si>
  <si>
    <t>BSGatlas-terminator-480</t>
  </si>
  <si>
    <t>BSGatlas-TSS-612</t>
  </si>
  <si>
    <t>BSGatlas-terminator-481</t>
  </si>
  <si>
    <t>BSGatlas-terminator-483</t>
  </si>
  <si>
    <t>BSGatlas-TSS-615</t>
  </si>
  <si>
    <t>BSGatlas-terminator-482</t>
  </si>
  <si>
    <t>BSGatlas-TSS-617</t>
  </si>
  <si>
    <t>BSGatlas-TSS-619</t>
  </si>
  <si>
    <t>yflD-yflB-yflA</t>
  </si>
  <si>
    <t>BSGatlas-TSS-614</t>
  </si>
  <si>
    <t>BSGatlas-terminator-485</t>
  </si>
  <si>
    <t>yflB-yflA</t>
  </si>
  <si>
    <t>BSGatlas-TSS-616</t>
  </si>
  <si>
    <t>BSGatlas-TSS-618</t>
  </si>
  <si>
    <t>yfkT-yfkS-yfkR-yfkQ</t>
  </si>
  <si>
    <t>BSGatlas-TSS-620</t>
  </si>
  <si>
    <t>BSGatlas-terminator-484</t>
  </si>
  <si>
    <t>BSGatlas-TSS-622</t>
  </si>
  <si>
    <t>BSGatlas-TSS-623</t>
  </si>
  <si>
    <t>treP-treA-treR</t>
  </si>
  <si>
    <t>BSGatlas-TSS-621</t>
  </si>
  <si>
    <t>BSGatlas-terminator-488</t>
  </si>
  <si>
    <t>BSGatlas-TSS-624</t>
  </si>
  <si>
    <t>BSGatlas-TSS-625</t>
  </si>
  <si>
    <t>BSGatlas-terminator-489</t>
  </si>
  <si>
    <t>BSGatlas-terminator-491</t>
  </si>
  <si>
    <t>BSGatlas-TSS-626</t>
  </si>
  <si>
    <t>BSGatlas-terminator-490</t>
  </si>
  <si>
    <t>BSGatlas-TSS-627</t>
  </si>
  <si>
    <t>BSGatlas-terminator-492</t>
  </si>
  <si>
    <t>yfkL-yfkK</t>
  </si>
  <si>
    <t>BSGatlas-TSS-628</t>
  </si>
  <si>
    <t>BSGatlas-terminator-493</t>
  </si>
  <si>
    <t>BSGatlas-terminator-494</t>
  </si>
  <si>
    <t>yfkJ-yfkI-rbn</t>
  </si>
  <si>
    <t>BSGatlas-TSS-629</t>
  </si>
  <si>
    <t>BSGatlas-TSS-630</t>
  </si>
  <si>
    <t>BSGatlas-TSS-631</t>
  </si>
  <si>
    <t>BSGatlas-terminator-497</t>
  </si>
  <si>
    <t>BSGatlas-TSS-633</t>
  </si>
  <si>
    <t>BSGatlas-terminator-495</t>
  </si>
  <si>
    <t>BSGatlas-terminator-496</t>
  </si>
  <si>
    <t>chaA-yfkD</t>
  </si>
  <si>
    <t>BSGatlas-TSS-632</t>
  </si>
  <si>
    <t>BSGatlas-terminator-499</t>
  </si>
  <si>
    <t>BSGatlas-TSS-634</t>
  </si>
  <si>
    <t>BSGatlas-TSS-635</t>
  </si>
  <si>
    <t>mscC-yfkA</t>
  </si>
  <si>
    <t>BSGatlas-TSS-636</t>
  </si>
  <si>
    <t>BSGatlas-terminator-498</t>
  </si>
  <si>
    <t>BSGatlas-TSS-637</t>
  </si>
  <si>
    <t>BSGatlas-terminator-500</t>
  </si>
  <si>
    <t>BSGatlas-TSS-638</t>
  </si>
  <si>
    <t>BSGatlas-terminator-502</t>
  </si>
  <si>
    <t>BSGatlas-TSS-639</t>
  </si>
  <si>
    <t>BSGatlas-terminator-501</t>
  </si>
  <si>
    <t>BSGatlas-TSS-640</t>
  </si>
  <si>
    <t>BSGatlas-terminator-503</t>
  </si>
  <si>
    <t>yfjP-yfjO</t>
  </si>
  <si>
    <t>BSGatlas-TSS-641</t>
  </si>
  <si>
    <t>BSGatlas-terminator-504</t>
  </si>
  <si>
    <t>BSGatlas-terminator-505</t>
  </si>
  <si>
    <t>BSGatlas-TSS-642</t>
  </si>
  <si>
    <t>BSGatlas-TSS-644</t>
  </si>
  <si>
    <t>BSGatlas-terminator-506</t>
  </si>
  <si>
    <t>yfjM-yfjL</t>
  </si>
  <si>
    <t>BSGatlas-TSS-645</t>
  </si>
  <si>
    <t>BSGatlas-terminator-507</t>
  </si>
  <si>
    <t>BSGatlas-terminator-508</t>
  </si>
  <si>
    <t>acoA-acoB-acoC-acoL</t>
  </si>
  <si>
    <t>BSGatlas-TSS-646</t>
  </si>
  <si>
    <t>BSGatlas-terminator-510</t>
  </si>
  <si>
    <t>acoR-sspH</t>
  </si>
  <si>
    <t>BSGatlas-TSS-647</t>
  </si>
  <si>
    <t>BSGatlas-terminator-512</t>
  </si>
  <si>
    <t>BSGatlas-TSS-648</t>
  </si>
  <si>
    <t>yfjF-yfjE-yfjD-yfjC-yfjB-yfjA</t>
  </si>
  <si>
    <t>BSGatlas-TSS-650</t>
  </si>
  <si>
    <t>BSGatlas-terminator-511</t>
  </si>
  <si>
    <t>BSGatlas-TSS-653</t>
  </si>
  <si>
    <t>BSGatlas-TSS-649</t>
  </si>
  <si>
    <t>malA-malR-malP</t>
  </si>
  <si>
    <t>BSGatlas-TSS-651</t>
  </si>
  <si>
    <t>BSGatlas-terminator-513</t>
  </si>
  <si>
    <t>malR-malP</t>
  </si>
  <si>
    <t>BSGatlas-TSS-652</t>
  </si>
  <si>
    <t>yfiB-yfiC</t>
  </si>
  <si>
    <t>BSGatlas-TSS-654</t>
  </si>
  <si>
    <t>BSGatlas-terminator-514</t>
  </si>
  <si>
    <t>catD-catE</t>
  </si>
  <si>
    <t>BSGatlas-TSS-655</t>
  </si>
  <si>
    <t>BSGatlas-terminator-515</t>
  </si>
  <si>
    <t>yfiG-yfiH-yfiI</t>
  </si>
  <si>
    <t>BSGatlas-terminator-517</t>
  </si>
  <si>
    <t>linJ-linK</t>
  </si>
  <si>
    <t>BSGatlas-TSS-657</t>
  </si>
  <si>
    <t>BSGatlas-terminator-518</t>
  </si>
  <si>
    <t>bifL-bifM-bifN</t>
  </si>
  <si>
    <t>BSGatlas-TSS-659</t>
  </si>
  <si>
    <t>BSGatlas-terminator-519</t>
  </si>
  <si>
    <t>BSGatlas-TSS-660</t>
  </si>
  <si>
    <t>BSGatlas-terminator-520</t>
  </si>
  <si>
    <t>BSGatlas-terminator-521</t>
  </si>
  <si>
    <t>BSGatlas-TSS-661</t>
  </si>
  <si>
    <t>BSGatlas-terminator-523</t>
  </si>
  <si>
    <t>BSGatlas-TSS-662</t>
  </si>
  <si>
    <t>BSGatlas-TSS-663</t>
  </si>
  <si>
    <t>BSGatlas-terminator-522</t>
  </si>
  <si>
    <t>yfiR-yfiS</t>
  </si>
  <si>
    <t>BSGatlas-TSS-664</t>
  </si>
  <si>
    <t>BSGatlas-TSS-665</t>
  </si>
  <si>
    <t>BSGatlas-terminator-524</t>
  </si>
  <si>
    <t>BSGatlas-TSS-666</t>
  </si>
  <si>
    <t>BSGatlas-TSS-667</t>
  </si>
  <si>
    <t>BSGatlas-terminator-525</t>
  </si>
  <si>
    <t>BSGatlas-TSS-668</t>
  </si>
  <si>
    <t>BSGatlas-terminator-527</t>
  </si>
  <si>
    <t>BSGatlas-TSS-670</t>
  </si>
  <si>
    <t>BSGatlas-terminator-526</t>
  </si>
  <si>
    <t>sxzZ-sxzA</t>
  </si>
  <si>
    <t>BSGatlas-TSS-669</t>
  </si>
  <si>
    <t>BSGatlas-terminator-528</t>
  </si>
  <si>
    <t>BSGatlas-terminator-529</t>
  </si>
  <si>
    <t>BSGatlas-TSS-671</t>
  </si>
  <si>
    <t>yfhB-yfhC</t>
  </si>
  <si>
    <t>BSGatlas-terminator-531</t>
  </si>
  <si>
    <t>BSGatlas-TSS-672</t>
  </si>
  <si>
    <t>BSGatlas-TSS-673</t>
  </si>
  <si>
    <t>BSGatlas-terminator-530</t>
  </si>
  <si>
    <t>yfhD-yfhE</t>
  </si>
  <si>
    <t>BSGatlas-TSS-674</t>
  </si>
  <si>
    <t>yfhD-yfhE-yfhF</t>
  </si>
  <si>
    <t>BSGatlas-TSS-676</t>
  </si>
  <si>
    <t>recX-yfhH</t>
  </si>
  <si>
    <t>BSGatlas-TSS-675</t>
  </si>
  <si>
    <t>BSGatlas-terminator-532</t>
  </si>
  <si>
    <t>BSGatlas-TSS-677</t>
  </si>
  <si>
    <t>BSGatlas-terminator-534</t>
  </si>
  <si>
    <t>BSGatlas-TSS-679</t>
  </si>
  <si>
    <t>BSGatlas-terminator-533</t>
  </si>
  <si>
    <t>BSGatlas-TSS-678</t>
  </si>
  <si>
    <t>BSGatlas-terminator-535</t>
  </si>
  <si>
    <t>yfhK-spdL-ephM</t>
  </si>
  <si>
    <t>BSGatlas-TSS-680</t>
  </si>
  <si>
    <t>BSGatlas-terminator-536</t>
  </si>
  <si>
    <t>spdL-ephM</t>
  </si>
  <si>
    <t>BSGatlas-TSS-681</t>
  </si>
  <si>
    <t>BSGatlas-TSS-683</t>
  </si>
  <si>
    <t>BSGatlas-terminator-537</t>
  </si>
  <si>
    <t>csbB-yfhO</t>
  </si>
  <si>
    <t>BSGatlas-terminator-539</t>
  </si>
  <si>
    <t>BSGatlas-TSS-684</t>
  </si>
  <si>
    <t>BSGatlas-TSS-688</t>
  </si>
  <si>
    <t>BSGatlas-terminator-538</t>
  </si>
  <si>
    <t>BSGatlas-TSS-686</t>
  </si>
  <si>
    <t>BSGatlas-terminator-541</t>
  </si>
  <si>
    <t>mutY-fabL-sspE</t>
  </si>
  <si>
    <t>BSGatlas-terminator-543</t>
  </si>
  <si>
    <t>BSGatlas-TSS-687</t>
  </si>
  <si>
    <t>BSGatlas-TSS-692</t>
  </si>
  <si>
    <t>BSGatlas-terminator-540</t>
  </si>
  <si>
    <t>BSGatlas-TSS-694</t>
  </si>
  <si>
    <t>fabL-sspE</t>
  </si>
  <si>
    <t>BSGatlas-TSS-689</t>
  </si>
  <si>
    <t>BSGatlas-TSS-690</t>
  </si>
  <si>
    <t>BSGatlas-TSS-691</t>
  </si>
  <si>
    <t>BSGatlas-TSS-693</t>
  </si>
  <si>
    <t>BSGatlas-TSS-695</t>
  </si>
  <si>
    <t>BSGatlas-terminator-544</t>
  </si>
  <si>
    <t>BSGatlas-TSS-696</t>
  </si>
  <si>
    <t>BSGatlas-terminator-545</t>
  </si>
  <si>
    <t>ygaC-ygaD</t>
  </si>
  <si>
    <t>BSGatlas-terminator-546</t>
  </si>
  <si>
    <t>BSGatlas-TSS-697</t>
  </si>
  <si>
    <t>BSGatlas-terminator-547</t>
  </si>
  <si>
    <t>BSGatlas-TSS-698</t>
  </si>
  <si>
    <t>BSGatlas-terminator-548</t>
  </si>
  <si>
    <t>BSGatlas-TSS-701</t>
  </si>
  <si>
    <t>bcp-perR</t>
  </si>
  <si>
    <t>BSGatlas-TSS-699</t>
  </si>
  <si>
    <t>BSGatlas-terminator-549</t>
  </si>
  <si>
    <t>BSGatlas-TSS-700</t>
  </si>
  <si>
    <t>BSGatlas-TSS-703</t>
  </si>
  <si>
    <t>BSGatlas-terminator-550</t>
  </si>
  <si>
    <t>ygxA-SSU-rRNA-bacteria_rrnD-16S-LSU-rRNA-archaea_rrnD-23S-5S-rRNA_rrnD-5S</t>
  </si>
  <si>
    <t>BSGatlas-TSS-702</t>
  </si>
  <si>
    <t>ygxA-SSU-rRNA-bacteria_rrnD-16S-LSU-rRNA-archaea_rrnD-23S-5S-rRNA_rrnD-5S-asnTA-trnD-Ser</t>
  </si>
  <si>
    <t>BSGatlas-terminator-552</t>
  </si>
  <si>
    <t>ygxA-SSU-rRNA-bacteria_rrnD-16S-LSU-rRNA-archaea_rrnD-23S-5S-rRNA_rrnD-5S-asnTA-trnD-Ser-trnD-Glu-trnD-Val-trnD-Met-trnD-Asp-trnD-Phe-trnD-Thr-trnD-Tyr-trnD-Trp-trnD-His-trnD-Gln-glyTB-cysTA-leuTA</t>
  </si>
  <si>
    <t>BSGatlas-terminator-553</t>
  </si>
  <si>
    <t>BSGatlas-terminator-554</t>
  </si>
  <si>
    <t>ygxA-SSU-rRNA-bacteria_rrnD-16S-LSU-rRNA-archaea_rrnD-23S-5S-rRNA_rrnD-5S-asnTA-trnD-Ser-trnD-Glu-trnD-Val-trnD-Met-trnD-Asp-trnD-Phe-trnD-Thr-trnD-Tyr-trnD-Trp-trnD-His-trnD-Gln-glyTB-cysTA-leuTA-leuTB</t>
  </si>
  <si>
    <t>BSGatlas-terminator-556</t>
  </si>
  <si>
    <t>BSGatlas-terminator-558</t>
  </si>
  <si>
    <t>BSGatlas-TSS-704</t>
  </si>
  <si>
    <t>SSU-rRNA-bacteria_rrnD-16S-LSU-rRNA-archaea_rrnD-23S-5S-rRNA_rrnD-5S</t>
  </si>
  <si>
    <t>BSGatlas-TSS-705</t>
  </si>
  <si>
    <t>SSU-rRNA-bacteria_rrnD-16S-LSU-rRNA-archaea_rrnD-23S-5S-rRNA_rrnD-5S-asnTA-trnD-Ser</t>
  </si>
  <si>
    <t>SSU-rRNA-bacteria_rrnD-16S-LSU-rRNA-archaea_rrnD-23S-5S-rRNA_rrnD-5S-asnTA-trnD-Ser-trnD-Glu-trnD-Val-trnD-Met-trnD-Asp-trnD-Phe-trnD-Thr-trnD-Tyr-trnD-Trp-trnD-His-trnD-Gln-glyTB-cysTA-leuTA</t>
  </si>
  <si>
    <t>SSU-rRNA-bacteria_rrnD-16S-LSU-rRNA-archaea_rrnD-23S-5S-rRNA_rrnD-5S-asnTA-trnD-Ser-trnD-Glu-trnD-Val-trnD-Met-trnD-Asp-trnD-Phe-trnD-Thr-trnD-Tyr-trnD-Trp-trnD-His-trnD-Gln-glyTB-cysTA-leuTA-leuTB</t>
  </si>
  <si>
    <t>BSGatlas-terminator-551</t>
  </si>
  <si>
    <t>BSGatlas-TSS-706</t>
  </si>
  <si>
    <t>5S-rRNA_rrnD-5S-asnTA-trnD-Ser</t>
  </si>
  <si>
    <t>BSGatlas-TSS-707</t>
  </si>
  <si>
    <t>5S-rRNA_rrnD-5S-asnTA-trnD-Ser-trnD-Glu-trnD-Val-trnD-Met-trnD-Asp-trnD-Phe-trnD-Thr-trnD-Tyr-trnD-Trp-trnD-His-trnD-Gln-glyTB-cysTA-leuTA</t>
  </si>
  <si>
    <t>5S-rRNA_rrnD-5S-asnTA-trnD-Ser-trnD-Glu-trnD-Val-trnD-Met-trnD-Asp-trnD-Phe-trnD-Thr-trnD-Tyr-trnD-Trp-trnD-His-trnD-Gln-glyTB-cysTA-leuTA-leuTB</t>
  </si>
  <si>
    <t>BSGatlas-TSS-708</t>
  </si>
  <si>
    <t>BSGatlas-TSS-710</t>
  </si>
  <si>
    <t>BSGatlas-terminator-555</t>
  </si>
  <si>
    <t>BSGatlas-terminator-557</t>
  </si>
  <si>
    <t>BSGatlas-TSS-711</t>
  </si>
  <si>
    <t>BSGatlas-terminator-559</t>
  </si>
  <si>
    <t>BSGatlas-TSS-712</t>
  </si>
  <si>
    <t>BSGatlas-terminator-560</t>
  </si>
  <si>
    <t>BSGatlas-TSS-714</t>
  </si>
  <si>
    <t>BSGatlas-TSS-713</t>
  </si>
  <si>
    <t>BSGatlas-terminator-561</t>
  </si>
  <si>
    <t>BSGatlas-TSS-715</t>
  </si>
  <si>
    <t>BSGatlas-terminator-562</t>
  </si>
  <si>
    <t>BSGatlas-terminator-563</t>
  </si>
  <si>
    <t>BSGatlas-terminator-564</t>
  </si>
  <si>
    <t>BSGatlas-TSS-716</t>
  </si>
  <si>
    <t>BSGatlas-TSS-717</t>
  </si>
  <si>
    <t>BSGatlas-terminator-566</t>
  </si>
  <si>
    <t>BSGatlas-TSS-719</t>
  </si>
  <si>
    <t>BSGatlas-terminator-565</t>
  </si>
  <si>
    <t>BSGatlas-TSS-720</t>
  </si>
  <si>
    <t>BSGatlas-TSS-718</t>
  </si>
  <si>
    <t>BSGatlas-terminator-567</t>
  </si>
  <si>
    <t>ssuB-ssuA-ssuC-ssuD</t>
  </si>
  <si>
    <t>BSGatlas-TSS-721</t>
  </si>
  <si>
    <t>BSGatlas-terminator-568</t>
  </si>
  <si>
    <t>ssuB-ssuA-ssuC-ssuD-ygaN</t>
  </si>
  <si>
    <t>BSGatlas-terminator-569</t>
  </si>
  <si>
    <t>BSGatlas-TSS-722</t>
  </si>
  <si>
    <t>BSGatlas-TSS-723</t>
  </si>
  <si>
    <t>BSGatlas-terminator-570</t>
  </si>
  <si>
    <t>BSGatlas-TSS-724</t>
  </si>
  <si>
    <t>BSGatlas-terminator-571</t>
  </si>
  <si>
    <t>ygaO-ygzD</t>
  </si>
  <si>
    <t>BSGatlas-TSS-725</t>
  </si>
  <si>
    <t>BSGatlas-TSS-726</t>
  </si>
  <si>
    <t>BSGatlas-terminator-573</t>
  </si>
  <si>
    <t>BSGatlas-TSS-727</t>
  </si>
  <si>
    <t>BSGatlas-terminator-572</t>
  </si>
  <si>
    <t>BSGatlas-terminator-574</t>
  </si>
  <si>
    <t>yhbB-trmL</t>
  </si>
  <si>
    <t>BSGatlas-TSS-728</t>
  </si>
  <si>
    <t>BSGatlas-terminator-576</t>
  </si>
  <si>
    <t>BSGatlas-TSS-729</t>
  </si>
  <si>
    <t>yhbD-yhbE-yhbF</t>
  </si>
  <si>
    <t>BSGatlas-TSS-730</t>
  </si>
  <si>
    <t>BSGatlas-terminator-577</t>
  </si>
  <si>
    <t>BSGatlas-terminator-578</t>
  </si>
  <si>
    <t>BSGatlas-terminator-579</t>
  </si>
  <si>
    <t>BSGatlas-terminator-581</t>
  </si>
  <si>
    <t>BSGatlas-TSS-731</t>
  </si>
  <si>
    <t>BSGatlas-terminator-580</t>
  </si>
  <si>
    <t>BSGatlas-TSS-732</t>
  </si>
  <si>
    <t>BSGatlas-terminator-582</t>
  </si>
  <si>
    <t>BSGatlas-TSS-733</t>
  </si>
  <si>
    <t>BSGatlas-TSS-734</t>
  </si>
  <si>
    <t>BSGatlas-terminator-584</t>
  </si>
  <si>
    <t>BSGatlas-terminator-585</t>
  </si>
  <si>
    <t>BSGatlas-TSS-735</t>
  </si>
  <si>
    <t>yhbI-yhbJ-yhcA-yhcB-yhcC</t>
  </si>
  <si>
    <t>BSGatlas-TSS-736</t>
  </si>
  <si>
    <t>BSGatlas-terminator-586</t>
  </si>
  <si>
    <t>yhbI-yhbJ-yhcA-yhcB-yhcC-yhcD-yhcE-yhcF-yhcG-yhcH-yhcI</t>
  </si>
  <si>
    <t>BSGatlas-terminator-587</t>
  </si>
  <si>
    <t>yhbJ-yhcA-yhcB-yhcC</t>
  </si>
  <si>
    <t>BSGatlas-TSS-737</t>
  </si>
  <si>
    <t>yhbJ-yhcA-yhcB-yhcC-yhcD-yhcE-yhcF-yhcG-yhcH-yhcI</t>
  </si>
  <si>
    <t>BSGatlas-TSS-738</t>
  </si>
  <si>
    <t>yhcE-yhcF-yhcG-yhcH-yhcI</t>
  </si>
  <si>
    <t>BSGatlas-TSS-739</t>
  </si>
  <si>
    <t>BSGatlas-TSS-742</t>
  </si>
  <si>
    <t>BSGatlas-terminator-588</t>
  </si>
  <si>
    <t>cspA-cspB</t>
  </si>
  <si>
    <t>BSGatlas-terminator-589</t>
  </si>
  <si>
    <t>BSGatlas-TSS-741</t>
  </si>
  <si>
    <t>BSGatlas-terminator-590</t>
  </si>
  <si>
    <t>BSGatlas-TSS-743</t>
  </si>
  <si>
    <t>BSGatlas-TSS-744</t>
  </si>
  <si>
    <t>BSGatlas-TSS-745</t>
  </si>
  <si>
    <t>BSGatlas-terminator-593</t>
  </si>
  <si>
    <t>BSGatlas-TSS-746</t>
  </si>
  <si>
    <t>BSGatlas-terminator-591</t>
  </si>
  <si>
    <t>BSGatlas-terminator-592</t>
  </si>
  <si>
    <t>BSGatlas-TSS-747</t>
  </si>
  <si>
    <t>BSGatlas-terminator-594</t>
  </si>
  <si>
    <t>BSGatlas-terminator-595</t>
  </si>
  <si>
    <t>BSGatlas-TSS-748</t>
  </si>
  <si>
    <t>BSGatlas-TSS-749</t>
  </si>
  <si>
    <t>BSGatlas-terminator-596</t>
  </si>
  <si>
    <t>BSGatlas-terminator-598</t>
  </si>
  <si>
    <t>BSGatlas-TSS-750</t>
  </si>
  <si>
    <t>BSGatlas-terminator-597</t>
  </si>
  <si>
    <t>mncR-srtA</t>
  </si>
  <si>
    <t>BSGatlas-TSS-751</t>
  </si>
  <si>
    <t>BSGatlas-terminator-599</t>
  </si>
  <si>
    <t>BSGatlas-TSS-752</t>
  </si>
  <si>
    <t>BSGatlas-TSS-754</t>
  </si>
  <si>
    <t>BSGatlas-TSS-756</t>
  </si>
  <si>
    <t>BSGatlas-TSS-757</t>
  </si>
  <si>
    <t>BSGatlas-TSS-753</t>
  </si>
  <si>
    <t>BSGatlas-TSS-755</t>
  </si>
  <si>
    <t>BSGatlas-terminator-601</t>
  </si>
  <si>
    <t>glpW-yhcX</t>
  </si>
  <si>
    <t>BSGatlas-TSS-758</t>
  </si>
  <si>
    <t>BSGatlas-terminator-602</t>
  </si>
  <si>
    <t>yhxA-glpP</t>
  </si>
  <si>
    <t>BSGatlas-TSS-759</t>
  </si>
  <si>
    <t>BSGatlas-terminator-603</t>
  </si>
  <si>
    <t>glpF-glpK</t>
  </si>
  <si>
    <t>BSGatlas-TSS-760</t>
  </si>
  <si>
    <t>BSGatlas-terminator-604</t>
  </si>
  <si>
    <t>BSGatlas-TSS-761</t>
  </si>
  <si>
    <t>BSGatlas-TSS-762</t>
  </si>
  <si>
    <t>BSGatlas-terminator-605</t>
  </si>
  <si>
    <t>BSGatlas-terminator-606</t>
  </si>
  <si>
    <t>BSGatlas-TSS-763</t>
  </si>
  <si>
    <t>BSGatlas-TSS-764</t>
  </si>
  <si>
    <t>BSGatlas-TSS-765</t>
  </si>
  <si>
    <t>BSGatlas-terminator-607</t>
  </si>
  <si>
    <t>BSGatlas-TSS-766</t>
  </si>
  <si>
    <t>BSGatlas-TSS-767</t>
  </si>
  <si>
    <t>yhcY-yhcZ-azr</t>
  </si>
  <si>
    <t>BSGatlas-TSS-768</t>
  </si>
  <si>
    <t>BSGatlas-terminator-608</t>
  </si>
  <si>
    <t>BSGatlas-TSS-769</t>
  </si>
  <si>
    <t>BSGatlas-terminator-609</t>
  </si>
  <si>
    <t>BSGatlas-TSS-770</t>
  </si>
  <si>
    <t>BSGatlas-terminator-613</t>
  </si>
  <si>
    <t>BSGatlas-TSS-771</t>
  </si>
  <si>
    <t>BSGatlas-terminator-610</t>
  </si>
  <si>
    <t>BSGatlas-terminator-611</t>
  </si>
  <si>
    <t>BSGatlas-TSS-773</t>
  </si>
  <si>
    <t>BSGatlas-terminator-612</t>
  </si>
  <si>
    <t>BSGatlas-TSS-772</t>
  </si>
  <si>
    <t>BSGatlas-terminator-614</t>
  </si>
  <si>
    <t>BSGatlas-TSS-774</t>
  </si>
  <si>
    <t>BSGatlas-terminator-615</t>
  </si>
  <si>
    <t>BSGatlas-TSS-775</t>
  </si>
  <si>
    <t>BSGatlas-terminator-617</t>
  </si>
  <si>
    <t>BSGatlas-TSS-776</t>
  </si>
  <si>
    <t>BSGatlas-terminator-616</t>
  </si>
  <si>
    <t>BSGatlas-TSS-780</t>
  </si>
  <si>
    <t>BSGatlas-terminator-618</t>
  </si>
  <si>
    <t>BSGatlas-TSS-777</t>
  </si>
  <si>
    <t>BSGatlas-TSS-778</t>
  </si>
  <si>
    <t>BSGatlas-terminator-619</t>
  </si>
  <si>
    <t>BSGatlas-terminator-621</t>
  </si>
  <si>
    <t>BSGatlas-TSS-779</t>
  </si>
  <si>
    <t>BSGatlas-TSS-781</t>
  </si>
  <si>
    <t>BSGatlas-terminator-620</t>
  </si>
  <si>
    <t>BSGatlas-TSS-782</t>
  </si>
  <si>
    <t>citA-yhdF</t>
  </si>
  <si>
    <t>BSGatlas-terminator-622</t>
  </si>
  <si>
    <t>BSGatlas-TSS-783</t>
  </si>
  <si>
    <t>BSGatlas-TSS-784</t>
  </si>
  <si>
    <t>BSGatlas-terminator-623</t>
  </si>
  <si>
    <t>BSGatlas-terminator-624</t>
  </si>
  <si>
    <t>BSGatlas-TSS-785</t>
  </si>
  <si>
    <t>BSGatlas-TSS-786</t>
  </si>
  <si>
    <t>BSGatlas-terminator-625</t>
  </si>
  <si>
    <t>BSGatlas-TSS-788</t>
  </si>
  <si>
    <t>BSGatlas-TSS-787</t>
  </si>
  <si>
    <t>BSGatlas-terminator-626</t>
  </si>
  <si>
    <t>BSGatlas-terminator-628</t>
  </si>
  <si>
    <t>asiMB-asiMA-sigM</t>
  </si>
  <si>
    <t>BSGatlas-TSS-789</t>
  </si>
  <si>
    <t>BSGatlas-terminator-627</t>
  </si>
  <si>
    <t>BSGatlas-TSS-790</t>
  </si>
  <si>
    <t>BSGatlas-terminator-629</t>
  </si>
  <si>
    <t>BSGatlas-TSS-791</t>
  </si>
  <si>
    <t>BSGatlas-terminator-631</t>
  </si>
  <si>
    <t>akrN-plsC</t>
  </si>
  <si>
    <t>BSGatlas-terminator-632</t>
  </si>
  <si>
    <t>BSGatlas-terminator-633</t>
  </si>
  <si>
    <t>yhdP-cueR</t>
  </si>
  <si>
    <t>BSGatlas-TSS-793</t>
  </si>
  <si>
    <t>BSGatlas-terminator-630</t>
  </si>
  <si>
    <t>BSGatlas-TSS-794</t>
  </si>
  <si>
    <t>BSGatlas-TSS-792</t>
  </si>
  <si>
    <t>BSGatlas-terminator-634</t>
  </si>
  <si>
    <t>BSGatlas-TSS-795</t>
  </si>
  <si>
    <t>BSGatlas-terminator-635</t>
  </si>
  <si>
    <t>BSGatlas-TSS-796</t>
  </si>
  <si>
    <t>BSGatlas-terminator-636</t>
  </si>
  <si>
    <t>BSGatlas-terminator-637</t>
  </si>
  <si>
    <t>crcBA-crcBB-yhdW</t>
  </si>
  <si>
    <t>BSGatlas-TSS-797</t>
  </si>
  <si>
    <t>BSGatlas-TSS-798</t>
  </si>
  <si>
    <t>BSGatlas-terminator-638</t>
  </si>
  <si>
    <t>BSGatlas-TSS-799</t>
  </si>
  <si>
    <t>BSGatlas-TSS-800</t>
  </si>
  <si>
    <t>BSGatlas-terminator-639</t>
  </si>
  <si>
    <t>BSGatlas-TSS-801</t>
  </si>
  <si>
    <t>BSGatlas-terminator-640</t>
  </si>
  <si>
    <t>BSGatlas-TSS-803</t>
  </si>
  <si>
    <t>BSGatlas-terminator-641</t>
  </si>
  <si>
    <t>BSGatlas-TSS-802</t>
  </si>
  <si>
    <t>BSGatlas-terminator-642</t>
  </si>
  <si>
    <t>BSGatlas-TSS-804</t>
  </si>
  <si>
    <t>BSGatlas-TSS-805</t>
  </si>
  <si>
    <t>BSGatlas-terminator-643</t>
  </si>
  <si>
    <t>BSGatlas-TSS-806</t>
  </si>
  <si>
    <t>BSGatlas-terminator-644</t>
  </si>
  <si>
    <t>BSGatlas-terminator-645</t>
  </si>
  <si>
    <t>bmrB-bmrC-bmrD</t>
  </si>
  <si>
    <t>BSGatlas-TSS-807</t>
  </si>
  <si>
    <t>BSGatlas-terminator-647</t>
  </si>
  <si>
    <t>BSGatlas-terminator-650</t>
  </si>
  <si>
    <t>BSGatlas-terminator-646</t>
  </si>
  <si>
    <t>bmrC-bmrD</t>
  </si>
  <si>
    <t>BSGatlas-TSS-808</t>
  </si>
  <si>
    <t>BSGatlas-terminator-648</t>
  </si>
  <si>
    <t>yheG-yheF</t>
  </si>
  <si>
    <t>BSGatlas-TSS-810</t>
  </si>
  <si>
    <t>BSGatlas-TSS-812</t>
  </si>
  <si>
    <t>BSGatlas-terminator-649</t>
  </si>
  <si>
    <t>BSGatlas-TSS-813</t>
  </si>
  <si>
    <t>BSGatlas-terminator-651</t>
  </si>
  <si>
    <t>BSGatlas-TSS-814</t>
  </si>
  <si>
    <t>BSGatlas-terminator-652</t>
  </si>
  <si>
    <t>spaD-spaC</t>
  </si>
  <si>
    <t>BSGatlas-TSS-815</t>
  </si>
  <si>
    <t>yheB-yheA</t>
  </si>
  <si>
    <t>BSGatlas-TSS-816</t>
  </si>
  <si>
    <t>BSGatlas-terminator-653</t>
  </si>
  <si>
    <t>BSGatlas-TSS-817</t>
  </si>
  <si>
    <t>BSGatlas-terminator-654</t>
  </si>
  <si>
    <t>BSGatlas-terminator-655</t>
  </si>
  <si>
    <t>BSGatlas-TSS-818</t>
  </si>
  <si>
    <t>BSGatlas-terminator-656</t>
  </si>
  <si>
    <t>BSGatlas-terminator-657</t>
  </si>
  <si>
    <t>BSGatlas-TSS-819</t>
  </si>
  <si>
    <t>BSGatlas-terminator-658</t>
  </si>
  <si>
    <t>BSGatlas-TSS-820</t>
  </si>
  <si>
    <t>BSGatlas-terminator-659</t>
  </si>
  <si>
    <t>khtU-khtT-khtS</t>
  </si>
  <si>
    <t>BSGatlas-TSS-821</t>
  </si>
  <si>
    <t>BSGatlas-terminator-660</t>
  </si>
  <si>
    <t>BSGatlas-TSS-822</t>
  </si>
  <si>
    <t>BSGatlas-terminator-661</t>
  </si>
  <si>
    <t>BSGatlas-TSS-823</t>
  </si>
  <si>
    <t>yhaQ-yhaP</t>
  </si>
  <si>
    <t>BSGatlas-TSS-824</t>
  </si>
  <si>
    <t>BSGatlas-terminator-662</t>
  </si>
  <si>
    <t>yhaO-sbcE-yhaM</t>
  </si>
  <si>
    <t>BSGatlas-TSS-825</t>
  </si>
  <si>
    <t>BSGatlas-terminator-664</t>
  </si>
  <si>
    <t>sbcE-yhaM</t>
  </si>
  <si>
    <t>BSGatlas-TSS-826</t>
  </si>
  <si>
    <t>BSGatlas-TSS-827</t>
  </si>
  <si>
    <t>BSGatlas-TSS-828</t>
  </si>
  <si>
    <t>BSGatlas-terminator-665</t>
  </si>
  <si>
    <t>BSGatlas-TSS-829</t>
  </si>
  <si>
    <t>BSGatlas-terminator-666</t>
  </si>
  <si>
    <t>BSGatlas-TSS-831</t>
  </si>
  <si>
    <t>BSGatlas-terminator-667</t>
  </si>
  <si>
    <t>BSGatlas-TSS-830</t>
  </si>
  <si>
    <t>BSGatlas-terminator-668</t>
  </si>
  <si>
    <t>sscA-sscB</t>
  </si>
  <si>
    <t>BSGatlas-terminator-669</t>
  </si>
  <si>
    <t>BSGatlas-terminator-672</t>
  </si>
  <si>
    <t>BSGatlas-TSS-832</t>
  </si>
  <si>
    <t>BSGatlas-TSS-833</t>
  </si>
  <si>
    <t>BSGatlas-terminator-670</t>
  </si>
  <si>
    <t>BSGatlas-TSS-835</t>
  </si>
  <si>
    <t>BSGatlas-terminator-671</t>
  </si>
  <si>
    <t>BSGatlas-TSS-834</t>
  </si>
  <si>
    <t>BSGatlas-terminator-675</t>
  </si>
  <si>
    <t>BSGatlas-TSS-836</t>
  </si>
  <si>
    <t>BSGatlas-TSS-838</t>
  </si>
  <si>
    <t>BSGatlas-terminator-673</t>
  </si>
  <si>
    <t>BSGatlas-terminator-674</t>
  </si>
  <si>
    <t>BSGatlas-TSS-837</t>
  </si>
  <si>
    <t>BSGatlas-terminator-679</t>
  </si>
  <si>
    <t>BSGatlas-TSS-839</t>
  </si>
  <si>
    <t>BSGatlas-terminator-676</t>
  </si>
  <si>
    <t>BSGatlas-TSS-840</t>
  </si>
  <si>
    <t>BSGatlas-TSS-841</t>
  </si>
  <si>
    <t>BSGatlas-terminator-677</t>
  </si>
  <si>
    <t>trpP-serC</t>
  </si>
  <si>
    <t>BSGatlas-TSS-842</t>
  </si>
  <si>
    <t>BSGatlas-terminator-678</t>
  </si>
  <si>
    <t>BSGatlas-TSS-843</t>
  </si>
  <si>
    <t>BSGatlas-terminator-680</t>
  </si>
  <si>
    <t>BSGatlas-TSS-844</t>
  </si>
  <si>
    <t>BSGatlas-terminator-682</t>
  </si>
  <si>
    <t>BSGatlas-TSS-846</t>
  </si>
  <si>
    <t>ecsA-ecsB-ecsC</t>
  </si>
  <si>
    <t>BSGatlas-TSS-845</t>
  </si>
  <si>
    <t>BSGatlas-terminator-683</t>
  </si>
  <si>
    <t>BSGatlas-TSS-847</t>
  </si>
  <si>
    <t>BSGatlas-terminator-684</t>
  </si>
  <si>
    <t>BSGatlas-terminator-685</t>
  </si>
  <si>
    <t>sndC-yhfA</t>
  </si>
  <si>
    <t>BSGatlas-TSS-848</t>
  </si>
  <si>
    <t>BSGatlas-TSS-849</t>
  </si>
  <si>
    <t>BSGatlas-terminator-686</t>
  </si>
  <si>
    <t>BSGatlas-TSS-852</t>
  </si>
  <si>
    <t>BSGatlas-TSS-850</t>
  </si>
  <si>
    <t>BSGatlas-terminator-687</t>
  </si>
  <si>
    <t>BSGatlas-TSS-851</t>
  </si>
  <si>
    <t>hemE-hemH</t>
  </si>
  <si>
    <t>BSGatlas-TSS-853</t>
  </si>
  <si>
    <t>BSGatlas-terminator-688</t>
  </si>
  <si>
    <t>hemE-hemH-hemY</t>
  </si>
  <si>
    <t>BSGatlas-terminator-689</t>
  </si>
  <si>
    <t>yhgD-yhgE</t>
  </si>
  <si>
    <t>BSGatlas-TSS-854</t>
  </si>
  <si>
    <t>BSGatlas-terminator-690</t>
  </si>
  <si>
    <t>BSGatlas-TSS-855</t>
  </si>
  <si>
    <t>BSGatlas-TSS-856</t>
  </si>
  <si>
    <t>BSGatlas-terminator-691</t>
  </si>
  <si>
    <t>BSGatlas-TSS-857</t>
  </si>
  <si>
    <t>BSGatlas-TSS-858</t>
  </si>
  <si>
    <t>yhfE-yhfF</t>
  </si>
  <si>
    <t>BSGatlas-TSS-859</t>
  </si>
  <si>
    <t>BSGatlas-terminator-692</t>
  </si>
  <si>
    <t>BSGatlas-TSS-860</t>
  </si>
  <si>
    <t>BSGatlas-terminator-693</t>
  </si>
  <si>
    <t>BSGatlas-TSS-861</t>
  </si>
  <si>
    <t>BSGatlas-terminator-694</t>
  </si>
  <si>
    <t>yhfI-lplJ-yhfK</t>
  </si>
  <si>
    <t>BSGatlas-TSS-862</t>
  </si>
  <si>
    <t>BSGatlas-terminator-695</t>
  </si>
  <si>
    <t>BSGatlas-TSS-863</t>
  </si>
  <si>
    <t>BSGatlas-terminator-697</t>
  </si>
  <si>
    <t>BSGatlas-TSS-864</t>
  </si>
  <si>
    <t>BSGatlas-terminator-696</t>
  </si>
  <si>
    <t>BSGatlas-TSS-866</t>
  </si>
  <si>
    <t>BSGatlas-TSS-865</t>
  </si>
  <si>
    <t>BSGatlas-terminator-699</t>
  </si>
  <si>
    <t>BSGatlas-TSS-867</t>
  </si>
  <si>
    <t>BSGatlas-terminator-698</t>
  </si>
  <si>
    <t>yhfO-yhfP</t>
  </si>
  <si>
    <t>BSGatlas-TSS-868</t>
  </si>
  <si>
    <t>BSGatlas-terminator-700</t>
  </si>
  <si>
    <t>yhfO-yhfP-yhfQ</t>
  </si>
  <si>
    <t>BSGatlas-terminator-701</t>
  </si>
  <si>
    <t>BSGatlas-terminator-702</t>
  </si>
  <si>
    <t>BSGatlas-TSS-869</t>
  </si>
  <si>
    <t>yhfP-yhfQ</t>
  </si>
  <si>
    <t>BSGatlas-TSS-870</t>
  </si>
  <si>
    <t>BSGatlas-TSS-871</t>
  </si>
  <si>
    <t>BSGatlas-terminator-703</t>
  </si>
  <si>
    <t>phoE-yhfS-yhfT</t>
  </si>
  <si>
    <t>BSGatlas-TSS-872</t>
  </si>
  <si>
    <t>phoE-yhfS-yhfT-bioY</t>
  </si>
  <si>
    <t>BSGatlas-TSS-873</t>
  </si>
  <si>
    <t>BSGatlas-TSS-874</t>
  </si>
  <si>
    <t>BSGatlas-terminator-704</t>
  </si>
  <si>
    <t>BSGatlas-TSS-875</t>
  </si>
  <si>
    <t>BSGatlas-terminator-705</t>
  </si>
  <si>
    <t>BSGatlas-TSS-876</t>
  </si>
  <si>
    <t>BSGatlas-terminator-707</t>
  </si>
  <si>
    <t>BSGatlas-TSS-878</t>
  </si>
  <si>
    <t>BSGatlas-terminator-706</t>
  </si>
  <si>
    <t>BSGatlas-terminator-708</t>
  </si>
  <si>
    <t>BSGatlas-TSS-877</t>
  </si>
  <si>
    <t>BSGatlas-terminator-709</t>
  </si>
  <si>
    <t>BSGatlas-TSS-879</t>
  </si>
  <si>
    <t>BSGatlas-TSS-881</t>
  </si>
  <si>
    <t>BSGatlas-terminator-710</t>
  </si>
  <si>
    <t>BSGatlas-terminator-711</t>
  </si>
  <si>
    <t>BSGatlas-TSS-880</t>
  </si>
  <si>
    <t>BSGatlas-terminator-712</t>
  </si>
  <si>
    <t>BSGatlas-TSS-882</t>
  </si>
  <si>
    <t>BSGatlas-terminator-713</t>
  </si>
  <si>
    <t>yhjB-yhjC</t>
  </si>
  <si>
    <t>BSGatlas-TSS-883</t>
  </si>
  <si>
    <t>BSGatlas-terminator-714</t>
  </si>
  <si>
    <t>BSGatlas-TSS-885</t>
  </si>
  <si>
    <t>BSGatlas-terminator-715</t>
  </si>
  <si>
    <t>yhjE-sipV</t>
  </si>
  <si>
    <t>BSGatlas-TSS-884</t>
  </si>
  <si>
    <t>BSGatlas-terminator-716</t>
  </si>
  <si>
    <t>BSGatlas-TSS-886</t>
  </si>
  <si>
    <t>yhjG-yhjH</t>
  </si>
  <si>
    <t>BSGatlas-TSS-887</t>
  </si>
  <si>
    <t>BSGatlas-terminator-717</t>
  </si>
  <si>
    <t>BSGatlas-TSS-888</t>
  </si>
  <si>
    <t>glcP-ntdC-ntdB-ntdA</t>
  </si>
  <si>
    <t>BSGatlas-TSS-893</t>
  </si>
  <si>
    <t>BSGatlas-terminator-718</t>
  </si>
  <si>
    <t>BSGatlas-TSS-889</t>
  </si>
  <si>
    <t>BSGatlas-terminator-719</t>
  </si>
  <si>
    <t>ntdC-ntdB-ntdA</t>
  </si>
  <si>
    <t>BSGatlas-terminator-720</t>
  </si>
  <si>
    <t>BSGatlas-TSS-890</t>
  </si>
  <si>
    <t>BSGatlas-terminator-722</t>
  </si>
  <si>
    <t>BSGatlas-terminator-723</t>
  </si>
  <si>
    <t>BSGatlas-TSS-891</t>
  </si>
  <si>
    <t>BSGatlas-TSS-892</t>
  </si>
  <si>
    <t>BSGatlas-TSS-894</t>
  </si>
  <si>
    <t>BSGatlas-terminator-721</t>
  </si>
  <si>
    <t>BSGatlas-TSS-895</t>
  </si>
  <si>
    <t>BSGatlas-TSS-896</t>
  </si>
  <si>
    <t>yhjQ-yhjR</t>
  </si>
  <si>
    <t>BSGatlas-TSS-897</t>
  </si>
  <si>
    <t>BSGatlas-terminator-724</t>
  </si>
  <si>
    <t>addB-addA</t>
  </si>
  <si>
    <t>BSGatlas-TSS-898</t>
  </si>
  <si>
    <t>BSGatlas-terminator-725</t>
  </si>
  <si>
    <t>addB-addA-sbcD-sbcC-hlpB</t>
  </si>
  <si>
    <t>BSGatlas-terminator-728</t>
  </si>
  <si>
    <t>sbcD-sbcC-hlpB</t>
  </si>
  <si>
    <t>BSGatlas-TSS-899</t>
  </si>
  <si>
    <t>gerPF-gerPE-gerPD-gerPC-gerPB-gerPA</t>
  </si>
  <si>
    <t>BSGatlas-TSS-901</t>
  </si>
  <si>
    <t>BSGatlas-terminator-726</t>
  </si>
  <si>
    <t>BSGatlas-terminator-727</t>
  </si>
  <si>
    <t>BSGatlas-TSS-900</t>
  </si>
  <si>
    <t>BSGatlas-terminator-730</t>
  </si>
  <si>
    <t>BSGatlas-terminator-731</t>
  </si>
  <si>
    <t>BSGatlas-TSS-902</t>
  </si>
  <si>
    <t>BSGatlas-terminator-729</t>
  </si>
  <si>
    <t>pchI-yisJ</t>
  </si>
  <si>
    <t>BSGatlas-TSS-903</t>
  </si>
  <si>
    <t>mblK-yisL</t>
  </si>
  <si>
    <t>BSGatlas-TSS-904</t>
  </si>
  <si>
    <t>BSGatlas-terminator-732</t>
  </si>
  <si>
    <t>BSGatlas-terminator-733</t>
  </si>
  <si>
    <t>BSGatlas-TSS-905</t>
  </si>
  <si>
    <t>BSGatlas-TSS-906</t>
  </si>
  <si>
    <t>BSGatlas-terminator-735</t>
  </si>
  <si>
    <t>BSGatlas-TSS-907</t>
  </si>
  <si>
    <t>BSGatlas-TSS-908</t>
  </si>
  <si>
    <t>BSGatlas-terminator-736</t>
  </si>
  <si>
    <t>BSGatlas-TSS-909</t>
  </si>
  <si>
    <t>BSGatlas-TSS-910</t>
  </si>
  <si>
    <t>BSGatlas-TSS-911</t>
  </si>
  <si>
    <t>yisR-iolQ</t>
  </si>
  <si>
    <t>BSGatlas-TSS-912</t>
  </si>
  <si>
    <t>BSGatlas-terminator-737</t>
  </si>
  <si>
    <t>BSGatlas-TSS-913</t>
  </si>
  <si>
    <t>BSGatlas-terminator-738</t>
  </si>
  <si>
    <t>BSGatlas-TSS-914</t>
  </si>
  <si>
    <t>BSGatlas-terminator-739</t>
  </si>
  <si>
    <t>BSGatlas-TSS-915</t>
  </si>
  <si>
    <t>BSGatlas-TSS-917</t>
  </si>
  <si>
    <t>BSGatlas-terminator-740</t>
  </si>
  <si>
    <t>BSGatlas-TSS-916</t>
  </si>
  <si>
    <t>BSGatlas-terminator-742</t>
  </si>
  <si>
    <t>yisZ-yitA-yitB</t>
  </si>
  <si>
    <t>BSGatlas-TSS-918</t>
  </si>
  <si>
    <t>BSGatlas-terminator-741</t>
  </si>
  <si>
    <t>slpH-slpS</t>
  </si>
  <si>
    <t>BSGatlas-TSS-919</t>
  </si>
  <si>
    <t>BSGatlas-terminator-744</t>
  </si>
  <si>
    <t>BSGatlas-TSS-920</t>
  </si>
  <si>
    <t>BSGatlas-terminator-743</t>
  </si>
  <si>
    <t>yitF-yitG</t>
  </si>
  <si>
    <t>BSGatlas-TSS-921</t>
  </si>
  <si>
    <t>BSGatlas-terminator-745</t>
  </si>
  <si>
    <t>yitH-yitI</t>
  </si>
  <si>
    <t>BSGatlas-TSS-922</t>
  </si>
  <si>
    <t>BSGatlas-terminator-746</t>
  </si>
  <si>
    <t>BSGatlas-TSS-923</t>
  </si>
  <si>
    <t>BSGatlas-terminator-747</t>
  </si>
  <si>
    <t>BSGatlas-terminator-748</t>
  </si>
  <si>
    <t>BSGatlas-TSS-925</t>
  </si>
  <si>
    <t>BSGatlas-TSS-924</t>
  </si>
  <si>
    <t>BSGatlas-terminator-749</t>
  </si>
  <si>
    <t>BSGatlas-TSS-926</t>
  </si>
  <si>
    <t>BSGatlas-terminator-750</t>
  </si>
  <si>
    <t>BSGatlas-TSS-927</t>
  </si>
  <si>
    <t>yizB-yitQ-yitR</t>
  </si>
  <si>
    <t>BSGatlas-TSS-928</t>
  </si>
  <si>
    <t>BSGatlas-terminator-751</t>
  </si>
  <si>
    <t>BSGatlas-terminator-752</t>
  </si>
  <si>
    <t>BSGatlas-TSS-930</t>
  </si>
  <si>
    <t>BSGatlas-terminator-753</t>
  </si>
  <si>
    <t>yitT-ipi</t>
  </si>
  <si>
    <t>BSGatlas-TSS-929</t>
  </si>
  <si>
    <t>BSGatlas-terminator-754</t>
  </si>
  <si>
    <t>BSGatlas-TSS-931</t>
  </si>
  <si>
    <t>BSGatlas-TSS-932</t>
  </si>
  <si>
    <t>BSGatlas-TSS-933</t>
  </si>
  <si>
    <t>BSGatlas-TSS-934</t>
  </si>
  <si>
    <t>BSGatlas-terminator-755</t>
  </si>
  <si>
    <t>yizC-ribZC</t>
  </si>
  <si>
    <t>BSGatlas-TSS-935</t>
  </si>
  <si>
    <t>yitV-yitW</t>
  </si>
  <si>
    <t>BSGatlas-TSS-936</t>
  </si>
  <si>
    <t>BSGatlas-terminator-756</t>
  </si>
  <si>
    <t>BSGatlas-TSS-937</t>
  </si>
  <si>
    <t>BSGatlas-terminator-757</t>
  </si>
  <si>
    <t>argC-argJ-argB-argD-carA-carB-argF</t>
  </si>
  <si>
    <t>BSGatlas-TSS-938</t>
  </si>
  <si>
    <t>BSGatlas-terminator-758</t>
  </si>
  <si>
    <t>BSGatlas-terminator-759</t>
  </si>
  <si>
    <t>BSGatlas-TSS-939</t>
  </si>
  <si>
    <t>BSGatlas-TSS-942</t>
  </si>
  <si>
    <t>BSGatlas-terminator-760</t>
  </si>
  <si>
    <t>BSGatlas-TSS-941</t>
  </si>
  <si>
    <t>BSGatlas-terminator-761</t>
  </si>
  <si>
    <t>BSGatlas-terminator-762</t>
  </si>
  <si>
    <t>BSGatlas-TSS-943</t>
  </si>
  <si>
    <t>BSGatlas-terminator-763</t>
  </si>
  <si>
    <t>yjaU-yjaV-med-comZ</t>
  </si>
  <si>
    <t>BSGatlas-terminator-764</t>
  </si>
  <si>
    <t>BSGatlas-terminator-765</t>
  </si>
  <si>
    <t>BSGatlas-TSS-944</t>
  </si>
  <si>
    <t>BSGatlas-TSS-946</t>
  </si>
  <si>
    <t>yjaV-med-comZ</t>
  </si>
  <si>
    <t>BSGatlas-TSS-945</t>
  </si>
  <si>
    <t>med-comZ</t>
  </si>
  <si>
    <t>BSGatlas-TSS-947</t>
  </si>
  <si>
    <t>BSGatlas-TSS-948</t>
  </si>
  <si>
    <t>BSGatlas-TSS-949</t>
  </si>
  <si>
    <t>BSGatlas-TSS-950</t>
  </si>
  <si>
    <t>BSGatlas-TSS-951</t>
  </si>
  <si>
    <t>BSGatlas-terminator-766</t>
  </si>
  <si>
    <t>BSGatlas-TSS-954</t>
  </si>
  <si>
    <t>fabHA-fabF</t>
  </si>
  <si>
    <t>BSGatlas-TSS-952</t>
  </si>
  <si>
    <t>BSGatlas-terminator-767</t>
  </si>
  <si>
    <t>BSGatlas-terminator-768</t>
  </si>
  <si>
    <t>BSGatlas-TSS-953</t>
  </si>
  <si>
    <t>BSGatlas-TSS-955</t>
  </si>
  <si>
    <t>BSGatlas-TSS-956</t>
  </si>
  <si>
    <t>appD-appF-appAn-appAc</t>
  </si>
  <si>
    <t>BSGatlas-TSS-958</t>
  </si>
  <si>
    <t>BSGatlas-terminator-769</t>
  </si>
  <si>
    <t>appD-appF-appAn-appAc-appB-appC</t>
  </si>
  <si>
    <t>BSGatlas-terminator-770</t>
  </si>
  <si>
    <t>BSGatlas-terminator-771</t>
  </si>
  <si>
    <t>appAn-appAc</t>
  </si>
  <si>
    <t>BSGatlas-TSS-959</t>
  </si>
  <si>
    <t>appAn-appAc-appB-appC</t>
  </si>
  <si>
    <t>BSGatlas-TSS-960</t>
  </si>
  <si>
    <t>BSGatlas-terminator-772</t>
  </si>
  <si>
    <t>BSGatlas-TSS-961</t>
  </si>
  <si>
    <t>BSGatlas-terminator-773</t>
  </si>
  <si>
    <t>BSGatlas-terminator-774</t>
  </si>
  <si>
    <t>BSGatlas-TSS-962</t>
  </si>
  <si>
    <t>oppA-oppB-oppC-oppD-oppF</t>
  </si>
  <si>
    <t>BSGatlas-terminator-776</t>
  </si>
  <si>
    <t>BSGatlas-terminator-777</t>
  </si>
  <si>
    <t>BSGatlas-TSS-964</t>
  </si>
  <si>
    <t>yjbC-spxA</t>
  </si>
  <si>
    <t>BSGatlas-TSS-965</t>
  </si>
  <si>
    <t>BSGatlas-terminator-779</t>
  </si>
  <si>
    <t>BSGatlas-TSS-966</t>
  </si>
  <si>
    <t>BSGatlas-TSS-967</t>
  </si>
  <si>
    <t>BSGatlas-TSS-969</t>
  </si>
  <si>
    <t>BSGatlas-TSS-970</t>
  </si>
  <si>
    <t>BSGatlas-TSS-972</t>
  </si>
  <si>
    <t>BSGatlas-terminator-778</t>
  </si>
  <si>
    <t>BSGatlas-TSS-973</t>
  </si>
  <si>
    <t>BSGatlas-TSS-974</t>
  </si>
  <si>
    <t>BSGatlas-terminator-780</t>
  </si>
  <si>
    <t>BSGatlas-TSS-975</t>
  </si>
  <si>
    <t>BSGatlas-terminator-781</t>
  </si>
  <si>
    <t>coiA-pepF</t>
  </si>
  <si>
    <t>BSGatlas-terminator-782</t>
  </si>
  <si>
    <t>BSGatlas-TSS-976</t>
  </si>
  <si>
    <t>BSGatlas-TSS-977</t>
  </si>
  <si>
    <t>BSGatlas-TSS-978</t>
  </si>
  <si>
    <t>BSGatlas-TSS-979</t>
  </si>
  <si>
    <t>BSGatlas-TSS-980</t>
  </si>
  <si>
    <t>BSGatlas-terminator-783</t>
  </si>
  <si>
    <t>BSGatlas-TSS-981</t>
  </si>
  <si>
    <t>BSGatlas-terminator-784</t>
  </si>
  <si>
    <t>spxH-yjbI</t>
  </si>
  <si>
    <t>BSGatlas-TSS-983</t>
  </si>
  <si>
    <t>BSGatlas-terminator-785</t>
  </si>
  <si>
    <t>BSGatlas-TSS-982</t>
  </si>
  <si>
    <t>BSGatlas-TSS-984</t>
  </si>
  <si>
    <t>BSGatlas-terminator-786</t>
  </si>
  <si>
    <t>cwlQ-yjbK</t>
  </si>
  <si>
    <t>BSGatlas-TSS-985</t>
  </si>
  <si>
    <t>yjbL-relP-ppnKA-yjbO</t>
  </si>
  <si>
    <t>BSGatlas-TSS-986</t>
  </si>
  <si>
    <t>BSGatlas-terminator-787</t>
  </si>
  <si>
    <t>BSGatlas-TSS-988</t>
  </si>
  <si>
    <t>BSGatlas-terminator-788</t>
  </si>
  <si>
    <t>BSGatlas-TSS-987</t>
  </si>
  <si>
    <t>tenA-tenI-thiO-thiS-thiG-thiF-thiD</t>
  </si>
  <si>
    <t>BSGatlas-TSS-989</t>
  </si>
  <si>
    <t>BSGatlas-terminator-790</t>
  </si>
  <si>
    <t>BSGatlas-terminator-789</t>
  </si>
  <si>
    <t>BSGatlas-TSS-990</t>
  </si>
  <si>
    <t>BSGatlas-terminator-791</t>
  </si>
  <si>
    <t>BSGatlas-TSS-991</t>
  </si>
  <si>
    <t>BSGatlas-terminator-793</t>
  </si>
  <si>
    <t>BSGatlas-terminator-794</t>
  </si>
  <si>
    <t>BSGatlas-terminator-798</t>
  </si>
  <si>
    <t>cotZ-cotY</t>
  </si>
  <si>
    <t>BSGatlas-TSS-995</t>
  </si>
  <si>
    <t>BSGatlas-terminator-792</t>
  </si>
  <si>
    <t>BSGatlas-TSS-996</t>
  </si>
  <si>
    <t>BSGatlas-terminator-795</t>
  </si>
  <si>
    <t>BSGatlas-terminator-796</t>
  </si>
  <si>
    <t>BSGatlas-TSS-993</t>
  </si>
  <si>
    <t>BSGatlas-TSS-994</t>
  </si>
  <si>
    <t>BSGatlas-TSS-997</t>
  </si>
  <si>
    <t>BSGatlas-terminator-797</t>
  </si>
  <si>
    <t>cotX-cotW-cotV</t>
  </si>
  <si>
    <t>BSGatlas-TSS-999</t>
  </si>
  <si>
    <t>BSGatlas-terminator-799</t>
  </si>
  <si>
    <t>BSGatlas-TSS-998</t>
  </si>
  <si>
    <t>BSGatlas-TSS-1000</t>
  </si>
  <si>
    <t>BSGatlas-TSS-1001</t>
  </si>
  <si>
    <t>BSGatlas-terminator-800</t>
  </si>
  <si>
    <t>BSGatlas-TSS-1003</t>
  </si>
  <si>
    <t>BSGatlas-TSS-1007</t>
  </si>
  <si>
    <t>BSGatlas-TSS-1002</t>
  </si>
  <si>
    <t>BSGatlas-terminator-801</t>
  </si>
  <si>
    <t>yjzK-yjcB-yjcZ</t>
  </si>
  <si>
    <t>BSGatlas-TSS-1004</t>
  </si>
  <si>
    <t>BSGatlas-terminator-802</t>
  </si>
  <si>
    <t>BSGatlas-TSS-1005</t>
  </si>
  <si>
    <t>BSGatlas-terminator-803</t>
  </si>
  <si>
    <t>yjzK-yjcB-yjcZ-spoVIF</t>
  </si>
  <si>
    <t>BSGatlas-terminator-805</t>
  </si>
  <si>
    <t>BSGatlas-terminator-807</t>
  </si>
  <si>
    <t>yjcB-yjcZ-spoVIF</t>
  </si>
  <si>
    <t>BSGatlas-TSS-1006</t>
  </si>
  <si>
    <t>yjcZ-spoVIF</t>
  </si>
  <si>
    <t>BSGatlas-TSS-1008</t>
  </si>
  <si>
    <t>BSGatlas-TSS-1010</t>
  </si>
  <si>
    <t>BSGatlas-terminator-804</t>
  </si>
  <si>
    <t>BSGatlas-terminator-806</t>
  </si>
  <si>
    <t>BSGatlas-TSS-1009</t>
  </si>
  <si>
    <t>BSGatlas-terminator-808</t>
  </si>
  <si>
    <t>BSGatlas-TSS-1011</t>
  </si>
  <si>
    <t>yjcF-yjcG-yjcH</t>
  </si>
  <si>
    <t>BSGatlas-TSS-1012</t>
  </si>
  <si>
    <t>BSGatlas-terminator-809</t>
  </si>
  <si>
    <t>metI-metC</t>
  </si>
  <si>
    <t>BSGatlas-TSS-1013</t>
  </si>
  <si>
    <t>BSGatlas-terminator-811</t>
  </si>
  <si>
    <t>BSGatlas-terminator-813</t>
  </si>
  <si>
    <t>BSGatlas-terminator-810</t>
  </si>
  <si>
    <t>BSGatlas-TSS-1014</t>
  </si>
  <si>
    <t>BSGatlas-terminator-814</t>
  </si>
  <si>
    <t>BSGatlas-terminator-818</t>
  </si>
  <si>
    <t>yjcK-yjcL</t>
  </si>
  <si>
    <t>BSGatlas-TSS-1015</t>
  </si>
  <si>
    <t>BSGatlas-terminator-812</t>
  </si>
  <si>
    <t>BSGatlas-TSS-1017</t>
  </si>
  <si>
    <t>BSGatlas-TSS-1016</t>
  </si>
  <si>
    <t>BSGatlas-TSS-1019</t>
  </si>
  <si>
    <t>BSGatlas-terminator-815</t>
  </si>
  <si>
    <t>BSGatlas-terminator-816</t>
  </si>
  <si>
    <t>BSGatlas-terminator-817</t>
  </si>
  <si>
    <t>BSGatlas-TSS-1018</t>
  </si>
  <si>
    <t>BSGatlas-terminator-819</t>
  </si>
  <si>
    <t>BSGatlas-terminator-820</t>
  </si>
  <si>
    <t>yjcP-yjcQ</t>
  </si>
  <si>
    <t>BSGatlas-TSS-1020</t>
  </si>
  <si>
    <t>BSGatlas-terminator-821</t>
  </si>
  <si>
    <t>BSGatlas-terminator-822</t>
  </si>
  <si>
    <t>BSGatlas-TSS-1021</t>
  </si>
  <si>
    <t>yjcS-yjdA</t>
  </si>
  <si>
    <t>BSGatlas-TSS-1023</t>
  </si>
  <si>
    <t>BSGatlas-terminator-823</t>
  </si>
  <si>
    <t>BSGatlas-TSS-1024</t>
  </si>
  <si>
    <t>BSGatlas-terminator-824</t>
  </si>
  <si>
    <t>BSGatlas-TSS-1026</t>
  </si>
  <si>
    <t>BSGatlas-TSS-1025</t>
  </si>
  <si>
    <t>BSGatlas-terminator-825</t>
  </si>
  <si>
    <t>manP-manA-yjdF-yjdF</t>
  </si>
  <si>
    <t>BSGatlas-TSS-1027</t>
  </si>
  <si>
    <t>BSGatlas-terminator-826</t>
  </si>
  <si>
    <t>BSGatlas-TSS-1029</t>
  </si>
  <si>
    <t>BSGatlas-TSS-1030</t>
  </si>
  <si>
    <t>BSGatlas-terminator-827</t>
  </si>
  <si>
    <t>BSGatlas-TSS-1031</t>
  </si>
  <si>
    <t>BSGatlas-terminator-828</t>
  </si>
  <si>
    <t>BSGatlas-TSS-1032</t>
  </si>
  <si>
    <t>BSGatlas-terminator-829</t>
  </si>
  <si>
    <t>BSGatlas-TSS-1033</t>
  </si>
  <si>
    <t>BSGatlas-terminator-830</t>
  </si>
  <si>
    <t>BSGatlas-TSS-1034</t>
  </si>
  <si>
    <t>BSGatlas-TSS-1035</t>
  </si>
  <si>
    <t>BSGatlas-TSS-1036</t>
  </si>
  <si>
    <t>BSGatlas-TSS-1038</t>
  </si>
  <si>
    <t>BSGatlas-terminator-831</t>
  </si>
  <si>
    <t>BSGatlas-TSS-1039</t>
  </si>
  <si>
    <t>cotT-cotT</t>
  </si>
  <si>
    <t>BSGatlas-TSS-1037</t>
  </si>
  <si>
    <t>BSGatlas-terminator-832</t>
  </si>
  <si>
    <t>BSGatlas-TSS-1040</t>
  </si>
  <si>
    <t>BSGatlas-TSS-1041</t>
  </si>
  <si>
    <t>BSGatlas-terminator-833</t>
  </si>
  <si>
    <t>BSGatlas-TSS-1042</t>
  </si>
  <si>
    <t>BSGatlas-terminator-834</t>
  </si>
  <si>
    <t>BSGatlas-TSS-1043</t>
  </si>
  <si>
    <t>BSGatlas-terminator-835</t>
  </si>
  <si>
    <t>yjgA-yjgB</t>
  </si>
  <si>
    <t>BSGatlas-TSS-1044</t>
  </si>
  <si>
    <t>BSGatlas-terminator-836</t>
  </si>
  <si>
    <t>yjgC-yjgD</t>
  </si>
  <si>
    <t>BSGatlas-TSS-1045</t>
  </si>
  <si>
    <t>BSGatlas-terminator-837</t>
  </si>
  <si>
    <t>BSGatlas-TSS-1046</t>
  </si>
  <si>
    <t>BSGatlas-terminator-839</t>
  </si>
  <si>
    <t>yjhA-yjhB</t>
  </si>
  <si>
    <t>BSGatlas-terminator-840</t>
  </si>
  <si>
    <t>BSGatlas-TSS-1047</t>
  </si>
  <si>
    <t>BSGatlas-terminator-838</t>
  </si>
  <si>
    <t>BSGatlas-TSS-1049</t>
  </si>
  <si>
    <t>BSGatlas-terminator-841</t>
  </si>
  <si>
    <t>cypE-ppuG</t>
  </si>
  <si>
    <t>BSGatlas-TSS-1048</t>
  </si>
  <si>
    <t>BSGatlas-TSS-1050</t>
  </si>
  <si>
    <t>BSGatlas-terminator-842</t>
  </si>
  <si>
    <t>BSGatlas-TSS-1052</t>
  </si>
  <si>
    <t>BSGatlas-TSS-1051</t>
  </si>
  <si>
    <t>BSGatlas-terminator-843</t>
  </si>
  <si>
    <t>yjkA-yjkB</t>
  </si>
  <si>
    <t>BSGatlas-terminator-844</t>
  </si>
  <si>
    <t>BSGatlas-TSS-1053</t>
  </si>
  <si>
    <t>BSGatlas-terminator-845</t>
  </si>
  <si>
    <t>yjlB-yjlC-ndh</t>
  </si>
  <si>
    <t>BSGatlas-TSS-1054</t>
  </si>
  <si>
    <t>BSGatlas-terminator-846</t>
  </si>
  <si>
    <t>yjlC-ndh</t>
  </si>
  <si>
    <t>BSGatlas-TSS-1055</t>
  </si>
  <si>
    <t>uxaC-exuM-yjmC-yjmD-uxuA-uxuB-exuT-exuR</t>
  </si>
  <si>
    <t>BSGatlas-TSS-1056</t>
  </si>
  <si>
    <t>BSGatlas-terminator-847</t>
  </si>
  <si>
    <t>uxaC-exuM-yjmC-yjmD-uxuA-uxuB-exuT-exuR-uxaB-uxaA</t>
  </si>
  <si>
    <t>BSGatlas-terminator-848</t>
  </si>
  <si>
    <t>BSGatlas-TSS-1058</t>
  </si>
  <si>
    <t>yjmC-yjmD-uxuA-uxuB-exuT-exuR</t>
  </si>
  <si>
    <t>BSGatlas-TSS-1060</t>
  </si>
  <si>
    <t>yjmC-yjmD-uxuA-uxuB-exuT-exuR-uxaB-uxaA</t>
  </si>
  <si>
    <t>BSGatlas-TSS-1061</t>
  </si>
  <si>
    <t>exuR-uxaB-uxaA</t>
  </si>
  <si>
    <t>BSGatlas-TSS-1062</t>
  </si>
  <si>
    <t>BSGatlas-TSS-1064</t>
  </si>
  <si>
    <t>BSGatlas-terminator-849</t>
  </si>
  <si>
    <t>BSGatlas-TSS-1065</t>
  </si>
  <si>
    <t>BSGatlas-TSS-1066</t>
  </si>
  <si>
    <t>BSGatlas-terminator-850</t>
  </si>
  <si>
    <t>BSGatlas-TSS-1069</t>
  </si>
  <si>
    <t>BSGatlas-TSS-1067</t>
  </si>
  <si>
    <t>BSGatlas-terminator-851</t>
  </si>
  <si>
    <t>BSGatlas-terminator-852</t>
  </si>
  <si>
    <t>rapA-phrA</t>
  </si>
  <si>
    <t>BSGatlas-TSS-1068</t>
  </si>
  <si>
    <t>BSGatlas-terminator-853</t>
  </si>
  <si>
    <t>BSGatlas-TSS-1070</t>
  </si>
  <si>
    <t>BSGatlas-terminator-854</t>
  </si>
  <si>
    <t>BSGatlas-TSS-1071</t>
  </si>
  <si>
    <t>BSGatlas-terminator-855</t>
  </si>
  <si>
    <t>pghB-xpdC</t>
  </si>
  <si>
    <t>BSGatlas-TSS-1072</t>
  </si>
  <si>
    <t>BSGatlas-terminator-858</t>
  </si>
  <si>
    <t>BSGatlas-TSS-1073</t>
  </si>
  <si>
    <t>BSGatlas-terminator-856</t>
  </si>
  <si>
    <t>BSGatlas-TSS-1074</t>
  </si>
  <si>
    <t>BSGatlas-terminator-857</t>
  </si>
  <si>
    <t>BSGatlas-TSS-1075</t>
  </si>
  <si>
    <t>BSGatlas-TSS-1076</t>
  </si>
  <si>
    <t>BSGatlas-terminator-859</t>
  </si>
  <si>
    <t>yjzJ-xkdB-xkdC-ykzK-xkdD-xtrA</t>
  </si>
  <si>
    <t>BSGatlas-TSS-1077</t>
  </si>
  <si>
    <t>BSGatlas-terminator-860</t>
  </si>
  <si>
    <t>xkdB-xkdC-ykzK-xkdD-xtrA</t>
  </si>
  <si>
    <t>xtmA-xtmB-xkdE-xkdF-xkdG-ykzL-xkdH-xkdI-xkdJ-ykzM-xkdK-xkdM</t>
  </si>
  <si>
    <t>BSGatlas-TSS-1078</t>
  </si>
  <si>
    <t>BSGatlas-terminator-861</t>
  </si>
  <si>
    <t>xtmA-xtmB-xkdE-xkdF-xkdG-ykzL-xkdH-xkdI-xkdJ-ykzM-xkdK-xkdM-xkdN-xkzB</t>
  </si>
  <si>
    <t>BSGatlas-terminator-862</t>
  </si>
  <si>
    <t>xtmA-xtmB-xkdE-xkdF-xkdG-ykzL-xkdH-xkdI-xkdJ-ykzM-xkdK-xkdM-xkdN-xkzB-xkdO-xkdP-xkdQ-xkdR-xkdS-xkdT-xkdU-xkzA-xkdV-xkdW-xkdX-xepA-xhlA-xhlB-xlyA</t>
  </si>
  <si>
    <t>BSGatlas-terminator-863</t>
  </si>
  <si>
    <t>xkdF-xkdG-ykzL-xkdH-xkdI-xkdJ-ykzM-xkdK-xkdM</t>
  </si>
  <si>
    <t>BSGatlas-TSS-1079</t>
  </si>
  <si>
    <t>xkdF-xkdG-ykzL-xkdH-xkdI-xkdJ-ykzM-xkdK-xkdM-xkdN-xkzB</t>
  </si>
  <si>
    <t>xkdF-xkdG-ykzL-xkdH-xkdI-xkdJ-ykzM-xkdK-xkdM-xkdN-xkzB-xkdO-xkdP-xkdQ-xkdR-xkdS-xkdT-xkdU-xkzA-xkdV-xkdW-xkdX-xepA-xhlA-xhlB-xlyA</t>
  </si>
  <si>
    <t>xhlA-xhlB-xlyA</t>
  </si>
  <si>
    <t>BSGatlas-TSS-1082</t>
  </si>
  <si>
    <t>BSGatlas-terminator-864</t>
  </si>
  <si>
    <t>spoIISB-spoIISA</t>
  </si>
  <si>
    <t>BSGatlas-TSS-1083</t>
  </si>
  <si>
    <t>BSGatlas-terminator-865</t>
  </si>
  <si>
    <t>BSGatlas-TSS-1084</t>
  </si>
  <si>
    <t>pitB-ykaA</t>
  </si>
  <si>
    <t>BSGatlas-TSS-1085</t>
  </si>
  <si>
    <t>BSGatlas-terminator-866</t>
  </si>
  <si>
    <t>BSGatlas-TSS-1086</t>
  </si>
  <si>
    <t>BSGatlas-TSS-1087</t>
  </si>
  <si>
    <t>BSGatlas-terminator-867</t>
  </si>
  <si>
    <t>BSGatlas-TSS-1088</t>
  </si>
  <si>
    <t>BSGatlas-terminator-868</t>
  </si>
  <si>
    <t>BSGatlas-TSS-1089</t>
  </si>
  <si>
    <t>BSGatlas-terminator-869</t>
  </si>
  <si>
    <t>BSGatlas-terminator-870</t>
  </si>
  <si>
    <t>BSGatlas-terminator-871</t>
  </si>
  <si>
    <t>ykcB-ykcC</t>
  </si>
  <si>
    <t>BSGatlas-TSS-1090</t>
  </si>
  <si>
    <t>BSGatlas-TSS-1091</t>
  </si>
  <si>
    <t>BSGatlas-terminator-872</t>
  </si>
  <si>
    <t>BSGatlas-terminator-873</t>
  </si>
  <si>
    <t>BSGatlas-terminator-874</t>
  </si>
  <si>
    <t>BSGatlas-TSS-1092</t>
  </si>
  <si>
    <t>BSGatlas-terminator-875</t>
  </si>
  <si>
    <t>BSGatlas-TSS-1095</t>
  </si>
  <si>
    <t>BSGatlas-TSS-1093</t>
  </si>
  <si>
    <t>BSGatlas-terminator-876</t>
  </si>
  <si>
    <t>BSGatlas-TSS-1094</t>
  </si>
  <si>
    <t>dppA-dppB-dppC-dppD-dppE</t>
  </si>
  <si>
    <t>BSGatlas-TSS-1096</t>
  </si>
  <si>
    <t>BSGatlas-terminator-877</t>
  </si>
  <si>
    <t>BSGatlas-terminator-878</t>
  </si>
  <si>
    <t>dppA-dppB-dppC-dppD-dppE-ldcA-aeeB-eepC-ykfD</t>
  </si>
  <si>
    <t>BSGatlas-terminator-880</t>
  </si>
  <si>
    <t>BSGatlas-terminator-883</t>
  </si>
  <si>
    <t>dppD-dppE</t>
  </si>
  <si>
    <t>BSGatlas-TSS-1097</t>
  </si>
  <si>
    <t>dppD-dppE-ldcA-aeeB-eepC-ykfD</t>
  </si>
  <si>
    <t>ldcA-aeeB-eepC-ykfD</t>
  </si>
  <si>
    <t>BSGatlas-TSS-1098</t>
  </si>
  <si>
    <t>BSGatlas-terminator-879</t>
  </si>
  <si>
    <t>pgl-ddaH</t>
  </si>
  <si>
    <t>BSGatlas-TSS-1099</t>
  </si>
  <si>
    <t>BSGatlas-terminator-881</t>
  </si>
  <si>
    <t>BSGatlas-terminator-882</t>
  </si>
  <si>
    <t>BSGatlas-TSS-1100</t>
  </si>
  <si>
    <t>BSGatlas-terminator-884</t>
  </si>
  <si>
    <t>BSGatlas-TSS-1101</t>
  </si>
  <si>
    <t>BSGatlas-terminator-885</t>
  </si>
  <si>
    <t>hmpA-ykjA</t>
  </si>
  <si>
    <t>BSGatlas-terminator-886</t>
  </si>
  <si>
    <t>BSGatlas-TSS-1102</t>
  </si>
  <si>
    <t>BSGatlas-TSS-1103</t>
  </si>
  <si>
    <t>ykkA-ykkB</t>
  </si>
  <si>
    <t>BSGatlas-TSS-1104</t>
  </si>
  <si>
    <t>gdnC-gdnD</t>
  </si>
  <si>
    <t>BSGatlas-TSS-1105</t>
  </si>
  <si>
    <t>BSGatlas-terminator-887</t>
  </si>
  <si>
    <t>BSGatlas-TSS-1106</t>
  </si>
  <si>
    <t>BSGatlas-terminator-888</t>
  </si>
  <si>
    <t>proB-proA</t>
  </si>
  <si>
    <t>BSGatlas-TSS-1107</t>
  </si>
  <si>
    <t>BSGatlas-terminator-891</t>
  </si>
  <si>
    <t>BSGatlas-terminator-889</t>
  </si>
  <si>
    <t>BSGatlas-terminator-890</t>
  </si>
  <si>
    <t>BSGatlas-TSS-1108</t>
  </si>
  <si>
    <t>BSGatlas-TSS-1109</t>
  </si>
  <si>
    <t>BSGatlas-terminator-893</t>
  </si>
  <si>
    <t>BSGatlas-TSS-1110</t>
  </si>
  <si>
    <t>BSGatlas-terminator-892</t>
  </si>
  <si>
    <t>BSGatlas-terminator-894</t>
  </si>
  <si>
    <t>BSGatlas-TSS-1111</t>
  </si>
  <si>
    <t>BSGatlas-terminator-895</t>
  </si>
  <si>
    <t>BSGatlas-terminator-896</t>
  </si>
  <si>
    <t>ohrB-ykzN</t>
  </si>
  <si>
    <t>BSGatlas-terminator-898</t>
  </si>
  <si>
    <t>BSGatlas-TSS-1112</t>
  </si>
  <si>
    <t>BSGatlas-terminator-897</t>
  </si>
  <si>
    <t>BSGatlas-TSS-1113</t>
  </si>
  <si>
    <t>BSGatlas-terminator-899</t>
  </si>
  <si>
    <t>BSGatlas-TSS-1114</t>
  </si>
  <si>
    <t>BSGatlas-terminator-900</t>
  </si>
  <si>
    <t>BSGatlas-TSS-1115</t>
  </si>
  <si>
    <t>BSGatlas-TSS-1116</t>
  </si>
  <si>
    <t>BSGatlas-terminator-901</t>
  </si>
  <si>
    <t>thiX-thiW-thiV-thiU</t>
  </si>
  <si>
    <t>BSGatlas-TSS-1118</t>
  </si>
  <si>
    <t>BSGatlas-terminator-902</t>
  </si>
  <si>
    <t>BSGatlas-terminator-903</t>
  </si>
  <si>
    <t>ykoG-ykoH-ykoI-ykoJ</t>
  </si>
  <si>
    <t>BSGatlas-TSS-1117</t>
  </si>
  <si>
    <t>BSGatlas-terminator-904</t>
  </si>
  <si>
    <t>BSGatlas-TSS-1119</t>
  </si>
  <si>
    <t>BSGatlas-TSS-1120</t>
  </si>
  <si>
    <t>BSGatlas-terminator-905</t>
  </si>
  <si>
    <t>BSGatlas-TSS-1121</t>
  </si>
  <si>
    <t>BSGatlas-terminator-907</t>
  </si>
  <si>
    <t>BSGatlas-terminator-906</t>
  </si>
  <si>
    <t>BSGatlas-TSS-1122</t>
  </si>
  <si>
    <t>BSGatlas-TSS-1123</t>
  </si>
  <si>
    <t>BSGatlas-terminator-908</t>
  </si>
  <si>
    <t>BSGatlas-TSS-1126</t>
  </si>
  <si>
    <t>ykzB-ykoL</t>
  </si>
  <si>
    <t>BSGatlas-TSS-1124</t>
  </si>
  <si>
    <t>BSGatlas-terminator-909</t>
  </si>
  <si>
    <t>BSGatlas-TSS-1125</t>
  </si>
  <si>
    <t>BSGatlas-TSS-1127</t>
  </si>
  <si>
    <t>BSGatlas-terminator-910</t>
  </si>
  <si>
    <t>BSGatlas-TSS-1129</t>
  </si>
  <si>
    <t>BSGatlas-TSS-1128</t>
  </si>
  <si>
    <t>BSGatlas-terminator-911</t>
  </si>
  <si>
    <t>BSGatlas-TSS-1130</t>
  </si>
  <si>
    <t>ykoS-ykoT</t>
  </si>
  <si>
    <t>BSGatlas-TSS-1131</t>
  </si>
  <si>
    <t>BSGatlas-terminator-912</t>
  </si>
  <si>
    <t>ligD-ligV</t>
  </si>
  <si>
    <t>BSGatlas-TSS-1132</t>
  </si>
  <si>
    <t>BSGatlas-terminator-913</t>
  </si>
  <si>
    <t>BSGatlas-TSS-1133</t>
  </si>
  <si>
    <t>BSGatlas-terminator-914</t>
  </si>
  <si>
    <t>BSGatlas-TSS-1135</t>
  </si>
  <si>
    <t>ykoX-mnrW</t>
  </si>
  <si>
    <t>BSGatlas-TSS-1134</t>
  </si>
  <si>
    <t>BSGatlas-terminator-915</t>
  </si>
  <si>
    <t>ykoX-mnrW-ykoY</t>
  </si>
  <si>
    <t>BSGatlas-terminator-916</t>
  </si>
  <si>
    <t>BSGatlas-TSS-1136</t>
  </si>
  <si>
    <t>sigI-rsgI</t>
  </si>
  <si>
    <t>BSGatlas-TSS-1137</t>
  </si>
  <si>
    <t>BSGatlas-terminator-918</t>
  </si>
  <si>
    <t>BSGatlas-TSS-1138</t>
  </si>
  <si>
    <t>BSGatlas-TSS-1139</t>
  </si>
  <si>
    <t>BSGatlas-terminator-917</t>
  </si>
  <si>
    <t>BSGatlas-TSS-1140</t>
  </si>
  <si>
    <t>BSGatlas-terminator-919</t>
  </si>
  <si>
    <t>BSGatlas-TSS-1141</t>
  </si>
  <si>
    <t>BSGatlas-terminator-920</t>
  </si>
  <si>
    <t>BSGatlas-TSS-1142</t>
  </si>
  <si>
    <t>BSGatlas-terminator-921</t>
  </si>
  <si>
    <t>ykzP-ykzE</t>
  </si>
  <si>
    <t>BSGatlas-TSS-1143</t>
  </si>
  <si>
    <t>BSGatlas-terminator-922</t>
  </si>
  <si>
    <t>BSGatlas-TSS-1144</t>
  </si>
  <si>
    <t>BSGatlas-TSS-1145</t>
  </si>
  <si>
    <t>BSGatlas-terminator-923</t>
  </si>
  <si>
    <t>kinE-ogt</t>
  </si>
  <si>
    <t>BSGatlas-TSS-1146</t>
  </si>
  <si>
    <t>mtnA-mtnK</t>
  </si>
  <si>
    <t>BSGatlas-TSS-1148</t>
  </si>
  <si>
    <t>BSGatlas-terminator-924</t>
  </si>
  <si>
    <t>BSGatlas-terminator-925</t>
  </si>
  <si>
    <t>BSGatlas-terminator-927</t>
  </si>
  <si>
    <t>BSGatlas-terminator-926</t>
  </si>
  <si>
    <t>BSGatlas-terminator-928</t>
  </si>
  <si>
    <t>BSGatlas-terminator-929</t>
  </si>
  <si>
    <t>BSGatlas-TSS-1151</t>
  </si>
  <si>
    <t>BSGatlas-TSS-1149</t>
  </si>
  <si>
    <t>BSGatlas-TSS-1150</t>
  </si>
  <si>
    <t>BSGatlas-TSS-1152</t>
  </si>
  <si>
    <t>mtnW-mtnX-mtnB-mtnD</t>
  </si>
  <si>
    <t>BSGatlas-TSS-1153</t>
  </si>
  <si>
    <t>BSGatlas-terminator-932</t>
  </si>
  <si>
    <t>BSGatlas-terminator-930</t>
  </si>
  <si>
    <t>BSGatlas-TSS-1154</t>
  </si>
  <si>
    <t>BSGatlas-TSS-1156</t>
  </si>
  <si>
    <t>BSGatlas-terminator-931</t>
  </si>
  <si>
    <t>BSGatlas-terminator-933</t>
  </si>
  <si>
    <t>BSGatlas-TSS-1155</t>
  </si>
  <si>
    <t>BSGatlas-terminator-935</t>
  </si>
  <si>
    <t>BSGatlas-terminator-936</t>
  </si>
  <si>
    <t>BSGatlas-TSS-1157</t>
  </si>
  <si>
    <t>BSGatlas-TSS-1159</t>
  </si>
  <si>
    <t>BSGatlas-terminator-934</t>
  </si>
  <si>
    <t>BSGatlas-terminator-937</t>
  </si>
  <si>
    <t>BSGatlas-TSS-1158</t>
  </si>
  <si>
    <t>BSGatlas-terminator-938</t>
  </si>
  <si>
    <t>BSGatlas-TSS-1160</t>
  </si>
  <si>
    <t>motB-motA</t>
  </si>
  <si>
    <t>BSGatlas-TSS-1161</t>
  </si>
  <si>
    <t>BSGatlas-terminator-939</t>
  </si>
  <si>
    <t>BSGatlas-terminator-940</t>
  </si>
  <si>
    <t>BSGatlas-TSS-1162</t>
  </si>
  <si>
    <t>BSGatlas-terminator-941</t>
  </si>
  <si>
    <t>BSGatlas-TSS-1163</t>
  </si>
  <si>
    <t>BSGatlas-TSS-1164</t>
  </si>
  <si>
    <t>BSGatlas-terminator-942</t>
  </si>
  <si>
    <t>BSGatlas-terminator-943</t>
  </si>
  <si>
    <t>BSGatlas-TSS-1165</t>
  </si>
  <si>
    <t>queC-queD-queE-queF</t>
  </si>
  <si>
    <t>BSGatlas-TSS-1166</t>
  </si>
  <si>
    <t>BSGatlas-terminator-945</t>
  </si>
  <si>
    <t>BSGatlas-terminator-944</t>
  </si>
  <si>
    <t>BSGatlas-TSS-1167</t>
  </si>
  <si>
    <t>BSGatlas-terminator-946</t>
  </si>
  <si>
    <t>BSGatlas-terminator-947</t>
  </si>
  <si>
    <t>BSGatlas-TSS-1168</t>
  </si>
  <si>
    <t>BSGatlas-terminator-948</t>
  </si>
  <si>
    <t>ykvP-ykzQ-ykvQ</t>
  </si>
  <si>
    <t>BSGatlas-TSS-1169</t>
  </si>
  <si>
    <t>BSGatlas-TSS-1170</t>
  </si>
  <si>
    <t>BSGatlas-TSS-1171</t>
  </si>
  <si>
    <t>BSGatlas-TSS-1174</t>
  </si>
  <si>
    <t>BSGatlas-TSS-1173</t>
  </si>
  <si>
    <t>BSGatlas-terminator-949</t>
  </si>
  <si>
    <t>BSGatlas-TSS-1175</t>
  </si>
  <si>
    <t>BSGatlas-terminator-950</t>
  </si>
  <si>
    <t>BSGatlas-TSS-1176</t>
  </si>
  <si>
    <t>BSGatlas-terminator-951</t>
  </si>
  <si>
    <t>BSGatlas-TSS-1178</t>
  </si>
  <si>
    <t>BSGatlas-TSS-1177</t>
  </si>
  <si>
    <t>BSGatlas-terminator-952</t>
  </si>
  <si>
    <t>ykzS-ykvT</t>
  </si>
  <si>
    <t>BSGatlas-terminator-953</t>
  </si>
  <si>
    <t>BSGatlas-terminator-954</t>
  </si>
  <si>
    <t>ykvU-stoA</t>
  </si>
  <si>
    <t>BSGatlas-TSS-1179</t>
  </si>
  <si>
    <t>BSGatlas-terminator-955</t>
  </si>
  <si>
    <t>BSGatlas-TSS-1180</t>
  </si>
  <si>
    <t>BSGatlas-TSS-1181</t>
  </si>
  <si>
    <t>BSGatlas-TSS-1182</t>
  </si>
  <si>
    <t>BSGatlas-TSS-1183</t>
  </si>
  <si>
    <t>BSGatlas-terminator-956</t>
  </si>
  <si>
    <t>BSGatlas-TSS-1188</t>
  </si>
  <si>
    <t>BSGatlas-terminator-957</t>
  </si>
  <si>
    <t>BSGatlas-TSS-1187</t>
  </si>
  <si>
    <t>BSGatlas-terminator-958</t>
  </si>
  <si>
    <t>BSGatlas-terminator-959</t>
  </si>
  <si>
    <t>papB-ykvZ-glcT</t>
  </si>
  <si>
    <t>BSGatlas-terminator-960</t>
  </si>
  <si>
    <t>BSGatlas-TSS-1189</t>
  </si>
  <si>
    <t>ptsG-ptsH-ptsI</t>
  </si>
  <si>
    <t>BSGatlas-TSS-1190</t>
  </si>
  <si>
    <t>BSGatlas-terminator-961</t>
  </si>
  <si>
    <t>BSGatlas-TSS-1191</t>
  </si>
  <si>
    <t>ptsH-ptsI</t>
  </si>
  <si>
    <t>BSGatlas-TSS-1192</t>
  </si>
  <si>
    <t>splA-splB</t>
  </si>
  <si>
    <t>BSGatlas-TSS-1193</t>
  </si>
  <si>
    <t>BSGatlas-terminator-963</t>
  </si>
  <si>
    <t>BSGatlas-terminator-964</t>
  </si>
  <si>
    <t>BSGatlas-TSS-1195</t>
  </si>
  <si>
    <t>BSGatlas-terminator-962</t>
  </si>
  <si>
    <t>BSGatlas-TSS-1197</t>
  </si>
  <si>
    <t>BSGatlas-TSS-1194</t>
  </si>
  <si>
    <t>BSGatlas-TSS-1196</t>
  </si>
  <si>
    <t>BSGatlas-terminator-965</t>
  </si>
  <si>
    <t>BSGatlas-terminator-966</t>
  </si>
  <si>
    <t>BSGatlas-TSS-1198</t>
  </si>
  <si>
    <t>BSGatlas-terminator-968</t>
  </si>
  <si>
    <t>BSGatlas-TSS-1199</t>
  </si>
  <si>
    <t>BSGatlas-terminator-967</t>
  </si>
  <si>
    <t>BSGatlas-TSS-1201</t>
  </si>
  <si>
    <t>BSGatlas-terminator-969</t>
  </si>
  <si>
    <t>BSGatlas-TSS-1200</t>
  </si>
  <si>
    <t>BSGatlas-terminator-970</t>
  </si>
  <si>
    <t>BSGatlas-TSS-1202</t>
  </si>
  <si>
    <t>BSGatlas-terminator-971</t>
  </si>
  <si>
    <t>BSGatlas-TSS-1203</t>
  </si>
  <si>
    <t>BSGatlas-terminator-972</t>
  </si>
  <si>
    <t>BSGatlas-TSS-1204</t>
  </si>
  <si>
    <t>BSGatlas-TSS-1205</t>
  </si>
  <si>
    <t>dapX-ykzT</t>
  </si>
  <si>
    <t>BSGatlas-TSS-1206</t>
  </si>
  <si>
    <t>BSGatlas-TSS-1207</t>
  </si>
  <si>
    <t>BSGatlas-terminator-975</t>
  </si>
  <si>
    <t>BSGatlas-TSS-1209</t>
  </si>
  <si>
    <t>BSGatlas-terminator-973</t>
  </si>
  <si>
    <t>BSGatlas-TSS-1208</t>
  </si>
  <si>
    <t>BSGatlas-terminator-974</t>
  </si>
  <si>
    <t>BSGatlas-TSS-1210</t>
  </si>
  <si>
    <t>BSGatlas-terminator-976</t>
  </si>
  <si>
    <t>ykuC-ltdD</t>
  </si>
  <si>
    <t>BSGatlas-TSS-1211</t>
  </si>
  <si>
    <t>ykuC-ltdD-ppeE</t>
  </si>
  <si>
    <t>BSGatlas-TSS-1212</t>
  </si>
  <si>
    <t>BSGatlas-terminator-977</t>
  </si>
  <si>
    <t>ltdD-ppeE</t>
  </si>
  <si>
    <t>fadH-ykuG</t>
  </si>
  <si>
    <t>BSGatlas-TSS-1213</t>
  </si>
  <si>
    <t>fadH-ykuG-ykzU</t>
  </si>
  <si>
    <t>BSGatlas-terminator-979</t>
  </si>
  <si>
    <t>ykuG-ykzU</t>
  </si>
  <si>
    <t>BSGatlas-TSS-1214</t>
  </si>
  <si>
    <t>ykuH-ykuI</t>
  </si>
  <si>
    <t>BSGatlas-TSS-1215</t>
  </si>
  <si>
    <t>BSGatlas-terminator-980</t>
  </si>
  <si>
    <t>BSGatlas-TSS-1217</t>
  </si>
  <si>
    <t>BSGatlas-terminator-981</t>
  </si>
  <si>
    <t>ykuJ-ykuK-abbA</t>
  </si>
  <si>
    <t>BSGatlas-TSS-1218</t>
  </si>
  <si>
    <t>BSGatlas-terminator-982</t>
  </si>
  <si>
    <t>ykuJ-ykuK-abbA-ykuL-ccpC</t>
  </si>
  <si>
    <t>BSGatlas-terminator-983</t>
  </si>
  <si>
    <t>BSGatlas-TSS-1219</t>
  </si>
  <si>
    <t>BSGatlas-TSS-1220</t>
  </si>
  <si>
    <t>BSGatlas-TSS-1221</t>
  </si>
  <si>
    <t>abbA-ykuL-ccpC</t>
  </si>
  <si>
    <t>BSGatlas-TSS-1222</t>
  </si>
  <si>
    <t>fldN-ykuO-fldP</t>
  </si>
  <si>
    <t>BSGatlas-TSS-1223</t>
  </si>
  <si>
    <t>BSGatlas-terminator-984</t>
  </si>
  <si>
    <t>dapH-dapI-ykuS</t>
  </si>
  <si>
    <t>BSGatlas-TSS-1225</t>
  </si>
  <si>
    <t>BSGatlas-terminator-986</t>
  </si>
  <si>
    <t>BSGatlas-TSS-1227</t>
  </si>
  <si>
    <t>BSGatlas-TSS-1229</t>
  </si>
  <si>
    <t>BSGatlas-terminator-987</t>
  </si>
  <si>
    <t>ahpA-ykuV</t>
  </si>
  <si>
    <t>BSGatlas-TSS-1230</t>
  </si>
  <si>
    <t>BSGatlas-terminator-988</t>
  </si>
  <si>
    <t>BSGatlas-TSS-1231</t>
  </si>
  <si>
    <t>BSGatlas-terminator-989</t>
  </si>
  <si>
    <t>BSGatlas-terminator-991</t>
  </si>
  <si>
    <t>BSGatlas-TSS-1233</t>
  </si>
  <si>
    <t>BSGatlas-terminator-990</t>
  </si>
  <si>
    <t>mobA-moeB-moeA-mobB-moaE-moaD</t>
  </si>
  <si>
    <t>BSGatlas-TSS-1232</t>
  </si>
  <si>
    <t>BSGatlas-terminator-992</t>
  </si>
  <si>
    <t>BSGatlas-TSS-1234</t>
  </si>
  <si>
    <t>yknU-yknV-skiW-skiX-skiY-skiZ</t>
  </si>
  <si>
    <t>BSGatlas-TSS-1235</t>
  </si>
  <si>
    <t>BSGatlas-terminator-993</t>
  </si>
  <si>
    <t>BSGatlas-TSS-1236</t>
  </si>
  <si>
    <t>skiW-skiX-skiY-skiZ</t>
  </si>
  <si>
    <t>BSGatlas-TSS-1238</t>
  </si>
  <si>
    <t>fruR-fruK-fruA</t>
  </si>
  <si>
    <t>BSGatlas-TSS-1239</t>
  </si>
  <si>
    <t>BSGatlas-terminator-994</t>
  </si>
  <si>
    <t>BSGatlas-TSS-1240</t>
  </si>
  <si>
    <t>BSGatlas-TSS-1241</t>
  </si>
  <si>
    <t>BSGatlas-TSS-1243</t>
  </si>
  <si>
    <t>BSGatlas-terminator-995</t>
  </si>
  <si>
    <t>BSGatlas-TSS-1244</t>
  </si>
  <si>
    <t>BSGatlas-terminator-996</t>
  </si>
  <si>
    <t>BSGatlas-TSS-1245</t>
  </si>
  <si>
    <t>BSGatlas-terminator-997</t>
  </si>
  <si>
    <t>ykpA-panE</t>
  </si>
  <si>
    <t>BSGatlas-terminator-998</t>
  </si>
  <si>
    <t>BSGatlas-TSS-1246</t>
  </si>
  <si>
    <t>BSGatlas-terminator-999</t>
  </si>
  <si>
    <t>BSGatlas-TSS-1247</t>
  </si>
  <si>
    <t>BSGatlas-terminator-1000</t>
  </si>
  <si>
    <t>ykpC-mreBH</t>
  </si>
  <si>
    <t>BSGatlas-TSS-1248</t>
  </si>
  <si>
    <t>BSGatlas-TSS-1249</t>
  </si>
  <si>
    <t>BSGatlas-terminator-1001</t>
  </si>
  <si>
    <t>BSGatlas-TSS-1250</t>
  </si>
  <si>
    <t>BSGatlas-TSS-1252</t>
  </si>
  <si>
    <t>BSGatlas-terminator-1002</t>
  </si>
  <si>
    <t>BSGatlas-TSS-1254</t>
  </si>
  <si>
    <t>BSGatlas-TSS-1251</t>
  </si>
  <si>
    <t>kinC-ykqA-ktrC</t>
  </si>
  <si>
    <t>BSGatlas-terminator-1003</t>
  </si>
  <si>
    <t>BSGatlas-TSS-1253</t>
  </si>
  <si>
    <t>BSGatlas-terminator-1005</t>
  </si>
  <si>
    <t>rnjA-rnpZA</t>
  </si>
  <si>
    <t>BSGatlas-TSS-1255</t>
  </si>
  <si>
    <t>BSGatlas-terminator-1004</t>
  </si>
  <si>
    <t>BSGatlas-TSS-1256</t>
  </si>
  <si>
    <t>BSGatlas-terminator-1006</t>
  </si>
  <si>
    <t>BSGatlas-TSS-1257</t>
  </si>
  <si>
    <t>BSGatlas-terminator-1007</t>
  </si>
  <si>
    <t>BSGatlas-terminator-1009</t>
  </si>
  <si>
    <t>BSGatlas-TSS-1258</t>
  </si>
  <si>
    <t>BSGatlas-terminator-1008</t>
  </si>
  <si>
    <t>BSGatlas-terminator-1010</t>
  </si>
  <si>
    <t>BSGatlas-TSS-1260</t>
  </si>
  <si>
    <t>BSGatlas-TSS-1264</t>
  </si>
  <si>
    <t>BSGatlas-TSS-1265</t>
  </si>
  <si>
    <t>BSGatlas-TSS-1259</t>
  </si>
  <si>
    <t>BSGatlas-terminator-1011</t>
  </si>
  <si>
    <t>BSGatlas-TSS-1261</t>
  </si>
  <si>
    <t>BSGatlas-TSS-1262</t>
  </si>
  <si>
    <t>pdhA-pdhB-pdhC-pdhD</t>
  </si>
  <si>
    <t>BSGatlas-TSS-1263</t>
  </si>
  <si>
    <t>BSGatlas-terminator-1012</t>
  </si>
  <si>
    <t>BSGatlas-TSS-1266</t>
  </si>
  <si>
    <t>pdhC-pdhD</t>
  </si>
  <si>
    <t>BSGatlas-TSS-1267</t>
  </si>
  <si>
    <t>BSGatlas-TSS-1269</t>
  </si>
  <si>
    <t>BSGatlas-TSS-1270</t>
  </si>
  <si>
    <t>BSGatlas-terminator-1013</t>
  </si>
  <si>
    <t>SR1_srrA-rgpA</t>
  </si>
  <si>
    <t>BSGatlas-TSS-1271</t>
  </si>
  <si>
    <t>BSGatlas-terminator-1016</t>
  </si>
  <si>
    <t>BSGatlas-TSS-1273</t>
  </si>
  <si>
    <t>BSGatlas-terminator-1014</t>
  </si>
  <si>
    <t>BSGatlas-TSS-1272</t>
  </si>
  <si>
    <t>BSGatlas-terminator-1015</t>
  </si>
  <si>
    <t>BSGatlas-terminator-1017</t>
  </si>
  <si>
    <t>BSGatlas-TSS-1274</t>
  </si>
  <si>
    <t>BSGatlas-terminator-1018</t>
  </si>
  <si>
    <t>BSGatlas-TSS-1275</t>
  </si>
  <si>
    <t>BSGatlas-terminator-1019</t>
  </si>
  <si>
    <t>BSGatlas-TSS-1278</t>
  </si>
  <si>
    <t>BSGatlas-TSS-1276</t>
  </si>
  <si>
    <t>BSGatlas-terminator-1021</t>
  </si>
  <si>
    <t>BSGatlas-TSS-1277</t>
  </si>
  <si>
    <t>BSGatlas-TSS-1280</t>
  </si>
  <si>
    <t>BSGatlas-terminator-1020</t>
  </si>
  <si>
    <t>suhB-ykzC</t>
  </si>
  <si>
    <t>BSGatlas-TSS-1279</t>
  </si>
  <si>
    <t>BSGatlas-terminator-1022</t>
  </si>
  <si>
    <t>BSGatlas-terminator-1024</t>
  </si>
  <si>
    <t>BSGatlas-terminator-1023</t>
  </si>
  <si>
    <t>BSGatlas-TSS-1281</t>
  </si>
  <si>
    <t>BSGatlas-terminator-1025</t>
  </si>
  <si>
    <t>ylaA-ylaB-sigP-sigQ</t>
  </si>
  <si>
    <t>BSGatlas-TSS-1282</t>
  </si>
  <si>
    <t>BSGatlas-terminator-1026</t>
  </si>
  <si>
    <t>sigP-sigQ</t>
  </si>
  <si>
    <t>BSGatlas-TSS-1283</t>
  </si>
  <si>
    <t>BSGatlas-TSS-1284</t>
  </si>
  <si>
    <t>BSGatlas-terminator-1027</t>
  </si>
  <si>
    <t>BSGatlas-TSS-1285</t>
  </si>
  <si>
    <t>BSGatlas-terminator-1028</t>
  </si>
  <si>
    <t>BSGatlas-terminator-1029</t>
  </si>
  <si>
    <t>bipA-ylaH</t>
  </si>
  <si>
    <t>BSGatlas-TSS-1286</t>
  </si>
  <si>
    <t>BSGatlas-terminator-1030</t>
  </si>
  <si>
    <t>BSGatlas-TSS-1287</t>
  </si>
  <si>
    <t>BSGatlas-terminator-1031</t>
  </si>
  <si>
    <t>BSGatlas-TSS-1288</t>
  </si>
  <si>
    <t>BSGatlas-terminator-1032</t>
  </si>
  <si>
    <t>BSGatlas-TSS-1289</t>
  </si>
  <si>
    <t>BSGatlas-TSS-1290</t>
  </si>
  <si>
    <t>ylaK-glsB</t>
  </si>
  <si>
    <t>BSGatlas-TSS-1291</t>
  </si>
  <si>
    <t>BSGatlas-terminator-1033</t>
  </si>
  <si>
    <t>BSGatlas-TSS-1292</t>
  </si>
  <si>
    <t>BSGatlas-terminator-1034</t>
  </si>
  <si>
    <t>BSGatlas-TSS-1293</t>
  </si>
  <si>
    <t>ftsW-pycA</t>
  </si>
  <si>
    <t>BSGatlas-TSS-1294</t>
  </si>
  <si>
    <t>BSGatlas-terminator-1035</t>
  </si>
  <si>
    <t>BSGatlas-TSS-1295</t>
  </si>
  <si>
    <t>BSGatlas-TSS-1297</t>
  </si>
  <si>
    <t>BSGatlas-terminator-1036</t>
  </si>
  <si>
    <t>BSGatlas-TSS-1298</t>
  </si>
  <si>
    <t>BSGatlas-terminator-1037</t>
  </si>
  <si>
    <t>BSGatlas-TSS-1299</t>
  </si>
  <si>
    <t>BSGatlas-terminator-1038</t>
  </si>
  <si>
    <t>BSGatlas-terminator-1039</t>
  </si>
  <si>
    <t>ctaB-ctaC-ctaD-ctaE-ctaF-ctaG</t>
  </si>
  <si>
    <t>BSGatlas-terminator-1040</t>
  </si>
  <si>
    <t>BSGatlas-TSS-1300</t>
  </si>
  <si>
    <t>ctaC-ctaD-ctaE-ctaF-ctaG</t>
  </si>
  <si>
    <t>BSGatlas-TSS-1301</t>
  </si>
  <si>
    <t>BSGatlas-TSS-1302</t>
  </si>
  <si>
    <t>BSGatlas-TSS-1303</t>
  </si>
  <si>
    <t>BSGatlas-terminator-1041</t>
  </si>
  <si>
    <t>BSGatlas-TSS-1307</t>
  </si>
  <si>
    <t>ylbB-ylbC</t>
  </si>
  <si>
    <t>BSGatlas-TSS-1304</t>
  </si>
  <si>
    <t>BSGatlas-terminator-1042</t>
  </si>
  <si>
    <t>BSGatlas-TSS-1305</t>
  </si>
  <si>
    <t>BSGatlas-TSS-1306</t>
  </si>
  <si>
    <t>ylbD-ylbE</t>
  </si>
  <si>
    <t>BSGatlas-TSS-1308</t>
  </si>
  <si>
    <t>BSGatlas-terminator-1044</t>
  </si>
  <si>
    <t>BSGatlas-TSS-1310</t>
  </si>
  <si>
    <t>BSGatlas-terminator-1043</t>
  </si>
  <si>
    <t>BSGatlas-TSS-1309</t>
  </si>
  <si>
    <t>BSGatlas-terminator-1045</t>
  </si>
  <si>
    <t>ricF-ylbG-ylbH_csfG-rsmD-coaD</t>
  </si>
  <si>
    <t>BSGatlas-terminator-1048</t>
  </si>
  <si>
    <t>BSGatlas-terminator-1046</t>
  </si>
  <si>
    <t>BSGatlas-terminator-1047</t>
  </si>
  <si>
    <t>rsmD-coaD</t>
  </si>
  <si>
    <t>BSGatlas-TSS-1311</t>
  </si>
  <si>
    <t>BSGatlas-TSS-1313</t>
  </si>
  <si>
    <t>BSGatlas-terminator-1049</t>
  </si>
  <si>
    <t>ylbK-ylbL</t>
  </si>
  <si>
    <t>BSGatlas-TSS-1312</t>
  </si>
  <si>
    <t>BSGatlas-terminator-1050</t>
  </si>
  <si>
    <t>BSGatlas-TSS-1314</t>
  </si>
  <si>
    <t>BSGatlas-TSS-1317</t>
  </si>
  <si>
    <t>BSGatlas-terminator-1051</t>
  </si>
  <si>
    <t>ylbM-ylzH</t>
  </si>
  <si>
    <t>BSGatlas-TSS-1319</t>
  </si>
  <si>
    <t>ylbN-rpmF</t>
  </si>
  <si>
    <t>BSGatlas-TSS-1315</t>
  </si>
  <si>
    <t>BSGatlas-terminator-1052</t>
  </si>
  <si>
    <t>BSGatlas-TSS-1316</t>
  </si>
  <si>
    <t>BSGatlas-TSS-1318</t>
  </si>
  <si>
    <t>BSGatlas-TSS-1320</t>
  </si>
  <si>
    <t>BSGatlas-terminator-1053</t>
  </si>
  <si>
    <t>BSGatlas-terminator-1055</t>
  </si>
  <si>
    <t>BSGatlas-TSS-1321</t>
  </si>
  <si>
    <t>BSGatlas-terminator-1054</t>
  </si>
  <si>
    <t>panE-bshC</t>
  </si>
  <si>
    <t>BSGatlas-TSS-1322</t>
  </si>
  <si>
    <t>BSGatlas-terminator-1056</t>
  </si>
  <si>
    <t>BSGatlas-terminator-1057</t>
  </si>
  <si>
    <t>BSGatlas-TSS-1323</t>
  </si>
  <si>
    <t>mraZ-rsmH-ftsL-pbpB</t>
  </si>
  <si>
    <t>BSGatlas-TSS-1324</t>
  </si>
  <si>
    <t>BSGatlas-terminator-1059</t>
  </si>
  <si>
    <t>BSGatlas-TSS-1325</t>
  </si>
  <si>
    <t>BSGatlas-terminator-1058</t>
  </si>
  <si>
    <t>BSGatlas-TSS-1326</t>
  </si>
  <si>
    <t>BSGatlas-terminator-1060</t>
  </si>
  <si>
    <t>murE-mraY-murD-spoVE</t>
  </si>
  <si>
    <t>BSGatlas-TSS-1327</t>
  </si>
  <si>
    <t>BSGatlas-terminator-1061</t>
  </si>
  <si>
    <t>murE-mraY-murD-spoVE-murG-murB</t>
  </si>
  <si>
    <t>BSGatlas-terminator-1062</t>
  </si>
  <si>
    <t>murE-mraY-murD-spoVE-murG-murB-divIB-ylxW-ylxX-sbp</t>
  </si>
  <si>
    <t>BSGatlas-TSS-1328</t>
  </si>
  <si>
    <t>BSGatlas-TSS-1329</t>
  </si>
  <si>
    <t>spoVE-murG-murB</t>
  </si>
  <si>
    <t>spoVE-murG-murB-divIB-ylxW-ylxX-sbp</t>
  </si>
  <si>
    <t>BSGatlas-TSS-1330</t>
  </si>
  <si>
    <t>murG-murB</t>
  </si>
  <si>
    <t>BSGatlas-TSS-1331</t>
  </si>
  <si>
    <t>murG-murB-divIB-ylxW-ylxX-sbp</t>
  </si>
  <si>
    <t>BSGatlas-TSS-1332</t>
  </si>
  <si>
    <t>murB-divIB-ylxW-ylxX-sbp</t>
  </si>
  <si>
    <t>divIB-ylxW-ylxX-sbp</t>
  </si>
  <si>
    <t>BSGatlas-TSS-1333</t>
  </si>
  <si>
    <t>BSGatlas-TSS-1334</t>
  </si>
  <si>
    <t>BSGatlas-TSS-1335</t>
  </si>
  <si>
    <t>ftsA-ftsZ</t>
  </si>
  <si>
    <t>BSGatlas-TSS-1336</t>
  </si>
  <si>
    <t>BSGatlas-terminator-1063</t>
  </si>
  <si>
    <t>BSGatlas-terminator-1064</t>
  </si>
  <si>
    <t>BSGatlas-TSS-1338</t>
  </si>
  <si>
    <t>BSGatlas-terminator-1065</t>
  </si>
  <si>
    <t>BSGatlas-TSS-1340</t>
  </si>
  <si>
    <t>BSGatlas-terminator-1066</t>
  </si>
  <si>
    <t>BSGatlas-TSS-1341</t>
  </si>
  <si>
    <t>spoIIGA-sigE-sigG</t>
  </si>
  <si>
    <t>BSGatlas-TSS-1339</t>
  </si>
  <si>
    <t>BSGatlas-terminator-1067</t>
  </si>
  <si>
    <t>BSGatlas-TSS-1342</t>
  </si>
  <si>
    <t>BSGatlas-TSS-1343</t>
  </si>
  <si>
    <t>BSGatlas-TSS-1344</t>
  </si>
  <si>
    <t>BSGatlas-terminator-1068</t>
  </si>
  <si>
    <t>BSGatlas-TSS-1346</t>
  </si>
  <si>
    <t>BSGatlas-TSS-1347</t>
  </si>
  <si>
    <t>ylmD-ylmE-sepF-ylmG</t>
  </si>
  <si>
    <t>BSGatlas-TSS-1348</t>
  </si>
  <si>
    <t>BSGatlas-terminator-1069</t>
  </si>
  <si>
    <t>ylmD-ylmE-sepF-ylmG-ylmH</t>
  </si>
  <si>
    <t>BSGatlas-terminator-1070</t>
  </si>
  <si>
    <t>BSGatlas-TSS-1349</t>
  </si>
  <si>
    <t>BSGatlas-TSS-1350</t>
  </si>
  <si>
    <t>BSGatlas-TSS-1351</t>
  </si>
  <si>
    <t>BSGatlas-terminator-1072</t>
  </si>
  <si>
    <t>BSGatlas-terminator-1071</t>
  </si>
  <si>
    <t>BSGatlas-TSS-1352</t>
  </si>
  <si>
    <t>lspA-rluD-PyrR_pyaA</t>
  </si>
  <si>
    <t>BSGatlas-TSS-1353</t>
  </si>
  <si>
    <t>BSGatlas-terminator-1074</t>
  </si>
  <si>
    <t>lspA-rluD-PyrR_pyaA-pyrR</t>
  </si>
  <si>
    <t>BSGatlas-terminator-1076</t>
  </si>
  <si>
    <t>lspA-rluD-PyrR_pyaA-pyrR-PyrR_pyaB</t>
  </si>
  <si>
    <t>BSGatlas-terminator-1077</t>
  </si>
  <si>
    <t>lspA-rluD-PyrR_pyaA-pyrR-PyrR_pyaB-pyrP-PyrR_pyaC</t>
  </si>
  <si>
    <t>BSGatlas-terminator-1078</t>
  </si>
  <si>
    <t>lspA-rluD-PyrR_pyaA-pyrR-PyrR_pyaB-pyrP-PyrR_pyaC-pyrB-pyrC-pyrAA-pyrAB-pyrK-pyrD-pyrF-pyrE</t>
  </si>
  <si>
    <t>BSGatlas-terminator-1079</t>
  </si>
  <si>
    <t>BSGatlas-TSS-1354</t>
  </si>
  <si>
    <t>pyrR-PyrR_pyaB</t>
  </si>
  <si>
    <t>pyrR-PyrR_pyaB-pyrP-PyrR_pyaC</t>
  </si>
  <si>
    <t>pyrR-PyrR_pyaB-pyrP-PyrR_pyaC-pyrB-pyrC-pyrAA-pyrAB-pyrK-pyrD-pyrF-pyrE</t>
  </si>
  <si>
    <t>DBTBS;SubtiWiki</t>
  </si>
  <si>
    <t>PyrR_pyaA-pyrR-PyrR_pyaB-pyrP-PyrR_pyaC-pyrB-pyrC-pyrAA-pyrAB-pyrK-pyrD-pyrF-pyrE</t>
  </si>
  <si>
    <t>cysH-cysP-sat-cysC-sumT-sirB-sirC</t>
  </si>
  <si>
    <t>BSGatlas-TSS-1355</t>
  </si>
  <si>
    <t>BSGatlas-terminator-1080</t>
  </si>
  <si>
    <t>sirB-sirC</t>
  </si>
  <si>
    <t>BSGatlas-TSS-1357</t>
  </si>
  <si>
    <t>BSGatlas-TSS-1358</t>
  </si>
  <si>
    <t>BSGatlas-terminator-1081</t>
  </si>
  <si>
    <t>BSGatlas-TSS-1360</t>
  </si>
  <si>
    <t>BSGatlas-TSS-1359</t>
  </si>
  <si>
    <t>BSGatlas-terminator-1082</t>
  </si>
  <si>
    <t>tcaB-yloC-remA-gmk-rpoZ</t>
  </si>
  <si>
    <t>BSGatlas-terminator-1083</t>
  </si>
  <si>
    <t>tcaB-yloC-remA-gmk-rpoZ-coaBC-priA-defA-fmt-rsmB-rlmN</t>
  </si>
  <si>
    <t>BSGatlas-terminator-1084</t>
  </si>
  <si>
    <t>yloC-remA-gmk-rpoZ</t>
  </si>
  <si>
    <t>BSGatlas-TSS-1361</t>
  </si>
  <si>
    <t>yloC-remA-gmk-rpoZ-coaBC-priA-defA-fmt-rsmB-rlmN</t>
  </si>
  <si>
    <t>BSGatlas-TSS-1363</t>
  </si>
  <si>
    <t>defA-fmt-rsmB-rlmN</t>
  </si>
  <si>
    <t>BSGatlas-TSS-1364</t>
  </si>
  <si>
    <t>prpC-prkC-rsgA-rpe-thiN</t>
  </si>
  <si>
    <t>BSGatlas-TSS-1365</t>
  </si>
  <si>
    <t>BSGatlas-TSS-1367</t>
  </si>
  <si>
    <t>BSGatlas-terminator-1085</t>
  </si>
  <si>
    <t>BSGatlas-TSS-1368</t>
  </si>
  <si>
    <t>BSGatlas-TSS-1369</t>
  </si>
  <si>
    <t>BSGatlas-TSS-1370</t>
  </si>
  <si>
    <t>BSGatlas-terminator-1086</t>
  </si>
  <si>
    <t>BSGatlas-terminator-1087</t>
  </si>
  <si>
    <t>yloU-yloV</t>
  </si>
  <si>
    <t>BSGatlas-TSS-1371</t>
  </si>
  <si>
    <t>BSGatlas-TSS-1372</t>
  </si>
  <si>
    <t>sdaAB-sdaAA-recG</t>
  </si>
  <si>
    <t>BSGatlas-TSS-1373</t>
  </si>
  <si>
    <t>fapR-plsX-fabD-fabG</t>
  </si>
  <si>
    <t>BSGatlas-TSS-1374</t>
  </si>
  <si>
    <t>BSGatlas-terminator-1089</t>
  </si>
  <si>
    <t>fapR-plsX-fabD-fabG-acpA</t>
  </si>
  <si>
    <t>BSGatlas-terminator-1090</t>
  </si>
  <si>
    <t>BSGatlas-TSS-1375</t>
  </si>
  <si>
    <t>BSGatlas-TSS-1376</t>
  </si>
  <si>
    <t>BSGatlas-terminator-1091</t>
  </si>
  <si>
    <t>rnc-smc-ftsY</t>
  </si>
  <si>
    <t>BSGatlas-terminator-1094</t>
  </si>
  <si>
    <t>smc-ftsY</t>
  </si>
  <si>
    <t>BSGatlas-TSS-1377</t>
  </si>
  <si>
    <t>BSGatlas-TSS-1378</t>
  </si>
  <si>
    <t>BSGatlas-TSS-1379</t>
  </si>
  <si>
    <t>BSGatlas-terminator-1092</t>
  </si>
  <si>
    <t>BSGatlas-terminator-1093</t>
  </si>
  <si>
    <t>ylxM-ffh</t>
  </si>
  <si>
    <t>BSGatlas-TSS-1380</t>
  </si>
  <si>
    <t>ylxM-ffh-rpsP-ylqC</t>
  </si>
  <si>
    <t>BSGatlas-terminator-1096</t>
  </si>
  <si>
    <t>BSGatlas-terminator-1097</t>
  </si>
  <si>
    <t>ylxM-ffh-rpsP-ylqC-ylqD-rimM-trmD-unnamed_gene-rplS</t>
  </si>
  <si>
    <t>BSGatlas-terminator-1098</t>
  </si>
  <si>
    <t>rpsP-ylqC</t>
  </si>
  <si>
    <t>BSGatlas-TSS-1381</t>
  </si>
  <si>
    <t>rbgA-rnhB-ylqG</t>
  </si>
  <si>
    <t>BSGatlas-TSS-1382</t>
  </si>
  <si>
    <t>BSGatlas-terminator-1099</t>
  </si>
  <si>
    <t>rbgA-rnhB-ylqG-ylqH</t>
  </si>
  <si>
    <t>rnhB-ylqG</t>
  </si>
  <si>
    <t>BSGatlas-TSS-1383</t>
  </si>
  <si>
    <t>rnhB-ylqG-ylqH</t>
  </si>
  <si>
    <t>sucC-sucD</t>
  </si>
  <si>
    <t>BSGatlas-TSS-1385</t>
  </si>
  <si>
    <t>BSGatlas-terminator-1100</t>
  </si>
  <si>
    <t>sucC-sucD-dprA</t>
  </si>
  <si>
    <t>BSGatlas-terminator-1101</t>
  </si>
  <si>
    <t>sucC-sucD-dprA-topA</t>
  </si>
  <si>
    <t>BSGatlas-terminator-1102</t>
  </si>
  <si>
    <t>BSGatlas-terminator-1103</t>
  </si>
  <si>
    <t>BSGatlas-TSS-1387</t>
  </si>
  <si>
    <t>trmFO-codV-clpQ-clpY-codY</t>
  </si>
  <si>
    <t>BSGatlas-TSS-1388</t>
  </si>
  <si>
    <t>BSGatlas-terminator-1104</t>
  </si>
  <si>
    <t>codV-clpQ-clpY-codY</t>
  </si>
  <si>
    <t>BSGatlas-TSS-1389</t>
  </si>
  <si>
    <t>BSGatlas-TSS-1390</t>
  </si>
  <si>
    <t>flgB-flgC-fliE-fliF-fliG-fliH-fliI-fliJ-ylxF-fliK-flgD-flgE-swrD-fliL-fliM-fliY-cheY-fliZ-fliP-fliQ-fliR-flhB-flhA-flhF-flhG-cheB-cheA-cheW-cheC-cheD-sigD-swrB</t>
  </si>
  <si>
    <t>BSGatlas-TSS-1391</t>
  </si>
  <si>
    <t>BSGatlas-TSS-1392</t>
  </si>
  <si>
    <t>ylxF-fliK-flgD-flgE-swrD-fliL-fliM-fliY-cheY-fliZ-fliP-fliQ-fliR-flhB-flhA-flhF-flhG-cheB-cheA-cheW-cheC-cheD-sigD-swrB</t>
  </si>
  <si>
    <t>sigD-swrB</t>
  </si>
  <si>
    <t>BSGatlas-TSS-1395</t>
  </si>
  <si>
    <t>BSGatlas-TSS-1397</t>
  </si>
  <si>
    <t>BSGatlas-terminator-1106</t>
  </si>
  <si>
    <t>rpsB-tsf-pyrH-frr</t>
  </si>
  <si>
    <t>uppS-cdsA-dxr-rasP-proS-polC</t>
  </si>
  <si>
    <t>BSGatlas-TSS-1398</t>
  </si>
  <si>
    <t>dxr-rasP-proS-polC</t>
  </si>
  <si>
    <t>BSGatlas-TSS-1399</t>
  </si>
  <si>
    <t>BSGatlas-TSS-1400</t>
  </si>
  <si>
    <t>rimP-nusA-rulR-rulQ-infB-ylxP-rbfA</t>
  </si>
  <si>
    <t>BSGatlas-TSS-1401</t>
  </si>
  <si>
    <t>BSGatlas-terminator-1109</t>
  </si>
  <si>
    <t>ylxP-rbfA</t>
  </si>
  <si>
    <t>BSGatlas-TSS-1403</t>
  </si>
  <si>
    <t>ribC-rpsO</t>
  </si>
  <si>
    <t>BSGatlas-TSS-1404</t>
  </si>
  <si>
    <t>BSGatlas-terminator-1110</t>
  </si>
  <si>
    <t>BSGatlas-TSS-1405</t>
  </si>
  <si>
    <t>BSGatlas-TSS-1406</t>
  </si>
  <si>
    <t>BSGatlas-terminator-1111</t>
  </si>
  <si>
    <t>BSGatlas-terminator-1112</t>
  </si>
  <si>
    <t>BSGatlas-TSS-1408</t>
  </si>
  <si>
    <t>BSGatlas-terminator-1113</t>
  </si>
  <si>
    <t>BSGatlas-TSS-1409</t>
  </si>
  <si>
    <t>BSGatlas-terminator-1114</t>
  </si>
  <si>
    <t>spoVFA-spoVFB-asd-dapG-dapA</t>
  </si>
  <si>
    <t>BSGatlas-TSS-1410</t>
  </si>
  <si>
    <t>BSGatlas-terminator-1115</t>
  </si>
  <si>
    <t>asd-dapG-dapA</t>
  </si>
  <si>
    <t>BSGatlas-TSS-1411</t>
  </si>
  <si>
    <t>BSGatlas-TSS-1412</t>
  </si>
  <si>
    <t>BSGatlas-TSS-1414</t>
  </si>
  <si>
    <t>BSGatlas-TSS-1413</t>
  </si>
  <si>
    <t>BSGatlas-terminator-1116</t>
  </si>
  <si>
    <t>tepA-tepJ</t>
  </si>
  <si>
    <t>BSGatlas-TSS-1415</t>
  </si>
  <si>
    <t>BSGatlas-TSS-1416</t>
  </si>
  <si>
    <t>BSGatlas-terminator-1117</t>
  </si>
  <si>
    <t>spoIIIE-ymfC</t>
  </si>
  <si>
    <t>BSGatlas-terminator-1118</t>
  </si>
  <si>
    <t>BSGatlas-TSS-1417</t>
  </si>
  <si>
    <t>BSGatlas-TSS-1418</t>
  </si>
  <si>
    <t>BSGatlas-terminator-1119</t>
  </si>
  <si>
    <t>bcbE-ymfF-ymfH</t>
  </si>
  <si>
    <t>BSGatlas-terminator-1120</t>
  </si>
  <si>
    <t>ymfF-ymfH</t>
  </si>
  <si>
    <t>BSGatlas-TSS-1419</t>
  </si>
  <si>
    <t>BSGatlas-TSS-1420</t>
  </si>
  <si>
    <t>BSGatlas-TSS-1421</t>
  </si>
  <si>
    <t>BSGatlas-terminator-1121</t>
  </si>
  <si>
    <t>ymfKn-ymfKc-rodZ</t>
  </si>
  <si>
    <t>BSGatlas-TSS-1423</t>
  </si>
  <si>
    <t>BSGatlas-terminator-1123</t>
  </si>
  <si>
    <t>BSGatlas-TSS-1424</t>
  </si>
  <si>
    <t>rodZ-pgsA</t>
  </si>
  <si>
    <t>BSGatlas-TSS-1425</t>
  </si>
  <si>
    <t>BSGatlas-terminator-1124</t>
  </si>
  <si>
    <t>BSGatlas-TSS-1426</t>
  </si>
  <si>
    <t>BSGatlas-terminator-1125</t>
  </si>
  <si>
    <t>BSGatlas-TSS-1427</t>
  </si>
  <si>
    <t>BSGatlas-terminator-1126</t>
  </si>
  <si>
    <t>rny-pdeB</t>
  </si>
  <si>
    <t>BSGatlas-TSS-1428</t>
  </si>
  <si>
    <t>BSGatlas-terminator-1129</t>
  </si>
  <si>
    <t>BSGatlas-TSS-1429</t>
  </si>
  <si>
    <t>tdh-kbl</t>
  </si>
  <si>
    <t>BSGatlas-TSS-1431</t>
  </si>
  <si>
    <t>BSGatlas-terminator-1130</t>
  </si>
  <si>
    <t>miaB-ricA</t>
  </si>
  <si>
    <t>BSGatlas-TSS-1432</t>
  </si>
  <si>
    <t>BSGatlas-terminator-1131</t>
  </si>
  <si>
    <t>BSGatlas-TSS-1433</t>
  </si>
  <si>
    <t>BSGatlas-terminator-1133</t>
  </si>
  <si>
    <t>BSGatlas-TSS-1434</t>
  </si>
  <si>
    <t>mutS-mutL</t>
  </si>
  <si>
    <t>BSGatlas-TSS-1435</t>
  </si>
  <si>
    <t>BSGatlas-terminator-1134</t>
  </si>
  <si>
    <t>BSGatlas-terminator-1136</t>
  </si>
  <si>
    <t>BSGatlas-terminator-1135</t>
  </si>
  <si>
    <t>BSGatlas-TSS-1436</t>
  </si>
  <si>
    <t>BSGatlas-terminator-1137</t>
  </si>
  <si>
    <t>BSGatlas-TSS-1437</t>
  </si>
  <si>
    <t>BSGatlas-TSS-1439</t>
  </si>
  <si>
    <t>BSGatlas-TSS-1438</t>
  </si>
  <si>
    <t>BSGatlas-terminator-1138</t>
  </si>
  <si>
    <t>pksB-unnamed_gene-pksC-pksD-pksE-acpK-pksF-pksG-pksH-pksI-pksJ-pksL-pksM-pksN-pksR</t>
  </si>
  <si>
    <t>BSGatlas-TSS-1440</t>
  </si>
  <si>
    <t>BSGatlas-terminator-1139</t>
  </si>
  <si>
    <t>pksC-pksD-pksE-acpK-pksF-pksG-pksH-pksI-pksJ-pksL-pksM-pksN-pksR</t>
  </si>
  <si>
    <t>BSGatlas-TSS-1441</t>
  </si>
  <si>
    <t>BSGatlas-TSS-1443</t>
  </si>
  <si>
    <t>BSGatlas-terminator-1140</t>
  </si>
  <si>
    <t>BSGatlas-TSS-1444</t>
  </si>
  <si>
    <t>BSGatlas-TSS-1445</t>
  </si>
  <si>
    <t>BSGatlas-terminator-1141</t>
  </si>
  <si>
    <t>ymzB-ymaE</t>
  </si>
  <si>
    <t>BSGatlas-TSS-1446</t>
  </si>
  <si>
    <t>BSGatlas-TSS-1447</t>
  </si>
  <si>
    <t>BSGatlas-terminator-1142</t>
  </si>
  <si>
    <t>BSGatlas-TSS-1448</t>
  </si>
  <si>
    <t>BSGatlas-TSS-1449</t>
  </si>
  <si>
    <t>ebrB-ebrA</t>
  </si>
  <si>
    <t>BSGatlas-TSS-1452</t>
  </si>
  <si>
    <t>BSGatlas-terminator-1143</t>
  </si>
  <si>
    <t>BSGatlas-terminator-1144</t>
  </si>
  <si>
    <t>pghC-ymaD</t>
  </si>
  <si>
    <t>BSGatlas-TSS-1450</t>
  </si>
  <si>
    <t>BSGatlas-terminator-1145</t>
  </si>
  <si>
    <t>BSGatlas-TSS-1451</t>
  </si>
  <si>
    <t>BSGatlas-terminator-1146</t>
  </si>
  <si>
    <t>BSGatlas-TSS-1454</t>
  </si>
  <si>
    <t>BSGatlas-terminator-1147</t>
  </si>
  <si>
    <t>BSGatlas-TSS-1457</t>
  </si>
  <si>
    <t>ymaF-miaA-hfq</t>
  </si>
  <si>
    <t>BSGatlas-TSS-1453</t>
  </si>
  <si>
    <t>BSGatlas-terminator-1149</t>
  </si>
  <si>
    <t>miaA-hfq</t>
  </si>
  <si>
    <t>BSGatlas-TSS-1455</t>
  </si>
  <si>
    <t>BSGatlas-TSS-1456</t>
  </si>
  <si>
    <t>BSGatlas-TSS-1458</t>
  </si>
  <si>
    <t>BSGatlas-terminator-1150</t>
  </si>
  <si>
    <t>ymzA-S620-nrdI-nrdE-nrdF</t>
  </si>
  <si>
    <t>BSGatlas-terminator-1151</t>
  </si>
  <si>
    <t>ymzA-S620-nrdI-nrdE-nrdF-ymaB</t>
  </si>
  <si>
    <t>BSGatlas-terminator-1153</t>
  </si>
  <si>
    <t>nrdI-nrdE-nrdF</t>
  </si>
  <si>
    <t>BSGatlas-TSS-1459</t>
  </si>
  <si>
    <t>nrdI-nrdE-nrdF-ymaB</t>
  </si>
  <si>
    <t>BSGatlas-TSS-1461</t>
  </si>
  <si>
    <t>BSGatlas-terminator-1152</t>
  </si>
  <si>
    <t>BSGatlas-terminator-1154</t>
  </si>
  <si>
    <t>BSGatlas-TSS-1460</t>
  </si>
  <si>
    <t>BSGatlas-TSS-1462</t>
  </si>
  <si>
    <t>BSGatlas-terminator-1155</t>
  </si>
  <si>
    <t>BSGatlas-terminator-1156</t>
  </si>
  <si>
    <t>BSGatlas-TSS-1463</t>
  </si>
  <si>
    <t>BSGatlas-TSS-1464</t>
  </si>
  <si>
    <t>hflX-ynbB-glnR</t>
  </si>
  <si>
    <t>BSGatlas-TSS-1465</t>
  </si>
  <si>
    <t>BSGatlas-terminator-1158</t>
  </si>
  <si>
    <t>hflX-ynbB-glnR-glnA</t>
  </si>
  <si>
    <t>BSGatlas-terminator-1160</t>
  </si>
  <si>
    <t>BSGatlas-terminator-1161</t>
  </si>
  <si>
    <t>BSGatlas-TSS-1466</t>
  </si>
  <si>
    <t>glnR-glnA</t>
  </si>
  <si>
    <t>BSGatlas-TSS-1467</t>
  </si>
  <si>
    <t>BSGatlas-TSS-1468</t>
  </si>
  <si>
    <t>BSGatlas-terminator-1162</t>
  </si>
  <si>
    <t>BSGatlas-terminator-1163</t>
  </si>
  <si>
    <t>ynaB-ynaC</t>
  </si>
  <si>
    <t>BSGatlas-TSS-1469</t>
  </si>
  <si>
    <t>BSGatlas-terminator-1164</t>
  </si>
  <si>
    <t>BSGatlas-terminator-1165</t>
  </si>
  <si>
    <t>BSGatlas-TSS-1471</t>
  </si>
  <si>
    <t>BSGatlas-TSS-1472</t>
  </si>
  <si>
    <t>BSGatlas-TSS-1473</t>
  </si>
  <si>
    <t>xynP-xynB</t>
  </si>
  <si>
    <t>BSGatlas-TSS-1475</t>
  </si>
  <si>
    <t>BSGatlas-terminator-1167</t>
  </si>
  <si>
    <t>BSGatlas-TSS-1476</t>
  </si>
  <si>
    <t>BSGatlas-TSS-1478</t>
  </si>
  <si>
    <t>BSGatlas-terminator-1168</t>
  </si>
  <si>
    <t>BSGatlas-TSS-1477</t>
  </si>
  <si>
    <t>BSGatlas-terminator-1169</t>
  </si>
  <si>
    <t>xylA-xylB</t>
  </si>
  <si>
    <t>BSGatlas-terminator-1170</t>
  </si>
  <si>
    <t>BSGatlas-TSS-1479</t>
  </si>
  <si>
    <t>BSGatlas-TSS-1480</t>
  </si>
  <si>
    <t>BSGatlas-TSS-1481</t>
  </si>
  <si>
    <t>BSGatlas-terminator-1171</t>
  </si>
  <si>
    <t>BSGatlas-TSS-1482</t>
  </si>
  <si>
    <t>BSGatlas-terminator-1172</t>
  </si>
  <si>
    <t>BSGatlas-TSS-1483</t>
  </si>
  <si>
    <t>BSGatlas-terminator-1174</t>
  </si>
  <si>
    <t>BSGatlas-TSS-1484</t>
  </si>
  <si>
    <t>BSGatlas-terminator-1173</t>
  </si>
  <si>
    <t>BSGatlas-terminator-1175</t>
  </si>
  <si>
    <t>BSGatlas-TSS-1485</t>
  </si>
  <si>
    <t>BSGatlas-terminator-1176</t>
  </si>
  <si>
    <t>BSGatlas-TSS-1488</t>
  </si>
  <si>
    <t>BSGatlas-TSS-1486</t>
  </si>
  <si>
    <t>BSGatlas-TSS-1487</t>
  </si>
  <si>
    <t>BSGatlas-terminator-1177</t>
  </si>
  <si>
    <t>BSGatlas-terminator-1178</t>
  </si>
  <si>
    <t>BSGatlas-TSS-1489</t>
  </si>
  <si>
    <t>BSGatlas-terminator-1179</t>
  </si>
  <si>
    <t>BSGatlas-terminator-1182</t>
  </si>
  <si>
    <t>BSGatlas-TSS-1490</t>
  </si>
  <si>
    <t>BSGatlas-terminator-1180</t>
  </si>
  <si>
    <t>BSGatlas-TSS-1491</t>
  </si>
  <si>
    <t>BSGatlas-TSS-1492</t>
  </si>
  <si>
    <t>BSGatlas-terminator-1181</t>
  </si>
  <si>
    <t>BSGatlas-TSS-1493</t>
  </si>
  <si>
    <t>BSGatlas-terminator-1183</t>
  </si>
  <si>
    <t>BSGatlas-TSS-1494</t>
  </si>
  <si>
    <t>BSGatlas-TSS-1495</t>
  </si>
  <si>
    <t>BSGatlas-terminator-1184</t>
  </si>
  <si>
    <t>yndA-ynzB</t>
  </si>
  <si>
    <t>BSGatlas-terminator-1186</t>
  </si>
  <si>
    <t>BSGatlas-TSS-1496</t>
  </si>
  <si>
    <t>BSGatlas-terminator-1185</t>
  </si>
  <si>
    <t>BSGatlas-TSS-1498</t>
  </si>
  <si>
    <t>yndD-yndE-yndF</t>
  </si>
  <si>
    <t>BSGatlas-TSS-1497</t>
  </si>
  <si>
    <t>BSGatlas-terminator-1187</t>
  </si>
  <si>
    <t>yndG-yndH-yndJ-yndK</t>
  </si>
  <si>
    <t>BSGatlas-TSS-1499</t>
  </si>
  <si>
    <t>BSGatlas-terminator-1189</t>
  </si>
  <si>
    <t>BSGatlas-TSS-1500</t>
  </si>
  <si>
    <t>BSGatlas-TSS-1502</t>
  </si>
  <si>
    <t>BSGatlas-terminator-1188</t>
  </si>
  <si>
    <t>BSGatlas-TSS-1504</t>
  </si>
  <si>
    <t>BSGatlas-terminator-1190</t>
  </si>
  <si>
    <t>BSGatlas-TSS-1501</t>
  </si>
  <si>
    <t>BSGatlas-terminator-1192</t>
  </si>
  <si>
    <t>BSGatlas-TSS-1503</t>
  </si>
  <si>
    <t>BSGatlas-TSS-1505</t>
  </si>
  <si>
    <t>BSGatlas-terminator-1191</t>
  </si>
  <si>
    <t>BSGatlas-TSS-1506</t>
  </si>
  <si>
    <t>BSGatlas-TSS-1507</t>
  </si>
  <si>
    <t>BSGatlas-terminator-1193</t>
  </si>
  <si>
    <t>BSGatlas-TSS-1508</t>
  </si>
  <si>
    <t>BSGatlas-terminator-1194</t>
  </si>
  <si>
    <t>BSGatlas-TSS-1510</t>
  </si>
  <si>
    <t>BSGatlas-TSS-1513</t>
  </si>
  <si>
    <t>BSGatlas-terminator-1195</t>
  </si>
  <si>
    <t>dinK-dinL-ynzC</t>
  </si>
  <si>
    <t>BSGatlas-TSS-1509</t>
  </si>
  <si>
    <t>BSGatlas-terminator-1196</t>
  </si>
  <si>
    <t>BSGatlas-TSS-1511</t>
  </si>
  <si>
    <t>BSGatlas-TSS-1512</t>
  </si>
  <si>
    <t>BSGatlas-terminator-1197</t>
  </si>
  <si>
    <t>BSGatlas-TSS-1516</t>
  </si>
  <si>
    <t>pcfA-yneF</t>
  </si>
  <si>
    <t>BSGatlas-TSS-1514</t>
  </si>
  <si>
    <t>BSGatlas-terminator-1198</t>
  </si>
  <si>
    <t>BSGatlas-terminator-1200</t>
  </si>
  <si>
    <t>BSGatlas-TSS-1515</t>
  </si>
  <si>
    <t>BSGatlas-TSS-1517</t>
  </si>
  <si>
    <t>BSGatlas-terminator-1199</t>
  </si>
  <si>
    <t>BSGatlas-TSS-1518</t>
  </si>
  <si>
    <t>BSGatlas-terminator-1201</t>
  </si>
  <si>
    <t>ccdA-yneI-yneJ</t>
  </si>
  <si>
    <t>BSGatlas-TSS-1519</t>
  </si>
  <si>
    <t>BSGatlas-terminator-1203</t>
  </si>
  <si>
    <t>yneI-yneJ</t>
  </si>
  <si>
    <t>BSGatlas-TSS-1520</t>
  </si>
  <si>
    <t>BSGatlas-TSS-1521</t>
  </si>
  <si>
    <t>BSGatlas-TSS-1522</t>
  </si>
  <si>
    <t>BSGatlas-terminator-1202</t>
  </si>
  <si>
    <t>BSGatlas-TSS-1524</t>
  </si>
  <si>
    <t>BSGatlas-TSS-1523</t>
  </si>
  <si>
    <t>BSGatlas-terminator-1204</t>
  </si>
  <si>
    <t>BSGatlas-TSS-1526</t>
  </si>
  <si>
    <t>BSGatlas-terminator-1205</t>
  </si>
  <si>
    <t>BSGatlas-TSS-1525</t>
  </si>
  <si>
    <t>BSGatlas-terminator-1209</t>
  </si>
  <si>
    <t>citB-yneN</t>
  </si>
  <si>
    <t>BSGatlas-terminator-1210</t>
  </si>
  <si>
    <t>BSGatlas-terminator-1211</t>
  </si>
  <si>
    <t>BSGatlas-TSS-1527</t>
  </si>
  <si>
    <t>sspP-sspO</t>
  </si>
  <si>
    <t>BSGatlas-TSS-1529</t>
  </si>
  <si>
    <t>BSGatlas-terminator-1206</t>
  </si>
  <si>
    <t>BSGatlas-TSS-1531</t>
  </si>
  <si>
    <t>BSGatlas-terminator-1207</t>
  </si>
  <si>
    <t>BSGatlas-TSS-1528</t>
  </si>
  <si>
    <t>BSGatlas-TSS-1530</t>
  </si>
  <si>
    <t>BSGatlas-TSS-1532</t>
  </si>
  <si>
    <t>BSGatlas-TSS-1536</t>
  </si>
  <si>
    <t>BSGatlas-terminator-1212</t>
  </si>
  <si>
    <t>yneR-plsY</t>
  </si>
  <si>
    <t>BSGatlas-TSS-1538</t>
  </si>
  <si>
    <t>sspN-sspT</t>
  </si>
  <si>
    <t>BSGatlas-TSS-1533</t>
  </si>
  <si>
    <t>BSGatlas-terminator-1213</t>
  </si>
  <si>
    <t>BSGatlas-TSS-1534</t>
  </si>
  <si>
    <t>yneP-yneQ</t>
  </si>
  <si>
    <t>BSGatlas-TSS-1535</t>
  </si>
  <si>
    <t>BSGatlas-terminator-1214</t>
  </si>
  <si>
    <t>BSGatlas-terminator-1215</t>
  </si>
  <si>
    <t>BSGatlas-terminator-1216</t>
  </si>
  <si>
    <t>BSGatlas-TSS-1537</t>
  </si>
  <si>
    <t>BSGatlas-terminator-1217</t>
  </si>
  <si>
    <t>BSGatlas-TSS-1539</t>
  </si>
  <si>
    <t>parE-parC</t>
  </si>
  <si>
    <t>BSGatlas-TSS-1540</t>
  </si>
  <si>
    <t>BSGatlas-terminator-1218</t>
  </si>
  <si>
    <t>BSGatlas-terminator-1219</t>
  </si>
  <si>
    <t>BSGatlas-TSS-1541</t>
  </si>
  <si>
    <t>BSGatlas-TSS-1542</t>
  </si>
  <si>
    <t>BSGatlas-TSS-1543</t>
  </si>
  <si>
    <t>BSGatlas-TSS-1544</t>
  </si>
  <si>
    <t>BSGatlas-terminator-1220</t>
  </si>
  <si>
    <t>BSGatlas-terminator-1221</t>
  </si>
  <si>
    <t>BSGatlas-TSS-1546</t>
  </si>
  <si>
    <t>BSGatlas-TSS-1545</t>
  </si>
  <si>
    <t>BSGatlas-terminator-1222</t>
  </si>
  <si>
    <t>BSGatlas-terminator-1223</t>
  </si>
  <si>
    <t>xynC-xynD</t>
  </si>
  <si>
    <t>BSGatlas-TSS-1547</t>
  </si>
  <si>
    <t>BSGatlas-terminator-1224</t>
  </si>
  <si>
    <t>yngA-yngB-yngC</t>
  </si>
  <si>
    <t>BSGatlas-TSS-1548</t>
  </si>
  <si>
    <t>BSGatlas-terminator-1225</t>
  </si>
  <si>
    <t>BSGatlas-TSS-1549</t>
  </si>
  <si>
    <t>BSGatlas-TSS-1550</t>
  </si>
  <si>
    <t>ldeE-ldeF-ldeG-lgeHB-ldeHA-ldeI-ldeJ</t>
  </si>
  <si>
    <t>BSGatlas-TSS-1552</t>
  </si>
  <si>
    <t>BSGatlas-terminator-1226</t>
  </si>
  <si>
    <t>BSGatlas-TSS-1553</t>
  </si>
  <si>
    <t>BSGatlas-terminator-1227</t>
  </si>
  <si>
    <t>BSGatlas-TSS-1554</t>
  </si>
  <si>
    <t>BSGatlas-terminator-1228</t>
  </si>
  <si>
    <t>ppsE-ppsD-ppsC-ppsB-ppsA</t>
  </si>
  <si>
    <t>BSGatlas-TSS-1558</t>
  </si>
  <si>
    <t>BSGatlas-terminator-1229</t>
  </si>
  <si>
    <t>dacC-galM</t>
  </si>
  <si>
    <t>BSGatlas-TSS-1559</t>
  </si>
  <si>
    <t>BSGatlas-terminator-1231</t>
  </si>
  <si>
    <t>BSGatlas-TSS-1561</t>
  </si>
  <si>
    <t>BSGatlas-terminator-1232</t>
  </si>
  <si>
    <t>BSGatlas-TSS-1560</t>
  </si>
  <si>
    <t>BSGatlas-terminator-1234</t>
  </si>
  <si>
    <t>BSGatlas-TSS-1562</t>
  </si>
  <si>
    <t>BSGatlas-TSS-1563</t>
  </si>
  <si>
    <t>BSGatlas-TSS-1564</t>
  </si>
  <si>
    <t>BSGatlas-terminator-1235</t>
  </si>
  <si>
    <t>BSGatlas-TSS-1565</t>
  </si>
  <si>
    <t>BSGatlas-terminator-1236</t>
  </si>
  <si>
    <t>BSGatlas-TSS-1566</t>
  </si>
  <si>
    <t>BSGatlas-TSS-1567</t>
  </si>
  <si>
    <t>BSGatlas-terminator-1237</t>
  </si>
  <si>
    <t>BSGatlas-TSS-1568</t>
  </si>
  <si>
    <t>BSGatlas-terminator-1238</t>
  </si>
  <si>
    <t>gltB-gltA</t>
  </si>
  <si>
    <t>BSGatlas-TSS-1570</t>
  </si>
  <si>
    <t>BSGatlas-terminator-1239</t>
  </si>
  <si>
    <t>BSGatlas-terminator-1240</t>
  </si>
  <si>
    <t>BSGatlas-terminator-1241</t>
  </si>
  <si>
    <t>BSGatlas-TSS-1569</t>
  </si>
  <si>
    <t>BSGatlas-terminator-1242</t>
  </si>
  <si>
    <t>BSGatlas-terminator-1243</t>
  </si>
  <si>
    <t>BSGatlas-TSS-1571</t>
  </si>
  <si>
    <t>proJ-proH</t>
  </si>
  <si>
    <t>BSGatlas-TSS-1572</t>
  </si>
  <si>
    <t>BSGatlas-TSS-1573</t>
  </si>
  <si>
    <t>BSGatlas-TSS-1574</t>
  </si>
  <si>
    <t>BSGatlas-TSS-1575</t>
  </si>
  <si>
    <t>BSGatlas-TSS-1576</t>
  </si>
  <si>
    <t>BSGatlas-terminator-1245</t>
  </si>
  <si>
    <t>BSGatlas-TSS-1577</t>
  </si>
  <si>
    <t>BSGatlas-terminator-1246</t>
  </si>
  <si>
    <t>yoxC-yoxB-yoaA</t>
  </si>
  <si>
    <t>BSGatlas-terminator-1247</t>
  </si>
  <si>
    <t>BSGatlas-terminator-1249</t>
  </si>
  <si>
    <t>BSGatlas-TSS-1578</t>
  </si>
  <si>
    <t>yoaB-yoaC-yoaD</t>
  </si>
  <si>
    <t>BSGatlas-TSS-1579</t>
  </si>
  <si>
    <t>BSGatlas-terminator-1248</t>
  </si>
  <si>
    <t>BSGatlas-terminator-1250</t>
  </si>
  <si>
    <t>yoaE-yoaF</t>
  </si>
  <si>
    <t>BSGatlas-TSS-1580</t>
  </si>
  <si>
    <t>BSGatlas-terminator-1251</t>
  </si>
  <si>
    <t>BSGatlas-terminator-1253</t>
  </si>
  <si>
    <t>BSGatlas-TSS-1581</t>
  </si>
  <si>
    <t>BSGatlas-TSS-1582</t>
  </si>
  <si>
    <t>BSGatlas-terminator-1252</t>
  </si>
  <si>
    <t>BSGatlas-TSS-1583</t>
  </si>
  <si>
    <t>BSGatlas-terminator-1255</t>
  </si>
  <si>
    <t>BSGatlas-TSS-1584</t>
  </si>
  <si>
    <t>BSGatlas-terminator-1254</t>
  </si>
  <si>
    <t>BSGatlas-TSS-1585</t>
  </si>
  <si>
    <t>BSGatlas-terminator-1256</t>
  </si>
  <si>
    <t>BSGatlas-TSS-1586</t>
  </si>
  <si>
    <t>BSGatlas-terminator-1257</t>
  </si>
  <si>
    <t>BSGatlas-TSS-1587</t>
  </si>
  <si>
    <t>BSGatlas-TSS-1588</t>
  </si>
  <si>
    <t>BSGatlas-TSS-1589</t>
  </si>
  <si>
    <t>BSGatlas-terminator-1258</t>
  </si>
  <si>
    <t>BSGatlas-terminator-1259</t>
  </si>
  <si>
    <t>BSGatlas-TSS-1590</t>
  </si>
  <si>
    <t>BSGatlas-terminator-1260</t>
  </si>
  <si>
    <t>yozT-yozF-yoaR</t>
  </si>
  <si>
    <t>BSGatlas-TSS-1591</t>
  </si>
  <si>
    <t>yoaS-yozG-yoaT</t>
  </si>
  <si>
    <t>BSGatlas-TSS-1592</t>
  </si>
  <si>
    <t>BSGatlas-terminator-1261</t>
  </si>
  <si>
    <t>yoaS-yozG-yoaT-yoaV</t>
  </si>
  <si>
    <t>BSGatlas-TSS-1593</t>
  </si>
  <si>
    <t>BSGatlas-terminator-1262</t>
  </si>
  <si>
    <t>BSGatlas-TSS-1594</t>
  </si>
  <si>
    <t>BSGatlas-TSS-1596</t>
  </si>
  <si>
    <t>BSGatlas-TSS-1595</t>
  </si>
  <si>
    <t>BSGatlas-terminator-1263</t>
  </si>
  <si>
    <t>BSGatlas-TSS-1597</t>
  </si>
  <si>
    <t>BSGatlas-terminator-1264</t>
  </si>
  <si>
    <t>BSGatlas-TSS-1599</t>
  </si>
  <si>
    <t>BSGatlas-TSS-1598</t>
  </si>
  <si>
    <t>BSGatlas-TSS-1600</t>
  </si>
  <si>
    <t>BSGatlas-terminator-1265</t>
  </si>
  <si>
    <t>BSGatlas-terminator-1266</t>
  </si>
  <si>
    <t>BSGatlas-terminator-1267</t>
  </si>
  <si>
    <t>BSGatlas-TSS-1601</t>
  </si>
  <si>
    <t>BSGatlas-terminator-1268</t>
  </si>
  <si>
    <t>BSGatlas-TSS-1602</t>
  </si>
  <si>
    <t>BSGatlas-TSS-1603</t>
  </si>
  <si>
    <t>BSGatlas-terminator-1269</t>
  </si>
  <si>
    <t>BSGatlas-TSS-1604</t>
  </si>
  <si>
    <t>BSGatlas-terminator-1270</t>
  </si>
  <si>
    <t>BSGatlas-TSS-1605</t>
  </si>
  <si>
    <t>BSGatlas-terminator-1271</t>
  </si>
  <si>
    <t>BSGatlas-terminator-1272</t>
  </si>
  <si>
    <t>BSGatlas-TSS-1606</t>
  </si>
  <si>
    <t>BSGatlas-terminator-1273</t>
  </si>
  <si>
    <t>rapK-phrK</t>
  </si>
  <si>
    <t>BSGatlas-TSS-1607</t>
  </si>
  <si>
    <t>BSGatlas-terminator-1275</t>
  </si>
  <si>
    <t>BSGatlas-terminator-1276</t>
  </si>
  <si>
    <t>BSGatlas-TSS-1608</t>
  </si>
  <si>
    <t>yobHc-yobHm-yozL</t>
  </si>
  <si>
    <t>BSGatlas-TSS-1610</t>
  </si>
  <si>
    <t>BSGatlas-terminator-1274</t>
  </si>
  <si>
    <t>BSGatlas-terminator-1277</t>
  </si>
  <si>
    <t>BSGatlas-TSS-1609</t>
  </si>
  <si>
    <t>BSGatlas-terminator-1278</t>
  </si>
  <si>
    <t>BSGatlas-TSS-1611</t>
  </si>
  <si>
    <t>BSGatlas-terminator-1279</t>
  </si>
  <si>
    <t>yobI-S713-yoyA</t>
  </si>
  <si>
    <t>BSGatlas-TSS-1612</t>
  </si>
  <si>
    <t>BSGatlas-TSS-1614</t>
  </si>
  <si>
    <t>BSGatlas-terminator-1280</t>
  </si>
  <si>
    <t>S717_BsrG-bsrE</t>
  </si>
  <si>
    <t>BSGatlas-TSS-1613</t>
  </si>
  <si>
    <t>BSGatlas-terminator-1283</t>
  </si>
  <si>
    <t>BSGatlas-terminator-1281</t>
  </si>
  <si>
    <t>BSGatlas-terminator-1282</t>
  </si>
  <si>
    <t>BSGatlas-TSS-1616</t>
  </si>
  <si>
    <t>BSGatlas-terminator-1284</t>
  </si>
  <si>
    <t>BSGatlas-TSS-1617</t>
  </si>
  <si>
    <t>BSGatlas-TSS-1619</t>
  </si>
  <si>
    <t>yobN-yobO</t>
  </si>
  <si>
    <t>BSGatlas-TSS-1618</t>
  </si>
  <si>
    <t>BSGatlas-TSS-1620</t>
  </si>
  <si>
    <t>csaA-yobQ-yobR</t>
  </si>
  <si>
    <t>BSGatlas-TSS-1622</t>
  </si>
  <si>
    <t>BSGatlas-terminator-1285</t>
  </si>
  <si>
    <t>csaA-yobQ-yobR-yobS-yobT</t>
  </si>
  <si>
    <t>BSGatlas-TSS-1623</t>
  </si>
  <si>
    <t>BSGatlas-TSS-1624</t>
  </si>
  <si>
    <t>BSGatlas-TSS-1621</t>
  </si>
  <si>
    <t>BSGatlas-terminator-1286</t>
  </si>
  <si>
    <t>BSGatlas-terminator-1287</t>
  </si>
  <si>
    <t>BSGatlas-TSS-1625</t>
  </si>
  <si>
    <t>BSGatlas-TSS-1626</t>
  </si>
  <si>
    <t>BSGatlas-terminator-1288</t>
  </si>
  <si>
    <t>BSGatlas-TSS-1627</t>
  </si>
  <si>
    <t>BSGatlas-terminator-1289</t>
  </si>
  <si>
    <t>BSGatlas-terminator-1291</t>
  </si>
  <si>
    <t>BSGatlas-TSS-1628</t>
  </si>
  <si>
    <t>BSGatlas-TSS-1629</t>
  </si>
  <si>
    <t>BSGatlas-terminator-1290</t>
  </si>
  <si>
    <t>BSGatlas-TSS-1630</t>
  </si>
  <si>
    <t>BSGatlas-terminator-1292</t>
  </si>
  <si>
    <t>BSGatlas-TSS-1631</t>
  </si>
  <si>
    <t>BSGatlas-terminator-1293</t>
  </si>
  <si>
    <t>BSGatlas-TSS-1632</t>
  </si>
  <si>
    <t>BSGatlas-terminator-1294</t>
  </si>
  <si>
    <t>yocC-yocD</t>
  </si>
  <si>
    <t>BSGatlas-TSS-1633</t>
  </si>
  <si>
    <t>BSGatlas-terminator-1295</t>
  </si>
  <si>
    <t>BSGatlas-TSS-1634</t>
  </si>
  <si>
    <t>BSGatlas-TSS-1635</t>
  </si>
  <si>
    <t>BSGatlas-terminator-1296</t>
  </si>
  <si>
    <t>desK-desR</t>
  </si>
  <si>
    <t>BSGatlas-TSS-1636</t>
  </si>
  <si>
    <t>BSGatlas-terminator-1297</t>
  </si>
  <si>
    <t>BSGatlas-TSS-1638</t>
  </si>
  <si>
    <t>BSGatlas-terminator-1298</t>
  </si>
  <si>
    <t>BSGatlas-TSS-1637</t>
  </si>
  <si>
    <t>BSGatlas-terminator-1300</t>
  </si>
  <si>
    <t>BSGatlas-TSS-1640</t>
  </si>
  <si>
    <t>BSGatlas-terminator-1299</t>
  </si>
  <si>
    <t>walL-recQ-bsrB_6S_ssrSA</t>
  </si>
  <si>
    <t>BSGatlas-TSS-1641</t>
  </si>
  <si>
    <t>walL-recQ-bsrB_6S_ssrSA-azoJ</t>
  </si>
  <si>
    <t>BSGatlas-TSS-1642</t>
  </si>
  <si>
    <t>BSGatlas-terminator-1301</t>
  </si>
  <si>
    <t>BSGatlas-terminator-1302</t>
  </si>
  <si>
    <t>bsrB_6S_ssrSA-azoJ</t>
  </si>
  <si>
    <t>BSGatlas-terminator-1303</t>
  </si>
  <si>
    <t>BSGatlas-terminator-1304</t>
  </si>
  <si>
    <t>BSGatlas-TSS-1643</t>
  </si>
  <si>
    <t>BSGatlas-terminator-1305</t>
  </si>
  <si>
    <t>BSGatlas-TSS-1644</t>
  </si>
  <si>
    <t>yoyB-yozN-yocN</t>
  </si>
  <si>
    <t>BSGatlas-terminator-1306</t>
  </si>
  <si>
    <t>BSGatlas-TSS-1646</t>
  </si>
  <si>
    <t>yozN-yocN</t>
  </si>
  <si>
    <t>BSGatlas-TSS-1645</t>
  </si>
  <si>
    <t>BSGatlas-TSS-1647</t>
  </si>
  <si>
    <t>BSGatlas-terminator-1307</t>
  </si>
  <si>
    <t>BSGatlas-terminator-1308</t>
  </si>
  <si>
    <t>BSGatlas-TSS-1648</t>
  </si>
  <si>
    <t>BSGatlas-TSS-1649</t>
  </si>
  <si>
    <t>BSGatlas-terminator-1309</t>
  </si>
  <si>
    <t>BSGatlas-TSS-1651</t>
  </si>
  <si>
    <t>BSGatlas-TSS-1652</t>
  </si>
  <si>
    <t>BSGatlas-TSS-1650</t>
  </si>
  <si>
    <t>BSGatlas-terminator-1310</t>
  </si>
  <si>
    <t>sqhC-sodF</t>
  </si>
  <si>
    <t>BSGatlas-TSS-1653</t>
  </si>
  <si>
    <t>BSGatlas-TSS-1655</t>
  </si>
  <si>
    <t>BSGatlas-terminator-1311</t>
  </si>
  <si>
    <t>BSGatlas-TSS-1656</t>
  </si>
  <si>
    <t>BSGatlas-terminator-1312</t>
  </si>
  <si>
    <t>odhB-odhA</t>
  </si>
  <si>
    <t>BSGatlas-TSS-1657</t>
  </si>
  <si>
    <t>BSGatlas-terminator-1313</t>
  </si>
  <si>
    <t>yojO-yojN</t>
  </si>
  <si>
    <t>BSGatlas-TSS-1658</t>
  </si>
  <si>
    <t>sodC-cwlS</t>
  </si>
  <si>
    <t>BSGatlas-TSS-1659</t>
  </si>
  <si>
    <t>BSGatlas-TSS-1660</t>
  </si>
  <si>
    <t>BSGatlas-terminator-1314</t>
  </si>
  <si>
    <t>BSGatlas-TSS-1661</t>
  </si>
  <si>
    <t>BSGatlas-terminator-1315</t>
  </si>
  <si>
    <t>BSGatlas-TSS-1665</t>
  </si>
  <si>
    <t>BSGatlas-TSS-1667</t>
  </si>
  <si>
    <t>BSGatlas-TSS-1668</t>
  </si>
  <si>
    <t>mdtK-rsbRC</t>
  </si>
  <si>
    <t>BSGatlas-TSS-1662</t>
  </si>
  <si>
    <t>BSGatlas-terminator-1316</t>
  </si>
  <si>
    <t>BSGatlas-TSS-1663</t>
  </si>
  <si>
    <t>BSGatlas-TSS-1664</t>
  </si>
  <si>
    <t>BSGatlas-TSS-1666</t>
  </si>
  <si>
    <t>bshBB-yojF-yoyC</t>
  </si>
  <si>
    <t>BSGatlas-TSS-1669</t>
  </si>
  <si>
    <t>BSGatlas-terminator-1317</t>
  </si>
  <si>
    <t>bshBB-yojF-yoyC-yojE</t>
  </si>
  <si>
    <t>BSGatlas-TSS-1671</t>
  </si>
  <si>
    <t>BSGatlas-terminator-1318</t>
  </si>
  <si>
    <t>BSGatlas-TSS-1670</t>
  </si>
  <si>
    <t>BSGatlas-terminator-1319</t>
  </si>
  <si>
    <t>BSGatlas-TSS-1672</t>
  </si>
  <si>
    <t>BSGatlas-terminator-1320</t>
  </si>
  <si>
    <t>yojB-yojA</t>
  </si>
  <si>
    <t>BSGatlas-TSS-1673</t>
  </si>
  <si>
    <t>BSGatlas-TSS-1674</t>
  </si>
  <si>
    <t>BSGatlas-terminator-1321</t>
  </si>
  <si>
    <t>BSGatlas-TSS-1676</t>
  </si>
  <si>
    <t>BSGatlas-TSS-1675</t>
  </si>
  <si>
    <t>BSGatlas-terminator-1322</t>
  </si>
  <si>
    <t>yodD-yodE</t>
  </si>
  <si>
    <t>BSGatlas-TSS-1677</t>
  </si>
  <si>
    <t>BSGatlas-terminator-1323</t>
  </si>
  <si>
    <t>BSGatlas-TSS-1679</t>
  </si>
  <si>
    <t>yoyD-yodF</t>
  </si>
  <si>
    <t>BSGatlas-TSS-1678</t>
  </si>
  <si>
    <t>BSGatlas-terminator-1324</t>
  </si>
  <si>
    <t>BSGatlas-TSS-1681</t>
  </si>
  <si>
    <t>BSGatlas-terminator-1325</t>
  </si>
  <si>
    <t>yodH-yodI</t>
  </si>
  <si>
    <t>BSGatlas-TSS-1680</t>
  </si>
  <si>
    <t>BSGatlas-terminator-1326</t>
  </si>
  <si>
    <t>BSGatlas-TSS-1682</t>
  </si>
  <si>
    <t>BSGatlas-TSS-1683</t>
  </si>
  <si>
    <t>ldcB-deoD</t>
  </si>
  <si>
    <t>BSGatlas-TSS-1684</t>
  </si>
  <si>
    <t>BSGatlas-terminator-1327</t>
  </si>
  <si>
    <t>BSGatlas-TSS-1685</t>
  </si>
  <si>
    <t>BSGatlas-terminator-1328</t>
  </si>
  <si>
    <t>BSGatlas-TSS-1686</t>
  </si>
  <si>
    <t>BSGatlas-terminator-1329</t>
  </si>
  <si>
    <t>BSGatlas-TSS-1687</t>
  </si>
  <si>
    <t>BSGatlas-TSS-1688</t>
  </si>
  <si>
    <t>BSGatlas-terminator-1330</t>
  </si>
  <si>
    <t>yozD-yodN</t>
  </si>
  <si>
    <t>BSGatlas-TSS-1690</t>
  </si>
  <si>
    <t>BSGatlas-TSS-1689</t>
  </si>
  <si>
    <t>BSGatlas-terminator-1332</t>
  </si>
  <si>
    <t>BSGatlas-TSS-1691</t>
  </si>
  <si>
    <t>BSGatlas-terminator-1331</t>
  </si>
  <si>
    <t>yozE-yokU-kamA-kamB-yodQ-yodR-yodS-yodT</t>
  </si>
  <si>
    <t>BSGatlas-TSS-1693</t>
  </si>
  <si>
    <t>BSGatlas-TSS-1695</t>
  </si>
  <si>
    <t>BSGatlas-terminator-1333</t>
  </si>
  <si>
    <t>yoyG-yoyG</t>
  </si>
  <si>
    <t>cgeE-cgeD-cgeC</t>
  </si>
  <si>
    <t>BSGatlas-TSS-1698</t>
  </si>
  <si>
    <t>BSGatlas-TSS-1700</t>
  </si>
  <si>
    <t>BSGatlas-terminator-1334</t>
  </si>
  <si>
    <t>cgeA-cgeB</t>
  </si>
  <si>
    <t>BSGatlas-TSS-1699</t>
  </si>
  <si>
    <t>BSGatlas-terminator-1335</t>
  </si>
  <si>
    <t>BSGatlas-TSS-1701</t>
  </si>
  <si>
    <t>BSGatlas-terminator-1336</t>
  </si>
  <si>
    <t>BSGatlas-TSS-1702</t>
  </si>
  <si>
    <t>BSGatlas-terminator-1337</t>
  </si>
  <si>
    <t>BSGatlas-TSS-1703</t>
  </si>
  <si>
    <t>BSGatlas-TSS-1704</t>
  </si>
  <si>
    <t>BSGatlas-terminator-1338</t>
  </si>
  <si>
    <t>sprB-yotM-yotK-yotJ-yotI-yotH-yotG-yotF-yotE-yotD-yotC-yotB-yosX</t>
  </si>
  <si>
    <t>BSGatlas-TSS-1707</t>
  </si>
  <si>
    <t>BSGatlas-TSS-1705</t>
  </si>
  <si>
    <t>BSGatlas-terminator-1340</t>
  </si>
  <si>
    <t>BSGatlas-terminator-1339</t>
  </si>
  <si>
    <t>yotK-yotJ-yotI-yotH-yotG-yotF-yotE-yotD-yotC-yotB-yosX</t>
  </si>
  <si>
    <t>BSGatlas-TSS-1706</t>
  </si>
  <si>
    <t>BSGatlas-terminator-1341</t>
  </si>
  <si>
    <t>BSGatlas-terminator-1342</t>
  </si>
  <si>
    <t>BSGatlas-terminator-1343</t>
  </si>
  <si>
    <t>BSGatlas-TSS-1708</t>
  </si>
  <si>
    <t>BSGatlas-terminator-1344</t>
  </si>
  <si>
    <t>BSGatlas-TSS-1709</t>
  </si>
  <si>
    <t>BSGatlas-TSS-1710</t>
  </si>
  <si>
    <t>BSGatlas-terminator-1345</t>
  </si>
  <si>
    <t>BSGatlas-TSS-1712</t>
  </si>
  <si>
    <t>BSGatlas-terminator-1347</t>
  </si>
  <si>
    <t>BSGatlas-TSS-1713</t>
  </si>
  <si>
    <t>BSGatlas-terminator-1348</t>
  </si>
  <si>
    <t>BSGatlas-TSS-1714</t>
  </si>
  <si>
    <t>BSGatlas-TSS-1715</t>
  </si>
  <si>
    <t>BSGatlas-TSS-1716</t>
  </si>
  <si>
    <t>BSGatlas-TSS-1717</t>
  </si>
  <si>
    <t>BSGatlas-terminator-1350</t>
  </si>
  <si>
    <t>BSGatlas-terminator-1351</t>
  </si>
  <si>
    <t>yorC-yorB</t>
  </si>
  <si>
    <t>BSGatlas-TSS-1719</t>
  </si>
  <si>
    <t>BSGatlas-terminator-1353</t>
  </si>
  <si>
    <t>BSGatlas-TSS-1720</t>
  </si>
  <si>
    <t>BSGatlas-TSS-1722</t>
  </si>
  <si>
    <t>BSGatlas-TSS-1721</t>
  </si>
  <si>
    <t>BSGatlas-terminator-1354</t>
  </si>
  <si>
    <t>BSGatlas-TSS-1723</t>
  </si>
  <si>
    <t>BSGatlas-terminator-1355</t>
  </si>
  <si>
    <t>BSGatlas-TSS-1724</t>
  </si>
  <si>
    <t>BSGatlas-terminator-1356</t>
  </si>
  <si>
    <t>BSGatlas-TSS-1726</t>
  </si>
  <si>
    <t>BSGatlas-TSS-1727</t>
  </si>
  <si>
    <t>BSGatlas-TSS-1725</t>
  </si>
  <si>
    <t>yopR-yopQ</t>
  </si>
  <si>
    <t>BSGatlas-TSS-1728</t>
  </si>
  <si>
    <t>BSGatlas-terminator-1357</t>
  </si>
  <si>
    <t>yopR-yopQ-yopP-yopO-yopN-yopM</t>
  </si>
  <si>
    <t>BSGatlas-TSS-1730</t>
  </si>
  <si>
    <t>BSGatlas-TSS-1729</t>
  </si>
  <si>
    <t>BSGatlas-terminator-1358</t>
  </si>
  <si>
    <t>BSGatlas-TSS-1731</t>
  </si>
  <si>
    <t>BSGatlas-terminator-1359</t>
  </si>
  <si>
    <t>BSGatlas-TSS-1732</t>
  </si>
  <si>
    <t>BSGatlas-TSS-1733</t>
  </si>
  <si>
    <t>BSGatlas-TSS-1734</t>
  </si>
  <si>
    <t>BSGatlas-TSS-1735</t>
  </si>
  <si>
    <t>BSGatlas-terminator-1360</t>
  </si>
  <si>
    <t>BSGatlas-TSS-1736</t>
  </si>
  <si>
    <t>BSGatlas-TSS-1737</t>
  </si>
  <si>
    <t>BSGatlas-terminator-1361</t>
  </si>
  <si>
    <t>BSGatlas-TSS-1738</t>
  </si>
  <si>
    <t>yonV-yonU-yoyJ-spbT</t>
  </si>
  <si>
    <t>BSGatlas-TSS-1742</t>
  </si>
  <si>
    <t>BSGatlas-TSS-1739</t>
  </si>
  <si>
    <t>BSGatlas-terminator-1362</t>
  </si>
  <si>
    <t>yonU-yoyJ</t>
  </si>
  <si>
    <t>BSGatlas-TSS-1741</t>
  </si>
  <si>
    <t>yonU-yoyJ-spbT</t>
  </si>
  <si>
    <t>BSGatlas-TSS-1740</t>
  </si>
  <si>
    <t>yonS-yonR</t>
  </si>
  <si>
    <t>BSGatlas-TSS-1743</t>
  </si>
  <si>
    <t>BSGatlas-terminator-1363</t>
  </si>
  <si>
    <t>BSGatlas-TSS-1744</t>
  </si>
  <si>
    <t>BSGatlas-TSS-1745</t>
  </si>
  <si>
    <t>BSGatlas-terminator-1364</t>
  </si>
  <si>
    <t>yonP-yonO-hupN</t>
  </si>
  <si>
    <t>BSGatlas-TSS-1746</t>
  </si>
  <si>
    <t>BSGatlas-terminator-1365</t>
  </si>
  <si>
    <t>BSGatlas-TSS-1747</t>
  </si>
  <si>
    <t>yonK-yonJ-yonH</t>
  </si>
  <si>
    <t>BSGatlas-terminator-1367</t>
  </si>
  <si>
    <t>BSGatlas-TSS-1748</t>
  </si>
  <si>
    <t>BSGatlas-terminator-1366</t>
  </si>
  <si>
    <t>BSGatlas-TSS-1750</t>
  </si>
  <si>
    <t>BSGatlas-TSS-1749</t>
  </si>
  <si>
    <t>BSGatlas-terminator-1369</t>
  </si>
  <si>
    <t>BSGatlas-TSS-1751</t>
  </si>
  <si>
    <t>BSGatlas-terminator-1368</t>
  </si>
  <si>
    <t>BSGatlas-TSS-1752</t>
  </si>
  <si>
    <t>BSGatlas-TSS-1753</t>
  </si>
  <si>
    <t>BSGatlas-terminator-1370</t>
  </si>
  <si>
    <t>BSGatlas-TSS-1754</t>
  </si>
  <si>
    <t>bdbB-sunS-bdbA-sunT</t>
  </si>
  <si>
    <t>BSGatlas-terminator-1371</t>
  </si>
  <si>
    <t>bdbB-sunS-bdbA-sunT-sunA</t>
  </si>
  <si>
    <t>BSGatlas-TSS-1758</t>
  </si>
  <si>
    <t>BSGatlas-TSS-1760</t>
  </si>
  <si>
    <t>BSGatlas-TSS-1755</t>
  </si>
  <si>
    <t>BSGatlas-terminator-1372</t>
  </si>
  <si>
    <t>BSGatlas-terminator-1374</t>
  </si>
  <si>
    <t>BSGatlas-TSS-1761</t>
  </si>
  <si>
    <t>BSGatlas-terminator-1375</t>
  </si>
  <si>
    <t>uvrX-yolD</t>
  </si>
  <si>
    <t>BSGatlas-TSS-1762</t>
  </si>
  <si>
    <t>BSGatlas-TSS-1763</t>
  </si>
  <si>
    <t>BSGatlas-terminator-1376</t>
  </si>
  <si>
    <t>yolB-yolA</t>
  </si>
  <si>
    <t>BSGatlas-TSS-1764</t>
  </si>
  <si>
    <t>BSGatlas-terminator-1377</t>
  </si>
  <si>
    <t>BSGatlas-TSS-1766</t>
  </si>
  <si>
    <t>bsrG_S809_BsrG-bsrG</t>
  </si>
  <si>
    <t>BSGatlas-TSS-1765</t>
  </si>
  <si>
    <t>BSGatlas-terminator-1379</t>
  </si>
  <si>
    <t>BSGatlas-TSS-1767</t>
  </si>
  <si>
    <t>BSGatlas-terminator-1378</t>
  </si>
  <si>
    <t>BSGatlas-TSS-1768</t>
  </si>
  <si>
    <t>BSGatlas-terminator-1380</t>
  </si>
  <si>
    <t>BSGatlas-TSS-1769</t>
  </si>
  <si>
    <t>yokL-yokK-yokJ-yokI</t>
  </si>
  <si>
    <t>BSGatlas-TSS-1770</t>
  </si>
  <si>
    <t>BSGatlas-terminator-1381</t>
  </si>
  <si>
    <t>BSGatlas-TSS-1771</t>
  </si>
  <si>
    <t>nukF-yokE</t>
  </si>
  <si>
    <t>BSGatlas-TSS-1772</t>
  </si>
  <si>
    <t>BSGatlas-terminator-1382</t>
  </si>
  <si>
    <t>BSGatlas-terminator-1383</t>
  </si>
  <si>
    <t>BSGatlas-TSS-1773</t>
  </si>
  <si>
    <t>BSGatlas-terminator-1385</t>
  </si>
  <si>
    <t>BSGatlas-terminator-1384</t>
  </si>
  <si>
    <t>BSGatlas-TSS-1774</t>
  </si>
  <si>
    <t>BSGatlas-TSS-1775</t>
  </si>
  <si>
    <t>BSGatlas-terminator-1386</t>
  </si>
  <si>
    <t>sprA-spsMc</t>
  </si>
  <si>
    <t>BSGatlas-TSS-1776</t>
  </si>
  <si>
    <t>BSGatlas-terminator-1388</t>
  </si>
  <si>
    <t>BSGatlas-TSS-1777</t>
  </si>
  <si>
    <t>BSGatlas-terminator-1387</t>
  </si>
  <si>
    <t>msrB-msrA</t>
  </si>
  <si>
    <t>BSGatlas-TSS-1779</t>
  </si>
  <si>
    <t>BSGatlas-TSS-1778</t>
  </si>
  <si>
    <t>BSGatlas-terminator-1390</t>
  </si>
  <si>
    <t>BSGatlas-terminator-1391</t>
  </si>
  <si>
    <t>BSGatlas-terminator-1389</t>
  </si>
  <si>
    <t>BSGatlas-terminator-1392</t>
  </si>
  <si>
    <t>ypmT-ypmS-ypmR</t>
  </si>
  <si>
    <t>BSGatlas-TSS-1780</t>
  </si>
  <si>
    <t>ypmT-ypmS-ypmR-scuA</t>
  </si>
  <si>
    <t>BSGatlas-TSS-1781</t>
  </si>
  <si>
    <t>BSGatlas-terminator-1393</t>
  </si>
  <si>
    <t>ypmP-ilvA</t>
  </si>
  <si>
    <t>BSGatlas-TSS-1782</t>
  </si>
  <si>
    <t>BSGatlas-terminator-1394</t>
  </si>
  <si>
    <t>silP-yplQ</t>
  </si>
  <si>
    <t>BSGatlas-TSS-1783</t>
  </si>
  <si>
    <t>BSGatlas-terminator-1396</t>
  </si>
  <si>
    <t>BSGatlas-terminator-1398</t>
  </si>
  <si>
    <t>BSGatlas-terminator-1395</t>
  </si>
  <si>
    <t>ypkP-dfrA-thyB-ypjQ-ypjP</t>
  </si>
  <si>
    <t>BSGatlas-TSS-1785</t>
  </si>
  <si>
    <t>BSGatlas-terminator-1397</t>
  </si>
  <si>
    <t>dfrA-thyB</t>
  </si>
  <si>
    <t>BSGatlas-terminator-1399</t>
  </si>
  <si>
    <t>ypjQ-ypjP</t>
  </si>
  <si>
    <t>BSGatlas-TSS-1784</t>
  </si>
  <si>
    <t>BSGatlas-terminator-1400</t>
  </si>
  <si>
    <t>BSGatlas-terminator-1401</t>
  </si>
  <si>
    <t>rsmJ-brxA</t>
  </si>
  <si>
    <t>BSGatlas-TSS-1786</t>
  </si>
  <si>
    <t>BSGatlas-terminator-1402</t>
  </si>
  <si>
    <t>BSGatlas-terminator-1403</t>
  </si>
  <si>
    <t>BSGatlas-TSS-1787</t>
  </si>
  <si>
    <t>BSGatlas-terminator-1404</t>
  </si>
  <si>
    <t>BSGatlas-TSS-1788</t>
  </si>
  <si>
    <t>BSGatlas-terminator-1405</t>
  </si>
  <si>
    <t>ypgR-hdhQ-bsaA</t>
  </si>
  <si>
    <t>BSGatlas-TSS-1789</t>
  </si>
  <si>
    <t>BSGatlas-TSS-1790</t>
  </si>
  <si>
    <t>BSGatlas-terminator-1406</t>
  </si>
  <si>
    <t>BSGatlas-terminator-1407</t>
  </si>
  <si>
    <t>metAA-ugtP</t>
  </si>
  <si>
    <t>BSGatlas-terminator-1408</t>
  </si>
  <si>
    <t>BSGatlas-TSS-1791</t>
  </si>
  <si>
    <t>BSGatlas-TSS-1792</t>
  </si>
  <si>
    <t>BSGatlas-TSS-1793</t>
  </si>
  <si>
    <t>cspA-cspD</t>
  </si>
  <si>
    <t>BSGatlas-terminator-1409</t>
  </si>
  <si>
    <t>BSGatlas-TSS-1794</t>
  </si>
  <si>
    <t>BSGatlas-TSS-1795</t>
  </si>
  <si>
    <t>BSGatlas-terminator-1410</t>
  </si>
  <si>
    <t>BSGatlas-TSS-1796</t>
  </si>
  <si>
    <t>BSGatlas-TSS-1797</t>
  </si>
  <si>
    <t>BSGatlas-terminator-1411</t>
  </si>
  <si>
    <t>BSGatlas-terminator-1413</t>
  </si>
  <si>
    <t>BSGatlas-terminator-1412</t>
  </si>
  <si>
    <t>ypeQ-ypeP</t>
  </si>
  <si>
    <t>BSGatlas-TSS-1799</t>
  </si>
  <si>
    <t>BSGatlas-TSS-1800</t>
  </si>
  <si>
    <t>BSGatlas-terminator-1414</t>
  </si>
  <si>
    <t>queP-ypdQ</t>
  </si>
  <si>
    <t>BSGatlas-TSS-1798</t>
  </si>
  <si>
    <t>BSGatlas-TSS-1801</t>
  </si>
  <si>
    <t>BSGatlas-terminator-1417</t>
  </si>
  <si>
    <t>BSGatlas-TSS-1802</t>
  </si>
  <si>
    <t>BSGatlas-terminator-1415</t>
  </si>
  <si>
    <t>BSGatlas-terminator-1416</t>
  </si>
  <si>
    <t>BSGatlas-TSS-1803</t>
  </si>
  <si>
    <t>BSGatlas-terminator-1418</t>
  </si>
  <si>
    <t>ypzF-ypbS</t>
  </si>
  <si>
    <t>BSGatlas-TSS-1804</t>
  </si>
  <si>
    <t>ypzF-ypbS-dynA</t>
  </si>
  <si>
    <t>BSGatlas-TSS-1805</t>
  </si>
  <si>
    <t>BSGatlas-terminator-1419</t>
  </si>
  <si>
    <t>BSGatlas-terminator-1420</t>
  </si>
  <si>
    <t>BSGatlas-TSS-1806</t>
  </si>
  <si>
    <t>bpsB-bpsA</t>
  </si>
  <si>
    <t>BSGatlas-TSS-1807</t>
  </si>
  <si>
    <t>pbuX-xpt</t>
  </si>
  <si>
    <t>BSGatlas-TSS-1808</t>
  </si>
  <si>
    <t>BSGatlas-terminator-1421</t>
  </si>
  <si>
    <t>BSGatlas-terminator-1422</t>
  </si>
  <si>
    <t>BSGatlas-terminator-1423</t>
  </si>
  <si>
    <t>BSGatlas-TSS-1809</t>
  </si>
  <si>
    <t>BSGatlas-TSS-1810</t>
  </si>
  <si>
    <t>kdgT-kdgA-kdgK-kdgR</t>
  </si>
  <si>
    <t>BSGatlas-TSS-1811</t>
  </si>
  <si>
    <t>BSGatlas-terminator-1425</t>
  </si>
  <si>
    <t>kduI-kduD</t>
  </si>
  <si>
    <t>BSGatlas-TSS-1812</t>
  </si>
  <si>
    <t>BSGatlas-terminator-1426</t>
  </si>
  <si>
    <t>BSGatlas-TSS-1813</t>
  </si>
  <si>
    <t>BSGatlas-terminator-1427</t>
  </si>
  <si>
    <t>BSGatlas-TSS-1814</t>
  </si>
  <si>
    <t>BSGatlas-TSS-1815</t>
  </si>
  <si>
    <t>BSGatlas-terminator-1428</t>
  </si>
  <si>
    <t>rlmKB-rnpB_RNaseP-bact-b_rnpB</t>
  </si>
  <si>
    <t>BSGatlas-TSS-1816</t>
  </si>
  <si>
    <t>BSGatlas-terminator-1429</t>
  </si>
  <si>
    <t>rlmKB-rnpB_RNaseP-bact-b_rnpB-gpsB</t>
  </si>
  <si>
    <t>BSGatlas-TSS-1817</t>
  </si>
  <si>
    <t>BSGatlas-terminator-1430</t>
  </si>
  <si>
    <t>rnpB_RNaseP-bact-b_rnpB-gpsB</t>
  </si>
  <si>
    <t>BSGatlas-TSS-1818</t>
  </si>
  <si>
    <t>BSGatlas-terminator-1431</t>
  </si>
  <si>
    <t>cotD-unnamed_gene</t>
  </si>
  <si>
    <t>BSGatlas-TSS-1819</t>
  </si>
  <si>
    <t>cotD-unnamed_gene-yprB</t>
  </si>
  <si>
    <t>BSGatlas-TSS-1820</t>
  </si>
  <si>
    <t>cotD-unnamed_gene-yprB-yprA</t>
  </si>
  <si>
    <t>BSGatlas-TSS-1821</t>
  </si>
  <si>
    <t>BSGatlas-TSS-1822</t>
  </si>
  <si>
    <t>BSGatlas-terminator-1432</t>
  </si>
  <si>
    <t>BSGatlas-TSS-1823</t>
  </si>
  <si>
    <t>BSGatlas-terminator-1433</t>
  </si>
  <si>
    <t>BSGatlas-terminator-1435</t>
  </si>
  <si>
    <t>BSGatlas-TSS-1825</t>
  </si>
  <si>
    <t>BSGatlas-terminator-1434</t>
  </si>
  <si>
    <t>BSGatlas-TSS-1824</t>
  </si>
  <si>
    <t>BSGatlas-terminator-1437</t>
  </si>
  <si>
    <t>BSGatlas-TSS-1826</t>
  </si>
  <si>
    <t>BSGatlas-TSS-1827</t>
  </si>
  <si>
    <t>BSGatlas-terminator-1436</t>
  </si>
  <si>
    <t>yppE-yppD</t>
  </si>
  <si>
    <t>BSGatlas-TSS-1828</t>
  </si>
  <si>
    <t>BSGatlas-TSS-1829</t>
  </si>
  <si>
    <t>BSGatlas-terminator-1438</t>
  </si>
  <si>
    <t>BSGatlas-TSS-1832</t>
  </si>
  <si>
    <t>recU-ponA</t>
  </si>
  <si>
    <t>BSGatlas-TSS-1830</t>
  </si>
  <si>
    <t>BSGatlas-terminator-1440</t>
  </si>
  <si>
    <t>BSGatlas-TSS-1831</t>
  </si>
  <si>
    <t>ypoC-nth-dnaD-asnS</t>
  </si>
  <si>
    <t>BSGatlas-TSS-1833</t>
  </si>
  <si>
    <t>BSGatlas-terminator-1439</t>
  </si>
  <si>
    <t>BSGatlas-terminator-1441</t>
  </si>
  <si>
    <t>nth-dnaD</t>
  </si>
  <si>
    <t>aspB-tseB</t>
  </si>
  <si>
    <t>BSGatlas-TSS-1834</t>
  </si>
  <si>
    <t>BSGatlas-terminator-1442</t>
  </si>
  <si>
    <t>aspB-tseB-ypmA</t>
  </si>
  <si>
    <t>BSGatlas-TSS-1836</t>
  </si>
  <si>
    <t>BSGatlas-TSS-1838</t>
  </si>
  <si>
    <t>BSGatlas-TSS-1835</t>
  </si>
  <si>
    <t>BSGatlas-terminator-1443</t>
  </si>
  <si>
    <t>BSGatlas-TSS-1839</t>
  </si>
  <si>
    <t>birA-cca-bshA-bshBA-mgsA-dapB-ypjD</t>
  </si>
  <si>
    <t>BSGatlas-TSS-1840</t>
  </si>
  <si>
    <t>BSGatlas-TSS-1842</t>
  </si>
  <si>
    <t>BSGatlas-TSS-1841</t>
  </si>
  <si>
    <t>BSGatlas-TSS-1843</t>
  </si>
  <si>
    <t>BSGatlas-terminator-1444</t>
  </si>
  <si>
    <t>BSGatlas-terminator-1445</t>
  </si>
  <si>
    <t>qcrC-qcrB-qcrA</t>
  </si>
  <si>
    <t>BSGatlas-TSS-1844</t>
  </si>
  <si>
    <t>BSGatlas-terminator-1446</t>
  </si>
  <si>
    <t>BSGatlas-TSS-1845</t>
  </si>
  <si>
    <t>BSGatlas-terminator-1449</t>
  </si>
  <si>
    <t>ypiB-ypiA</t>
  </si>
  <si>
    <t>BSGatlas-TSS-1846</t>
  </si>
  <si>
    <t>BSGatlas-TSS-1847</t>
  </si>
  <si>
    <t>BSGatlas-TSS-1848</t>
  </si>
  <si>
    <t>aroA-tyrA-hisC</t>
  </si>
  <si>
    <t>BSGatlas-terminator-1450</t>
  </si>
  <si>
    <t>aroA-tyrA-hisC-trpA</t>
  </si>
  <si>
    <t>BSGatlas-TSS-1849</t>
  </si>
  <si>
    <t>aroA-tyrA-hisC-trpA-trpB</t>
  </si>
  <si>
    <t>BSGatlas-TSS-1850</t>
  </si>
  <si>
    <t>aroA-tyrA-hisC-trpA-trpB-trpF</t>
  </si>
  <si>
    <t>BSGatlas-TSS-1851</t>
  </si>
  <si>
    <t>aroA-tyrA-hisC-trpA-trpB-trpF-trpC-trpD-trpE</t>
  </si>
  <si>
    <t>BSGatlas-TSS-1852</t>
  </si>
  <si>
    <t>tyrA-hisC-trpA-trpB-trpF-trpC-trpD-trpE</t>
  </si>
  <si>
    <t>trpA-trpB-trpF-trpC-trpD-trpE</t>
  </si>
  <si>
    <t>BSGatlas-terminator-1451</t>
  </si>
  <si>
    <t>trpF-trpC-trpD-trpE</t>
  </si>
  <si>
    <t>trpC-trpD-trpE</t>
  </si>
  <si>
    <t>BSGatlas-terminator-1452</t>
  </si>
  <si>
    <t>BSGatlas-terminator-1453</t>
  </si>
  <si>
    <t>aroH-aroB-aroF</t>
  </si>
  <si>
    <t>BSGatlas-TSS-1854</t>
  </si>
  <si>
    <t>aroH-aroB-aroF-cheR</t>
  </si>
  <si>
    <t>BSGatlas-TSS-1855</t>
  </si>
  <si>
    <t>BSGatlas-TSS-1856</t>
  </si>
  <si>
    <t>BSGatlas-terminator-1454</t>
  </si>
  <si>
    <t>ndk-hepT-menG-hepS</t>
  </si>
  <si>
    <t>BSGatlas-TSS-1857</t>
  </si>
  <si>
    <t>mtrB-folEA</t>
  </si>
  <si>
    <t>BSGatlas-TSS-1858</t>
  </si>
  <si>
    <t>BSGatlas-terminator-1455</t>
  </si>
  <si>
    <t>BSGatlas-terminator-1456</t>
  </si>
  <si>
    <t>BSGatlas-TSS-1859</t>
  </si>
  <si>
    <t>BSGatlas-terminator-1457</t>
  </si>
  <si>
    <t>BSGatlas-TSS-1860</t>
  </si>
  <si>
    <t>BSGatlas-TSS-1861</t>
  </si>
  <si>
    <t>BSGatlas-terminator-1458</t>
  </si>
  <si>
    <t>BSGatlas-TSS-1862</t>
  </si>
  <si>
    <t>BSGatlas-terminator-1459</t>
  </si>
  <si>
    <t>BSGatlas-TSS-1863</t>
  </si>
  <si>
    <t>BSGatlas-terminator-1460</t>
  </si>
  <si>
    <t>yphF-yphE</t>
  </si>
  <si>
    <t>BSGatlas-TSS-1864</t>
  </si>
  <si>
    <t>BSGatlas-terminator-1461</t>
  </si>
  <si>
    <t>BSGatlas-TSS-1865</t>
  </si>
  <si>
    <t>BSGatlas-terminator-1462</t>
  </si>
  <si>
    <t>gpsA-der</t>
  </si>
  <si>
    <t>BSGatlas-TSS-1866</t>
  </si>
  <si>
    <t>gpsA-der-ypzH-yphB-yphA</t>
  </si>
  <si>
    <t>BSGatlas-TSS-1868</t>
  </si>
  <si>
    <t>ypzH-yphB-yphA</t>
  </si>
  <si>
    <t>BSGatlas-terminator-1463</t>
  </si>
  <si>
    <t>yphB-yphA</t>
  </si>
  <si>
    <t>BSGatlas-TSS-1867</t>
  </si>
  <si>
    <t>BSGatlas-terminator-1464</t>
  </si>
  <si>
    <t>BSGatlas-terminator-1467</t>
  </si>
  <si>
    <t>fni-rpfA</t>
  </si>
  <si>
    <t>BSGatlas-TSS-1870</t>
  </si>
  <si>
    <t>BSGatlas-terminator-1465</t>
  </si>
  <si>
    <t>fni-rpfA-cmk</t>
  </si>
  <si>
    <t>fni-rpfA-cmk-ypfB</t>
  </si>
  <si>
    <t>BSGatlas-TSS-1871</t>
  </si>
  <si>
    <t>fni-rpfA-cmk-ypfB-dgrA</t>
  </si>
  <si>
    <t>BSGatlas-TSS-1872</t>
  </si>
  <si>
    <t>BSGatlas-terminator-1466</t>
  </si>
  <si>
    <t>rpfA-cmk</t>
  </si>
  <si>
    <t>rpfA-cmk-ypfB</t>
  </si>
  <si>
    <t>rpfA-cmk-ypfB-dgrA</t>
  </si>
  <si>
    <t>sleC-sleB</t>
  </si>
  <si>
    <t>BSGatlas-TSS-1873</t>
  </si>
  <si>
    <t>BSGatlas-terminator-1469</t>
  </si>
  <si>
    <t>BSGatlas-TSS-1874</t>
  </si>
  <si>
    <t>BSGatlas-terminator-1470</t>
  </si>
  <si>
    <t>BSGatlas-terminator-1471</t>
  </si>
  <si>
    <t>BSGatlas-TSS-1875</t>
  </si>
  <si>
    <t>BSGatlas-terminator-1472</t>
  </si>
  <si>
    <t>BSGatlas-terminator-1473</t>
  </si>
  <si>
    <t>BSGatlas-TSS-1876</t>
  </si>
  <si>
    <t>BSGatlas-terminator-1474</t>
  </si>
  <si>
    <t>BSGatlas-TSS-1878</t>
  </si>
  <si>
    <t>BSGatlas-terminator-1475</t>
  </si>
  <si>
    <t>BSGatlas-TSS-1879</t>
  </si>
  <si>
    <t>BSGatlas-terminator-1476</t>
  </si>
  <si>
    <t>BSGatlas-TSS-1880</t>
  </si>
  <si>
    <t>BSGatlas-terminator-1477</t>
  </si>
  <si>
    <t>BSGatlas-terminator-1478</t>
  </si>
  <si>
    <t>BSGatlas-TSS-1881</t>
  </si>
  <si>
    <t>BSGatlas-TSS-1883</t>
  </si>
  <si>
    <t>BSGatlas-TSS-1882</t>
  </si>
  <si>
    <t>BSGatlas-terminator-1479</t>
  </si>
  <si>
    <t>BSGatlas-TSS-1884</t>
  </si>
  <si>
    <t>BSGatlas-TSS-1885</t>
  </si>
  <si>
    <t>BSGatlas-TSS-1886</t>
  </si>
  <si>
    <t>BSGatlas-terminator-1480</t>
  </si>
  <si>
    <t>BSGatlas-TSS-1887</t>
  </si>
  <si>
    <t>BSGatlas-terminator-1481</t>
  </si>
  <si>
    <t>BSGatlas-terminator-1483</t>
  </si>
  <si>
    <t>BSGatlas-terminator-1485</t>
  </si>
  <si>
    <t>BSGatlas-TSS-1888</t>
  </si>
  <si>
    <t>BSGatlas-terminator-1482</t>
  </si>
  <si>
    <t>BSGatlas-terminator-1484</t>
  </si>
  <si>
    <t>rsiX-sigX</t>
  </si>
  <si>
    <t>BSGatlas-TSS-1891</t>
  </si>
  <si>
    <t>BSGatlas-terminator-1486</t>
  </si>
  <si>
    <t>BSGatlas-TSS-1892</t>
  </si>
  <si>
    <t>BSGatlas-TSS-1889</t>
  </si>
  <si>
    <t>BSGatlas-terminator-1488</t>
  </si>
  <si>
    <t>BSGatlas-TSS-1890</t>
  </si>
  <si>
    <t>resE-resD</t>
  </si>
  <si>
    <t>BSGatlas-TSS-1893</t>
  </si>
  <si>
    <t>BSGatlas-terminator-1489</t>
  </si>
  <si>
    <t>resE-resD-resC-resB-resA</t>
  </si>
  <si>
    <t>BSGatlas-TSS-1894</t>
  </si>
  <si>
    <t>resE-resD-resC-resB-resA-rluB</t>
  </si>
  <si>
    <t>BSGatlas-TSS-1895</t>
  </si>
  <si>
    <t>BSGatlas-TSS-1896</t>
  </si>
  <si>
    <t>BSGatlas-terminator-1490</t>
  </si>
  <si>
    <t>spmB-spmA-dacB</t>
  </si>
  <si>
    <t>BSGatlas-TSS-1897</t>
  </si>
  <si>
    <t>BSGatlas-terminator-1491</t>
  </si>
  <si>
    <t>BSGatlas-TSS-1898</t>
  </si>
  <si>
    <t>BSGatlas-terminator-1492</t>
  </si>
  <si>
    <t>ypuI-spcB-scpA</t>
  </si>
  <si>
    <t>BSGatlas-TSS-1900</t>
  </si>
  <si>
    <t>BSGatlas-TSS-1899</t>
  </si>
  <si>
    <t>BSGatlas-terminator-1494</t>
  </si>
  <si>
    <t>BSGatlas-TSS-1901</t>
  </si>
  <si>
    <t>BSGatlas-TSS-1902</t>
  </si>
  <si>
    <t>BSGatlas-terminator-1493</t>
  </si>
  <si>
    <t>ypzK-ribH-ribBA-ribE-ribD</t>
  </si>
  <si>
    <t>BSGatlas-TSS-1904</t>
  </si>
  <si>
    <t>BSGatlas-terminator-1495</t>
  </si>
  <si>
    <t>BSGatlas-TSS-1905</t>
  </si>
  <si>
    <t>BSGatlas-terminator-1496</t>
  </si>
  <si>
    <t>BSGatlas-TSS-1907</t>
  </si>
  <si>
    <t>BSGatlas-TSS-1908</t>
  </si>
  <si>
    <t>BSGatlas-TSS-1906</t>
  </si>
  <si>
    <t>BSGatlas-TSS-1909</t>
  </si>
  <si>
    <t>BSGatlas-terminator-1497</t>
  </si>
  <si>
    <t>sipS-ypzJ</t>
  </si>
  <si>
    <t>BSGatlas-TSS-1910</t>
  </si>
  <si>
    <t>BSGatlas-TSS-1911</t>
  </si>
  <si>
    <t>ypuC-ypuC-ypuB</t>
  </si>
  <si>
    <t>BSGatlas-terminator-1498</t>
  </si>
  <si>
    <t>BSGatlas-TSS-1912</t>
  </si>
  <si>
    <t>BSGatlas-terminator-1499</t>
  </si>
  <si>
    <t>BSGatlas-TSS-1913</t>
  </si>
  <si>
    <t>BSGatlas-terminator-1500</t>
  </si>
  <si>
    <t>BSGatlas-TSS-1914</t>
  </si>
  <si>
    <t>BSGatlas-terminator-1501</t>
  </si>
  <si>
    <t>BSGatlas-TSS-1915</t>
  </si>
  <si>
    <t>BSGatlas-TSS-1916</t>
  </si>
  <si>
    <t>BSGatlas-terminator-1502</t>
  </si>
  <si>
    <t>BSGatlas-terminator-1503</t>
  </si>
  <si>
    <t>BSGatlas-terminator-1504</t>
  </si>
  <si>
    <t>BSGatlas-TSS-1917</t>
  </si>
  <si>
    <t>BSGatlas-terminator-1505</t>
  </si>
  <si>
    <t>lysA-spoVAF</t>
  </si>
  <si>
    <t>BSGatlas-TSS-1918</t>
  </si>
  <si>
    <t>lysA-spoVAF-spoVAEA-spoVAEB-spoVAD-spoVAC-spoVAB-spoVAA</t>
  </si>
  <si>
    <t>BSGatlas-TSS-1920</t>
  </si>
  <si>
    <t>spoVAF-spoVAEA-spoVAEB-spoVAD-spoVAC-spoVAB-spoVAA</t>
  </si>
  <si>
    <t>sigF-spoIIAB-spoIIAA</t>
  </si>
  <si>
    <t>BSGatlas-TSS-1921</t>
  </si>
  <si>
    <t>BSGatlas-terminator-1506</t>
  </si>
  <si>
    <t>sigF-spoIIAB-spoIIAA-dacF</t>
  </si>
  <si>
    <t>BSGatlas-TSS-1922</t>
  </si>
  <si>
    <t>pupG-deoB</t>
  </si>
  <si>
    <t>BSGatlas-TSS-1923</t>
  </si>
  <si>
    <t>BSGatlas-terminator-1507</t>
  </si>
  <si>
    <t>BSGatlas-TSS-1924</t>
  </si>
  <si>
    <t>BSGatlas-TSS-1925</t>
  </si>
  <si>
    <t>BSGatlas-TSS-1926</t>
  </si>
  <si>
    <t>BSGatlas-TSS-1927</t>
  </si>
  <si>
    <t>BSGatlas-TSS-1928</t>
  </si>
  <si>
    <t>BSGatlas-terminator-1508</t>
  </si>
  <si>
    <t>BSGatlas-TSS-1929</t>
  </si>
  <si>
    <t>BSGatlas-terminator-1509</t>
  </si>
  <si>
    <t>mleA-mleN</t>
  </si>
  <si>
    <t>BSGatlas-TSS-1930</t>
  </si>
  <si>
    <t>BSGatlas-terminator-1510</t>
  </si>
  <si>
    <t>mleA-mleN-ansB-ansA</t>
  </si>
  <si>
    <t>BSGatlas-TSS-1931</t>
  </si>
  <si>
    <t>ansB-ansA</t>
  </si>
  <si>
    <t>BSGatlas-TSS-1932</t>
  </si>
  <si>
    <t>BSGatlas-terminator-1512</t>
  </si>
  <si>
    <t>yqxK-nudF</t>
  </si>
  <si>
    <t>BSGatlas-TSS-1933</t>
  </si>
  <si>
    <t>BSGatlas-terminator-1511</t>
  </si>
  <si>
    <t>BSGatlas-TSS-1935</t>
  </si>
  <si>
    <t>mciZ-yqkF</t>
  </si>
  <si>
    <t>BSGatlas-TSS-1934</t>
  </si>
  <si>
    <t>BSGatlas-terminator-1514</t>
  </si>
  <si>
    <t>BSGatlas-TSS-1936</t>
  </si>
  <si>
    <t>BSGatlas-TSS-1937</t>
  </si>
  <si>
    <t>BSGatlas-terminator-1513</t>
  </si>
  <si>
    <t>BSGatlas-terminator-1515</t>
  </si>
  <si>
    <t>BSGatlas-TSS-1938</t>
  </si>
  <si>
    <t>BSGatlas-terminator-1516</t>
  </si>
  <si>
    <t>BSGatlas-terminator-1518</t>
  </si>
  <si>
    <t>BSGatlas-TSS-1939</t>
  </si>
  <si>
    <t>BSGatlas-terminator-1517</t>
  </si>
  <si>
    <t>yqkC-yqkB</t>
  </si>
  <si>
    <t>BSGatlas-TSS-1940</t>
  </si>
  <si>
    <t>yqkC-yqkB-yqkA-yqjZ-yqjY</t>
  </si>
  <si>
    <t>BSGatlas-TSS-1941</t>
  </si>
  <si>
    <t>yqkC-yqkB-yqkA-yqjZ-yqjY-yqjX-polYB</t>
  </si>
  <si>
    <t>BSGatlas-TSS-1943</t>
  </si>
  <si>
    <t>yqjX-polYB</t>
  </si>
  <si>
    <t>BSGatlas-TSS-1942</t>
  </si>
  <si>
    <t>BSGatlas-TSS-1944</t>
  </si>
  <si>
    <t>BSGatlas-TSS-1945</t>
  </si>
  <si>
    <t>yqjV-yqjU-yqjU</t>
  </si>
  <si>
    <t>yqjT-coaA-dsdA-yqjQ-yqjP</t>
  </si>
  <si>
    <t>BSGatlas-TSS-1946</t>
  </si>
  <si>
    <t>BSGatlas-terminator-1521</t>
  </si>
  <si>
    <t>BSGatlas-terminator-1522</t>
  </si>
  <si>
    <t>BSGatlas-TSS-1947</t>
  </si>
  <si>
    <t>BSGatlas-terminator-1524</t>
  </si>
  <si>
    <t>BSGatlas-TSS-1949</t>
  </si>
  <si>
    <t>BSGatlas-terminator-1523</t>
  </si>
  <si>
    <t>BSGatlas-TSS-1948</t>
  </si>
  <si>
    <t>BSGatlas-terminator-1525</t>
  </si>
  <si>
    <t>BSGatlas-TSS-1950</t>
  </si>
  <si>
    <t>BSGatlas-TSS-1951</t>
  </si>
  <si>
    <t>BSGatlas-terminator-1526</t>
  </si>
  <si>
    <t>BSGatlas-terminator-1528</t>
  </si>
  <si>
    <t>rpmGCc-rpmGCn-rnz</t>
  </si>
  <si>
    <t>BSGatlas-TSS-1953</t>
  </si>
  <si>
    <t>BSGatlas-terminator-1527</t>
  </si>
  <si>
    <t>S903-rpmGCc-rpmGCn</t>
  </si>
  <si>
    <t>S903-rpmGCc-rpmGCn-rnz</t>
  </si>
  <si>
    <t>BSGatlas-terminator-1529</t>
  </si>
  <si>
    <t>BSGatlas-TSS-1954</t>
  </si>
  <si>
    <t>BSGatlas-terminator-1530</t>
  </si>
  <si>
    <t>BSGatlas-terminator-1531</t>
  </si>
  <si>
    <t>BSGatlas-TSS-1955</t>
  </si>
  <si>
    <t>BSGatlas-terminator-1532</t>
  </si>
  <si>
    <t>gndA-polYA</t>
  </si>
  <si>
    <t>BSGatlas-TSS-1957</t>
  </si>
  <si>
    <t>BSGatlas-terminator-1533</t>
  </si>
  <si>
    <t>BSGatlas-terminator-1534</t>
  </si>
  <si>
    <t>mifM-oxaAB</t>
  </si>
  <si>
    <t>BSGatlas-TSS-1956</t>
  </si>
  <si>
    <t>BSGatlas-terminator-1535</t>
  </si>
  <si>
    <t>BSGatlas-terminator-1536</t>
  </si>
  <si>
    <t>BSGatlas-terminator-1537</t>
  </si>
  <si>
    <t>BSGatlas-TSS-1958</t>
  </si>
  <si>
    <t>BSGatlas-terminator-1538</t>
  </si>
  <si>
    <t>BSGatlas-TSS-1959</t>
  </si>
  <si>
    <t>yqjC-yqjB</t>
  </si>
  <si>
    <t>BSGatlas-TSS-1961</t>
  </si>
  <si>
    <t>BSGatlas-TSS-1960</t>
  </si>
  <si>
    <t>BSGatlas-terminator-1539</t>
  </si>
  <si>
    <t>BSGatlas-terminator-1541</t>
  </si>
  <si>
    <t>BSGatlas-terminator-1540</t>
  </si>
  <si>
    <t>artR-artQ-artP</t>
  </si>
  <si>
    <t>BSGatlas-TSS-1962</t>
  </si>
  <si>
    <t>BSGatlas-terminator-1542</t>
  </si>
  <si>
    <t>BSGatlas-TSS-1963</t>
  </si>
  <si>
    <t>BSGatlas-terminator-1543</t>
  </si>
  <si>
    <t>bmrU-bmr</t>
  </si>
  <si>
    <t>BSGatlas-TSS-1964</t>
  </si>
  <si>
    <t>BSGatlas-terminator-1544</t>
  </si>
  <si>
    <t>bmrU-bmr-bmrR</t>
  </si>
  <si>
    <t>BSGatlas-terminator-1546</t>
  </si>
  <si>
    <t>BSGatlas-TSS-1965</t>
  </si>
  <si>
    <t>bmr-bmrR</t>
  </si>
  <si>
    <t>bkdB-bkdAB-bkdAA-lpdV-buk-bcd-ptb</t>
  </si>
  <si>
    <t>BSGatlas-TSS-1966</t>
  </si>
  <si>
    <t>BSGatlas-terminator-1545</t>
  </si>
  <si>
    <t>BSGatlas-TSS-1967</t>
  </si>
  <si>
    <t>BSGatlas-TSS-1968</t>
  </si>
  <si>
    <t>BSGatlas-terminator-1548</t>
  </si>
  <si>
    <t>BSGatlas-TSS-1969</t>
  </si>
  <si>
    <t>BSGatlas-terminator-1547</t>
  </si>
  <si>
    <t>mmgF-mmgE-mmgD-mmgC-mmgB-mmgA</t>
  </si>
  <si>
    <t>BSGatlas-TSS-1970</t>
  </si>
  <si>
    <t>BSGatlas-TSS-1971</t>
  </si>
  <si>
    <t>BSGatlas-TSS-1972</t>
  </si>
  <si>
    <t>BSGatlas-TSS-1973</t>
  </si>
  <si>
    <t>BSGatlas-terminator-1549</t>
  </si>
  <si>
    <t>glpQ-yqiI-yqiH</t>
  </si>
  <si>
    <t>BSGatlas-TSS-1974</t>
  </si>
  <si>
    <t>BSGatlas-terminator-1550</t>
  </si>
  <si>
    <t>BSGatlas-TSS-1975</t>
  </si>
  <si>
    <t>BSGatlas-TSS-1976</t>
  </si>
  <si>
    <t>BSGatlas-terminator-1551</t>
  </si>
  <si>
    <t>BSGatlas-TSS-1977</t>
  </si>
  <si>
    <t>BSGatlas-terminator-1552</t>
  </si>
  <si>
    <t>BSGatlas-TSS-1978</t>
  </si>
  <si>
    <t>BSGatlas-TSS-1979</t>
  </si>
  <si>
    <t>BSGatlas-terminator-1553</t>
  </si>
  <si>
    <t>BSGatlas-TSS-1980</t>
  </si>
  <si>
    <t>BSGatlas-TSS-1981</t>
  </si>
  <si>
    <t>BSGatlas-TSS-1982</t>
  </si>
  <si>
    <t>BSGatlas-terminator-1554</t>
  </si>
  <si>
    <t>recN-argR</t>
  </si>
  <si>
    <t>BSGatlas-terminator-1555</t>
  </si>
  <si>
    <t>recN-argR-yqxC-dxs</t>
  </si>
  <si>
    <t>BSGatlas-TSS-1984</t>
  </si>
  <si>
    <t>BSGatlas-terminator-1556</t>
  </si>
  <si>
    <t>yqxC-dxs</t>
  </si>
  <si>
    <t>BSGatlas-terminator-1557</t>
  </si>
  <si>
    <t>folD-nusB</t>
  </si>
  <si>
    <t>BSGatlas-TSS-1985</t>
  </si>
  <si>
    <t>yqhY-accC</t>
  </si>
  <si>
    <t>BSGatlas-TSS-1986</t>
  </si>
  <si>
    <t>BSGatlas-terminator-1558</t>
  </si>
  <si>
    <t>yqhY-accC-accB</t>
  </si>
  <si>
    <t>BSGatlas-TSS-1987</t>
  </si>
  <si>
    <t>BSGatlas-terminator-1559</t>
  </si>
  <si>
    <t>spoIIIAH-spoIIIAG</t>
  </si>
  <si>
    <t>BSGatlas-terminator-1560</t>
  </si>
  <si>
    <t>spoIIIAH-spoIIIAG-spoIIIAF</t>
  </si>
  <si>
    <t>BSGatlas-TSS-1988</t>
  </si>
  <si>
    <t>spoIIIAH-spoIIIAG-spoIIIAF-spoIIIAE-spoIIIAD-spoIIIAC-spoIIIAB-spoIIIAA</t>
  </si>
  <si>
    <t>BSGatlas-TSS-1989</t>
  </si>
  <si>
    <t>spoIIIAH-spoIIIAG-spoIIIAF-spoIIIAE-spoIIIAD-spoIIIAC-spoIIIAB-spoIIIAA-yqhV</t>
  </si>
  <si>
    <t>BSGatlas-TSS-1990</t>
  </si>
  <si>
    <t>efp-papA-yqhS</t>
  </si>
  <si>
    <t>BSGatlas-TSS-1991</t>
  </si>
  <si>
    <t>BSGatlas-terminator-1561</t>
  </si>
  <si>
    <t>efp-papA-yqhS-yqhR</t>
  </si>
  <si>
    <t>BSGatlas-TSS-1992</t>
  </si>
  <si>
    <t>yqhQ-yqhP</t>
  </si>
  <si>
    <t>BSGatlas-TSS-1993</t>
  </si>
  <si>
    <t>BSGatlas-terminator-1562</t>
  </si>
  <si>
    <t>BSGatlas-terminator-1563</t>
  </si>
  <si>
    <t>BSGatlas-TSS-1994</t>
  </si>
  <si>
    <t>BSGatlas-TSS-1995</t>
  </si>
  <si>
    <t>BSGatlas-TSS-1996</t>
  </si>
  <si>
    <t>BSGatlas-TSS-1997</t>
  </si>
  <si>
    <t>BSGatlas-terminator-1564</t>
  </si>
  <si>
    <t>mntR-lipM</t>
  </si>
  <si>
    <t>BSGatlas-TSS-1998</t>
  </si>
  <si>
    <t>BSGatlas-TSS-1999</t>
  </si>
  <si>
    <t>BSGatlas-terminator-1565</t>
  </si>
  <si>
    <t>gcvPB-gcvPA-gcvT</t>
  </si>
  <si>
    <t>BSGatlas-TSS-2001</t>
  </si>
  <si>
    <t>BSGatlas-terminator-1566</t>
  </si>
  <si>
    <t>BSGatlas-terminator-1567</t>
  </si>
  <si>
    <t>BSGatlas-terminator-1568</t>
  </si>
  <si>
    <t>yqhH-yqhG</t>
  </si>
  <si>
    <t>BSGatlas-TSS-2000</t>
  </si>
  <si>
    <t>sinI-sinR</t>
  </si>
  <si>
    <t>BSGatlas-TSS-2003</t>
  </si>
  <si>
    <t>BSGatlas-terminator-1570</t>
  </si>
  <si>
    <t>BSGatlas-TSS-2004</t>
  </si>
  <si>
    <t>BSGatlas-TSS-2005</t>
  </si>
  <si>
    <t>BSGatlas-TSS-2006</t>
  </si>
  <si>
    <t>BSGatlas-terminator-1569</t>
  </si>
  <si>
    <t>tasA-sipW-tapA</t>
  </si>
  <si>
    <t>BSGatlas-TSS-2007</t>
  </si>
  <si>
    <t>BSGatlas-terminator-1571</t>
  </si>
  <si>
    <t>BSGatlas-TSS-2008</t>
  </si>
  <si>
    <t>BSGatlas-terminator-1573</t>
  </si>
  <si>
    <t>BSGatlas-TSS-2009</t>
  </si>
  <si>
    <t>BSGatlas-TSS-2010</t>
  </si>
  <si>
    <t>BSGatlas-terminator-1572</t>
  </si>
  <si>
    <t>spoIIT-comGG-comGF-comGE-comGD-comGC-comGB-comGA</t>
  </si>
  <si>
    <t>BSGatlas-TSS-2011</t>
  </si>
  <si>
    <t>BSGatlas-TSS-2012</t>
  </si>
  <si>
    <t>BSGatlas-terminator-1574</t>
  </si>
  <si>
    <t>BSGatlas-TSS-2013</t>
  </si>
  <si>
    <t>BSGatlas-terminator-1576</t>
  </si>
  <si>
    <t>BSGatlas-terminator-1577</t>
  </si>
  <si>
    <t>BSGatlas-terminator-1575</t>
  </si>
  <si>
    <t>BSGatlas-TSS-2014</t>
  </si>
  <si>
    <t>BSGatlas-terminator-1578</t>
  </si>
  <si>
    <t>BSGatlas-TSS-2015</t>
  </si>
  <si>
    <t>BSGatlas-terminator-1579</t>
  </si>
  <si>
    <t>BSGatlas-terminator-1580</t>
  </si>
  <si>
    <t>BSGatlas-TSS-2016</t>
  </si>
  <si>
    <t>BSGatlas-TSS-2017</t>
  </si>
  <si>
    <t>BSGatlas-terminator-1581</t>
  </si>
  <si>
    <t>BSGatlas-TSS-2019</t>
  </si>
  <si>
    <t>BSGatlas-TSS-2018</t>
  </si>
  <si>
    <t>BSGatlas-terminator-1582</t>
  </si>
  <si>
    <t>BSGatlas-terminator-1584</t>
  </si>
  <si>
    <t>yqgV-yqgU-yqgT</t>
  </si>
  <si>
    <t>BSGatlas-TSS-2020</t>
  </si>
  <si>
    <t>BSGatlas-terminator-1583</t>
  </si>
  <si>
    <t>BSGatlas-TSS-2022</t>
  </si>
  <si>
    <t>BSGatlas-terminator-1585</t>
  </si>
  <si>
    <t>ltaSC-glcK-yqgQ-glpG</t>
  </si>
  <si>
    <t>BSGatlas-TSS-2023</t>
  </si>
  <si>
    <t>ltaSC-glcK-yqgQ-glpG-yqgO</t>
  </si>
  <si>
    <t>BSGatlas-TSS-2024</t>
  </si>
  <si>
    <t>BSGatlas-TSS-2021</t>
  </si>
  <si>
    <t>BSGatlas-terminator-1586</t>
  </si>
  <si>
    <t>BSGatlas-TSS-2025</t>
  </si>
  <si>
    <t>BSGatlas-terminator-1587</t>
  </si>
  <si>
    <t>rpmGA-yqgM-yqgL</t>
  </si>
  <si>
    <t>BSGatlas-TSS-2027</t>
  </si>
  <si>
    <t>yqzD-yqzC</t>
  </si>
  <si>
    <t>BSGatlas-TSS-2026</t>
  </si>
  <si>
    <t>BSGatlas-terminator-1589</t>
  </si>
  <si>
    <t>BSGatlas-TSS-2028</t>
  </si>
  <si>
    <t>pstBB-pstBA-pstA-pstC-pstS</t>
  </si>
  <si>
    <t>BSGatlas-TSS-2029</t>
  </si>
  <si>
    <t>BSGatlas-terminator-1588</t>
  </si>
  <si>
    <t>BSGatlas-TSS-2030</t>
  </si>
  <si>
    <t>BSGatlas-TSS-2031</t>
  </si>
  <si>
    <t>BSGatlas-terminator-1590</t>
  </si>
  <si>
    <t>BSGatlas-TSS-2032</t>
  </si>
  <si>
    <t>BSGatlas-TSS-2033</t>
  </si>
  <si>
    <t>BSGatlas-TSS-2034</t>
  </si>
  <si>
    <t>BSGatlas-terminator-1591</t>
  </si>
  <si>
    <t>BSGatlas-TSS-2035</t>
  </si>
  <si>
    <t>sodA-yqgC</t>
  </si>
  <si>
    <t>BSGatlas-TSS-2037</t>
  </si>
  <si>
    <t>BSGatlas-TSS-2036</t>
  </si>
  <si>
    <t>BSGatlas-terminator-1592</t>
  </si>
  <si>
    <t>BSGatlas-TSS-2039</t>
  </si>
  <si>
    <t>BSGatlas-terminator-1593</t>
  </si>
  <si>
    <t>yqfZ-ispG</t>
  </si>
  <si>
    <t>BSGatlas-TSS-2038</t>
  </si>
  <si>
    <t>BSGatlas-terminator-1594</t>
  </si>
  <si>
    <t>BSGatlas-TSS-2040</t>
  </si>
  <si>
    <t>BSGatlas-TSS-2041</t>
  </si>
  <si>
    <t>BSGatlas-TSS-2042</t>
  </si>
  <si>
    <t>BSGatlas-terminator-1595</t>
  </si>
  <si>
    <t>BSGatlas-TSS-2043</t>
  </si>
  <si>
    <t>BSGatlas-terminator-1596</t>
  </si>
  <si>
    <t>BSGatlas-terminator-1599</t>
  </si>
  <si>
    <t>BSGatlas-TSS-2044</t>
  </si>
  <si>
    <t>BSGatlas-terminator-1597</t>
  </si>
  <si>
    <t>zur-yqfU</t>
  </si>
  <si>
    <t>BSGatlas-TSS-2046</t>
  </si>
  <si>
    <t>zur-yqfU-nfo</t>
  </si>
  <si>
    <t>BSGatlas-TSS-2048</t>
  </si>
  <si>
    <t>zur-yqfU-nfo-cshB</t>
  </si>
  <si>
    <t>BSGatlas-TSS-2049</t>
  </si>
  <si>
    <t>BSGatlas-terminator-1598</t>
  </si>
  <si>
    <t>yqfU-nfo</t>
  </si>
  <si>
    <t>yqfU-nfo-cshB</t>
  </si>
  <si>
    <t>BSGatlas-TSS-2045</t>
  </si>
  <si>
    <t>BSGatlas-terminator-1600</t>
  </si>
  <si>
    <t>BSGatlas-terminator-1602</t>
  </si>
  <si>
    <t>BSGatlas-TSS-2047</t>
  </si>
  <si>
    <t>BSGatlas-terminator-1601</t>
  </si>
  <si>
    <t>nfo-cshB</t>
  </si>
  <si>
    <t>BSGatlas-TSS-2050</t>
  </si>
  <si>
    <t>BSGatlas-terminator-1603</t>
  </si>
  <si>
    <t>BSGatlas-terminator-1604</t>
  </si>
  <si>
    <t>yqfQ-ispH</t>
  </si>
  <si>
    <t>BSGatlas-terminator-1605</t>
  </si>
  <si>
    <t>BSGatlas-TSS-2051</t>
  </si>
  <si>
    <t>yqfO-trmK</t>
  </si>
  <si>
    <t>BSGatlas-TSS-2052</t>
  </si>
  <si>
    <t>BSGatlas-terminator-1606</t>
  </si>
  <si>
    <t>BSGatlas-TSS-2054</t>
  </si>
  <si>
    <t>BSGatlas-terminator-1607</t>
  </si>
  <si>
    <t>BSGatlas-TSS-2055</t>
  </si>
  <si>
    <t>BSGatlas-TSS-2053</t>
  </si>
  <si>
    <t>BSGatlas-TSS-2056</t>
  </si>
  <si>
    <t>BSGatlas-TSS-2057</t>
  </si>
  <si>
    <t>BSGatlas-terminator-1608</t>
  </si>
  <si>
    <t>sigA-dnaG</t>
  </si>
  <si>
    <t>BSGatlas-TSS-2059</t>
  </si>
  <si>
    <t>sigA-dnaG-yqxD</t>
  </si>
  <si>
    <t>BSGatlas-TSS-2060</t>
  </si>
  <si>
    <t>BSGatlas-TSS-2062</t>
  </si>
  <si>
    <t>BSGatlas-TSS-2063</t>
  </si>
  <si>
    <t>BSGatlas-TSS-2064</t>
  </si>
  <si>
    <t>BSGatlas-TSS-2065</t>
  </si>
  <si>
    <t>BSGatlas-TSS-2058</t>
  </si>
  <si>
    <t>BSGatlas-terminator-1609</t>
  </si>
  <si>
    <t>ppsR-ccpN</t>
  </si>
  <si>
    <t>BSGatlas-TSS-2066</t>
  </si>
  <si>
    <t>BSGatlas-terminator-1610</t>
  </si>
  <si>
    <t>glyS-glyQ</t>
  </si>
  <si>
    <t>BSGatlas-TSS-2068</t>
  </si>
  <si>
    <t>BSGatlas-terminator-1611</t>
  </si>
  <si>
    <t>BSGatlas-terminator-1612</t>
  </si>
  <si>
    <t>BSGatlas-terminator-1613</t>
  </si>
  <si>
    <t>BSGatlas-TSS-2067</t>
  </si>
  <si>
    <t>recO-yqzL-era-cdd</t>
  </si>
  <si>
    <t>BSGatlas-TSS-2069</t>
  </si>
  <si>
    <t>era-cdd</t>
  </si>
  <si>
    <t>BSGatlas-TSS-2071</t>
  </si>
  <si>
    <t>BSGatlas-terminator-1614</t>
  </si>
  <si>
    <t>BSGatlas-TSS-2072</t>
  </si>
  <si>
    <t>BSGatlas-TSS-2073</t>
  </si>
  <si>
    <t>yqfD-yqfC</t>
  </si>
  <si>
    <t>yqfB-floA-nfeDA</t>
  </si>
  <si>
    <t>BSGatlas-TSS-2074</t>
  </si>
  <si>
    <t>BSGatlas-terminator-1615</t>
  </si>
  <si>
    <t>BSGatlas-terminator-1616</t>
  </si>
  <si>
    <t>yqeY-rpsU</t>
  </si>
  <si>
    <t>BSGatlas-TSS-2076</t>
  </si>
  <si>
    <t>BSGatlas-terminator-1617</t>
  </si>
  <si>
    <t>BSGatlas-terminator-1618</t>
  </si>
  <si>
    <t>BSGatlas-TSS-2075</t>
  </si>
  <si>
    <t>BSGatlas-TSS-2077</t>
  </si>
  <si>
    <t>mtaB-rsmE-prmA-dnaJ-dnaK-grpE</t>
  </si>
  <si>
    <t>BSGatlas-TSS-2079</t>
  </si>
  <si>
    <t>BSGatlas-terminator-1619</t>
  </si>
  <si>
    <t>mtaB-rsmE-prmA-dnaJ-dnaK-grpE-hrcA</t>
  </si>
  <si>
    <t>BSGatlas-TSS-2080</t>
  </si>
  <si>
    <t>BSGatlas-TSS-2081</t>
  </si>
  <si>
    <t>mtaB-rsmE-prmA-dnaJ-dnaK-grpE-hrcA-hemN</t>
  </si>
  <si>
    <t>BSGatlas-TSS-2082</t>
  </si>
  <si>
    <t>mtaB-rsmE-prmA-dnaJ-dnaK-grpE-hrcA-hemN-lepA</t>
  </si>
  <si>
    <t>BSGatlas-TSS-2083</t>
  </si>
  <si>
    <t>BSGatlas-TSS-2078</t>
  </si>
  <si>
    <t>dnaK-grpE</t>
  </si>
  <si>
    <t>BSGatlas-terminator-1620</t>
  </si>
  <si>
    <t>dnaK-grpE-hrcA</t>
  </si>
  <si>
    <t>dnaK-grpE-hrcA-hemN</t>
  </si>
  <si>
    <t>dnaK-grpE-hrcA-hemN-lepA</t>
  </si>
  <si>
    <t>BSGatlas-terminator-1621</t>
  </si>
  <si>
    <t>hemN-lepA</t>
  </si>
  <si>
    <t>BSGatlas-terminator-1622</t>
  </si>
  <si>
    <t>yqxA-spoIIP</t>
  </si>
  <si>
    <t>BSGatlas-TSS-2084</t>
  </si>
  <si>
    <t>BSGatlas-terminator-1623</t>
  </si>
  <si>
    <t>yqxA-spoIIP-gpr</t>
  </si>
  <si>
    <t>BSGatlas-TSS-2085</t>
  </si>
  <si>
    <t>BSGatlas-terminator-1624</t>
  </si>
  <si>
    <t>spoIIP-gpr</t>
  </si>
  <si>
    <t>BSGatlas-TSS-2086</t>
  </si>
  <si>
    <t>BSGatlas-terminator-1625</t>
  </si>
  <si>
    <t>BSGatlas-TSS-2087</t>
  </si>
  <si>
    <t>BSGatlas-terminator-1626</t>
  </si>
  <si>
    <t>BSGatlas-TSS-2089</t>
  </si>
  <si>
    <t>BSGatlas-terminator-1627</t>
  </si>
  <si>
    <t>BSGatlas-TSS-2088</t>
  </si>
  <si>
    <t>BSGatlas-terminator-1628</t>
  </si>
  <si>
    <t>comEC-comEB-comEA</t>
  </si>
  <si>
    <t>BSGatlas-TSS-2092</t>
  </si>
  <si>
    <t>BSGatlas-TSS-2093</t>
  </si>
  <si>
    <t>BSGatlas-TSS-2091</t>
  </si>
  <si>
    <t>BSGatlas-terminator-1629</t>
  </si>
  <si>
    <t>yqeM-rsfS-yqeK-nadD-yqeI-aroE-rgpH-yqeG</t>
  </si>
  <si>
    <t>BSGatlas-TSS-2094</t>
  </si>
  <si>
    <t>BSGatlas-terminator-1630</t>
  </si>
  <si>
    <t>BSGatlas-TSS-2096</t>
  </si>
  <si>
    <t>BSGatlas-terminator-1632</t>
  </si>
  <si>
    <t>BSGatlas-TSS-2095</t>
  </si>
  <si>
    <t>BSGatlas-terminator-1633</t>
  </si>
  <si>
    <t>BSGatlas-terminator-1635</t>
  </si>
  <si>
    <t>BSGatlas-terminator-1637</t>
  </si>
  <si>
    <t>BSGatlas-TSS-2097</t>
  </si>
  <si>
    <t>BSGatlas-terminator-1634</t>
  </si>
  <si>
    <t>BSGatlas-TSS-2098</t>
  </si>
  <si>
    <t>BSGatlas-TSS-2099</t>
  </si>
  <si>
    <t>BSGatlas-TSS-2101</t>
  </si>
  <si>
    <t>BSGatlas-terminator-1636</t>
  </si>
  <si>
    <t>BSGatlas-TSS-2100</t>
  </si>
  <si>
    <t>BSGatlas-terminator-1638</t>
  </si>
  <si>
    <t>BSGatlas-TSS-2102</t>
  </si>
  <si>
    <t>BSGatlas-terminator-1639</t>
  </si>
  <si>
    <t>BSGatlas-TSS-2103</t>
  </si>
  <si>
    <t>BSGatlas-TSS-2104</t>
  </si>
  <si>
    <t>BSGatlas-terminator-1640</t>
  </si>
  <si>
    <t>BSGatlas-TSS-2105</t>
  </si>
  <si>
    <t>BSGatlas-terminator-1641</t>
  </si>
  <si>
    <t>BSGatlas-terminator-1642</t>
  </si>
  <si>
    <t>BSGatlas-TSS-2106</t>
  </si>
  <si>
    <t>BSGatlas-terminator-1643</t>
  </si>
  <si>
    <t>arsC-arsB-yqcK-arsR</t>
  </si>
  <si>
    <t>BSGatlas-TSS-2107</t>
  </si>
  <si>
    <t>BSGatlas-terminator-1644</t>
  </si>
  <si>
    <t>BSGatlas-terminator-1645</t>
  </si>
  <si>
    <t>BSGatlas-TSS-2108</t>
  </si>
  <si>
    <t>BSGatlas-terminator-1646</t>
  </si>
  <si>
    <t>rapE-phrE</t>
  </si>
  <si>
    <t>BSGatlas-TSS-2109</t>
  </si>
  <si>
    <t>BSGatlas-terminator-1647</t>
  </si>
  <si>
    <t>BSGatlas-TSS-2110</t>
  </si>
  <si>
    <t>BSGatlas-TSS-2111</t>
  </si>
  <si>
    <t>rttG-rttF</t>
  </si>
  <si>
    <t>BSGatlas-TSS-2112</t>
  </si>
  <si>
    <t>BSGatlas-terminator-1649</t>
  </si>
  <si>
    <t>yqxJ-yqxI</t>
  </si>
  <si>
    <t>BSGatlas-TSS-2113</t>
  </si>
  <si>
    <t>BSGatlas-terminator-1648</t>
  </si>
  <si>
    <t>BSGatlas-terminator-1652</t>
  </si>
  <si>
    <t>BSGatlas-terminator-1650</t>
  </si>
  <si>
    <t>BSGatlas-terminator-1651</t>
  </si>
  <si>
    <t>BSGatlas-TSS-2114</t>
  </si>
  <si>
    <t>BSGatlas-TSS-2115</t>
  </si>
  <si>
    <t>BSGatlas-TSS-2116</t>
  </si>
  <si>
    <t>BSGatlas-terminator-1653</t>
  </si>
  <si>
    <t>BSGatlas-TSS-2118</t>
  </si>
  <si>
    <t>BSGatlas-terminator-1654</t>
  </si>
  <si>
    <t>ratA_ratA-asrH-S977</t>
  </si>
  <si>
    <t>BSGatlas-TSS-2120</t>
  </si>
  <si>
    <t>BsrG-txpA</t>
  </si>
  <si>
    <t>BSGatlas-TSS-2117</t>
  </si>
  <si>
    <t>BSGatlas-terminator-1657</t>
  </si>
  <si>
    <t>BSGatlas-terminator-1655</t>
  </si>
  <si>
    <t>BSGatlas-terminator-1656</t>
  </si>
  <si>
    <t>BSGatlas-terminator-1660</t>
  </si>
  <si>
    <t>BSGatlas-TSS-2119</t>
  </si>
  <si>
    <t>BSGatlas-terminator-1658</t>
  </si>
  <si>
    <t>BSGatlas-terminator-1659</t>
  </si>
  <si>
    <t>BSGatlas-TSS-2121</t>
  </si>
  <si>
    <t>BSGatlas-TSS-2122</t>
  </si>
  <si>
    <t>BSGatlas-TSS-2123</t>
  </si>
  <si>
    <t>BSGatlas-terminator-1661</t>
  </si>
  <si>
    <t>BSGatlas-TSS-2124</t>
  </si>
  <si>
    <t>BSGatlas-terminator-1663</t>
  </si>
  <si>
    <t>BSGatlas-TSS-2125</t>
  </si>
  <si>
    <t>BSGatlas-TSS-2126</t>
  </si>
  <si>
    <t>BSGatlas-terminator-1664</t>
  </si>
  <si>
    <t>BSGatlas-TSS-2127</t>
  </si>
  <si>
    <t>BSGatlas-terminator-1665</t>
  </si>
  <si>
    <t>BSGatlas-TSS-2128</t>
  </si>
  <si>
    <t>BSGatlas-terminator-1666</t>
  </si>
  <si>
    <t>BSGatlas-terminator-1667</t>
  </si>
  <si>
    <t>yqaN-yqzO</t>
  </si>
  <si>
    <t>BSGatlas-TSS-2129</t>
  </si>
  <si>
    <t>yqaN-yqzO-sknM-yqaL-yqaK-yqaJ-yqaI-unnamed_gene-sknH-yqaG-yqdA-yqaF</t>
  </si>
  <si>
    <t>BSGatlas-TSS-2130</t>
  </si>
  <si>
    <t>BSGatlas-terminator-1668</t>
  </si>
  <si>
    <t>BSGatlas-TSS-2131</t>
  </si>
  <si>
    <t>BSGatlas-TSS-2133</t>
  </si>
  <si>
    <t>yqaB-sigKc</t>
  </si>
  <si>
    <t>BSGatlas-TSS-2132</t>
  </si>
  <si>
    <t>BSGatlas-terminator-1669</t>
  </si>
  <si>
    <t>BSGatlas-TSS-2134</t>
  </si>
  <si>
    <t>BSGatlas-terminator-1672</t>
  </si>
  <si>
    <t>BSGatlas-TSS-2135</t>
  </si>
  <si>
    <t>BSGatlas-terminator-1670</t>
  </si>
  <si>
    <t>psiE-yrkQ-yrkP</t>
  </si>
  <si>
    <t>BSGatlas-TSS-2136</t>
  </si>
  <si>
    <t>BSGatlas-terminator-1671</t>
  </si>
  <si>
    <t>yrkO-unnamed_gene-yrkN</t>
  </si>
  <si>
    <t>BSGatlas-TSS-2137</t>
  </si>
  <si>
    <t>BSGatlas-terminator-1674</t>
  </si>
  <si>
    <t>BSGatlas-TSS-2138</t>
  </si>
  <si>
    <t>BSGatlas-terminator-1673</t>
  </si>
  <si>
    <t>BSGatlas-terminator-1675</t>
  </si>
  <si>
    <t>yrkL-yrkK</t>
  </si>
  <si>
    <t>BSGatlas-TSS-2141</t>
  </si>
  <si>
    <t>yrkK-yrkJ-yrkI-yrkH-yrkF-yrkE-yrkD-yrzM</t>
  </si>
  <si>
    <t>BSGatlas-TSS-2143</t>
  </si>
  <si>
    <t>BSGatlas-TSS-2144</t>
  </si>
  <si>
    <t>yrkI-yrkH</t>
  </si>
  <si>
    <t>BSGatlas-TSS-2142</t>
  </si>
  <si>
    <t>BSGatlas-terminator-1676</t>
  </si>
  <si>
    <t>yrkI-yrkH-yrkF-yrkE-yrkD-yrzM</t>
  </si>
  <si>
    <t>yrkD-yrzM</t>
  </si>
  <si>
    <t>BSGatlas-terminator-1677</t>
  </si>
  <si>
    <t>yrzN-yrkC</t>
  </si>
  <si>
    <t>BSGatlas-TSS-2145</t>
  </si>
  <si>
    <t>BSGatlas-terminator-1678</t>
  </si>
  <si>
    <t>BSGatlas-TSS-2146</t>
  </si>
  <si>
    <t>blt-bltD</t>
  </si>
  <si>
    <t>BSGatlas-TSS-2147</t>
  </si>
  <si>
    <t>BSGatlas-TSS-2148</t>
  </si>
  <si>
    <t>BSGatlas-terminator-1679</t>
  </si>
  <si>
    <t>yrzO-yrdR</t>
  </si>
  <si>
    <t>BSGatlas-TSS-2149</t>
  </si>
  <si>
    <t>BSGatlas-terminator-1680</t>
  </si>
  <si>
    <t>yrdP-czcD</t>
  </si>
  <si>
    <t>BSGatlas-TSS-2150</t>
  </si>
  <si>
    <t>BSGatlas-terminator-1681</t>
  </si>
  <si>
    <t>BSGatlas-TSS-2151</t>
  </si>
  <si>
    <t>BSGatlas-terminator-1682</t>
  </si>
  <si>
    <t>BSGatlas-TSS-2152</t>
  </si>
  <si>
    <t>BSGatlas-terminator-1684</t>
  </si>
  <si>
    <t>BSGatlas-TSS-2153</t>
  </si>
  <si>
    <t>yrdK-brnQ-azlD-azlC-azlB</t>
  </si>
  <si>
    <t>BSGatlas-terminator-1683</t>
  </si>
  <si>
    <t>BSGatlas-TSS-2154</t>
  </si>
  <si>
    <t>BSGatlas-terminator-1685</t>
  </si>
  <si>
    <t>BSGatlas-TSS-2155</t>
  </si>
  <si>
    <t>BSGatlas-TSS-2156</t>
  </si>
  <si>
    <t>BSGatlas-terminator-1686</t>
  </si>
  <si>
    <t>BSGatlas-TSS-2157</t>
  </si>
  <si>
    <t>yrdA-aadK</t>
  </si>
  <si>
    <t>BSGatlas-TSS-2158</t>
  </si>
  <si>
    <t>BSGatlas-terminator-1688</t>
  </si>
  <si>
    <t>BSGatlas-TSS-2159</t>
  </si>
  <si>
    <t>BSGatlas-terminator-1689</t>
  </si>
  <si>
    <t>BSGatlas-TSS-2160</t>
  </si>
  <si>
    <t>BSGatlas-TSS-2161</t>
  </si>
  <si>
    <t>BSGatlas-terminator-1690</t>
  </si>
  <si>
    <t>BSGatlas-TSS-2163</t>
  </si>
  <si>
    <t>BSGatlas-TSS-2164</t>
  </si>
  <si>
    <t>BSGatlas-terminator-1692</t>
  </si>
  <si>
    <t>BSGatlas-terminator-1691</t>
  </si>
  <si>
    <t>BSGatlas-terminator-1693</t>
  </si>
  <si>
    <t>BSGatlas-TSS-2165</t>
  </si>
  <si>
    <t>BSGatlas-TSS-2166</t>
  </si>
  <si>
    <t>yraO-yraN</t>
  </si>
  <si>
    <t>BSGatlas-TSS-2167</t>
  </si>
  <si>
    <t>BSGatlas-TSS-2168</t>
  </si>
  <si>
    <t>BSGatlas-TSS-2169</t>
  </si>
  <si>
    <t>BSGatlas-TSS-2170</t>
  </si>
  <si>
    <t>BSGatlas-terminator-1694</t>
  </si>
  <si>
    <t>BSGatlas-TSS-2171</t>
  </si>
  <si>
    <t>BSGatlas-terminator-1695</t>
  </si>
  <si>
    <t>yraJ-yraI</t>
  </si>
  <si>
    <t>BSGatlas-TSS-2172</t>
  </si>
  <si>
    <t>BSGatlas-terminator-1696</t>
  </si>
  <si>
    <t>BSGatlas-TSS-2173</t>
  </si>
  <si>
    <t>BSGatlas-terminator-1697</t>
  </si>
  <si>
    <t>yraG-yraF-adhB-yraE-yraD</t>
  </si>
  <si>
    <t>BSGatlas-TSS-2174</t>
  </si>
  <si>
    <t>BSGatlas-terminator-1698</t>
  </si>
  <si>
    <t>BSGatlas-terminator-1699</t>
  </si>
  <si>
    <t>BSGatlas-TSS-2176</t>
  </si>
  <si>
    <t>BSGatlas-TSS-2177</t>
  </si>
  <si>
    <t>yrzP-adhA-sufL</t>
  </si>
  <si>
    <t>BSGatlas-TSS-2175</t>
  </si>
  <si>
    <t>BSGatlas-terminator-1700</t>
  </si>
  <si>
    <t>BSGatlas-terminator-1702</t>
  </si>
  <si>
    <t>BSGatlas-terminator-1704</t>
  </si>
  <si>
    <t>adhA-sufL</t>
  </si>
  <si>
    <t>BSGatlas-TSS-2178</t>
  </si>
  <si>
    <t>BSGatlas-TSS-2179</t>
  </si>
  <si>
    <t>sacC-unnamed_gene-levG-levF-levE-levD</t>
  </si>
  <si>
    <t>BSGatlas-TSS-2180</t>
  </si>
  <si>
    <t>BSGatlas-terminator-1701</t>
  </si>
  <si>
    <t>BSGatlas-terminator-1703</t>
  </si>
  <si>
    <t>BSGatlas-TSS-2181</t>
  </si>
  <si>
    <t>BSGatlas-TSS-2182</t>
  </si>
  <si>
    <t>BSGatlas-terminator-1706</t>
  </si>
  <si>
    <t>BSGatlas-TSS-2183</t>
  </si>
  <si>
    <t>BSGatlas-terminator-1707</t>
  </si>
  <si>
    <t>BSGatlas-terminator-1708</t>
  </si>
  <si>
    <t>BSGatlas-TSS-2184</t>
  </si>
  <si>
    <t>BSGatlas-terminator-1709</t>
  </si>
  <si>
    <t>sigV-rsiV</t>
  </si>
  <si>
    <t>BSGatlas-TSS-2185</t>
  </si>
  <si>
    <t>BSGatlas-terminator-1710</t>
  </si>
  <si>
    <t>sigV-rsiV-oatA-yrhK</t>
  </si>
  <si>
    <t>BSGatlas-TSS-2188</t>
  </si>
  <si>
    <t>BSGatlas-terminator-1711</t>
  </si>
  <si>
    <t>cypB-bscR</t>
  </si>
  <si>
    <t>BSGatlas-terminator-1712</t>
  </si>
  <si>
    <t>cypB-bscR-yrhH</t>
  </si>
  <si>
    <t>BSGatlas-TSS-2190</t>
  </si>
  <si>
    <t>BSGatlas-terminator-1713</t>
  </si>
  <si>
    <t>BSGatlas-TSS-2191</t>
  </si>
  <si>
    <t>BSGatlas-terminator-1714</t>
  </si>
  <si>
    <t>BSGatlas-TSS-2192</t>
  </si>
  <si>
    <t>BSGatlas-terminator-1716</t>
  </si>
  <si>
    <t>BSGatlas-TSS-2193</t>
  </si>
  <si>
    <t>BSGatlas-terminator-1718</t>
  </si>
  <si>
    <t>BSGatlas-TSS-2194</t>
  </si>
  <si>
    <t>yrhE-yrhD</t>
  </si>
  <si>
    <t>BSGatlas-TSS-2195</t>
  </si>
  <si>
    <t>BSGatlas-terminator-1719</t>
  </si>
  <si>
    <t>yrhC-mccB-mccA-mtnN</t>
  </si>
  <si>
    <t>BSGatlas-TSS-2196</t>
  </si>
  <si>
    <t>BSGatlas-terminator-1720</t>
  </si>
  <si>
    <t>BSGatlas-TSS-2197</t>
  </si>
  <si>
    <t>yrhC-mccB-mccA-mtnN-yrrT</t>
  </si>
  <si>
    <t>BSGatlas-TSS-2198</t>
  </si>
  <si>
    <t>BSGatlas-terminator-1721</t>
  </si>
  <si>
    <t>mtnN-yrrT</t>
  </si>
  <si>
    <t>BSGatlas-TSS-2199</t>
  </si>
  <si>
    <t>BSGatlas-terminator-1722</t>
  </si>
  <si>
    <t>BSGatlas-TSS-2200</t>
  </si>
  <si>
    <t>BSGatlas-TSS-2201</t>
  </si>
  <si>
    <t>BSGatlas-terminator-1723</t>
  </si>
  <si>
    <t>yrrS-pbpI</t>
  </si>
  <si>
    <t>BSGatlas-TSS-2202</t>
  </si>
  <si>
    <t>BSGatlas-TSS-2203</t>
  </si>
  <si>
    <t>BSGatlas-TSS-2205</t>
  </si>
  <si>
    <t>BSGatlas-TSS-2206</t>
  </si>
  <si>
    <t>BSGatlas-terminator-1724</t>
  </si>
  <si>
    <t>BSGatlas-TSS-2207</t>
  </si>
  <si>
    <t>greA-udk-yrrO-yrrN-yrrM</t>
  </si>
  <si>
    <t>BSGatlas-TSS-2209</t>
  </si>
  <si>
    <t>BSGatlas-TSS-2210</t>
  </si>
  <si>
    <t>BSGatlas-terminator-1725</t>
  </si>
  <si>
    <t>BSGatlas-terminator-1726</t>
  </si>
  <si>
    <t>yrzB-rimF</t>
  </si>
  <si>
    <t>BSGatlas-TSS-2211</t>
  </si>
  <si>
    <t>BSGatlas-terminator-1727</t>
  </si>
  <si>
    <t>yrzB-rimF-yrzL</t>
  </si>
  <si>
    <t>BSGatlas-TSS-2213</t>
  </si>
  <si>
    <t>yrzB-rimF-yrzL-alaS</t>
  </si>
  <si>
    <t>BSGatlas-TSS-2214</t>
  </si>
  <si>
    <t>BSGatlas-TSS-2215</t>
  </si>
  <si>
    <t>BSGatlas-terminator-1728</t>
  </si>
  <si>
    <t>BSGatlas-TSS-2212</t>
  </si>
  <si>
    <t>BSGatlas-TSS-2217</t>
  </si>
  <si>
    <t>glnQ-glnH</t>
  </si>
  <si>
    <t>BSGatlas-TSS-2216</t>
  </si>
  <si>
    <t>BSGatlas-terminator-1730</t>
  </si>
  <si>
    <t>glnQ-glnH-glnM-glnP</t>
  </si>
  <si>
    <t>BSGatlas-terminator-1732</t>
  </si>
  <si>
    <t>yrzQ-yrzR</t>
  </si>
  <si>
    <t>BSGatlas-TSS-2218</t>
  </si>
  <si>
    <t>BSGatlas-terminator-1731</t>
  </si>
  <si>
    <t>yrzQ-yrzR-yrrD</t>
  </si>
  <si>
    <t>BSGatlas-TSS-2219</t>
  </si>
  <si>
    <t>recDB-yrrB-mnmA-iscSA</t>
  </si>
  <si>
    <t>BSGatlas-TSS-2221</t>
  </si>
  <si>
    <t>BSGatlas-terminator-1733</t>
  </si>
  <si>
    <t>BSGatlas-terminator-1734</t>
  </si>
  <si>
    <t>recDB-yrrB-mnmA-iscSA-cymR</t>
  </si>
  <si>
    <t>BSGatlas-TSS-2222</t>
  </si>
  <si>
    <t>BSGatlas-TSS-2220</t>
  </si>
  <si>
    <t>mnmA-iscSA</t>
  </si>
  <si>
    <t>BSGatlas-terminator-1735</t>
  </si>
  <si>
    <t>mnmA-iscSA-cymR</t>
  </si>
  <si>
    <t>BSGatlas-TSS-2223</t>
  </si>
  <si>
    <t>BSGatlas-terminator-1736</t>
  </si>
  <si>
    <t>tcdA-bsrA_6S_ssrSB</t>
  </si>
  <si>
    <t>BSGatlas-TSS-2225</t>
  </si>
  <si>
    <t>BSGatlas-terminator-1737</t>
  </si>
  <si>
    <t>BSGatlas-terminator-1738</t>
  </si>
  <si>
    <t>aspS-hisS</t>
  </si>
  <si>
    <t>BSGatlas-TSS-2227</t>
  </si>
  <si>
    <t>BSGatlas-terminator-1739</t>
  </si>
  <si>
    <t>BSGatlas-TSS-2226</t>
  </si>
  <si>
    <t>BSGatlas-terminator-1741</t>
  </si>
  <si>
    <t>BSGatlas-TSS-2228</t>
  </si>
  <si>
    <t>BSGatlas-TSS-2229</t>
  </si>
  <si>
    <t>dtd-rsh</t>
  </si>
  <si>
    <t>BSGatlas-TSS-2230</t>
  </si>
  <si>
    <t>BSGatlas-terminator-1740</t>
  </si>
  <si>
    <t>BSGatlas-TSS-2231</t>
  </si>
  <si>
    <t>BSGatlas-TSS-2232</t>
  </si>
  <si>
    <t>BSGatlas-terminator-1743</t>
  </si>
  <si>
    <t>apt-recJ</t>
  </si>
  <si>
    <t>BSGatlas-TSS-2233</t>
  </si>
  <si>
    <t>BSGatlas-TSS-2234</t>
  </si>
  <si>
    <t>yrvD-yrvC</t>
  </si>
  <si>
    <t>BSGatlas-TSS-2235</t>
  </si>
  <si>
    <t>secDF-comN</t>
  </si>
  <si>
    <t>BSGatlas-TSS-2238</t>
  </si>
  <si>
    <t>BSGatlas-terminator-1744</t>
  </si>
  <si>
    <t>BSGatlas-TSS-2239</t>
  </si>
  <si>
    <t>BSGatlas-TSS-2236</t>
  </si>
  <si>
    <t>BSGatlas-terminator-1746</t>
  </si>
  <si>
    <t>spoVB-yrzE</t>
  </si>
  <si>
    <t>BSGatlas-terminator-1747</t>
  </si>
  <si>
    <t>BSGatlas-TSS-2237</t>
  </si>
  <si>
    <t>BSGatlas-TSS-2240</t>
  </si>
  <si>
    <t>BSGatlas-TSS-2241</t>
  </si>
  <si>
    <t>BSGatlas-TSS-2242</t>
  </si>
  <si>
    <t>BSGatlas-terminator-1748</t>
  </si>
  <si>
    <t>BSGatlas-TSS-2243</t>
  </si>
  <si>
    <t>yrbF-tgt-queA-yrzS-ruvB-ruvA</t>
  </si>
  <si>
    <t>BSGatlas-TSS-2244</t>
  </si>
  <si>
    <t>ruvB-ruvA</t>
  </si>
  <si>
    <t>BSGatlas-terminator-1749</t>
  </si>
  <si>
    <t>BSGatlas-TSS-2245</t>
  </si>
  <si>
    <t>BSGatlas-terminator-1750</t>
  </si>
  <si>
    <t>bofC-csbX</t>
  </si>
  <si>
    <t>BSGatlas-TSS-2246</t>
  </si>
  <si>
    <t>BSGatlas-TSS-2247</t>
  </si>
  <si>
    <t>BSGatlas-terminator-1751</t>
  </si>
  <si>
    <t>BSGatlas-TSS-2248</t>
  </si>
  <si>
    <t>BSGatlas-terminator-1753</t>
  </si>
  <si>
    <t>BSGatlas-TSS-2249</t>
  </si>
  <si>
    <t>BSGatlas-TSS-2250</t>
  </si>
  <si>
    <t>BSGatlas-terminator-1752</t>
  </si>
  <si>
    <t>BSGatlas-terminator-1754</t>
  </si>
  <si>
    <t>yrzH-yrzH-yrzT</t>
  </si>
  <si>
    <t>BSGatlas-TSS-2251</t>
  </si>
  <si>
    <t>BSGatlas-terminator-1755</t>
  </si>
  <si>
    <t>BSGatlas-TSS-2252</t>
  </si>
  <si>
    <t>BSGatlas-terminator-1756</t>
  </si>
  <si>
    <t>BSGatlas-terminator-1758</t>
  </si>
  <si>
    <t>BSGatlas-TSS-2253</t>
  </si>
  <si>
    <t>BSGatlas-TSS-2254</t>
  </si>
  <si>
    <t>BSGatlas-terminator-1757</t>
  </si>
  <si>
    <t>BSGatlas-TSS-2255</t>
  </si>
  <si>
    <t>BSGatlas-terminator-1759</t>
  </si>
  <si>
    <t>sgpA-safA</t>
  </si>
  <si>
    <t>BSGatlas-TSS-2256</t>
  </si>
  <si>
    <t>BSGatlas-terminator-1760</t>
  </si>
  <si>
    <t>BSGatlas-TSS-2257</t>
  </si>
  <si>
    <t>BSGatlas-terminator-1761</t>
  </si>
  <si>
    <t>nadA-nadC-nadB</t>
  </si>
  <si>
    <t>BSGatlas-TSS-2259</t>
  </si>
  <si>
    <t>BSGatlas-TSS-2261</t>
  </si>
  <si>
    <t>nifS-niaR</t>
  </si>
  <si>
    <t>BSGatlas-TSS-2260</t>
  </si>
  <si>
    <t>BSGatlas-terminator-1764</t>
  </si>
  <si>
    <t>BSGatlas-terminator-1765</t>
  </si>
  <si>
    <t>BSGatlas-TSS-2262</t>
  </si>
  <si>
    <t>pheA-thrR</t>
  </si>
  <si>
    <t>BSGatlas-terminator-1763</t>
  </si>
  <si>
    <t>pheA-thrR-obgE-spo0B</t>
  </si>
  <si>
    <t>BSGatlas-TSS-2263</t>
  </si>
  <si>
    <t>obgE-spo0B</t>
  </si>
  <si>
    <t>BSGatlas-terminator-1766</t>
  </si>
  <si>
    <t>BSGatlas-terminator-1767</t>
  </si>
  <si>
    <t>rpmA-rppA-rplU</t>
  </si>
  <si>
    <t>BSGatlas-TSS-2264</t>
  </si>
  <si>
    <t>rpmA-rppA-rplU-L21-leader_ldlU-spoIVFB-spoIVFA</t>
  </si>
  <si>
    <t>BSGatlas-TSS-2265</t>
  </si>
  <si>
    <t>spoIVFB-spoIVFA</t>
  </si>
  <si>
    <t>BSGatlas-terminator-1768</t>
  </si>
  <si>
    <t>minD-minC</t>
  </si>
  <si>
    <t>BSGatlas-terminator-1771</t>
  </si>
  <si>
    <t>minD-minC-mreD-mreC-mreB</t>
  </si>
  <si>
    <t>BSGatlas-TSS-2267</t>
  </si>
  <si>
    <t>minD-minC-mreD-mreC-mreB-ysxA-maf</t>
  </si>
  <si>
    <t>BSGatlas-TSS-2268</t>
  </si>
  <si>
    <t>BSGatlas-TSS-2269</t>
  </si>
  <si>
    <t>BSGatlas-terminator-1772</t>
  </si>
  <si>
    <t>ysxA-maf</t>
  </si>
  <si>
    <t>BSGatlas-TSS-2270</t>
  </si>
  <si>
    <t>BSGatlas-terminator-1773</t>
  </si>
  <si>
    <t>BSGatlas-TSS-2271</t>
  </si>
  <si>
    <t>BSGatlas-terminator-1774</t>
  </si>
  <si>
    <t>folC-valS</t>
  </si>
  <si>
    <t>BSGatlas-TSS-2272</t>
  </si>
  <si>
    <t>BSGatlas-terminator-1775</t>
  </si>
  <si>
    <t>BSGatlas-TSS-2274</t>
  </si>
  <si>
    <t>BSGatlas-terminator-1776</t>
  </si>
  <si>
    <t>BSGatlas-terminator-1777</t>
  </si>
  <si>
    <t>BSGatlas-TSS-2273</t>
  </si>
  <si>
    <t>cotN-spoVID</t>
  </si>
  <si>
    <t>BSGatlas-TSS-2277</t>
  </si>
  <si>
    <t>BSGatlas-terminator-1778</t>
  </si>
  <si>
    <t>hemL-hemB-hemD-hemC-hemX-hemA</t>
  </si>
  <si>
    <t>BSGatlas-TSS-2278</t>
  </si>
  <si>
    <t>BSGatlas-terminator-1779</t>
  </si>
  <si>
    <t>BSGatlas-TSS-2280</t>
  </si>
  <si>
    <t>BSGatlas-TSS-2281</t>
  </si>
  <si>
    <t>BSGatlas-TSS-2282</t>
  </si>
  <si>
    <t>BSGatlas-TSS-2279</t>
  </si>
  <si>
    <t>BSGatlas-terminator-1781</t>
  </si>
  <si>
    <t>engB-lonA</t>
  </si>
  <si>
    <t>BSGatlas-TSS-2283</t>
  </si>
  <si>
    <t>BSGatlas-terminator-1780</t>
  </si>
  <si>
    <t>BSGatlas-TSS-2284</t>
  </si>
  <si>
    <t>BSGatlas-TSS-2285</t>
  </si>
  <si>
    <t>BSGatlas-terminator-1782</t>
  </si>
  <si>
    <t>BSGatlas-TSS-2286</t>
  </si>
  <si>
    <t>BSGatlas-terminator-1783</t>
  </si>
  <si>
    <t>BSGatlas-TSS-2287</t>
  </si>
  <si>
    <t>BSGatlas-terminator-1784</t>
  </si>
  <si>
    <t>BSGatlas-terminator-1785</t>
  </si>
  <si>
    <t>BSGatlas-TSS-2288</t>
  </si>
  <si>
    <t>leuD-leuC-leuB-leuA-ilvC-ilvH-ilvB</t>
  </si>
  <si>
    <t>BSGatlas-TSS-2292</t>
  </si>
  <si>
    <t>BSGatlas-terminator-1786</t>
  </si>
  <si>
    <t>BSGatlas-TSS-2293</t>
  </si>
  <si>
    <t>BSGatlas-TSS-2289</t>
  </si>
  <si>
    <t>BSGatlas-TSS-2290</t>
  </si>
  <si>
    <t>ilvC-ilvH-ilvB</t>
  </si>
  <si>
    <t>BSGatlas-terminator-1787</t>
  </si>
  <si>
    <t>BSGatlas-terminator-1788</t>
  </si>
  <si>
    <t>BSGatlas-terminator-1789</t>
  </si>
  <si>
    <t>BSGatlas-TSS-2294</t>
  </si>
  <si>
    <t>BSGatlas-terminator-1790</t>
  </si>
  <si>
    <t>BSGatlas-TSS-2295</t>
  </si>
  <si>
    <t>BSGatlas-terminator-1791</t>
  </si>
  <si>
    <t>BSGatlas-TSS-2296</t>
  </si>
  <si>
    <t>BSGatlas-terminator-1792</t>
  </si>
  <si>
    <t>BSGatlas-terminator-1793</t>
  </si>
  <si>
    <t>BSGatlas-TSS-2297</t>
  </si>
  <si>
    <t>BSGatlas-terminator-1794</t>
  </si>
  <si>
    <t>BSGatlas-terminator-1795</t>
  </si>
  <si>
    <t>ysnB-rdgB-rph</t>
  </si>
  <si>
    <t>BSGatlas-TSS-2298</t>
  </si>
  <si>
    <t>BSGatlas-TSS-2299</t>
  </si>
  <si>
    <t>BSGatlas-terminator-1796</t>
  </si>
  <si>
    <t>BSGatlas-terminator-1797</t>
  </si>
  <si>
    <t>rcmE-ysmB</t>
  </si>
  <si>
    <t>BSGatlas-TSS-2300</t>
  </si>
  <si>
    <t>BSGatlas-terminator-1798</t>
  </si>
  <si>
    <t>BSGatlas-TSS-2302</t>
  </si>
  <si>
    <t>BSGatlas-terminator-1799</t>
  </si>
  <si>
    <t>sdhB-sdhA-sdhC</t>
  </si>
  <si>
    <t>BSGatlas-TSS-2304</t>
  </si>
  <si>
    <t>BSGatlas-terminator-1800</t>
  </si>
  <si>
    <t>BSGatlas-TSS-2303</t>
  </si>
  <si>
    <t>BSGatlas-terminator-1802</t>
  </si>
  <si>
    <t>BSGatlas-TSS-2305</t>
  </si>
  <si>
    <t>BSGatlas-TSS-2306</t>
  </si>
  <si>
    <t>BSGatlas-TSS-2307</t>
  </si>
  <si>
    <t>BSGatlas-terminator-1801</t>
  </si>
  <si>
    <t>lysCA-lysCB</t>
  </si>
  <si>
    <t>BSGatlas-terminator-1803</t>
  </si>
  <si>
    <t>BSGatlas-TSS-2308</t>
  </si>
  <si>
    <t>BSGatlas-TSS-2309</t>
  </si>
  <si>
    <t>BSGatlas-terminator-1804</t>
  </si>
  <si>
    <t>BSGatlas-TSS-2310</t>
  </si>
  <si>
    <t>BSGatlas-TSS-2311</t>
  </si>
  <si>
    <t>BSGatlas-terminator-1805</t>
  </si>
  <si>
    <t>etfA-etfB-fadB-fadR</t>
  </si>
  <si>
    <t>BSGatlas-TSS-2312</t>
  </si>
  <si>
    <t>BSGatlas-terminator-1806</t>
  </si>
  <si>
    <t>etfA-etfB-fadB-fadR-lcfA</t>
  </si>
  <si>
    <t>BSGatlas-TSS-2313</t>
  </si>
  <si>
    <t>BSGatlas-terminator-1808</t>
  </si>
  <si>
    <t>yshE-mutSB-polX-yshB-zapA</t>
  </si>
  <si>
    <t>BSGatlas-TSS-2314</t>
  </si>
  <si>
    <t>BSGatlas-TSS-2316</t>
  </si>
  <si>
    <t>BSGatlas-terminator-1809</t>
  </si>
  <si>
    <t>BSGatlas-terminator-1810</t>
  </si>
  <si>
    <t>BSGatlas-terminator-1811</t>
  </si>
  <si>
    <t>yshB-zapA</t>
  </si>
  <si>
    <t>BSGatlas-TSS-2315</t>
  </si>
  <si>
    <t>BSGatlas-terminator-1813</t>
  </si>
  <si>
    <t>BSGatlas-terminator-1812</t>
  </si>
  <si>
    <t>pheT-pheS</t>
  </si>
  <si>
    <t>BSGatlas-TSS-2318</t>
  </si>
  <si>
    <t>BSGatlas-terminator-1814</t>
  </si>
  <si>
    <t>BSGatlas-TSS-2317</t>
  </si>
  <si>
    <t>BSGatlas-TSS-2319</t>
  </si>
  <si>
    <t>BSGatlas-TSS-2320</t>
  </si>
  <si>
    <t>BSGatlas-terminator-1815</t>
  </si>
  <si>
    <t>BSGatlas-TSS-2321</t>
  </si>
  <si>
    <t>BSGatlas-TSS-2324</t>
  </si>
  <si>
    <t>BSGatlas-TSS-2322</t>
  </si>
  <si>
    <t>glcD-glcF</t>
  </si>
  <si>
    <t>BSGatlas-TSS-2323</t>
  </si>
  <si>
    <t>BSGatlas-terminator-1817</t>
  </si>
  <si>
    <t>BSGatlas-terminator-1816</t>
  </si>
  <si>
    <t>ysfE-unnamed_gene</t>
  </si>
  <si>
    <t>BSGatlas-TSS-2325</t>
  </si>
  <si>
    <t>ysfE-unnamed_gene-cstA</t>
  </si>
  <si>
    <t>BSGatlas-TSS-2326</t>
  </si>
  <si>
    <t>BSGatlas-TSS-2327</t>
  </si>
  <si>
    <t>BSGatlas-terminator-1819</t>
  </si>
  <si>
    <t>abfA-araQ-araP-araN-egsA-araL-araD-araB-araA</t>
  </si>
  <si>
    <t>BSGatlas-TSS-2328</t>
  </si>
  <si>
    <t>araQ-araP-araN-egsA-araL-araD-araB-araA</t>
  </si>
  <si>
    <t>BSGatlas-terminator-1820</t>
  </si>
  <si>
    <t>BSGatlas-TSS-2329</t>
  </si>
  <si>
    <t>BSGatlas-terminator-1821</t>
  </si>
  <si>
    <t>BSGatlas-TSS-2330</t>
  </si>
  <si>
    <t>BSGatlas-terminator-1822</t>
  </si>
  <si>
    <t>BSGatlas-TSS-2331</t>
  </si>
  <si>
    <t>BSGatlas-terminator-1824</t>
  </si>
  <si>
    <t>BSGatlas-terminator-1826</t>
  </si>
  <si>
    <t>ysdA-rplT-rpmI-infC</t>
  </si>
  <si>
    <t>BSGatlas-TSS-2332</t>
  </si>
  <si>
    <t>BSGatlas-terminator-1823</t>
  </si>
  <si>
    <t>BSGatlas-TSS-2333</t>
  </si>
  <si>
    <t>rplT-rpmI-infC</t>
  </si>
  <si>
    <t>BSGatlas-terminator-1825</t>
  </si>
  <si>
    <t>BSGatlas-terminator-1827</t>
  </si>
  <si>
    <t>BSGatlas-terminator-1828</t>
  </si>
  <si>
    <t>BSGatlas-TSS-2334</t>
  </si>
  <si>
    <t>BSGatlas-terminator-1829</t>
  </si>
  <si>
    <t>BSGatlas-terminator-1831</t>
  </si>
  <si>
    <t>BSGatlas-terminator-1830</t>
  </si>
  <si>
    <t>pftB-pftA</t>
  </si>
  <si>
    <t>BSGatlas-TSS-2335</t>
  </si>
  <si>
    <t>BSGatlas-terminator-1832</t>
  </si>
  <si>
    <t>lytT-lytS</t>
  </si>
  <si>
    <t>BSGatlas-TSS-2336</t>
  </si>
  <si>
    <t>BSGatlas-TSS-2337</t>
  </si>
  <si>
    <t>BSGatlas-terminator-1834</t>
  </si>
  <si>
    <t>BSGatlas-TSS-2338</t>
  </si>
  <si>
    <t>BSGatlas-terminator-1833</t>
  </si>
  <si>
    <t>BSGatlas-TSS-2339</t>
  </si>
  <si>
    <t>thrS-tboT-ytxC</t>
  </si>
  <si>
    <t>BSGatlas-TSS-2340</t>
  </si>
  <si>
    <t>thrS-tboT-ytxC-ytxB-dnaI-dnaB</t>
  </si>
  <si>
    <t>BSGatlas-TSS-2341</t>
  </si>
  <si>
    <t>tboT-ytxC</t>
  </si>
  <si>
    <t>BSGatlas-terminator-1835</t>
  </si>
  <si>
    <t>tboT-ytxC-ytxB-dnaI-dnaB</t>
  </si>
  <si>
    <t>BSGatlas-terminator-1836</t>
  </si>
  <si>
    <t>BSGatlas-TSS-2342</t>
  </si>
  <si>
    <t>BSGatlas-terminator-1837</t>
  </si>
  <si>
    <t>BSGatlas-TSS-2343</t>
  </si>
  <si>
    <t>BSGatlas-terminator-1838</t>
  </si>
  <si>
    <t>BSGatlas-TSS-2345</t>
  </si>
  <si>
    <t>speD-gapB</t>
  </si>
  <si>
    <t>BSGatlas-TSS-2346</t>
  </si>
  <si>
    <t>BSGatlas-TSS-2347</t>
  </si>
  <si>
    <t>ytbD-ytbE</t>
  </si>
  <si>
    <t>BSGatlas-TSS-2344</t>
  </si>
  <si>
    <t>BSGatlas-terminator-1840</t>
  </si>
  <si>
    <t>BSGatlas-TSS-2349</t>
  </si>
  <si>
    <t>BSGatlas-terminator-1839</t>
  </si>
  <si>
    <t>BSGatlas-TSS-2350</t>
  </si>
  <si>
    <t>BSGatlas-TSS-2348</t>
  </si>
  <si>
    <t>BSGatlas-TSS-2351</t>
  </si>
  <si>
    <t>BSGatlas-terminator-1841</t>
  </si>
  <si>
    <t>coaE-spcF-mutM-polA</t>
  </si>
  <si>
    <t>BSGatlas-TSS-2352</t>
  </si>
  <si>
    <t>phoR-phoP</t>
  </si>
  <si>
    <t>BSGatlas-TSS-2353</t>
  </si>
  <si>
    <t>BSGatlas-terminator-1842</t>
  </si>
  <si>
    <t>BSGatlas-TSS-2354</t>
  </si>
  <si>
    <t>BSGatlas-TSS-2355</t>
  </si>
  <si>
    <t>BSGatlas-TSS-2356</t>
  </si>
  <si>
    <t>BSGatlas-TSS-2357</t>
  </si>
  <si>
    <t>BSGatlas-TSS-2358</t>
  </si>
  <si>
    <t>mdh-icd</t>
  </si>
  <si>
    <t>BSGatlas-TSS-2359</t>
  </si>
  <si>
    <t>BSGatlas-terminator-1843</t>
  </si>
  <si>
    <t>BSGatlas-TSS-2360</t>
  </si>
  <si>
    <t>mdh-icd-citZ</t>
  </si>
  <si>
    <t>BSGatlas-TSS-2363</t>
  </si>
  <si>
    <t>BSGatlas-terminator-1844</t>
  </si>
  <si>
    <t>BSGatlas-TSS-2361</t>
  </si>
  <si>
    <t>BSGatlas-terminator-1848</t>
  </si>
  <si>
    <t>BSGatlas-terminator-1850</t>
  </si>
  <si>
    <t>BSGatlas-TSS-2362</t>
  </si>
  <si>
    <t>BSGatlas-TSS-2364</t>
  </si>
  <si>
    <t>BSGatlas-terminator-1847</t>
  </si>
  <si>
    <t>BSGatlas-TSS-2365</t>
  </si>
  <si>
    <t>ytzA-pyk-pfkA</t>
  </si>
  <si>
    <t>BSGatlas-TSS-2366</t>
  </si>
  <si>
    <t>BSGatlas-terminator-1849</t>
  </si>
  <si>
    <t>pyk-pfkA</t>
  </si>
  <si>
    <t>BSGatlas-terminator-1851</t>
  </si>
  <si>
    <t>BSGatlas-terminator-1852</t>
  </si>
  <si>
    <t>accA-accD</t>
  </si>
  <si>
    <t>BSGatlas-TSS-2368</t>
  </si>
  <si>
    <t>BSGatlas-terminator-1853</t>
  </si>
  <si>
    <t>BSGatlas-TSS-2367</t>
  </si>
  <si>
    <t>BSGatlas-terminator-1854</t>
  </si>
  <si>
    <t>maeB-S1109</t>
  </si>
  <si>
    <t>BSGatlas-TSS-2369</t>
  </si>
  <si>
    <t>BSGatlas-TSS-2371</t>
  </si>
  <si>
    <t>maeB-S1109-dnaEC</t>
  </si>
  <si>
    <t>BSGatlas-TSS-2372</t>
  </si>
  <si>
    <t>ytrH-ytrI</t>
  </si>
  <si>
    <t>BSGatlas-TSS-2373</t>
  </si>
  <si>
    <t>BSGatlas-TSS-2374</t>
  </si>
  <si>
    <t>BSGatlas-terminator-1856</t>
  </si>
  <si>
    <t>BSGatlas-TSS-2377</t>
  </si>
  <si>
    <t>BSGatlas-terminator-1855</t>
  </si>
  <si>
    <t>BSGatlas-terminator-1857</t>
  </si>
  <si>
    <t>BSGatlas-TSS-2375</t>
  </si>
  <si>
    <t>BSGatlas-terminator-1859</t>
  </si>
  <si>
    <t>BSGatlas-TSS-2376</t>
  </si>
  <si>
    <t>BSGatlas-TSS-2378</t>
  </si>
  <si>
    <t>ytnM-sndA-ribR-cmoJ-cmoI-cmoO-tcyN-tcyM-tcyL-tcyK-tcyJ-snaA</t>
  </si>
  <si>
    <t>BSGatlas-TSS-2380</t>
  </si>
  <si>
    <t>BSGatlas-terminator-1858</t>
  </si>
  <si>
    <t>BSGatlas-TSS-2381</t>
  </si>
  <si>
    <t>BSGatlas-TSS-2382</t>
  </si>
  <si>
    <t>BSGatlas-terminator-1862</t>
  </si>
  <si>
    <t>BSGatlas-TSS-2383</t>
  </si>
  <si>
    <t>BSGatlas-terminator-1860</t>
  </si>
  <si>
    <t>ytkL-ytkK</t>
  </si>
  <si>
    <t>BSGatlas-TSS-2384</t>
  </si>
  <si>
    <t>BSGatlas-terminator-1861</t>
  </si>
  <si>
    <t>argH-argG</t>
  </si>
  <si>
    <t>BSGatlas-TSS-2385</t>
  </si>
  <si>
    <t>BSGatlas-terminator-1863</t>
  </si>
  <si>
    <t>BSGatlas-TSS-2386</t>
  </si>
  <si>
    <t>BSGatlas-terminator-1864</t>
  </si>
  <si>
    <t>BSGatlas-terminator-1865</t>
  </si>
  <si>
    <t>BSGatlas-TSS-2387</t>
  </si>
  <si>
    <t>BSGatlas-terminator-1866</t>
  </si>
  <si>
    <t>BSGatlas-TSS-2388</t>
  </si>
  <si>
    <t>BSGatlas-terminator-1867</t>
  </si>
  <si>
    <t>ytxK-tpx</t>
  </si>
  <si>
    <t>BSGatlas-TSS-2390</t>
  </si>
  <si>
    <t>BSGatlas-terminator-1868</t>
  </si>
  <si>
    <t>BSGatlas-terminator-1869</t>
  </si>
  <si>
    <t>BSGatlas-TSS-2391</t>
  </si>
  <si>
    <t>BSGatlas-terminator-1871</t>
  </si>
  <si>
    <t>gerW-ytfI</t>
  </si>
  <si>
    <t>BSGatlas-TSS-2392</t>
  </si>
  <si>
    <t>BSGatlas-terminator-1872</t>
  </si>
  <si>
    <t>yteJ-sppA</t>
  </si>
  <si>
    <t>BSGatlas-TSS-2393</t>
  </si>
  <si>
    <t>BSGatlas-terminator-1873</t>
  </si>
  <si>
    <t>BSGatlas-TSS-2395</t>
  </si>
  <si>
    <t>BSGatlas-terminator-1874</t>
  </si>
  <si>
    <t>BSGatlas-TSS-2394</t>
  </si>
  <si>
    <t>BSGatlas-terminator-1875</t>
  </si>
  <si>
    <t>BSGatlas-terminator-1876</t>
  </si>
  <si>
    <t>BSGatlas-terminator-1877</t>
  </si>
  <si>
    <t>ytcJ-ytcI</t>
  </si>
  <si>
    <t>BSGatlas-TSS-2396</t>
  </si>
  <si>
    <t>BSGatlas-TSS-2398</t>
  </si>
  <si>
    <t>BSGatlas-terminator-1878</t>
  </si>
  <si>
    <t>sspA-trmG-iscSB</t>
  </si>
  <si>
    <t>BSGatlas-TSS-2400</t>
  </si>
  <si>
    <t>BSGatlas-TSS-2399</t>
  </si>
  <si>
    <t>BSGatlas-terminator-1879</t>
  </si>
  <si>
    <t>BSGatlas-terminator-1880</t>
  </si>
  <si>
    <t>BSGatlas-TSS-2401</t>
  </si>
  <si>
    <t>BSGatlas-terminator-1881</t>
  </si>
  <si>
    <t>BSGatlas-TSS-2402</t>
  </si>
  <si>
    <t>BSGatlas-TSS-2404</t>
  </si>
  <si>
    <t>BSGatlas-TSS-2403</t>
  </si>
  <si>
    <t>hisK-msrC</t>
  </si>
  <si>
    <t>BSGatlas-terminator-1883</t>
  </si>
  <si>
    <t>BSGatlas-terminator-1885</t>
  </si>
  <si>
    <t>BSGatlas-TSS-2408</t>
  </si>
  <si>
    <t>BSGatlas-terminator-1882</t>
  </si>
  <si>
    <t>BSGatlas-TSS-2405</t>
  </si>
  <si>
    <t>BSGatlas-TSS-2406</t>
  </si>
  <si>
    <t>BSGatlas-TSS-2407</t>
  </si>
  <si>
    <t>BSGatlas-TSS-2410</t>
  </si>
  <si>
    <t>BSGatlas-terminator-1884</t>
  </si>
  <si>
    <t>BSGatlas-TSS-2409</t>
  </si>
  <si>
    <t>BSGatlas-terminator-1887</t>
  </si>
  <si>
    <t>BSGatlas-terminator-1889</t>
  </si>
  <si>
    <t>BSGatlas-TSS-2412</t>
  </si>
  <si>
    <t>BSGatlas-terminator-1886</t>
  </si>
  <si>
    <t>BSGatlas-TSS-2411</t>
  </si>
  <si>
    <t>BSGatlas-terminator-1888</t>
  </si>
  <si>
    <t>BSGatlas-terminator-1890</t>
  </si>
  <si>
    <t>BSGatlas-TSS-2413</t>
  </si>
  <si>
    <t>BSGatlas-terminator-1891</t>
  </si>
  <si>
    <t>tyrS-T-box_tboY-ytzK</t>
  </si>
  <si>
    <t>tyrS-T-box_tboY-ytzK-acsA</t>
  </si>
  <si>
    <t>BSGatlas-TSS-2414</t>
  </si>
  <si>
    <t>BSGatlas-terminator-1892</t>
  </si>
  <si>
    <t>T-box_tboY-ytzK-acsA</t>
  </si>
  <si>
    <t>BSGatlas-terminator-1893</t>
  </si>
  <si>
    <t>ytzK-acsA</t>
  </si>
  <si>
    <t>acuA-acuB-acuC</t>
  </si>
  <si>
    <t>BSGatlas-TSS-2415</t>
  </si>
  <si>
    <t>BSGatlas-terminator-1895</t>
  </si>
  <si>
    <t>BSGatlas-TSS-2416</t>
  </si>
  <si>
    <t>BSGatlas-TSS-2417</t>
  </si>
  <si>
    <t>motS-motP-ccpA</t>
  </si>
  <si>
    <t>BSGatlas-TSS-2418</t>
  </si>
  <si>
    <t>BSGatlas-terminator-1894</t>
  </si>
  <si>
    <t>BSGatlas-TSS-2419</t>
  </si>
  <si>
    <t>BSGatlas-terminator-1896</t>
  </si>
  <si>
    <t>BSGatlas-terminator-1897</t>
  </si>
  <si>
    <t>BSGatlas-TSS-2420</t>
  </si>
  <si>
    <t>BSGatlas-terminator-1898</t>
  </si>
  <si>
    <t>BSGatlas-TSS-2421</t>
  </si>
  <si>
    <t>brxJ-ytxH-ytxG</t>
  </si>
  <si>
    <t>BSGatlas-TSS-2422</t>
  </si>
  <si>
    <t>BSGatlas-terminator-1900</t>
  </si>
  <si>
    <t>BSGatlas-TSS-2423</t>
  </si>
  <si>
    <t>BSGatlas-TSS-2424</t>
  </si>
  <si>
    <t>BSGatlas-terminator-1901</t>
  </si>
  <si>
    <t>BSGatlas-TSS-2425</t>
  </si>
  <si>
    <t>murC-sftA</t>
  </si>
  <si>
    <t>BSGatlas-TSS-2426</t>
  </si>
  <si>
    <t>ytpR-ytpQ-ytpP</t>
  </si>
  <si>
    <t>BSGatlas-TSS-2427</t>
  </si>
  <si>
    <t>BSGatlas-terminator-1902</t>
  </si>
  <si>
    <t>BSGatlas-TSS-2428</t>
  </si>
  <si>
    <t>BSGatlas-TSS-2429</t>
  </si>
  <si>
    <t>BSGatlas-terminator-1904</t>
  </si>
  <si>
    <t>BSGatlas-TSS-2430</t>
  </si>
  <si>
    <t>BSGatlas-terminator-1903</t>
  </si>
  <si>
    <t>BSGatlas-TSS-2431</t>
  </si>
  <si>
    <t>BSGatlas-terminator-1905</t>
  </si>
  <si>
    <t>BSGatlas-TSS-2432</t>
  </si>
  <si>
    <t>BSGatlas-terminator-1906</t>
  </si>
  <si>
    <t>maeC-ytnP</t>
  </si>
  <si>
    <t>BSGatlas-TSS-2433</t>
  </si>
  <si>
    <t>BSGatlas-terminator-1907</t>
  </si>
  <si>
    <t>BSGatlas-TSS-2434</t>
  </si>
  <si>
    <t>BSGatlas-terminator-1908</t>
  </si>
  <si>
    <t>BSGatlas-terminator-1909</t>
  </si>
  <si>
    <t>BSGatlas-TSS-2435</t>
  </si>
  <si>
    <t>BSGatlas-terminator-1910</t>
  </si>
  <si>
    <t>BSGatlas-TSS-2436</t>
  </si>
  <si>
    <t>BSGatlas-terminator-1911</t>
  </si>
  <si>
    <t>amyX-ytlR-ytlQ</t>
  </si>
  <si>
    <t>BSGatlas-TSS-2437</t>
  </si>
  <si>
    <t>amyX-ytlR-ytlQ-ytlP</t>
  </si>
  <si>
    <t>BSGatlas-TSS-2439</t>
  </si>
  <si>
    <t>BSGatlas-TSS-2441</t>
  </si>
  <si>
    <t>BSGatlas-TSS-2438</t>
  </si>
  <si>
    <t>BSGatlas-terminator-1912</t>
  </si>
  <si>
    <t>BSGatlas-TSS-2440</t>
  </si>
  <si>
    <t>BSGatlas-TSS-2443</t>
  </si>
  <si>
    <t>BSGatlas-terminator-1913</t>
  </si>
  <si>
    <t>BSGatlas-TSS-2442</t>
  </si>
  <si>
    <t>BSGatlas-terminator-1914</t>
  </si>
  <si>
    <t>BSGatlas-terminator-1915</t>
  </si>
  <si>
    <t>ythQ-ythP</t>
  </si>
  <si>
    <t>BSGatlas-TSS-2445</t>
  </si>
  <si>
    <t>BSGatlas-terminator-1916</t>
  </si>
  <si>
    <t>BSGatlas-terminator-1917</t>
  </si>
  <si>
    <t>BSGatlas-TSS-2444</t>
  </si>
  <si>
    <t>BSGatlas-TSS-2446</t>
  </si>
  <si>
    <t>BSGatlas-TSS-2447</t>
  </si>
  <si>
    <t>BSGatlas-terminator-1918</t>
  </si>
  <si>
    <t>BSGatlas-terminator-1919</t>
  </si>
  <si>
    <t>rsuA-murJ</t>
  </si>
  <si>
    <t>BSGatlas-TSS-2448</t>
  </si>
  <si>
    <t>BSGatlas-terminator-1920</t>
  </si>
  <si>
    <t>BSGatlas-terminator-1921</t>
  </si>
  <si>
    <t>ytfP-opuD</t>
  </si>
  <si>
    <t>BSGatlas-TSS-2449</t>
  </si>
  <si>
    <t>BSGatlas-terminator-1922</t>
  </si>
  <si>
    <t>BSGatlas-terminator-1924</t>
  </si>
  <si>
    <t>BSGatlas-TSS-2450</t>
  </si>
  <si>
    <t>BSGatlas-TSS-2451</t>
  </si>
  <si>
    <t>BSGatlas-terminator-1923</t>
  </si>
  <si>
    <t>yteV-rmgU-rmgT-rmgS-rmgQ-rmgP</t>
  </si>
  <si>
    <t>BSGatlas-TSS-2452</t>
  </si>
  <si>
    <t>BSGatlas-TSS-2453</t>
  </si>
  <si>
    <t>BSGatlas-terminator-1925</t>
  </si>
  <si>
    <t>BSGatlas-terminator-1926</t>
  </si>
  <si>
    <t>ytcQ-ytcP</t>
  </si>
  <si>
    <t>BSGatlas-TSS-2454</t>
  </si>
  <si>
    <t>ytbQ-bioI-bioB-bioD-bioFC-bioK-bioW</t>
  </si>
  <si>
    <t>BSGatlas-TSS-2457</t>
  </si>
  <si>
    <t>BSGatlas-terminator-1927</t>
  </si>
  <si>
    <t>bioB-bioD-bioFC-bioK-bioW</t>
  </si>
  <si>
    <t>BSGatlas-terminator-1928</t>
  </si>
  <si>
    <t>BSGatlas-TSS-2458</t>
  </si>
  <si>
    <t>BSGatlas-terminator-1929</t>
  </si>
  <si>
    <t>msmR-msmE-msmF-msmG-melA</t>
  </si>
  <si>
    <t>BSGatlas-TSS-2459</t>
  </si>
  <si>
    <t>BSGatlas-terminator-1930</t>
  </si>
  <si>
    <t>BSGatlas-terminator-1932</t>
  </si>
  <si>
    <t>msmE-msmF-msmG-melA</t>
  </si>
  <si>
    <t>BSGatlas-TSS-2460</t>
  </si>
  <si>
    <t>BSGatlas-TSS-2461</t>
  </si>
  <si>
    <t>BSGatlas-TSS-2462</t>
  </si>
  <si>
    <t>BSGatlas-terminator-1931</t>
  </si>
  <si>
    <t>BSGatlas-TSS-2463</t>
  </si>
  <si>
    <t>BSGatlas-terminator-1933</t>
  </si>
  <si>
    <t>BSGatlas-terminator-1934</t>
  </si>
  <si>
    <t>BSGatlas-TSS-2464</t>
  </si>
  <si>
    <t>BSGatlas-TSS-2465</t>
  </si>
  <si>
    <t>BSGatlas-TSS-2466</t>
  </si>
  <si>
    <t>BSGatlas-terminator-1935</t>
  </si>
  <si>
    <t>BSGatlas-TSS-2467</t>
  </si>
  <si>
    <t>BSGatlas-terminator-1936</t>
  </si>
  <si>
    <t>BSGatlas-TSS-2468</t>
  </si>
  <si>
    <t>BSGatlas-terminator-1937</t>
  </si>
  <si>
    <t>BSGatlas-terminator-1939</t>
  </si>
  <si>
    <t>BSGatlas-terminator-1938</t>
  </si>
  <si>
    <t>bceB-bceA</t>
  </si>
  <si>
    <t>BSGatlas-TSS-2469</t>
  </si>
  <si>
    <t>bceS-bceR</t>
  </si>
  <si>
    <t>BSGatlas-TSS-2470</t>
  </si>
  <si>
    <t>BSGatlas-terminator-1940</t>
  </si>
  <si>
    <t>ytrF-ytrE-ytrD-ytrC-ytrB-ytrA</t>
  </si>
  <si>
    <t>BSGatlas-terminator-1941</t>
  </si>
  <si>
    <t>ytrF-ytrE-ytrD-ytrC-ytrB-ytrA-unnamed_gene</t>
  </si>
  <si>
    <t>BSGatlas-TSS-2472</t>
  </si>
  <si>
    <t>BSGatlas-terminator-1942</t>
  </si>
  <si>
    <t>BSGatlas-TSS-2473</t>
  </si>
  <si>
    <t>BSGatlas-terminator-1944</t>
  </si>
  <si>
    <t>ytqA-ytqB</t>
  </si>
  <si>
    <t>BSGatlas-TSS-2474</t>
  </si>
  <si>
    <t>BSGatlas-terminator-1945</t>
  </si>
  <si>
    <t>BSGatlas-TSS-2475</t>
  </si>
  <si>
    <t>BSGatlas-terminator-1946</t>
  </si>
  <si>
    <t>tbcS-ytpA</t>
  </si>
  <si>
    <t>BSGatlas-TSS-2477</t>
  </si>
  <si>
    <t>BSGatlas-TSS-2478</t>
  </si>
  <si>
    <t>BSGatlas-TSS-2476</t>
  </si>
  <si>
    <t>ytnA-asnB</t>
  </si>
  <si>
    <t>BSGatlas-terminator-1947</t>
  </si>
  <si>
    <t>BSGatlas-TSS-2480</t>
  </si>
  <si>
    <t>BSGatlas-terminator-1948</t>
  </si>
  <si>
    <t>BSGatlas-TSS-2481</t>
  </si>
  <si>
    <t>BSGatlas-TSS-2482</t>
  </si>
  <si>
    <t>BSGatlas-terminator-1951</t>
  </si>
  <si>
    <t>BSGatlas-terminator-1950</t>
  </si>
  <si>
    <t>BSGatlas-TSS-2483</t>
  </si>
  <si>
    <t>ytlA-ytlC-ytlD</t>
  </si>
  <si>
    <t>BSGatlas-TSS-2484</t>
  </si>
  <si>
    <t>BSGatlas-terminator-1953</t>
  </si>
  <si>
    <t>BSGatlas-TSS-2485</t>
  </si>
  <si>
    <t>BSGatlas-terminator-1952</t>
  </si>
  <si>
    <t>BSGatlas-TSS-2486</t>
  </si>
  <si>
    <t>BSGatlas-TSS-2487</t>
  </si>
  <si>
    <t>BSGatlas-terminator-1954</t>
  </si>
  <si>
    <t>BSGatlas-TSS-2488</t>
  </si>
  <si>
    <t>BSGatlas-TSS-2489</t>
  </si>
  <si>
    <t>BSGatlas-terminator-1955</t>
  </si>
  <si>
    <t>BSGatlas-TSS-2490</t>
  </si>
  <si>
    <t>dps-ytkA</t>
  </si>
  <si>
    <t>BSGatlas-TSS-2492</t>
  </si>
  <si>
    <t>BSGatlas-terminator-1956</t>
  </si>
  <si>
    <t>BSGatlas-TSS-2491</t>
  </si>
  <si>
    <t>BSGatlas-terminator-1957</t>
  </si>
  <si>
    <t>BSGatlas-terminator-1958</t>
  </si>
  <si>
    <t>luxS-ytiB</t>
  </si>
  <si>
    <t>BSGatlas-TSS-2494</t>
  </si>
  <si>
    <t>BSGatlas-terminator-1959</t>
  </si>
  <si>
    <t>BSGatlas-TSS-2493</t>
  </si>
  <si>
    <t>BSGatlas-TSS-2495</t>
  </si>
  <si>
    <t>BSGatlas-terminator-1960</t>
  </si>
  <si>
    <t>BSGatlas-TSS-2496</t>
  </si>
  <si>
    <t>ythA-ythB-ytzL</t>
  </si>
  <si>
    <t>BSGatlas-TSS-2497</t>
  </si>
  <si>
    <t>BSGatlas-terminator-1962</t>
  </si>
  <si>
    <t>BSGatlas-TSS-2498</t>
  </si>
  <si>
    <t>mntD-mntC-mntB-mntA</t>
  </si>
  <si>
    <t>BSGatlas-TSS-2499</t>
  </si>
  <si>
    <t>BSGatlas-terminator-1961</t>
  </si>
  <si>
    <t>BSGatlas-TSS-2501</t>
  </si>
  <si>
    <t>BSGatlas-TSS-2502</t>
  </si>
  <si>
    <t>BSGatlas-terminator-1963</t>
  </si>
  <si>
    <t>menC-menE</t>
  </si>
  <si>
    <t>BSGatlas-TSS-2503</t>
  </si>
  <si>
    <t>BSGatlas-terminator-1964</t>
  </si>
  <si>
    <t>BSGatlas-TSS-2504</t>
  </si>
  <si>
    <t>menC-menE-menB</t>
  </si>
  <si>
    <t>BSGatlas-TSS-2505</t>
  </si>
  <si>
    <t>BSGatlas-TSS-2506</t>
  </si>
  <si>
    <t>BSGatlas-TSS-2507</t>
  </si>
  <si>
    <t>menC-menE-menB-menH-menD-menF</t>
  </si>
  <si>
    <t>BSGatlas-TSS-2508</t>
  </si>
  <si>
    <t>BSGatlas-TSS-2510</t>
  </si>
  <si>
    <t>BSGatlas-terminator-1965</t>
  </si>
  <si>
    <t>BSGatlas-terminator-1966</t>
  </si>
  <si>
    <t>menB-menH-menD-menF</t>
  </si>
  <si>
    <t>BSGatlas-TSS-2509</t>
  </si>
  <si>
    <t>BSGatlas-terminator-1968</t>
  </si>
  <si>
    <t>BSGatlas-TSS-2511</t>
  </si>
  <si>
    <t>BSGatlas-terminator-1967</t>
  </si>
  <si>
    <t>ytcA-ytcB-ytcC</t>
  </si>
  <si>
    <t>BSGatlas-TSS-2512</t>
  </si>
  <si>
    <t>BSGatlas-terminator-1970</t>
  </si>
  <si>
    <t>BSGatlas-terminator-1972</t>
  </si>
  <si>
    <t>cotOO-cotS-cotSA</t>
  </si>
  <si>
    <t>BSGatlas-TSS-2513</t>
  </si>
  <si>
    <t>BSGatlas-terminator-1969</t>
  </si>
  <si>
    <t>BSGatlas-terminator-1971</t>
  </si>
  <si>
    <t>BSGatlas-TSS-2514</t>
  </si>
  <si>
    <t>BSGatlas-terminator-1973</t>
  </si>
  <si>
    <t>BSGatlas-TSS-2515</t>
  </si>
  <si>
    <t>BSGatlas-TSS-2516</t>
  </si>
  <si>
    <t>BSGatlas-terminator-1974</t>
  </si>
  <si>
    <t>BSGatlas-terminator-1976</t>
  </si>
  <si>
    <t>glgP-glgA-glgD-glgC-glgB</t>
  </si>
  <si>
    <t>BSGatlas-TSS-2517</t>
  </si>
  <si>
    <t>BSGatlas-terminator-1975</t>
  </si>
  <si>
    <t>BSGatlas-TSS-2518</t>
  </si>
  <si>
    <t>trnB-Glu-trnB-Ser2-trnB-Asn-trnB-Ile2-trnB-Gly2-trnB-His-trnB-Phe-trnB-Asp-trnB-Met2-trnB-Ser1-trnB-Met3-trnB-Met1-trnB-Ala-trnB-Pro-trnB-Arg-trnB-Leu2-trnB-Gly1-trnB-Leu1-trnB-Lys-trnB-Thr-trnB-Val-5S-rRNA_rrnB-5S-LSU-rRNA-eukarya_rrnB-23S-SSU-rRNA-bacteria_rrnB-16S</t>
  </si>
  <si>
    <t>BSGatlas-TSS-2520</t>
  </si>
  <si>
    <t>BSGatlas-terminator-1977</t>
  </si>
  <si>
    <t>BSGatlas-TSS-2521</t>
  </si>
  <si>
    <t>BSGatlas-terminator-1978</t>
  </si>
  <si>
    <t>BSGatlas-terminator-1979</t>
  </si>
  <si>
    <t>BSGatlas-terminator-1980</t>
  </si>
  <si>
    <t>BSGatlas-TSS-2519</t>
  </si>
  <si>
    <t>BSGatlas-terminator-1982</t>
  </si>
  <si>
    <t>BSGatlas-TSS-2522</t>
  </si>
  <si>
    <t>BSGatlas-terminator-1981</t>
  </si>
  <si>
    <t>yuaI-floT-nfeDB</t>
  </si>
  <si>
    <t>BSGatlas-TSS-2523</t>
  </si>
  <si>
    <t>BSGatlas-terminator-1983</t>
  </si>
  <si>
    <t>BSGatlas-TSS-2525</t>
  </si>
  <si>
    <t>BSGatlas-terminator-1984</t>
  </si>
  <si>
    <t>BSGatlas-TSS-2524</t>
  </si>
  <si>
    <t>BSGatlas-terminator-1985</t>
  </si>
  <si>
    <t>BSGatlas-terminator-1987</t>
  </si>
  <si>
    <t>BSGatlas-TSS-2526</t>
  </si>
  <si>
    <t>BSGatlas-terminator-1986</t>
  </si>
  <si>
    <t>BSGatlas-TSS-2527</t>
  </si>
  <si>
    <t>BSGatlas-terminator-1988</t>
  </si>
  <si>
    <t>gbsB-gbsA</t>
  </si>
  <si>
    <t>BSGatlas-TSS-2528</t>
  </si>
  <si>
    <t>BSGatlas-TSS-2529</t>
  </si>
  <si>
    <t>BSGatlas-terminator-1989</t>
  </si>
  <si>
    <t>BSGatlas-TSS-2530</t>
  </si>
  <si>
    <t>BSGatlas-terminator-1990</t>
  </si>
  <si>
    <t>ktrA-ktrB</t>
  </si>
  <si>
    <t>BSGatlas-TSS-2531</t>
  </si>
  <si>
    <t>BSGatlas-terminator-1992</t>
  </si>
  <si>
    <t>BSGatlas-terminator-1991</t>
  </si>
  <si>
    <t>BSGatlas-TSS-2532</t>
  </si>
  <si>
    <t>BSGatlas-terminator-1993</t>
  </si>
  <si>
    <t>yubF-lytG</t>
  </si>
  <si>
    <t>BSGatlas-TSS-2533</t>
  </si>
  <si>
    <t>BSGatlas-TSS-2535</t>
  </si>
  <si>
    <t>BSGatlas-terminator-1994</t>
  </si>
  <si>
    <t>BSGatlas-TSS-2534</t>
  </si>
  <si>
    <t>BSGatlas-terminator-1997</t>
  </si>
  <si>
    <t>BSGatlas-TSS-2536</t>
  </si>
  <si>
    <t>uppP-yubA</t>
  </si>
  <si>
    <t>BSGatlas-TSS-2539</t>
  </si>
  <si>
    <t>BSGatlas-terminator-1996</t>
  </si>
  <si>
    <t>BSGatlas-TSS-2537</t>
  </si>
  <si>
    <t>BSGatlas-terminator-1998</t>
  </si>
  <si>
    <t>BSGatlas-TSS-2538</t>
  </si>
  <si>
    <t>BSGatlas-terminator-1999</t>
  </si>
  <si>
    <t>BSGatlas-terminator-2000</t>
  </si>
  <si>
    <t>BSGatlas-TSS-2540</t>
  </si>
  <si>
    <t>rhaA-rhaM-rhaB-rhaR</t>
  </si>
  <si>
    <t>BSGatlas-TSS-2541</t>
  </si>
  <si>
    <t>BSGatlas-terminator-2001</t>
  </si>
  <si>
    <t>rhaA-rhaM-rhaB-rhaR-rhaE</t>
  </si>
  <si>
    <t>BSGatlas-TSS-2542</t>
  </si>
  <si>
    <t>BSGatlas-TSS-2543</t>
  </si>
  <si>
    <t>BSGatlas-terminator-2002</t>
  </si>
  <si>
    <t>BSGatlas-terminator-2003</t>
  </si>
  <si>
    <t>BSGatlas-TSS-2545</t>
  </si>
  <si>
    <t>BSGatlas-terminator-2004</t>
  </si>
  <si>
    <t>mcpA-tlpA</t>
  </si>
  <si>
    <t>BSGatlas-TSS-2546</t>
  </si>
  <si>
    <t>BSGatlas-TSS-2547</t>
  </si>
  <si>
    <t>BSGatlas-terminator-2006</t>
  </si>
  <si>
    <t>BSGatlas-TSS-2549</t>
  </si>
  <si>
    <t>BSGatlas-terminator-2007</t>
  </si>
  <si>
    <t>BSGatlas-TSS-2548</t>
  </si>
  <si>
    <t>BSGatlas-terminator-2008</t>
  </si>
  <si>
    <t>yuzH-yugU</t>
  </si>
  <si>
    <t>BSGatlas-terminator-2009</t>
  </si>
  <si>
    <t>BSGatlas-TSS-2550</t>
  </si>
  <si>
    <t>BSGatlas-TSS-2551</t>
  </si>
  <si>
    <t>BSGatlas-terminator-2010</t>
  </si>
  <si>
    <t>BSGatlas-TSS-2552</t>
  </si>
  <si>
    <t>BSGatlas-terminator-2012</t>
  </si>
  <si>
    <t>BSGatlas-TSS-2553</t>
  </si>
  <si>
    <t>BSGatlas-TSS-2554</t>
  </si>
  <si>
    <t>BSGatlas-terminator-2013</t>
  </si>
  <si>
    <t>yugP-yuzI</t>
  </si>
  <si>
    <t>BSGatlas-TSS-2555</t>
  </si>
  <si>
    <t>mstX-kbfO</t>
  </si>
  <si>
    <t>BSGatlas-TSS-2556</t>
  </si>
  <si>
    <t>yugN-yugM</t>
  </si>
  <si>
    <t>BSGatlas-TSS-2557</t>
  </si>
  <si>
    <t>BSGatlas-terminator-2014</t>
  </si>
  <si>
    <t>yugN-yugM-pgi</t>
  </si>
  <si>
    <t>BSGatlas-TSS-2558</t>
  </si>
  <si>
    <t>BSGatlas-TSS-2559</t>
  </si>
  <si>
    <t>BSGatlas-terminator-2015</t>
  </si>
  <si>
    <t>BSGatlas-TSS-2560</t>
  </si>
  <si>
    <t>BSGatlas-terminator-2016</t>
  </si>
  <si>
    <t>BSGatlas-TSS-2561</t>
  </si>
  <si>
    <t>BSGatlas-terminator-2017</t>
  </si>
  <si>
    <t>BSGatlas-TSS-2563</t>
  </si>
  <si>
    <t>BSGatlas-TSS-2562</t>
  </si>
  <si>
    <t>BSGatlas-terminator-2018</t>
  </si>
  <si>
    <t>BSGatlas-terminator-2020</t>
  </si>
  <si>
    <t>BSGatlas-TSS-2564</t>
  </si>
  <si>
    <t>BSGatlas-TSS-2565</t>
  </si>
  <si>
    <t>BSGatlas-terminator-2019</t>
  </si>
  <si>
    <t>BSGatlas-TSS-2566</t>
  </si>
  <si>
    <t>yugH-yugG</t>
  </si>
  <si>
    <t>BSGatlas-TSS-2568</t>
  </si>
  <si>
    <t>BSGatlas-TSS-2567</t>
  </si>
  <si>
    <t>BSGatlas-terminator-2021</t>
  </si>
  <si>
    <t>BSGatlas-terminator-2023</t>
  </si>
  <si>
    <t>BSGatlas-TSS-2569</t>
  </si>
  <si>
    <t>BSGatlas-TSS-2571</t>
  </si>
  <si>
    <t>BSGatlas-terminator-2022</t>
  </si>
  <si>
    <t>BSGatlas-TSS-2570</t>
  </si>
  <si>
    <t>BSGatlas-terminator-2024</t>
  </si>
  <si>
    <t>kinB-kapB</t>
  </si>
  <si>
    <t>BSGatlas-TSS-2572</t>
  </si>
  <si>
    <t>BSGatlas-terminator-2026</t>
  </si>
  <si>
    <t>BSGatlas-TSS-2574</t>
  </si>
  <si>
    <t>BSGatlas-terminator-2025</t>
  </si>
  <si>
    <t>BSGatlas-TSS-2573</t>
  </si>
  <si>
    <t>BSGatlas-TSS-2575</t>
  </si>
  <si>
    <t>pbpD-yuxK</t>
  </si>
  <si>
    <t>BSGatlas-TSS-2576</t>
  </si>
  <si>
    <t>BSGatlas-terminator-2027</t>
  </si>
  <si>
    <t>BSGatlas-terminator-2028</t>
  </si>
  <si>
    <t>BSGatlas-TSS-2579</t>
  </si>
  <si>
    <t>BSGatlas-terminator-2029</t>
  </si>
  <si>
    <t>maeL-maeM</t>
  </si>
  <si>
    <t>BSGatlas-TSS-2578</t>
  </si>
  <si>
    <t>BSGatlas-terminator-2030</t>
  </si>
  <si>
    <t>BSGatlas-TSS-2580</t>
  </si>
  <si>
    <t>BSGatlas-terminator-2031</t>
  </si>
  <si>
    <t>nupN-nupO-nupP-nupQ</t>
  </si>
  <si>
    <t>BSGatlas-TSS-2581</t>
  </si>
  <si>
    <t>BSGatlas-terminator-2032</t>
  </si>
  <si>
    <t>BSGatlas-TSS-2583</t>
  </si>
  <si>
    <t>mrpA-mrpB-mrpC-mrpD-mrpE-mrpF-mrpG</t>
  </si>
  <si>
    <t>BSGatlas-TSS-2582</t>
  </si>
  <si>
    <t>BSGatlas-terminator-2034</t>
  </si>
  <si>
    <t>BSGatlas-terminator-2036</t>
  </si>
  <si>
    <t>BSGatlas-TSS-2584</t>
  </si>
  <si>
    <t>BSGatlas-TSS-2585</t>
  </si>
  <si>
    <t>mrpD-mrpE-mrpF-mrpG</t>
  </si>
  <si>
    <t>BSGatlas-TSS-2586</t>
  </si>
  <si>
    <t>yuxO-comA</t>
  </si>
  <si>
    <t>BSGatlas-TSS-2587</t>
  </si>
  <si>
    <t>BSGatlas-terminator-2033</t>
  </si>
  <si>
    <t>yuxO-comA-comP-comX-comQ</t>
  </si>
  <si>
    <t>BSGatlas-TSS-2590</t>
  </si>
  <si>
    <t>BSGatlas-TSS-2591</t>
  </si>
  <si>
    <t>BSGatlas-terminator-2035</t>
  </si>
  <si>
    <t>BSGatlas-terminator-2037</t>
  </si>
  <si>
    <t>comP-comX-comQ</t>
  </si>
  <si>
    <t>BSGatlas-TSS-2588</t>
  </si>
  <si>
    <t>BSGatlas-TSS-2589</t>
  </si>
  <si>
    <t>comX-comQ</t>
  </si>
  <si>
    <t>BSGatlas-terminator-2038</t>
  </si>
  <si>
    <t>BSGatlas-TSS-2592</t>
  </si>
  <si>
    <t>BSGatlas-terminator-2039</t>
  </si>
  <si>
    <t>BSGatlas-TSS-2593</t>
  </si>
  <si>
    <t>BSGatlas-terminator-2040</t>
  </si>
  <si>
    <t>BSGatlas-TSS-2595</t>
  </si>
  <si>
    <t>BSGatlas-terminator-2041</t>
  </si>
  <si>
    <t>BSGatlas-TSS-2594</t>
  </si>
  <si>
    <t>BSGatlas-terminator-2042</t>
  </si>
  <si>
    <t>BSGatlas-terminator-2043</t>
  </si>
  <si>
    <t>pncB-pncA</t>
  </si>
  <si>
    <t>BSGatlas-TSS-2597</t>
  </si>
  <si>
    <t>pncB-pncA-yueI-yueH</t>
  </si>
  <si>
    <t>BSGatlas-TSS-2598</t>
  </si>
  <si>
    <t>BSGatlas-TSS-2599</t>
  </si>
  <si>
    <t>BSGatlas-terminator-2045</t>
  </si>
  <si>
    <t>BSGatlas-TSS-2601</t>
  </si>
  <si>
    <t>BSGatlas-TSS-2600</t>
  </si>
  <si>
    <t>BSGatlas-TSS-2602</t>
  </si>
  <si>
    <t>BSGatlas-TSS-2603</t>
  </si>
  <si>
    <t>BSGatlas-terminator-2047</t>
  </si>
  <si>
    <t>BSGatlas-TSS-2604</t>
  </si>
  <si>
    <t>BSGatlas-TSS-2605</t>
  </si>
  <si>
    <t>BSGatlas-TSS-2606</t>
  </si>
  <si>
    <t>BSGatlas-terminator-2048</t>
  </si>
  <si>
    <t>bznD-yueC-yueB-yukAB-yukC-yukD-yukE</t>
  </si>
  <si>
    <t>BSGatlas-TSS-2610</t>
  </si>
  <si>
    <t>BSGatlas-TSS-2614</t>
  </si>
  <si>
    <t>yueC-yueB-yukAB-yukC-yukD-yukE</t>
  </si>
  <si>
    <t>BSGatlas-TSS-2607</t>
  </si>
  <si>
    <t>BSGatlas-TSS-2608</t>
  </si>
  <si>
    <t>BSGatlas-terminator-2051</t>
  </si>
  <si>
    <t>yukC-yukD-yukE</t>
  </si>
  <si>
    <t>BSGatlas-terminator-2049</t>
  </si>
  <si>
    <t>BSGatlas-terminator-2050</t>
  </si>
  <si>
    <t>BSGatlas-TSS-2609</t>
  </si>
  <si>
    <t>BSGatlas-TSS-2611</t>
  </si>
  <si>
    <t>BSGatlas-TSS-2612</t>
  </si>
  <si>
    <t>BSGatlas-TSS-2613</t>
  </si>
  <si>
    <t>BSGatlas-TSS-2615</t>
  </si>
  <si>
    <t>BSGatlas-terminator-2052</t>
  </si>
  <si>
    <t>ald-yukJ</t>
  </si>
  <si>
    <t>BSGatlas-terminator-2053</t>
  </si>
  <si>
    <t>BSGatlas-TSS-2616</t>
  </si>
  <si>
    <t>mbtH-dhbF-dhbB-dhbE-dhbC-dhbA</t>
  </si>
  <si>
    <t>BSGatlas-TSS-2618</t>
  </si>
  <si>
    <t>BSGatlas-terminator-2054</t>
  </si>
  <si>
    <t>dhbF-dhbB-dhbE-dhbC-dhbA</t>
  </si>
  <si>
    <t>BSGatlas-TSS-2619</t>
  </si>
  <si>
    <t>BSGatlas-terminator-2055</t>
  </si>
  <si>
    <t>BSGatlas-TSS-2621</t>
  </si>
  <si>
    <t>BSGatlas-TSS-2620</t>
  </si>
  <si>
    <t>BSGatlas-terminator-2056</t>
  </si>
  <si>
    <t>BSGatlas-TSS-2622</t>
  </si>
  <si>
    <t>BSGatlas-terminator-2057</t>
  </si>
  <si>
    <t>BSGatlas-TSS-2625</t>
  </si>
  <si>
    <t>BSGatlas-terminator-2058</t>
  </si>
  <si>
    <t>BSGatlas-TSS-2623</t>
  </si>
  <si>
    <t>BSGatlas-terminator-2059</t>
  </si>
  <si>
    <t>BSGatlas-TSS-2624</t>
  </si>
  <si>
    <t>BSGatlas-TSS-2627</t>
  </si>
  <si>
    <t>BSGatlas-terminator-2060</t>
  </si>
  <si>
    <t>BSGatlas-TSS-2626</t>
  </si>
  <si>
    <t>BSGatlas-terminator-2061</t>
  </si>
  <si>
    <t>BSGatlas-TSS-2629</t>
  </si>
  <si>
    <t>BSGatlas-terminator-2062</t>
  </si>
  <si>
    <t>yuiB-yuiA</t>
  </si>
  <si>
    <t>BSGatlas-TSS-2630</t>
  </si>
  <si>
    <t>BSGatlas-TSS-2628</t>
  </si>
  <si>
    <t>BSGatlas-terminator-2063</t>
  </si>
  <si>
    <t>BSGatlas-terminator-2065</t>
  </si>
  <si>
    <t>BSGatlas-TSS-2631</t>
  </si>
  <si>
    <t>BSGatlas-terminator-2064</t>
  </si>
  <si>
    <t>BSGatlas-TSS-2632</t>
  </si>
  <si>
    <t>BSGatlas-TSS-2634</t>
  </si>
  <si>
    <t>BSGatlas-TSS-2633</t>
  </si>
  <si>
    <t>BSGatlas-terminator-2066</t>
  </si>
  <si>
    <t>BSGatlas-TSS-2635</t>
  </si>
  <si>
    <t>BSGatlas-terminator-2067</t>
  </si>
  <si>
    <t>BSGatlas-TSS-2637</t>
  </si>
  <si>
    <t>BSGatlas-TSS-2636</t>
  </si>
  <si>
    <t>BSGatlas-terminator-2068</t>
  </si>
  <si>
    <t>BSGatlas-terminator-2069</t>
  </si>
  <si>
    <t>paiB-paiA</t>
  </si>
  <si>
    <t>BSGatlas-TSS-2638</t>
  </si>
  <si>
    <t>BSGatlas-terminator-2070</t>
  </si>
  <si>
    <t>BSGatlas-TSS-2639</t>
  </si>
  <si>
    <t>BSGatlas-TSS-2640</t>
  </si>
  <si>
    <t>BSGatlas-terminator-2071</t>
  </si>
  <si>
    <t>sufA-dapF</t>
  </si>
  <si>
    <t>BSGatlas-TSS-2641</t>
  </si>
  <si>
    <t>BSGatlas-TSS-2642</t>
  </si>
  <si>
    <t>BSGatlas-TSS-2644</t>
  </si>
  <si>
    <t>BSGatlas-TSS-2643</t>
  </si>
  <si>
    <t>BSGatlas-terminator-2072</t>
  </si>
  <si>
    <t>BSGatlas-TSS-2645</t>
  </si>
  <si>
    <t>BSGatlas-terminator-2073</t>
  </si>
  <si>
    <t>BSGatlas-TSS-2646</t>
  </si>
  <si>
    <t>BSGatlas-TSS-2647</t>
  </si>
  <si>
    <t>BSGatlas-terminator-2074</t>
  </si>
  <si>
    <t>BSGatlas-TSS-2648</t>
  </si>
  <si>
    <t>BSGatlas-terminator-2075</t>
  </si>
  <si>
    <t>BSGatlas-TSS-2649</t>
  </si>
  <si>
    <t>BSGatlas-terminator-2077</t>
  </si>
  <si>
    <t>BSGatlas-TSS-2650</t>
  </si>
  <si>
    <t>BSGatlas-terminator-2076</t>
  </si>
  <si>
    <t>BSGatlas-terminator-2078</t>
  </si>
  <si>
    <t>thrB-thrC-hom</t>
  </si>
  <si>
    <t>BSGatlas-TSS-2652</t>
  </si>
  <si>
    <t>BSGatlas-terminator-2079</t>
  </si>
  <si>
    <t>thrB-thrC-hom-cotNH</t>
  </si>
  <si>
    <t>BSGatlas-TSS-2654</t>
  </si>
  <si>
    <t>BSGatlas-TSS-2651</t>
  </si>
  <si>
    <t>BSGatlas-TSS-2653</t>
  </si>
  <si>
    <t>BSGatlas-TSS-2655</t>
  </si>
  <si>
    <t>BSGatlas-TSS-2656</t>
  </si>
  <si>
    <t>nucF-yutE-yutD</t>
  </si>
  <si>
    <t>BSGatlas-TSS-2657</t>
  </si>
  <si>
    <t>BSGatlas-terminator-2080</t>
  </si>
  <si>
    <t>BSGatlas-TSS-2658</t>
  </si>
  <si>
    <t>BSGatlas-terminator-2081</t>
  </si>
  <si>
    <t>BSGatlas-TSS-2659</t>
  </si>
  <si>
    <t>BSGatlas-terminator-2082</t>
  </si>
  <si>
    <t>BSGatlas-TSS-2661</t>
  </si>
  <si>
    <t>BSGatlas-TSS-2660</t>
  </si>
  <si>
    <t>BSGatlas-terminator-2083</t>
  </si>
  <si>
    <t>BSGatlas-TSS-2662</t>
  </si>
  <si>
    <t>BSGatlas-terminator-2084</t>
  </si>
  <si>
    <t>BSGatlas-TSS-2663</t>
  </si>
  <si>
    <t>BSGatlas-terminator-2085</t>
  </si>
  <si>
    <t>yunC-yunD-yunE-yunF</t>
  </si>
  <si>
    <t>BSGatlas-TSS-2665</t>
  </si>
  <si>
    <t>yunC-yunD-yunE-yunF-yunG</t>
  </si>
  <si>
    <t>BSGatlas-TSS-2666</t>
  </si>
  <si>
    <t>BSGatlas-TSS-2667</t>
  </si>
  <si>
    <t>BSGatlas-terminator-2086</t>
  </si>
  <si>
    <t>BSGatlas-TSS-2669</t>
  </si>
  <si>
    <t>BSGatlas-terminator-2087</t>
  </si>
  <si>
    <t>BSGatlas-terminator-2088</t>
  </si>
  <si>
    <t>pucR-pucJ-pucK-pucL-pucM</t>
  </si>
  <si>
    <t>BSGatlas-TSS-2668</t>
  </si>
  <si>
    <t>BSGatlas-terminator-2089</t>
  </si>
  <si>
    <t>BSGatlas-terminator-2090</t>
  </si>
  <si>
    <t>pucJ-pucK-pucL-pucM</t>
  </si>
  <si>
    <t>BSGatlas-TSS-2670</t>
  </si>
  <si>
    <t>BSGatlas-TSS-2671</t>
  </si>
  <si>
    <t>BSGatlas-TSS-2672</t>
  </si>
  <si>
    <t>BSGatlas-terminator-2091</t>
  </si>
  <si>
    <t>pucE-pucD-pucC-pucB-pucA</t>
  </si>
  <si>
    <t>BSGatlas-TSS-2673</t>
  </si>
  <si>
    <t>BSGatlas-terminator-2092</t>
  </si>
  <si>
    <t>BSGatlas-TSS-2674</t>
  </si>
  <si>
    <t>pucB-pucA</t>
  </si>
  <si>
    <t>BSGatlas-terminator-2093</t>
  </si>
  <si>
    <t>pucG-pucF</t>
  </si>
  <si>
    <t>BSGatlas-TSS-2675</t>
  </si>
  <si>
    <t>BSGatlas-terminator-2094</t>
  </si>
  <si>
    <t>BSGatlas-TSS-2676</t>
  </si>
  <si>
    <t>BSGatlas-terminator-2095</t>
  </si>
  <si>
    <t>BSGatlas-terminator-2096</t>
  </si>
  <si>
    <t>frlP-frlD</t>
  </si>
  <si>
    <t>BSGatlas-TSS-2679</t>
  </si>
  <si>
    <t>BSGatlas-TSS-2680</t>
  </si>
  <si>
    <t>frlP-frlD-frlM-frlN-frlO-frlB</t>
  </si>
  <si>
    <t>BSGatlas-TSS-2683</t>
  </si>
  <si>
    <t>frlP-frlD-frlM-frlN-frlO-frlB-yurQ</t>
  </si>
  <si>
    <t>BSGatlas-TSS-2684</t>
  </si>
  <si>
    <t>frlP-frlD-frlM-frlN-frlO-frlB-yurQ-dadA</t>
  </si>
  <si>
    <t>BSGatlas-TSS-2685</t>
  </si>
  <si>
    <t>BSGatlas-TSS-2687</t>
  </si>
  <si>
    <t>BSGatlas-TSS-2688</t>
  </si>
  <si>
    <t>BSGatlas-TSS-2677</t>
  </si>
  <si>
    <t>BSGatlas-TSS-2678</t>
  </si>
  <si>
    <t>BSGatlas-terminator-2097</t>
  </si>
  <si>
    <t>frlD-frlM-frlN-frlO-frlB</t>
  </si>
  <si>
    <t>frlD-frlM-frlN-frlO-frlB-yurQ</t>
  </si>
  <si>
    <t>frlD-frlM-frlN-frlO-frlB-yurQ-dadA</t>
  </si>
  <si>
    <t>BSGatlas-terminator-2098</t>
  </si>
  <si>
    <t>frlB-yurQ</t>
  </si>
  <si>
    <t>frlB-yurQ-dadA</t>
  </si>
  <si>
    <t>BSGatlas-terminator-2099</t>
  </si>
  <si>
    <t>yurQ-dadA</t>
  </si>
  <si>
    <t>BSGatlas-TSS-2686</t>
  </si>
  <si>
    <t>sspG-yurS</t>
  </si>
  <si>
    <t>BSGatlas-terminator-2100</t>
  </si>
  <si>
    <t>glxB-yuzN</t>
  </si>
  <si>
    <t>BSGatlas-TSS-2689</t>
  </si>
  <si>
    <t>sufB-sufU-sufS-sufD-sufC</t>
  </si>
  <si>
    <t>BSGatlas-TSS-2690</t>
  </si>
  <si>
    <t>BSGatlas-terminator-2101</t>
  </si>
  <si>
    <t>BSGatlas-TSS-2691</t>
  </si>
  <si>
    <t>bsrI-yuzK</t>
  </si>
  <si>
    <t>yuzK-yurZ</t>
  </si>
  <si>
    <t>BSGatlas-TSS-2693</t>
  </si>
  <si>
    <t>metQ-metP-metN</t>
  </si>
  <si>
    <t>BSGatlas-TSS-2695</t>
  </si>
  <si>
    <t>BSGatlas-terminator-2103</t>
  </si>
  <si>
    <t>BSGatlas-terminator-2104</t>
  </si>
  <si>
    <t>BSGatlas-terminator-2105</t>
  </si>
  <si>
    <t>yusD-yusE</t>
  </si>
  <si>
    <t>BSGatlas-TSS-2696</t>
  </si>
  <si>
    <t>BSGatlas-terminator-2107</t>
  </si>
  <si>
    <t>yusG-gcvH</t>
  </si>
  <si>
    <t>BSGatlas-TSS-2697</t>
  </si>
  <si>
    <t>yusG-gcvH-yusI</t>
  </si>
  <si>
    <t>BSGatlas-TSS-2698</t>
  </si>
  <si>
    <t>fadE-fadA-fadN</t>
  </si>
  <si>
    <t>BSGatlas-TSS-2700</t>
  </si>
  <si>
    <t>BSGatlas-terminator-2108</t>
  </si>
  <si>
    <t>fadE-fadA-fadN-putM</t>
  </si>
  <si>
    <t>BSGatlas-TSS-2702</t>
  </si>
  <si>
    <t>BSGatlas-TSS-2699</t>
  </si>
  <si>
    <t>BSGatlas-TSS-2701</t>
  </si>
  <si>
    <t>yuzM-yusN</t>
  </si>
  <si>
    <t>BSGatlas-terminator-2109</t>
  </si>
  <si>
    <t>mdtR-mdtP</t>
  </si>
  <si>
    <t>BSGatlas-TSS-2703</t>
  </si>
  <si>
    <t>BSGatlas-terminator-2110</t>
  </si>
  <si>
    <t>yusQ-yusR-yusS</t>
  </si>
  <si>
    <t>BSGatlas-TSS-2704</t>
  </si>
  <si>
    <t>BSGatlas-TSS-2705</t>
  </si>
  <si>
    <t>yusU-feuV</t>
  </si>
  <si>
    <t>BSGatlas-TSS-2706</t>
  </si>
  <si>
    <t>BSGatlas-terminator-2111</t>
  </si>
  <si>
    <t>BSGatlas-terminator-2112</t>
  </si>
  <si>
    <t>BSGatlas-TSS-2707</t>
  </si>
  <si>
    <t>yusYc-yusYn</t>
  </si>
  <si>
    <t>BSGatlas-TSS-2708</t>
  </si>
  <si>
    <t>BSGatlas-terminator-2113</t>
  </si>
  <si>
    <t>yusZ-mrgA</t>
  </si>
  <si>
    <t>BSGatlas-TSS-2709</t>
  </si>
  <si>
    <t>BSGatlas-terminator-2114</t>
  </si>
  <si>
    <t>BSGatlas-terminator-2116</t>
  </si>
  <si>
    <t>BSGatlas-TSS-2710</t>
  </si>
  <si>
    <t>BSGatlas-TSS-2711</t>
  </si>
  <si>
    <t>BSGatlas-TSS-2712</t>
  </si>
  <si>
    <t>BSGatlas-terminator-2115</t>
  </si>
  <si>
    <t>BSGatlas-TSS-2714</t>
  </si>
  <si>
    <t>cssR-cssS</t>
  </si>
  <si>
    <t>BSGatlas-TSS-2713</t>
  </si>
  <si>
    <t>BSGatlas-terminator-2118</t>
  </si>
  <si>
    <t>BSGatlas-terminator-2119</t>
  </si>
  <si>
    <t>BSGatlas-TSS-2715</t>
  </si>
  <si>
    <t>BSGatlas-TSS-2717</t>
  </si>
  <si>
    <t>BSGatlas-terminator-2117</t>
  </si>
  <si>
    <t>BSGatlas-TSS-2718</t>
  </si>
  <si>
    <t>BSGatlas-TSS-2719</t>
  </si>
  <si>
    <t>BSGatlas-TSS-2716</t>
  </si>
  <si>
    <t>BSGatlas-terminator-2120</t>
  </si>
  <si>
    <t>BSGatlas-terminator-2122</t>
  </si>
  <si>
    <t>BSGatlas-TSS-2720</t>
  </si>
  <si>
    <t>BSGatlas-terminator-2121</t>
  </si>
  <si>
    <t>fumC-yvzF</t>
  </si>
  <si>
    <t>BSGatlas-TSS-2721</t>
  </si>
  <si>
    <t>BSGatlas-TSS-2722</t>
  </si>
  <si>
    <t>gerAA-gerAB-gerAC</t>
  </si>
  <si>
    <t>BSGatlas-TSS-2723</t>
  </si>
  <si>
    <t>liaR-liaS-liaF-liaG</t>
  </si>
  <si>
    <t>BSGatlas-TSS-2724</t>
  </si>
  <si>
    <t>BSGatlas-terminator-2124</t>
  </si>
  <si>
    <t>liaR-liaS-liaF-liaG-liaH-liaI</t>
  </si>
  <si>
    <t>BSGatlas-TSS-2725</t>
  </si>
  <si>
    <t>liaH-liaI</t>
  </si>
  <si>
    <t>BSGatlas-terminator-2125</t>
  </si>
  <si>
    <t>BSGatlas-TSS-2726</t>
  </si>
  <si>
    <t>BSGatlas-terminator-2126</t>
  </si>
  <si>
    <t>yvqK-yvrA-yvrB-yvrC</t>
  </si>
  <si>
    <t>BSGatlas-TSS-2727</t>
  </si>
  <si>
    <t>BSGatlas-terminator-2127</t>
  </si>
  <si>
    <t>BSGatlas-TSS-2728</t>
  </si>
  <si>
    <t>BSGatlas-terminator-2128</t>
  </si>
  <si>
    <t>BSGatlas-terminator-2129</t>
  </si>
  <si>
    <t>BSGatlas-TSS-2729</t>
  </si>
  <si>
    <t>BSGatlas-terminator-2130</t>
  </si>
  <si>
    <t>yvrE-yvrG-yvrH</t>
  </si>
  <si>
    <t>BSGatlas-TSS-2730</t>
  </si>
  <si>
    <t>yvrE-yvrG-yvrH-rsoA</t>
  </si>
  <si>
    <t>BSGatlas-TSS-2731</t>
  </si>
  <si>
    <t>yvrE-yvrG-yvrH-rsoA-sigO</t>
  </si>
  <si>
    <t>BSGatlas-TSS-2732</t>
  </si>
  <si>
    <t>BSGatlas-TSS-2733</t>
  </si>
  <si>
    <t>yvrH-rsoA-sigO</t>
  </si>
  <si>
    <t>BSGatlas-terminator-2131</t>
  </si>
  <si>
    <t>rsoA-sigO</t>
  </si>
  <si>
    <t>BSGatlas-TSS-2734</t>
  </si>
  <si>
    <t>BSGatlas-TSS-2735</t>
  </si>
  <si>
    <t>BSGatlas-terminator-2132</t>
  </si>
  <si>
    <t>oxdC-rsiO</t>
  </si>
  <si>
    <t>BSGatlas-terminator-2133</t>
  </si>
  <si>
    <t>yvrN-yvrO-yvrP</t>
  </si>
  <si>
    <t>BSGatlas-TSS-2736</t>
  </si>
  <si>
    <t>BSGatlas-terminator-2134</t>
  </si>
  <si>
    <t>fhuC-fhuG-fhuB</t>
  </si>
  <si>
    <t>BSGatlas-TSS-2738</t>
  </si>
  <si>
    <t>BSGatlas-terminator-2135</t>
  </si>
  <si>
    <t>BSGatlas-TSS-2739</t>
  </si>
  <si>
    <t>BSGatlas-terminator-2136</t>
  </si>
  <si>
    <t>BSGatlas-terminator-2137</t>
  </si>
  <si>
    <t>BSGatlas-TSS-2741</t>
  </si>
  <si>
    <t>BSGatlas-terminator-2138</t>
  </si>
  <si>
    <t>BSGatlas-TSS-2740</t>
  </si>
  <si>
    <t>BSGatlas-terminator-2140</t>
  </si>
  <si>
    <t>BSGatlas-terminator-2139</t>
  </si>
  <si>
    <t>BSGatlas-TSS-2742</t>
  </si>
  <si>
    <t>BSGatlas-terminator-2141</t>
  </si>
  <si>
    <t>BSGatlas-TSS-2744</t>
  </si>
  <si>
    <t>BSGatlas-TSS-2743</t>
  </si>
  <si>
    <t>BSGatlas-TSS-2745</t>
  </si>
  <si>
    <t>BSGatlas-terminator-2142</t>
  </si>
  <si>
    <t>BSGatlas-TSS-2746</t>
  </si>
  <si>
    <t>BSGatlas-terminator-2143</t>
  </si>
  <si>
    <t>modA-modB</t>
  </si>
  <si>
    <t>BSGatlas-TSS-2747</t>
  </si>
  <si>
    <t>BSGatlas-terminator-2144</t>
  </si>
  <si>
    <t>BSGatlas-terminator-2146</t>
  </si>
  <si>
    <t>BSGatlas-TSS-2749</t>
  </si>
  <si>
    <t>BSGatlas-terminator-2145</t>
  </si>
  <si>
    <t>BSGatlas-TSS-2748</t>
  </si>
  <si>
    <t>BSGatlas-terminator-2147</t>
  </si>
  <si>
    <t>BSGatlas-TSS-2750</t>
  </si>
  <si>
    <t>BSGatlas-TSS-2751</t>
  </si>
  <si>
    <t>BSGatlas-terminator-2148</t>
  </si>
  <si>
    <t>BSGatlas-TSS-2752</t>
  </si>
  <si>
    <t>cysI-cysJ</t>
  </si>
  <si>
    <t>BSGatlas-TSS-2753</t>
  </si>
  <si>
    <t>BSGatlas-terminator-2149</t>
  </si>
  <si>
    <t>BSGatlas-TSS-2756</t>
  </si>
  <si>
    <t>BSGatlas-terminator-2150</t>
  </si>
  <si>
    <t>BSGatlas-TSS-2757</t>
  </si>
  <si>
    <t>BSGatlas-TSS-2758</t>
  </si>
  <si>
    <t>BSGatlas-TSS-2759</t>
  </si>
  <si>
    <t>BSGatlas-terminator-2151</t>
  </si>
  <si>
    <t>bdbC-bdbD</t>
  </si>
  <si>
    <t>BSGatlas-TSS-2760</t>
  </si>
  <si>
    <t>BSGatlas-terminator-2152</t>
  </si>
  <si>
    <t>BSGatlas-TSS-2761</t>
  </si>
  <si>
    <t>BSGatlas-terminator-2153</t>
  </si>
  <si>
    <t>copA-copZ</t>
  </si>
  <si>
    <t>BSGatlas-TSS-2762</t>
  </si>
  <si>
    <t>BSGatlas-terminator-2154</t>
  </si>
  <si>
    <t>BSGatlas-terminator-2155</t>
  </si>
  <si>
    <t>copA-copZ-csoR</t>
  </si>
  <si>
    <t>BSGatlas-TSS-2764</t>
  </si>
  <si>
    <t>BSGatlas-TSS-2763</t>
  </si>
  <si>
    <t>BSGatlas-terminator-2156</t>
  </si>
  <si>
    <t>BSGatlas-TSS-2765</t>
  </si>
  <si>
    <t>BSGatlas-TSS-2766</t>
  </si>
  <si>
    <t>BSGatlas-terminator-2157</t>
  </si>
  <si>
    <t>BSGatlas-TSS-2767</t>
  </si>
  <si>
    <t>BSGatlas-TSS-2768</t>
  </si>
  <si>
    <t>yvaD-yvaE-yvaF</t>
  </si>
  <si>
    <t>BSGatlas-TSS-2769</t>
  </si>
  <si>
    <t>BSGatlas-terminator-2158</t>
  </si>
  <si>
    <t>BSGatlas-TSS-2770</t>
  </si>
  <si>
    <t>BSGatlas-TSS-2771</t>
  </si>
  <si>
    <t>BSGatlas-TSS-2772</t>
  </si>
  <si>
    <t>BSGatlas-terminator-2159</t>
  </si>
  <si>
    <t>BSGatlas-TSS-2773</t>
  </si>
  <si>
    <t>BSGatlas-TSS-2774</t>
  </si>
  <si>
    <t>ssrA_tmRNA_ssrA-smpB</t>
  </si>
  <si>
    <t>BSGatlas-TSS-2776</t>
  </si>
  <si>
    <t>ssrA_tmRNA_ssrA-smpB-rnr-estA</t>
  </si>
  <si>
    <t>BSGatlas-TSS-2778</t>
  </si>
  <si>
    <t>BSGatlas-TSS-2779</t>
  </si>
  <si>
    <t>ssrA_tmRNA_ssrA-smpB-rnr-estA-secG</t>
  </si>
  <si>
    <t>BSGatlas-TSS-2780</t>
  </si>
  <si>
    <t>BSGatlas-terminator-2161</t>
  </si>
  <si>
    <t>BSGatlas-TSS-2781</t>
  </si>
  <si>
    <t>BSGatlas-terminator-2162</t>
  </si>
  <si>
    <t>BSGatlas-TSS-2782</t>
  </si>
  <si>
    <t>BSGatlas-TSS-2783</t>
  </si>
  <si>
    <t>BSGatlas-TSS-2784</t>
  </si>
  <si>
    <t>BSGatlas-TSS-2785</t>
  </si>
  <si>
    <t>BSGatlas-terminator-2164</t>
  </si>
  <si>
    <t>opuBD-opuBC-opuBB-opuBA</t>
  </si>
  <si>
    <t>BSGatlas-TSS-2787</t>
  </si>
  <si>
    <t>BSGatlas-terminator-2163</t>
  </si>
  <si>
    <t>BSGatlas-terminator-2165</t>
  </si>
  <si>
    <t>BSGatlas-TSS-2786</t>
  </si>
  <si>
    <t>BSGatlas-TSS-2788</t>
  </si>
  <si>
    <t>BSGatlas-terminator-2166</t>
  </si>
  <si>
    <t>BSGatlas-TSS-2789</t>
  </si>
  <si>
    <t>BSGatlas-TSS-2791</t>
  </si>
  <si>
    <t>BSGatlas-TSS-2792</t>
  </si>
  <si>
    <t>BSGatlas-TSS-2794</t>
  </si>
  <si>
    <t>sdpA-sdpB-spbC</t>
  </si>
  <si>
    <t>BSGatlas-TSS-2790</t>
  </si>
  <si>
    <t>BSGatlas-terminator-2170</t>
  </si>
  <si>
    <t>BSGatlas-terminator-2171</t>
  </si>
  <si>
    <t>BSGatlas-TSS-2793</t>
  </si>
  <si>
    <t>sdpI-sdpR</t>
  </si>
  <si>
    <t>BSGatlas-TSS-2795</t>
  </si>
  <si>
    <t>BSGatlas-terminator-2167</t>
  </si>
  <si>
    <t>BSGatlas-terminator-2168</t>
  </si>
  <si>
    <t>BSGatlas-terminator-2169</t>
  </si>
  <si>
    <t>opuCD-opuCC-opuCB-opuCA</t>
  </si>
  <si>
    <t>BSGatlas-TSS-2797</t>
  </si>
  <si>
    <t>BSGatlas-terminator-2172</t>
  </si>
  <si>
    <t>BSGatlas-TSS-2798</t>
  </si>
  <si>
    <t>BSGatlas-TSS-2799</t>
  </si>
  <si>
    <t>BSGatlas-terminator-2173</t>
  </si>
  <si>
    <t>BSGatlas-TSS-2800</t>
  </si>
  <si>
    <t>BSGatlas-terminator-2174</t>
  </si>
  <si>
    <t>BSGatlas-TSS-2801</t>
  </si>
  <si>
    <t>BSGatlas-terminator-2175</t>
  </si>
  <si>
    <t>BSGatlas-TSS-2803</t>
  </si>
  <si>
    <t>BSGatlas-terminator-2176</t>
  </si>
  <si>
    <t>BSGatlas-terminator-2177</t>
  </si>
  <si>
    <t>BSGatlas-TSS-2802</t>
  </si>
  <si>
    <t>BSGatlas-terminator-2178</t>
  </si>
  <si>
    <t>eno-pgm-tpiA-pgk</t>
  </si>
  <si>
    <t>BSGatlas-TSS-2804</t>
  </si>
  <si>
    <t>BSGatlas-terminator-2179</t>
  </si>
  <si>
    <t>eno-pgm-tpiA-pgk-gapA</t>
  </si>
  <si>
    <t>BSGatlas-TSS-2806</t>
  </si>
  <si>
    <t>eno-pgm-tpiA-pgk-gapA-cggR</t>
  </si>
  <si>
    <t>BSGatlas-TSS-2807</t>
  </si>
  <si>
    <t>BSGatlas-TSS-2808</t>
  </si>
  <si>
    <t>BSGatlas-terminator-2180</t>
  </si>
  <si>
    <t>gapA-cggR</t>
  </si>
  <si>
    <t>BSGatlas-TSS-2809</t>
  </si>
  <si>
    <t>BSGatlas-terminator-2182</t>
  </si>
  <si>
    <t>BSGatlas-terminator-2183</t>
  </si>
  <si>
    <t>BSGatlas-TSS-2810</t>
  </si>
  <si>
    <t>BSGatlas-terminator-2184</t>
  </si>
  <si>
    <t>BSGatlas-TSS-2811</t>
  </si>
  <si>
    <t>BSGatlas-terminator-2185</t>
  </si>
  <si>
    <t>BSGatlas-TSS-2813</t>
  </si>
  <si>
    <t>BSGatlas-TSS-2812</t>
  </si>
  <si>
    <t>BSGatlas-terminator-2186</t>
  </si>
  <si>
    <t>BSGatlas-TSS-2814</t>
  </si>
  <si>
    <t>BSGatlas-terminator-2187</t>
  </si>
  <si>
    <t>BSGatlas-TSS-2815</t>
  </si>
  <si>
    <t>lutC-lutB-lutA</t>
  </si>
  <si>
    <t>BSGatlas-TSS-2819</t>
  </si>
  <si>
    <t>BSGatlas-terminator-2188</t>
  </si>
  <si>
    <t>BSGatlas-TSS-2820</t>
  </si>
  <si>
    <t>yvfS-yvfR</t>
  </si>
  <si>
    <t>BSGatlas-TSS-2821</t>
  </si>
  <si>
    <t>rsbQ-rsbP</t>
  </si>
  <si>
    <t>BSGatlas-TSS-2822</t>
  </si>
  <si>
    <t>BSGatlas-terminator-2191</t>
  </si>
  <si>
    <t>ganB-ganA-ganQ-ganP-ganS</t>
  </si>
  <si>
    <t>BSGatlas-TSS-2823</t>
  </si>
  <si>
    <t>BSGatlas-terminator-2192</t>
  </si>
  <si>
    <t>BSGatlas-terminator-2193</t>
  </si>
  <si>
    <t>BSGatlas-TSS-2824</t>
  </si>
  <si>
    <t>BSGatlas-terminator-2194</t>
  </si>
  <si>
    <t>BSGatlas-TSS-2826</t>
  </si>
  <si>
    <t>BSGatlas-TSS-2825</t>
  </si>
  <si>
    <t>BSGatlas-terminator-2195</t>
  </si>
  <si>
    <t>BSGatlas-terminator-2197</t>
  </si>
  <si>
    <t>BSGatlas-TSS-2828</t>
  </si>
  <si>
    <t>BSGatlas-terminator-2196</t>
  </si>
  <si>
    <t>BSGatlas-TSS-2827</t>
  </si>
  <si>
    <t>BSGatlas-terminator-2198</t>
  </si>
  <si>
    <t>epsO-epsN-epsM-epsL-epsK-epsJ-epsI-epsH-epsG-epsF-epsE-epsD-epsC-epsC-epsB-epsA</t>
  </si>
  <si>
    <t>BSGatlas-TSS-2831</t>
  </si>
  <si>
    <t>slrR-pnbA</t>
  </si>
  <si>
    <t>BSGatlas-TSS-2830</t>
  </si>
  <si>
    <t>BSGatlas-terminator-2199</t>
  </si>
  <si>
    <t>BSGatlas-TSS-2832</t>
  </si>
  <si>
    <t>BSGatlas-TSS-2833</t>
  </si>
  <si>
    <t>BSGatlas-terminator-2200</t>
  </si>
  <si>
    <t>padC-yveG-yveF</t>
  </si>
  <si>
    <t>BSGatlas-TSS-2834</t>
  </si>
  <si>
    <t>racX-pbpE</t>
  </si>
  <si>
    <t>BSGatlas-TSS-2835</t>
  </si>
  <si>
    <t>BSGatlas-terminator-2201</t>
  </si>
  <si>
    <t>BSGatlas-terminator-2202</t>
  </si>
  <si>
    <t>BSGatlas-TSS-2836</t>
  </si>
  <si>
    <t>BSGatlas-terminator-2203</t>
  </si>
  <si>
    <t>sacB-levB</t>
  </si>
  <si>
    <t>BSGatlas-terminator-2204</t>
  </si>
  <si>
    <t>sacB-levB-aspP</t>
  </si>
  <si>
    <t>BSGatlas-terminator-2205</t>
  </si>
  <si>
    <t>BSGatlas-TSS-2837</t>
  </si>
  <si>
    <t>BSGatlas-TSS-2838</t>
  </si>
  <si>
    <t>BSGatlas-terminator-2206</t>
  </si>
  <si>
    <t>yvdT-psmA-psmB</t>
  </si>
  <si>
    <t>BSGatlas-terminator-2209</t>
  </si>
  <si>
    <t>BSGatlas-TSS-2839</t>
  </si>
  <si>
    <t>BSGatlas-terminator-2207</t>
  </si>
  <si>
    <t>BSGatlas-terminator-2208</t>
  </si>
  <si>
    <t>BSGatlas-TSS-2840</t>
  </si>
  <si>
    <t>BSGatlas-terminator-2210</t>
  </si>
  <si>
    <t>BSGatlas-TSS-2841</t>
  </si>
  <si>
    <t>BSGatlas-terminator-2211</t>
  </si>
  <si>
    <t>BSGatlas-TSS-2842</t>
  </si>
  <si>
    <t>BSGatlas-TSS-2843</t>
  </si>
  <si>
    <t>BSGatlas-terminator-2212</t>
  </si>
  <si>
    <t>BSGatlas-TSS-2844</t>
  </si>
  <si>
    <t>BSGatlas-terminator-2213</t>
  </si>
  <si>
    <t>BSGatlas-terminator-2215</t>
  </si>
  <si>
    <t>BSGatlas-TSS-2845</t>
  </si>
  <si>
    <t>mdxM-mdxL-mdxK-mdxJ-mdxG-mdxF-mdxE-mdxD</t>
  </si>
  <si>
    <t>BSGatlas-TSS-2848</t>
  </si>
  <si>
    <t>BSGatlas-terminator-2214</t>
  </si>
  <si>
    <t>mdxM-mdxL-mdxK-mdxJ-mdxG-mdxF-mdxE-mdxD-mdxR</t>
  </si>
  <si>
    <t>BSGatlas-TSS-2849</t>
  </si>
  <si>
    <t>BSGatlas-TSS-2850</t>
  </si>
  <si>
    <t>BSGatlas-terminator-2216</t>
  </si>
  <si>
    <t>BSGatlas-terminator-2217</t>
  </si>
  <si>
    <t>BSGatlas-TSS-2851</t>
  </si>
  <si>
    <t>BSGatlas-terminator-2218</t>
  </si>
  <si>
    <t>yvdB-yvdA</t>
  </si>
  <si>
    <t>BSGatlas-TSS-2852</t>
  </si>
  <si>
    <t>BSGatlas-terminator-2219</t>
  </si>
  <si>
    <t>BSGatlas-TSS-2853</t>
  </si>
  <si>
    <t>BSGatlas-terminator-2220</t>
  </si>
  <si>
    <t>BSGatlas-TSS-2854</t>
  </si>
  <si>
    <t>psdB-psdA</t>
  </si>
  <si>
    <t>BSGatlas-terminator-2221</t>
  </si>
  <si>
    <t>psdB-psdA-psdS-psdR</t>
  </si>
  <si>
    <t>BSGatlas-TSS-2855</t>
  </si>
  <si>
    <t>BSGatlas-TSS-2856</t>
  </si>
  <si>
    <t>BSGatlas-terminator-2222</t>
  </si>
  <si>
    <t>yvcN-crh-whiA-mgfK-yvcJ-yvcI</t>
  </si>
  <si>
    <t>BSGatlas-TSS-2857</t>
  </si>
  <si>
    <t>BSGatlas-terminator-2223</t>
  </si>
  <si>
    <t>BSGatlas-TSS-2858</t>
  </si>
  <si>
    <t>BSGatlas-terminator-2224</t>
  </si>
  <si>
    <t>BSGatlas-TSS-2859</t>
  </si>
  <si>
    <t>BSGatlas-terminator-2225</t>
  </si>
  <si>
    <t>BSGatlas-TSS-2860</t>
  </si>
  <si>
    <t>BSGatlas-terminator-2228</t>
  </si>
  <si>
    <t>BSGatlas-terminator-2230</t>
  </si>
  <si>
    <t>BSGatlas-TSS-2861</t>
  </si>
  <si>
    <t>BSGatlas-TSS-2862</t>
  </si>
  <si>
    <t>BSGatlas-TSS-2863</t>
  </si>
  <si>
    <t>BSGatlas-terminator-2226</t>
  </si>
  <si>
    <t>BSGatlas-terminator-2227</t>
  </si>
  <si>
    <t>yvcD-bmrA</t>
  </si>
  <si>
    <t>BSGatlas-TSS-2864</t>
  </si>
  <si>
    <t>BSGatlas-terminator-2229</t>
  </si>
  <si>
    <t>yvzA-yvcB-yvcA</t>
  </si>
  <si>
    <t>BSGatlas-TSS-2865</t>
  </si>
  <si>
    <t>BSGatlas-terminator-2231</t>
  </si>
  <si>
    <t>hisIE-hisF-hisA-hisH-hisB-hisD-hisG-hisZ</t>
  </si>
  <si>
    <t>BSGatlas-TSS-2868</t>
  </si>
  <si>
    <t>BSGatlas-terminator-2232</t>
  </si>
  <si>
    <t>BSGatlas-TSS-2870</t>
  </si>
  <si>
    <t>yvpB-pelC</t>
  </si>
  <si>
    <t>BSGatlas-TSS-2867</t>
  </si>
  <si>
    <t>BSGatlas-terminator-2233</t>
  </si>
  <si>
    <t>BSGatlas-TSS-2869</t>
  </si>
  <si>
    <t>hprF-ppaX-yvoD-lgt-hprK</t>
  </si>
  <si>
    <t>BSGatlas-TSS-2871</t>
  </si>
  <si>
    <t>BSGatlas-terminator-2234</t>
  </si>
  <si>
    <t>nagA-nagBA-nagR</t>
  </si>
  <si>
    <t>BSGatlas-TSS-2872</t>
  </si>
  <si>
    <t>BSGatlas-TSS-2874</t>
  </si>
  <si>
    <t>BSGatlas-terminator-2235</t>
  </si>
  <si>
    <t>BSGatlas-TSS-2875</t>
  </si>
  <si>
    <t>cypX-pchC</t>
  </si>
  <si>
    <t>BSGatlas-TSS-2877</t>
  </si>
  <si>
    <t>BSGatlas-terminator-2236</t>
  </si>
  <si>
    <t>BSGatlas-TSS-2876</t>
  </si>
  <si>
    <t>BSGatlas-terminator-2237</t>
  </si>
  <si>
    <t>pchR-pchE</t>
  </si>
  <si>
    <t>BSGatlas-TSS-2878</t>
  </si>
  <si>
    <t>BSGatlas-terminator-2239</t>
  </si>
  <si>
    <t>BSGatlas-terminator-2241</t>
  </si>
  <si>
    <t>yvlD-yvlC-yvlB-yvlA</t>
  </si>
  <si>
    <t>BSGatlas-TSS-2879</t>
  </si>
  <si>
    <t>BSGatlas-terminator-2238</t>
  </si>
  <si>
    <t>BSGatlas-TSS-2881</t>
  </si>
  <si>
    <t>BSGatlas-terminator-2240</t>
  </si>
  <si>
    <t>BSGatlas-TSS-2880</t>
  </si>
  <si>
    <t>BSGatlas-terminator-2243</t>
  </si>
  <si>
    <t>BSGatlas-TSS-2882</t>
  </si>
  <si>
    <t>BSGatlas-terminator-2242</t>
  </si>
  <si>
    <t>BSGatlas-TSS-2883</t>
  </si>
  <si>
    <t>BSGatlas-terminator-2244</t>
  </si>
  <si>
    <t>uvrA-uvrB</t>
  </si>
  <si>
    <t>BSGatlas-TSS-2884</t>
  </si>
  <si>
    <t>BSGatlas-terminator-2245</t>
  </si>
  <si>
    <t>BSGatlas-terminator-2246</t>
  </si>
  <si>
    <t>BSGatlas-TSS-2885</t>
  </si>
  <si>
    <t>BSGatlas-terminator-2247</t>
  </si>
  <si>
    <t>BSGatlas-TSS-2886</t>
  </si>
  <si>
    <t>BSGatlas-TSS-2887</t>
  </si>
  <si>
    <t>yvkC-yvkB-yvkA</t>
  </si>
  <si>
    <t>BSGatlas-TSS-2888</t>
  </si>
  <si>
    <t>BSGatlas-terminator-2249</t>
  </si>
  <si>
    <t>yvkB-yvkA</t>
  </si>
  <si>
    <t>BSGatlas-TSS-2889</t>
  </si>
  <si>
    <t>BSGatlas-terminator-2250</t>
  </si>
  <si>
    <t>BSGatlas-terminator-2251</t>
  </si>
  <si>
    <t>minJ-swrAAc-swrAAn</t>
  </si>
  <si>
    <t>BSGatlas-TSS-2890</t>
  </si>
  <si>
    <t>BSGatlas-TSS-2891</t>
  </si>
  <si>
    <t>swrAAc-swrAAn</t>
  </si>
  <si>
    <t>BSGatlas-terminator-2252</t>
  </si>
  <si>
    <t>BSGatlas-TSS-2892</t>
  </si>
  <si>
    <t>BSGatlas-terminator-2253</t>
  </si>
  <si>
    <t>BSGatlas-terminator-2254</t>
  </si>
  <si>
    <t>ftsX-ftsE</t>
  </si>
  <si>
    <t>BSGatlas-terminator-2255</t>
  </si>
  <si>
    <t>BSGatlas-terminator-2256</t>
  </si>
  <si>
    <t>BSGatlas-TSS-2893</t>
  </si>
  <si>
    <t>BSGatlas-TSS-2894</t>
  </si>
  <si>
    <t>BSGatlas-terminator-2257</t>
  </si>
  <si>
    <t>cccB-yvjA</t>
  </si>
  <si>
    <t>BSGatlas-TSS-2895</t>
  </si>
  <si>
    <t>prfB-secA</t>
  </si>
  <si>
    <t>BSGatlas-TSS-2896</t>
  </si>
  <si>
    <t>BSGatlas-terminator-2258</t>
  </si>
  <si>
    <t>BSGatlas-TSS-2898</t>
  </si>
  <si>
    <t>BSGatlas-terminator-2259</t>
  </si>
  <si>
    <t>BSGatlas-TSS-2899</t>
  </si>
  <si>
    <t>hpf-S1350</t>
  </si>
  <si>
    <t>BSGatlas-TSS-2900</t>
  </si>
  <si>
    <t>hpf-S1350-yvzG-fliT-fliS-fliD-yvyC</t>
  </si>
  <si>
    <t>BSGatlas-TSS-2901</t>
  </si>
  <si>
    <t>BSGatlas-TSS-2902</t>
  </si>
  <si>
    <t>fliT-fliS-fliD-yvyC</t>
  </si>
  <si>
    <t>BSGatlas-terminator-2260</t>
  </si>
  <si>
    <t>BSGatlas-TSS-2904</t>
  </si>
  <si>
    <t>BSGatlas-terminator-2262</t>
  </si>
  <si>
    <t>BSGatlas-terminator-2263</t>
  </si>
  <si>
    <t>BSGatlas-terminator-2264</t>
  </si>
  <si>
    <t>csrA-fliW-yviE-flgL-flgK-flgN-flgM</t>
  </si>
  <si>
    <t>BSGatlas-TSS-2906</t>
  </si>
  <si>
    <t>csrA-fliW-yviE-flgL-flgK-flgN-flgM-yvyF</t>
  </si>
  <si>
    <t>BSGatlas-TSS-2907</t>
  </si>
  <si>
    <t>csrA-fliW-yviE-flgL-flgK-flgN-flgM-yvyF-comFC-comFB</t>
  </si>
  <si>
    <t>BSGatlas-TSS-2908</t>
  </si>
  <si>
    <t>csrA-fliW-yviE-flgL-flgK-flgN-flgM-yvyF-comFC-comFB-comFA</t>
  </si>
  <si>
    <t>BSGatlas-TSS-2909</t>
  </si>
  <si>
    <t>flgL-flgK-flgN-flgM</t>
  </si>
  <si>
    <t>BSGatlas-terminator-2265</t>
  </si>
  <si>
    <t>flgL-flgK-flgN-flgM-yvyF</t>
  </si>
  <si>
    <t>flgL-flgK-flgN-flgM-yvyF-comFC-comFB</t>
  </si>
  <si>
    <t>flgL-flgK-flgN-flgM-yvyF-comFC-comFB-comFA</t>
  </si>
  <si>
    <t>comFC-comFB</t>
  </si>
  <si>
    <t>BSGatlas-terminator-2266</t>
  </si>
  <si>
    <t>comFC-comFB-comFA</t>
  </si>
  <si>
    <t>BSGatlas-TSS-2911</t>
  </si>
  <si>
    <t>BSGatlas-terminator-2267</t>
  </si>
  <si>
    <t>BSGatlas-TSS-2910</t>
  </si>
  <si>
    <t>BSGatlas-terminator-2268</t>
  </si>
  <si>
    <t>degU-degS</t>
  </si>
  <si>
    <t>BSGatlas-TSS-2913</t>
  </si>
  <si>
    <t>yvyE-tagV</t>
  </si>
  <si>
    <t>BSGatlas-TSS-2912</t>
  </si>
  <si>
    <t>BSGatlas-terminator-2269</t>
  </si>
  <si>
    <t>BSGatlas-terminator-2270</t>
  </si>
  <si>
    <t>BSGatlas-TSS-2914</t>
  </si>
  <si>
    <t>BSGatlas-TSS-2915</t>
  </si>
  <si>
    <t>BSGatlas-TSS-2917</t>
  </si>
  <si>
    <t>BSGatlas-terminator-2271</t>
  </si>
  <si>
    <t>BSGatlas-TSS-2916</t>
  </si>
  <si>
    <t>tuaH-tuaG-tuaF-tuaE-tuaD-tuaC-tuaB</t>
  </si>
  <si>
    <t>BSGatlas-terminator-2272</t>
  </si>
  <si>
    <t>tuaH-tuaG-tuaF-tuaE-tuaD-tuaC-tuaB-tuaAc-tuaAn</t>
  </si>
  <si>
    <t>BSGatlas-TSS-2918</t>
  </si>
  <si>
    <t>BSGatlas-TSS-2919</t>
  </si>
  <si>
    <t>lytC-lytB-lytA</t>
  </si>
  <si>
    <t>BSGatlas-TSS-2920</t>
  </si>
  <si>
    <t>BSGatlas-terminator-2273</t>
  </si>
  <si>
    <t>BSGatlas-TSS-2922</t>
  </si>
  <si>
    <t>BSGatlas-terminator-2274</t>
  </si>
  <si>
    <t>BSGatlas-TSS-2921</t>
  </si>
  <si>
    <t>BSGatlas-terminator-2276</t>
  </si>
  <si>
    <t>BSGatlas-TSS-2923</t>
  </si>
  <si>
    <t>BSGatlas-TSS-2924</t>
  </si>
  <si>
    <t>BSGatlas-TSS-2925</t>
  </si>
  <si>
    <t>BSGatlas-terminator-2277</t>
  </si>
  <si>
    <t>BSGatlas-TSS-2926</t>
  </si>
  <si>
    <t>BSGatlas-terminator-2278</t>
  </si>
  <si>
    <t>BSGatlas-TSS-2927</t>
  </si>
  <si>
    <t>BSGatlas-terminator-2279</t>
  </si>
  <si>
    <t>BSGatlas-terminator-2281</t>
  </si>
  <si>
    <t>ggaB-ggaA</t>
  </si>
  <si>
    <t>BSGatlas-terminator-2280</t>
  </si>
  <si>
    <t>BSGatlas-TSS-2929</t>
  </si>
  <si>
    <t>BSGatlas-TSS-2930</t>
  </si>
  <si>
    <t>BSGatlas-TSS-2931</t>
  </si>
  <si>
    <t>BSGatlas-terminator-2282</t>
  </si>
  <si>
    <t>BSGatlas-terminator-2283</t>
  </si>
  <si>
    <t>BSGatlas-TSS-2932</t>
  </si>
  <si>
    <t>tagH-tagG-tagF-tagE-tagD</t>
  </si>
  <si>
    <t>BSGatlas-TSS-2935</t>
  </si>
  <si>
    <t>tagF-tagE-tagD</t>
  </si>
  <si>
    <t>BSGatlas-terminator-2284</t>
  </si>
  <si>
    <t>BSGatlas-TSS-2936</t>
  </si>
  <si>
    <t>BSGatlas-terminator-2285</t>
  </si>
  <si>
    <t>tagA-tagB</t>
  </si>
  <si>
    <t>BSGatlas-terminator-2286</t>
  </si>
  <si>
    <t>BSGatlas-TSS-2937</t>
  </si>
  <si>
    <t>BSGatlas-TSS-2938</t>
  </si>
  <si>
    <t>BSGatlas-terminator-2288</t>
  </si>
  <si>
    <t>BSGatlas-TSS-2939</t>
  </si>
  <si>
    <t>BSGatlas-terminator-2287</t>
  </si>
  <si>
    <t>BSGatlas-TSS-2940</t>
  </si>
  <si>
    <t>BSGatlas-TSS-2941</t>
  </si>
  <si>
    <t>BSGatlas-terminator-2289</t>
  </si>
  <si>
    <t>BSGatlas-TSS-2942</t>
  </si>
  <si>
    <t>gerBA-gerBB-gerBC</t>
  </si>
  <si>
    <t>BSGatlas-TSS-2943</t>
  </si>
  <si>
    <t>BSGatlas-terminator-2292</t>
  </si>
  <si>
    <t>BSGatlas-TSS-2944</t>
  </si>
  <si>
    <t>BSGatlas-terminator-2290</t>
  </si>
  <si>
    <t>BSGatlas-terminator-2291</t>
  </si>
  <si>
    <t>BSGatlas-TSS-2945</t>
  </si>
  <si>
    <t>BSGatlas-terminator-2293</t>
  </si>
  <si>
    <t>tagT-ribZB</t>
  </si>
  <si>
    <t>BSGatlas-terminator-2294</t>
  </si>
  <si>
    <t>BSGatlas-TSS-2946</t>
  </si>
  <si>
    <t>BSGatlas-TSS-2947</t>
  </si>
  <si>
    <t>BSGatlas-TSS-2948</t>
  </si>
  <si>
    <t>BSGatlas-terminator-2295</t>
  </si>
  <si>
    <t>BSGatlas-terminator-2296</t>
  </si>
  <si>
    <t>edmS-capA-capC-capB</t>
  </si>
  <si>
    <t>BSGatlas-TSS-2951</t>
  </si>
  <si>
    <t>BSGatlas-terminator-2297</t>
  </si>
  <si>
    <t>BSGatlas-terminator-2298</t>
  </si>
  <si>
    <t>rbsR-rbsK-rbsD-rbsA-rbsC-rbsB</t>
  </si>
  <si>
    <t>BSGatlas-TSS-2950</t>
  </si>
  <si>
    <t>BSGatlas-TSS-2953</t>
  </si>
  <si>
    <t>BSGatlas-terminator-2299</t>
  </si>
  <si>
    <t>BSGatlas-TSS-2954</t>
  </si>
  <si>
    <t>BSGatlas-terminator-2301</t>
  </si>
  <si>
    <t>BSGatlas-TSS-2955</t>
  </si>
  <si>
    <t>BSGatlas-terminator-2300</t>
  </si>
  <si>
    <t>alsD-alsS</t>
  </si>
  <si>
    <t>BSGatlas-TSS-2957</t>
  </si>
  <si>
    <t>BSGatlas-terminator-2302</t>
  </si>
  <si>
    <t>alsR-ywrK</t>
  </si>
  <si>
    <t>BSGatlas-TSS-2956</t>
  </si>
  <si>
    <t>BSGatlas-terminator-2303</t>
  </si>
  <si>
    <t>BSGatlas-TSS-2958</t>
  </si>
  <si>
    <t>BSGatlas-TSS-2959</t>
  </si>
  <si>
    <t>BSGatlas-terminator-2304</t>
  </si>
  <si>
    <t>ywrJ-cotB</t>
  </si>
  <si>
    <t>BSGatlas-TSS-2960</t>
  </si>
  <si>
    <t>ywrJ-cotB-cotH</t>
  </si>
  <si>
    <t>BSGatlas-TSS-2962</t>
  </si>
  <si>
    <t>BSGatlas-terminator-2305</t>
  </si>
  <si>
    <t>cotB-cotH</t>
  </si>
  <si>
    <t>BSGatlas-TSS-2961</t>
  </si>
  <si>
    <t>BSGatlas-terminator-2306</t>
  </si>
  <si>
    <t>BSGatlas-terminator-2308</t>
  </si>
  <si>
    <t>BSGatlas-terminator-2309</t>
  </si>
  <si>
    <t>BSGatlas-TSS-2963</t>
  </si>
  <si>
    <t>BSGatlas-terminator-2307</t>
  </si>
  <si>
    <t>BSGatlas-TSS-2966</t>
  </si>
  <si>
    <t>BSGatlas-TSS-2964</t>
  </si>
  <si>
    <t>BSGatlas-terminator-2310</t>
  </si>
  <si>
    <t>BSGatlas-terminator-2311</t>
  </si>
  <si>
    <t>BSGatlas-TSS-2965</t>
  </si>
  <si>
    <t>BSGatlas-terminator-2312</t>
  </si>
  <si>
    <t>chrS-chrB-chrA</t>
  </si>
  <si>
    <t>BSGatlas-TSS-2967</t>
  </si>
  <si>
    <t>BSGatlas-terminator-2313</t>
  </si>
  <si>
    <t>BSGatlas-terminator-2314</t>
  </si>
  <si>
    <t>BSGatlas-TSS-2968</t>
  </si>
  <si>
    <t>BSGatlas-TSS-2969</t>
  </si>
  <si>
    <t>BSGatlas-terminator-2315</t>
  </si>
  <si>
    <t>nfi-rttO-rttN-ywqI-ywqH</t>
  </si>
  <si>
    <t>BSGatlas-TSS-2970</t>
  </si>
  <si>
    <t>BSGatlas-TSS-2971</t>
  </si>
  <si>
    <t>BSGatlas-terminator-2316</t>
  </si>
  <si>
    <t>BSGatlas-TSS-2972</t>
  </si>
  <si>
    <t>BSGatlas-terminator-2317</t>
  </si>
  <si>
    <t>BSGatlas-TSS-2973</t>
  </si>
  <si>
    <t>uglF-ptpZ-ptkA-tkmA</t>
  </si>
  <si>
    <t>BSGatlas-TSS-2974</t>
  </si>
  <si>
    <t>ptkA-tkmA</t>
  </si>
  <si>
    <t>BSGatlas-terminator-2318</t>
  </si>
  <si>
    <t>BSGatlas-TSS-2975</t>
  </si>
  <si>
    <t>BSGatlas-terminator-2319</t>
  </si>
  <si>
    <t>BSGatlas-TSS-2977</t>
  </si>
  <si>
    <t>BSGatlas-TSS-2978</t>
  </si>
  <si>
    <t>ywqB-hepA</t>
  </si>
  <si>
    <t>BSGatlas-TSS-2976</t>
  </si>
  <si>
    <t>BSGatlas-terminator-2320</t>
  </si>
  <si>
    <t>ywpJ-glcR</t>
  </si>
  <si>
    <t>BSGatlas-TSS-2979</t>
  </si>
  <si>
    <t>BSGatlas-terminator-2321</t>
  </si>
  <si>
    <t>ywpJ-glcR-ssbB</t>
  </si>
  <si>
    <t>BSGatlas-TSS-2980</t>
  </si>
  <si>
    <t>ywpJ-glcR-ssbB-ywpG</t>
  </si>
  <si>
    <t>BSGatlas-TSS-2982</t>
  </si>
  <si>
    <t>glcR-ssbB</t>
  </si>
  <si>
    <t>BSGatlas-terminator-2322</t>
  </si>
  <si>
    <t>ssbB-ywpG</t>
  </si>
  <si>
    <t>BSGatlas-TSS-2981</t>
  </si>
  <si>
    <t>BSGatlas-terminator-2324</t>
  </si>
  <si>
    <t>BSGatlas-TSS-2983</t>
  </si>
  <si>
    <t>BSGatlas-terminator-2323</t>
  </si>
  <si>
    <t>BSGatlas-terminator-2325</t>
  </si>
  <si>
    <t>BSGatlas-terminator-2326</t>
  </si>
  <si>
    <t>BSGatlas-TSS-2984</t>
  </si>
  <si>
    <t>BSGatlas-terminator-2327</t>
  </si>
  <si>
    <t>BSGatlas-terminator-2328</t>
  </si>
  <si>
    <t>mscL-fabZ</t>
  </si>
  <si>
    <t>BSGatlas-TSS-2985</t>
  </si>
  <si>
    <t>BSGatlas-TSS-2988</t>
  </si>
  <si>
    <t>BSGatlas-TSS-2986</t>
  </si>
  <si>
    <t>BSGatlas-terminator-2330</t>
  </si>
  <si>
    <t>BSGatlas-terminator-2331</t>
  </si>
  <si>
    <t>BSGatlas-TSS-2987</t>
  </si>
  <si>
    <t>flhP-flhO</t>
  </si>
  <si>
    <t>BSGatlas-TSS-2990</t>
  </si>
  <si>
    <t>BSGatlas-terminator-2329</t>
  </si>
  <si>
    <t>flhP-flhO-mbl</t>
  </si>
  <si>
    <t>BSGatlas-TSS-2991</t>
  </si>
  <si>
    <t>flhP-flhO-mbl-spoIIID-usd</t>
  </si>
  <si>
    <t>BSGatlas-TSS-2992</t>
  </si>
  <si>
    <t>BSGatlas-TSS-2989</t>
  </si>
  <si>
    <t>BSGatlas-terminator-2332</t>
  </si>
  <si>
    <t>mbl-spoIIID-usd</t>
  </si>
  <si>
    <t>spoIIID-usd</t>
  </si>
  <si>
    <t>BSGatlas-terminator-2333</t>
  </si>
  <si>
    <t>BSGatlas-TSS-2993</t>
  </si>
  <si>
    <t>BSGatlas-terminator-2334</t>
  </si>
  <si>
    <t>BSGatlas-TSS-2994</t>
  </si>
  <si>
    <t>BSGatlas-terminator-2335</t>
  </si>
  <si>
    <t>BSGatlas-terminator-2336</t>
  </si>
  <si>
    <t>BSGatlas-TSS-2995</t>
  </si>
  <si>
    <t>BSGatlas-terminator-2337</t>
  </si>
  <si>
    <t>BSGatlas-terminator-2338</t>
  </si>
  <si>
    <t>ywoD-ywoC</t>
  </si>
  <si>
    <t>BSGatlas-TSS-2996</t>
  </si>
  <si>
    <t>ywoD-ywoC-unnamed_gene-ywoB</t>
  </si>
  <si>
    <t>BSGatlas-TSS-2997</t>
  </si>
  <si>
    <t>BSGatlas-TSS-2999</t>
  </si>
  <si>
    <t>amtB-glnK</t>
  </si>
  <si>
    <t>BSGatlas-TSS-2998</t>
  </si>
  <si>
    <t>BSGatlas-terminator-2339</t>
  </si>
  <si>
    <t>BSGatlas-TSS-3000</t>
  </si>
  <si>
    <t>BSGatlas-TSS-3001</t>
  </si>
  <si>
    <t>BSGatlas-terminator-2340</t>
  </si>
  <si>
    <t>BSGatlas-terminator-2342</t>
  </si>
  <si>
    <t>BSGatlas-TSS-3002</t>
  </si>
  <si>
    <t>BSGatlas-TSS-3004</t>
  </si>
  <si>
    <t>BSGatlas-terminator-2341</t>
  </si>
  <si>
    <t>BSGatlas-TSS-3005</t>
  </si>
  <si>
    <t>BSGatlas-TSS-3008</t>
  </si>
  <si>
    <t>BSGatlas-terminator-2343</t>
  </si>
  <si>
    <t>BSGatlas-terminator-2344</t>
  </si>
  <si>
    <t>ywnH-ywnG</t>
  </si>
  <si>
    <t>BSGatlas-TSS-3006</t>
  </si>
  <si>
    <t>BSGatlas-terminator-2346</t>
  </si>
  <si>
    <t>BSGatlas-terminator-2347</t>
  </si>
  <si>
    <t>BSGatlas-TSS-3007</t>
  </si>
  <si>
    <t>BSGatlas-TSS-3009</t>
  </si>
  <si>
    <t>BSGatlas-TSS-3010</t>
  </si>
  <si>
    <t>BSGatlas-terminator-2345</t>
  </si>
  <si>
    <t>BSGatlas-TSS-3012</t>
  </si>
  <si>
    <t>BSGatlas-TSS-3013</t>
  </si>
  <si>
    <t>BSGatlas-terminator-2348</t>
  </si>
  <si>
    <t>BSGatlas-TSS-3011</t>
  </si>
  <si>
    <t>BSGatlas-terminator-2349</t>
  </si>
  <si>
    <t>BSGatlas-TSS-3014</t>
  </si>
  <si>
    <t>BSGatlas-terminator-2350</t>
  </si>
  <si>
    <t>BSGatlas-TSS-3015</t>
  </si>
  <si>
    <t>BSGatlas-terminator-2351</t>
  </si>
  <si>
    <t>BSGatlas-terminator-2352</t>
  </si>
  <si>
    <t>ywnB-ywnA</t>
  </si>
  <si>
    <t>BSGatlas-TSS-3016</t>
  </si>
  <si>
    <t>BSGatlas-terminator-2353</t>
  </si>
  <si>
    <t>ureC-ureB-ureA</t>
  </si>
  <si>
    <t>BSGatlas-TSS-3017</t>
  </si>
  <si>
    <t>BSGatlas-terminator-2354</t>
  </si>
  <si>
    <t>ureC-ureB-ureA-ywzE</t>
  </si>
  <si>
    <t>BSGatlas-TSS-3018</t>
  </si>
  <si>
    <t>ureC-ureB-ureA-ywzE-ywzF</t>
  </si>
  <si>
    <t>BSGatlas-TSS-3019</t>
  </si>
  <si>
    <t>BSGatlas-terminator-2356</t>
  </si>
  <si>
    <t>BSGatlas-TSS-3021</t>
  </si>
  <si>
    <t>BSGatlas-terminator-2355</t>
  </si>
  <si>
    <t>csbD-ywmF</t>
  </si>
  <si>
    <t>BSGatlas-TSS-3022</t>
  </si>
  <si>
    <t>BSGatlas-TSS-3023</t>
  </si>
  <si>
    <t>BSGatlas-terminator-2357</t>
  </si>
  <si>
    <t>BSGatlas-TSS-3024</t>
  </si>
  <si>
    <t>BSGatlas-terminator-2358</t>
  </si>
  <si>
    <t>moaA-fdhD</t>
  </si>
  <si>
    <t>BSGatlas-TSS-3025</t>
  </si>
  <si>
    <t>BSGatlas-terminator-2359</t>
  </si>
  <si>
    <t>BSGatlas-TSS-3026</t>
  </si>
  <si>
    <t>BSGatlas-terminator-2360</t>
  </si>
  <si>
    <t>BSGatlas-terminator-2361</t>
  </si>
  <si>
    <t>BSGatlas-terminator-2362</t>
  </si>
  <si>
    <t>BSGatlas-TSS-3028</t>
  </si>
  <si>
    <t>BSGatlas-terminator-2363</t>
  </si>
  <si>
    <t>BSGatlas-TSS-3030</t>
  </si>
  <si>
    <t>BSGatlas-terminator-2364</t>
  </si>
  <si>
    <t>murAA-ywmB</t>
  </si>
  <si>
    <t>BSGatlas-TSS-3031</t>
  </si>
  <si>
    <t>BSGatlas-TSS-3032</t>
  </si>
  <si>
    <t>murAA-ywmB-ywzB</t>
  </si>
  <si>
    <t>BSGatlas-TSS-3034</t>
  </si>
  <si>
    <t>BSGatlas-TSS-3033</t>
  </si>
  <si>
    <t>BSGatlas-TSS-3035</t>
  </si>
  <si>
    <t>BSGatlas-terminator-2366</t>
  </si>
  <si>
    <t>atpC-atpD-atpG-atpA-atpH-atpF-atpE-atpB</t>
  </si>
  <si>
    <t>BSGatlas-TSS-3037</t>
  </si>
  <si>
    <t>atpC-atpD-atpG-atpA-atpH-atpF-atpE-atpB-atpI</t>
  </si>
  <si>
    <t>BSGatlas-TSS-3039</t>
  </si>
  <si>
    <t>BSGatlas-TSS-3040</t>
  </si>
  <si>
    <t>BSGatlas-terminator-2367</t>
  </si>
  <si>
    <t>BSGatlas-TSS-3041</t>
  </si>
  <si>
    <t>BSGatlas-terminator-2368</t>
  </si>
  <si>
    <t>BSGatlas-terminator-2369</t>
  </si>
  <si>
    <t>ywlG-rpiB</t>
  </si>
  <si>
    <t>BSGatlas-TSS-3042</t>
  </si>
  <si>
    <t>BSGatlas-terminator-2370</t>
  </si>
  <si>
    <t>ywlG-rpiB-prpB</t>
  </si>
  <si>
    <t>BSGatlas-TSS-3043</t>
  </si>
  <si>
    <t>ywlG-rpiB-prpB-mntP</t>
  </si>
  <si>
    <t>BSGatlas-TSS-3044</t>
  </si>
  <si>
    <t>BSGatlas-TSS-3045</t>
  </si>
  <si>
    <t>BSGatlas-terminator-2371</t>
  </si>
  <si>
    <t>BSGatlas-terminator-2372</t>
  </si>
  <si>
    <t>BSGatlas-TSS-3046</t>
  </si>
  <si>
    <t>BSGatlas-TSS-3047</t>
  </si>
  <si>
    <t>BSGatlas-TSS-3048</t>
  </si>
  <si>
    <t>BSGatlas-TSS-3049</t>
  </si>
  <si>
    <t>BSGatlas-terminator-2373</t>
  </si>
  <si>
    <t>BSGatlas-TSS-3050</t>
  </si>
  <si>
    <t>BSGatlas-terminator-2374</t>
  </si>
  <si>
    <t>BSGatlas-TSS-3052</t>
  </si>
  <si>
    <t>ywkD-racA</t>
  </si>
  <si>
    <t>BSGatlas-TSS-3051</t>
  </si>
  <si>
    <t>BSGatlas-terminator-2376</t>
  </si>
  <si>
    <t>BSGatlas-TSS-3053</t>
  </si>
  <si>
    <t>BSGatlas-TSS-3054</t>
  </si>
  <si>
    <t>BSGatlas-TSS-3055</t>
  </si>
  <si>
    <t>BSGatlas-terminator-2377</t>
  </si>
  <si>
    <t>BSGatlas-TSS-3056</t>
  </si>
  <si>
    <t>ywkB-maeA</t>
  </si>
  <si>
    <t>BSGatlas-TSS-3057</t>
  </si>
  <si>
    <t>BSGatlas-terminator-2378</t>
  </si>
  <si>
    <t>BSGatlas-terminator-2379</t>
  </si>
  <si>
    <t>BSGatlas-TSS-3058</t>
  </si>
  <si>
    <t>BSGatlas-terminator-2380</t>
  </si>
  <si>
    <t>rpmEA-rho</t>
  </si>
  <si>
    <t>BSGatlas-terminator-2381</t>
  </si>
  <si>
    <t>BSGatlas-TSS-3059</t>
  </si>
  <si>
    <t>BSGatlas-terminator-2382</t>
  </si>
  <si>
    <t>glpX-murAB</t>
  </si>
  <si>
    <t>tal-fbaA</t>
  </si>
  <si>
    <t>BSGatlas-TSS-3061</t>
  </si>
  <si>
    <t>BSGatlas-terminator-2383</t>
  </si>
  <si>
    <t>BSGatlas-terminator-2384</t>
  </si>
  <si>
    <t>BSGatlas-terminator-2385</t>
  </si>
  <si>
    <t>BSGatlas-TSS-3062</t>
  </si>
  <si>
    <t>BSGatlas-TSS-3063</t>
  </si>
  <si>
    <t>BSGatlas-TSS-3067</t>
  </si>
  <si>
    <t>BSGatlas-TSS-3064</t>
  </si>
  <si>
    <t>BSGatlas-terminator-2387</t>
  </si>
  <si>
    <t>BSGatlas-TSS-3065</t>
  </si>
  <si>
    <t>BSGatlas-TSS-3066</t>
  </si>
  <si>
    <t>BSGatlas-TSS-3068</t>
  </si>
  <si>
    <t>BSGatlas-terminator-2386</t>
  </si>
  <si>
    <t>pyrG-PyrG-leader-rpoE</t>
  </si>
  <si>
    <t>BSGatlas-TSS-3069</t>
  </si>
  <si>
    <t>BSGatlas-TSS-3070</t>
  </si>
  <si>
    <t>pyrG-PyrG-leader-rpoE-acdA-fadF</t>
  </si>
  <si>
    <t>BSGatlas-TSS-3071</t>
  </si>
  <si>
    <t>PyrG-leader-rpoE</t>
  </si>
  <si>
    <t>BSGatlas-terminator-2388</t>
  </si>
  <si>
    <t>PyrG-leader-rpoE-acdA-fadF</t>
  </si>
  <si>
    <t>BSGatlas-terminator-2389</t>
  </si>
  <si>
    <t>rpoE-acdA-fadF</t>
  </si>
  <si>
    <t>clsB-uvsE</t>
  </si>
  <si>
    <t>BSGatlas-TSS-3072</t>
  </si>
  <si>
    <t>BSGatlas-TSS-3073</t>
  </si>
  <si>
    <t>BSGatlas-TSS-3074</t>
  </si>
  <si>
    <t>BSGatlas-terminator-2392</t>
  </si>
  <si>
    <t>BSGatlas-terminator-2394</t>
  </si>
  <si>
    <t>BSGatlas-terminator-2390</t>
  </si>
  <si>
    <t>ywjB-ywjA</t>
  </si>
  <si>
    <t>BSGatlas-TSS-3075</t>
  </si>
  <si>
    <t>ywjB-ywjA-clsC</t>
  </si>
  <si>
    <t>BSGatlas-TSS-3076</t>
  </si>
  <si>
    <t>BSGatlas-terminator-2391</t>
  </si>
  <si>
    <t>BSGatlas-terminator-2393</t>
  </si>
  <si>
    <t>narI-narJ-narH-narG</t>
  </si>
  <si>
    <t>BSGatlas-TSS-3077</t>
  </si>
  <si>
    <t>BSGatlas-terminator-2395</t>
  </si>
  <si>
    <t>BSGatlas-TSS-3078</t>
  </si>
  <si>
    <t>BSGatlas-terminator-2396</t>
  </si>
  <si>
    <t>BSGatlas-TSS-3079</t>
  </si>
  <si>
    <t>BSGatlas-terminator-2397</t>
  </si>
  <si>
    <t>BSGatlas-TSS-3080</t>
  </si>
  <si>
    <t>BSGatlas-terminator-2398</t>
  </si>
  <si>
    <t>BSGatlas-TSS-3081</t>
  </si>
  <si>
    <t>BSGatlas-terminator-2399</t>
  </si>
  <si>
    <t>fnr-narK</t>
  </si>
  <si>
    <t>BSGatlas-TSS-3082</t>
  </si>
  <si>
    <t>BSGatlas-terminator-2400</t>
  </si>
  <si>
    <t>BSGatlas-terminator-2401</t>
  </si>
  <si>
    <t>argS-ywiB</t>
  </si>
  <si>
    <t>BSGatlas-TSS-3084</t>
  </si>
  <si>
    <t>BSGatlas-TSS-3085</t>
  </si>
  <si>
    <t>BSGatlas-TSS-3083</t>
  </si>
  <si>
    <t>BSGatlas-terminator-2403</t>
  </si>
  <si>
    <t>sboA-sboX-albA-albB-albC-albD-albE-albF-albG</t>
  </si>
  <si>
    <t>BSGatlas-TSS-3086</t>
  </si>
  <si>
    <t>ywhL-ywhK</t>
  </si>
  <si>
    <t>BSGatlas-TSS-3088</t>
  </si>
  <si>
    <t>BSGatlas-terminator-2404</t>
  </si>
  <si>
    <t>BSGatlas-terminator-2405</t>
  </si>
  <si>
    <t>rapF-phrF</t>
  </si>
  <si>
    <t>BSGatlas-TSS-3089</t>
  </si>
  <si>
    <t>BSGatlas-terminator-2409</t>
  </si>
  <si>
    <t>speB-speE</t>
  </si>
  <si>
    <t>BSGatlas-TSS-3091</t>
  </si>
  <si>
    <t>BSGatlas-terminator-2407</t>
  </si>
  <si>
    <t>BSGatlas-TSS-3090</t>
  </si>
  <si>
    <t>BSGatlas-terminator-2408</t>
  </si>
  <si>
    <t>BSGatlas-terminator-2411</t>
  </si>
  <si>
    <t>BSGatlas-terminator-2410</t>
  </si>
  <si>
    <t>BSGatlas-terminator-2412</t>
  </si>
  <si>
    <t>BSGatlas-terminator-2413</t>
  </si>
  <si>
    <t>BSGatlas-TSS-3092</t>
  </si>
  <si>
    <t>BSGatlas-terminator-2414</t>
  </si>
  <si>
    <t>ywhD-ywhC</t>
  </si>
  <si>
    <t>BSGatlas-TSS-3094</t>
  </si>
  <si>
    <t>BSGatlas-terminator-2415</t>
  </si>
  <si>
    <t>BSGatlas-TSS-3093</t>
  </si>
  <si>
    <t>BSGatlas-terminator-2416</t>
  </si>
  <si>
    <t>BSGatlas-TSS-3095</t>
  </si>
  <si>
    <t>BSGatlas-terminator-2417</t>
  </si>
  <si>
    <t>ywhA-thrZ</t>
  </si>
  <si>
    <t>BSGatlas-TSS-3096</t>
  </si>
  <si>
    <t>BSGatlas-terminator-2418</t>
  </si>
  <si>
    <t>BSGatlas-terminator-2419</t>
  </si>
  <si>
    <t>BSGatlas-terminator-2420</t>
  </si>
  <si>
    <t>BSGatlas-terminator-2421</t>
  </si>
  <si>
    <t>BSGatlas-TSS-3098</t>
  </si>
  <si>
    <t>BSGatlas-terminator-2423</t>
  </si>
  <si>
    <t>ywgA-ywfO</t>
  </si>
  <si>
    <t>BSGatlas-TSS-3099</t>
  </si>
  <si>
    <t>ywgA-ywfO-ywzC</t>
  </si>
  <si>
    <t>BSGatlas-TSS-3100</t>
  </si>
  <si>
    <t>BSGatlas-terminator-2424</t>
  </si>
  <si>
    <t>BSGatlas-TSS-3101</t>
  </si>
  <si>
    <t>BSGatlas-terminator-2425</t>
  </si>
  <si>
    <t>BSGatlas-TSS-3103</t>
  </si>
  <si>
    <t>BSGatlas-terminator-2426</t>
  </si>
  <si>
    <t>BSGatlas-terminator-2427</t>
  </si>
  <si>
    <t>BSGatlas-TSS-3104</t>
  </si>
  <si>
    <t>BSGatlas-TSS-3105</t>
  </si>
  <si>
    <t>BSGatlas-terminator-2428</t>
  </si>
  <si>
    <t>BSGatlas-TSS-3106</t>
  </si>
  <si>
    <t>BSGatlas-TSS-3107</t>
  </si>
  <si>
    <t>BSGatlas-TSS-3108</t>
  </si>
  <si>
    <t>BSGatlas-terminator-2429</t>
  </si>
  <si>
    <t>BSGatlas-TSS-3109</t>
  </si>
  <si>
    <t>BSGatlas-terminator-2430</t>
  </si>
  <si>
    <t>bacF-bacE-bacD-bacC-bacB-bacA</t>
  </si>
  <si>
    <t>BSGatlas-TSS-3112</t>
  </si>
  <si>
    <t>BSGatlas-TSS-3111</t>
  </si>
  <si>
    <t>BSGatlas-TSS-3113</t>
  </si>
  <si>
    <t>BSGatlas-terminator-2431</t>
  </si>
  <si>
    <t>BSGatlas-terminator-2432</t>
  </si>
  <si>
    <t>BSGatlas-TSS-3114</t>
  </si>
  <si>
    <t>BSGatlas-terminator-2433</t>
  </si>
  <si>
    <t>rocC-rocB-rocA</t>
  </si>
  <si>
    <t>BSGatlas-TSS-3115</t>
  </si>
  <si>
    <t>BSGatlas-terminator-2434</t>
  </si>
  <si>
    <t>BSGatlas-TSS-3116</t>
  </si>
  <si>
    <t>BSGatlas-terminator-2435</t>
  </si>
  <si>
    <t>BSGatlas-TSS-3117</t>
  </si>
  <si>
    <t>BSGatlas-terminator-2436</t>
  </si>
  <si>
    <t>spsL-spsK-spsJ-spsI-spsG-spsF-spsE-spsD-spsC-spsB-spsA</t>
  </si>
  <si>
    <t>BSGatlas-TSS-3121</t>
  </si>
  <si>
    <t>BSGatlas-terminator-2437</t>
  </si>
  <si>
    <t>BSGatlas-TSS-3122</t>
  </si>
  <si>
    <t>BSGatlas-terminator-2439</t>
  </si>
  <si>
    <t>ywdK-ywdJ-ywdI</t>
  </si>
  <si>
    <t>BSGatlas-TSS-3123</t>
  </si>
  <si>
    <t>BSGatlas-terminator-2438</t>
  </si>
  <si>
    <t>BSGatlas-TSS-3124</t>
  </si>
  <si>
    <t>BSGatlas-terminator-2441</t>
  </si>
  <si>
    <t>BSGatlas-TSS-3125</t>
  </si>
  <si>
    <t>BSGatlas-terminator-2440</t>
  </si>
  <si>
    <t>BSGatlas-TSS-3126</t>
  </si>
  <si>
    <t>ung-ywdF</t>
  </si>
  <si>
    <t>BSGatlas-TSS-3127</t>
  </si>
  <si>
    <t>BSGatlas-TSS-3128</t>
  </si>
  <si>
    <t>BSGatlas-TSS-3129</t>
  </si>
  <si>
    <t>BSGatlas-terminator-2442</t>
  </si>
  <si>
    <t>BSGatlas-terminator-2443</t>
  </si>
  <si>
    <t>BSGatlas-TSS-3130</t>
  </si>
  <si>
    <t>BSGatlas-terminator-2444</t>
  </si>
  <si>
    <t>ywdA-sacA-sacP</t>
  </si>
  <si>
    <t>BSGatlas-TSS-3131</t>
  </si>
  <si>
    <t>BSGatlas-TSS-3132</t>
  </si>
  <si>
    <t>BSGatlas-TSS-3133</t>
  </si>
  <si>
    <t>BSGatlas-TSS-3135</t>
  </si>
  <si>
    <t>BSGatlas-terminator-2445</t>
  </si>
  <si>
    <t>sacT-ywcI</t>
  </si>
  <si>
    <t>BSGatlas-TSS-3136</t>
  </si>
  <si>
    <t>BSGatlas-TSS-3134</t>
  </si>
  <si>
    <t>BSGatlas-terminator-2447</t>
  </si>
  <si>
    <t>BSGatlas-terminator-2448</t>
  </si>
  <si>
    <t>BSGatlas-terminator-2446</t>
  </si>
  <si>
    <t>BSGatlas-TSS-3137</t>
  </si>
  <si>
    <t>BSGatlas-terminator-2450</t>
  </si>
  <si>
    <t>BSGatlas-TSS-3138</t>
  </si>
  <si>
    <t>ywcH-nfrAA</t>
  </si>
  <si>
    <t>BSGatlas-TSS-3139</t>
  </si>
  <si>
    <t>BSGatlas-terminator-2449</t>
  </si>
  <si>
    <t>BSGatlas-terminator-2451</t>
  </si>
  <si>
    <t>BSGatlas-terminator-2452</t>
  </si>
  <si>
    <t>BSGatlas-TSS-3140</t>
  </si>
  <si>
    <t>BSGatlas-terminator-2453</t>
  </si>
  <si>
    <t>BSGatlas-TSS-3141</t>
  </si>
  <si>
    <t>BSGatlas-terminator-2454</t>
  </si>
  <si>
    <t>BSGatlas-terminator-2456</t>
  </si>
  <si>
    <t>BSGatlas-terminator-2455</t>
  </si>
  <si>
    <t>qoxD-qoxC-qoxB-qoxA</t>
  </si>
  <si>
    <t>BSGatlas-TSS-3144</t>
  </si>
  <si>
    <t>BSGatlas-TSS-3146</t>
  </si>
  <si>
    <t>BSGatlas-TSS-3147</t>
  </si>
  <si>
    <t>BSGatlas-TSS-3148</t>
  </si>
  <si>
    <t>BSGatlas-TSS-3143</t>
  </si>
  <si>
    <t>BSGatlas-terminator-2459</t>
  </si>
  <si>
    <t>BSGatlas-terminator-2460</t>
  </si>
  <si>
    <t>BSGatlas-TSS-3145</t>
  </si>
  <si>
    <t>BSGatlas-TSS-3149</t>
  </si>
  <si>
    <t>galT-galK</t>
  </si>
  <si>
    <t>BSGatlas-TSS-3150</t>
  </si>
  <si>
    <t>BSGatlas-terminator-2461</t>
  </si>
  <si>
    <t>galT-galK-ywcD-slrC</t>
  </si>
  <si>
    <t>BSGatlas-TSS-3151</t>
  </si>
  <si>
    <t>BSGatlas-TSS-3154</t>
  </si>
  <si>
    <t>BSGatlas-TSS-3152</t>
  </si>
  <si>
    <t>vbfB-vbfA</t>
  </si>
  <si>
    <t>BSGatlas-TSS-3153</t>
  </si>
  <si>
    <t>BSGatlas-terminator-2463</t>
  </si>
  <si>
    <t>BSGatlas-terminator-2462</t>
  </si>
  <si>
    <t>ywbO-efeB</t>
  </si>
  <si>
    <t>BSGatlas-TSS-3155</t>
  </si>
  <si>
    <t>ywbO-efeB-efeM-efeU</t>
  </si>
  <si>
    <t>BSGatlas-TSS-3156</t>
  </si>
  <si>
    <t>BSGatlas-terminator-2464</t>
  </si>
  <si>
    <t>BSGatlas-terminator-2465</t>
  </si>
  <si>
    <t>efeB-efeM-efeU</t>
  </si>
  <si>
    <t>thiE-thiM-cidR</t>
  </si>
  <si>
    <t>BSGatlas-TSS-3157</t>
  </si>
  <si>
    <t>BSGatlas-terminator-2466</t>
  </si>
  <si>
    <t>BSGatlas-TSS-3158</t>
  </si>
  <si>
    <t>BSGatlas-terminator-2467</t>
  </si>
  <si>
    <t>cidA-cidB</t>
  </si>
  <si>
    <t>BSGatlas-TSS-3159</t>
  </si>
  <si>
    <t>BSGatlas-terminator-2468</t>
  </si>
  <si>
    <t>ywbF-ywbE</t>
  </si>
  <si>
    <t>BSGatlas-TSS-3160</t>
  </si>
  <si>
    <t>BSGatlas-terminator-2469</t>
  </si>
  <si>
    <t>BSGatlas-TSS-3161</t>
  </si>
  <si>
    <t>BSGatlas-terminator-2470</t>
  </si>
  <si>
    <t>BSGatlas-terminator-2471</t>
  </si>
  <si>
    <t>BSGatlas-TSS-3162</t>
  </si>
  <si>
    <t>BSGatlas-terminator-2472</t>
  </si>
  <si>
    <t>BSGatlas-terminator-2473</t>
  </si>
  <si>
    <t>BSGatlas-terminator-2475</t>
  </si>
  <si>
    <t>BSGatlas-TSS-3163</t>
  </si>
  <si>
    <t>BSGatlas-terminator-2474</t>
  </si>
  <si>
    <t>ywbB-ywbA</t>
  </si>
  <si>
    <t>BSGatlas-TSS-3164</t>
  </si>
  <si>
    <t>BSGatlas-TSS-3167</t>
  </si>
  <si>
    <t>BSGatlas-TSS-3165</t>
  </si>
  <si>
    <t>BSGatlas-terminator-2476</t>
  </si>
  <si>
    <t>BSGatlas-TSS-3166</t>
  </si>
  <si>
    <t>BSGatlas-terminator-2477</t>
  </si>
  <si>
    <t>sacX-sacY</t>
  </si>
  <si>
    <t>BSGatlas-TSS-3168</t>
  </si>
  <si>
    <t>BSGatlas-terminator-2480</t>
  </si>
  <si>
    <t>BSGatlas-terminator-2481</t>
  </si>
  <si>
    <t>BSGatlas-TSS-3169</t>
  </si>
  <si>
    <t>BSGatlas-TSS-3170</t>
  </si>
  <si>
    <t>BSGatlas-terminator-2478</t>
  </si>
  <si>
    <t>BSGatlas-terminator-2479</t>
  </si>
  <si>
    <t>BSGatlas-TSS-3172</t>
  </si>
  <si>
    <t>tyrZR-T-box_tboYB</t>
  </si>
  <si>
    <t>BSGatlas-TSS-3171</t>
  </si>
  <si>
    <t>BSGatlas-terminator-2482</t>
  </si>
  <si>
    <t>tyrZR-T-box_tboYB-tyrZ</t>
  </si>
  <si>
    <t>BSGatlas-terminator-2483</t>
  </si>
  <si>
    <t>BSGatlas-TSS-3173</t>
  </si>
  <si>
    <t>BSGatlas-TSS-3174</t>
  </si>
  <si>
    <t>BSGatlas-terminator-2484</t>
  </si>
  <si>
    <t>BSGatlas-terminator-2486</t>
  </si>
  <si>
    <t>BSGatlas-TSS-3175</t>
  </si>
  <si>
    <t>BSGatlas-terminator-2485</t>
  </si>
  <si>
    <t>BSGatlas-TSS-3177</t>
  </si>
  <si>
    <t>BSGatlas-terminator-2487</t>
  </si>
  <si>
    <t>BSGatlas-TSS-3178</t>
  </si>
  <si>
    <t>ywzH-dltA-dltB-dltC-dltD-dltE</t>
  </si>
  <si>
    <t>BSGatlas-TSS-3176</t>
  </si>
  <si>
    <t>BSGatlas-terminator-2489</t>
  </si>
  <si>
    <t>BSGatlas-TSS-3182</t>
  </si>
  <si>
    <t>BSGatlas-TSS-3179</t>
  </si>
  <si>
    <t>BSGatlas-TSS-3180</t>
  </si>
  <si>
    <t>BSGatlas-TSS-3181</t>
  </si>
  <si>
    <t>dltA-dltB-dltC-dltD-dltE</t>
  </si>
  <si>
    <t>licH-licA-licC-licB</t>
  </si>
  <si>
    <t>BSGatlas-TSS-3184</t>
  </si>
  <si>
    <t>BSGatlas-terminator-2488</t>
  </si>
  <si>
    <t>BSGatlas-TSS-3183</t>
  </si>
  <si>
    <t>BSGatlas-terminator-2490</t>
  </si>
  <si>
    <t>BSGatlas-terminator-2492</t>
  </si>
  <si>
    <t>BSGatlas-terminator-2491</t>
  </si>
  <si>
    <t>BSGatlas-TSS-3186</t>
  </si>
  <si>
    <t>BSGatlas-terminator-2493</t>
  </si>
  <si>
    <t>yxzF-aag</t>
  </si>
  <si>
    <t>BSGatlas-TSS-3187</t>
  </si>
  <si>
    <t>BSGatlas-terminator-2494</t>
  </si>
  <si>
    <t>BSGatlas-TSS-3188</t>
  </si>
  <si>
    <t>BSGatlas-TSS-3189</t>
  </si>
  <si>
    <t>BSGatlas-terminator-2496</t>
  </si>
  <si>
    <t>BSGatlas-TSS-3190</t>
  </si>
  <si>
    <t>BSGatlas-TSS-3191</t>
  </si>
  <si>
    <t>yxlG-yxlF-yxlE-yxlD-yxlC-sigY</t>
  </si>
  <si>
    <t>BSGatlas-TSS-3193</t>
  </si>
  <si>
    <t>BSGatlas-terminator-2497</t>
  </si>
  <si>
    <t>BSGatlas-TSS-3194</t>
  </si>
  <si>
    <t>BSGatlas-TSS-3192</t>
  </si>
  <si>
    <t>BSGatlas-terminator-2498</t>
  </si>
  <si>
    <t>BSGatlas-terminator-2500</t>
  </si>
  <si>
    <t>BSGatlas-TSS-3195</t>
  </si>
  <si>
    <t>BSGatlas-TSS-3196</t>
  </si>
  <si>
    <t>BSGatlas-TSS-3197</t>
  </si>
  <si>
    <t>BSGatlas-terminator-2499</t>
  </si>
  <si>
    <t>BSGatlas-TSS-3198</t>
  </si>
  <si>
    <t>BSGatlas-terminator-2501</t>
  </si>
  <si>
    <t>cydD-cydC-cydB</t>
  </si>
  <si>
    <t>BSGatlas-TSS-3199</t>
  </si>
  <si>
    <t>cydD-cydC-cydB-cydA</t>
  </si>
  <si>
    <t>BSGatlas-TSS-3200</t>
  </si>
  <si>
    <t>BSGatlas-TSS-3201</t>
  </si>
  <si>
    <t>BSGatlas-terminator-2502</t>
  </si>
  <si>
    <t>BSGatlas-TSS-3202</t>
  </si>
  <si>
    <t>BSGatlas-terminator-2504</t>
  </si>
  <si>
    <t>BSGatlas-TSS-3203</t>
  </si>
  <si>
    <t>BSGatlas-TSS-3204</t>
  </si>
  <si>
    <t>BSGatlas-terminator-2506</t>
  </si>
  <si>
    <t>BSGatlas-terminator-2507</t>
  </si>
  <si>
    <t>BSGatlas-TSS-3205</t>
  </si>
  <si>
    <t>BSGatlas-terminator-2505</t>
  </si>
  <si>
    <t>BSGatlas-TSS-3206</t>
  </si>
  <si>
    <t>BSGatlas-terminator-2508</t>
  </si>
  <si>
    <t>msmX-yxkF</t>
  </si>
  <si>
    <t>BSGatlas-TSS-3207</t>
  </si>
  <si>
    <t>BSGatlas-TSS-3210</t>
  </si>
  <si>
    <t>BSGatlas-TSS-3208</t>
  </si>
  <si>
    <t>BSGatlas-terminator-2510</t>
  </si>
  <si>
    <t>BSGatlas-TSS-3209</t>
  </si>
  <si>
    <t>BSGatlas-TSS-3211</t>
  </si>
  <si>
    <t>BSGatlas-terminator-2509</t>
  </si>
  <si>
    <t>BSGatlas-TSS-3214</t>
  </si>
  <si>
    <t>BSGatlas-terminator-2511</t>
  </si>
  <si>
    <t>BSGatlas-TSS-3212</t>
  </si>
  <si>
    <t>BSGatlas-terminator-2512</t>
  </si>
  <si>
    <t>BSGatlas-terminator-2514</t>
  </si>
  <si>
    <t>BSGatlas-TSS-3213</t>
  </si>
  <si>
    <t>BSGatlas-TSS-3215</t>
  </si>
  <si>
    <t>BSGatlas-terminator-2513</t>
  </si>
  <si>
    <t>galE-yxkA</t>
  </si>
  <si>
    <t>BSGatlas-TSS-3216</t>
  </si>
  <si>
    <t>BSGatlas-TSS-3217</t>
  </si>
  <si>
    <t>BSGatlas-TSS-3218</t>
  </si>
  <si>
    <t>BSGatlas-terminator-2515</t>
  </si>
  <si>
    <t>BSGatlas-TSS-3219</t>
  </si>
  <si>
    <t>BSGatlas-terminator-2517</t>
  </si>
  <si>
    <t>BSGatlas-TSS-3220</t>
  </si>
  <si>
    <t>BSGatlas-terminator-2518</t>
  </si>
  <si>
    <t>BSGatlas-TSS-3221</t>
  </si>
  <si>
    <t>BSGatlas-terminator-2519</t>
  </si>
  <si>
    <t>yxjJ-yxjI</t>
  </si>
  <si>
    <t>BSGatlas-TSS-3222</t>
  </si>
  <si>
    <t>BSGatlas-TSS-3223</t>
  </si>
  <si>
    <t>BSGatlas-TSS-3224</t>
  </si>
  <si>
    <t>BSGatlas-TSS-3225</t>
  </si>
  <si>
    <t>BSGatlas-terminator-2520</t>
  </si>
  <si>
    <t>BSGatlas-TSS-3226</t>
  </si>
  <si>
    <t>BSGatlas-TSS-3227</t>
  </si>
  <si>
    <t>BSGatlas-terminator-2523</t>
  </si>
  <si>
    <t>BSGatlas-terminator-2525</t>
  </si>
  <si>
    <t>BSGatlas-terminator-2521</t>
  </si>
  <si>
    <t>BSGatlas-terminator-2522</t>
  </si>
  <si>
    <t>yxjF-scoB-scoA</t>
  </si>
  <si>
    <t>BSGatlas-TSS-3228</t>
  </si>
  <si>
    <t>BSGatlas-terminator-2524</t>
  </si>
  <si>
    <t>yxjF-scoB-scoA-yxjC</t>
  </si>
  <si>
    <t>BSGatlas-TSS-3229</t>
  </si>
  <si>
    <t>BSGatlas-TSS-3230</t>
  </si>
  <si>
    <t>BSGatlas-terminator-2526</t>
  </si>
  <si>
    <t>BSGatlas-TSS-3233</t>
  </si>
  <si>
    <t>BSGatlas-TSS-3231</t>
  </si>
  <si>
    <t>BSGatlas-terminator-2527</t>
  </si>
  <si>
    <t>BSGatlas-terminator-2529</t>
  </si>
  <si>
    <t>BSGatlas-terminator-2530</t>
  </si>
  <si>
    <t>BSGatlas-TSS-3232</t>
  </si>
  <si>
    <t>BSGatlas-terminator-2528</t>
  </si>
  <si>
    <t>BSGatlas-TSS-3234</t>
  </si>
  <si>
    <t>BSGatlas-TSS-3235</t>
  </si>
  <si>
    <t>BSGatlas-terminator-2531</t>
  </si>
  <si>
    <t>yxiS-katE</t>
  </si>
  <si>
    <t>BSGatlas-TSS-3236</t>
  </si>
  <si>
    <t>BSGatlas-TSS-3237</t>
  </si>
  <si>
    <t>BSGatlas-terminator-2532</t>
  </si>
  <si>
    <t>BSGatlas-TSS-3238</t>
  </si>
  <si>
    <t>BSGatlas-terminator-2533</t>
  </si>
  <si>
    <t>bglS-licT</t>
  </si>
  <si>
    <t>BSGatlas-TSS-3239</t>
  </si>
  <si>
    <t>bglS-licT-yxiP</t>
  </si>
  <si>
    <t>BSGatlas-TSS-3240</t>
  </si>
  <si>
    <t>BSGatlas-TSS-3242</t>
  </si>
  <si>
    <t>BSGatlas-terminator-2534</t>
  </si>
  <si>
    <t>BSGatlas-terminator-2535</t>
  </si>
  <si>
    <t>licT-yxiP</t>
  </si>
  <si>
    <t>BSGatlas-TSS-3241</t>
  </si>
  <si>
    <t>BSGatlas-terminator-2536</t>
  </si>
  <si>
    <t>BSGatlas-terminator-2539</t>
  </si>
  <si>
    <t>BSGatlas-TSS-3243</t>
  </si>
  <si>
    <t>BSGatlas-terminator-2537</t>
  </si>
  <si>
    <t>deaD-yxiM</t>
  </si>
  <si>
    <t>BSGatlas-TSS-3244</t>
  </si>
  <si>
    <t>BSGatlas-terminator-2538</t>
  </si>
  <si>
    <t>wapI-wapA</t>
  </si>
  <si>
    <t>BSGatlas-TSS-3246</t>
  </si>
  <si>
    <t>BSGatlas-terminator-2540</t>
  </si>
  <si>
    <t>BSGatlas-terminator-2541</t>
  </si>
  <si>
    <t>BSGatlas-terminator-2542</t>
  </si>
  <si>
    <t>BSGatlas-TSS-3247</t>
  </si>
  <si>
    <t>BSGatlas-terminator-2543</t>
  </si>
  <si>
    <t>yxiE-bglH-bglP</t>
  </si>
  <si>
    <t>BSGatlas-TSS-3248</t>
  </si>
  <si>
    <t>BSGatlas-TSS-3249</t>
  </si>
  <si>
    <t>BSGatlas-terminator-2544</t>
  </si>
  <si>
    <t>BSGatlas-terminator-2545</t>
  </si>
  <si>
    <t>yxxE-rtbE-rtbD</t>
  </si>
  <si>
    <t>BSGatlas-TSS-3250</t>
  </si>
  <si>
    <t>BSGatlas-terminator-2546</t>
  </si>
  <si>
    <t>yxxE-rtbE-rtbD-yxiC-yxiB</t>
  </si>
  <si>
    <t>BSGatlas-TSS-3251</t>
  </si>
  <si>
    <t>BSGatlas-terminator-2547</t>
  </si>
  <si>
    <t>BSGatlas-TSS-3252</t>
  </si>
  <si>
    <t>BSGatlas-terminator-2548</t>
  </si>
  <si>
    <t>BSGatlas-terminator-2549</t>
  </si>
  <si>
    <t>BSGatlas-TSS-3253</t>
  </si>
  <si>
    <t>BSGatlas-TSS-3254</t>
  </si>
  <si>
    <t>BSGatlas-TSS-3255</t>
  </si>
  <si>
    <t>BSGatlas-terminator-2550</t>
  </si>
  <si>
    <t>hutP-hutH-hutU-hutI-hutG-hutM</t>
  </si>
  <si>
    <t>BSGatlas-terminator-2552</t>
  </si>
  <si>
    <t>pdp-nupC-deoC</t>
  </si>
  <si>
    <t>BSGatlas-TSS-3257</t>
  </si>
  <si>
    <t>BSGatlas-terminator-2551</t>
  </si>
  <si>
    <t>pdp-nupC-deoC-deoR</t>
  </si>
  <si>
    <t>BSGatlas-TSS-3258</t>
  </si>
  <si>
    <t>BSGatlas-terminator-2553</t>
  </si>
  <si>
    <t>deoC-deoR</t>
  </si>
  <si>
    <t>yxxB-yxeR</t>
  </si>
  <si>
    <t>yxeQ-sndB-yxeO-yxeN-yxeM-snaB-yxeK</t>
  </si>
  <si>
    <t>BSGatlas-TSS-3261</t>
  </si>
  <si>
    <t>BSGatlas-TSS-3262</t>
  </si>
  <si>
    <t>yxeJ-yxeI</t>
  </si>
  <si>
    <t>BSGatlas-TSS-3264</t>
  </si>
  <si>
    <t>BSGatlas-terminator-2555</t>
  </si>
  <si>
    <t>BSGatlas-TSS-3263</t>
  </si>
  <si>
    <t>BSGatlas-TSS-3265</t>
  </si>
  <si>
    <t>BSGatlas-terminator-2556</t>
  </si>
  <si>
    <t>hadM-yxeG-yxeF</t>
  </si>
  <si>
    <t>BSGatlas-TSS-3267</t>
  </si>
  <si>
    <t>BSGatlas-TSS-3268</t>
  </si>
  <si>
    <t>BSGatlas-TSS-3269</t>
  </si>
  <si>
    <t>BSGatlas-TSS-3266</t>
  </si>
  <si>
    <t>BSGatlas-terminator-2557</t>
  </si>
  <si>
    <t>BSGatlas-terminator-2558</t>
  </si>
  <si>
    <t>BSGatlas-TSS-3270</t>
  </si>
  <si>
    <t>BSGatlas-terminator-2559</t>
  </si>
  <si>
    <t>BSGatlas-TSS-3271</t>
  </si>
  <si>
    <t>BSGatlas-terminator-2560</t>
  </si>
  <si>
    <t>BSGatlas-TSS-3272</t>
  </si>
  <si>
    <t>BSGatlas-TSS-3273</t>
  </si>
  <si>
    <t>BSGatlas-terminator-2561</t>
  </si>
  <si>
    <t>BSGatlas-terminator-2562</t>
  </si>
  <si>
    <t>BSGatlas-terminator-2563</t>
  </si>
  <si>
    <t>BSGatlas-terminator-2565</t>
  </si>
  <si>
    <t>BSGatlas-TSS-3274</t>
  </si>
  <si>
    <t>yxeA-tpeM-tpeL</t>
  </si>
  <si>
    <t>BSGatlas-terminator-2564</t>
  </si>
  <si>
    <t>tpeK-tpeJ</t>
  </si>
  <si>
    <t>BSGatlas-TSS-3275</t>
  </si>
  <si>
    <t>BSGatlas-terminator-2566</t>
  </si>
  <si>
    <t>iolJ-iolI-iolH-iolG-iolF-iolE-iolD-iolC-iolB-iolA</t>
  </si>
  <si>
    <t>BSGatlas-TSS-3277</t>
  </si>
  <si>
    <t>BSGatlas-terminator-2567</t>
  </si>
  <si>
    <t>BSGatlas-TSS-3279</t>
  </si>
  <si>
    <t>iolR-iolS</t>
  </si>
  <si>
    <t>BSGatlas-TSS-3276</t>
  </si>
  <si>
    <t>BSGatlas-terminator-2568</t>
  </si>
  <si>
    <t>BSGatlas-TSS-3278</t>
  </si>
  <si>
    <t>BSGatlas-TSS-3280</t>
  </si>
  <si>
    <t>BSGatlas-TSS-3281</t>
  </si>
  <si>
    <t>yxcE-yxcD</t>
  </si>
  <si>
    <t>BSGatlas-TSS-3282</t>
  </si>
  <si>
    <t>BSGatlas-terminator-2569</t>
  </si>
  <si>
    <t>BSGatlas-TSS-3283</t>
  </si>
  <si>
    <t>BSGatlas-terminator-2571</t>
  </si>
  <si>
    <t>BSGatlas-terminator-2572</t>
  </si>
  <si>
    <t>BSGatlas-TSS-3284</t>
  </si>
  <si>
    <t>BSGatlas-terminator-2570</t>
  </si>
  <si>
    <t>BSGatlas-TSS-3285</t>
  </si>
  <si>
    <t>BSGatlas-TSS-3286</t>
  </si>
  <si>
    <t>BSGatlas-terminator-2573</t>
  </si>
  <si>
    <t>BSGatlas-TSS-3287</t>
  </si>
  <si>
    <t>BSGatlas-terminator-2575</t>
  </si>
  <si>
    <t>BSGatlas-TSS-3288</t>
  </si>
  <si>
    <t>BSGatlas-terminator-2574</t>
  </si>
  <si>
    <t>BSGatlas-terminator-2578</t>
  </si>
  <si>
    <t>BSGatlas-terminator-2580</t>
  </si>
  <si>
    <t>yxbD-yxbC</t>
  </si>
  <si>
    <t>BSGatlas-TSS-3289</t>
  </si>
  <si>
    <t>BSGatlas-terminator-2576</t>
  </si>
  <si>
    <t>BSGatlas-TSS-3291</t>
  </si>
  <si>
    <t>BSGatlas-terminator-2577</t>
  </si>
  <si>
    <t>BSGatlas-terminator-2579</t>
  </si>
  <si>
    <t>BSGatlas-TSS-3290</t>
  </si>
  <si>
    <t>BSGatlas-terminator-2581</t>
  </si>
  <si>
    <t>yxbB-yxbA-yxnB</t>
  </si>
  <si>
    <t>yxbB-yxbA-yxnB-asnH-yxaM</t>
  </si>
  <si>
    <t>BSGatlas-terminator-2582</t>
  </si>
  <si>
    <t>BSGatlas-TSS-3293</t>
  </si>
  <si>
    <t>BSGatlas-terminator-2583</t>
  </si>
  <si>
    <t>yxaL-yxaJ</t>
  </si>
  <si>
    <t>BSGatlas-TSS-3294</t>
  </si>
  <si>
    <t>BSGatlas-TSS-3295</t>
  </si>
  <si>
    <t>BSGatlas-terminator-2584</t>
  </si>
  <si>
    <t>BSGatlas-terminator-2586</t>
  </si>
  <si>
    <t>BSGatlas-terminator-2587</t>
  </si>
  <si>
    <t>yxaH-qdoI</t>
  </si>
  <si>
    <t>BSGatlas-TSS-3296</t>
  </si>
  <si>
    <t>BSGatlas-terminator-2585</t>
  </si>
  <si>
    <t>BSGatlas-TSS-3297</t>
  </si>
  <si>
    <t>BSGatlas-terminator-2588</t>
  </si>
  <si>
    <t>BSGatlas-TSS-3298</t>
  </si>
  <si>
    <t>BSGatlas-terminator-2590</t>
  </si>
  <si>
    <t>BSGatlas-TSS-3300</t>
  </si>
  <si>
    <t>BSGatlas-terminator-2589</t>
  </si>
  <si>
    <t>yxzK-yxaC</t>
  </si>
  <si>
    <t>BSGatlas-TSS-3299</t>
  </si>
  <si>
    <t>BSGatlas-terminator-2593</t>
  </si>
  <si>
    <t>BSGatlas-TSS-3302</t>
  </si>
  <si>
    <t>BSGatlas-terminator-2591</t>
  </si>
  <si>
    <t>yxaB-glxK</t>
  </si>
  <si>
    <t>BSGatlas-TSS-3303</t>
  </si>
  <si>
    <t>BSGatlas-terminator-2592</t>
  </si>
  <si>
    <t>gntR-gntK-gntP-gntZ</t>
  </si>
  <si>
    <t>BSGatlas-TSS-3301</t>
  </si>
  <si>
    <t>BSGatlas-terminator-2594</t>
  </si>
  <si>
    <t>BSGatlas-TSS-3304</t>
  </si>
  <si>
    <t>BSGatlas-TSS-3305</t>
  </si>
  <si>
    <t>BSGatlas-TSS-3306</t>
  </si>
  <si>
    <t>BSGatlas-TSS-3307</t>
  </si>
  <si>
    <t>ahpC-ahpF</t>
  </si>
  <si>
    <t>BSGatlas-TSS-3308</t>
  </si>
  <si>
    <t>BSGatlas-terminator-2596</t>
  </si>
  <si>
    <t>BSGatlas-TSS-3309</t>
  </si>
  <si>
    <t>BSGatlas-TSS-3311</t>
  </si>
  <si>
    <t>bglA-ptsJ</t>
  </si>
  <si>
    <t>BSGatlas-terminator-2595</t>
  </si>
  <si>
    <t>BSGatlas-terminator-2597</t>
  </si>
  <si>
    <t>BSGatlas-TSS-3312</t>
  </si>
  <si>
    <t>BSGatlas-TSS-3313</t>
  </si>
  <si>
    <t>yydK-yyzN</t>
  </si>
  <si>
    <t>BSGatlas-terminator-2598</t>
  </si>
  <si>
    <t>BSGatlas-terminator-2599</t>
  </si>
  <si>
    <t>liaM-liaL-liaK</t>
  </si>
  <si>
    <t>BSGatlas-TSS-3315</t>
  </si>
  <si>
    <t>BSGatlas-terminator-2600</t>
  </si>
  <si>
    <t>liaM-liaL-liaK-liaE-liaD</t>
  </si>
  <si>
    <t>BSGatlas-TSS-3318</t>
  </si>
  <si>
    <t>BSGatlas-terminator-2602</t>
  </si>
  <si>
    <t>BSGatlas-TSS-3316</t>
  </si>
  <si>
    <t>BSGatlas-terminator-2605</t>
  </si>
  <si>
    <t>BSGatlas-terminator-2607</t>
  </si>
  <si>
    <t>BSGatlas-TSS-3317</t>
  </si>
  <si>
    <t>BSGatlas-TSS-3319</t>
  </si>
  <si>
    <t>yydD-yydC-yydB-rlmH-yyzF</t>
  </si>
  <si>
    <t>BSGatlas-TSS-3322</t>
  </si>
  <si>
    <t>BSGatlas-terminator-2604</t>
  </si>
  <si>
    <t>BSGatlas-terminator-2606</t>
  </si>
  <si>
    <t>BSGatlas-TSS-3321</t>
  </si>
  <si>
    <t>BSGatlas-TSS-3323</t>
  </si>
  <si>
    <t>BSGatlas-terminator-2609</t>
  </si>
  <si>
    <t>BSGatlas-TSS-3324</t>
  </si>
  <si>
    <t>BSGatlas-terminator-2608</t>
  </si>
  <si>
    <t>BSGatlas-TSS-3325</t>
  </si>
  <si>
    <t>BSGatlas-TSS-3326</t>
  </si>
  <si>
    <t>BSGatlas-terminator-2610</t>
  </si>
  <si>
    <t>yycQ-yycP-yycO</t>
  </si>
  <si>
    <t>BSGatlas-TSS-3327</t>
  </si>
  <si>
    <t>BSGatlas-TSS-3329</t>
  </si>
  <si>
    <t>BSGatlas-terminator-2611</t>
  </si>
  <si>
    <t>BSGatlas-TSS-3330</t>
  </si>
  <si>
    <t>rapG-phrG</t>
  </si>
  <si>
    <t>BSGatlas-TSS-3328</t>
  </si>
  <si>
    <t>BSGatlas-terminator-2612</t>
  </si>
  <si>
    <t>BSGatlas-terminator-2613</t>
  </si>
  <si>
    <t>BSGatlas-TSS-3331</t>
  </si>
  <si>
    <t>argI-rocE-rocD</t>
  </si>
  <si>
    <t>BSGatlas-TSS-3332</t>
  </si>
  <si>
    <t>BSGatlas-terminator-2614</t>
  </si>
  <si>
    <t>BSGatlas-terminator-2615</t>
  </si>
  <si>
    <t>BSGatlas-TSS-3333</t>
  </si>
  <si>
    <t>BSGatlas-terminator-2616</t>
  </si>
  <si>
    <t>BSGatlas-TSS-3334</t>
  </si>
  <si>
    <t>BSGatlas-terminator-2617</t>
  </si>
  <si>
    <t>htrC-walJ-walI-walH-walK-walR</t>
  </si>
  <si>
    <t>BSGatlas-TSS-3335</t>
  </si>
  <si>
    <t>BSGatlas-TSS-3336</t>
  </si>
  <si>
    <t>BSGatlas-terminator-2618</t>
  </si>
  <si>
    <t>BSGatlas-terminator-2619</t>
  </si>
  <si>
    <t>BSGatlas-TSS-3338</t>
  </si>
  <si>
    <t>BSGatlas-TSS-3339</t>
  </si>
  <si>
    <t>BSGatlas-TSS-3340</t>
  </si>
  <si>
    <t>BSGatlas-terminator-2620</t>
  </si>
  <si>
    <t>purA-yycE</t>
  </si>
  <si>
    <t>BSGatlas-TSS-3341</t>
  </si>
  <si>
    <t>BSGatlas-terminator-2621</t>
  </si>
  <si>
    <t>BSGatlas-TSS-3342</t>
  </si>
  <si>
    <t>BSGatlas-terminator-2622</t>
  </si>
  <si>
    <t>BSGatlas-TSS-3343</t>
  </si>
  <si>
    <t>BSGatlas-terminator-2623</t>
  </si>
  <si>
    <t>BSGatlas-terminator-2624</t>
  </si>
  <si>
    <t>BSGatlas-TSS-3345</t>
  </si>
  <si>
    <t>yycC-yycB</t>
  </si>
  <si>
    <t>BSGatlas-TSS-3344</t>
  </si>
  <si>
    <t>BSGatlas-terminator-2625</t>
  </si>
  <si>
    <t>yycC-yycB-yycA</t>
  </si>
  <si>
    <t>BSGatlas-terminator-2626</t>
  </si>
  <si>
    <t>BSGatlas-TSS-3346</t>
  </si>
  <si>
    <t>BSGatlas-terminator-2627</t>
  </si>
  <si>
    <t>rplI-gdpP-yybS</t>
  </si>
  <si>
    <t>BSGatlas-TSS-3348</t>
  </si>
  <si>
    <t>BSGatlas-TSS-3347</t>
  </si>
  <si>
    <t>BSGatlas-TSS-3349</t>
  </si>
  <si>
    <t>BSGatlas-terminator-2628</t>
  </si>
  <si>
    <t>BSGatlas-TSS-3351</t>
  </si>
  <si>
    <t>BSGatlas-TSS-3350</t>
  </si>
  <si>
    <t>BSGatlas-terminator-2630</t>
  </si>
  <si>
    <t>BSGatlas-TSS-3352</t>
  </si>
  <si>
    <t>BSGatlas-terminator-2629</t>
  </si>
  <si>
    <t>BSGatlas-TSS-3354</t>
  </si>
  <si>
    <t>BSGatlas-TSS-3353</t>
  </si>
  <si>
    <t>BSGatlas-terminator-2632</t>
  </si>
  <si>
    <t>BSGatlas-TSS-3355</t>
  </si>
  <si>
    <t>BSGatlas-terminator-2631</t>
  </si>
  <si>
    <t>BSGatlas-TSS-3356</t>
  </si>
  <si>
    <t>BSGatlas-terminator-2634</t>
  </si>
  <si>
    <t>BSGatlas-terminator-2636</t>
  </si>
  <si>
    <t>BSGatlas-TSS-3357</t>
  </si>
  <si>
    <t>BSGatlas-TSS-3358</t>
  </si>
  <si>
    <t>BSGatlas-terminator-2633</t>
  </si>
  <si>
    <t>BSGatlas-terminator-2635</t>
  </si>
  <si>
    <t>BSGatlas-TSS-3359</t>
  </si>
  <si>
    <t>BSGatlas-TSS-3361</t>
  </si>
  <si>
    <t>BSGatlas-TSS-3360</t>
  </si>
  <si>
    <t>BSGatlas-terminator-2637</t>
  </si>
  <si>
    <t>yybN-yybM</t>
  </si>
  <si>
    <t>BSGatlas-terminator-2639</t>
  </si>
  <si>
    <t>yybN-yybM-yybL-yybK-yybJ</t>
  </si>
  <si>
    <t>BSGatlas-terminator-2640</t>
  </si>
  <si>
    <t>BSGatlas-TSS-3362</t>
  </si>
  <si>
    <t>BSGatlas-terminator-2641</t>
  </si>
  <si>
    <t>ictI-yybH</t>
  </si>
  <si>
    <t>BSGatlas-TSS-3363</t>
  </si>
  <si>
    <t>BSGatlas-terminator-2642</t>
  </si>
  <si>
    <t>BSGatlas-terminator-2644</t>
  </si>
  <si>
    <t>BSGatlas-TSS-3364</t>
  </si>
  <si>
    <t>BSGatlas-terminator-2643</t>
  </si>
  <si>
    <t>BSGatlas-terminator-2645</t>
  </si>
  <si>
    <t>yybE-yybD-yybC</t>
  </si>
  <si>
    <t>BSGatlas-TSS-3365</t>
  </si>
  <si>
    <t>BSGatlas-terminator-2646</t>
  </si>
  <si>
    <t>BSGatlas-terminator-2647</t>
  </si>
  <si>
    <t>BSGatlas-TSS-3367</t>
  </si>
  <si>
    <t>yyaT-yyaS</t>
  </si>
  <si>
    <t>BSGatlas-TSS-3366</t>
  </si>
  <si>
    <t>BSGatlas-TSS-3370</t>
  </si>
  <si>
    <t>BSGatlas-TSS-3368</t>
  </si>
  <si>
    <t>BSGatlas-TSS-3369</t>
  </si>
  <si>
    <t>tetB-tetL</t>
  </si>
  <si>
    <t>BSGatlas-TSS-3371</t>
  </si>
  <si>
    <t>BSGatlas-terminator-2648</t>
  </si>
  <si>
    <t>BSGatlas-TSS-3372</t>
  </si>
  <si>
    <t>BSGatlas-terminator-2649</t>
  </si>
  <si>
    <t>BSGatlas-terminator-2650</t>
  </si>
  <si>
    <t>yyaN-yyaM-yyaL</t>
  </si>
  <si>
    <t>BSGatlas-TSS-3373</t>
  </si>
  <si>
    <t>BSGatlas-terminator-2652</t>
  </si>
  <si>
    <t>BSGatlas-TSS-3374</t>
  </si>
  <si>
    <t>BSGatlas-TSS-3376</t>
  </si>
  <si>
    <t>BSGatlas-terminator-2651</t>
  </si>
  <si>
    <t>BSGatlas-TSS-3378</t>
  </si>
  <si>
    <t>BSGatlas-terminator-2653</t>
  </si>
  <si>
    <t>BSGatlas-TSS-3377</t>
  </si>
  <si>
    <t>BSGatlas-TSS-3380</t>
  </si>
  <si>
    <t>ccpB-exoA</t>
  </si>
  <si>
    <t>BSGatlas-TSS-3379</t>
  </si>
  <si>
    <t>BSGatlas-terminator-2654</t>
  </si>
  <si>
    <t>rpsR-ssbA-rpsF</t>
  </si>
  <si>
    <t>BSGatlas-TSS-3381</t>
  </si>
  <si>
    <t>BSGatlas-terminator-2655</t>
  </si>
  <si>
    <t>rpsR-ssbA-rpsF-engD</t>
  </si>
  <si>
    <t>BSGatlas-TSS-3382</t>
  </si>
  <si>
    <t>rpsR-ssbA-rpsF-engD-yyaE-yyzM</t>
  </si>
  <si>
    <t>BSGatlas-TSS-3383</t>
  </si>
  <si>
    <t>BSGatlas-TSS-3384</t>
  </si>
  <si>
    <t>BSGatlas-terminator-2656</t>
  </si>
  <si>
    <t>BSGatlas-TSS-3385</t>
  </si>
  <si>
    <t>BSGatlas-terminator-2657</t>
  </si>
  <si>
    <t>parB-parA</t>
  </si>
  <si>
    <t>BSGatlas-TSS-3388</t>
  </si>
  <si>
    <t>BSGatlas-terminator-2658</t>
  </si>
  <si>
    <t>BSGatlas-TSS-3389</t>
  </si>
  <si>
    <t>BSGatlas-TSS-3386</t>
  </si>
  <si>
    <t>BSGatlas-terminator-2660</t>
  </si>
  <si>
    <t>BSGatlas-terminator-2659</t>
  </si>
  <si>
    <t>BSGatlas-TSS-3387</t>
  </si>
  <si>
    <t>BSGatlas-terminator-2662</t>
  </si>
  <si>
    <t>BSGatlas-terminator-2664</t>
  </si>
  <si>
    <t>BSGatlas-terminator-2661</t>
  </si>
  <si>
    <t>BSGatlas-TSS-3390</t>
  </si>
  <si>
    <t>nocA-rsmG-trmF-mnmE</t>
  </si>
  <si>
    <t>BSGatlas-TSS-3391</t>
  </si>
  <si>
    <t>BSGatlas-terminator-2663</t>
  </si>
  <si>
    <t>BSGatlas-TSS-3392</t>
  </si>
  <si>
    <t>jag-oxaAA</t>
  </si>
  <si>
    <t>BSGatlas-TSS-3394</t>
  </si>
  <si>
    <t>BSGatlas-terminator-2665</t>
  </si>
  <si>
    <t>jag-oxaAA-rnpA-rpmH</t>
  </si>
  <si>
    <t>BSGatlas-TSS-3395</t>
  </si>
  <si>
    <t>BSGatlas-TSS-3397</t>
  </si>
  <si>
    <t>BSGatlas-TSS-3393</t>
  </si>
  <si>
    <t>BSGatlas-terminator-2666</t>
  </si>
  <si>
    <t>BSGatlas-TSS-3396</t>
  </si>
  <si>
    <t>transcript</t>
  </si>
  <si>
    <t>contained_genes</t>
  </si>
  <si>
    <t>nr. of internal UTRs</t>
  </si>
  <si>
    <t>5' UTR length</t>
  </si>
  <si>
    <t>3' UTR length</t>
  </si>
  <si>
    <t>evidence of co-transcription</t>
  </si>
  <si>
    <t>TSS</t>
  </si>
  <si>
    <t>Terminator</t>
  </si>
  <si>
    <t>annotation origin</t>
  </si>
  <si>
    <t>Nicolas et al predictions</t>
  </si>
  <si>
    <t>S3</t>
  </si>
  <si>
    <t>Nicolas et al trusted predictions;Dar et al</t>
  </si>
  <si>
    <t>RefSeq coding;BsubCyc coding</t>
  </si>
  <si>
    <t>Rfam conservative scan;Rfam medium scan</t>
  </si>
  <si>
    <t>Rfam conservative scan;RefSeq noncoding;BsubCyc noncoding;Rfam medium scan</t>
  </si>
  <si>
    <t>Rfam conservative scan;RefSeq noncoding;BsubCyc noncoding;Dar et al;Rfam medium scan</t>
  </si>
  <si>
    <t>Nicolas et al literature review;Rfam conservative scan;RefSeq noncoding;BsubCyc noncoding;Rfam medium scan</t>
  </si>
  <si>
    <t>Dar et al</t>
  </si>
  <si>
    <t>SSU-rRNA-bacteria_rrnW-16S</t>
  </si>
  <si>
    <t>LSU-rRNA-archaea_rrnW-23S</t>
  </si>
  <si>
    <t>5S-rRNA_rrnW-5S</t>
  </si>
  <si>
    <t>nusG</t>
  </si>
  <si>
    <t>rlmG</t>
  </si>
  <si>
    <t>S10 leader</t>
  </si>
  <si>
    <t>ecfA</t>
  </si>
  <si>
    <t>ecfAB</t>
  </si>
  <si>
    <t>ecfT</t>
  </si>
  <si>
    <t>LSU-rRNA-archaea_rrnI-23S</t>
  </si>
  <si>
    <t>5S-rRNA_rrnI-5S</t>
  </si>
  <si>
    <t>trnI-Asn</t>
  </si>
  <si>
    <t>trnI-Thr</t>
  </si>
  <si>
    <t>trnI-Gly</t>
  </si>
  <si>
    <t>trnI-Arg</t>
  </si>
  <si>
    <t>trnI-Pro</t>
  </si>
  <si>
    <t>trnI-Ala</t>
  </si>
  <si>
    <t>SSU-rRNA-bacteria_rrnH-16S</t>
  </si>
  <si>
    <t>LSU-rRNA-archaea_rrnH-23S</t>
  </si>
  <si>
    <t>5S-rRNA_rrnH-5S</t>
  </si>
  <si>
    <t>SSU-rRNA-bacteria_rrnG-16S</t>
  </si>
  <si>
    <t>LSU-rRNA-archaea_rrnG-23S</t>
  </si>
  <si>
    <t>5S-rRNA_rrnG-5S</t>
  </si>
  <si>
    <t>ybbJ</t>
  </si>
  <si>
    <t>Rfam conservative scan;RefSeq noncoding;Rfam medium scan</t>
  </si>
  <si>
    <t>ybbU</t>
  </si>
  <si>
    <t>RefSeq coding</t>
  </si>
  <si>
    <t>Nicolas et al trusted predictions</t>
  </si>
  <si>
    <t>ybdG</t>
  </si>
  <si>
    <t>ybdJ</t>
  </si>
  <si>
    <t>ybfN</t>
  </si>
  <si>
    <t>yczK</t>
  </si>
  <si>
    <t>sfpAc</t>
  </si>
  <si>
    <t>nudT</t>
  </si>
  <si>
    <t>ydbJ</t>
  </si>
  <si>
    <t>ydbK</t>
  </si>
  <si>
    <t>trnS-Ser</t>
  </si>
  <si>
    <t>trnS-Glu</t>
  </si>
  <si>
    <t>trnS-Gln</t>
  </si>
  <si>
    <t>trnS-Lys</t>
  </si>
  <si>
    <t>Nicolas et al trusted predictions;RefSeq noncoding</t>
  </si>
  <si>
    <t>yddQ</t>
  </si>
  <si>
    <t>yddS</t>
  </si>
  <si>
    <t>sufLC</t>
  </si>
  <si>
    <t>BsrC</t>
  </si>
  <si>
    <t>ydeG</t>
  </si>
  <si>
    <t>ydzP</t>
  </si>
  <si>
    <t>ydzQ</t>
  </si>
  <si>
    <t>Nicolas et al trusted predictions;Rfam conservative scan;Dar et al;Rfam medium scan</t>
  </si>
  <si>
    <t>Rfam conservative scan;RefSeq noncoding;Dar et al;Rfam medium scan</t>
  </si>
  <si>
    <t>trnE-Gly</t>
  </si>
  <si>
    <t>trnE-Met</t>
  </si>
  <si>
    <t>ydzTc</t>
  </si>
  <si>
    <t>ydzT</t>
  </si>
  <si>
    <t>ydzTn</t>
  </si>
  <si>
    <t>ydiM</t>
  </si>
  <si>
    <t>ydzU</t>
  </si>
  <si>
    <t>ydzV</t>
  </si>
  <si>
    <t>ydiN</t>
  </si>
  <si>
    <t>ydzWmc</t>
  </si>
  <si>
    <t>ydzWmb</t>
  </si>
  <si>
    <t>ydzW</t>
  </si>
  <si>
    <t>ydzWma</t>
  </si>
  <si>
    <t>ydzWn</t>
  </si>
  <si>
    <t>S218</t>
  </si>
  <si>
    <t>ydjB</t>
  </si>
  <si>
    <t>ydzX</t>
  </si>
  <si>
    <t>yeaD</t>
  </si>
  <si>
    <t>yebA</t>
  </si>
  <si>
    <t>S235</t>
  </si>
  <si>
    <t>yeeD</t>
  </si>
  <si>
    <t>yezA</t>
  </si>
  <si>
    <t>yeeG</t>
  </si>
  <si>
    <t>rhgP</t>
  </si>
  <si>
    <t>rhgQ</t>
  </si>
  <si>
    <t>rhgH</t>
  </si>
  <si>
    <t>yetA</t>
  </si>
  <si>
    <t>lplA</t>
  </si>
  <si>
    <t>lplB</t>
  </si>
  <si>
    <t>lplC</t>
  </si>
  <si>
    <t>yfmN</t>
  </si>
  <si>
    <t>BsubCyc coding</t>
  </si>
  <si>
    <t>S289</t>
  </si>
  <si>
    <t>Rfam medium scan</t>
  </si>
  <si>
    <t>yhzG</t>
  </si>
  <si>
    <t>yhgB</t>
  </si>
  <si>
    <t>yhjO</t>
  </si>
  <si>
    <t>yisU</t>
  </si>
  <si>
    <t>yitO</t>
  </si>
  <si>
    <t>yitY</t>
  </si>
  <si>
    <t>Nicolas et al literature review;Nicolas et al trusted predictions;Rfam conservative scan;RefSeq noncoding;BsubCyc noncoding;Rfam medium scan</t>
  </si>
  <si>
    <t>yjzF</t>
  </si>
  <si>
    <t>yjzG</t>
  </si>
  <si>
    <t>yjcO</t>
  </si>
  <si>
    <t>yjcR</t>
  </si>
  <si>
    <t>xpf</t>
  </si>
  <si>
    <t>RefSeq coding;BsubCyc coding;Nicolas et al predictions</t>
  </si>
  <si>
    <t>RefSeq noncoding;Dar et al;Rfam medium scan</t>
  </si>
  <si>
    <t>RefSeq noncoding;Rfam medium scan</t>
  </si>
  <si>
    <t>RefSeq noncoding;BsubCyc noncoding;Dar et al</t>
  </si>
  <si>
    <t>ykzR</t>
  </si>
  <si>
    <t>gswA</t>
  </si>
  <si>
    <t>RefSeq noncoding</t>
  </si>
  <si>
    <t>Nicolas et al trusted predictions;Rfam conservative scan;RefSeq noncoding;BsubCyc noncoding;Rfam medium scan</t>
  </si>
  <si>
    <t>SAM_mswE</t>
  </si>
  <si>
    <t>rimP leader</t>
  </si>
  <si>
    <t>truB</t>
  </si>
  <si>
    <t>rliD</t>
  </si>
  <si>
    <t>ylxY</t>
  </si>
  <si>
    <t>efpI</t>
  </si>
  <si>
    <t>cinA</t>
  </si>
  <si>
    <t>Nicolas et al trusted predictions;Rfam conservative scan;Rfam medium scan</t>
  </si>
  <si>
    <t>ymzC</t>
  </si>
  <si>
    <t>ynzG</t>
  </si>
  <si>
    <t>ynaF</t>
  </si>
  <si>
    <t>ynaG</t>
  </si>
  <si>
    <t>ynzI</t>
  </si>
  <si>
    <t>ynaI</t>
  </si>
  <si>
    <t>S640</t>
  </si>
  <si>
    <t>ynzJ</t>
  </si>
  <si>
    <t>S643</t>
  </si>
  <si>
    <t>yzzP</t>
  </si>
  <si>
    <t>Nicolas et al trusted predictions;Rfam conservative scan;RefSeq noncoding;Rfam medium scan</t>
  </si>
  <si>
    <t>ynfE</t>
  </si>
  <si>
    <t>ynzE</t>
  </si>
  <si>
    <t>trnSL-Arg1</t>
  </si>
  <si>
    <t>yoaK</t>
  </si>
  <si>
    <t>pelB</t>
  </si>
  <si>
    <t>yoaP</t>
  </si>
  <si>
    <t>yobA</t>
  </si>
  <si>
    <t>yozU</t>
  </si>
  <si>
    <t>yozI</t>
  </si>
  <si>
    <t>yozW</t>
  </si>
  <si>
    <t>BsubCyc noncoding</t>
  </si>
  <si>
    <t>S733</t>
  </si>
  <si>
    <t>yosW</t>
  </si>
  <si>
    <t>yosV</t>
  </si>
  <si>
    <t>yojW</t>
  </si>
  <si>
    <t>dutB</t>
  </si>
  <si>
    <t>yosR</t>
  </si>
  <si>
    <t>srdFi</t>
  </si>
  <si>
    <t>yosQ</t>
  </si>
  <si>
    <t>Intron-gpI</t>
  </si>
  <si>
    <t>yosL</t>
  </si>
  <si>
    <t>yosK</t>
  </si>
  <si>
    <t>yosJ</t>
  </si>
  <si>
    <t>yosI</t>
  </si>
  <si>
    <t>yosH</t>
  </si>
  <si>
    <t>yosG</t>
  </si>
  <si>
    <t>yosF</t>
  </si>
  <si>
    <t>yosE</t>
  </si>
  <si>
    <t>yosD</t>
  </si>
  <si>
    <t>yosC</t>
  </si>
  <si>
    <t>yosB</t>
  </si>
  <si>
    <t>yorZ</t>
  </si>
  <si>
    <t>yorY</t>
  </si>
  <si>
    <t>yorX</t>
  </si>
  <si>
    <t>yorW</t>
  </si>
  <si>
    <t>mtbP</t>
  </si>
  <si>
    <t>yorT</t>
  </si>
  <si>
    <t>yorS</t>
  </si>
  <si>
    <t>yorR</t>
  </si>
  <si>
    <t>yorQ</t>
  </si>
  <si>
    <t>yorP</t>
  </si>
  <si>
    <t>yorO</t>
  </si>
  <si>
    <t>dpoL</t>
  </si>
  <si>
    <t>yorK</t>
  </si>
  <si>
    <t>yorJ</t>
  </si>
  <si>
    <t>yorI</t>
  </si>
  <si>
    <t>yorH</t>
  </si>
  <si>
    <t>yorG</t>
  </si>
  <si>
    <t>yorF</t>
  </si>
  <si>
    <t>yorE</t>
  </si>
  <si>
    <t>yoqX</t>
  </si>
  <si>
    <t>yoqV</t>
  </si>
  <si>
    <t>yoqS</t>
  </si>
  <si>
    <t>yoqR</t>
  </si>
  <si>
    <t>yoqP</t>
  </si>
  <si>
    <t>yoqL</t>
  </si>
  <si>
    <t>yoqK</t>
  </si>
  <si>
    <t>yoqJ</t>
  </si>
  <si>
    <t>yoqI</t>
  </si>
  <si>
    <t>yoqH</t>
  </si>
  <si>
    <t>yoqG</t>
  </si>
  <si>
    <t>yoqF</t>
  </si>
  <si>
    <t>yoqE</t>
  </si>
  <si>
    <t>yoqD</t>
  </si>
  <si>
    <t>yoqC</t>
  </si>
  <si>
    <t>yoqB</t>
  </si>
  <si>
    <t>yoqA</t>
  </si>
  <si>
    <t>yopZ</t>
  </si>
  <si>
    <t>yopY</t>
  </si>
  <si>
    <t>yopX</t>
  </si>
  <si>
    <t>yopW</t>
  </si>
  <si>
    <t>yopV</t>
  </si>
  <si>
    <t>yopU</t>
  </si>
  <si>
    <t>yopJ</t>
  </si>
  <si>
    <t>yopI</t>
  </si>
  <si>
    <t>sieB</t>
  </si>
  <si>
    <t>yopG</t>
  </si>
  <si>
    <t>yopF</t>
  </si>
  <si>
    <t>yopD</t>
  </si>
  <si>
    <t>yopB</t>
  </si>
  <si>
    <t>yonF</t>
  </si>
  <si>
    <t>yonE</t>
  </si>
  <si>
    <t>yonD</t>
  </si>
  <si>
    <t>yonC</t>
  </si>
  <si>
    <t>yonB</t>
  </si>
  <si>
    <t>yonA</t>
  </si>
  <si>
    <t>yomZ</t>
  </si>
  <si>
    <t>yomY</t>
  </si>
  <si>
    <t>yomX</t>
  </si>
  <si>
    <t>yomW</t>
  </si>
  <si>
    <t>yomV</t>
  </si>
  <si>
    <t>yomU</t>
  </si>
  <si>
    <t>youA</t>
  </si>
  <si>
    <t>yomT</t>
  </si>
  <si>
    <t>yomS</t>
  </si>
  <si>
    <t>yomR</t>
  </si>
  <si>
    <t>yomQ</t>
  </si>
  <si>
    <t>yomP</t>
  </si>
  <si>
    <t>yomO</t>
  </si>
  <si>
    <t>yomN</t>
  </si>
  <si>
    <t>yomL</t>
  </si>
  <si>
    <t>youB</t>
  </si>
  <si>
    <t>yomH</t>
  </si>
  <si>
    <t>yomG</t>
  </si>
  <si>
    <t>yomF</t>
  </si>
  <si>
    <t>yomE</t>
  </si>
  <si>
    <t>yomD</t>
  </si>
  <si>
    <t>blyA</t>
  </si>
  <si>
    <t>bhlA</t>
  </si>
  <si>
    <t>Nicolas et al literature review;Nicolas et al trusted predictions;Rfam conservative scan;Rfam medium scan</t>
  </si>
  <si>
    <t>Nicolas et al trusted predictions;RefSeq noncoding;BsubCyc noncoding</t>
  </si>
  <si>
    <t>yokH</t>
  </si>
  <si>
    <t>yoyK</t>
  </si>
  <si>
    <t>S814</t>
  </si>
  <si>
    <t>yokC</t>
  </si>
  <si>
    <t>ypsA</t>
  </si>
  <si>
    <t>dinG</t>
  </si>
  <si>
    <t>panD</t>
  </si>
  <si>
    <t>panC</t>
  </si>
  <si>
    <t>pan</t>
  </si>
  <si>
    <t>Rfam conservative scan;Dar et al;Rfam medium scan</t>
  </si>
  <si>
    <t>ypjA</t>
  </si>
  <si>
    <t>Rfam conservative scan;Dar et al;Rfam medium scan;Nicolas et al predictions</t>
  </si>
  <si>
    <t>S871</t>
  </si>
  <si>
    <t>recS</t>
  </si>
  <si>
    <t>FMN_fswB</t>
  </si>
  <si>
    <t>ripX</t>
  </si>
  <si>
    <t>DicF</t>
  </si>
  <si>
    <t>xseB</t>
  </si>
  <si>
    <t>xseA</t>
  </si>
  <si>
    <t>folN</t>
  </si>
  <si>
    <t>RefSeq noncoding;BsubCyc noncoding;Dar et al;Rfam medium scan</t>
  </si>
  <si>
    <t>unpK</t>
  </si>
  <si>
    <t>rnrY</t>
  </si>
  <si>
    <t>pgpH</t>
  </si>
  <si>
    <t>yqzI</t>
  </si>
  <si>
    <t>cwlA</t>
  </si>
  <si>
    <t>yqxH</t>
  </si>
  <si>
    <t>yqxG</t>
  </si>
  <si>
    <t>yqcE</t>
  </si>
  <si>
    <t>yqcD</t>
  </si>
  <si>
    <t>yqcC</t>
  </si>
  <si>
    <t>yqcB</t>
  </si>
  <si>
    <t>yqcA</t>
  </si>
  <si>
    <t>yqbT</t>
  </si>
  <si>
    <t>yqbS</t>
  </si>
  <si>
    <t>yqbR</t>
  </si>
  <si>
    <t>yqbQ</t>
  </si>
  <si>
    <t>yqbNc</t>
  </si>
  <si>
    <t>yqbNn</t>
  </si>
  <si>
    <t>Nicolas et al literature review;RefSeq noncoding;BsubCyc noncoding;Nicolas et al predictions</t>
  </si>
  <si>
    <t>yqbK</t>
  </si>
  <si>
    <t>yqzN</t>
  </si>
  <si>
    <t>yqbJ</t>
  </si>
  <si>
    <t>yqbI</t>
  </si>
  <si>
    <t>yqbH</t>
  </si>
  <si>
    <t>yqbF</t>
  </si>
  <si>
    <t>yqbB</t>
  </si>
  <si>
    <t>yqaT</t>
  </si>
  <si>
    <t>yqaQ</t>
  </si>
  <si>
    <t>yqaO</t>
  </si>
  <si>
    <t>S981</t>
  </si>
  <si>
    <t>yqaD</t>
  </si>
  <si>
    <t>yrkB</t>
  </si>
  <si>
    <t>yrdDc</t>
  </si>
  <si>
    <t>yrdDn</t>
  </si>
  <si>
    <t>yraK</t>
  </si>
  <si>
    <t>S1015</t>
  </si>
  <si>
    <t>tboA</t>
  </si>
  <si>
    <t>ysmA</t>
  </si>
  <si>
    <t>RefSeq coding;Nicolas et al trusted predictions</t>
  </si>
  <si>
    <t>Dar et al;Rfam medium scan</t>
  </si>
  <si>
    <t>ytzD</t>
  </si>
  <si>
    <t>ldsD</t>
  </si>
  <si>
    <t>RefSeq noncoding;Dar et al</t>
  </si>
  <si>
    <t>SAM_mswG</t>
  </si>
  <si>
    <t>S1180</t>
  </si>
  <si>
    <t>S1197</t>
  </si>
  <si>
    <t>S1240</t>
  </si>
  <si>
    <t>S1251</t>
  </si>
  <si>
    <t>auzJ</t>
  </si>
  <si>
    <t>yusF</t>
  </si>
  <si>
    <t>Cobalamin_srbL</t>
  </si>
  <si>
    <t>rghRB</t>
  </si>
  <si>
    <t>yvfU</t>
  </si>
  <si>
    <t>S1323</t>
  </si>
  <si>
    <t>yvzI</t>
  </si>
  <si>
    <t>prmC</t>
  </si>
  <si>
    <t>Rfam conservative scan;Rfam medium scan;Nicolas et al predictions</t>
  </si>
  <si>
    <t>ywgB</t>
  </si>
  <si>
    <t>ywdE</t>
  </si>
  <si>
    <t>ywdD</t>
  </si>
  <si>
    <t>yxjM</t>
  </si>
  <si>
    <t>yxjL</t>
  </si>
  <si>
    <t>Purine_gswB</t>
  </si>
  <si>
    <t>yxzI</t>
  </si>
  <si>
    <t>yxzJ</t>
  </si>
  <si>
    <t>yxiK</t>
  </si>
  <si>
    <t>yxiJ</t>
  </si>
  <si>
    <t>yxiI</t>
  </si>
  <si>
    <t>yxzG</t>
  </si>
  <si>
    <t>yxiH</t>
  </si>
  <si>
    <t>yxiG</t>
  </si>
  <si>
    <t>yxzC</t>
  </si>
  <si>
    <t>yxiF</t>
  </si>
  <si>
    <t>yyzO</t>
  </si>
  <si>
    <t>trnY-Asp</t>
  </si>
  <si>
    <t>trnY-Glu</t>
  </si>
  <si>
    <t>mswM</t>
  </si>
  <si>
    <t>yyzJ</t>
  </si>
  <si>
    <t>yyzK</t>
  </si>
  <si>
    <t>yybB</t>
  </si>
  <si>
    <t>yyaP</t>
  </si>
  <si>
    <t>maa</t>
  </si>
  <si>
    <t>yyaH</t>
  </si>
  <si>
    <t>id</t>
  </si>
  <si>
    <t>length</t>
  </si>
  <si>
    <t>associated gene</t>
  </si>
  <si>
    <t>associated TSS</t>
  </si>
  <si>
    <t>BSGatlas-gene-4</t>
  </si>
  <si>
    <t>BSGatlas-gene-6</t>
  </si>
  <si>
    <t>BSGatlas-gene-10</t>
  </si>
  <si>
    <t>BSGatlas-gene-12</t>
  </si>
  <si>
    <t>BSGatlas-gene-17</t>
  </si>
  <si>
    <t>BSGatlas-gene-18</t>
  </si>
  <si>
    <t>BSGatlas-gene-20</t>
  </si>
  <si>
    <t>BSGatlas-gene-21</t>
  </si>
  <si>
    <t>BSGatlas-gene-26</t>
  </si>
  <si>
    <t>BSGatlas-gene-28</t>
  </si>
  <si>
    <t>BSGatlas-gene-29</t>
  </si>
  <si>
    <t>BSGatlas-gene-31</t>
  </si>
  <si>
    <t>BSGatlas-gene-30</t>
  </si>
  <si>
    <t>BSGatlas-gene-33</t>
  </si>
  <si>
    <t>BSGatlas-gene-34</t>
  </si>
  <si>
    <t>BSGatlas-TSS-27</t>
  </si>
  <si>
    <t>BSGatlas-gene-37</t>
  </si>
  <si>
    <t>BSGatlas-gene-38</t>
  </si>
  <si>
    <t>BSGatlas-gene-44</t>
  </si>
  <si>
    <t>BSGatlas-gene-45</t>
  </si>
  <si>
    <t>BSGatlas-gene-48</t>
  </si>
  <si>
    <t>BSGatlas-gene-49</t>
  </si>
  <si>
    <t>BSGatlas-gene-57</t>
  </si>
  <si>
    <t>BSGatlas-gene-59</t>
  </si>
  <si>
    <t>BSGatlas-gene-62</t>
  </si>
  <si>
    <t>BSGatlas-gene-63</t>
  </si>
  <si>
    <t>BSGatlas-gene-65</t>
  </si>
  <si>
    <t>BSGatlas-gene-66</t>
  </si>
  <si>
    <t>BSGatlas-gene-67</t>
  </si>
  <si>
    <t>BSGatlas-gene-69</t>
  </si>
  <si>
    <t>BSGatlas-gene-72</t>
  </si>
  <si>
    <t>BSGatlas-gene-73</t>
  </si>
  <si>
    <t>BSGatlas-gene-75</t>
  </si>
  <si>
    <t>BSGatlas-gene-79</t>
  </si>
  <si>
    <t>BSGatlas-gene-80</t>
  </si>
  <si>
    <t>BSGatlas-gene-81</t>
  </si>
  <si>
    <t>BSGatlas-gene-83</t>
  </si>
  <si>
    <t>BSGatlas-gene-85</t>
  </si>
  <si>
    <t>BSGatlas-gene-87</t>
  </si>
  <si>
    <t>BSGatlas-gene-89</t>
  </si>
  <si>
    <t>BSGatlas-gene-91</t>
  </si>
  <si>
    <t>BSGatlas-gene-93</t>
  </si>
  <si>
    <t>BSGatlas-gene-94</t>
  </si>
  <si>
    <t>BSGatlas-gene-95</t>
  </si>
  <si>
    <t>BSGatlas-gene-96</t>
  </si>
  <si>
    <t>BSGatlas-gene-99</t>
  </si>
  <si>
    <t>BSGatlas-gene-100</t>
  </si>
  <si>
    <t>BSGatlas-gene-101</t>
  </si>
  <si>
    <t>BSGatlas-gene-110</t>
  </si>
  <si>
    <t>BSGatlas-gene-125</t>
  </si>
  <si>
    <t>BSGatlas-gene-131</t>
  </si>
  <si>
    <t>BSGatlas-gene-134</t>
  </si>
  <si>
    <t>BSGatlas-gene-136</t>
  </si>
  <si>
    <t>BSGatlas-TSS-94</t>
  </si>
  <si>
    <t>BSGatlas-gene-141</t>
  </si>
  <si>
    <t>BSGatlas-gene-145</t>
  </si>
  <si>
    <t>BSGatlas-gene-151</t>
  </si>
  <si>
    <t>BSGatlas-gene-153</t>
  </si>
  <si>
    <t>BSGatlas-gene-158</t>
  </si>
  <si>
    <t>BSGatlas-gene-160</t>
  </si>
  <si>
    <t>BSGatlas-gene-195</t>
  </si>
  <si>
    <t>BSGatlas-gene-197</t>
  </si>
  <si>
    <t>BSGatlas-gene-199</t>
  </si>
  <si>
    <t>BSGatlas-gene-200</t>
  </si>
  <si>
    <t>BSGatlas-gene-201</t>
  </si>
  <si>
    <t>BSGatlas-gene-202</t>
  </si>
  <si>
    <t>BSGatlas-gene-203</t>
  </si>
  <si>
    <t>BSGatlas-gene-205</t>
  </si>
  <si>
    <t>BSGatlas-gene-206</t>
  </si>
  <si>
    <t>BSGatlas-gene-221</t>
  </si>
  <si>
    <t>BSGatlas-gene-222</t>
  </si>
  <si>
    <t>BSGatlas-gene-226</t>
  </si>
  <si>
    <t>BSGatlas-gene-227</t>
  </si>
  <si>
    <t>BSGatlas-gene-233</t>
  </si>
  <si>
    <t>BSGatlas-gene-235</t>
  </si>
  <si>
    <t>BSGatlas-gene-236</t>
  </si>
  <si>
    <t>BSGatlas-gene-241</t>
  </si>
  <si>
    <t>BSGatlas-gene-243</t>
  </si>
  <si>
    <t>BSGatlas-gene-247</t>
  </si>
  <si>
    <t>BSGatlas-gene-249</t>
  </si>
  <si>
    <t>BSGatlas-gene-250</t>
  </si>
  <si>
    <t>BSGatlas-gene-258</t>
  </si>
  <si>
    <t>BSGatlas-gene-261</t>
  </si>
  <si>
    <t>BSGatlas-gene-264</t>
  </si>
  <si>
    <t>BSGatlas-gene-270</t>
  </si>
  <si>
    <t>BSGatlas-gene-271</t>
  </si>
  <si>
    <t>BSGatlas-gene-272</t>
  </si>
  <si>
    <t>BSGatlas-gene-273</t>
  </si>
  <si>
    <t>BSGatlas-gene-274</t>
  </si>
  <si>
    <t>BSGatlas-gene-275</t>
  </si>
  <si>
    <t>BSGatlas-gene-276</t>
  </si>
  <si>
    <t>BSGatlas-gene-278</t>
  </si>
  <si>
    <t>BSGatlas-gene-279</t>
  </si>
  <si>
    <t>BSGatlas-gene-280</t>
  </si>
  <si>
    <t>BSGatlas-gene-281</t>
  </si>
  <si>
    <t>BSGatlas-gene-282</t>
  </si>
  <si>
    <t>BSGatlas-gene-283</t>
  </si>
  <si>
    <t>BSGatlas-gene-287</t>
  </si>
  <si>
    <t>BSGatlas-gene-290</t>
  </si>
  <si>
    <t>BSGatlas-gene-292</t>
  </si>
  <si>
    <t>BSGatlas-gene-294</t>
  </si>
  <si>
    <t>BSGatlas-gene-295</t>
  </si>
  <si>
    <t>BSGatlas-gene-296</t>
  </si>
  <si>
    <t>BSGatlas-gene-298</t>
  </si>
  <si>
    <t>BSGatlas-gene-299</t>
  </si>
  <si>
    <t>BSGatlas-gene-303</t>
  </si>
  <si>
    <t>BSGatlas-gene-304</t>
  </si>
  <si>
    <t>BSGatlas-gene-305</t>
  </si>
  <si>
    <t>BSGatlas-gene-306</t>
  </si>
  <si>
    <t>BSGatlas-gene-309</t>
  </si>
  <si>
    <t>BSGatlas-gene-308</t>
  </si>
  <si>
    <t>BSGatlas-gene-310</t>
  </si>
  <si>
    <t>BSGatlas-gene-311</t>
  </si>
  <si>
    <t>BSGatlas-gene-312</t>
  </si>
  <si>
    <t>BSGatlas-gene-313</t>
  </si>
  <si>
    <t>BSGatlas-gene-315</t>
  </si>
  <si>
    <t>BSGatlas-gene-316</t>
  </si>
  <si>
    <t>BSGatlas-gene-318</t>
  </si>
  <si>
    <t>BSGatlas-gene-322</t>
  </si>
  <si>
    <t>BSGatlas-gene-327</t>
  </si>
  <si>
    <t>BSGatlas-gene-328</t>
  </si>
  <si>
    <t>BSGatlas-gene-329</t>
  </si>
  <si>
    <t>BSGatlas-gene-334</t>
  </si>
  <si>
    <t>BSGatlas-gene-335</t>
  </si>
  <si>
    <t>BSGatlas-gene-336</t>
  </si>
  <si>
    <t>BSGatlas-gene-338</t>
  </si>
  <si>
    <t>BSGatlas-gene-341</t>
  </si>
  <si>
    <t>BSGatlas-gene-342</t>
  </si>
  <si>
    <t>BSGatlas-gene-344</t>
  </si>
  <si>
    <t>BSGatlas-gene-345</t>
  </si>
  <si>
    <t>BSGatlas-gene-346</t>
  </si>
  <si>
    <t>BSGatlas-gene-347</t>
  </si>
  <si>
    <t>BSGatlas-gene-348</t>
  </si>
  <si>
    <t>BSGatlas-gene-350</t>
  </si>
  <si>
    <t>BSGatlas-gene-351</t>
  </si>
  <si>
    <t>BSGatlas-gene-353</t>
  </si>
  <si>
    <t>BSGatlas-gene-356</t>
  </si>
  <si>
    <t>BSGatlas-gene-358</t>
  </si>
  <si>
    <t>BSGatlas-gene-359</t>
  </si>
  <si>
    <t>BSGatlas-gene-360</t>
  </si>
  <si>
    <t>BSGatlas-gene-361</t>
  </si>
  <si>
    <t>BSGatlas-gene-363</t>
  </si>
  <si>
    <t>BSGatlas-gene-364</t>
  </si>
  <si>
    <t>BSGatlas-gene-367</t>
  </si>
  <si>
    <t>BSGatlas-gene-366</t>
  </si>
  <si>
    <t>BSGatlas-gene-373</t>
  </si>
  <si>
    <t>BSGatlas-gene-377</t>
  </si>
  <si>
    <t>BSGatlas-gene-380</t>
  </si>
  <si>
    <t>BSGatlas-gene-381</t>
  </si>
  <si>
    <t>BSGatlas-gene-382</t>
  </si>
  <si>
    <t>BSGatlas-gene-383</t>
  </si>
  <si>
    <t>BSGatlas-gene-384</t>
  </si>
  <si>
    <t>BSGatlas-gene-386</t>
  </si>
  <si>
    <t>BSGatlas-gene-387</t>
  </si>
  <si>
    <t>BSGatlas-gene-388</t>
  </si>
  <si>
    <t>BSGatlas-gene-389</t>
  </si>
  <si>
    <t>BSGatlas-gene-390</t>
  </si>
  <si>
    <t>BSGatlas-gene-391</t>
  </si>
  <si>
    <t>BSGatlas-gene-392</t>
  </si>
  <si>
    <t>BSGatlas-gene-393</t>
  </si>
  <si>
    <t>BSGatlas-gene-395</t>
  </si>
  <si>
    <t>BSGatlas-gene-396</t>
  </si>
  <si>
    <t>BSGatlas-gene-397</t>
  </si>
  <si>
    <t>BSGatlas-gene-400</t>
  </si>
  <si>
    <t>BSGatlas-gene-402</t>
  </si>
  <si>
    <t>BSGatlas-gene-404</t>
  </si>
  <si>
    <t>BSGatlas-gene-406</t>
  </si>
  <si>
    <t>BSGatlas-gene-407</t>
  </si>
  <si>
    <t>BSGatlas-gene-408</t>
  </si>
  <si>
    <t>BSGatlas-gene-411</t>
  </si>
  <si>
    <t>BSGatlas-gene-413</t>
  </si>
  <si>
    <t>BSGatlas-gene-414</t>
  </si>
  <si>
    <t>BSGatlas-gene-415</t>
  </si>
  <si>
    <t>BSGatlas-gene-417</t>
  </si>
  <si>
    <t>BSGatlas-gene-420</t>
  </si>
  <si>
    <t>BSGatlas-gene-421</t>
  </si>
  <si>
    <t>BSGatlas-gene-422</t>
  </si>
  <si>
    <t>BSGatlas-gene-423</t>
  </si>
  <si>
    <t>BSGatlas-gene-424</t>
  </si>
  <si>
    <t>BSGatlas-gene-425</t>
  </si>
  <si>
    <t>BSGatlas-gene-426</t>
  </si>
  <si>
    <t>BSGatlas-gene-427</t>
  </si>
  <si>
    <t>BSGatlas-gene-429</t>
  </si>
  <si>
    <t>BSGatlas-gene-430</t>
  </si>
  <si>
    <t>BSGatlas-gene-437</t>
  </si>
  <si>
    <t>BSGatlas-gene-438</t>
  </si>
  <si>
    <t>BSGatlas-gene-439</t>
  </si>
  <si>
    <t>BSGatlas-gene-442</t>
  </si>
  <si>
    <t>BSGatlas-gene-443</t>
  </si>
  <si>
    <t>BSGatlas-gene-446</t>
  </si>
  <si>
    <t>BSGatlas-gene-447</t>
  </si>
  <si>
    <t>BSGatlas-gene-452</t>
  </si>
  <si>
    <t>BSGatlas-gene-453</t>
  </si>
  <si>
    <t>BSGatlas-gene-454</t>
  </si>
  <si>
    <t>BSGatlas-gene-455</t>
  </si>
  <si>
    <t>BSGatlas-gene-456</t>
  </si>
  <si>
    <t>BSGatlas-gene-461</t>
  </si>
  <si>
    <t>BSGatlas-gene-463</t>
  </si>
  <si>
    <t>BSGatlas-gene-464</t>
  </si>
  <si>
    <t>BSGatlas-gene-466</t>
  </si>
  <si>
    <t>BSGatlas-gene-467</t>
  </si>
  <si>
    <t>BSGatlas-gene-468</t>
  </si>
  <si>
    <t>BSGatlas-gene-473</t>
  </si>
  <si>
    <t>BSGatlas-gene-475</t>
  </si>
  <si>
    <t>BSGatlas-gene-476</t>
  </si>
  <si>
    <t>BSGatlas-gene-477</t>
  </si>
  <si>
    <t>BSGatlas-gene-478</t>
  </si>
  <si>
    <t>BSGatlas-gene-479</t>
  </si>
  <si>
    <t>BSGatlas-gene-480</t>
  </si>
  <si>
    <t>BSGatlas-gene-484</t>
  </si>
  <si>
    <t>BSGatlas-gene-485</t>
  </si>
  <si>
    <t>BSGatlas-gene-486</t>
  </si>
  <si>
    <t>BSGatlas-gene-489</t>
  </si>
  <si>
    <t>BSGatlas-gene-490</t>
  </si>
  <si>
    <t>BSGatlas-gene-491</t>
  </si>
  <si>
    <t>BSGatlas-gene-492</t>
  </si>
  <si>
    <t>BSGatlas-gene-493</t>
  </si>
  <si>
    <t>BSGatlas-gene-494</t>
  </si>
  <si>
    <t>BSGatlas-gene-495</t>
  </si>
  <si>
    <t>BSGatlas-gene-500</t>
  </si>
  <si>
    <t>BSGatlas-gene-501</t>
  </si>
  <si>
    <t>BSGatlas-gene-502</t>
  </si>
  <si>
    <t>BSGatlas-gene-503</t>
  </si>
  <si>
    <t>BSGatlas-gene-504</t>
  </si>
  <si>
    <t>BSGatlas-gene-506</t>
  </si>
  <si>
    <t>BSGatlas-gene-507</t>
  </si>
  <si>
    <t>BSGatlas-gene-508</t>
  </si>
  <si>
    <t>BSGatlas-gene-509</t>
  </si>
  <si>
    <t>BSGatlas-gene-511</t>
  </si>
  <si>
    <t>BSGatlas-gene-512</t>
  </si>
  <si>
    <t>BSGatlas-gene-515</t>
  </si>
  <si>
    <t>BSGatlas-gene-516</t>
  </si>
  <si>
    <t>BSGatlas-gene-517</t>
  </si>
  <si>
    <t>BSGatlas-gene-518</t>
  </si>
  <si>
    <t>BSGatlas-gene-519</t>
  </si>
  <si>
    <t>BSGatlas-gene-525</t>
  </si>
  <si>
    <t>BSGatlas-gene-527</t>
  </si>
  <si>
    <t>BSGatlas-gene-531</t>
  </si>
  <si>
    <t>BSGatlas-gene-532</t>
  </si>
  <si>
    <t>BSGatlas-gene-534</t>
  </si>
  <si>
    <t>BSGatlas-gene-535</t>
  </si>
  <si>
    <t>BSGatlas-gene-536</t>
  </si>
  <si>
    <t>BSGatlas-gene-537</t>
  </si>
  <si>
    <t>BSGatlas-gene-539</t>
  </si>
  <si>
    <t>BSGatlas-gene-541</t>
  </si>
  <si>
    <t>BSGatlas-gene-540</t>
  </si>
  <si>
    <t>BSGatlas-gene-543</t>
  </si>
  <si>
    <t>BSGatlas-gene-544</t>
  </si>
  <si>
    <t>BSGatlas-gene-548</t>
  </si>
  <si>
    <t>BSGatlas-gene-549</t>
  </si>
  <si>
    <t>BSGatlas-gene-551</t>
  </si>
  <si>
    <t>BSGatlas-gene-552</t>
  </si>
  <si>
    <t>BSGatlas-gene-553</t>
  </si>
  <si>
    <t>BSGatlas-gene-554</t>
  </si>
  <si>
    <t>BSGatlas-gene-556</t>
  </si>
  <si>
    <t>BSGatlas-gene-557</t>
  </si>
  <si>
    <t>BSGatlas-gene-561</t>
  </si>
  <si>
    <t>BSGatlas-gene-560</t>
  </si>
  <si>
    <t>BSGatlas-gene-562</t>
  </si>
  <si>
    <t>BSGatlas-gene-563</t>
  </si>
  <si>
    <t>BSGatlas-gene-564</t>
  </si>
  <si>
    <t>BSGatlas-gene-567</t>
  </si>
  <si>
    <t>BSGatlas-gene-566</t>
  </si>
  <si>
    <t>BSGatlas-gene-571</t>
  </si>
  <si>
    <t>BSGatlas-gene-575</t>
  </si>
  <si>
    <t>BSGatlas-gene-580</t>
  </si>
  <si>
    <t>BSGatlas-gene-582</t>
  </si>
  <si>
    <t>BSGatlas-gene-583</t>
  </si>
  <si>
    <t>BSGatlas-gene-592</t>
  </si>
  <si>
    <t>BSGatlas-gene-593</t>
  </si>
  <si>
    <t>BSGatlas-gene-597</t>
  </si>
  <si>
    <t>BSGatlas-gene-606</t>
  </si>
  <si>
    <t>BSGatlas-gene-613</t>
  </si>
  <si>
    <t>BSGatlas-gene-614</t>
  </si>
  <si>
    <t>BSGatlas-gene-616</t>
  </si>
  <si>
    <t>BSGatlas-gene-619</t>
  </si>
  <si>
    <t>BSGatlas-gene-622</t>
  </si>
  <si>
    <t>BSGatlas-gene-624</t>
  </si>
  <si>
    <t>BSGatlas-gene-626</t>
  </si>
  <si>
    <t>BSGatlas-gene-629</t>
  </si>
  <si>
    <t>BSGatlas-gene-632</t>
  </si>
  <si>
    <t>BSGatlas-gene-635</t>
  </si>
  <si>
    <t>BSGatlas-gene-637</t>
  </si>
  <si>
    <t>BSGatlas-gene-638</t>
  </si>
  <si>
    <t>BSGatlas-gene-640</t>
  </si>
  <si>
    <t>BSGatlas-gene-641</t>
  </si>
  <si>
    <t>BSGatlas-gene-642</t>
  </si>
  <si>
    <t>BSGatlas-gene-643</t>
  </si>
  <si>
    <t>BSGatlas-gene-644</t>
  </si>
  <si>
    <t>BSGatlas-gene-645</t>
  </si>
  <si>
    <t>BSGatlas-gene-647</t>
  </si>
  <si>
    <t>BSGatlas-gene-648</t>
  </si>
  <si>
    <t>BSGatlas-gene-649</t>
  </si>
  <si>
    <t>BSGatlas-gene-650</t>
  </si>
  <si>
    <t>BSGatlas-gene-652</t>
  </si>
  <si>
    <t>BSGatlas-gene-654</t>
  </si>
  <si>
    <t>BSGatlas-gene-658</t>
  </si>
  <si>
    <t>BSGatlas-gene-661</t>
  </si>
  <si>
    <t>BSGatlas-gene-662</t>
  </si>
  <si>
    <t>BSGatlas-gene-663</t>
  </si>
  <si>
    <t>BSGatlas-gene-666</t>
  </si>
  <si>
    <t>BSGatlas-gene-668</t>
  </si>
  <si>
    <t>BSGatlas-gene-669</t>
  </si>
  <si>
    <t>BSGatlas-gene-670</t>
  </si>
  <si>
    <t>BSGatlas-gene-671</t>
  </si>
  <si>
    <t>BSGatlas-gene-672</t>
  </si>
  <si>
    <t>BSGatlas-gene-673</t>
  </si>
  <si>
    <t>BSGatlas-gene-674</t>
  </si>
  <si>
    <t>BSGatlas-gene-675</t>
  </si>
  <si>
    <t>BSGatlas-gene-676</t>
  </si>
  <si>
    <t>BSGatlas-gene-680</t>
  </si>
  <si>
    <t>BSGatlas-gene-678</t>
  </si>
  <si>
    <t>BSGatlas-gene-683</t>
  </si>
  <si>
    <t>BSGatlas-gene-684</t>
  </si>
  <si>
    <t>BSGatlas-gene-689</t>
  </si>
  <si>
    <t>BSGatlas-gene-690</t>
  </si>
  <si>
    <t>BSGatlas-gene-691</t>
  </si>
  <si>
    <t>BSGatlas-gene-695</t>
  </si>
  <si>
    <t>BSGatlas-gene-696</t>
  </si>
  <si>
    <t>BSGatlas-gene-697</t>
  </si>
  <si>
    <t>BSGatlas-gene-698</t>
  </si>
  <si>
    <t>BSGatlas-gene-699</t>
  </si>
  <si>
    <t>BSGatlas-gene-701</t>
  </si>
  <si>
    <t>BSGatlas-gene-702</t>
  </si>
  <si>
    <t>BSGatlas-gene-705</t>
  </si>
  <si>
    <t>BSGatlas-gene-704</t>
  </si>
  <si>
    <t>BSGatlas-gene-706</t>
  </si>
  <si>
    <t>BSGatlas-gene-707</t>
  </si>
  <si>
    <t>BSGatlas-gene-709</t>
  </si>
  <si>
    <t>BSGatlas-gene-713</t>
  </si>
  <si>
    <t>BSGatlas-gene-718</t>
  </si>
  <si>
    <t>BSGatlas-gene-719</t>
  </si>
  <si>
    <t>BSGatlas-gene-727</t>
  </si>
  <si>
    <t>BSGatlas-gene-733</t>
  </si>
  <si>
    <t>BSGatlas-gene-732</t>
  </si>
  <si>
    <t>BSGatlas-gene-735</t>
  </si>
  <si>
    <t>BSGatlas-gene-739</t>
  </si>
  <si>
    <t>BSGatlas-gene-738</t>
  </si>
  <si>
    <t>BSGatlas-gene-750</t>
  </si>
  <si>
    <t>BSGatlas-gene-760</t>
  </si>
  <si>
    <t>BSGatlas-gene-761</t>
  </si>
  <si>
    <t>BSGatlas-gene-767</t>
  </si>
  <si>
    <t>BSGatlas-gene-768</t>
  </si>
  <si>
    <t>BSGatlas-gene-770</t>
  </si>
  <si>
    <t>BSGatlas-gene-771</t>
  </si>
  <si>
    <t>BSGatlas-gene-775</t>
  </si>
  <si>
    <t>BSGatlas-gene-776</t>
  </si>
  <si>
    <t>BSGatlas-gene-779</t>
  </si>
  <si>
    <t>BSGatlas-gene-778</t>
  </si>
  <si>
    <t>BSGatlas-gene-782</t>
  </si>
  <si>
    <t>BSGatlas-gene-784</t>
  </si>
  <si>
    <t>BSGatlas-gene-785</t>
  </si>
  <si>
    <t>BSGatlas-gene-786</t>
  </si>
  <si>
    <t>BSGatlas-gene-788</t>
  </si>
  <si>
    <t>BSGatlas-gene-789</t>
  </si>
  <si>
    <t>BSGatlas-gene-793</t>
  </si>
  <si>
    <t>BSGatlas-gene-795</t>
  </si>
  <si>
    <t>BSGatlas-gene-796</t>
  </si>
  <si>
    <t>BSGatlas-gene-797</t>
  </si>
  <si>
    <t>BSGatlas-gene-798</t>
  </si>
  <si>
    <t>BSGatlas-gene-802</t>
  </si>
  <si>
    <t>BSGatlas-gene-814</t>
  </si>
  <si>
    <t>BSGatlas-gene-816</t>
  </si>
  <si>
    <t>BSGatlas-gene-817</t>
  </si>
  <si>
    <t>BSGatlas-gene-818</t>
  </si>
  <si>
    <t>BSGatlas-gene-820</t>
  </si>
  <si>
    <t>BSGatlas-gene-821</t>
  </si>
  <si>
    <t>BSGatlas-gene-825</t>
  </si>
  <si>
    <t>BSGatlas-gene-827</t>
  </si>
  <si>
    <t>BSGatlas-gene-828</t>
  </si>
  <si>
    <t>BSGatlas-gene-829</t>
  </si>
  <si>
    <t>BSGatlas-gene-833</t>
  </si>
  <si>
    <t>BSGatlas-gene-832</t>
  </si>
  <si>
    <t>BSGatlas-gene-834</t>
  </si>
  <si>
    <t>BSGatlas-gene-843</t>
  </si>
  <si>
    <t>BSGatlas-gene-844</t>
  </si>
  <si>
    <t>BSGatlas-gene-846</t>
  </si>
  <si>
    <t>BSGatlas-gene-848</t>
  </si>
  <si>
    <t>BSGatlas-gene-849</t>
  </si>
  <si>
    <t>BSGatlas-gene-850</t>
  </si>
  <si>
    <t>BSGatlas-gene-853</t>
  </si>
  <si>
    <t>BSGatlas-gene-856</t>
  </si>
  <si>
    <t>BSGatlas-gene-858</t>
  </si>
  <si>
    <t>BSGatlas-gene-861</t>
  </si>
  <si>
    <t>BSGatlas-gene-877</t>
  </si>
  <si>
    <t>BSGatlas-gene-879</t>
  </si>
  <si>
    <t>BSGatlas-gene-880</t>
  </si>
  <si>
    <t>BSGatlas-gene-882</t>
  </si>
  <si>
    <t>BSGatlas-gene-884</t>
  </si>
  <si>
    <t>BSGatlas-gene-885</t>
  </si>
  <si>
    <t>BSGatlas-gene-887</t>
  </si>
  <si>
    <t>BSGatlas-gene-889</t>
  </si>
  <si>
    <t>BSGatlas-gene-890</t>
  </si>
  <si>
    <t>BSGatlas-gene-891</t>
  </si>
  <si>
    <t>BSGatlas-gene-894</t>
  </si>
  <si>
    <t>BSGatlas-gene-897</t>
  </si>
  <si>
    <t>BSGatlas-gene-898</t>
  </si>
  <si>
    <t>BSGatlas-gene-899</t>
  </si>
  <si>
    <t>BSGatlas-gene-900</t>
  </si>
  <si>
    <t>BSGatlas-gene-901</t>
  </si>
  <si>
    <t>BSGatlas-gene-902</t>
  </si>
  <si>
    <t>BSGatlas-gene-904</t>
  </si>
  <si>
    <t>BSGatlas-gene-905</t>
  </si>
  <si>
    <t>BSGatlas-gene-906</t>
  </si>
  <si>
    <t>BSGatlas-gene-910</t>
  </si>
  <si>
    <t>BSGatlas-gene-909</t>
  </si>
  <si>
    <t>BSGatlas-gene-912</t>
  </si>
  <si>
    <t>BSGatlas-gene-914</t>
  </si>
  <si>
    <t>BSGatlas-gene-915</t>
  </si>
  <si>
    <t>BSGatlas-gene-919</t>
  </si>
  <si>
    <t>BSGatlas-gene-922</t>
  </si>
  <si>
    <t>BSGatlas-gene-920</t>
  </si>
  <si>
    <t>BSGatlas-gene-921</t>
  </si>
  <si>
    <t>BSGatlas-gene-923</t>
  </si>
  <si>
    <t>BSGatlas-gene-924</t>
  </si>
  <si>
    <t>BSGatlas-gene-925</t>
  </si>
  <si>
    <t>BSGatlas-gene-926</t>
  </si>
  <si>
    <t>BSGatlas-gene-929</t>
  </si>
  <si>
    <t>BSGatlas-gene-930</t>
  </si>
  <si>
    <t>BSGatlas-gene-931</t>
  </si>
  <si>
    <t>BSGatlas-gene-932</t>
  </si>
  <si>
    <t>BSGatlas-gene-934</t>
  </si>
  <si>
    <t>BSGatlas-gene-938</t>
  </si>
  <si>
    <t>BSGatlas-gene-939</t>
  </si>
  <si>
    <t>BSGatlas-gene-941</t>
  </si>
  <si>
    <t>BSGatlas-gene-940</t>
  </si>
  <si>
    <t>BSGatlas-gene-942</t>
  </si>
  <si>
    <t>BSGatlas-gene-943</t>
  </si>
  <si>
    <t>BSGatlas-gene-947</t>
  </si>
  <si>
    <t>BSGatlas-gene-948</t>
  </si>
  <si>
    <t>BSGatlas-gene-950</t>
  </si>
  <si>
    <t>BSGatlas-gene-951</t>
  </si>
  <si>
    <t>BSGatlas-gene-952</t>
  </si>
  <si>
    <t>BSGatlas-gene-953</t>
  </si>
  <si>
    <t>BSGatlas-gene-955</t>
  </si>
  <si>
    <t>BSGatlas-gene-956</t>
  </si>
  <si>
    <t>BSGatlas-gene-961</t>
  </si>
  <si>
    <t>BSGatlas-gene-960</t>
  </si>
  <si>
    <t>BSGatlas-gene-962</t>
  </si>
  <si>
    <t>BSGatlas-gene-964</t>
  </si>
  <si>
    <t>BSGatlas-gene-965</t>
  </si>
  <si>
    <t>BSGatlas-gene-966</t>
  </si>
  <si>
    <t>BSGatlas-gene-967</t>
  </si>
  <si>
    <t>BSGatlas-gene-969</t>
  </si>
  <si>
    <t>BSGatlas-gene-971</t>
  </si>
  <si>
    <t>BSGatlas-gene-972</t>
  </si>
  <si>
    <t>BSGatlas-gene-973</t>
  </si>
  <si>
    <t>BSGatlas-gene-975</t>
  </si>
  <si>
    <t>BSGatlas-gene-979</t>
  </si>
  <si>
    <t>BSGatlas-gene-980</t>
  </si>
  <si>
    <t>BSGatlas-gene-987</t>
  </si>
  <si>
    <t>BSGatlas-gene-988</t>
  </si>
  <si>
    <t>BSGatlas-gene-989</t>
  </si>
  <si>
    <t>BSGatlas-gene-991</t>
  </si>
  <si>
    <t>BSGatlas-gene-993</t>
  </si>
  <si>
    <t>BSGatlas-gene-999</t>
  </si>
  <si>
    <t>BSGatlas-gene-1004</t>
  </si>
  <si>
    <t>BSGatlas-gene-1005</t>
  </si>
  <si>
    <t>BSGatlas-gene-1006</t>
  </si>
  <si>
    <t>BSGatlas-gene-1008</t>
  </si>
  <si>
    <t>BSGatlas-gene-1009</t>
  </si>
  <si>
    <t>BSGatlas-gene-1010</t>
  </si>
  <si>
    <t>BSGatlas-gene-1011</t>
  </si>
  <si>
    <t>BSGatlas-gene-1012</t>
  </si>
  <si>
    <t>BSGatlas-gene-1013</t>
  </si>
  <si>
    <t>BSGatlas-gene-1014</t>
  </si>
  <si>
    <t>BSGatlas-gene-1015</t>
  </si>
  <si>
    <t>BSGatlas-gene-1017</t>
  </si>
  <si>
    <t>BSGatlas-gene-1018</t>
  </si>
  <si>
    <t>BSGatlas-gene-1019</t>
  </si>
  <si>
    <t>BSGatlas-gene-1020</t>
  </si>
  <si>
    <t>BSGatlas-gene-1022</t>
  </si>
  <si>
    <t>BSGatlas-gene-1021</t>
  </si>
  <si>
    <t>BSGatlas-gene-1025</t>
  </si>
  <si>
    <t>BSGatlas-gene-1026</t>
  </si>
  <si>
    <t>BSGatlas-gene-1027</t>
  </si>
  <si>
    <t>BSGatlas-gene-1028</t>
  </si>
  <si>
    <t>BSGatlas-gene-1029</t>
  </si>
  <si>
    <t>BSGatlas-gene-1031</t>
  </si>
  <si>
    <t>BSGatlas-gene-1034</t>
  </si>
  <si>
    <t>BSGatlas-gene-1033</t>
  </si>
  <si>
    <t>BSGatlas-gene-1036</t>
  </si>
  <si>
    <t>BSGatlas-gene-1035</t>
  </si>
  <si>
    <t>BSGatlas-gene-1037</t>
  </si>
  <si>
    <t>BSGatlas-gene-1039</t>
  </si>
  <si>
    <t>BSGatlas-gene-1041</t>
  </si>
  <si>
    <t>BSGatlas-gene-1042</t>
  </si>
  <si>
    <t>BSGatlas-gene-1043</t>
  </si>
  <si>
    <t>BSGatlas-gene-1044</t>
  </si>
  <si>
    <t>BSGatlas-gene-1045</t>
  </si>
  <si>
    <t>BSGatlas-gene-1046</t>
  </si>
  <si>
    <t>BSGatlas-gene-1048</t>
  </si>
  <si>
    <t>BSGatlas-gene-1066</t>
  </si>
  <si>
    <t>BSGatlas-gene-1067</t>
  </si>
  <si>
    <t>BSGatlas-gene-1068</t>
  </si>
  <si>
    <t>BSGatlas-gene-1069</t>
  </si>
  <si>
    <t>BSGatlas-gene-1070</t>
  </si>
  <si>
    <t>BSGatlas-gene-1072</t>
  </si>
  <si>
    <t>BSGatlas-gene-1073</t>
  </si>
  <si>
    <t>BSGatlas-gene-1074</t>
  </si>
  <si>
    <t>BSGatlas-gene-1075</t>
  </si>
  <si>
    <t>BSGatlas-gene-1076</t>
  </si>
  <si>
    <t>BSGatlas-gene-1077</t>
  </si>
  <si>
    <t>BSGatlas-gene-1081</t>
  </si>
  <si>
    <t>BSGatlas-gene-1082</t>
  </si>
  <si>
    <t>BSGatlas-gene-1084</t>
  </si>
  <si>
    <t>BSGatlas-gene-1085</t>
  </si>
  <si>
    <t>BSGatlas-gene-1086</t>
  </si>
  <si>
    <t>BSGatlas-gene-1088</t>
  </si>
  <si>
    <t>BSGatlas-gene-1089</t>
  </si>
  <si>
    <t>BSGatlas-gene-1094</t>
  </si>
  <si>
    <t>BSGatlas-gene-1095</t>
  </si>
  <si>
    <t>BSGatlas-gene-1096</t>
  </si>
  <si>
    <t>BSGatlas-gene-1097</t>
  </si>
  <si>
    <t>BSGatlas-gene-1102</t>
  </si>
  <si>
    <t>BSGatlas-gene-1108</t>
  </si>
  <si>
    <t>BSGatlas-gene-1109</t>
  </si>
  <si>
    <t>BSGatlas-gene-1110</t>
  </si>
  <si>
    <t>BSGatlas-gene-1111</t>
  </si>
  <si>
    <t>BSGatlas-gene-1112</t>
  </si>
  <si>
    <t>BSGatlas-gene-1113</t>
  </si>
  <si>
    <t>BSGatlas-gene-1114</t>
  </si>
  <si>
    <t>BSGatlas-gene-1115</t>
  </si>
  <si>
    <t>BSGatlas-gene-1118</t>
  </si>
  <si>
    <t>BSGatlas-gene-1119</t>
  </si>
  <si>
    <t>BSGatlas-gene-1120</t>
  </si>
  <si>
    <t>BSGatlas-gene-1121</t>
  </si>
  <si>
    <t>BSGatlas-gene-1124</t>
  </si>
  <si>
    <t>BSGatlas-gene-1127</t>
  </si>
  <si>
    <t>BSGatlas-gene-1130</t>
  </si>
  <si>
    <t>BSGatlas-gene-1131</t>
  </si>
  <si>
    <t>BSGatlas-gene-1132</t>
  </si>
  <si>
    <t>BSGatlas-gene-1135</t>
  </si>
  <si>
    <t>BSGatlas-gene-1136</t>
  </si>
  <si>
    <t>BSGatlas-gene-1137</t>
  </si>
  <si>
    <t>BSGatlas-gene-1138</t>
  </si>
  <si>
    <t>BSGatlas-gene-1141</t>
  </si>
  <si>
    <t>BSGatlas-gene-1142</t>
  </si>
  <si>
    <t>BSGatlas-gene-1144</t>
  </si>
  <si>
    <t>BSGatlas-gene-1145</t>
  </si>
  <si>
    <t>BSGatlas-gene-1146</t>
  </si>
  <si>
    <t>BSGatlas-gene-1147</t>
  </si>
  <si>
    <t>BSGatlas-gene-1148</t>
  </si>
  <si>
    <t>BSGatlas-gene-1149</t>
  </si>
  <si>
    <t>BSGatlas-gene-1150</t>
  </si>
  <si>
    <t>BSGatlas-gene-1151</t>
  </si>
  <si>
    <t>BSGatlas-gene-1154</t>
  </si>
  <si>
    <t>BSGatlas-gene-1155</t>
  </si>
  <si>
    <t>BSGatlas-gene-1156</t>
  </si>
  <si>
    <t>BSGatlas-gene-1158</t>
  </si>
  <si>
    <t>BSGatlas-gene-1159</t>
  </si>
  <si>
    <t>BSGatlas-gene-1161</t>
  </si>
  <si>
    <t>BSGatlas-gene-1164</t>
  </si>
  <si>
    <t>BSGatlas-gene-1165</t>
  </si>
  <si>
    <t>BSGatlas-gene-1166</t>
  </si>
  <si>
    <t>BSGatlas-gene-1167</t>
  </si>
  <si>
    <t>BSGatlas-gene-1168</t>
  </si>
  <si>
    <t>BSGatlas-gene-1169</t>
  </si>
  <si>
    <t>BSGatlas-gene-1170</t>
  </si>
  <si>
    <t>BSGatlas-gene-1171</t>
  </si>
  <si>
    <t>BSGatlas-gene-1173</t>
  </si>
  <si>
    <t>BSGatlas-gene-1176</t>
  </si>
  <si>
    <t>BSGatlas-gene-1177</t>
  </si>
  <si>
    <t>BSGatlas-gene-1178</t>
  </si>
  <si>
    <t>BSGatlas-gene-1179</t>
  </si>
  <si>
    <t>BSGatlas-gene-1180</t>
  </si>
  <si>
    <t>BSGatlas-gene-1181</t>
  </si>
  <si>
    <t>BSGatlas-gene-1182</t>
  </si>
  <si>
    <t>BSGatlas-gene-1184</t>
  </si>
  <si>
    <t>BSGatlas-gene-1186</t>
  </si>
  <si>
    <t>BSGatlas-gene-1187</t>
  </si>
  <si>
    <t>BSGatlas-gene-1190</t>
  </si>
  <si>
    <t>BSGatlas-gene-1191</t>
  </si>
  <si>
    <t>BSGatlas-gene-1192</t>
  </si>
  <si>
    <t>BSGatlas-gene-1193</t>
  </si>
  <si>
    <t>BSGatlas-gene-1195</t>
  </si>
  <si>
    <t>BSGatlas-gene-1197</t>
  </si>
  <si>
    <t>BSGatlas-gene-1198</t>
  </si>
  <si>
    <t>BSGatlas-gene-1199</t>
  </si>
  <si>
    <t>BSGatlas-gene-1200</t>
  </si>
  <si>
    <t>BSGatlas-gene-1201</t>
  </si>
  <si>
    <t>BSGatlas-gene-1204</t>
  </si>
  <si>
    <t>BSGatlas-gene-1203</t>
  </si>
  <si>
    <t>BSGatlas-gene-1205</t>
  </si>
  <si>
    <t>BSGatlas-gene-1207</t>
  </si>
  <si>
    <t>BSGatlas-gene-1206</t>
  </si>
  <si>
    <t>BSGatlas-gene-1208</t>
  </si>
  <si>
    <t>BSGatlas-gene-1209</t>
  </si>
  <si>
    <t>BSGatlas-gene-1210</t>
  </si>
  <si>
    <t>BSGatlas-gene-1211</t>
  </si>
  <si>
    <t>BSGatlas-gene-1212</t>
  </si>
  <si>
    <t>BSGatlas-gene-1215</t>
  </si>
  <si>
    <t>BSGatlas-gene-1216</t>
  </si>
  <si>
    <t>BSGatlas-gene-1218</t>
  </si>
  <si>
    <t>BSGatlas-gene-1219</t>
  </si>
  <si>
    <t>BSGatlas-gene-1220</t>
  </si>
  <si>
    <t>BSGatlas-gene-1223</t>
  </si>
  <si>
    <t>BSGatlas-gene-1224</t>
  </si>
  <si>
    <t>BSGatlas-gene-1225</t>
  </si>
  <si>
    <t>BSGatlas-gene-1226</t>
  </si>
  <si>
    <t>BSGatlas-gene-1228</t>
  </si>
  <si>
    <t>BSGatlas-gene-1230</t>
  </si>
  <si>
    <t>BSGatlas-gene-1231</t>
  </si>
  <si>
    <t>BSGatlas-gene-1232</t>
  </si>
  <si>
    <t>BSGatlas-gene-1235</t>
  </si>
  <si>
    <t>BSGatlas-gene-1236</t>
  </si>
  <si>
    <t>BSGatlas-gene-1237</t>
  </si>
  <si>
    <t>BSGatlas-gene-1238</t>
  </si>
  <si>
    <t>BSGatlas-gene-1239</t>
  </si>
  <si>
    <t>BSGatlas-gene-1240</t>
  </si>
  <si>
    <t>BSGatlas-gene-1241</t>
  </si>
  <si>
    <t>BSGatlas-gene-1242</t>
  </si>
  <si>
    <t>BSGatlas-gene-1244</t>
  </si>
  <si>
    <t>BSGatlas-gene-1245</t>
  </si>
  <si>
    <t>BSGatlas-gene-1246</t>
  </si>
  <si>
    <t>BSGatlas-gene-1247</t>
  </si>
  <si>
    <t>BSGatlas-gene-1248</t>
  </si>
  <si>
    <t>BSGatlas-gene-1249</t>
  </si>
  <si>
    <t>BSGatlas-gene-1250</t>
  </si>
  <si>
    <t>BSGatlas-gene-1251</t>
  </si>
  <si>
    <t>BSGatlas-gene-1253</t>
  </si>
  <si>
    <t>BSGatlas-gene-1255</t>
  </si>
  <si>
    <t>BSGatlas-gene-1257</t>
  </si>
  <si>
    <t>BSGatlas-gene-1256</t>
  </si>
  <si>
    <t>BSGatlas-gene-1259</t>
  </si>
  <si>
    <t>BSGatlas-gene-1260</t>
  </si>
  <si>
    <t>BSGatlas-gene-1266</t>
  </si>
  <si>
    <t>BSGatlas-gene-1265</t>
  </si>
  <si>
    <t>BSGatlas-gene-1267</t>
  </si>
  <si>
    <t>BSGatlas-gene-1269</t>
  </si>
  <si>
    <t>BSGatlas-gene-1271</t>
  </si>
  <si>
    <t>BSGatlas-gene-1272</t>
  </si>
  <si>
    <t>BSGatlas-gene-1276</t>
  </si>
  <si>
    <t>BSGatlas-gene-1282</t>
  </si>
  <si>
    <t>BSGatlas-gene-1284</t>
  </si>
  <si>
    <t>BSGatlas-gene-1285</t>
  </si>
  <si>
    <t>BSGatlas-gene-1286</t>
  </si>
  <si>
    <t>BSGatlas-gene-1287</t>
  </si>
  <si>
    <t>BSGatlas-gene-1288</t>
  </si>
  <si>
    <t>BSGatlas-gene-1289</t>
  </si>
  <si>
    <t>BSGatlas-gene-1290</t>
  </si>
  <si>
    <t>BSGatlas-gene-1291</t>
  </si>
  <si>
    <t>BSGatlas-gene-1292</t>
  </si>
  <si>
    <t>BSGatlas-gene-1294</t>
  </si>
  <si>
    <t>BSGatlas-gene-1296</t>
  </si>
  <si>
    <t>BSGatlas-gene-1297</t>
  </si>
  <si>
    <t>BSGatlas-gene-1299</t>
  </si>
  <si>
    <t>BSGatlas-gene-1300</t>
  </si>
  <si>
    <t>BSGatlas-gene-1301</t>
  </si>
  <si>
    <t>BSGatlas-gene-1304</t>
  </si>
  <si>
    <t>BSGatlas-gene-1305</t>
  </si>
  <si>
    <t>BSGatlas-gene-1307</t>
  </si>
  <si>
    <t>BSGatlas-gene-1309</t>
  </si>
  <si>
    <t>BSGatlas-gene-1311</t>
  </si>
  <si>
    <t>BSGatlas-gene-1312</t>
  </si>
  <si>
    <t>BSGatlas-gene-1314</t>
  </si>
  <si>
    <t>BSGatlas-gene-1315</t>
  </si>
  <si>
    <t>BSGatlas-gene-1316</t>
  </si>
  <si>
    <t>BSGatlas-gene-1318</t>
  </si>
  <si>
    <t>BSGatlas-gene-1324</t>
  </si>
  <si>
    <t>BSGatlas-gene-1323</t>
  </si>
  <si>
    <t>BSGatlas-gene-1325</t>
  </si>
  <si>
    <t>BSGatlas-gene-1326</t>
  </si>
  <si>
    <t>BSGatlas-gene-1327</t>
  </si>
  <si>
    <t>BSGatlas-gene-1328</t>
  </si>
  <si>
    <t>BSGatlas-gene-1329</t>
  </si>
  <si>
    <t>BSGatlas-gene-1332</t>
  </si>
  <si>
    <t>BSGatlas-gene-1339</t>
  </si>
  <si>
    <t>BSGatlas-gene-1340</t>
  </si>
  <si>
    <t>BSGatlas-gene-1341</t>
  </si>
  <si>
    <t>BSGatlas-gene-1343</t>
  </si>
  <si>
    <t>BSGatlas-gene-1344</t>
  </si>
  <si>
    <t>BSGatlas-gene-1345</t>
  </si>
  <si>
    <t>BSGatlas-gene-1346</t>
  </si>
  <si>
    <t>BSGatlas-gene-1347</t>
  </si>
  <si>
    <t>BSGatlas-gene-1349</t>
  </si>
  <si>
    <t>BSGatlas-gene-1350</t>
  </si>
  <si>
    <t>BSGatlas-gene-1352</t>
  </si>
  <si>
    <t>BSGatlas-gene-1356</t>
  </si>
  <si>
    <t>BSGatlas-gene-1357</t>
  </si>
  <si>
    <t>BSGatlas-gene-1359</t>
  </si>
  <si>
    <t>BSGatlas-gene-1365</t>
  </si>
  <si>
    <t>BSGatlas-gene-1366</t>
  </si>
  <si>
    <t>BSGatlas-gene-1367</t>
  </si>
  <si>
    <t>BSGatlas-gene-1368</t>
  </si>
  <si>
    <t>BSGatlas-gene-1369</t>
  </si>
  <si>
    <t>BSGatlas-gene-1370</t>
  </si>
  <si>
    <t>BSGatlas-gene-1372</t>
  </si>
  <si>
    <t>BSGatlas-gene-1373</t>
  </si>
  <si>
    <t>BSGatlas-gene-1374</t>
  </si>
  <si>
    <t>BSGatlas-gene-1377</t>
  </si>
  <si>
    <t>BSGatlas-gene-1378</t>
  </si>
  <si>
    <t>BSGatlas-gene-1379</t>
  </si>
  <si>
    <t>BSGatlas-gene-1380</t>
  </si>
  <si>
    <t>BSGatlas-gene-1381</t>
  </si>
  <si>
    <t>BSGatlas-gene-1385</t>
  </si>
  <si>
    <t>BSGatlas-gene-1386</t>
  </si>
  <si>
    <t>BSGatlas-gene-1388</t>
  </si>
  <si>
    <t>BSGatlas-gene-1395</t>
  </si>
  <si>
    <t>BSGatlas-gene-1396</t>
  </si>
  <si>
    <t>BSGatlas-gene-1402</t>
  </si>
  <si>
    <t>BSGatlas-gene-1398</t>
  </si>
  <si>
    <t>BSGatlas-gene-1399</t>
  </si>
  <si>
    <t>BSGatlas-gene-1401</t>
  </si>
  <si>
    <t>BSGatlas-gene-1403</t>
  </si>
  <si>
    <t>BSGatlas-gene-1407</t>
  </si>
  <si>
    <t>BSGatlas-gene-1408</t>
  </si>
  <si>
    <t>BSGatlas-gene-1410</t>
  </si>
  <si>
    <t>BSGatlas-gene-1409</t>
  </si>
  <si>
    <t>BSGatlas-gene-1413</t>
  </si>
  <si>
    <t>BSGatlas-gene-1415</t>
  </si>
  <si>
    <t>BSGatlas-gene-1419</t>
  </si>
  <si>
    <t>BSGatlas-gene-1418</t>
  </si>
  <si>
    <t>BSGatlas-gene-1420</t>
  </si>
  <si>
    <t>BSGatlas-gene-1421</t>
  </si>
  <si>
    <t>BSGatlas-gene-1425</t>
  </si>
  <si>
    <t>BSGatlas-gene-1430</t>
  </si>
  <si>
    <t>BSGatlas-gene-1431</t>
  </si>
  <si>
    <t>BSGatlas-gene-1432</t>
  </si>
  <si>
    <t>BSGatlas-gene-1435</t>
  </si>
  <si>
    <t>BSGatlas-gene-1436</t>
  </si>
  <si>
    <t>BSGatlas-gene-1437</t>
  </si>
  <si>
    <t>BSGatlas-gene-1438</t>
  </si>
  <si>
    <t>BSGatlas-gene-1439</t>
  </si>
  <si>
    <t>BSGatlas-gene-1440</t>
  </si>
  <si>
    <t>BSGatlas-gene-1444</t>
  </si>
  <si>
    <t>BSGatlas-gene-1445</t>
  </si>
  <si>
    <t>BSGatlas-gene-1443</t>
  </si>
  <si>
    <t>BSGatlas-gene-1446</t>
  </si>
  <si>
    <t>BSGatlas-gene-1447</t>
  </si>
  <si>
    <t>BSGatlas-gene-1449</t>
  </si>
  <si>
    <t>BSGatlas-gene-1450</t>
  </si>
  <si>
    <t>BSGatlas-gene-1451</t>
  </si>
  <si>
    <t>BSGatlas-gene-1453</t>
  </si>
  <si>
    <t>BSGatlas-gene-1455</t>
  </si>
  <si>
    <t>BSGatlas-gene-1456</t>
  </si>
  <si>
    <t>BSGatlas-gene-1458</t>
  </si>
  <si>
    <t>BSGatlas-gene-1459</t>
  </si>
  <si>
    <t>BSGatlas-gene-1462</t>
  </si>
  <si>
    <t>BSGatlas-gene-1463</t>
  </si>
  <si>
    <t>BSGatlas-gene-1464</t>
  </si>
  <si>
    <t>BSGatlas-gene-1466</t>
  </si>
  <si>
    <t>BSGatlas-gene-1468</t>
  </si>
  <si>
    <t>BSGatlas-gene-1473</t>
  </si>
  <si>
    <t>BSGatlas-gene-1476</t>
  </si>
  <si>
    <t>BSGatlas-gene-1477</t>
  </si>
  <si>
    <t>BSGatlas-gene-1478</t>
  </si>
  <si>
    <t>BSGatlas-gene-1479</t>
  </si>
  <si>
    <t>BSGatlas-gene-1481</t>
  </si>
  <si>
    <t>BSGatlas-gene-1482</t>
  </si>
  <si>
    <t>BSGatlas-gene-1484</t>
  </si>
  <si>
    <t>BSGatlas-gene-1483</t>
  </si>
  <si>
    <t>BSGatlas-gene-1485</t>
  </si>
  <si>
    <t>BSGatlas-gene-1487</t>
  </si>
  <si>
    <t>BSGatlas-gene-1488</t>
  </si>
  <si>
    <t>BSGatlas-gene-1495</t>
  </si>
  <si>
    <t>BSGatlas-gene-1498</t>
  </si>
  <si>
    <t>BSGatlas-gene-1521</t>
  </si>
  <si>
    <t>BSGatlas-gene-1526</t>
  </si>
  <si>
    <t>BSGatlas-gene-1528</t>
  </si>
  <si>
    <t>BSGatlas-gene-1529</t>
  </si>
  <si>
    <t>BSGatlas-gene-1530</t>
  </si>
  <si>
    <t>BSGatlas-gene-1534</t>
  </si>
  <si>
    <t>BSGatlas-gene-1535</t>
  </si>
  <si>
    <t>BSGatlas-gene-1536</t>
  </si>
  <si>
    <t>BSGatlas-gene-1537</t>
  </si>
  <si>
    <t>BSGatlas-gene-1540</t>
  </si>
  <si>
    <t>BSGatlas-gene-1546</t>
  </si>
  <si>
    <t>BSGatlas-gene-1547</t>
  </si>
  <si>
    <t>BSGatlas-gene-1548</t>
  </si>
  <si>
    <t>BSGatlas-gene-1549</t>
  </si>
  <si>
    <t>BSGatlas-gene-1551</t>
  </si>
  <si>
    <t>BSGatlas-gene-1552</t>
  </si>
  <si>
    <t>BSGatlas-gene-1555</t>
  </si>
  <si>
    <t>BSGatlas-gene-1557</t>
  </si>
  <si>
    <t>BSGatlas-gene-1559</t>
  </si>
  <si>
    <t>BSGatlas-gene-1561</t>
  </si>
  <si>
    <t>BSGatlas-gene-1562</t>
  </si>
  <si>
    <t>BSGatlas-gene-1563</t>
  </si>
  <si>
    <t>BSGatlas-gene-1565</t>
  </si>
  <si>
    <t>BSGatlas-gene-1566</t>
  </si>
  <si>
    <t>BSGatlas-gene-1568</t>
  </si>
  <si>
    <t>BSGatlas-gene-1569</t>
  </si>
  <si>
    <t>BSGatlas-gene-1573</t>
  </si>
  <si>
    <t>BSGatlas-gene-1575</t>
  </si>
  <si>
    <t>BSGatlas-gene-1578</t>
  </si>
  <si>
    <t>BSGatlas-gene-1579</t>
  </si>
  <si>
    <t>BSGatlas-gene-1581</t>
  </si>
  <si>
    <t>BSGatlas-gene-1582</t>
  </si>
  <si>
    <t>BSGatlas-gene-1583</t>
  </si>
  <si>
    <t>BSGatlas-gene-1584</t>
  </si>
  <si>
    <t>BSGatlas-gene-1585</t>
  </si>
  <si>
    <t>BSGatlas-gene-1587</t>
  </si>
  <si>
    <t>BSGatlas-gene-1586</t>
  </si>
  <si>
    <t>BSGatlas-gene-1589</t>
  </si>
  <si>
    <t>BSGatlas-gene-1593</t>
  </si>
  <si>
    <t>BSGatlas-gene-1594</t>
  </si>
  <si>
    <t>BSGatlas-gene-1596</t>
  </si>
  <si>
    <t>BSGatlas-gene-1597</t>
  </si>
  <si>
    <t>BSGatlas-gene-1599</t>
  </si>
  <si>
    <t>BSGatlas-gene-1600</t>
  </si>
  <si>
    <t>BSGatlas-gene-1601</t>
  </si>
  <si>
    <t>BSGatlas-gene-1602</t>
  </si>
  <si>
    <t>BSGatlas-gene-1603</t>
  </si>
  <si>
    <t>BSGatlas-gene-1605</t>
  </si>
  <si>
    <t>BSGatlas-gene-1606</t>
  </si>
  <si>
    <t>BSGatlas-gene-1607</t>
  </si>
  <si>
    <t>BSGatlas-TSS-1147</t>
  </si>
  <si>
    <t>BSGatlas-gene-1610</t>
  </si>
  <si>
    <t>BSGatlas-gene-1613</t>
  </si>
  <si>
    <t>BSGatlas-gene-1612</t>
  </si>
  <si>
    <t>BSGatlas-gene-1615</t>
  </si>
  <si>
    <t>BSGatlas-gene-1619</t>
  </si>
  <si>
    <t>BSGatlas-gene-1620</t>
  </si>
  <si>
    <t>BSGatlas-gene-1623</t>
  </si>
  <si>
    <t>BSGatlas-gene-1622</t>
  </si>
  <si>
    <t>BSGatlas-gene-1625</t>
  </si>
  <si>
    <t>BSGatlas-gene-1626</t>
  </si>
  <si>
    <t>BSGatlas-gene-1627</t>
  </si>
  <si>
    <t>BSGatlas-gene-1629</t>
  </si>
  <si>
    <t>BSGatlas-gene-1633</t>
  </si>
  <si>
    <t>BSGatlas-gene-1634</t>
  </si>
  <si>
    <t>BSGatlas-gene-1635</t>
  </si>
  <si>
    <t>BSGatlas-gene-1641</t>
  </si>
  <si>
    <t>BSGatlas-gene-1642</t>
  </si>
  <si>
    <t>BSGatlas-gene-1643</t>
  </si>
  <si>
    <t>BSGatlas-gene-1645</t>
  </si>
  <si>
    <t>BSGatlas-gene-1646</t>
  </si>
  <si>
    <t>BSGatlas-gene-1647</t>
  </si>
  <si>
    <t>BSGatlas-gene-1649</t>
  </si>
  <si>
    <t>BSGatlas-gene-1654</t>
  </si>
  <si>
    <t>BSGatlas-gene-1655</t>
  </si>
  <si>
    <t>BSGatlas-gene-1657</t>
  </si>
  <si>
    <t>BSGatlas-gene-1658</t>
  </si>
  <si>
    <t>BSGatlas-gene-1659</t>
  </si>
  <si>
    <t>BSGatlas-gene-1661</t>
  </si>
  <si>
    <t>BSGatlas-gene-1662</t>
  </si>
  <si>
    <t>BSGatlas-gene-1665</t>
  </si>
  <si>
    <t>BSGatlas-gene-1666</t>
  </si>
  <si>
    <t>BSGatlas-gene-1667</t>
  </si>
  <si>
    <t>BSGatlas-gene-1668</t>
  </si>
  <si>
    <t>BSGatlas-gene-1669</t>
  </si>
  <si>
    <t>BSGatlas-gene-1670</t>
  </si>
  <si>
    <t>BSGatlas-gene-1671</t>
  </si>
  <si>
    <t>BSGatlas-gene-1672</t>
  </si>
  <si>
    <t>BSGatlas-gene-1673</t>
  </si>
  <si>
    <t>BSGatlas-gene-1674</t>
  </si>
  <si>
    <t>BSGatlas-gene-1676</t>
  </si>
  <si>
    <t>BSGatlas-gene-1679</t>
  </si>
  <si>
    <t>BSGatlas-gene-1681</t>
  </si>
  <si>
    <t>BSGatlas-gene-1683</t>
  </si>
  <si>
    <t>BSGatlas-gene-1684</t>
  </si>
  <si>
    <t>BSGatlas-gene-1687</t>
  </si>
  <si>
    <t>BSGatlas-gene-1689</t>
  </si>
  <si>
    <t>BSGatlas-gene-1690</t>
  </si>
  <si>
    <t>BSGatlas-gene-1691</t>
  </si>
  <si>
    <t>BSGatlas-gene-1693</t>
  </si>
  <si>
    <t>BSGatlas-gene-1695</t>
  </si>
  <si>
    <t>BSGatlas-gene-1694</t>
  </si>
  <si>
    <t>BSGatlas-gene-1701</t>
  </si>
  <si>
    <t>BSGatlas-gene-1703</t>
  </si>
  <si>
    <t>BSGatlas-gene-1707</t>
  </si>
  <si>
    <t>BSGatlas-gene-1710</t>
  </si>
  <si>
    <t>BSGatlas-gene-1711</t>
  </si>
  <si>
    <t>BSGatlas-gene-1712</t>
  </si>
  <si>
    <t>BSGatlas-gene-1714</t>
  </si>
  <si>
    <t>BSGatlas-gene-1715</t>
  </si>
  <si>
    <t>BSGatlas-gene-1716</t>
  </si>
  <si>
    <t>BSGatlas-gene-1717</t>
  </si>
  <si>
    <t>BSGatlas-gene-1719</t>
  </si>
  <si>
    <t>BSGatlas-gene-1718</t>
  </si>
  <si>
    <t>BSGatlas-gene-1722</t>
  </si>
  <si>
    <t>BSGatlas-gene-1724</t>
  </si>
  <si>
    <t>BSGatlas-gene-1725</t>
  </si>
  <si>
    <t>BSGatlas-gene-1726</t>
  </si>
  <si>
    <t>BSGatlas-gene-1729</t>
  </si>
  <si>
    <t>BSGatlas-gene-1728</t>
  </si>
  <si>
    <t>BSGatlas-gene-1730</t>
  </si>
  <si>
    <t>BSGatlas-gene-1732</t>
  </si>
  <si>
    <t>BSGatlas-gene-1734</t>
  </si>
  <si>
    <t>BSGatlas-gene-1735</t>
  </si>
  <si>
    <t>BSGatlas-gene-1737</t>
  </si>
  <si>
    <t>BSGatlas-gene-1738</t>
  </si>
  <si>
    <t>BSGatlas-gene-1739</t>
  </si>
  <si>
    <t>BSGatlas-gene-1740</t>
  </si>
  <si>
    <t>BSGatlas-gene-1741</t>
  </si>
  <si>
    <t>BSGatlas-gene-1743</t>
  </si>
  <si>
    <t>BSGatlas-gene-1744</t>
  </si>
  <si>
    <t>BSGatlas-gene-1745</t>
  </si>
  <si>
    <t>BSGatlas-gene-1749</t>
  </si>
  <si>
    <t>BSGatlas-gene-1750</t>
  </si>
  <si>
    <t>BSGatlas-gene-1751</t>
  </si>
  <si>
    <t>BSGatlas-gene-1753</t>
  </si>
  <si>
    <t>BSGatlas-gene-1754</t>
  </si>
  <si>
    <t>BSGatlas-gene-1755</t>
  </si>
  <si>
    <t>BSGatlas-gene-1756</t>
  </si>
  <si>
    <t>BSGatlas-gene-1758</t>
  </si>
  <si>
    <t>BSGatlas-gene-1759</t>
  </si>
  <si>
    <t>BSGatlas-gene-1760</t>
  </si>
  <si>
    <t>BSGatlas-gene-1761</t>
  </si>
  <si>
    <t>BSGatlas-gene-1762</t>
  </si>
  <si>
    <t>BSGatlas-gene-1763</t>
  </si>
  <si>
    <t>BSGatlas-gene-1768</t>
  </si>
  <si>
    <t>BSGatlas-gene-1769</t>
  </si>
  <si>
    <t>BSGatlas-gene-1770</t>
  </si>
  <si>
    <t>BSGatlas-gene-1771</t>
  </si>
  <si>
    <t>BSGatlas-gene-1773</t>
  </si>
  <si>
    <t>BSGatlas-gene-1777</t>
  </si>
  <si>
    <t>BSGatlas-gene-1779</t>
  </si>
  <si>
    <t>BSGatlas-gene-1780</t>
  </si>
  <si>
    <t>BSGatlas-gene-1781</t>
  </si>
  <si>
    <t>BSGatlas-gene-1784</t>
  </si>
  <si>
    <t>BSGatlas-gene-1782</t>
  </si>
  <si>
    <t>BSGatlas-gene-1783</t>
  </si>
  <si>
    <t>BSGatlas-gene-1786</t>
  </si>
  <si>
    <t>BSGatlas-gene-1787</t>
  </si>
  <si>
    <t>BSGatlas-gene-1788</t>
  </si>
  <si>
    <t>BSGatlas-gene-1789</t>
  </si>
  <si>
    <t>BSGatlas-gene-1790</t>
  </si>
  <si>
    <t>BSGatlas-gene-1795</t>
  </si>
  <si>
    <t>BSGatlas-gene-1796</t>
  </si>
  <si>
    <t>BSGatlas-gene-1799</t>
  </si>
  <si>
    <t>BSGatlas-gene-1801</t>
  </si>
  <si>
    <t>BSGatlas-gene-1806</t>
  </si>
  <si>
    <t>BSGatlas-gene-1807</t>
  </si>
  <si>
    <t>BSGatlas-gene-1809</t>
  </si>
  <si>
    <t>BSGatlas-gene-1811</t>
  </si>
  <si>
    <t>BSGatlas-gene-1813</t>
  </si>
  <si>
    <t>BSGatlas-gene-1814</t>
  </si>
  <si>
    <t>BSGatlas-gene-1816</t>
  </si>
  <si>
    <t>BSGatlas-gene-1817</t>
  </si>
  <si>
    <t>BSGatlas-gene-1818</t>
  </si>
  <si>
    <t>BSGatlas-gene-1823</t>
  </si>
  <si>
    <t>BSGatlas-gene-1825</t>
  </si>
  <si>
    <t>BSGatlas-gene-1826</t>
  </si>
  <si>
    <t>BSGatlas-gene-1827</t>
  </si>
  <si>
    <t>BSGatlas-gene-1830</t>
  </si>
  <si>
    <t>BSGatlas-gene-1843</t>
  </si>
  <si>
    <t>BSGatlas-gene-1848</t>
  </si>
  <si>
    <t>BSGatlas-gene-1850</t>
  </si>
  <si>
    <t>BSGatlas-gene-1851</t>
  </si>
  <si>
    <t>BSGatlas-gene-1852</t>
  </si>
  <si>
    <t>BSGatlas-gene-1859</t>
  </si>
  <si>
    <t>BSGatlas-gene-1865</t>
  </si>
  <si>
    <t>BSGatlas-gene-1867</t>
  </si>
  <si>
    <t>BSGatlas-TSS-1366</t>
  </si>
  <si>
    <t>BSGatlas-gene-1868</t>
  </si>
  <si>
    <t>BSGatlas-gene-1869</t>
  </si>
  <si>
    <t>BSGatlas-gene-1870</t>
  </si>
  <si>
    <t>BSGatlas-gene-1872</t>
  </si>
  <si>
    <t>BSGatlas-gene-1875</t>
  </si>
  <si>
    <t>BSGatlas-gene-1879</t>
  </si>
  <si>
    <t>BSGatlas-gene-1880</t>
  </si>
  <si>
    <t>BSGatlas-gene-1881</t>
  </si>
  <si>
    <t>BSGatlas-gene-1882</t>
  </si>
  <si>
    <t>BSGatlas-gene-1883</t>
  </si>
  <si>
    <t>BSGatlas-gene-1884</t>
  </si>
  <si>
    <t>BSGatlas-gene-1892</t>
  </si>
  <si>
    <t>BSGatlas-gene-1893</t>
  </si>
  <si>
    <t>BSGatlas-gene-1894</t>
  </si>
  <si>
    <t>BSGatlas-gene-1897</t>
  </si>
  <si>
    <t>BSGatlas-gene-1900</t>
  </si>
  <si>
    <t>BSGatlas-gene-1901</t>
  </si>
  <si>
    <t>BSGatlas-gene-1902</t>
  </si>
  <si>
    <t>BSGatlas-gene-1906</t>
  </si>
  <si>
    <t>BSGatlas-gene-1936</t>
  </si>
  <si>
    <t>BSGatlas-gene-1939</t>
  </si>
  <si>
    <t>BSGatlas-gene-1943</t>
  </si>
  <si>
    <t>BSGatlas-gene-1945</t>
  </si>
  <si>
    <t>BSGatlas-gene-1951</t>
  </si>
  <si>
    <t>BSGatlas-gene-1956</t>
  </si>
  <si>
    <t>BSGatlas-gene-1959</t>
  </si>
  <si>
    <t>BSGatlas-gene-1960</t>
  </si>
  <si>
    <t>BSGatlas-gene-1962</t>
  </si>
  <si>
    <t>BSGatlas-gene-1964</t>
  </si>
  <si>
    <t>BSGatlas-gene-1965</t>
  </si>
  <si>
    <t>BSGatlas-gene-1966</t>
  </si>
  <si>
    <t>BSGatlas-gene-1968</t>
  </si>
  <si>
    <t>BSGatlas-gene-1972</t>
  </si>
  <si>
    <t>BSGatlas-gene-1973</t>
  </si>
  <si>
    <t>BSGatlas-gene-1975</t>
  </si>
  <si>
    <t>BSGatlas-gene-1976</t>
  </si>
  <si>
    <t>BSGatlas-gene-1977</t>
  </si>
  <si>
    <t>BSGatlas-gene-1978</t>
  </si>
  <si>
    <t>BSGatlas-gene-1981</t>
  </si>
  <si>
    <t>BSGatlas-gene-1982</t>
  </si>
  <si>
    <t>BSGatlas-gene-1987</t>
  </si>
  <si>
    <t>BSGatlas-gene-1988</t>
  </si>
  <si>
    <t>BSGatlas-gene-1989</t>
  </si>
  <si>
    <t>BSGatlas-gene-1991</t>
  </si>
  <si>
    <t>BSGatlas-gene-1992</t>
  </si>
  <si>
    <t>BSGatlas-gene-1994</t>
  </si>
  <si>
    <t>BSGatlas-gene-1996</t>
  </si>
  <si>
    <t>BSGatlas-gene-1997</t>
  </si>
  <si>
    <t>BSGatlas-gene-2001</t>
  </si>
  <si>
    <t>BSGatlas-gene-2002</t>
  </si>
  <si>
    <t>BSGatlas-gene-2004</t>
  </si>
  <si>
    <t>BSGatlas-gene-2006</t>
  </si>
  <si>
    <t>BSGatlas-gene-2019</t>
  </si>
  <si>
    <t>BSGatlas-gene-2020</t>
  </si>
  <si>
    <t>BSGatlas-gene-2021</t>
  </si>
  <si>
    <t>BSGatlas-gene-2022</t>
  </si>
  <si>
    <t>BSGatlas-gene-2023</t>
  </si>
  <si>
    <t>BSGatlas-gene-2025</t>
  </si>
  <si>
    <t>BSGatlas-gene-2026</t>
  </si>
  <si>
    <t>BSGatlas-gene-2028</t>
  </si>
  <si>
    <t>BSGatlas-gene-2029</t>
  </si>
  <si>
    <t>BSGatlas-gene-2030</t>
  </si>
  <si>
    <t>BSGatlas-gene-2031</t>
  </si>
  <si>
    <t>BSGatlas-gene-2032</t>
  </si>
  <si>
    <t>BSGatlas-gene-2034</t>
  </si>
  <si>
    <t>BSGatlas-gene-2036</t>
  </si>
  <si>
    <t>BSGatlas-gene-2042</t>
  </si>
  <si>
    <t>BSGatlas-gene-2043</t>
  </si>
  <si>
    <t>BSGatlas-gene-2045</t>
  </si>
  <si>
    <t>BSGatlas-gene-2046</t>
  </si>
  <si>
    <t>BSGatlas-gene-2047</t>
  </si>
  <si>
    <t>BSGatlas-gene-2050</t>
  </si>
  <si>
    <t>BSGatlas-gene-2052</t>
  </si>
  <si>
    <t>BSGatlas-gene-2053</t>
  </si>
  <si>
    <t>BSGatlas-gene-2058</t>
  </si>
  <si>
    <t>BSGatlas-gene-2061</t>
  </si>
  <si>
    <t>BSGatlas-gene-2062</t>
  </si>
  <si>
    <t>BSGatlas-gene-2064</t>
  </si>
  <si>
    <t>BSGatlas-gene-2065</t>
  </si>
  <si>
    <t>BSGatlas-gene-2066</t>
  </si>
  <si>
    <t>BSGatlas-gene-2067</t>
  </si>
  <si>
    <t>BSGatlas-gene-2071</t>
  </si>
  <si>
    <t>BSGatlas-gene-2075</t>
  </si>
  <si>
    <t>BSGatlas-gene-2078</t>
  </si>
  <si>
    <t>BSGatlas-gene-2079</t>
  </si>
  <si>
    <t>BSGatlas-gene-2080</t>
  </si>
  <si>
    <t>BSGatlas-gene-2081</t>
  </si>
  <si>
    <t>BSGatlas-gene-2084</t>
  </si>
  <si>
    <t>BSGatlas-gene-2086</t>
  </si>
  <si>
    <t>BSGatlas-gene-2089</t>
  </si>
  <si>
    <t>BSGatlas-gene-2095</t>
  </si>
  <si>
    <t>BSGatlas-gene-2097</t>
  </si>
  <si>
    <t>BSGatlas-gene-2099</t>
  </si>
  <si>
    <t>BSGatlas-gene-2100</t>
  </si>
  <si>
    <t>BSGatlas-gene-2101</t>
  </si>
  <si>
    <t>BSGatlas-gene-2103</t>
  </si>
  <si>
    <t>BSGatlas-gene-2104</t>
  </si>
  <si>
    <t>BSGatlas-gene-2106</t>
  </si>
  <si>
    <t>BSGatlas-gene-2107</t>
  </si>
  <si>
    <t>BSGatlas-gene-2108</t>
  </si>
  <si>
    <t>BSGatlas-gene-2109</t>
  </si>
  <si>
    <t>BSGatlas-gene-2110</t>
  </si>
  <si>
    <t>BSGatlas-gene-2111</t>
  </si>
  <si>
    <t>BSGatlas-gene-2112</t>
  </si>
  <si>
    <t>BSGatlas-gene-2113</t>
  </si>
  <si>
    <t>BSGatlas-gene-2117</t>
  </si>
  <si>
    <t>BSGatlas-gene-2116</t>
  </si>
  <si>
    <t>BSGatlas-gene-2119</t>
  </si>
  <si>
    <t>BSGatlas-gene-2120</t>
  </si>
  <si>
    <t>BSGatlas-gene-2122</t>
  </si>
  <si>
    <t>BSGatlas-gene-2124</t>
  </si>
  <si>
    <t>BSGatlas-gene-2125</t>
  </si>
  <si>
    <t>BSGatlas-gene-2126</t>
  </si>
  <si>
    <t>BSGatlas-gene-2128</t>
  </si>
  <si>
    <t>BSGatlas-gene-2131</t>
  </si>
  <si>
    <t>BSGatlas-gene-2132</t>
  </si>
  <si>
    <t>BSGatlas-gene-2134</t>
  </si>
  <si>
    <t>BSGatlas-gene-2133</t>
  </si>
  <si>
    <t>BSGatlas-gene-2137</t>
  </si>
  <si>
    <t>BSGatlas-gene-2138</t>
  </si>
  <si>
    <t>BSGatlas-gene-2140</t>
  </si>
  <si>
    <t>BSGatlas-gene-2141</t>
  </si>
  <si>
    <t>BSGatlas-gene-2148</t>
  </si>
  <si>
    <t>BSGatlas-gene-2151</t>
  </si>
  <si>
    <t>BSGatlas-gene-2152</t>
  </si>
  <si>
    <t>BSGatlas-gene-2157</t>
  </si>
  <si>
    <t>BSGatlas-gene-2159</t>
  </si>
  <si>
    <t>BSGatlas-gene-2161</t>
  </si>
  <si>
    <t>BSGatlas-gene-2160</t>
  </si>
  <si>
    <t>BSGatlas-gene-2163</t>
  </si>
  <si>
    <t>BSGatlas-gene-2164</t>
  </si>
  <si>
    <t>BSGatlas-gene-2165</t>
  </si>
  <si>
    <t>BSGatlas-gene-2166</t>
  </si>
  <si>
    <t>BSGatlas-gene-2170</t>
  </si>
  <si>
    <t>BSGatlas-gene-2169</t>
  </si>
  <si>
    <t>BSGatlas-gene-2172</t>
  </si>
  <si>
    <t>BSGatlas-gene-2173</t>
  </si>
  <si>
    <t>BSGatlas-gene-2174</t>
  </si>
  <si>
    <t>BSGatlas-gene-2175</t>
  </si>
  <si>
    <t>BSGatlas-gene-2177</t>
  </si>
  <si>
    <t>BSGatlas-gene-2180</t>
  </si>
  <si>
    <t>BSGatlas-gene-2182</t>
  </si>
  <si>
    <t>BSGatlas-gene-2183</t>
  </si>
  <si>
    <t>BSGatlas-gene-2184</t>
  </si>
  <si>
    <t>BSGatlas-gene-2186</t>
  </si>
  <si>
    <t>BSGatlas-gene-2188</t>
  </si>
  <si>
    <t>BSGatlas-gene-2189</t>
  </si>
  <si>
    <t>BSGatlas-gene-2190</t>
  </si>
  <si>
    <t>BSGatlas-gene-2193</t>
  </si>
  <si>
    <t>BSGatlas-gene-2194</t>
  </si>
  <si>
    <t>BSGatlas-gene-2195</t>
  </si>
  <si>
    <t>BSGatlas-gene-2199</t>
  </si>
  <si>
    <t>BSGatlas-gene-2202</t>
  </si>
  <si>
    <t>BSGatlas-gene-2203</t>
  </si>
  <si>
    <t>BSGatlas-gene-2208</t>
  </si>
  <si>
    <t>BSGatlas-gene-2209</t>
  </si>
  <si>
    <t>BSGatlas-gene-2210</t>
  </si>
  <si>
    <t>BSGatlas-gene-2213</t>
  </si>
  <si>
    <t>BSGatlas-gene-2214</t>
  </si>
  <si>
    <t>BSGatlas-gene-2216</t>
  </si>
  <si>
    <t>BSGatlas-gene-2217</t>
  </si>
  <si>
    <t>BSGatlas-gene-2218</t>
  </si>
  <si>
    <t>BSGatlas-gene-2222</t>
  </si>
  <si>
    <t>BSGatlas-gene-2226</t>
  </si>
  <si>
    <t>BSGatlas-gene-2227</t>
  </si>
  <si>
    <t>BSGatlas-gene-2228</t>
  </si>
  <si>
    <t>BSGatlas-gene-2229</t>
  </si>
  <si>
    <t>BSGatlas-gene-2232</t>
  </si>
  <si>
    <t>BSGatlas-gene-2233</t>
  </si>
  <si>
    <t>BSGatlas-gene-2234</t>
  </si>
  <si>
    <t>BSGatlas-gene-2236</t>
  </si>
  <si>
    <t>BSGatlas-gene-2241</t>
  </si>
  <si>
    <t>BSGatlas-gene-2243</t>
  </si>
  <si>
    <t>BSGatlas-gene-2244</t>
  </si>
  <si>
    <t>BSGatlas-gene-2245</t>
  </si>
  <si>
    <t>BSGatlas-gene-2246</t>
  </si>
  <si>
    <t>BSGatlas-gene-2250</t>
  </si>
  <si>
    <t>BSGatlas-gene-2252</t>
  </si>
  <si>
    <t>BSGatlas-gene-2253</t>
  </si>
  <si>
    <t>BSGatlas-gene-2254</t>
  </si>
  <si>
    <t>BSGatlas-gene-2255</t>
  </si>
  <si>
    <t>BSGatlas-gene-2256</t>
  </si>
  <si>
    <t>BSGatlas-gene-2257</t>
  </si>
  <si>
    <t>BSGatlas-gene-2258</t>
  </si>
  <si>
    <t>BSGatlas-gene-2259</t>
  </si>
  <si>
    <t>BSGatlas-gene-2260</t>
  </si>
  <si>
    <t>BSGatlas-gene-2261</t>
  </si>
  <si>
    <t>BSGatlas-gene-2262</t>
  </si>
  <si>
    <t>BSGatlas-gene-2263</t>
  </si>
  <si>
    <t>BSGatlas-gene-2267</t>
  </si>
  <si>
    <t>BSGatlas-gene-2271</t>
  </si>
  <si>
    <t>BSGatlas-gene-2272</t>
  </si>
  <si>
    <t>BSGatlas-gene-2274</t>
  </si>
  <si>
    <t>BSGatlas-gene-2275</t>
  </si>
  <si>
    <t>BSGatlas-gene-2276</t>
  </si>
  <si>
    <t>BSGatlas-gene-2278</t>
  </si>
  <si>
    <t>BSGatlas-gene-2280</t>
  </si>
  <si>
    <t>BSGatlas-gene-2281</t>
  </si>
  <si>
    <t>BSGatlas-gene-2282</t>
  </si>
  <si>
    <t>BSGatlas-gene-2284</t>
  </si>
  <si>
    <t>BSGatlas-gene-2285</t>
  </si>
  <si>
    <t>BSGatlas-gene-2287</t>
  </si>
  <si>
    <t>BSGatlas-gene-2289</t>
  </si>
  <si>
    <t>BSGatlas-gene-2291</t>
  </si>
  <si>
    <t>BSGatlas-gene-2292</t>
  </si>
  <si>
    <t>BSGatlas-gene-2293</t>
  </si>
  <si>
    <t>BSGatlas-gene-2294</t>
  </si>
  <si>
    <t>BSGatlas-gene-2298</t>
  </si>
  <si>
    <t>BSGatlas-gene-2300</t>
  </si>
  <si>
    <t>BSGatlas-gene-2299</t>
  </si>
  <si>
    <t>BSGatlas-gene-2301</t>
  </si>
  <si>
    <t>BSGatlas-gene-2302</t>
  </si>
  <si>
    <t>BSGatlas-gene-2303</t>
  </si>
  <si>
    <t>BSGatlas-gene-2304</t>
  </si>
  <si>
    <t>BSGatlas-gene-2305</t>
  </si>
  <si>
    <t>BSGatlas-gene-2307</t>
  </si>
  <si>
    <t>BSGatlas-gene-2308</t>
  </si>
  <si>
    <t>BSGatlas-gene-2311</t>
  </si>
  <si>
    <t>BSGatlas-gene-2310</t>
  </si>
  <si>
    <t>BSGatlas-gene-2312</t>
  </si>
  <si>
    <t>BSGatlas-gene-2314</t>
  </si>
  <si>
    <t>BSGatlas-gene-2315</t>
  </si>
  <si>
    <t>BSGatlas-gene-2316</t>
  </si>
  <si>
    <t>BSGatlas-gene-2317</t>
  </si>
  <si>
    <t>BSGatlas-gene-2318</t>
  </si>
  <si>
    <t>BSGatlas-gene-2319</t>
  </si>
  <si>
    <t>BSGatlas-gene-2320</t>
  </si>
  <si>
    <t>BSGatlas-gene-2321</t>
  </si>
  <si>
    <t>BSGatlas-gene-2328</t>
  </si>
  <si>
    <t>BSGatlas-gene-2331</t>
  </si>
  <si>
    <t>BSGatlas-gene-2334</t>
  </si>
  <si>
    <t>BSGatlas-gene-2335</t>
  </si>
  <si>
    <t>BSGatlas-gene-2337</t>
  </si>
  <si>
    <t>BSGatlas-gene-2338</t>
  </si>
  <si>
    <t>BSGatlas-gene-2339</t>
  </si>
  <si>
    <t>BSGatlas-gene-2341</t>
  </si>
  <si>
    <t>BSGatlas-gene-2353</t>
  </si>
  <si>
    <t>BSGatlas-gene-2354</t>
  </si>
  <si>
    <t>BSGatlas-gene-2358</t>
  </si>
  <si>
    <t>BSGatlas-gene-2359</t>
  </si>
  <si>
    <t>BSGatlas-gene-2362</t>
  </si>
  <si>
    <t>BSGatlas-gene-2381</t>
  </si>
  <si>
    <t>BSGatlas-gene-2386</t>
  </si>
  <si>
    <t>BSGatlas-gene-2394</t>
  </si>
  <si>
    <t>BSGatlas-gene-2404</t>
  </si>
  <si>
    <t>BSGatlas-gene-2406</t>
  </si>
  <si>
    <t>BSGatlas-gene-2407</t>
  </si>
  <si>
    <t>BSGatlas-gene-2411</t>
  </si>
  <si>
    <t>BSGatlas-gene-2418</t>
  </si>
  <si>
    <t>BSGatlas-gene-2420</t>
  </si>
  <si>
    <t>BSGatlas-gene-2439</t>
  </si>
  <si>
    <t>BSGatlas-gene-2440</t>
  </si>
  <si>
    <t>BSGatlas-gene-2442</t>
  </si>
  <si>
    <t>BSGatlas-gene-2446</t>
  </si>
  <si>
    <t>BSGatlas-gene-2449</t>
  </si>
  <si>
    <t>BSGatlas-gene-2450</t>
  </si>
  <si>
    <t>BSGatlas-gene-2456</t>
  </si>
  <si>
    <t>BSGatlas-gene-2457</t>
  </si>
  <si>
    <t>BSGatlas-gene-2460</t>
  </si>
  <si>
    <t>BSGatlas-gene-2462</t>
  </si>
  <si>
    <t>BSGatlas-gene-2463</t>
  </si>
  <si>
    <t>BSGatlas-gene-2465</t>
  </si>
  <si>
    <t>BSGatlas-gene-2468</t>
  </si>
  <si>
    <t>BSGatlas-gene-2470</t>
  </si>
  <si>
    <t>BSGatlas-gene-2473</t>
  </si>
  <si>
    <t>BSGatlas-gene-2480</t>
  </si>
  <si>
    <t>BSGatlas-gene-2482</t>
  </si>
  <si>
    <t>BSGatlas-gene-2504</t>
  </si>
  <si>
    <t>BSGatlas-gene-2507</t>
  </si>
  <si>
    <t>BSGatlas-gene-2508</t>
  </si>
  <si>
    <t>BSGatlas-gene-2523</t>
  </si>
  <si>
    <t>BSGatlas-gene-2524</t>
  </si>
  <si>
    <t>BSGatlas-gene-2526</t>
  </si>
  <si>
    <t>BSGatlas-gene-2527</t>
  </si>
  <si>
    <t>BSGatlas-gene-2529</t>
  </si>
  <si>
    <t>BSGatlas-gene-2530</t>
  </si>
  <si>
    <t>BSGatlas-gene-2537</t>
  </si>
  <si>
    <t>BSGatlas-gene-2541</t>
  </si>
  <si>
    <t>BSGatlas-gene-2542</t>
  </si>
  <si>
    <t>BSGatlas-gene-2544</t>
  </si>
  <si>
    <t>BSGatlas-gene-2550</t>
  </si>
  <si>
    <t>BSGatlas-gene-2551</t>
  </si>
  <si>
    <t>BSGatlas-gene-2552</t>
  </si>
  <si>
    <t>BSGatlas-gene-2554</t>
  </si>
  <si>
    <t>BSGatlas-gene-2555</t>
  </si>
  <si>
    <t>BSGatlas-gene-2559</t>
  </si>
  <si>
    <t>BSGatlas-gene-2561</t>
  </si>
  <si>
    <t>BSGatlas-gene-2562</t>
  </si>
  <si>
    <t>BSGatlas-gene-2563</t>
  </si>
  <si>
    <t>BSGatlas-gene-2570</t>
  </si>
  <si>
    <t>BSGatlas-gene-2569</t>
  </si>
  <si>
    <t>BSGatlas-gene-2572</t>
  </si>
  <si>
    <t>BSGatlas-gene-2573</t>
  </si>
  <si>
    <t>BSGatlas-gene-2574</t>
  </si>
  <si>
    <t>BSGatlas-gene-2576</t>
  </si>
  <si>
    <t>BSGatlas-gene-2577</t>
  </si>
  <si>
    <t>BSGatlas-gene-2578</t>
  </si>
  <si>
    <t>BSGatlas-gene-2582</t>
  </si>
  <si>
    <t>BSGatlas-gene-2583</t>
  </si>
  <si>
    <t>BSGatlas-gene-2586</t>
  </si>
  <si>
    <t>BSGatlas-gene-2587</t>
  </si>
  <si>
    <t>BSGatlas-gene-2590</t>
  </si>
  <si>
    <t>BSGatlas-gene-2591</t>
  </si>
  <si>
    <t>BSGatlas-gene-2592</t>
  </si>
  <si>
    <t>BSGatlas-gene-2593</t>
  </si>
  <si>
    <t>BSGatlas-gene-2595</t>
  </si>
  <si>
    <t>BSGatlas-gene-2597</t>
  </si>
  <si>
    <t>BSGatlas-gene-2599</t>
  </si>
  <si>
    <t>BSGatlas-gene-2601</t>
  </si>
  <si>
    <t>BSGatlas-gene-2605</t>
  </si>
  <si>
    <t>BSGatlas-gene-2606</t>
  </si>
  <si>
    <t>BSGatlas-gene-2608</t>
  </si>
  <si>
    <t>BSGatlas-gene-2609</t>
  </si>
  <si>
    <t>BSGatlas-gene-2610</t>
  </si>
  <si>
    <t>BSGatlas-gene-2612</t>
  </si>
  <si>
    <t>BSGatlas-gene-2613</t>
  </si>
  <si>
    <t>BSGatlas-gene-2615</t>
  </si>
  <si>
    <t>BSGatlas-gene-2618</t>
  </si>
  <si>
    <t>BSGatlas-gene-2619</t>
  </si>
  <si>
    <t>BSGatlas-gene-2620</t>
  </si>
  <si>
    <t>BSGatlas-gene-2622</t>
  </si>
  <si>
    <t>BSGatlas-gene-2621</t>
  </si>
  <si>
    <t>BSGatlas-gene-2623</t>
  </si>
  <si>
    <t>BSGatlas-gene-2624</t>
  </si>
  <si>
    <t>BSGatlas-gene-2627</t>
  </si>
  <si>
    <t>BSGatlas-gene-2626</t>
  </si>
  <si>
    <t>BSGatlas-gene-2632</t>
  </si>
  <si>
    <t>BSGatlas-gene-2635</t>
  </si>
  <si>
    <t>BSGatlas-gene-2640</t>
  </si>
  <si>
    <t>BSGatlas-gene-2648</t>
  </si>
  <si>
    <t>BSGatlas-gene-2649</t>
  </si>
  <si>
    <t>BSGatlas-gene-2650</t>
  </si>
  <si>
    <t>BSGatlas-gene-2654</t>
  </si>
  <si>
    <t>BSGatlas-gene-2656</t>
  </si>
  <si>
    <t>BSGatlas-gene-2657</t>
  </si>
  <si>
    <t>BSGatlas-gene-2662</t>
  </si>
  <si>
    <t>BSGatlas-gene-2663</t>
  </si>
  <si>
    <t>BSGatlas-gene-2666</t>
  </si>
  <si>
    <t>BSGatlas-gene-2668</t>
  </si>
  <si>
    <t>BSGatlas-TSS-1853</t>
  </si>
  <si>
    <t>BSGatlas-gene-2670</t>
  </si>
  <si>
    <t>BSGatlas-gene-2671</t>
  </si>
  <si>
    <t>BSGatlas-gene-2672</t>
  </si>
  <si>
    <t>BSGatlas-gene-2675</t>
  </si>
  <si>
    <t>BSGatlas-gene-2677</t>
  </si>
  <si>
    <t>BSGatlas-gene-2678</t>
  </si>
  <si>
    <t>BSGatlas-gene-2679</t>
  </si>
  <si>
    <t>BSGatlas-gene-2681</t>
  </si>
  <si>
    <t>BSGatlas-gene-2684</t>
  </si>
  <si>
    <t>BSGatlas-gene-2688</t>
  </si>
  <si>
    <t>BSGatlas-gene-2687</t>
  </si>
  <si>
    <t>BSGatlas-gene-2690</t>
  </si>
  <si>
    <t>BSGatlas-gene-2692</t>
  </si>
  <si>
    <t>BSGatlas-gene-2693</t>
  </si>
  <si>
    <t>BSGatlas-gene-2695</t>
  </si>
  <si>
    <t>BSGatlas-gene-2696</t>
  </si>
  <si>
    <t>BSGatlas-gene-2699</t>
  </si>
  <si>
    <t>BSGatlas-gene-2700</t>
  </si>
  <si>
    <t>BSGatlas-gene-2701</t>
  </si>
  <si>
    <t>BSGatlas-gene-2708</t>
  </si>
  <si>
    <t>BSGatlas-gene-2707</t>
  </si>
  <si>
    <t>BSGatlas-gene-2709</t>
  </si>
  <si>
    <t>BSGatlas-gene-2711</t>
  </si>
  <si>
    <t>BSGatlas-gene-2712</t>
  </si>
  <si>
    <t>BSGatlas-gene-2713</t>
  </si>
  <si>
    <t>BSGatlas-gene-2716</t>
  </si>
  <si>
    <t>BSGatlas-gene-2715</t>
  </si>
  <si>
    <t>BSGatlas-gene-2718</t>
  </si>
  <si>
    <t>BSGatlas-gene-2721</t>
  </si>
  <si>
    <t>BSGatlas-gene-2722</t>
  </si>
  <si>
    <t>BSGatlas-gene-2725</t>
  </si>
  <si>
    <t>BSGatlas-gene-2726</t>
  </si>
  <si>
    <t>BSGatlas-gene-2729</t>
  </si>
  <si>
    <t>BSGatlas-gene-2728</t>
  </si>
  <si>
    <t>BSGatlas-gene-2730</t>
  </si>
  <si>
    <t>BSGatlas-gene-2734</t>
  </si>
  <si>
    <t>BSGatlas-gene-2736</t>
  </si>
  <si>
    <t>BSGatlas-gene-2738</t>
  </si>
  <si>
    <t>BSGatlas-gene-2740</t>
  </si>
  <si>
    <t>BSGatlas-gene-2746</t>
  </si>
  <si>
    <t>BSGatlas-gene-2747</t>
  </si>
  <si>
    <t>BSGatlas-gene-2748</t>
  </si>
  <si>
    <t>BSGatlas-gene-2749</t>
  </si>
  <si>
    <t>BSGatlas-gene-2756</t>
  </si>
  <si>
    <t>BSGatlas-gene-2759</t>
  </si>
  <si>
    <t>BSGatlas-gene-2760</t>
  </si>
  <si>
    <t>BSGatlas-gene-2762</t>
  </si>
  <si>
    <t>BSGatlas-gene-2764</t>
  </si>
  <si>
    <t>BSGatlas-gene-2765</t>
  </si>
  <si>
    <t>BSGatlas-gene-2766</t>
  </si>
  <si>
    <t>BSGatlas-gene-2769</t>
  </si>
  <si>
    <t>BSGatlas-gene-2771</t>
  </si>
  <si>
    <t>BSGatlas-gene-2772</t>
  </si>
  <si>
    <t>BSGatlas-gene-2774</t>
  </si>
  <si>
    <t>BSGatlas-gene-2775</t>
  </si>
  <si>
    <t>BSGatlas-gene-2776</t>
  </si>
  <si>
    <t>BSGatlas-gene-2777</t>
  </si>
  <si>
    <t>BSGatlas-gene-2778</t>
  </si>
  <si>
    <t>BSGatlas-gene-2779</t>
  </si>
  <si>
    <t>BSGatlas-gene-2780</t>
  </si>
  <si>
    <t>BSGatlas-gene-2783</t>
  </si>
  <si>
    <t>BSGatlas-gene-2786</t>
  </si>
  <si>
    <t>BSGatlas-gene-2785</t>
  </si>
  <si>
    <t>BSGatlas-gene-2787</t>
  </si>
  <si>
    <t>BSGatlas-gene-2794</t>
  </si>
  <si>
    <t>BSGatlas-gene-2796</t>
  </si>
  <si>
    <t>BSGatlas-gene-2797</t>
  </si>
  <si>
    <t>BSGatlas-gene-2798</t>
  </si>
  <si>
    <t>BSGatlas-gene-2799</t>
  </si>
  <si>
    <t>BSGatlas-gene-2800</t>
  </si>
  <si>
    <t>BSGatlas-TSS-1952</t>
  </si>
  <si>
    <t>BSGatlas-gene-2803</t>
  </si>
  <si>
    <t>BSGatlas-gene-2804</t>
  </si>
  <si>
    <t>BSGatlas-gene-2805</t>
  </si>
  <si>
    <t>BSGatlas-gene-2806</t>
  </si>
  <si>
    <t>BSGatlas-gene-2807</t>
  </si>
  <si>
    <t>BSGatlas-gene-2809</t>
  </si>
  <si>
    <t>BSGatlas-gene-2814</t>
  </si>
  <si>
    <t>BSGatlas-gene-2818</t>
  </si>
  <si>
    <t>BSGatlas-gene-2819</t>
  </si>
  <si>
    <t>BSGatlas-gene-2820</t>
  </si>
  <si>
    <t>BSGatlas-gene-2821</t>
  </si>
  <si>
    <t>BSGatlas-gene-2829</t>
  </si>
  <si>
    <t>BSGatlas-gene-2830</t>
  </si>
  <si>
    <t>BSGatlas-gene-2831</t>
  </si>
  <si>
    <t>BSGatlas-gene-2832</t>
  </si>
  <si>
    <t>BSGatlas-gene-2837</t>
  </si>
  <si>
    <t>BSGatlas-gene-2838</t>
  </si>
  <si>
    <t>BSGatlas-gene-2840</t>
  </si>
  <si>
    <t>BSGatlas-gene-2842</t>
  </si>
  <si>
    <t>BSGatlas-gene-2843</t>
  </si>
  <si>
    <t>BSGatlas-gene-2844</t>
  </si>
  <si>
    <t>BSGatlas-gene-2845</t>
  </si>
  <si>
    <t>BSGatlas-gene-2849</t>
  </si>
  <si>
    <t>BSGatlas-gene-2856</t>
  </si>
  <si>
    <t>BSGatlas-gene-2859</t>
  </si>
  <si>
    <t>BSGatlas-gene-2867</t>
  </si>
  <si>
    <t>BSGatlas-gene-2868</t>
  </si>
  <si>
    <t>BSGatlas-gene-2871</t>
  </si>
  <si>
    <t>BSGatlas-gene-2872</t>
  </si>
  <si>
    <t>BSGatlas-gene-2873</t>
  </si>
  <si>
    <t>BSGatlas-gene-2875</t>
  </si>
  <si>
    <t>BSGatlas-gene-2876</t>
  </si>
  <si>
    <t>BSGatlas-gene-2877</t>
  </si>
  <si>
    <t>BSGatlas-gene-2878</t>
  </si>
  <si>
    <t>BSGatlas-gene-2881</t>
  </si>
  <si>
    <t>BSGatlas-gene-2883</t>
  </si>
  <si>
    <t>BSGatlas-gene-2885</t>
  </si>
  <si>
    <t>BSGatlas-gene-2886</t>
  </si>
  <si>
    <t>BSGatlas-gene-2887</t>
  </si>
  <si>
    <t>BSGatlas-gene-2889</t>
  </si>
  <si>
    <t>BSGatlas-gene-2890</t>
  </si>
  <si>
    <t>BSGatlas-gene-2891</t>
  </si>
  <si>
    <t>BSGatlas-gene-2898</t>
  </si>
  <si>
    <t>BSGatlas-gene-2899</t>
  </si>
  <si>
    <t>BSGatlas-gene-2900</t>
  </si>
  <si>
    <t>BSGatlas-gene-2903</t>
  </si>
  <si>
    <t>BSGatlas-gene-2904</t>
  </si>
  <si>
    <t>BSGatlas-gene-2905</t>
  </si>
  <si>
    <t>BSGatlas-gene-2906</t>
  </si>
  <si>
    <t>BSGatlas-gene-2909</t>
  </si>
  <si>
    <t>BSGatlas-gene-2910</t>
  </si>
  <si>
    <t>BSGatlas-gene-2914</t>
  </si>
  <si>
    <t>BSGatlas-gene-2915</t>
  </si>
  <si>
    <t>BSGatlas-gene-2917</t>
  </si>
  <si>
    <t>BSGatlas-gene-2920</t>
  </si>
  <si>
    <t>BSGatlas-gene-2919</t>
  </si>
  <si>
    <t>BSGatlas-gene-2926</t>
  </si>
  <si>
    <t>BSGatlas-gene-2927</t>
  </si>
  <si>
    <t>BSGatlas-gene-2928</t>
  </si>
  <si>
    <t>BSGatlas-gene-2929</t>
  </si>
  <si>
    <t>BSGatlas-gene-2930</t>
  </si>
  <si>
    <t>BSGatlas-gene-2931</t>
  </si>
  <si>
    <t>BSGatlas-gene-2932</t>
  </si>
  <si>
    <t>BSGatlas-gene-2933</t>
  </si>
  <si>
    <t>BSGatlas-gene-2934</t>
  </si>
  <si>
    <t>BSGatlas-gene-2935</t>
  </si>
  <si>
    <t>BSGatlas-gene-2936</t>
  </si>
  <si>
    <t>BSGatlas-gene-2937</t>
  </si>
  <si>
    <t>BSGatlas-gene-2938</t>
  </si>
  <si>
    <t>BSGatlas-gene-2939</t>
  </si>
  <si>
    <t>BSGatlas-gene-2940</t>
  </si>
  <si>
    <t>BSGatlas-gene-2941</t>
  </si>
  <si>
    <t>BSGatlas-gene-2942</t>
  </si>
  <si>
    <t>BSGatlas-gene-2943</t>
  </si>
  <si>
    <t>BSGatlas-gene-2945</t>
  </si>
  <si>
    <t>BSGatlas-gene-2946</t>
  </si>
  <si>
    <t>BSGatlas-gene-2947</t>
  </si>
  <si>
    <t>BSGatlas-gene-2951</t>
  </si>
  <si>
    <t>BSGatlas-gene-2953</t>
  </si>
  <si>
    <t>BSGatlas-gene-2955</t>
  </si>
  <si>
    <t>BSGatlas-gene-2961</t>
  </si>
  <si>
    <t>BSGatlas-gene-2965</t>
  </si>
  <si>
    <t>BSGatlas-gene-2970</t>
  </si>
  <si>
    <t>BSGatlas-gene-2973</t>
  </si>
  <si>
    <t>BSGatlas-gene-2972</t>
  </si>
  <si>
    <t>BSGatlas-gene-2978</t>
  </si>
  <si>
    <t>BSGatlas-gene-2980</t>
  </si>
  <si>
    <t>BSGatlas-gene-2981</t>
  </si>
  <si>
    <t>BSGatlas-gene-2983</t>
  </si>
  <si>
    <t>BSGatlas-gene-2985</t>
  </si>
  <si>
    <t>BSGatlas-gene-2986</t>
  </si>
  <si>
    <t>BSGatlas-gene-2987</t>
  </si>
  <si>
    <t>BSGatlas-gene-2988</t>
  </si>
  <si>
    <t>BSGatlas-gene-2991</t>
  </si>
  <si>
    <t>BSGatlas-gene-2990</t>
  </si>
  <si>
    <t>BSGatlas-gene-2993</t>
  </si>
  <si>
    <t>BSGatlas-TSS-2090</t>
  </si>
  <si>
    <t>BSGatlas-gene-2994</t>
  </si>
  <si>
    <t>BSGatlas-gene-2995</t>
  </si>
  <si>
    <t>BSGatlas-gene-3005</t>
  </si>
  <si>
    <t>BSGatlas-gene-3008</t>
  </si>
  <si>
    <t>BSGatlas-gene-3010</t>
  </si>
  <si>
    <t>BSGatlas-gene-3012</t>
  </si>
  <si>
    <t>BSGatlas-gene-3013</t>
  </si>
  <si>
    <t>BSGatlas-gene-3014</t>
  </si>
  <si>
    <t>BSGatlas-gene-3015</t>
  </si>
  <si>
    <t>BSGatlas-gene-3019</t>
  </si>
  <si>
    <t>BSGatlas-gene-3020</t>
  </si>
  <si>
    <t>BSGatlas-gene-3021</t>
  </si>
  <si>
    <t>BSGatlas-gene-3022</t>
  </si>
  <si>
    <t>BSGatlas-gene-3024</t>
  </si>
  <si>
    <t>BSGatlas-gene-3028</t>
  </si>
  <si>
    <t>BSGatlas-gene-3030</t>
  </si>
  <si>
    <t>BSGatlas-gene-3050</t>
  </si>
  <si>
    <t>BSGatlas-gene-3053</t>
  </si>
  <si>
    <t>BSGatlas-gene-3059</t>
  </si>
  <si>
    <t>BSGatlas-gene-3061</t>
  </si>
  <si>
    <t>BSGatlas-gene-3063</t>
  </si>
  <si>
    <t>BSGatlas-gene-3068</t>
  </si>
  <si>
    <t>BSGatlas-gene-3071</t>
  </si>
  <si>
    <t>BSGatlas-gene-3075</t>
  </si>
  <si>
    <t>BSGatlas-gene-3086</t>
  </si>
  <si>
    <t>BSGatlas-gene-3088</t>
  </si>
  <si>
    <t>BSGatlas-gene-3089</t>
  </si>
  <si>
    <t>BSGatlas-gene-3095</t>
  </si>
  <si>
    <t>BSGatlas-gene-3096</t>
  </si>
  <si>
    <t>BSGatlas-gene-3100</t>
  </si>
  <si>
    <t>BSGatlas-TSS-2140</t>
  </si>
  <si>
    <t>BSGatlas-gene-3101</t>
  </si>
  <si>
    <t>BSGatlas-gene-3108</t>
  </si>
  <si>
    <t>BSGatlas-gene-3110</t>
  </si>
  <si>
    <t>BSGatlas-gene-3113</t>
  </si>
  <si>
    <t>BSGatlas-gene-3114</t>
  </si>
  <si>
    <t>BSGatlas-gene-3116</t>
  </si>
  <si>
    <t>BSGatlas-gene-3119</t>
  </si>
  <si>
    <t>BSGatlas-gene-3121</t>
  </si>
  <si>
    <t>BSGatlas-gene-3123</t>
  </si>
  <si>
    <t>BSGatlas-gene-3129</t>
  </si>
  <si>
    <t>BSGatlas-gene-3134</t>
  </si>
  <si>
    <t>BSGatlas-gene-3138</t>
  </si>
  <si>
    <t>BSGatlas-gene-3139</t>
  </si>
  <si>
    <t>BSGatlas-gene-3140</t>
  </si>
  <si>
    <t>BSGatlas-gene-3141</t>
  </si>
  <si>
    <t>BSGatlas-gene-3142</t>
  </si>
  <si>
    <t>BSGatlas-gene-3146</t>
  </si>
  <si>
    <t>BSGatlas-gene-3147</t>
  </si>
  <si>
    <t>BSGatlas-gene-3150</t>
  </si>
  <si>
    <t>BSGatlas-gene-3152</t>
  </si>
  <si>
    <t>BSGatlas-gene-3153</t>
  </si>
  <si>
    <t>BSGatlas-gene-3156</t>
  </si>
  <si>
    <t>BSGatlas-gene-3159</t>
  </si>
  <si>
    <t>BSGatlas-gene-3160</t>
  </si>
  <si>
    <t>BSGatlas-gene-3165</t>
  </si>
  <si>
    <t>BSGatlas-gene-3166</t>
  </si>
  <si>
    <t>BSGatlas-gene-3167</t>
  </si>
  <si>
    <t>BSGatlas-gene-3168</t>
  </si>
  <si>
    <t>BSGatlas-gene-3174</t>
  </si>
  <si>
    <t>BSGatlas-gene-3175</t>
  </si>
  <si>
    <t>BSGatlas-gene-3177</t>
  </si>
  <si>
    <t>BSGatlas-gene-3178</t>
  </si>
  <si>
    <t>BSGatlas-gene-3179</t>
  </si>
  <si>
    <t>BSGatlas-gene-3180</t>
  </si>
  <si>
    <t>BSGatlas-gene-3183</t>
  </si>
  <si>
    <t>BSGatlas-TSS-2187</t>
  </si>
  <si>
    <t>BSGatlas-gene-3184</t>
  </si>
  <si>
    <t>BSGatlas-gene-3187</t>
  </si>
  <si>
    <t>BSGatlas-gene-3194</t>
  </si>
  <si>
    <t>BSGatlas-gene-3196</t>
  </si>
  <si>
    <t>BSGatlas-gene-3201</t>
  </si>
  <si>
    <t>BSGatlas-gene-3202</t>
  </si>
  <si>
    <t>BSGatlas-gene-3203</t>
  </si>
  <si>
    <t>BSGatlas-gene-3204</t>
  </si>
  <si>
    <t>BSGatlas-gene-3206</t>
  </si>
  <si>
    <t>BSGatlas-gene-3210</t>
  </si>
  <si>
    <t>BSGatlas-gene-3211</t>
  </si>
  <si>
    <t>BSGatlas-gene-3214</t>
  </si>
  <si>
    <t>BSGatlas-gene-3216</t>
  </si>
  <si>
    <t>BSGatlas-gene-3219</t>
  </si>
  <si>
    <t>BSGatlas-gene-3218</t>
  </si>
  <si>
    <t>BSGatlas-gene-3224</t>
  </si>
  <si>
    <t>BSGatlas-gene-3227</t>
  </si>
  <si>
    <t>BSGatlas-gene-3231</t>
  </si>
  <si>
    <t>BSGatlas-gene-3232</t>
  </si>
  <si>
    <t>BSGatlas-gene-3236</t>
  </si>
  <si>
    <t>BSGatlas-gene-3239</t>
  </si>
  <si>
    <t>BSGatlas-gene-3238</t>
  </si>
  <si>
    <t>BSGatlas-gene-3241</t>
  </si>
  <si>
    <t>BSGatlas-gene-3242</t>
  </si>
  <si>
    <t>BSGatlas-gene-3243</t>
  </si>
  <si>
    <t>BSGatlas-gene-3244</t>
  </si>
  <si>
    <t>BSGatlas-gene-3245</t>
  </si>
  <si>
    <t>BSGatlas-gene-3248</t>
  </si>
  <si>
    <t>BSGatlas-gene-3247</t>
  </si>
  <si>
    <t>BSGatlas-gene-3249</t>
  </si>
  <si>
    <t>BSGatlas-gene-3250</t>
  </si>
  <si>
    <t>BSGatlas-gene-3251</t>
  </si>
  <si>
    <t>BSGatlas-gene-3256</t>
  </si>
  <si>
    <t>BSGatlas-gene-3257</t>
  </si>
  <si>
    <t>BSGatlas-gene-3258</t>
  </si>
  <si>
    <t>BSGatlas-gene-3259</t>
  </si>
  <si>
    <t>BSGatlas-gene-3260</t>
  </si>
  <si>
    <t>BSGatlas-gene-3266</t>
  </si>
  <si>
    <t>BSGatlas-gene-3267</t>
  </si>
  <si>
    <t>BSGatlas-gene-3268</t>
  </si>
  <si>
    <t>BSGatlas-gene-3269</t>
  </si>
  <si>
    <t>BSGatlas-gene-3272</t>
  </si>
  <si>
    <t>BSGatlas-gene-3273</t>
  </si>
  <si>
    <t>BSGatlas-gene-3274</t>
  </si>
  <si>
    <t>BSGatlas-gene-3278</t>
  </si>
  <si>
    <t>BSGatlas-gene-3282</t>
  </si>
  <si>
    <t>BSGatlas-gene-3285</t>
  </si>
  <si>
    <t>BSGatlas-gene-3290</t>
  </si>
  <si>
    <t>BSGatlas-gene-3292</t>
  </si>
  <si>
    <t>BSGatlas-gene-3293</t>
  </si>
  <si>
    <t>BSGatlas-gene-3294</t>
  </si>
  <si>
    <t>BSGatlas-gene-3296</t>
  </si>
  <si>
    <t>BSGatlas-gene-3298</t>
  </si>
  <si>
    <t>BSGatlas-gene-3300</t>
  </si>
  <si>
    <t>BSGatlas-gene-3306</t>
  </si>
  <si>
    <t>BSGatlas-gene-3307</t>
  </si>
  <si>
    <t>BSGatlas-gene-3309</t>
  </si>
  <si>
    <t>BSGatlas-gene-3310</t>
  </si>
  <si>
    <t>BSGatlas-gene-3311</t>
  </si>
  <si>
    <t>BSGatlas-gene-3312</t>
  </si>
  <si>
    <t>BSGatlas-gene-3313</t>
  </si>
  <si>
    <t>BSGatlas-gene-3318</t>
  </si>
  <si>
    <t>BSGatlas-gene-3321</t>
  </si>
  <si>
    <t>BSGatlas-gene-3323</t>
  </si>
  <si>
    <t>BSGatlas-gene-3324</t>
  </si>
  <si>
    <t>BSGatlas-gene-3325</t>
  </si>
  <si>
    <t>BSGatlas-gene-3326</t>
  </si>
  <si>
    <t>BSGatlas-gene-3329</t>
  </si>
  <si>
    <t>BSGatlas-gene-3330</t>
  </si>
  <si>
    <t>BSGatlas-gene-3332</t>
  </si>
  <si>
    <t>BSGatlas-gene-3333</t>
  </si>
  <si>
    <t>BSGatlas-gene-3338</t>
  </si>
  <si>
    <t>BSGatlas-gene-3337</t>
  </si>
  <si>
    <t>BSGatlas-gene-3339</t>
  </si>
  <si>
    <t>BSGatlas-gene-3342</t>
  </si>
  <si>
    <t>BSGatlas-gene-3343</t>
  </si>
  <si>
    <t>BSGatlas-gene-3345</t>
  </si>
  <si>
    <t>BSGatlas-gene-3349</t>
  </si>
  <si>
    <t>BSGatlas-gene-3350</t>
  </si>
  <si>
    <t>BSGatlas-gene-3355</t>
  </si>
  <si>
    <t>BSGatlas-gene-3356</t>
  </si>
  <si>
    <t>BSGatlas-gene-3358</t>
  </si>
  <si>
    <t>BSGatlas-gene-3362</t>
  </si>
  <si>
    <t>BSGatlas-gene-3363</t>
  </si>
  <si>
    <t>BSGatlas-gene-3365</t>
  </si>
  <si>
    <t>BSGatlas-gene-3366</t>
  </si>
  <si>
    <t>BSGatlas-gene-3369</t>
  </si>
  <si>
    <t>BSGatlas-gene-3370</t>
  </si>
  <si>
    <t>BSGatlas-gene-3371</t>
  </si>
  <si>
    <t>BSGatlas-gene-3379</t>
  </si>
  <si>
    <t>BSGatlas-gene-3380</t>
  </si>
  <si>
    <t>BSGatlas-gene-3381</t>
  </si>
  <si>
    <t>BSGatlas-gene-3382</t>
  </si>
  <si>
    <t>BSGatlas-gene-3386</t>
  </si>
  <si>
    <t>BSGatlas-gene-3388</t>
  </si>
  <si>
    <t>BSGatlas-gene-3390</t>
  </si>
  <si>
    <t>BSGatlas-gene-3392</t>
  </si>
  <si>
    <t>BSGatlas-gene-3393</t>
  </si>
  <si>
    <t>BSGatlas-gene-3394</t>
  </si>
  <si>
    <t>BSGatlas-gene-3396</t>
  </si>
  <si>
    <t>BSGatlas-gene-3399</t>
  </si>
  <si>
    <t>BSGatlas-gene-3400</t>
  </si>
  <si>
    <t>BSGatlas-gene-3401</t>
  </si>
  <si>
    <t>BSGatlas-gene-3404</t>
  </si>
  <si>
    <t>BSGatlas-gene-3402</t>
  </si>
  <si>
    <t>BSGatlas-gene-3403</t>
  </si>
  <si>
    <t>BSGatlas-gene-3409</t>
  </si>
  <si>
    <t>BSGatlas-gene-3411</t>
  </si>
  <si>
    <t>BSGatlas-gene-3413</t>
  </si>
  <si>
    <t>BSGatlas-gene-3416</t>
  </si>
  <si>
    <t>BSGatlas-gene-3414</t>
  </si>
  <si>
    <t>BSGatlas-gene-3415</t>
  </si>
  <si>
    <t>BSGatlas-gene-3419</t>
  </si>
  <si>
    <t>BSGatlas-gene-3422</t>
  </si>
  <si>
    <t>BSGatlas-gene-3421</t>
  </si>
  <si>
    <t>BSGatlas-gene-3424</t>
  </si>
  <si>
    <t>BSGatlas-gene-3425</t>
  </si>
  <si>
    <t>BSGatlas-gene-3426</t>
  </si>
  <si>
    <t>BSGatlas-gene-3428</t>
  </si>
  <si>
    <t>BSGatlas-gene-3430</t>
  </si>
  <si>
    <t>BSGatlas-gene-3429</t>
  </si>
  <si>
    <t>BSGatlas-gene-3431</t>
  </si>
  <si>
    <t>BSGatlas-gene-3443</t>
  </si>
  <si>
    <t>BSGatlas-gene-3444</t>
  </si>
  <si>
    <t>BSGatlas-gene-3446</t>
  </si>
  <si>
    <t>BSGatlas-gene-3450</t>
  </si>
  <si>
    <t>BSGatlas-gene-3451</t>
  </si>
  <si>
    <t>BSGatlas-gene-3452</t>
  </si>
  <si>
    <t>BSGatlas-gene-3455</t>
  </si>
  <si>
    <t>BSGatlas-gene-3456</t>
  </si>
  <si>
    <t>BSGatlas-gene-3457</t>
  </si>
  <si>
    <t>BSGatlas-gene-3459</t>
  </si>
  <si>
    <t>BSGatlas-gene-3460</t>
  </si>
  <si>
    <t>BSGatlas-gene-3462</t>
  </si>
  <si>
    <t>BSGatlas-gene-3463</t>
  </si>
  <si>
    <t>BSGatlas-gene-3465</t>
  </si>
  <si>
    <t>BSGatlas-gene-3466</t>
  </si>
  <si>
    <t>BSGatlas-gene-3467</t>
  </si>
  <si>
    <t>BSGatlas-gene-3468</t>
  </si>
  <si>
    <t>BSGatlas-gene-3470</t>
  </si>
  <si>
    <t>BSGatlas-gene-3469</t>
  </si>
  <si>
    <t>BSGatlas-gene-3473</t>
  </si>
  <si>
    <t>BSGatlas-gene-3471</t>
  </si>
  <si>
    <t>BSGatlas-gene-3476</t>
  </si>
  <si>
    <t>BSGatlas-gene-3479</t>
  </si>
  <si>
    <t>BSGatlas-gene-3480</t>
  </si>
  <si>
    <t>BSGatlas-gene-3485</t>
  </si>
  <si>
    <t>BSGatlas-gene-3486</t>
  </si>
  <si>
    <t>BSGatlas-gene-3489</t>
  </si>
  <si>
    <t>BSGatlas-gene-3490</t>
  </si>
  <si>
    <t>BSGatlas-gene-3491</t>
  </si>
  <si>
    <t>BSGatlas-gene-3494</t>
  </si>
  <si>
    <t>BSGatlas-gene-3496</t>
  </si>
  <si>
    <t>BSGatlas-gene-3497</t>
  </si>
  <si>
    <t>BSGatlas-gene-3498</t>
  </si>
  <si>
    <t>BSGatlas-gene-3499</t>
  </si>
  <si>
    <t>BSGatlas-gene-3500</t>
  </si>
  <si>
    <t>BSGatlas-gene-3501</t>
  </si>
  <si>
    <t>BSGatlas-gene-3502</t>
  </si>
  <si>
    <t>BSGatlas-gene-3503</t>
  </si>
  <si>
    <t>BSGatlas-gene-3508</t>
  </si>
  <si>
    <t>BSGatlas-gene-3507</t>
  </si>
  <si>
    <t>BSGatlas-gene-3509</t>
  </si>
  <si>
    <t>BSGatlas-gene-3510</t>
  </si>
  <si>
    <t>BSGatlas-gene-3513</t>
  </si>
  <si>
    <t>BSGatlas-gene-3512</t>
  </si>
  <si>
    <t>BSGatlas-gene-3516</t>
  </si>
  <si>
    <t>BSGatlas-gene-3517</t>
  </si>
  <si>
    <t>BSGatlas-gene-3518</t>
  </si>
  <si>
    <t>BSGatlas-gene-3519</t>
  </si>
  <si>
    <t>BSGatlas-gene-3524</t>
  </si>
  <si>
    <t>BSGatlas-gene-3525</t>
  </si>
  <si>
    <t>BSGatlas-gene-3527</t>
  </si>
  <si>
    <t>BSGatlas-gene-3534</t>
  </si>
  <si>
    <t>BSGatlas-gene-3535</t>
  </si>
  <si>
    <t>BSGatlas-gene-3536</t>
  </si>
  <si>
    <t>BSGatlas-gene-3537</t>
  </si>
  <si>
    <t>BSGatlas-gene-3540</t>
  </si>
  <si>
    <t>BSGatlas-gene-3541</t>
  </si>
  <si>
    <t>BSGatlas-gene-3542</t>
  </si>
  <si>
    <t>BSGatlas-gene-3545</t>
  </si>
  <si>
    <t>BSGatlas-gene-3546</t>
  </si>
  <si>
    <t>BSGatlas-gene-3547</t>
  </si>
  <si>
    <t>BSGatlas-gene-3548</t>
  </si>
  <si>
    <t>BSGatlas-gene-3550</t>
  </si>
  <si>
    <t>BSGatlas-gene-3552</t>
  </si>
  <si>
    <t>BSGatlas-gene-3559</t>
  </si>
  <si>
    <t>BSGatlas-gene-3560</t>
  </si>
  <si>
    <t>BSGatlas-gene-3561</t>
  </si>
  <si>
    <t>BSGatlas-gene-3565</t>
  </si>
  <si>
    <t>BSGatlas-gene-3564</t>
  </si>
  <si>
    <t>BSGatlas-gene-3568</t>
  </si>
  <si>
    <t>BSGatlas-gene-3570</t>
  </si>
  <si>
    <t>BSGatlas-gene-3572</t>
  </si>
  <si>
    <t>BSGatlas-gene-3573</t>
  </si>
  <si>
    <t>BSGatlas-gene-3576</t>
  </si>
  <si>
    <t>BSGatlas-gene-3577</t>
  </si>
  <si>
    <t>BSGatlas-gene-3578</t>
  </si>
  <si>
    <t>BSGatlas-gene-3580</t>
  </si>
  <si>
    <t>BSGatlas-gene-3582</t>
  </si>
  <si>
    <t>BSGatlas-gene-3583</t>
  </si>
  <si>
    <t>BSGatlas-gene-3584</t>
  </si>
  <si>
    <t>BSGatlas-gene-3585</t>
  </si>
  <si>
    <t>BSGatlas-gene-3587</t>
  </si>
  <si>
    <t>BSGatlas-gene-3591</t>
  </si>
  <si>
    <t>BSGatlas-gene-3595</t>
  </si>
  <si>
    <t>BSGatlas-gene-3598</t>
  </si>
  <si>
    <t>BSGatlas-gene-3599</t>
  </si>
  <si>
    <t>BSGatlas-gene-3600</t>
  </si>
  <si>
    <t>BSGatlas-gene-3601</t>
  </si>
  <si>
    <t>BSGatlas-gene-3606</t>
  </si>
  <si>
    <t>BSGatlas-gene-3607</t>
  </si>
  <si>
    <t>BSGatlas-gene-3608</t>
  </si>
  <si>
    <t>BSGatlas-gene-3613</t>
  </si>
  <si>
    <t>BSGatlas-gene-3638</t>
  </si>
  <si>
    <t>BSGatlas-gene-3641</t>
  </si>
  <si>
    <t>BSGatlas-gene-3644</t>
  </si>
  <si>
    <t>BSGatlas-gene-3645</t>
  </si>
  <si>
    <t>BSGatlas-gene-3646</t>
  </si>
  <si>
    <t>BSGatlas-gene-3648</t>
  </si>
  <si>
    <t>BSGatlas-gene-3649</t>
  </si>
  <si>
    <t>BSGatlas-gene-3650</t>
  </si>
  <si>
    <t>BSGatlas-gene-3652</t>
  </si>
  <si>
    <t>BSGatlas-gene-3654</t>
  </si>
  <si>
    <t>BSGatlas-gene-3655</t>
  </si>
  <si>
    <t>BSGatlas-gene-3658</t>
  </si>
  <si>
    <t>BSGatlas-gene-3656</t>
  </si>
  <si>
    <t>BSGatlas-gene-3659</t>
  </si>
  <si>
    <t>BSGatlas-gene-3661</t>
  </si>
  <si>
    <t>BSGatlas-gene-3662</t>
  </si>
  <si>
    <t>BSGatlas-gene-3666</t>
  </si>
  <si>
    <t>BSGatlas-gene-3667</t>
  </si>
  <si>
    <t>BSGatlas-gene-3668</t>
  </si>
  <si>
    <t>BSGatlas-gene-3669</t>
  </si>
  <si>
    <t>BSGatlas-gene-3670</t>
  </si>
  <si>
    <t>BSGatlas-gene-3671</t>
  </si>
  <si>
    <t>BSGatlas-gene-3672</t>
  </si>
  <si>
    <t>BSGatlas-gene-3676</t>
  </si>
  <si>
    <t>BSGatlas-gene-3679</t>
  </si>
  <si>
    <t>BSGatlas-gene-3680</t>
  </si>
  <si>
    <t>BSGatlas-gene-3684</t>
  </si>
  <si>
    <t>BSGatlas-gene-3685</t>
  </si>
  <si>
    <t>BSGatlas-gene-3686</t>
  </si>
  <si>
    <t>BSGatlas-gene-3688</t>
  </si>
  <si>
    <t>BSGatlas-gene-3689</t>
  </si>
  <si>
    <t>BSGatlas-gene-3690</t>
  </si>
  <si>
    <t>BSGatlas-gene-3694</t>
  </si>
  <si>
    <t>BSGatlas-gene-3693</t>
  </si>
  <si>
    <t>BSGatlas-gene-3695</t>
  </si>
  <si>
    <t>BSGatlas-gene-3696</t>
  </si>
  <si>
    <t>BSGatlas-gene-3697</t>
  </si>
  <si>
    <t>BSGatlas-gene-3698</t>
  </si>
  <si>
    <t>BSGatlas-gene-3699</t>
  </si>
  <si>
    <t>BSGatlas-gene-3700</t>
  </si>
  <si>
    <t>BSGatlas-gene-3701</t>
  </si>
  <si>
    <t>BSGatlas-gene-3704</t>
  </si>
  <si>
    <t>BSGatlas-gene-3703</t>
  </si>
  <si>
    <t>BSGatlas-gene-3706</t>
  </si>
  <si>
    <t>BSGatlas-gene-3710</t>
  </si>
  <si>
    <t>BSGatlas-gene-3712</t>
  </si>
  <si>
    <t>BSGatlas-gene-3711</t>
  </si>
  <si>
    <t>BSGatlas-gene-3715</t>
  </si>
  <si>
    <t>BSGatlas-gene-3720</t>
  </si>
  <si>
    <t>BSGatlas-gene-3722</t>
  </si>
  <si>
    <t>BSGatlas-gene-3724</t>
  </si>
  <si>
    <t>BSGatlas-gene-3725</t>
  </si>
  <si>
    <t>BSGatlas-gene-3727</t>
  </si>
  <si>
    <t>BSGatlas-gene-3728</t>
  </si>
  <si>
    <t>BSGatlas-gene-3730</t>
  </si>
  <si>
    <t>BSGatlas-gene-3732</t>
  </si>
  <si>
    <t>BSGatlas-gene-3733</t>
  </si>
  <si>
    <t>BSGatlas-gene-3735</t>
  </si>
  <si>
    <t>BSGatlas-gene-3734</t>
  </si>
  <si>
    <t>BSGatlas-gene-3736</t>
  </si>
  <si>
    <t>BSGatlas-gene-3737</t>
  </si>
  <si>
    <t>BSGatlas-gene-3738</t>
  </si>
  <si>
    <t>BSGatlas-gene-3746</t>
  </si>
  <si>
    <t>BSGatlas-gene-3747</t>
  </si>
  <si>
    <t>BSGatlas-gene-3748</t>
  </si>
  <si>
    <t>BSGatlas-gene-3749</t>
  </si>
  <si>
    <t>BSGatlas-gene-3750</t>
  </si>
  <si>
    <t>BSGatlas-gene-3756</t>
  </si>
  <si>
    <t>BSGatlas-gene-3757</t>
  </si>
  <si>
    <t>BSGatlas-gene-3758</t>
  </si>
  <si>
    <t>BSGatlas-gene-3759</t>
  </si>
  <si>
    <t>BSGatlas-gene-3760</t>
  </si>
  <si>
    <t>BSGatlas-gene-3762</t>
  </si>
  <si>
    <t>BSGatlas-gene-3761</t>
  </si>
  <si>
    <t>BSGatlas-gene-3765</t>
  </si>
  <si>
    <t>BSGatlas-gene-3767</t>
  </si>
  <si>
    <t>BSGatlas-gene-3768</t>
  </si>
  <si>
    <t>BSGatlas-gene-3769</t>
  </si>
  <si>
    <t>BSGatlas-gene-3770</t>
  </si>
  <si>
    <t>BSGatlas-gene-3772</t>
  </si>
  <si>
    <t>BSGatlas-gene-3774</t>
  </si>
  <si>
    <t>BSGatlas-gene-3775</t>
  </si>
  <si>
    <t>BSGatlas-gene-3776</t>
  </si>
  <si>
    <t>BSGatlas-gene-3777</t>
  </si>
  <si>
    <t>BSGatlas-gene-3779</t>
  </si>
  <si>
    <t>BSGatlas-gene-3780</t>
  </si>
  <si>
    <t>BSGatlas-gene-3781</t>
  </si>
  <si>
    <t>BSGatlas-gene-3783</t>
  </si>
  <si>
    <t>BSGatlas-gene-3788</t>
  </si>
  <si>
    <t>BSGatlas-gene-3786</t>
  </si>
  <si>
    <t>BSGatlas-gene-3787</t>
  </si>
  <si>
    <t>BSGatlas-gene-3791</t>
  </si>
  <si>
    <t>BSGatlas-gene-3792</t>
  </si>
  <si>
    <t>BSGatlas-gene-3793</t>
  </si>
  <si>
    <t>BSGatlas-gene-3794</t>
  </si>
  <si>
    <t>BSGatlas-gene-3795</t>
  </si>
  <si>
    <t>BSGatlas-gene-3796</t>
  </si>
  <si>
    <t>BSGatlas-gene-3799</t>
  </si>
  <si>
    <t>BSGatlas-gene-3800</t>
  </si>
  <si>
    <t>BSGatlas-gene-3801</t>
  </si>
  <si>
    <t>BSGatlas-gene-3802</t>
  </si>
  <si>
    <t>BSGatlas-gene-3803</t>
  </si>
  <si>
    <t>BSGatlas-gene-3808</t>
  </si>
  <si>
    <t>BSGatlas-gene-3814</t>
  </si>
  <si>
    <t>BSGatlas-gene-3816</t>
  </si>
  <si>
    <t>BSGatlas-gene-3818</t>
  </si>
  <si>
    <t>BSGatlas-gene-3820</t>
  </si>
  <si>
    <t>BSGatlas-gene-3825</t>
  </si>
  <si>
    <t>BSGatlas-gene-3826</t>
  </si>
  <si>
    <t>BSGatlas-gene-3827</t>
  </si>
  <si>
    <t>BSGatlas-gene-3828</t>
  </si>
  <si>
    <t>BSGatlas-gene-3831</t>
  </si>
  <si>
    <t>BSGatlas-gene-3836</t>
  </si>
  <si>
    <t>BSGatlas-gene-3839</t>
  </si>
  <si>
    <t>BSGatlas-gene-3842</t>
  </si>
  <si>
    <t>BSGatlas-gene-3847</t>
  </si>
  <si>
    <t>BSGatlas-gene-3848</t>
  </si>
  <si>
    <t>BSGatlas-gene-3849</t>
  </si>
  <si>
    <t>BSGatlas-gene-3853</t>
  </si>
  <si>
    <t>BSGatlas-gene-3852</t>
  </si>
  <si>
    <t>BSGatlas-gene-3854</t>
  </si>
  <si>
    <t>BSGatlas-gene-3857</t>
  </si>
  <si>
    <t>BSGatlas-gene-3861</t>
  </si>
  <si>
    <t>BSGatlas-gene-3862</t>
  </si>
  <si>
    <t>BSGatlas-gene-3864</t>
  </si>
  <si>
    <t>BSGatlas-gene-3865</t>
  </si>
  <si>
    <t>BSGatlas-gene-3867</t>
  </si>
  <si>
    <t>BSGatlas-gene-3868</t>
  </si>
  <si>
    <t>BSGatlas-gene-3869</t>
  </si>
  <si>
    <t>BSGatlas-gene-3870</t>
  </si>
  <si>
    <t>BSGatlas-gene-3871</t>
  </si>
  <si>
    <t>BSGatlas-gene-3873</t>
  </si>
  <si>
    <t>BSGatlas-gene-3874</t>
  </si>
  <si>
    <t>BSGatlas-gene-3875</t>
  </si>
  <si>
    <t>BSGatlas-gene-3876</t>
  </si>
  <si>
    <t>BSGatlas-gene-3877</t>
  </si>
  <si>
    <t>BSGatlas-gene-3883</t>
  </si>
  <si>
    <t>BSGatlas-gene-3885</t>
  </si>
  <si>
    <t>BSGatlas-gene-3886</t>
  </si>
  <si>
    <t>BSGatlas-gene-3890</t>
  </si>
  <si>
    <t>BSGatlas-gene-3892</t>
  </si>
  <si>
    <t>BSGatlas-gene-3893</t>
  </si>
  <si>
    <t>BSGatlas-gene-3895</t>
  </si>
  <si>
    <t>BSGatlas-gene-3897</t>
  </si>
  <si>
    <t>BSGatlas-gene-3899</t>
  </si>
  <si>
    <t>BSGatlas-gene-3903</t>
  </si>
  <si>
    <t>BSGatlas-gene-3907</t>
  </si>
  <si>
    <t>BSGatlas-gene-3908</t>
  </si>
  <si>
    <t>BSGatlas-gene-3911</t>
  </si>
  <si>
    <t>BSGatlas-gene-3912</t>
  </si>
  <si>
    <t>BSGatlas-gene-3913</t>
  </si>
  <si>
    <t>BSGatlas-gene-3914</t>
  </si>
  <si>
    <t>BSGatlas-gene-3915</t>
  </si>
  <si>
    <t>BSGatlas-gene-3918</t>
  </si>
  <si>
    <t>BSGatlas-gene-3917</t>
  </si>
  <si>
    <t>BSGatlas-gene-3919</t>
  </si>
  <si>
    <t>BSGatlas-gene-3921</t>
  </si>
  <si>
    <t>BSGatlas-gene-3922</t>
  </si>
  <si>
    <t>BSGatlas-gene-3923</t>
  </si>
  <si>
    <t>BSGatlas-gene-3925</t>
  </si>
  <si>
    <t>BSGatlas-gene-3926</t>
  </si>
  <si>
    <t>BSGatlas-gene-3928</t>
  </si>
  <si>
    <t>BSGatlas-gene-3930</t>
  </si>
  <si>
    <t>BSGatlas-gene-3929</t>
  </si>
  <si>
    <t>BSGatlas-gene-3931</t>
  </si>
  <si>
    <t>BSGatlas-gene-3932</t>
  </si>
  <si>
    <t>BSGatlas-gene-3935</t>
  </si>
  <si>
    <t>BSGatlas-gene-3936</t>
  </si>
  <si>
    <t>BSGatlas-gene-3937</t>
  </si>
  <si>
    <t>BSGatlas-gene-3938</t>
  </si>
  <si>
    <t>BSGatlas-gene-3940</t>
  </si>
  <si>
    <t>BSGatlas-gene-3941</t>
  </si>
  <si>
    <t>BSGatlas-gene-3942</t>
  </si>
  <si>
    <t>BSGatlas-gene-3944</t>
  </si>
  <si>
    <t>BSGatlas-gene-3946</t>
  </si>
  <si>
    <t>BSGatlas-gene-3947</t>
  </si>
  <si>
    <t>BSGatlas-gene-3952</t>
  </si>
  <si>
    <t>BSGatlas-gene-3953</t>
  </si>
  <si>
    <t>BSGatlas-gene-3955</t>
  </si>
  <si>
    <t>BSGatlas-gene-3954</t>
  </si>
  <si>
    <t>BSGatlas-gene-3957</t>
  </si>
  <si>
    <t>BSGatlas-gene-3959</t>
  </si>
  <si>
    <t>BSGatlas-gene-3963</t>
  </si>
  <si>
    <t>BSGatlas-gene-3964</t>
  </si>
  <si>
    <t>BSGatlas-gene-3965</t>
  </si>
  <si>
    <t>BSGatlas-gene-3966</t>
  </si>
  <si>
    <t>BSGatlas-gene-3967</t>
  </si>
  <si>
    <t>BSGatlas-gene-3968</t>
  </si>
  <si>
    <t>BSGatlas-gene-3969</t>
  </si>
  <si>
    <t>BSGatlas-gene-3973</t>
  </si>
  <si>
    <t>BSGatlas-gene-3974</t>
  </si>
  <si>
    <t>BSGatlas-gene-3975</t>
  </si>
  <si>
    <t>BSGatlas-gene-3976</t>
  </si>
  <si>
    <t>BSGatlas-gene-3977</t>
  </si>
  <si>
    <t>BSGatlas-gene-3978</t>
  </si>
  <si>
    <t>BSGatlas-gene-3980</t>
  </si>
  <si>
    <t>BSGatlas-gene-3979</t>
  </si>
  <si>
    <t>BSGatlas-gene-3983</t>
  </si>
  <si>
    <t>BSGatlas-gene-3986</t>
  </si>
  <si>
    <t>BSGatlas-gene-3988</t>
  </si>
  <si>
    <t>BSGatlas-gene-3990</t>
  </si>
  <si>
    <t>BSGatlas-gene-3991</t>
  </si>
  <si>
    <t>BSGatlas-gene-3997</t>
  </si>
  <si>
    <t>BSGatlas-gene-3999</t>
  </si>
  <si>
    <t>BSGatlas-gene-4000</t>
  </si>
  <si>
    <t>BSGatlas-gene-4002</t>
  </si>
  <si>
    <t>BSGatlas-gene-4001</t>
  </si>
  <si>
    <t>BSGatlas-gene-4015</t>
  </si>
  <si>
    <t>BSGatlas-TSS-2829</t>
  </si>
  <si>
    <t>BSGatlas-gene-4019</t>
  </si>
  <si>
    <t>BSGatlas-gene-4018</t>
  </si>
  <si>
    <t>BSGatlas-gene-4020</t>
  </si>
  <si>
    <t>BSGatlas-gene-4024</t>
  </si>
  <si>
    <t>BSGatlas-gene-4028</t>
  </si>
  <si>
    <t>BSGatlas-gene-4030</t>
  </si>
  <si>
    <t>BSGatlas-gene-4034</t>
  </si>
  <si>
    <t>BSGatlas-gene-4035</t>
  </si>
  <si>
    <t>BSGatlas-gene-4036</t>
  </si>
  <si>
    <t>BSGatlas-gene-4037</t>
  </si>
  <si>
    <t>BSGatlas-gene-4038</t>
  </si>
  <si>
    <t>BSGatlas-gene-4046</t>
  </si>
  <si>
    <t>BSGatlas-gene-4047</t>
  </si>
  <si>
    <t>BSGatlas-gene-4048</t>
  </si>
  <si>
    <t>BSGatlas-gene-4049</t>
  </si>
  <si>
    <t>BSGatlas-gene-4051</t>
  </si>
  <si>
    <t>BSGatlas-gene-4052</t>
  </si>
  <si>
    <t>BSGatlas-gene-4056</t>
  </si>
  <si>
    <t>BSGatlas-gene-4057</t>
  </si>
  <si>
    <t>BSGatlas-gene-4063</t>
  </si>
  <si>
    <t>BSGatlas-gene-4065</t>
  </si>
  <si>
    <t>BSGatlas-gene-4067</t>
  </si>
  <si>
    <t>BSGatlas-gene-4069</t>
  </si>
  <si>
    <t>BSGatlas-gene-4072</t>
  </si>
  <si>
    <t>BSGatlas-gene-4080</t>
  </si>
  <si>
    <t>BSGatlas-gene-4081</t>
  </si>
  <si>
    <t>BSGatlas-gene-4087</t>
  </si>
  <si>
    <t>BSGatlas-gene-4088</t>
  </si>
  <si>
    <t>BSGatlas-gene-4089</t>
  </si>
  <si>
    <t>BSGatlas-TSS-2873</t>
  </si>
  <si>
    <t>BSGatlas-gene-4091</t>
  </si>
  <si>
    <t>BSGatlas-gene-4092</t>
  </si>
  <si>
    <t>BSGatlas-gene-4095</t>
  </si>
  <si>
    <t>BSGatlas-gene-4096</t>
  </si>
  <si>
    <t>BSGatlas-gene-4101</t>
  </si>
  <si>
    <t>BSGatlas-gene-4102</t>
  </si>
  <si>
    <t>BSGatlas-gene-4105</t>
  </si>
  <si>
    <t>BSGatlas-gene-4106</t>
  </si>
  <si>
    <t>BSGatlas-gene-4107</t>
  </si>
  <si>
    <t>BSGatlas-gene-4108</t>
  </si>
  <si>
    <t>BSGatlas-gene-4112</t>
  </si>
  <si>
    <t>BSGatlas-gene-4113</t>
  </si>
  <si>
    <t>BSGatlas-gene-4117</t>
  </si>
  <si>
    <t>BSGatlas-gene-4120</t>
  </si>
  <si>
    <t>BSGatlas-gene-4121</t>
  </si>
  <si>
    <t>BSGatlas-gene-4127</t>
  </si>
  <si>
    <t>BSGatlas-gene-4128</t>
  </si>
  <si>
    <t>BSGatlas-gene-4135</t>
  </si>
  <si>
    <t>BSGatlas-gene-4136</t>
  </si>
  <si>
    <t>BSGatlas-gene-4138</t>
  </si>
  <si>
    <t>BSGatlas-gene-4139</t>
  </si>
  <si>
    <t>BSGatlas-gene-4140</t>
  </si>
  <si>
    <t>BSGatlas-gene-4143</t>
  </si>
  <si>
    <t>BSGatlas-gene-4144</t>
  </si>
  <si>
    <t>BSGatlas-gene-4147</t>
  </si>
  <si>
    <t>BSGatlas-gene-4157</t>
  </si>
  <si>
    <t>BSGatlas-gene-4160</t>
  </si>
  <si>
    <t>BSGatlas-gene-4161</t>
  </si>
  <si>
    <t>BSGatlas-gene-4162</t>
  </si>
  <si>
    <t>BSGatlas-gene-4163</t>
  </si>
  <si>
    <t>BSGatlas-gene-4170</t>
  </si>
  <si>
    <t>BSGatlas-gene-4172</t>
  </si>
  <si>
    <t>BSGatlas-TSS-2933</t>
  </si>
  <si>
    <t>BSGatlas-gene-4175</t>
  </si>
  <si>
    <t>BSGatlas-gene-4176</t>
  </si>
  <si>
    <t>BSGatlas-gene-4179</t>
  </si>
  <si>
    <t>BSGatlas-gene-4180</t>
  </si>
  <si>
    <t>BSGatlas-gene-4181</t>
  </si>
  <si>
    <t>BSGatlas-gene-4182</t>
  </si>
  <si>
    <t>BSGatlas-gene-4185</t>
  </si>
  <si>
    <t>BSGatlas-gene-4186</t>
  </si>
  <si>
    <t>BSGatlas-gene-4187</t>
  </si>
  <si>
    <t>BSGatlas-gene-4188</t>
  </si>
  <si>
    <t>BSGatlas-gene-4192</t>
  </si>
  <si>
    <t>BSGatlas-gene-4193</t>
  </si>
  <si>
    <t>BSGatlas-gene-4194</t>
  </si>
  <si>
    <t>BSGatlas-TSS-2952</t>
  </si>
  <si>
    <t>BSGatlas-gene-4199</t>
  </si>
  <si>
    <t>BSGatlas-gene-4200</t>
  </si>
  <si>
    <t>BSGatlas-gene-4201</t>
  </si>
  <si>
    <t>BSGatlas-gene-4204</t>
  </si>
  <si>
    <t>BSGatlas-gene-4203</t>
  </si>
  <si>
    <t>BSGatlas-gene-4205</t>
  </si>
  <si>
    <t>BSGatlas-gene-4207</t>
  </si>
  <si>
    <t>BSGatlas-gene-4208</t>
  </si>
  <si>
    <t>BSGatlas-gene-4209</t>
  </si>
  <si>
    <t>BSGatlas-gene-4210</t>
  </si>
  <si>
    <t>BSGatlas-gene-4211</t>
  </si>
  <si>
    <t>BSGatlas-gene-4212</t>
  </si>
  <si>
    <t>BSGatlas-gene-4214</t>
  </si>
  <si>
    <t>BSGatlas-gene-4219</t>
  </si>
  <si>
    <t>BSGatlas-gene-4224</t>
  </si>
  <si>
    <t>BSGatlas-gene-4226</t>
  </si>
  <si>
    <t>BSGatlas-gene-4227</t>
  </si>
  <si>
    <t>BSGatlas-gene-4230</t>
  </si>
  <si>
    <t>BSGatlas-gene-4231</t>
  </si>
  <si>
    <t>BSGatlas-gene-4232</t>
  </si>
  <si>
    <t>BSGatlas-gene-4235</t>
  </si>
  <si>
    <t>BSGatlas-gene-4236</t>
  </si>
  <si>
    <t>BSGatlas-gene-4237</t>
  </si>
  <si>
    <t>BSGatlas-gene-4238</t>
  </si>
  <si>
    <t>BSGatlas-gene-4242</t>
  </si>
  <si>
    <t>BSGatlas-gene-4243</t>
  </si>
  <si>
    <t>BSGatlas-gene-4245</t>
  </si>
  <si>
    <t>BSGatlas-gene-4249</t>
  </si>
  <si>
    <t>BSGatlas-gene-4246</t>
  </si>
  <si>
    <t>BSGatlas-gene-4248</t>
  </si>
  <si>
    <t>BSGatlas-gene-4251</t>
  </si>
  <si>
    <t>BSGatlas-gene-4252</t>
  </si>
  <si>
    <t>BSGatlas-gene-4254</t>
  </si>
  <si>
    <t>BSGatlas-gene-4256</t>
  </si>
  <si>
    <t>BSGatlas-gene-4257</t>
  </si>
  <si>
    <t>BSGatlas-gene-4258</t>
  </si>
  <si>
    <t>BSGatlas-gene-4259</t>
  </si>
  <si>
    <t>BSGatlas-gene-4260</t>
  </si>
  <si>
    <t>BSGatlas-gene-4262</t>
  </si>
  <si>
    <t>BSGatlas-gene-4263</t>
  </si>
  <si>
    <t>BSGatlas-gene-4265</t>
  </si>
  <si>
    <t>BSGatlas-gene-4266</t>
  </si>
  <si>
    <t>BSGatlas-gene-4267</t>
  </si>
  <si>
    <t>BSGatlas-gene-4268</t>
  </si>
  <si>
    <t>BSGatlas-gene-4270</t>
  </si>
  <si>
    <t>BSGatlas-gene-4274</t>
  </si>
  <si>
    <t>BSGatlas-gene-4276</t>
  </si>
  <si>
    <t>BSGatlas-gene-4277</t>
  </si>
  <si>
    <t>BSGatlas-gene-4278</t>
  </si>
  <si>
    <t>BSGatlas-gene-4279</t>
  </si>
  <si>
    <t>BSGatlas-gene-4281</t>
  </si>
  <si>
    <t>BSGatlas-gene-4287</t>
  </si>
  <si>
    <t>BSGatlas-gene-4288</t>
  </si>
  <si>
    <t>BSGatlas-gene-4290</t>
  </si>
  <si>
    <t>BSGatlas-gene-4291</t>
  </si>
  <si>
    <t>BSGatlas-gene-4299</t>
  </si>
  <si>
    <t>BSGatlas-gene-4300</t>
  </si>
  <si>
    <t>BSGatlas-gene-4301</t>
  </si>
  <si>
    <t>BSGatlas-gene-4302</t>
  </si>
  <si>
    <t>BSGatlas-gene-4304</t>
  </si>
  <si>
    <t>BSGatlas-gene-4305</t>
  </si>
  <si>
    <t>BSGatlas-gene-4306</t>
  </si>
  <si>
    <t>BSGatlas-gene-4307</t>
  </si>
  <si>
    <t>BSGatlas-gene-4309</t>
  </si>
  <si>
    <t>BSGatlas-gene-4310</t>
  </si>
  <si>
    <t>BSGatlas-gene-4311</t>
  </si>
  <si>
    <t>BSGatlas-gene-4313</t>
  </si>
  <si>
    <t>BSGatlas-gene-4314</t>
  </si>
  <si>
    <t>BSGatlas-gene-4315</t>
  </si>
  <si>
    <t>BSGatlas-gene-4316</t>
  </si>
  <si>
    <t>BSGatlas-gene-4317</t>
  </si>
  <si>
    <t>BSGatlas-gene-4319</t>
  </si>
  <si>
    <t>BSGatlas-gene-4326</t>
  </si>
  <si>
    <t>BSGatlas-gene-4327</t>
  </si>
  <si>
    <t>BSGatlas-gene-4328</t>
  </si>
  <si>
    <t>BSGatlas-gene-4329</t>
  </si>
  <si>
    <t>BSGatlas-gene-4331</t>
  </si>
  <si>
    <t>BSGatlas-gene-4333</t>
  </si>
  <si>
    <t>BSGatlas-gene-4334</t>
  </si>
  <si>
    <t>BSGatlas-gene-4337</t>
  </si>
  <si>
    <t>BSGatlas-gene-4339</t>
  </si>
  <si>
    <t>BSGatlas-gene-4340</t>
  </si>
  <si>
    <t>BSGatlas-gene-4344</t>
  </si>
  <si>
    <t>BSGatlas-gene-4345</t>
  </si>
  <si>
    <t>BSGatlas-gene-4346</t>
  </si>
  <si>
    <t>BSGatlas-gene-4347</t>
  </si>
  <si>
    <t>BSGatlas-gene-4348</t>
  </si>
  <si>
    <t>BSGatlas-gene-4350</t>
  </si>
  <si>
    <t>BSGatlas-gene-4351</t>
  </si>
  <si>
    <t>BSGatlas-gene-4361</t>
  </si>
  <si>
    <t>BSGatlas-gene-4362</t>
  </si>
  <si>
    <t>BSGatlas-gene-4363</t>
  </si>
  <si>
    <t>BSGatlas-gene-4366</t>
  </si>
  <si>
    <t>BSGatlas-gene-4367</t>
  </si>
  <si>
    <t>BSGatlas-gene-4370</t>
  </si>
  <si>
    <t>BSGatlas-gene-4371</t>
  </si>
  <si>
    <t>BSGatlas-gene-4372</t>
  </si>
  <si>
    <t>BSGatlas-gene-4377</t>
  </si>
  <si>
    <t>BSGatlas-gene-4381</t>
  </si>
  <si>
    <t>BSGatlas-gene-4382</t>
  </si>
  <si>
    <t>BSGatlas-gene-4383</t>
  </si>
  <si>
    <t>BSGatlas-gene-4384</t>
  </si>
  <si>
    <t>BSGatlas-gene-4386</t>
  </si>
  <si>
    <t>BSGatlas-gene-4387</t>
  </si>
  <si>
    <t>BSGatlas-gene-4388</t>
  </si>
  <si>
    <t>BSGatlas-gene-4389</t>
  </si>
  <si>
    <t>BSGatlas-gene-4395</t>
  </si>
  <si>
    <t>BSGatlas-gene-4397</t>
  </si>
  <si>
    <t>BSGatlas-gene-4398</t>
  </si>
  <si>
    <t>BSGatlas-gene-4400</t>
  </si>
  <si>
    <t>BSGatlas-gene-4401</t>
  </si>
  <si>
    <t>BSGatlas-gene-4402</t>
  </si>
  <si>
    <t>BSGatlas-gene-4413</t>
  </si>
  <si>
    <t>BSGatlas-gene-4414</t>
  </si>
  <si>
    <t>BSGatlas-gene-4417</t>
  </si>
  <si>
    <t>BSGatlas-gene-4418</t>
  </si>
  <si>
    <t>BSGatlas-gene-4419</t>
  </si>
  <si>
    <t>BSGatlas-gene-4420</t>
  </si>
  <si>
    <t>BSGatlas-gene-4423</t>
  </si>
  <si>
    <t>BSGatlas-gene-4424</t>
  </si>
  <si>
    <t>BSGatlas-gene-4425</t>
  </si>
  <si>
    <t>BSGatlas-gene-4427</t>
  </si>
  <si>
    <t>BSGatlas-gene-4428</t>
  </si>
  <si>
    <t>BSGatlas-gene-4429</t>
  </si>
  <si>
    <t>BSGatlas-gene-4430</t>
  </si>
  <si>
    <t>BSGatlas-gene-4431</t>
  </si>
  <si>
    <t>BSGatlas-gene-4433</t>
  </si>
  <si>
    <t>BSGatlas-gene-4434</t>
  </si>
  <si>
    <t>BSGatlas-gene-4435</t>
  </si>
  <si>
    <t>BSGatlas-gene-4440</t>
  </si>
  <si>
    <t>BSGatlas-gene-4439</t>
  </si>
  <si>
    <t>BSGatlas-gene-4442</t>
  </si>
  <si>
    <t>BSGatlas-gene-4444</t>
  </si>
  <si>
    <t>BSGatlas-gene-4445</t>
  </si>
  <si>
    <t>BSGatlas-gene-4446</t>
  </si>
  <si>
    <t>BSGatlas-gene-4449</t>
  </si>
  <si>
    <t>BSGatlas-gene-4451</t>
  </si>
  <si>
    <t>BSGatlas-gene-4454</t>
  </si>
  <si>
    <t>BSGatlas-gene-4455</t>
  </si>
  <si>
    <t>BSGatlas-gene-4457</t>
  </si>
  <si>
    <t>BSGatlas-gene-4459</t>
  </si>
  <si>
    <t>BSGatlas-gene-4460</t>
  </si>
  <si>
    <t>BSGatlas-gene-4461</t>
  </si>
  <si>
    <t>BSGatlas-gene-4462</t>
  </si>
  <si>
    <t>BSGatlas-gene-4463</t>
  </si>
  <si>
    <t>BSGatlas-gene-4465</t>
  </si>
  <si>
    <t>BSGatlas-gene-4467</t>
  </si>
  <si>
    <t>BSGatlas-gene-4469</t>
  </si>
  <si>
    <t>BSGatlas-gene-4468</t>
  </si>
  <si>
    <t>BSGatlas-gene-4472</t>
  </si>
  <si>
    <t>BSGatlas-gene-4473</t>
  </si>
  <si>
    <t>BSGatlas-gene-4476</t>
  </si>
  <si>
    <t>BSGatlas-gene-4474</t>
  </si>
  <si>
    <t>BSGatlas-gene-4475</t>
  </si>
  <si>
    <t>BSGatlas-gene-4482</t>
  </si>
  <si>
    <t>BSGatlas-gene-4486</t>
  </si>
  <si>
    <t>BSGatlas-gene-4487</t>
  </si>
  <si>
    <t>BSGatlas-gene-4489</t>
  </si>
  <si>
    <t>BSGatlas-gene-4490</t>
  </si>
  <si>
    <t>BSGatlas-gene-4491</t>
  </si>
  <si>
    <t>BSGatlas-gene-4498</t>
  </si>
  <si>
    <t>BSGatlas-gene-4497</t>
  </si>
  <si>
    <t>BSGatlas-gene-4500</t>
  </si>
  <si>
    <t>BSGatlas-gene-4504</t>
  </si>
  <si>
    <t>BSGatlas-gene-4505</t>
  </si>
  <si>
    <t>BSGatlas-gene-4506</t>
  </si>
  <si>
    <t>BSGatlas-gene-4507</t>
  </si>
  <si>
    <t>BSGatlas-gene-4508</t>
  </si>
  <si>
    <t>BSGatlas-gene-4509</t>
  </si>
  <si>
    <t>BSGatlas-gene-4510</t>
  </si>
  <si>
    <t>BSGatlas-gene-4511</t>
  </si>
  <si>
    <t>BSGatlas-gene-4512</t>
  </si>
  <si>
    <t>BSGatlas-gene-4514</t>
  </si>
  <si>
    <t>BSGatlas-gene-4515</t>
  </si>
  <si>
    <t>BSGatlas-gene-4516</t>
  </si>
  <si>
    <t>BSGatlas-gene-4517</t>
  </si>
  <si>
    <t>BSGatlas-gene-4522</t>
  </si>
  <si>
    <t>BSGatlas-gene-4524</t>
  </si>
  <si>
    <t>BSGatlas-gene-4525</t>
  </si>
  <si>
    <t>BSGatlas-gene-4527</t>
  </si>
  <si>
    <t>BSGatlas-gene-4530</t>
  </si>
  <si>
    <t>BSGatlas-gene-4533</t>
  </si>
  <si>
    <t>BSGatlas-gene-4534</t>
  </si>
  <si>
    <t>BSGatlas-gene-4535</t>
  </si>
  <si>
    <t>BSGatlas-gene-4538</t>
  </si>
  <si>
    <t>BSGatlas-gene-4540</t>
  </si>
  <si>
    <t>BSGatlas-gene-4541</t>
  </si>
  <si>
    <t>BSGatlas-gene-4542</t>
  </si>
  <si>
    <t>BSGatlas-gene-4543</t>
  </si>
  <si>
    <t>BSGatlas-gene-4544</t>
  </si>
  <si>
    <t>BSGatlas-gene-4545</t>
  </si>
  <si>
    <t>BSGatlas-gene-4546</t>
  </si>
  <si>
    <t>BSGatlas-gene-4547</t>
  </si>
  <si>
    <t>BSGatlas-gene-4548</t>
  </si>
  <si>
    <t>BSGatlas-gene-4549</t>
  </si>
  <si>
    <t>BSGatlas-gene-4561</t>
  </si>
  <si>
    <t>BSGatlas-gene-4563</t>
  </si>
  <si>
    <t>BSGatlas-gene-4565</t>
  </si>
  <si>
    <t>BSGatlas-gene-4571</t>
  </si>
  <si>
    <t>BSGatlas-gene-4572</t>
  </si>
  <si>
    <t>BSGatlas-gene-4573</t>
  </si>
  <si>
    <t>BSGatlas-gene-4574</t>
  </si>
  <si>
    <t>BSGatlas-gene-4582</t>
  </si>
  <si>
    <t>BSGatlas-gene-4583</t>
  </si>
  <si>
    <t>BSGatlas-gene-4584</t>
  </si>
  <si>
    <t>BSGatlas-TSS-3259</t>
  </si>
  <si>
    <t>BSGatlas-gene-4592</t>
  </si>
  <si>
    <t>BSGatlas-gene-4594</t>
  </si>
  <si>
    <t>BSGatlas-gene-4596</t>
  </si>
  <si>
    <t>BSGatlas-gene-4598</t>
  </si>
  <si>
    <t>BSGatlas-gene-4599</t>
  </si>
  <si>
    <t>BSGatlas-gene-4600</t>
  </si>
  <si>
    <t>BSGatlas-gene-4601</t>
  </si>
  <si>
    <t>BSGatlas-gene-4602</t>
  </si>
  <si>
    <t>BSGatlas-gene-4607</t>
  </si>
  <si>
    <t>BSGatlas-gene-4617</t>
  </si>
  <si>
    <t>BSGatlas-gene-4618</t>
  </si>
  <si>
    <t>BSGatlas-gene-4619</t>
  </si>
  <si>
    <t>BSGatlas-gene-4620</t>
  </si>
  <si>
    <t>BSGatlas-gene-4622</t>
  </si>
  <si>
    <t>BSGatlas-gene-4623</t>
  </si>
  <si>
    <t>BSGatlas-gene-4624</t>
  </si>
  <si>
    <t>BSGatlas-gene-4625</t>
  </si>
  <si>
    <t>BSGatlas-gene-4626</t>
  </si>
  <si>
    <t>BSGatlas-gene-4629</t>
  </si>
  <si>
    <t>BSGatlas-gene-4636</t>
  </si>
  <si>
    <t>BSGatlas-gene-4637</t>
  </si>
  <si>
    <t>BSGatlas-gene-4638</t>
  </si>
  <si>
    <t>BSGatlas-gene-4640</t>
  </si>
  <si>
    <t>BSGatlas-gene-4641</t>
  </si>
  <si>
    <t>BSGatlas-gene-4642</t>
  </si>
  <si>
    <t>BSGatlas-gene-4643</t>
  </si>
  <si>
    <t>BSGatlas-gene-4644</t>
  </si>
  <si>
    <t>BSGatlas-gene-4648</t>
  </si>
  <si>
    <t>BSGatlas-gene-4646</t>
  </si>
  <si>
    <t>BSGatlas-gene-4647</t>
  </si>
  <si>
    <t>BSGatlas-gene-4651</t>
  </si>
  <si>
    <t>BSGatlas-gene-4652</t>
  </si>
  <si>
    <t>BSGatlas-gene-4657</t>
  </si>
  <si>
    <t>BSGatlas-gene-4664</t>
  </si>
  <si>
    <t>BSGatlas-gene-4663</t>
  </si>
  <si>
    <t>BSGatlas-gene-4670</t>
  </si>
  <si>
    <t>BSGatlas-gene-4671</t>
  </si>
  <si>
    <t>BSGatlas-gene-4672</t>
  </si>
  <si>
    <t>BSGatlas-gene-4673</t>
  </si>
  <si>
    <t>BSGatlas-gene-4674</t>
  </si>
  <si>
    <t>BSGatlas-gene-4676</t>
  </si>
  <si>
    <t>BSGatlas-gene-4677</t>
  </si>
  <si>
    <t>BSGatlas-gene-4678</t>
  </si>
  <si>
    <t>BSGatlas-gene-4679</t>
  </si>
  <si>
    <t>BSGatlas-gene-4682</t>
  </si>
  <si>
    <t>BSGatlas-gene-4683</t>
  </si>
  <si>
    <t>BSGatlas-gene-4686</t>
  </si>
  <si>
    <t>BSGatlas-gene-4691</t>
  </si>
  <si>
    <t>BSGatlas-gene-4695</t>
  </si>
  <si>
    <t>BSGatlas-gene-4696</t>
  </si>
  <si>
    <t>BSGatlas-gene-4698</t>
  </si>
  <si>
    <t>BSGatlas-gene-4699</t>
  </si>
  <si>
    <t>BSGatlas-gene-4700</t>
  </si>
  <si>
    <t>BSGatlas-gene-4701</t>
  </si>
  <si>
    <t>BSGatlas-gene-4704</t>
  </si>
  <si>
    <t>BSGatlas-gene-4707</t>
  </si>
  <si>
    <t>BSGatlas-gene-4709</t>
  </si>
  <si>
    <t>BSGatlas-gene-4710</t>
  </si>
  <si>
    <t>BSGatlas-gene-4711</t>
  </si>
  <si>
    <t>BSGatlas-gene-4712</t>
  </si>
  <si>
    <t>BSGatlas-gene-4713</t>
  </si>
  <si>
    <t>BSGatlas-gene-4715</t>
  </si>
  <si>
    <t>BSGatlas-gene-4720</t>
  </si>
  <si>
    <t>BSGatlas-gene-4721</t>
  </si>
  <si>
    <t>BSGatlas-gene-4726</t>
  </si>
  <si>
    <t>BSGatlas-gene-4728</t>
  </si>
  <si>
    <t>BSGatlas-gene-4729</t>
  </si>
  <si>
    <t>BSGatlas-gene-4730</t>
  </si>
  <si>
    <t>BSGatlas-gene-4734</t>
  </si>
  <si>
    <t>BSGatlas-gene-4735</t>
  </si>
  <si>
    <t>BSGatlas-gene-4737</t>
  </si>
  <si>
    <t>BSGatlas-gene-4738</t>
  </si>
  <si>
    <t>BSGatlas-gene-4741</t>
  </si>
  <si>
    <t>BSGatlas-gene-4742</t>
  </si>
  <si>
    <t>BSGatlas-gene-4743</t>
  </si>
  <si>
    <t>BSGatlas-gene-4745</t>
  </si>
  <si>
    <t>BSGatlas-gene-4746</t>
  </si>
  <si>
    <t>BSGatlas-gene-4747</t>
  </si>
  <si>
    <t>BSGatlas-gene-4750</t>
  </si>
  <si>
    <t>BSGatlas-gene-4752</t>
  </si>
  <si>
    <t>BSGatlas-gene-4755</t>
  </si>
  <si>
    <t>BSGatlas-gene-4756</t>
  </si>
  <si>
    <t>BSGatlas-gene-4758</t>
  </si>
  <si>
    <t>BSGatlas-gene-4759</t>
  </si>
  <si>
    <t>BSGatlas-gene-4760</t>
  </si>
  <si>
    <t>BSGatlas-gene-4763</t>
  </si>
  <si>
    <t>BSGatlas-gene-4762</t>
  </si>
  <si>
    <t>BSGatlas-gene-4767</t>
  </si>
  <si>
    <t>BSGatlas-gene-4770</t>
  </si>
  <si>
    <t>BSGatlas-gene-4772</t>
  </si>
  <si>
    <t>associated Terminator</t>
  </si>
  <si>
    <t>BSGatlas-gene-5</t>
  </si>
  <si>
    <t>BSGatlas-gene-9</t>
  </si>
  <si>
    <t>BSGatlas-gene-16</t>
  </si>
  <si>
    <t>BSGatlas-gene-19</t>
  </si>
  <si>
    <t>BSGatlas-gene-24</t>
  </si>
  <si>
    <t>BSGatlas-gene-25</t>
  </si>
  <si>
    <t>BSGatlas-gene-27</t>
  </si>
  <si>
    <t>BSGatlas-gene-43</t>
  </si>
  <si>
    <t>BSGatlas-gene-56</t>
  </si>
  <si>
    <t>BSGatlas-gene-64</t>
  </si>
  <si>
    <t>BSGatlas-gene-71</t>
  </si>
  <si>
    <t>BSGatlas-gene-86</t>
  </si>
  <si>
    <t>BSGatlas-gene-88</t>
  </si>
  <si>
    <t>BSGatlas-gene-107</t>
  </si>
  <si>
    <t>BSGatlas-gene-109</t>
  </si>
  <si>
    <t>BSGatlas-gene-128</t>
  </si>
  <si>
    <t>BSGatlas-gene-130</t>
  </si>
  <si>
    <t>BSGatlas-gene-135</t>
  </si>
  <si>
    <t>BSGatlas-gene-157</t>
  </si>
  <si>
    <t>BSGatlas-gene-190</t>
  </si>
  <si>
    <t>BSGatlas-gene-223</t>
  </si>
  <si>
    <t>BSGatlas-gene-228</t>
  </si>
  <si>
    <t>BSGatlas-gene-240</t>
  </si>
  <si>
    <t>BSGatlas-gene-242</t>
  </si>
  <si>
    <t>BSGatlas-gene-245</t>
  </si>
  <si>
    <t>BSGatlas-gene-252</t>
  </si>
  <si>
    <t>BSGatlas-gene-259</t>
  </si>
  <si>
    <t>BSGatlas-gene-267</t>
  </si>
  <si>
    <t>BSGatlas-gene-277</t>
  </si>
  <si>
    <t>BSGatlas-gene-301</t>
  </si>
  <si>
    <t>BSGatlas-gene-314</t>
  </si>
  <si>
    <t>BSGatlas-gene-326</t>
  </si>
  <si>
    <t>BSGatlas-gene-333</t>
  </si>
  <si>
    <t>BSGatlas-gene-332</t>
  </si>
  <si>
    <t>BSGatlas-gene-343</t>
  </si>
  <si>
    <t>BSGatlas-gene-349</t>
  </si>
  <si>
    <t>BSGatlas-gene-352</t>
  </si>
  <si>
    <t>BSGatlas-gene-354</t>
  </si>
  <si>
    <t>BSGatlas-gene-357</t>
  </si>
  <si>
    <t>BSGatlas-gene-362</t>
  </si>
  <si>
    <t>BSGatlas-gene-365</t>
  </si>
  <si>
    <t>BSGatlas-gene-372</t>
  </si>
  <si>
    <t>BSGatlas-gene-379</t>
  </si>
  <si>
    <t>BSGatlas-gene-385</t>
  </si>
  <si>
    <t>BSGatlas-gene-398</t>
  </si>
  <si>
    <t>BSGatlas-gene-401</t>
  </si>
  <si>
    <t>BSGatlas-gene-405</t>
  </si>
  <si>
    <t>BSGatlas-gene-409</t>
  </si>
  <si>
    <t>BSGatlas-gene-418</t>
  </si>
  <si>
    <t>BSGatlas-gene-419</t>
  </si>
  <si>
    <t>BSGatlas-gene-428</t>
  </si>
  <si>
    <t>BSGatlas-gene-436</t>
  </si>
  <si>
    <t>BSGatlas-gene-444</t>
  </si>
  <si>
    <t>BSGatlas-gene-458</t>
  </si>
  <si>
    <t>BSGatlas-gene-465</t>
  </si>
  <si>
    <t>BSGatlas-gene-472</t>
  </si>
  <si>
    <t>BSGatlas-gene-471</t>
  </si>
  <si>
    <t>BSGatlas-gene-474</t>
  </si>
  <si>
    <t>BSGatlas-gene-481</t>
  </si>
  <si>
    <t>BSGatlas-gene-488</t>
  </si>
  <si>
    <t>BSGatlas-gene-498</t>
  </si>
  <si>
    <t>BSGatlas-gene-510</t>
  </si>
  <si>
    <t>BSGatlas-gene-513</t>
  </si>
  <si>
    <t>BSGatlas-gene-524</t>
  </si>
  <si>
    <t>BSGatlas-gene-528</t>
  </si>
  <si>
    <t>BSGatlas-gene-533</t>
  </si>
  <si>
    <t>BSGatlas-gene-550</t>
  </si>
  <si>
    <t>BSGatlas-gene-559</t>
  </si>
  <si>
    <t>BSGatlas-gene-565</t>
  </si>
  <si>
    <t>BSGatlas-gene-574</t>
  </si>
  <si>
    <t>BSGatlas-gene-590</t>
  </si>
  <si>
    <t>BSGatlas-gene-588</t>
  </si>
  <si>
    <t>BSGatlas-gene-589</t>
  </si>
  <si>
    <t>BSGatlas-gene-599</t>
  </si>
  <si>
    <t>BSGatlas-gene-617</t>
  </si>
  <si>
    <t>BSGatlas-gene-618</t>
  </si>
  <si>
    <t>BSGatlas-gene-630</t>
  </si>
  <si>
    <t>BSGatlas-gene-646</t>
  </si>
  <si>
    <t>BSGatlas-gene-657</t>
  </si>
  <si>
    <t>BSGatlas-gene-667</t>
  </si>
  <si>
    <t>BSGatlas-gene-679</t>
  </si>
  <si>
    <t>BSGatlas-gene-686</t>
  </si>
  <si>
    <t>BSGatlas-gene-687</t>
  </si>
  <si>
    <t>BSGatlas-gene-692</t>
  </si>
  <si>
    <t>BSGatlas-gene-693</t>
  </si>
  <si>
    <t>BSGatlas-gene-700</t>
  </si>
  <si>
    <t>BSGatlas-gene-703</t>
  </si>
  <si>
    <t>BSGatlas-gene-708</t>
  </si>
  <si>
    <t>BSGatlas-gene-716</t>
  </si>
  <si>
    <t>BSGatlas-gene-717</t>
  </si>
  <si>
    <t>BSGatlas-gene-721</t>
  </si>
  <si>
    <t>BSGatlas-gene-726</t>
  </si>
  <si>
    <t>BSGatlas-gene-740</t>
  </si>
  <si>
    <t>BSGatlas-gene-751</t>
  </si>
  <si>
    <t>BSGatlas-gene-752</t>
  </si>
  <si>
    <t>BSGatlas-gene-763</t>
  </si>
  <si>
    <t>BSGatlas-gene-766</t>
  </si>
  <si>
    <t>BSGatlas-gene-774</t>
  </si>
  <si>
    <t>BSGatlas-gene-777</t>
  </si>
  <si>
    <t>BSGatlas-gene-794</t>
  </si>
  <si>
    <t>BSGatlas-gene-800</t>
  </si>
  <si>
    <t>BSGatlas-gene-809</t>
  </si>
  <si>
    <t>BSGatlas-gene-813</t>
  </si>
  <si>
    <t>BSGatlas-gene-815</t>
  </si>
  <si>
    <t>BSGatlas-gene-819</t>
  </si>
  <si>
    <t>BSGatlas-gene-824</t>
  </si>
  <si>
    <t>BSGatlas-gene-835</t>
  </si>
  <si>
    <t>BSGatlas-gene-840</t>
  </si>
  <si>
    <t>BSGatlas-gene-847</t>
  </si>
  <si>
    <t>BSGatlas-gene-852</t>
  </si>
  <si>
    <t>BSGatlas-gene-878</t>
  </si>
  <si>
    <t>BSGatlas-gene-893</t>
  </si>
  <si>
    <t>BSGatlas-gene-903</t>
  </si>
  <si>
    <t>BSGatlas-gene-907</t>
  </si>
  <si>
    <t>BSGatlas-gene-911</t>
  </si>
  <si>
    <t>BSGatlas-gene-917</t>
  </si>
  <si>
    <t>BSGatlas-gene-916</t>
  </si>
  <si>
    <t>BSGatlas-gene-928</t>
  </si>
  <si>
    <t>BSGatlas-gene-933</t>
  </si>
  <si>
    <t>BSGatlas-gene-937</t>
  </si>
  <si>
    <t>BSGatlas-gene-944</t>
  </si>
  <si>
    <t>BSGatlas-gene-954</t>
  </si>
  <si>
    <t>BSGatlas-gene-959</t>
  </si>
  <si>
    <t>BSGatlas-gene-963</t>
  </si>
  <si>
    <t>BSGatlas-gene-968</t>
  </si>
  <si>
    <t>BSGatlas-gene-970</t>
  </si>
  <si>
    <t>BSGatlas-gene-974</t>
  </si>
  <si>
    <t>BSGatlas-gene-978</t>
  </si>
  <si>
    <t>BSGatlas-gene-981</t>
  </si>
  <si>
    <t>BSGatlas-gene-990</t>
  </si>
  <si>
    <t>BSGatlas-gene-992</t>
  </si>
  <si>
    <t>BSGatlas-gene-994</t>
  </si>
  <si>
    <t>BSGatlas-gene-998</t>
  </si>
  <si>
    <t>BSGatlas-gene-1000</t>
  </si>
  <si>
    <t>BSGatlas-gene-1016</t>
  </si>
  <si>
    <t>BSGatlas-gene-1023</t>
  </si>
  <si>
    <t>BSGatlas-gene-1030</t>
  </si>
  <si>
    <t>BSGatlas-gene-1032</t>
  </si>
  <si>
    <t>BSGatlas-gene-1047</t>
  </si>
  <si>
    <t>BSGatlas-gene-1052</t>
  </si>
  <si>
    <t>BSGatlas-gene-1065</t>
  </si>
  <si>
    <t>BSGatlas-gene-1071</t>
  </si>
  <si>
    <t>BSGatlas-gene-1080</t>
  </si>
  <si>
    <t>BSGatlas-gene-1087</t>
  </si>
  <si>
    <t>BSGatlas-gene-1092</t>
  </si>
  <si>
    <t>BSGatlas-gene-1106</t>
  </si>
  <si>
    <t>BSGatlas-gene-1125</t>
  </si>
  <si>
    <t>BSGatlas-gene-1128</t>
  </si>
  <si>
    <t>BSGatlas-gene-1134</t>
  </si>
  <si>
    <t>BSGatlas-gene-1140</t>
  </si>
  <si>
    <t>BSGatlas-gene-1152</t>
  </si>
  <si>
    <t>BSGatlas-gene-1157</t>
  </si>
  <si>
    <t>BSGatlas-gene-1175</t>
  </si>
  <si>
    <t>BSGatlas-gene-1188</t>
  </si>
  <si>
    <t>BSGatlas-gene-1221</t>
  </si>
  <si>
    <t>BSGatlas-gene-1222</t>
  </si>
  <si>
    <t>BSGatlas-gene-1254</t>
  </si>
  <si>
    <t>BSGatlas-gene-1258</t>
  </si>
  <si>
    <t>BSGatlas-gene-1261</t>
  </si>
  <si>
    <t>BSGatlas-gene-1263</t>
  </si>
  <si>
    <t>BSGatlas-gene-1273</t>
  </si>
  <si>
    <t>BSGatlas-gene-1277</t>
  </si>
  <si>
    <t>BSGatlas-gene-1283</t>
  </si>
  <si>
    <t>BSGatlas-gene-1302</t>
  </si>
  <si>
    <t>BSGatlas-gene-1306</t>
  </si>
  <si>
    <t>BSGatlas-gene-1308</t>
  </si>
  <si>
    <t>BSGatlas-gene-1313</t>
  </si>
  <si>
    <t>BSGatlas-gene-1321</t>
  </si>
  <si>
    <t>BSGatlas-gene-1338</t>
  </si>
  <si>
    <t>BSGatlas-gene-1348</t>
  </si>
  <si>
    <t>BSGatlas-gene-1355</t>
  </si>
  <si>
    <t>BSGatlas-gene-1358</t>
  </si>
  <si>
    <t>BSGatlas-gene-1364</t>
  </si>
  <si>
    <t>BSGatlas-gene-1387</t>
  </si>
  <si>
    <t>BSGatlas-gene-1394</t>
  </si>
  <si>
    <t>BSGatlas-gene-1397</t>
  </si>
  <si>
    <t>BSGatlas-gene-1404</t>
  </si>
  <si>
    <t>BSGatlas-gene-1411</t>
  </si>
  <si>
    <t>BSGatlas-gene-1414</t>
  </si>
  <si>
    <t>BSGatlas-gene-1416</t>
  </si>
  <si>
    <t>BSGatlas-gene-1426</t>
  </si>
  <si>
    <t>BSGatlas-gene-1429</t>
  </si>
  <si>
    <t>BSGatlas-gene-1452</t>
  </si>
  <si>
    <t>BSGatlas-gene-1454</t>
  </si>
  <si>
    <t>BSGatlas-gene-1465</t>
  </si>
  <si>
    <t>BSGatlas-gene-1475</t>
  </si>
  <si>
    <t>BSGatlas-gene-1480</t>
  </si>
  <si>
    <t>BSGatlas-gene-1486</t>
  </si>
  <si>
    <t>BSGatlas-gene-1493</t>
  </si>
  <si>
    <t>BSGatlas-gene-1506</t>
  </si>
  <si>
    <t>BSGatlas-gene-1508</t>
  </si>
  <si>
    <t>BSGatlas-gene-1523</t>
  </si>
  <si>
    <t>BSGatlas-gene-1525</t>
  </si>
  <si>
    <t>BSGatlas-gene-1527</t>
  </si>
  <si>
    <t>BSGatlas-gene-1531</t>
  </si>
  <si>
    <t>BSGatlas-gene-1541</t>
  </si>
  <si>
    <t>BSGatlas-gene-1545</t>
  </si>
  <si>
    <t>BSGatlas-gene-1558</t>
  </si>
  <si>
    <t>BSGatlas-gene-1564</t>
  </si>
  <si>
    <t>BSGatlas-gene-1567</t>
  </si>
  <si>
    <t>BSGatlas-gene-1574</t>
  </si>
  <si>
    <t>BSGatlas-gene-1580</t>
  </si>
  <si>
    <t>BSGatlas-gene-1598</t>
  </si>
  <si>
    <t>BSGatlas-gene-1604</t>
  </si>
  <si>
    <t>BSGatlas-gene-1609</t>
  </si>
  <si>
    <t>BSGatlas-gene-1608</t>
  </si>
  <si>
    <t>BSGatlas-gene-1611</t>
  </si>
  <si>
    <t>BSGatlas-gene-1614</t>
  </si>
  <si>
    <t>BSGatlas-gene-1618</t>
  </si>
  <si>
    <t>BSGatlas-gene-1624</t>
  </si>
  <si>
    <t>BSGatlas-gene-1628</t>
  </si>
  <si>
    <t>BSGatlas-gene-1632</t>
  </si>
  <si>
    <t>BSGatlas-gene-1644</t>
  </si>
  <si>
    <t>BSGatlas-gene-1648</t>
  </si>
  <si>
    <t>BSGatlas-gene-1650</t>
  </si>
  <si>
    <t>BSGatlas-gene-1652</t>
  </si>
  <si>
    <t>BSGatlas-gene-1656</t>
  </si>
  <si>
    <t>BSGatlas-gene-1660</t>
  </si>
  <si>
    <t>BSGatlas-gene-1675</t>
  </si>
  <si>
    <t>BSGatlas-gene-1686</t>
  </si>
  <si>
    <t>BSGatlas-gene-1692</t>
  </si>
  <si>
    <t>BSGatlas-gene-1706</t>
  </si>
  <si>
    <t>BSGatlas-gene-1709</t>
  </si>
  <si>
    <t>BSGatlas-gene-1713</t>
  </si>
  <si>
    <t>BSGatlas-gene-1723</t>
  </si>
  <si>
    <t>BSGatlas-gene-1727</t>
  </si>
  <si>
    <t>BSGatlas-gene-1733</t>
  </si>
  <si>
    <t>BSGatlas-gene-1742</t>
  </si>
  <si>
    <t>BSGatlas-gene-1748</t>
  </si>
  <si>
    <t>BSGatlas-gene-1767</t>
  </si>
  <si>
    <t>BSGatlas-gene-1776</t>
  </si>
  <si>
    <t>BSGatlas-gene-1772</t>
  </si>
  <si>
    <t>BSGatlas-gene-1792</t>
  </si>
  <si>
    <t>BSGatlas-gene-1794</t>
  </si>
  <si>
    <t>BSGatlas-gene-1808</t>
  </si>
  <si>
    <t>BSGatlas-gene-1841</t>
  </si>
  <si>
    <t>BSGatlas-gene-1849</t>
  </si>
  <si>
    <t>BSGatlas-gene-1862</t>
  </si>
  <si>
    <t>BSGatlas-gene-1878</t>
  </si>
  <si>
    <t>BSGatlas-gene-1887</t>
  </si>
  <si>
    <t>BSGatlas-gene-1895</t>
  </si>
  <si>
    <t>BSGatlas-gene-1898</t>
  </si>
  <si>
    <t>BSGatlas-gene-1899</t>
  </si>
  <si>
    <t>BSGatlas-gene-1905</t>
  </si>
  <si>
    <t>BSGatlas-gene-1957</t>
  </si>
  <si>
    <t>BSGatlas-gene-1970</t>
  </si>
  <si>
    <t>BSGatlas-gene-2000</t>
  </si>
  <si>
    <t>BSGatlas-gene-1998</t>
  </si>
  <si>
    <t>BSGatlas-gene-2027</t>
  </si>
  <si>
    <t>BSGatlas-gene-2038</t>
  </si>
  <si>
    <t>BSGatlas-gene-2041</t>
  </si>
  <si>
    <t>BSGatlas-gene-2039</t>
  </si>
  <si>
    <t>BSGatlas-gene-2051</t>
  </si>
  <si>
    <t>BSGatlas-gene-2059</t>
  </si>
  <si>
    <t>BSGatlas-gene-2063</t>
  </si>
  <si>
    <t>BSGatlas-gene-2070</t>
  </si>
  <si>
    <t>BSGatlas-gene-2076</t>
  </si>
  <si>
    <t>BSGatlas-gene-2077</t>
  </si>
  <si>
    <t>BSGatlas-gene-2083</t>
  </si>
  <si>
    <t>BSGatlas-gene-2085</t>
  </si>
  <si>
    <t>BSGatlas-gene-2088</t>
  </si>
  <si>
    <t>BSGatlas-gene-2094</t>
  </si>
  <si>
    <t>BSGatlas-gene-2096</t>
  </si>
  <si>
    <t>BSGatlas-gene-2114</t>
  </si>
  <si>
    <t>BSGatlas-gene-2115</t>
  </si>
  <si>
    <t>BSGatlas-gene-2118</t>
  </si>
  <si>
    <t>BSGatlas-gene-2121</t>
  </si>
  <si>
    <t>BSGatlas-gene-2129</t>
  </si>
  <si>
    <t>BSGatlas-gene-2130</t>
  </si>
  <si>
    <t>BSGatlas-gene-2136</t>
  </si>
  <si>
    <t>BSGatlas-gene-2142</t>
  </si>
  <si>
    <t>BSGatlas-gene-2158</t>
  </si>
  <si>
    <t>BSGatlas-gene-2168</t>
  </si>
  <si>
    <t>BSGatlas-gene-2181</t>
  </si>
  <si>
    <t>BSGatlas-gene-2187</t>
  </si>
  <si>
    <t>BSGatlas-gene-2205</t>
  </si>
  <si>
    <t>BSGatlas-gene-2221</t>
  </si>
  <si>
    <t>BSGatlas-gene-2230</t>
  </si>
  <si>
    <t>BSGatlas-gene-2240</t>
  </si>
  <si>
    <t>BSGatlas-gene-2239</t>
  </si>
  <si>
    <t>BSGatlas-gene-2242</t>
  </si>
  <si>
    <t>BSGatlas-gene-2248</t>
  </si>
  <si>
    <t>BSGatlas-gene-2264</t>
  </si>
  <si>
    <t>BSGatlas-gene-2270</t>
  </si>
  <si>
    <t>BSGatlas-gene-2286</t>
  </si>
  <si>
    <t>BSGatlas-gene-2296</t>
  </si>
  <si>
    <t>BSGatlas-gene-2306</t>
  </si>
  <si>
    <t>BSGatlas-gene-2309</t>
  </si>
  <si>
    <t>BSGatlas-gene-2330</t>
  </si>
  <si>
    <t>BSGatlas-gene-2336</t>
  </si>
  <si>
    <t>BSGatlas-gene-2342</t>
  </si>
  <si>
    <t>BSGatlas-gene-2366</t>
  </si>
  <si>
    <t>BSGatlas-gene-2369</t>
  </si>
  <si>
    <t>BSGatlas-gene-2409</t>
  </si>
  <si>
    <t>BSGatlas-gene-2458</t>
  </si>
  <si>
    <t>BSGatlas-gene-2475</t>
  </si>
  <si>
    <t>BSGatlas-gene-2503</t>
  </si>
  <si>
    <t>BSGatlas-gene-2519</t>
  </si>
  <si>
    <t>BSGatlas-gene-2532</t>
  </si>
  <si>
    <t>BSGatlas-gene-2531</t>
  </si>
  <si>
    <t>BSGatlas-gene-2545</t>
  </si>
  <si>
    <t>BSGatlas-gene-2553</t>
  </si>
  <si>
    <t>BSGatlas-gene-2556</t>
  </si>
  <si>
    <t>BSGatlas-gene-2557</t>
  </si>
  <si>
    <t>BSGatlas-gene-2565</t>
  </si>
  <si>
    <t>BSGatlas-gene-2564</t>
  </si>
  <si>
    <t>BSGatlas-gene-2568</t>
  </si>
  <si>
    <t>BSGatlas-gene-2571</t>
  </si>
  <si>
    <t>BSGatlas-gene-2585</t>
  </si>
  <si>
    <t>BSGatlas-gene-2584</t>
  </si>
  <si>
    <t>BSGatlas-gene-2589</t>
  </si>
  <si>
    <t>BSGatlas-gene-2594</t>
  </si>
  <si>
    <t>BSGatlas-gene-2598</t>
  </si>
  <si>
    <t>BSGatlas-gene-2600</t>
  </si>
  <si>
    <t>BSGatlas-gene-2602</t>
  </si>
  <si>
    <t>BSGatlas-gene-2625</t>
  </si>
  <si>
    <t>BSGatlas-gene-2629</t>
  </si>
  <si>
    <t>BSGatlas-gene-2628</t>
  </si>
  <si>
    <t>BSGatlas-gene-2633</t>
  </si>
  <si>
    <t>BSGatlas-gene-2652</t>
  </si>
  <si>
    <t>BSGatlas-gene-2658</t>
  </si>
  <si>
    <t>BSGatlas-gene-2664</t>
  </si>
  <si>
    <t>BSGatlas-gene-2676</t>
  </si>
  <si>
    <t>BSGatlas-gene-2685</t>
  </si>
  <si>
    <t>BSGatlas-gene-2694</t>
  </si>
  <si>
    <t>BSGatlas-gene-2714</t>
  </si>
  <si>
    <t>BSGatlas-gene-2717</t>
  </si>
  <si>
    <t>BSGatlas-gene-2723</t>
  </si>
  <si>
    <t>BSGatlas-gene-2735</t>
  </si>
  <si>
    <t>BSGatlas-gene-2757</t>
  </si>
  <si>
    <t>BSGatlas-gene-2761</t>
  </si>
  <si>
    <t>BSGatlas-gene-2768</t>
  </si>
  <si>
    <t>BSGatlas-gene-2773</t>
  </si>
  <si>
    <t>BSGatlas-gene-2790</t>
  </si>
  <si>
    <t>BSGatlas-gene-2801</t>
  </si>
  <si>
    <t>BSGatlas-gene-2808</t>
  </si>
  <si>
    <t>BSGatlas-gene-2810</t>
  </si>
  <si>
    <t>BSGatlas-gene-2813</t>
  </si>
  <si>
    <t>BSGatlas-gene-2823</t>
  </si>
  <si>
    <t>BSGatlas-gene-2822</t>
  </si>
  <si>
    <t>BSGatlas-gene-2846</t>
  </si>
  <si>
    <t>BSGatlas-gene-2848</t>
  </si>
  <si>
    <t>BSGatlas-gene-2857</t>
  </si>
  <si>
    <t>BSGatlas-gene-2860</t>
  </si>
  <si>
    <t>BSGatlas-gene-2874</t>
  </si>
  <si>
    <t>BSGatlas-gene-2879</t>
  </si>
  <si>
    <t>BSGatlas-gene-2901</t>
  </si>
  <si>
    <t>BSGatlas-gene-2922</t>
  </si>
  <si>
    <t>BSGatlas-gene-2921</t>
  </si>
  <si>
    <t>BSGatlas-gene-2948</t>
  </si>
  <si>
    <t>BSGatlas-gene-2950</t>
  </si>
  <si>
    <t>BSGatlas-gene-2952</t>
  </si>
  <si>
    <t>BSGatlas-gene-2956</t>
  </si>
  <si>
    <t>BSGatlas-gene-2968</t>
  </si>
  <si>
    <t>BSGatlas-gene-2974</t>
  </si>
  <si>
    <t>BSGatlas-gene-2979</t>
  </si>
  <si>
    <t>BSGatlas-gene-2984</t>
  </si>
  <si>
    <t>BSGatlas-gene-3006</t>
  </si>
  <si>
    <t>BSGatlas-gene-3009</t>
  </si>
  <si>
    <t>BSGatlas-gene-3016</t>
  </si>
  <si>
    <t>BSGatlas-gene-3025</t>
  </si>
  <si>
    <t>BSGatlas-gene-3027</t>
  </si>
  <si>
    <t>BSGatlas-gene-3026</t>
  </si>
  <si>
    <t>BSGatlas-gene-3043</t>
  </si>
  <si>
    <t>BSGatlas-gene-3048</t>
  </si>
  <si>
    <t>BSGatlas-gene-3047</t>
  </si>
  <si>
    <t>BSGatlas-gene-3049</t>
  </si>
  <si>
    <t>BSGatlas-gene-3090</t>
  </si>
  <si>
    <t>BSGatlas-gene-3091</t>
  </si>
  <si>
    <t>BSGatlas-gene-3092</t>
  </si>
  <si>
    <t>BSGatlas-gene-3093</t>
  </si>
  <si>
    <t>BSGatlas-gene-3099</t>
  </si>
  <si>
    <t>BSGatlas-gene-3098</t>
  </si>
  <si>
    <t>BSGatlas-gene-3107</t>
  </si>
  <si>
    <t>BSGatlas-gene-3122</t>
  </si>
  <si>
    <t>BSGatlas-gene-3124</t>
  </si>
  <si>
    <t>BSGatlas-gene-3130</t>
  </si>
  <si>
    <t>BSGatlas-gene-3137</t>
  </si>
  <si>
    <t>BSGatlas-gene-3144</t>
  </si>
  <si>
    <t>BSGatlas-gene-3143</t>
  </si>
  <si>
    <t>BSGatlas-gene-3145</t>
  </si>
  <si>
    <t>BSGatlas-gene-3155</t>
  </si>
  <si>
    <t>BSGatlas-gene-3164</t>
  </si>
  <si>
    <t>BSGatlas-gene-3169</t>
  </si>
  <si>
    <t>BSGatlas-gene-3181</t>
  </si>
  <si>
    <t>BSGatlas-gene-3185</t>
  </si>
  <si>
    <t>BSGatlas-gene-3198</t>
  </si>
  <si>
    <t>BSGatlas-gene-3212</t>
  </si>
  <si>
    <t>BSGatlas-gene-3220</t>
  </si>
  <si>
    <t>BSGatlas-gene-3223</t>
  </si>
  <si>
    <t>BSGatlas-gene-3222</t>
  </si>
  <si>
    <t>BSGatlas-gene-3229</t>
  </si>
  <si>
    <t>BSGatlas-gene-3240</t>
  </si>
  <si>
    <t>BSGatlas-gene-3246</t>
  </si>
  <si>
    <t>BSGatlas-gene-3255</t>
  </si>
  <si>
    <t>BSGatlas-gene-3261</t>
  </si>
  <si>
    <t>BSGatlas-gene-3262</t>
  </si>
  <si>
    <t>BSGatlas-gene-3270</t>
  </si>
  <si>
    <t>BSGatlas-gene-3275</t>
  </si>
  <si>
    <t>BSGatlas-gene-3277</t>
  </si>
  <si>
    <t>BSGatlas-gene-3280</t>
  </si>
  <si>
    <t>BSGatlas-gene-3284</t>
  </si>
  <si>
    <t>BSGatlas-gene-3286</t>
  </si>
  <si>
    <t>BSGatlas-gene-3291</t>
  </si>
  <si>
    <t>BSGatlas-gene-3295</t>
  </si>
  <si>
    <t>BSGatlas-gene-3297</t>
  </si>
  <si>
    <t>BSGatlas-gene-3301</t>
  </si>
  <si>
    <t>BSGatlas-gene-3308</t>
  </si>
  <si>
    <t>BSGatlas-gene-3314</t>
  </si>
  <si>
    <t>BSGatlas-gene-3319</t>
  </si>
  <si>
    <t>BSGatlas-gene-3322</t>
  </si>
  <si>
    <t>BSGatlas-gene-3335</t>
  </si>
  <si>
    <t>BSGatlas-gene-3340</t>
  </si>
  <si>
    <t>BSGatlas-gene-3341</t>
  </si>
  <si>
    <t>BSGatlas-gene-3346</t>
  </si>
  <si>
    <t>BSGatlas-gene-3351</t>
  </si>
  <si>
    <t>BSGatlas-gene-3354</t>
  </si>
  <si>
    <t>BSGatlas-gene-3357</t>
  </si>
  <si>
    <t>BSGatlas-gene-3368</t>
  </si>
  <si>
    <t>BSGatlas-gene-3367</t>
  </si>
  <si>
    <t>BSGatlas-gene-3372</t>
  </si>
  <si>
    <t>BSGatlas-gene-3383</t>
  </si>
  <si>
    <t>BSGatlas-gene-3384</t>
  </si>
  <si>
    <t>BSGatlas-gene-3389</t>
  </si>
  <si>
    <t>BSGatlas-gene-3391</t>
  </si>
  <si>
    <t>BSGatlas-gene-3395</t>
  </si>
  <si>
    <t>BSGatlas-gene-3406</t>
  </si>
  <si>
    <t>BSGatlas-gene-3405</t>
  </si>
  <si>
    <t>BSGatlas-gene-3410</t>
  </si>
  <si>
    <t>BSGatlas-gene-3412</t>
  </si>
  <si>
    <t>BSGatlas-gene-3417</t>
  </si>
  <si>
    <t>BSGatlas-gene-3418</t>
  </si>
  <si>
    <t>BSGatlas-gene-3420</t>
  </si>
  <si>
    <t>BSGatlas-gene-3423</t>
  </si>
  <si>
    <t>BSGatlas-gene-3432</t>
  </si>
  <si>
    <t>BSGatlas-gene-3445</t>
  </si>
  <si>
    <t>BSGatlas-gene-3449</t>
  </si>
  <si>
    <t>BSGatlas-gene-3454</t>
  </si>
  <si>
    <t>BSGatlas-gene-3458</t>
  </si>
  <si>
    <t>BSGatlas-gene-3461</t>
  </si>
  <si>
    <t>BSGatlas-gene-3474</t>
  </si>
  <si>
    <t>BSGatlas-gene-3483</t>
  </si>
  <si>
    <t>BSGatlas-gene-3482</t>
  </si>
  <si>
    <t>BSGatlas-gene-3487</t>
  </si>
  <si>
    <t>BSGatlas-gene-3492</t>
  </si>
  <si>
    <t>BSGatlas-gene-3504</t>
  </si>
  <si>
    <t>BSGatlas-gene-3511</t>
  </si>
  <si>
    <t>BSGatlas-gene-3514</t>
  </si>
  <si>
    <t>BSGatlas-gene-3526</t>
  </si>
  <si>
    <t>BSGatlas-gene-3528</t>
  </si>
  <si>
    <t>BSGatlas-gene-3530</t>
  </si>
  <si>
    <t>BSGatlas-gene-3543</t>
  </si>
  <si>
    <t>BSGatlas-gene-3549</t>
  </si>
  <si>
    <t>BSGatlas-gene-3551</t>
  </si>
  <si>
    <t>BSGatlas-gene-3553</t>
  </si>
  <si>
    <t>BSGatlas-gene-3563</t>
  </si>
  <si>
    <t>BSGatlas-gene-3566</t>
  </si>
  <si>
    <t>BSGatlas-gene-3571</t>
  </si>
  <si>
    <t>BSGatlas-gene-3575</t>
  </si>
  <si>
    <t>BSGatlas-gene-3579</t>
  </si>
  <si>
    <t>BSGatlas-gene-3581</t>
  </si>
  <si>
    <t>BSGatlas-gene-3588</t>
  </si>
  <si>
    <t>BSGatlas-gene-3593</t>
  </si>
  <si>
    <t>BSGatlas-gene-3604</t>
  </si>
  <si>
    <t>BSGatlas-gene-3603</t>
  </si>
  <si>
    <t>BSGatlas-gene-3609</t>
  </si>
  <si>
    <t>BSGatlas-gene-3615</t>
  </si>
  <si>
    <t>BSGatlas-gene-3639</t>
  </si>
  <si>
    <t>BSGatlas-gene-3640</t>
  </si>
  <si>
    <t>BSGatlas-gene-3642</t>
  </si>
  <si>
    <t>BSGatlas-gene-3660</t>
  </si>
  <si>
    <t>BSGatlas-gene-3677</t>
  </si>
  <si>
    <t>BSGatlas-gene-3683</t>
  </si>
  <si>
    <t>BSGatlas-gene-3702</t>
  </si>
  <si>
    <t>BSGatlas-gene-3705</t>
  </si>
  <si>
    <t>BSGatlas-gene-3719</t>
  </si>
  <si>
    <t>BSGatlas-gene-3718</t>
  </si>
  <si>
    <t>BSGatlas-gene-3721</t>
  </si>
  <si>
    <t>BSGatlas-gene-3729</t>
  </si>
  <si>
    <t>BSGatlas-gene-3743</t>
  </si>
  <si>
    <t>BSGatlas-gene-3751</t>
  </si>
  <si>
    <t>BSGatlas-gene-3763</t>
  </si>
  <si>
    <t>BSGatlas-gene-3766</t>
  </si>
  <si>
    <t>BSGatlas-gene-3773</t>
  </si>
  <si>
    <t>BSGatlas-gene-3806</t>
  </si>
  <si>
    <t>BSGatlas-gene-3810</t>
  </si>
  <si>
    <t>BSGatlas-gene-3815</t>
  </si>
  <si>
    <t>BSGatlas-gene-3821</t>
  </si>
  <si>
    <t>BSGatlas-gene-3829</t>
  </si>
  <si>
    <t>BSGatlas-gene-3832</t>
  </si>
  <si>
    <t>BSGatlas-gene-3843</t>
  </si>
  <si>
    <t>BSGatlas-gene-3850</t>
  </si>
  <si>
    <t>BSGatlas-gene-3872</t>
  </si>
  <si>
    <t>BSGatlas-gene-3880</t>
  </si>
  <si>
    <t>BSGatlas-gene-3884</t>
  </si>
  <si>
    <t>BSGatlas-gene-3887</t>
  </si>
  <si>
    <t>BSGatlas-gene-3896</t>
  </si>
  <si>
    <t>BSGatlas-gene-3901</t>
  </si>
  <si>
    <t>BSGatlas-gene-3900</t>
  </si>
  <si>
    <t>BSGatlas-gene-3910</t>
  </si>
  <si>
    <t>BSGatlas-gene-3916</t>
  </si>
  <si>
    <t>BSGatlas-gene-3920</t>
  </si>
  <si>
    <t>BSGatlas-gene-3924</t>
  </si>
  <si>
    <t>BSGatlas-gene-3933</t>
  </si>
  <si>
    <t>BSGatlas-gene-3948</t>
  </si>
  <si>
    <t>BSGatlas-gene-3958</t>
  </si>
  <si>
    <t>BSGatlas-gene-3970</t>
  </si>
  <si>
    <t>BSGatlas-gene-3993</t>
  </si>
  <si>
    <t>BSGatlas-gene-4025</t>
  </si>
  <si>
    <t>BSGatlas-gene-4029</t>
  </si>
  <si>
    <t>BSGatlas-gene-4033</t>
  </si>
  <si>
    <t>BSGatlas-gene-4050</t>
  </si>
  <si>
    <t>BSGatlas-gene-4053</t>
  </si>
  <si>
    <t>BSGatlas-gene-4058</t>
  </si>
  <si>
    <t>BSGatlas-gene-4098</t>
  </si>
  <si>
    <t>BSGatlas-gene-4097</t>
  </si>
  <si>
    <t>BSGatlas-gene-4103</t>
  </si>
  <si>
    <t>BSGatlas-gene-4104</t>
  </si>
  <si>
    <t>BSGatlas-gene-4111</t>
  </si>
  <si>
    <t>BSGatlas-gene-4114</t>
  </si>
  <si>
    <t>BSGatlas-gene-4119</t>
  </si>
  <si>
    <t>BSGatlas-gene-4124</t>
  </si>
  <si>
    <t>BSGatlas-gene-4129</t>
  </si>
  <si>
    <t>BSGatlas-gene-4132</t>
  </si>
  <si>
    <t>BSGatlas-gene-4137</t>
  </si>
  <si>
    <t>BSGatlas-gene-4142</t>
  </si>
  <si>
    <t>BSGatlas-gene-4146</t>
  </si>
  <si>
    <t>BSGatlas-gene-4149</t>
  </si>
  <si>
    <t>BSGatlas-gene-4158</t>
  </si>
  <si>
    <t>BSGatlas-gene-4165</t>
  </si>
  <si>
    <t>BSGatlas-gene-4164</t>
  </si>
  <si>
    <t>BSGatlas-gene-4166</t>
  </si>
  <si>
    <t>BSGatlas-gene-4173</t>
  </si>
  <si>
    <t>BSGatlas-gene-4178</t>
  </si>
  <si>
    <t>BSGatlas-gene-4184</t>
  </si>
  <si>
    <t>BSGatlas-gene-4189</t>
  </si>
  <si>
    <t>BSGatlas-gene-4202</t>
  </si>
  <si>
    <t>BSGatlas-gene-4206</t>
  </si>
  <si>
    <t>BSGatlas-gene-4213</t>
  </si>
  <si>
    <t>BSGatlas-gene-4217</t>
  </si>
  <si>
    <t>BSGatlas-gene-4220</t>
  </si>
  <si>
    <t>BSGatlas-gene-4229</t>
  </si>
  <si>
    <t>BSGatlas-gene-4233</t>
  </si>
  <si>
    <t>BSGatlas-gene-4234</t>
  </si>
  <si>
    <t>BSGatlas-gene-4239</t>
  </si>
  <si>
    <t>BSGatlas-gene-4240</t>
  </si>
  <si>
    <t>BSGatlas-gene-4241</t>
  </si>
  <si>
    <t>BSGatlas-gene-4244</t>
  </si>
  <si>
    <t>BSGatlas-gene-4247</t>
  </si>
  <si>
    <t>BSGatlas-gene-4250</t>
  </si>
  <si>
    <t>BSGatlas-gene-4253</t>
  </si>
  <si>
    <t>BSGatlas-gene-4261</t>
  </si>
  <si>
    <t>BSGatlas-gene-4269</t>
  </si>
  <si>
    <t>BSGatlas-gene-4271</t>
  </si>
  <si>
    <t>BSGatlas-gene-4272</t>
  </si>
  <si>
    <t>BSGatlas-gene-4280</t>
  </si>
  <si>
    <t>BSGatlas-gene-4282</t>
  </si>
  <si>
    <t>BSGatlas-gene-4284</t>
  </si>
  <si>
    <t>BSGatlas-gene-4286</t>
  </si>
  <si>
    <t>BSGatlas-gene-4292</t>
  </si>
  <si>
    <t>BSGatlas-gene-4303</t>
  </si>
  <si>
    <t>BSGatlas-gene-4308</t>
  </si>
  <si>
    <t>BSGatlas-gene-4318</t>
  </si>
  <si>
    <t>BSGatlas-gene-4323</t>
  </si>
  <si>
    <t>BSGatlas-gene-4325</t>
  </si>
  <si>
    <t>BSGatlas-gene-4338</t>
  </si>
  <si>
    <t>BSGatlas-gene-4341</t>
  </si>
  <si>
    <t>BSGatlas-gene-4349</t>
  </si>
  <si>
    <t>BSGatlas-gene-4360</t>
  </si>
  <si>
    <t>BSGatlas-gene-4365</t>
  </si>
  <si>
    <t>BSGatlas-gene-4364</t>
  </si>
  <si>
    <t>BSGatlas-gene-4368</t>
  </si>
  <si>
    <t>BSGatlas-gene-4369</t>
  </si>
  <si>
    <t>BSGatlas-gene-4373</t>
  </si>
  <si>
    <t>BSGatlas-gene-4374</t>
  </si>
  <si>
    <t>BSGatlas-gene-4375</t>
  </si>
  <si>
    <t>BSGatlas-gene-4376</t>
  </si>
  <si>
    <t>BSGatlas-gene-4380</t>
  </si>
  <si>
    <t>BSGatlas-gene-4385</t>
  </si>
  <si>
    <t>BSGatlas-gene-4403</t>
  </si>
  <si>
    <t>BSGatlas-gene-4415</t>
  </si>
  <si>
    <t>BSGatlas-gene-4432</t>
  </si>
  <si>
    <t>BSGatlas-gene-4436</t>
  </si>
  <si>
    <t>BSGatlas-gene-4448</t>
  </si>
  <si>
    <t>BSGatlas-gene-4452</t>
  </si>
  <si>
    <t>BSGatlas-gene-4466</t>
  </si>
  <si>
    <t>BSGatlas-gene-4470</t>
  </si>
  <si>
    <t>BSGatlas-gene-4471</t>
  </si>
  <si>
    <t>BSGatlas-gene-4483</t>
  </si>
  <si>
    <t>BSGatlas-gene-4481</t>
  </si>
  <si>
    <t>BSGatlas-gene-4488</t>
  </si>
  <si>
    <t>BSGatlas-gene-4492</t>
  </si>
  <si>
    <t>BSGatlas-gene-4501</t>
  </si>
  <si>
    <t>BSGatlas-gene-4526</t>
  </si>
  <si>
    <t>BSGatlas-gene-4529</t>
  </si>
  <si>
    <t>BSGatlas-gene-4531</t>
  </si>
  <si>
    <t>BSGatlas-gene-4539</t>
  </si>
  <si>
    <t>BSGatlas-gene-4560</t>
  </si>
  <si>
    <t>BSGatlas-gene-4562</t>
  </si>
  <si>
    <t>BSGatlas-gene-4567</t>
  </si>
  <si>
    <t>BSGatlas-gene-4580</t>
  </si>
  <si>
    <t>BSGatlas-gene-4579</t>
  </si>
  <si>
    <t>BSGatlas-gene-4585</t>
  </si>
  <si>
    <t>BSGatlas-terminator-2554</t>
  </si>
  <si>
    <t>BSGatlas-gene-4606</t>
  </si>
  <si>
    <t>BSGatlas-gene-4608</t>
  </si>
  <si>
    <t>BSGatlas-gene-4621</t>
  </si>
  <si>
    <t>BSGatlas-gene-4628</t>
  </si>
  <si>
    <t>BSGatlas-gene-4627</t>
  </si>
  <si>
    <t>BSGatlas-gene-4635</t>
  </si>
  <si>
    <t>BSGatlas-gene-4639</t>
  </si>
  <si>
    <t>BSGatlas-gene-4645</t>
  </si>
  <si>
    <t>BSGatlas-gene-4654</t>
  </si>
  <si>
    <t>BSGatlas-gene-4653</t>
  </si>
  <si>
    <t>BSGatlas-gene-4658</t>
  </si>
  <si>
    <t>BSGatlas-gene-4659</t>
  </si>
  <si>
    <t>BSGatlas-gene-4665</t>
  </si>
  <si>
    <t>BSGatlas-gene-4680</t>
  </si>
  <si>
    <t>BSGatlas-gene-4692</t>
  </si>
  <si>
    <t>BSGatlas-gene-4702</t>
  </si>
  <si>
    <t>BSGatlas-gene-4716</t>
  </si>
  <si>
    <t>BSGatlas-gene-4722</t>
  </si>
  <si>
    <t>BSGatlas-gene-4725</t>
  </si>
  <si>
    <t>BSGatlas-gene-4732</t>
  </si>
  <si>
    <t>BSGatlas-gene-4740</t>
  </si>
  <si>
    <t>BSGatlas-gene-4753</t>
  </si>
  <si>
    <t>BSGatlas-gene-4761</t>
  </si>
  <si>
    <t>BSGatlas-gene-4764</t>
  </si>
  <si>
    <t>BSGatlas-gene-4769</t>
  </si>
  <si>
    <t>implied by co-transcription evidence from</t>
  </si>
  <si>
    <t>BSGatlas;BsubCyc;DBTBS;SubtiWiki</t>
  </si>
  <si>
    <t>BsubCyc;SubtiWiki;DBTBS</t>
  </si>
  <si>
    <t>BsubCyc;DBTBS;SubtiWiki;BSGatlas</t>
  </si>
  <si>
    <t>SubtiWiki;BsubCyc;DBTBS</t>
  </si>
  <si>
    <t>BSGatlas;BsubCyc;DBTBS</t>
  </si>
  <si>
    <t>BSGatlas;SubtiWiki</t>
  </si>
  <si>
    <t>SubtiWiki;BsubCyc</t>
  </si>
  <si>
    <t>SubtiWiki;BSGatlas</t>
  </si>
  <si>
    <t>BsubCyc;BSGatlas</t>
  </si>
  <si>
    <t>BsubCyc;SubtiWiki;BSGatlas</t>
  </si>
  <si>
    <t>BSGatlas;BsubCyc;SubtiWiki</t>
  </si>
  <si>
    <t>position</t>
  </si>
  <si>
    <t>resolution limit</t>
  </si>
  <si>
    <t>sigma</t>
  </si>
  <si>
    <t>related PubMed entries</t>
  </si>
  <si>
    <t>?</t>
  </si>
  <si>
    <t>Nicolas et al 5' UTR start</t>
  </si>
  <si>
    <t>A</t>
  </si>
  <si>
    <t>17962296;2846289;2987848</t>
  </si>
  <si>
    <t>BsubCyc;DBTBS;Nicolas et al 5' UTR start;Nicolas et al upshift</t>
  </si>
  <si>
    <t>K</t>
  </si>
  <si>
    <t>Nicolas et al upshift</t>
  </si>
  <si>
    <t>EF</t>
  </si>
  <si>
    <t>17962296;2987848</t>
  </si>
  <si>
    <t>BsubCyc;DBTBS;Nicolas et al upshift</t>
  </si>
  <si>
    <t>DBTBS;Nicolas et al upshift</t>
  </si>
  <si>
    <t>17962296;6312418</t>
  </si>
  <si>
    <t>GF</t>
  </si>
  <si>
    <t>Nicolas et al 5' UTR start;Nicolas et al upshift</t>
  </si>
  <si>
    <t>B</t>
  </si>
  <si>
    <t>E</t>
  </si>
  <si>
    <t>10419957;11717295;17962296</t>
  </si>
  <si>
    <t>DBTBS;Nicolas et al 5' UTR start;Nicolas et al upshift</t>
  </si>
  <si>
    <t>1315731;1577688;17962296</t>
  </si>
  <si>
    <t>WXY</t>
  </si>
  <si>
    <t>17962296;3145384</t>
  </si>
  <si>
    <t>10714992;17962296</t>
  </si>
  <si>
    <t>12761295;1310745;6181373;6820069</t>
  </si>
  <si>
    <t>G</t>
  </si>
  <si>
    <t>17962296;6205155</t>
  </si>
  <si>
    <t>H</t>
  </si>
  <si>
    <t>11254139;116131;17962296;2500529;3099284;3101583;408013;6269757;6405278;6411929;6414720</t>
  </si>
  <si>
    <t>BsubCyc;Nicolas et al upshift</t>
  </si>
  <si>
    <t>11254139;116131;2500529;3099284;3101583;3277943;408013;6269757;6405278;6411929;6414720;6781761;6784117</t>
  </si>
  <si>
    <t>1310745;17962296;6181373</t>
  </si>
  <si>
    <t>10482513;3100810;6202876;6273816;6790515;8012595;8253681</t>
  </si>
  <si>
    <t>17962296;8755877</t>
  </si>
  <si>
    <t>D</t>
  </si>
  <si>
    <t>WX</t>
  </si>
  <si>
    <t>12207695;9636707;9683469</t>
  </si>
  <si>
    <t>1556084;17962296;2832371</t>
  </si>
  <si>
    <t>17962296;7608085</t>
  </si>
  <si>
    <t>11445163;17962296</t>
  </si>
  <si>
    <t>I</t>
  </si>
  <si>
    <t>17962296;9084182</t>
  </si>
  <si>
    <t>17962296;8793870</t>
  </si>
  <si>
    <t>10482513;17962296</t>
  </si>
  <si>
    <t>17962296;7510287</t>
  </si>
  <si>
    <t>17962296;1898930</t>
  </si>
  <si>
    <t>17962296;7657605</t>
  </si>
  <si>
    <t>17962296;7559346</t>
  </si>
  <si>
    <t>17962296;1906867</t>
  </si>
  <si>
    <t>12662922;17962296</t>
  </si>
  <si>
    <t>17725565;17962296</t>
  </si>
  <si>
    <t>14563870;17962296</t>
  </si>
  <si>
    <t>W</t>
  </si>
  <si>
    <t>12207695;17962296;9987136</t>
  </si>
  <si>
    <t>17962296;8376346</t>
  </si>
  <si>
    <t>16452424;17962296</t>
  </si>
  <si>
    <t>17962296;8012593</t>
  </si>
  <si>
    <t>17962296;7496533</t>
  </si>
  <si>
    <t>X</t>
  </si>
  <si>
    <t>14762009;17962296</t>
  </si>
  <si>
    <t>BsubCyc;Nicolas et al 5' UTR start;Nicolas et al upshift</t>
  </si>
  <si>
    <t>Y</t>
  </si>
  <si>
    <t>12897008;17962296</t>
  </si>
  <si>
    <t>17962296;21699902</t>
  </si>
  <si>
    <t>15995196;17962296</t>
  </si>
  <si>
    <t>17962296;9515903</t>
  </si>
  <si>
    <t>10094677;17962296</t>
  </si>
  <si>
    <t>12499232;17962296</t>
  </si>
  <si>
    <t>11914346;17962296</t>
  </si>
  <si>
    <t>12426338;17962296</t>
  </si>
  <si>
    <t>11866510;17962296</t>
  </si>
  <si>
    <t>11866510;12207695;17962296</t>
  </si>
  <si>
    <t>17962296;7622480</t>
  </si>
  <si>
    <t>17962296;23175650;7622480</t>
  </si>
  <si>
    <t>17962296;8768514</t>
  </si>
  <si>
    <t>17962296;3123701</t>
  </si>
  <si>
    <t>10809684;17962296</t>
  </si>
  <si>
    <t>17962296;9271869</t>
  </si>
  <si>
    <t>17962296;7836289</t>
  </si>
  <si>
    <t>1715856;17962296</t>
  </si>
  <si>
    <t>16707705;17962296</t>
  </si>
  <si>
    <t>10464187;17962296</t>
  </si>
  <si>
    <t>10464187;1702397</t>
  </si>
  <si>
    <t>12123465;17962296</t>
  </si>
  <si>
    <t>17962296;3141376</t>
  </si>
  <si>
    <t>10220166;17962296</t>
  </si>
  <si>
    <t>10913073;17962296</t>
  </si>
  <si>
    <t>1378051;17962296;7651322;8012595</t>
  </si>
  <si>
    <t>BsubCyc;DBTBS;Nicolas et al 5' UTR start</t>
  </si>
  <si>
    <t>12480901;12662922;17962296</t>
  </si>
  <si>
    <t>2170324;8012595;8253681</t>
  </si>
  <si>
    <t>15941986;17962296</t>
  </si>
  <si>
    <t>10200972;17962296</t>
  </si>
  <si>
    <t>17725564;17962296</t>
  </si>
  <si>
    <t>11532142;17962296</t>
  </si>
  <si>
    <t>16497325;17962296</t>
  </si>
  <si>
    <t>16030210;16291680;1766385;17962296</t>
  </si>
  <si>
    <t>16030210;1766385;17962296</t>
  </si>
  <si>
    <t>17962296;18223082</t>
  </si>
  <si>
    <t>1350776;17962296</t>
  </si>
  <si>
    <t>17962296;8195086</t>
  </si>
  <si>
    <t>11454200;11866510;12207695;17962296</t>
  </si>
  <si>
    <t>11807058;17962296</t>
  </si>
  <si>
    <t>17962296;3135411</t>
  </si>
  <si>
    <t>17962296;8951816</t>
  </si>
  <si>
    <t>1312531;17962296</t>
  </si>
  <si>
    <t>17962296;3036807</t>
  </si>
  <si>
    <t>L</t>
  </si>
  <si>
    <t>11902719;17962296;9701821</t>
  </si>
  <si>
    <t>16553878;17962296</t>
  </si>
  <si>
    <t>17962296;7768848</t>
  </si>
  <si>
    <t>15383836;17962296</t>
  </si>
  <si>
    <t>EK</t>
  </si>
  <si>
    <t>14663075;17962296</t>
  </si>
  <si>
    <t>10972810;17962296</t>
  </si>
  <si>
    <t>16207374;17962296</t>
  </si>
  <si>
    <t>17962296;8755887</t>
  </si>
  <si>
    <t>11274109;17962296</t>
  </si>
  <si>
    <t>11489864;17962296</t>
  </si>
  <si>
    <t>10806362;17962296</t>
  </si>
  <si>
    <t>12207695;9987136</t>
  </si>
  <si>
    <t>17962296;9636707</t>
  </si>
  <si>
    <t>17962296;8921856;9636707</t>
  </si>
  <si>
    <t>10463184;17962296</t>
  </si>
  <si>
    <t>1900507;2468649;2497051</t>
  </si>
  <si>
    <t>12029044;17962296</t>
  </si>
  <si>
    <t>17962296;1981762</t>
  </si>
  <si>
    <t>11251850;17962296</t>
  </si>
  <si>
    <t>12662922;14523133;17962296</t>
  </si>
  <si>
    <t>1400185;17962296</t>
  </si>
  <si>
    <t>16513748;17962296</t>
  </si>
  <si>
    <t>FG</t>
  </si>
  <si>
    <t>17962296;9611260</t>
  </si>
  <si>
    <t>12480901;16497325</t>
  </si>
  <si>
    <t>17962296;2127799</t>
  </si>
  <si>
    <t>17962296;1809833</t>
  </si>
  <si>
    <t>10206711;10322020;17962296</t>
  </si>
  <si>
    <t>17962296;8144469</t>
  </si>
  <si>
    <t>17962296;8113174</t>
  </si>
  <si>
    <t>17962296;9573210</t>
  </si>
  <si>
    <t>17962296;8045899</t>
  </si>
  <si>
    <t>M</t>
  </si>
  <si>
    <t>10216858;12207695;17962296</t>
  </si>
  <si>
    <t>10216858;17962296</t>
  </si>
  <si>
    <t>17962296;1900507;2468649</t>
  </si>
  <si>
    <t>10498703;17962296</t>
  </si>
  <si>
    <t>10735881;17962296</t>
  </si>
  <si>
    <t>17962296;8335642</t>
  </si>
  <si>
    <t>17189250;17962296</t>
  </si>
  <si>
    <t>F</t>
  </si>
  <si>
    <t>17962296;2447062;2447063;2496113</t>
  </si>
  <si>
    <t>17962296;8196543</t>
  </si>
  <si>
    <t>14612444;17962296</t>
  </si>
  <si>
    <t>17962296;7746142</t>
  </si>
  <si>
    <t>10498721;17962296</t>
  </si>
  <si>
    <t>17962296;3106155;7511775</t>
  </si>
  <si>
    <t>17962296;9335269</t>
  </si>
  <si>
    <t>12737802;17962296</t>
  </si>
  <si>
    <t>DBTBS;Nicolas et al 5' UTR start</t>
  </si>
  <si>
    <t>10913081;11866510;12207695;17962296</t>
  </si>
  <si>
    <t>10482513;10913081</t>
  </si>
  <si>
    <t>12775685;17158663</t>
  </si>
  <si>
    <t>17962296;8412687</t>
  </si>
  <si>
    <t>17962296;7519271</t>
  </si>
  <si>
    <t>14523132;17962296</t>
  </si>
  <si>
    <t>11832514;17962296</t>
  </si>
  <si>
    <t>15383836;1917883;2546006</t>
  </si>
  <si>
    <t>17962296;9882655</t>
  </si>
  <si>
    <t>11535782;1378051;17962296</t>
  </si>
  <si>
    <t>10692364;17962296</t>
  </si>
  <si>
    <t>1766371;17962296</t>
  </si>
  <si>
    <t>16885456;17962296;8682784</t>
  </si>
  <si>
    <t>17962296;9696771</t>
  </si>
  <si>
    <t>11101664;17962296</t>
  </si>
  <si>
    <t>11157964;17185538;17962296</t>
  </si>
  <si>
    <t>17962296;2468649</t>
  </si>
  <si>
    <t>12022921;17962296</t>
  </si>
  <si>
    <t>17962296;1901567</t>
  </si>
  <si>
    <t>17962296;6273817;6313226</t>
  </si>
  <si>
    <t>10320580;17962296</t>
  </si>
  <si>
    <t>12180919;17962296</t>
  </si>
  <si>
    <t>17962296;8021181;9009064</t>
  </si>
  <si>
    <t>8021181;9009064</t>
  </si>
  <si>
    <t>17962296;9353924</t>
  </si>
  <si>
    <t>1569009;17962296;2104615</t>
  </si>
  <si>
    <t>17962296;8169223</t>
  </si>
  <si>
    <t>11011148;15383836</t>
  </si>
  <si>
    <t>12354229;17962296</t>
  </si>
  <si>
    <t>17962296;8990290</t>
  </si>
  <si>
    <t>17962296;9636707;9683469</t>
  </si>
  <si>
    <t>17962296;8002614;8002615</t>
  </si>
  <si>
    <t>11976308;1697575;17962296</t>
  </si>
  <si>
    <t>11976308;1697575</t>
  </si>
  <si>
    <t>YlaC</t>
  </si>
  <si>
    <t>12644242;16501307;17962296</t>
  </si>
  <si>
    <t>11325953;17962296;2549007</t>
  </si>
  <si>
    <t>11325953;17962296</t>
  </si>
  <si>
    <t>17962296;8289242</t>
  </si>
  <si>
    <t>8320223;8320224</t>
  </si>
  <si>
    <t>10878122;1569582;17962296</t>
  </si>
  <si>
    <t>10878122;1569582;1624452;17962296</t>
  </si>
  <si>
    <t>10878122;1569582</t>
  </si>
  <si>
    <t>17962296;2512576</t>
  </si>
  <si>
    <t>1709162;17962296</t>
  </si>
  <si>
    <t>11004190;17962296</t>
  </si>
  <si>
    <t>17962296;8231808</t>
  </si>
  <si>
    <t>16932747;17962296</t>
  </si>
  <si>
    <t>17962296;8335643</t>
  </si>
  <si>
    <t>17962296;7783641</t>
  </si>
  <si>
    <t>17962296;6241578;9657996</t>
  </si>
  <si>
    <t>10940026;17962296;9657996</t>
  </si>
  <si>
    <t>17962296;8098035;8345520</t>
  </si>
  <si>
    <t>17962296;2507870</t>
  </si>
  <si>
    <t>17962296;7690748</t>
  </si>
  <si>
    <t>1691789;17962296</t>
  </si>
  <si>
    <t>15383836;1691789;17962296</t>
  </si>
  <si>
    <t>10589719;17962296</t>
  </si>
  <si>
    <t>16885274;17962296</t>
  </si>
  <si>
    <t>17962296;8407798</t>
  </si>
  <si>
    <t>1787791;17962296;2514336</t>
  </si>
  <si>
    <t>1787791;17962296</t>
  </si>
  <si>
    <t>17962296;2906311</t>
  </si>
  <si>
    <t>17962296;9973552</t>
  </si>
  <si>
    <t>17962296;2454911</t>
  </si>
  <si>
    <t>1518043;1691789;17962296</t>
  </si>
  <si>
    <t>15383836;16385044</t>
  </si>
  <si>
    <t>11244082;12207695;17962296</t>
  </si>
  <si>
    <t>10781554;17962296</t>
  </si>
  <si>
    <t>11150673;9068633</t>
  </si>
  <si>
    <t>1310745;17962296</t>
  </si>
  <si>
    <t>10333516;17962296</t>
  </si>
  <si>
    <t>17962296;2548995;9023181</t>
  </si>
  <si>
    <t>17962296;2548995</t>
  </si>
  <si>
    <t>14973022;15383836;17962296</t>
  </si>
  <si>
    <t>17962296;3104598</t>
  </si>
  <si>
    <t>17962296;8628241</t>
  </si>
  <si>
    <t>10559169;17962296</t>
  </si>
  <si>
    <t>12950927;17962296</t>
  </si>
  <si>
    <t>1508153;17962296</t>
  </si>
  <si>
    <t>17962296;7592393</t>
  </si>
  <si>
    <t>17962296;8550420</t>
  </si>
  <si>
    <t>17962296;9098051</t>
  </si>
  <si>
    <t>17962296;9846747</t>
  </si>
  <si>
    <t>17962296;7592464</t>
  </si>
  <si>
    <t>17962296;2422155;6436812</t>
  </si>
  <si>
    <t>10231583;1382620;17962296;1902464</t>
  </si>
  <si>
    <t>10231583;1382620;1902464</t>
  </si>
  <si>
    <t>10231583;17962296</t>
  </si>
  <si>
    <t>1729246;17962296</t>
  </si>
  <si>
    <t>10197998;17962296</t>
  </si>
  <si>
    <t>17962296;9829940</t>
  </si>
  <si>
    <t>17962296;9139908;9636707</t>
  </si>
  <si>
    <t>17962296;8631715</t>
  </si>
  <si>
    <t>1548223;17962296;7528199</t>
  </si>
  <si>
    <t>17962296;8022278</t>
  </si>
  <si>
    <t>1903432;2497051</t>
  </si>
  <si>
    <t>1905664;2492512</t>
  </si>
  <si>
    <t>1629150;17962296;8021191</t>
  </si>
  <si>
    <t>10537218;17962296</t>
  </si>
  <si>
    <t>17962296;8501065</t>
  </si>
  <si>
    <t>1711029;17962296</t>
  </si>
  <si>
    <t>10094682;17962296</t>
  </si>
  <si>
    <t>17962296;8759838</t>
  </si>
  <si>
    <t>11254139;1569009;17962296;7543482</t>
  </si>
  <si>
    <t>11254139;1901572</t>
  </si>
  <si>
    <t>11254139;1569009;17962296</t>
  </si>
  <si>
    <t>17962296;9004507</t>
  </si>
  <si>
    <t>11751836;17962296;3125149</t>
  </si>
  <si>
    <t>17962296;3125149</t>
  </si>
  <si>
    <t>11751836;3125149</t>
  </si>
  <si>
    <t>16430695;17962296</t>
  </si>
  <si>
    <t>17962296;2507524</t>
  </si>
  <si>
    <t>17962296;9098050</t>
  </si>
  <si>
    <t>12486072;17962296</t>
  </si>
  <si>
    <t>17962296;9864351</t>
  </si>
  <si>
    <t>10411753;17962296</t>
  </si>
  <si>
    <t>AB</t>
  </si>
  <si>
    <t>17962296;2425291;2526291;6330116</t>
  </si>
  <si>
    <t>1339421;8012595</t>
  </si>
  <si>
    <t>1339421;9023197</t>
  </si>
  <si>
    <t>17962296;9371469</t>
  </si>
  <si>
    <t>17962296;7836306</t>
  </si>
  <si>
    <t>17962296;1840582</t>
  </si>
  <si>
    <t>17962296;7968523</t>
  </si>
  <si>
    <t>11207367;17962296</t>
  </si>
  <si>
    <t>10515909;17962296</t>
  </si>
  <si>
    <t>17962296;2492118;2841290</t>
  </si>
  <si>
    <t>17962296;8300549</t>
  </si>
  <si>
    <t>12480901;15383836;17962296</t>
  </si>
  <si>
    <t>17962296;9023181</t>
  </si>
  <si>
    <t>17962296;1900939;2495266</t>
  </si>
  <si>
    <t>12207695;17962296;9636707;9683469</t>
  </si>
  <si>
    <t>16885442;17962296</t>
  </si>
  <si>
    <t>17962296;9383190</t>
  </si>
  <si>
    <t>10438771;17962296</t>
  </si>
  <si>
    <t>17962296;8444804</t>
  </si>
  <si>
    <t>17962296;2537815</t>
  </si>
  <si>
    <t>17962296;1942049</t>
  </si>
  <si>
    <t>1694528;17962296</t>
  </si>
  <si>
    <t>17962296;9098041</t>
  </si>
  <si>
    <t>17962296;8449878</t>
  </si>
  <si>
    <t>17962296;7961402</t>
  </si>
  <si>
    <t>11325926;17962296</t>
  </si>
  <si>
    <t>17962296;8973311</t>
  </si>
  <si>
    <t>1577690;17962296</t>
  </si>
  <si>
    <t>17962296;2474075</t>
  </si>
  <si>
    <t>17962296;3036830</t>
  </si>
  <si>
    <t>17962296;9537387</t>
  </si>
  <si>
    <t>10482513;17962296;9537387</t>
  </si>
  <si>
    <t>14973026;17962296</t>
  </si>
  <si>
    <t>17962296;2127701</t>
  </si>
  <si>
    <t>17962296;9084180</t>
  </si>
  <si>
    <t>17289755;17962296;21843271</t>
  </si>
  <si>
    <t>17962296;8288542</t>
  </si>
  <si>
    <t>15720552;17962296</t>
  </si>
  <si>
    <t>15205429;17962296</t>
  </si>
  <si>
    <t>14762014;15205429</t>
  </si>
  <si>
    <t>15272571;15937167;16109943</t>
  </si>
  <si>
    <t>15937167;16109943;17962296</t>
  </si>
  <si>
    <t>15937167;17962296</t>
  </si>
  <si>
    <t>16109943;17962296</t>
  </si>
  <si>
    <t>17962296;8226682</t>
  </si>
  <si>
    <t>15317798;17962296</t>
  </si>
  <si>
    <t>1699930;17962296</t>
  </si>
  <si>
    <t>1735721;17962296</t>
  </si>
  <si>
    <t>17962296;7913927</t>
  </si>
  <si>
    <t>17962296;8733232</t>
  </si>
  <si>
    <t>12890034;17962296</t>
  </si>
  <si>
    <t>10986249;17962296</t>
  </si>
  <si>
    <t>14761999;17962296</t>
  </si>
  <si>
    <t>17962296;9393687</t>
  </si>
  <si>
    <t>12480901;17962296;7545510;9603889</t>
  </si>
  <si>
    <t>17962296;3104146;8145641</t>
  </si>
  <si>
    <t>17962296;6312417</t>
  </si>
  <si>
    <t>10465790;17962296;6312417</t>
  </si>
  <si>
    <t>15383836;9692191</t>
  </si>
  <si>
    <t>17962296;8497199</t>
  </si>
  <si>
    <t>17962296;7961491</t>
  </si>
  <si>
    <t>12949159;17962296</t>
  </si>
  <si>
    <t>17962296;2507523</t>
  </si>
  <si>
    <t>1715859;17962296</t>
  </si>
  <si>
    <t>17962296;3007431</t>
  </si>
  <si>
    <t>17962296;8226620</t>
  </si>
  <si>
    <t>12029039;17962296</t>
  </si>
  <si>
    <t>17962296;9852018</t>
  </si>
  <si>
    <t>17962296;2509422;3130545</t>
  </si>
  <si>
    <t>17962296;2509422;2509423;3130545</t>
  </si>
  <si>
    <t>2509422;2509423;3130545</t>
  </si>
  <si>
    <t>1744043;17962296;2110996</t>
  </si>
  <si>
    <t>O</t>
  </si>
  <si>
    <t>17962296;18573182</t>
  </si>
  <si>
    <t>12169591;17962296</t>
  </si>
  <si>
    <t>10216873;17962296</t>
  </si>
  <si>
    <t>16469701;17962296</t>
  </si>
  <si>
    <t>11489127;17962296</t>
  </si>
  <si>
    <t>17962296;9401028</t>
  </si>
  <si>
    <t>15661000;17962296</t>
  </si>
  <si>
    <t>12207695;17962296;8491712;9987136</t>
  </si>
  <si>
    <t>17962296;2428811;3118760</t>
  </si>
  <si>
    <t>17962296;8012595;9643546</t>
  </si>
  <si>
    <t>17962296;9643546</t>
  </si>
  <si>
    <t>1744042;17962296</t>
  </si>
  <si>
    <t>17962296;9882663</t>
  </si>
  <si>
    <t>11254139;17962296;9852014</t>
  </si>
  <si>
    <t>11377871;17962296;9852014</t>
  </si>
  <si>
    <t>17962296;8195064</t>
  </si>
  <si>
    <t>17962296;2498284</t>
  </si>
  <si>
    <t>6273817;6313226;8045879</t>
  </si>
  <si>
    <t>1688843;17962296</t>
  </si>
  <si>
    <t>1357079;17962296;8093697</t>
  </si>
  <si>
    <t>1357079;17962296</t>
  </si>
  <si>
    <t>1357079;17962296;9636707</t>
  </si>
  <si>
    <t>17962296;8320212</t>
  </si>
  <si>
    <t>16735734;17962296</t>
  </si>
  <si>
    <t>17962296;7581998</t>
  </si>
  <si>
    <t>17962296;7581999;7934877</t>
  </si>
  <si>
    <t>17962296;7812448</t>
  </si>
  <si>
    <t>17962296;7511775</t>
  </si>
  <si>
    <t>17962296;7685336</t>
  </si>
  <si>
    <t>17962296;7814326</t>
  </si>
  <si>
    <t>17962296;8755863</t>
  </si>
  <si>
    <t>11535782;17962296;9636707</t>
  </si>
  <si>
    <t>1744038;17962296;2514119;9023218</t>
  </si>
  <si>
    <t>17962296;8282685</t>
  </si>
  <si>
    <t>MX</t>
  </si>
  <si>
    <t>12207695;12399481;12486040;12775685;14651641;17962296</t>
  </si>
  <si>
    <t>12207695;14762009;17962296</t>
  </si>
  <si>
    <t>11371526;9140963</t>
  </si>
  <si>
    <t>17962296;9287005</t>
  </si>
  <si>
    <t>17962296;2419309</t>
  </si>
  <si>
    <t>2419309;8759874</t>
  </si>
  <si>
    <t>11591660;17962296</t>
  </si>
  <si>
    <t>17962296;7892217</t>
  </si>
  <si>
    <t>12949160;17962296</t>
  </si>
  <si>
    <t>1569009;17962296;2430944</t>
  </si>
  <si>
    <t>17962296;2430944;2457578</t>
  </si>
  <si>
    <t>15252202;17962296</t>
  </si>
  <si>
    <t>16428414;8846791</t>
  </si>
  <si>
    <t>16428414;17962296;8846791</t>
  </si>
  <si>
    <t>11698370;17962296;8846791</t>
  </si>
  <si>
    <t>17962296;8846791</t>
  </si>
  <si>
    <t>10572140;17962296</t>
  </si>
  <si>
    <t>17962296;9723923</t>
  </si>
  <si>
    <t>10767540;17962296</t>
  </si>
  <si>
    <t>10423526;17962296</t>
  </si>
  <si>
    <t>17962296;8113162</t>
  </si>
  <si>
    <t>10468601;17962296</t>
  </si>
  <si>
    <t>12644503;17962296</t>
  </si>
  <si>
    <t>17962296;8702561</t>
  </si>
  <si>
    <t>AD</t>
  </si>
  <si>
    <t>10913069;17962296;9535080</t>
  </si>
  <si>
    <t>17962296;9139923</t>
  </si>
  <si>
    <t>11751842;17962296</t>
  </si>
  <si>
    <t>1400159;17962296</t>
  </si>
  <si>
    <t>10482513;17962296;7768864</t>
  </si>
  <si>
    <t>17962296;8990303</t>
  </si>
  <si>
    <t>10503549;17962296</t>
  </si>
  <si>
    <t>10503549;17962296;9555886</t>
  </si>
  <si>
    <t>12207695;12897008</t>
  </si>
  <si>
    <t>12207695;12897008;17962296</t>
  </si>
  <si>
    <t>17962296;9852001</t>
  </si>
  <si>
    <t>17962296;9987136</t>
  </si>
  <si>
    <t>17962296;9555917</t>
  </si>
  <si>
    <t>17962296;7559348</t>
  </si>
  <si>
    <t>17962296;9537385</t>
  </si>
  <si>
    <t>17962296;7883710</t>
  </si>
  <si>
    <t>17962296;8071225</t>
  </si>
  <si>
    <t>17962296;9226270</t>
  </si>
  <si>
    <t>17962296;9150201</t>
  </si>
  <si>
    <t>17962296;2419835</t>
  </si>
  <si>
    <t>17962296;8932314</t>
  </si>
  <si>
    <t>17921301;17962296</t>
  </si>
  <si>
    <t>17962296;9696785</t>
  </si>
  <si>
    <t>11466295;12950930</t>
  </si>
  <si>
    <t>17962296;7540694</t>
  </si>
  <si>
    <t>1708381;17962296</t>
  </si>
  <si>
    <t>17962296;2844262</t>
  </si>
  <si>
    <t>1487728;17962296</t>
  </si>
  <si>
    <t>Free energy [kcal/mol]</t>
  </si>
  <si>
    <t>Nicolas et al. downshift</t>
  </si>
  <si>
    <t>BsubCyc;DBTBS;Nicolas et al. downshift</t>
  </si>
  <si>
    <t>Nicolas et al 3' UTR end</t>
  </si>
  <si>
    <t>BsubCyc;DBTBS;Nicolas et al. downshift;Nicolas et al 3' UTR end</t>
  </si>
  <si>
    <t>BsubCyc;Nicolas et al. downshift</t>
  </si>
  <si>
    <t>Nicolas et al. downshift;Nicolas et al 3' UTR end</t>
  </si>
  <si>
    <t>BsubCyc;Nicolas et al. downshift;Nicolas et al 3' UTR end</t>
  </si>
  <si>
    <t>DBTBS;Nicolas et al. downshift</t>
  </si>
  <si>
    <t>DBTBS;Nicolas et al 3' UTR end</t>
  </si>
  <si>
    <t>Genes</t>
  </si>
  <si>
    <t>Operons</t>
  </si>
  <si>
    <t>Table of the coding/non-coding genes after the gene mergin procedure and indication from which resources the annotaiton originated.</t>
  </si>
  <si>
    <t>Table of the operons and their contained genes and the genome coordinates of the genes. The rows are colored alternatingly between operons.</t>
  </si>
  <si>
    <t>This file contains multiple worksheets with the annotations provided in the BSGatlas. 
All cooridnates are relative to the RefSeq reference assembly genome ASM904v1.
The contained columns provide the following information:
(Most of the BSGatlas identifiers are clickable hyperlinks directly to the BSGatlas webpage)</t>
  </si>
  <si>
    <t>Transcripts</t>
  </si>
  <si>
    <t>List of transcripts. The contained genes are indicated with the list of names separated by an underscore '_'. If available, the associated TSS and Terminator are shown. The length of the 5' and 3' UTR and the number internal UTRs are indicates, as well as which annotaiton resources provided evidence for co-transcription. The BSGatlas does not provide UTR lengths shorter than 15 bp, such short UTR lengths are generally stated with '&lt;15'.</t>
  </si>
  <si>
    <t>5'/3' UTRs</t>
  </si>
  <si>
    <t>Table of 5'/3' UTRs with the genome coordinates and the nearest up-/down-stream associated gene and TSS/Terminator.</t>
  </si>
  <si>
    <t>Internal UTRs</t>
  </si>
  <si>
    <t>Table of internal UTRs and list of which resources gave rise to the annotaiton by indiating co-transcriptional evidence for the neighboring genes.</t>
  </si>
  <si>
    <t>TSSs</t>
  </si>
  <si>
    <t>List of TSS positions with indication from which resource they originated. All TSSs have a resource dependent esolution limit. If available, the binding sigma factor and related PubMed Id citations are shown.</t>
  </si>
  <si>
    <t>Terminators</t>
  </si>
  <si>
    <t>Table of Terminator annotations which resource annotated them and what free binding energy the terminating RNA structure has.</t>
  </si>
  <si>
    <t>BSGatlas annotation Tables (version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</si>
</sst>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6"/>
      <color theme="1"/>
      <name val="Calibri"/>
      <family val="2"/>
      <scheme val="minor"/>
    </font>
    <font>
      <u/>
      <sz val="12"/>
      <color theme="10"/>
      <name val="Calibri"/>
      <family val="2"/>
      <scheme val="minor"/>
    </font>
    <font>
      <u/>
      <sz val="16"/>
      <color theme="10"/>
      <name val="Calibri"/>
      <family val="2"/>
      <scheme val="minor"/>
    </font>
    <font>
      <b/>
      <sz val="22"/>
      <color theme="3"/>
      <name val="Calibri"/>
      <family val="2"/>
      <scheme val="minor"/>
    </font>
    <font>
      <b/>
      <sz val="16"/>
      <color theme="3"/>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applyNumberFormat="0" applyFill="0" applyBorder="0" applyAlignment="0" applyProtection="0"/>
  </cellStyleXfs>
  <cellXfs count="15">
    <xf numFmtId="0" fontId="0" fillId="0" borderId="0" xfId="0"/>
    <xf numFmtId="0" fontId="18" fillId="0" borderId="0" xfId="0" applyFont="1"/>
    <xf numFmtId="0" fontId="20" fillId="0" borderId="0" xfId="42" applyFont="1"/>
    <xf numFmtId="3" fontId="18" fillId="0" borderId="0" xfId="0" applyNumberFormat="1" applyFont="1"/>
    <xf numFmtId="3" fontId="0" fillId="0" borderId="0" xfId="0" applyNumberFormat="1"/>
    <xf numFmtId="0" fontId="18" fillId="0" borderId="0" xfId="0" applyFont="1" applyBorder="1"/>
    <xf numFmtId="49" fontId="18" fillId="0" borderId="0" xfId="0" applyNumberFormat="1" applyFont="1"/>
    <xf numFmtId="49" fontId="0" fillId="0" borderId="0" xfId="0" applyNumberFormat="1"/>
    <xf numFmtId="49" fontId="18" fillId="0" borderId="0" xfId="0" applyNumberFormat="1" applyFont="1" applyAlignment="1">
      <alignment wrapText="1"/>
    </xf>
    <xf numFmtId="0" fontId="21" fillId="0" borderId="1" xfId="2" applyFont="1"/>
    <xf numFmtId="0" fontId="0" fillId="0" borderId="0" xfId="0" applyBorder="1"/>
    <xf numFmtId="0" fontId="20" fillId="0" borderId="0" xfId="42" applyFont="1" applyBorder="1"/>
    <xf numFmtId="0" fontId="22" fillId="0" borderId="3" xfId="4" applyFont="1" applyAlignment="1">
      <alignment vertical="top"/>
    </xf>
    <xf numFmtId="49" fontId="18" fillId="0" borderId="0" xfId="0" applyNumberFormat="1" applyFont="1" applyAlignment="1">
      <alignment wrapText="1"/>
    </xf>
    <xf numFmtId="0" fontId="0" fillId="0" borderId="0" xfId="0" applyAlignme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4">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numFmt numFmtId="3" formatCode="#,##0"/>
    </dxf>
    <dxf>
      <font>
        <b val="0"/>
        <i val="0"/>
        <strike val="0"/>
        <condense val="0"/>
        <extend val="0"/>
        <outline val="0"/>
        <shadow val="0"/>
        <u val="none"/>
        <vertAlign val="baseline"/>
        <sz val="16"/>
        <color theme="1"/>
        <name val="Calibri"/>
        <family val="2"/>
        <scheme val="minor"/>
      </font>
      <numFmt numFmtId="3" formatCode="#,##0"/>
    </dxf>
    <dxf>
      <font>
        <b val="0"/>
        <i val="0"/>
        <strike val="0"/>
        <condense val="0"/>
        <extend val="0"/>
        <outline val="0"/>
        <shadow val="0"/>
        <u/>
        <vertAlign val="baseline"/>
        <sz val="16"/>
        <color theme="10"/>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numFmt numFmtId="30" formatCode="@"/>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numFmt numFmtId="3" formatCode="#,##0"/>
    </dxf>
    <dxf>
      <font>
        <b val="0"/>
        <i val="0"/>
        <strike val="0"/>
        <condense val="0"/>
        <extend val="0"/>
        <outline val="0"/>
        <shadow val="0"/>
        <u/>
        <vertAlign val="baseline"/>
        <sz val="16"/>
        <color theme="10"/>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numFmt numFmtId="3" formatCode="#,##0"/>
    </dxf>
    <dxf>
      <font>
        <b val="0"/>
        <i val="0"/>
        <strike val="0"/>
        <condense val="0"/>
        <extend val="0"/>
        <outline val="0"/>
        <shadow val="0"/>
        <u val="none"/>
        <vertAlign val="baseline"/>
        <sz val="16"/>
        <color theme="1"/>
        <name val="Calibri"/>
        <family val="2"/>
        <scheme val="minor"/>
      </font>
      <numFmt numFmtId="3" formatCode="#,##0"/>
    </dxf>
    <dxf>
      <font>
        <b val="0"/>
        <i val="0"/>
        <strike val="0"/>
        <condense val="0"/>
        <extend val="0"/>
        <outline val="0"/>
        <shadow val="0"/>
        <u/>
        <vertAlign val="baseline"/>
        <sz val="16"/>
        <color theme="10"/>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numFmt numFmtId="3" formatCode="#,##0"/>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numFmt numFmtId="3" formatCode="#,##0"/>
    </dxf>
    <dxf>
      <font>
        <b val="0"/>
        <i val="0"/>
        <strike val="0"/>
        <condense val="0"/>
        <extend val="0"/>
        <outline val="0"/>
        <shadow val="0"/>
        <u val="none"/>
        <vertAlign val="baseline"/>
        <sz val="16"/>
        <color theme="1"/>
        <name val="Calibri"/>
        <family val="2"/>
        <scheme val="minor"/>
      </font>
      <numFmt numFmtId="3" formatCode="#,##0"/>
    </dxf>
    <dxf>
      <font>
        <b val="0"/>
        <i val="0"/>
        <strike val="0"/>
        <condense val="0"/>
        <extend val="0"/>
        <outline val="0"/>
        <shadow val="0"/>
        <u/>
        <vertAlign val="baseline"/>
        <sz val="16"/>
        <color theme="10"/>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numFmt numFmtId="3" formatCode="#,##0"/>
    </dxf>
    <dxf>
      <font>
        <b val="0"/>
        <i val="0"/>
        <strike val="0"/>
        <condense val="0"/>
        <extend val="0"/>
        <outline val="0"/>
        <shadow val="0"/>
        <u val="none"/>
        <vertAlign val="baseline"/>
        <sz val="16"/>
        <color theme="1"/>
        <name val="Calibri"/>
        <family val="2"/>
        <scheme val="minor"/>
      </font>
      <numFmt numFmtId="3" formatCode="#,##0"/>
    </dxf>
    <dxf>
      <font>
        <b val="0"/>
        <i val="0"/>
        <strike val="0"/>
        <condense val="0"/>
        <extend val="0"/>
        <outline val="0"/>
        <shadow val="0"/>
        <u/>
        <vertAlign val="baseline"/>
        <sz val="16"/>
        <color theme="10"/>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numFmt numFmtId="3" formatCode="#,##0"/>
    </dxf>
    <dxf>
      <font>
        <strike val="0"/>
        <outline val="0"/>
        <shadow val="0"/>
        <u val="none"/>
        <vertAlign val="baseline"/>
        <sz val="16"/>
        <name val="Calibri"/>
        <family val="2"/>
        <scheme val="minor"/>
      </font>
      <numFmt numFmtId="3" formatCode="#,##0"/>
    </dxf>
    <dxf>
      <font>
        <strike val="0"/>
        <outline val="0"/>
        <shadow val="0"/>
        <u val="none"/>
        <vertAlign val="baseline"/>
        <sz val="16"/>
        <name val="Calibri"/>
        <family val="2"/>
        <scheme val="minor"/>
      </font>
    </dxf>
    <dxf>
      <font>
        <strike val="0"/>
        <outline val="0"/>
        <shadow val="0"/>
        <u/>
        <vertAlign val="baseline"/>
        <sz val="16"/>
        <color theme="10"/>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color theme="1"/>
        <name val="Calibri"/>
        <family val="2"/>
        <scheme val="minor"/>
      </font>
      <numFmt numFmtId="0" formatCode="General"/>
    </dxf>
    <dxf>
      <font>
        <strike val="0"/>
        <outline val="0"/>
        <shadow val="0"/>
        <u val="none"/>
        <vertAlign val="baseline"/>
        <sz val="16"/>
        <color theme="1"/>
        <name val="Calibri"/>
        <family val="2"/>
        <scheme val="minor"/>
      </font>
    </dxf>
    <dxf>
      <font>
        <strike val="0"/>
        <outline val="0"/>
        <shadow val="0"/>
        <u val="none"/>
        <vertAlign val="baseline"/>
        <sz val="16"/>
        <color theme="1"/>
        <name val="Calibri"/>
        <family val="2"/>
        <scheme val="minor"/>
      </font>
      <numFmt numFmtId="3" formatCode="#,##0"/>
    </dxf>
    <dxf>
      <font>
        <strike val="0"/>
        <outline val="0"/>
        <shadow val="0"/>
        <u val="none"/>
        <vertAlign val="baseline"/>
        <sz val="16"/>
        <color theme="1"/>
        <name val="Calibri"/>
        <family val="2"/>
        <scheme val="minor"/>
      </font>
      <numFmt numFmtId="3" formatCode="#,##0"/>
    </dxf>
    <dxf>
      <font>
        <strike val="0"/>
        <outline val="0"/>
        <shadow val="0"/>
        <u val="none"/>
        <vertAlign val="baseline"/>
        <sz val="16"/>
        <color theme="1"/>
        <name val="Calibri"/>
        <family val="2"/>
        <scheme val="minor"/>
      </font>
    </dxf>
    <dxf>
      <font>
        <strike val="0"/>
        <outline val="0"/>
        <shadow val="0"/>
        <u val="none"/>
        <vertAlign val="baseline"/>
        <sz val="16"/>
        <color theme="1"/>
        <name val="Calibri"/>
        <family val="2"/>
        <scheme val="minor"/>
      </font>
    </dxf>
    <dxf>
      <font>
        <strike val="0"/>
        <outline val="0"/>
        <shadow val="0"/>
        <u/>
        <vertAlign val="baseline"/>
        <sz val="16"/>
        <color theme="10"/>
        <name val="Calibri"/>
        <family val="2"/>
        <scheme val="minor"/>
      </font>
    </dxf>
    <dxf>
      <font>
        <strike val="0"/>
        <outline val="0"/>
        <shadow val="0"/>
        <u/>
        <vertAlign val="baseline"/>
        <sz val="16"/>
        <color theme="10"/>
        <name val="Calibri"/>
        <family val="2"/>
        <scheme val="minor"/>
      </font>
    </dxf>
    <dxf>
      <font>
        <strike val="0"/>
        <outline val="0"/>
        <shadow val="0"/>
        <u val="none"/>
        <vertAlign val="baseline"/>
        <sz val="16"/>
        <color theme="1"/>
        <name val="Calibri"/>
        <family val="2"/>
        <scheme val="minor"/>
      </font>
    </dxf>
    <dxf>
      <font>
        <strike val="0"/>
        <outline val="0"/>
        <shadow val="0"/>
        <u val="none"/>
        <vertAlign val="baseline"/>
        <sz val="16"/>
        <color theme="1"/>
        <name val="Calibri"/>
        <family val="2"/>
        <scheme val="minor"/>
      </font>
    </dxf>
    <dxf>
      <font>
        <color auto="1"/>
      </font>
      <fill>
        <patternFill>
          <bgColor theme="4" tint="0.59996337778862885"/>
        </patternFill>
      </fill>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ertAlign val="baseline"/>
        <sz val="16"/>
        <color theme="10"/>
        <name val="Calibri"/>
        <family val="2"/>
        <scheme val="minor"/>
      </font>
    </dxf>
    <dxf>
      <font>
        <b val="0"/>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6"/>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5E4D3AA-985A-104A-8ACD-4E9A28DEA60E}" name="Table9" displayName="Table9" ref="A1:G4774" totalsRowShown="0" headerRowDxfId="73" dataDxfId="72">
  <autoFilter ref="A1:G4774" xr:uid="{66D53307-B071-1944-87F2-AF6E7F5533B6}"/>
  <tableColumns count="7">
    <tableColumn id="1" xr3:uid="{DDCB1ECD-BEA1-AF4B-B539-F64EF3D5281E}" name="gene" dataDxfId="71" dataCellStyle="Hyperlink"/>
    <tableColumn id="2" xr3:uid="{2789A332-7D99-4141-AD63-EC95BC97BBFA}" name="name" dataDxfId="70"/>
    <tableColumn id="3" xr3:uid="{33BFF346-B5A9-9C40-83EF-74139BA77AA9}" name="type" dataDxfId="69"/>
    <tableColumn id="4" xr3:uid="{41C75C3D-80C7-D846-ADD7-C6852869EEB7}" name="start" dataDxfId="68"/>
    <tableColumn id="5" xr3:uid="{0E0324E7-936D-394A-965B-349F26B17BB9}" name="end" dataDxfId="67"/>
    <tableColumn id="6" xr3:uid="{014DA77C-88AD-8549-83A3-6E43863CE425}" name="strand" dataDxfId="66"/>
    <tableColumn id="7" xr3:uid="{A55DD257-6AFE-D94A-B057-4A9247B73054}" name="annotation origin" dataDxfId="6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H4417" totalsRowShown="0" headerRowDxfId="63" dataDxfId="62">
  <autoFilter ref="A1:H4417" xr:uid="{00000000-0009-0000-0100-000001000000}"/>
  <tableColumns count="8">
    <tableColumn id="1" xr3:uid="{00000000-0010-0000-0000-000001000000}" name="operon" dataDxfId="61" dataCellStyle="Hyperlink"/>
    <tableColumn id="2" xr3:uid="{00000000-0010-0000-0000-000002000000}" name="gene" dataDxfId="60" dataCellStyle="Hyperlink"/>
    <tableColumn id="3" xr3:uid="{00000000-0010-0000-0000-000003000000}" name="name" dataDxfId="59"/>
    <tableColumn id="4" xr3:uid="{00000000-0010-0000-0000-000004000000}" name="type" dataDxfId="58"/>
    <tableColumn id="5" xr3:uid="{00000000-0010-0000-0000-000005000000}" name="start" dataDxfId="57"/>
    <tableColumn id="6" xr3:uid="{00000000-0010-0000-0000-000006000000}" name="end" dataDxfId="56"/>
    <tableColumn id="7" xr3:uid="{00000000-0010-0000-0000-000007000000}" name="strand" dataDxfId="55"/>
    <tableColumn id="8" xr3:uid="{00000000-0010-0000-0000-000008000000}" name="color_toggle" dataDxfId="54">
      <calculatedColumnFormula>_xlfn.XOR(A1&lt;&gt;A2,H1)</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237DDA7-9711-2749-84A3-81BBF69E5B76}" name="Table14" displayName="Table14" ref="A1:K4805" totalsRowShown="0" dataDxfId="53">
  <autoFilter ref="A1:K4805" xr:uid="{F1477EB5-6C4B-9140-9C61-7DB94EB98BBC}"/>
  <tableColumns count="11">
    <tableColumn id="1" xr3:uid="{8E7EEA9E-C48D-C143-9929-E86698596F03}" name="transcript" dataDxfId="52" dataCellStyle="Hyperlink"/>
    <tableColumn id="2" xr3:uid="{B955ADA0-4E02-6E48-BCCE-9AC705E9A8F3}" name="contained_genes" dataDxfId="51"/>
    <tableColumn id="3" xr3:uid="{703DEB69-12DA-5C44-A81F-4117E74841F6}" name="start" dataDxfId="50"/>
    <tableColumn id="4" xr3:uid="{E5756D3E-FA09-E04C-8C74-5FF30B15B451}" name="end" dataDxfId="49"/>
    <tableColumn id="5" xr3:uid="{D44C4711-44F2-2C47-8EC0-08FED6AB5D8B}" name="strand" dataDxfId="48"/>
    <tableColumn id="6" xr3:uid="{70C73467-5459-084C-9909-FBAFB52F2088}" name="nr. of internal UTRs" dataDxfId="47"/>
    <tableColumn id="7" xr3:uid="{65EAAE1C-12BA-584C-9A88-25FB4EEC2C5E}" name="5' UTR length" dataDxfId="46"/>
    <tableColumn id="8" xr3:uid="{0820EB9E-1AC7-C54A-B798-F0C9D70AB5E1}" name="3' UTR length" dataDxfId="45"/>
    <tableColumn id="9" xr3:uid="{61160392-EFEA-034C-9010-6F347A773BA6}" name="evidence of co-transcription" dataDxfId="44"/>
    <tableColumn id="10" xr3:uid="{90F01010-B16E-5345-94D1-138F4683BC5C}" name="TSS" dataDxfId="43"/>
    <tableColumn id="11" xr3:uid="{1A7654A1-AF2A-B246-B1BD-1505749C66DD}" name="Terminator" dataDxfId="4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EC98AD3-931E-454C-81D8-2B2285318B74}" name="Table8" displayName="Table8" ref="A1:G2826" totalsRowShown="0" headerRowDxfId="41" dataDxfId="40">
  <autoFilter ref="A1:G2826" xr:uid="{4C2CB3E2-1FF1-F648-B252-22AC3C61B390}"/>
  <tableColumns count="7">
    <tableColumn id="1" xr3:uid="{09EA0CEC-59AB-6D45-9A3E-2ACC309FBD6B}" name="id" dataDxfId="39" dataCellStyle="Hyperlink"/>
    <tableColumn id="2" xr3:uid="{B256BE32-3158-6D41-9236-4798802ED06B}" name="start" dataDxfId="38"/>
    <tableColumn id="3" xr3:uid="{0CF94ED4-F8F8-CC42-B07A-9C7E469C89F6}" name="end" dataDxfId="37"/>
    <tableColumn id="4" xr3:uid="{450F15DF-69BA-0E41-8F17-B781480FC0B7}" name="strand" dataDxfId="36"/>
    <tableColumn id="5" xr3:uid="{EAA2C019-6DA4-4E49-973C-A5A5937056F2}" name="length" dataDxfId="35"/>
    <tableColumn id="6" xr3:uid="{2C155EFC-3084-F549-8997-5811606B23B1}" name="associated gene" dataDxfId="34"/>
    <tableColumn id="7" xr3:uid="{2F9D0991-56EA-934E-A698-077630695173}" name="associated TSS" dataDxfId="3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9F0F23B-22BF-B040-888C-87737C810C18}" name="Table7" displayName="Table7" ref="A1:G1643" totalsRowShown="0" headerRowDxfId="32" dataDxfId="31">
  <autoFilter ref="A1:G1643" xr:uid="{6431E3E2-1155-4F4C-8C70-A66D9E0FC3AC}"/>
  <tableColumns count="7">
    <tableColumn id="1" xr3:uid="{F25AED06-D7BE-104E-BEBD-30347D70F769}" name="id" dataDxfId="30" dataCellStyle="Hyperlink"/>
    <tableColumn id="2" xr3:uid="{2B5794C2-DB65-2F48-9366-C423828969EB}" name="start" dataDxfId="29"/>
    <tableColumn id="3" xr3:uid="{DAFEEFE9-ECC9-C04B-A65D-D12CF2FA2D0F}" name="end" dataDxfId="28"/>
    <tableColumn id="4" xr3:uid="{A69FC11B-1594-A141-BC6E-CC51513F846F}" name="strand" dataDxfId="27"/>
    <tableColumn id="5" xr3:uid="{D71C3277-9DF5-C544-9336-1F511664ED9F}" name="length" dataDxfId="26"/>
    <tableColumn id="6" xr3:uid="{860988B7-A10B-224A-BA7C-2E572DC72A63}" name="associated gene" dataDxfId="25"/>
    <tableColumn id="7" xr3:uid="{3C40F889-79EF-E74F-9A54-EF4A2C0444DD}" name="associated Terminator" dataDxfId="2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BCC06FB-D2B9-9045-BAC6-21EAA569A581}" name="Table6" displayName="Table6" ref="A1:E1127" totalsRowShown="0" headerRowDxfId="23" dataDxfId="22">
  <autoFilter ref="A1:E1127" xr:uid="{33E268A1-BAB5-AF41-A607-0C3FA1BE8E7E}"/>
  <tableColumns count="5">
    <tableColumn id="1" xr3:uid="{D8D3A482-E926-B34F-BBDA-3FD5B7876035}" name="id" dataDxfId="21" dataCellStyle="Hyperlink"/>
    <tableColumn id="2" xr3:uid="{291E4BD1-49F4-B94B-A18D-101E6AD4D3E9}" name="start" dataDxfId="20"/>
    <tableColumn id="3" xr3:uid="{3D82CEB2-BEFD-1C44-A52B-FC77F55F1DBD}" name="end" dataDxfId="19"/>
    <tableColumn id="4" xr3:uid="{B9936771-73BE-AF46-BEEC-D71BBE3A2000}" name="strand" dataDxfId="18"/>
    <tableColumn id="5" xr3:uid="{3CA4291B-572E-9D4B-88CD-A860A4FEA559}" name="implied by co-transcription evidence from" dataDxfId="1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2BCD4DC-0D76-5E47-9B52-CAEED763E8D2}" name="Table5" displayName="Table5" ref="A1:G3398" totalsRowShown="0" headerRowDxfId="16" dataDxfId="15">
  <autoFilter ref="A1:G3398" xr:uid="{D2C99C60-C490-544D-A5E0-BF3458BAFF8D}"/>
  <tableColumns count="7">
    <tableColumn id="1" xr3:uid="{E6CD13C3-7093-4243-97E9-3C84B0BB99B8}" name="TSS" dataDxfId="14" dataCellStyle="Hyperlink"/>
    <tableColumn id="2" xr3:uid="{D226B902-C7BC-1340-8E64-48D2D9099850}" name="position" dataDxfId="13"/>
    <tableColumn id="3" xr3:uid="{95B87CEE-4E86-5F48-A410-E7FA39315CAF}" name="strand" dataDxfId="12"/>
    <tableColumn id="4" xr3:uid="{DDC04B24-7FE5-2246-A009-4D6B2657000A}" name="resolution limit" dataDxfId="11"/>
    <tableColumn id="5" xr3:uid="{ECC1C42A-8B2F-2548-BE89-E86DE9C3D9A3}" name="sigma" dataDxfId="10"/>
    <tableColumn id="6" xr3:uid="{1CBC13BF-1D30-EE43-B48D-44242D64EA44}" name="related PubMed entries" dataDxfId="9"/>
    <tableColumn id="7" xr3:uid="{5ABC274F-F527-0F48-AD73-0CABA9FEC1DB}" name="annotation origin" dataDxfId="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470F88B-701F-084A-83CC-B7C4384E819A}" name="Table4" displayName="Table4" ref="A1:F2667" totalsRowShown="0" headerRowDxfId="7" dataDxfId="6">
  <autoFilter ref="A1:F2667" xr:uid="{F16F7195-9ECC-5A46-ACE4-46B02DC36444}"/>
  <tableColumns count="6">
    <tableColumn id="1" xr3:uid="{832B1738-ED3D-9E4C-993B-1F4F8FBDB396}" name="Terminator" dataDxfId="5" dataCellStyle="Hyperlink"/>
    <tableColumn id="2" xr3:uid="{525EBA3D-19E9-9245-B143-009943A8B53B}" name="start" dataDxfId="4"/>
    <tableColumn id="3" xr3:uid="{CE8B4175-2CF1-BA40-92E3-1EFC1019BA51}" name="end" dataDxfId="3"/>
    <tableColumn id="4" xr3:uid="{D510B691-9B68-9246-B009-F96C737DFC55}" name="strand" dataDxfId="2"/>
    <tableColumn id="5" xr3:uid="{C4E6818F-04AE-7943-924A-CF1B45B4D2A8}" name="Free energy [kcal/mol]" dataDxfId="1"/>
    <tableColumn id="6" xr3:uid="{7C71911B-1D89-2342-B5C9-4592808A691F}" name="annotation origi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C4677-2290-F142-B1CB-4166E86D59ED}">
  <dimension ref="A2:J15"/>
  <sheetViews>
    <sheetView tabSelected="1" zoomScale="107" workbookViewId="0">
      <selection activeCell="A3" sqref="A3"/>
    </sheetView>
  </sheetViews>
  <sheetFormatPr baseColWidth="10" defaultRowHeight="16" x14ac:dyDescent="0.2"/>
  <cols>
    <col min="1" max="1" width="16.6640625" customWidth="1"/>
    <col min="2" max="2" width="83" customWidth="1"/>
  </cols>
  <sheetData>
    <row r="2" spans="1:10" ht="30" thickBot="1" x14ac:dyDescent="0.4">
      <c r="A2" s="9" t="s">
        <v>15181</v>
      </c>
    </row>
    <row r="3" spans="1:10" ht="17" thickTop="1" x14ac:dyDescent="0.2"/>
    <row r="5" spans="1:10" ht="98" customHeight="1" x14ac:dyDescent="0.25">
      <c r="A5" s="13" t="s">
        <v>15170</v>
      </c>
      <c r="B5" s="14"/>
      <c r="C5" s="14"/>
      <c r="D5" s="14"/>
      <c r="E5" s="14"/>
      <c r="F5" s="14"/>
      <c r="G5" s="14"/>
      <c r="H5" s="14"/>
      <c r="I5" s="14"/>
      <c r="J5" s="14"/>
    </row>
    <row r="9" spans="1:10" ht="45" thickBot="1" x14ac:dyDescent="0.3">
      <c r="A9" s="12" t="s">
        <v>15166</v>
      </c>
      <c r="B9" s="8" t="s">
        <v>15168</v>
      </c>
    </row>
    <row r="10" spans="1:10" ht="71" customHeight="1" thickBot="1" x14ac:dyDescent="0.3">
      <c r="A10" s="12" t="s">
        <v>15167</v>
      </c>
      <c r="B10" s="8" t="s">
        <v>15169</v>
      </c>
    </row>
    <row r="11" spans="1:10" ht="127" customHeight="1" thickBot="1" x14ac:dyDescent="0.3">
      <c r="A11" s="12" t="s">
        <v>15171</v>
      </c>
      <c r="B11" s="8" t="s">
        <v>15172</v>
      </c>
    </row>
    <row r="12" spans="1:10" ht="45" thickBot="1" x14ac:dyDescent="0.3">
      <c r="A12" s="12" t="s">
        <v>15173</v>
      </c>
      <c r="B12" s="8" t="s">
        <v>15174</v>
      </c>
    </row>
    <row r="13" spans="1:10" ht="67" thickBot="1" x14ac:dyDescent="0.3">
      <c r="A13" s="12" t="s">
        <v>15175</v>
      </c>
      <c r="B13" s="8" t="s">
        <v>15176</v>
      </c>
    </row>
    <row r="14" spans="1:10" ht="67" thickBot="1" x14ac:dyDescent="0.3">
      <c r="A14" s="12" t="s">
        <v>15177</v>
      </c>
      <c r="B14" s="8" t="s">
        <v>15178</v>
      </c>
    </row>
    <row r="15" spans="1:10" ht="45" thickBot="1" x14ac:dyDescent="0.3">
      <c r="A15" s="12" t="s">
        <v>15179</v>
      </c>
      <c r="B15" s="8" t="s">
        <v>15180</v>
      </c>
    </row>
  </sheetData>
  <mergeCells count="1">
    <mergeCell ref="A5:J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BB84C-F4DD-564C-96A7-4AA1D9A5174D}">
  <dimension ref="A1:G4774"/>
  <sheetViews>
    <sheetView workbookViewId="0">
      <selection activeCell="C11" sqref="C11"/>
    </sheetView>
  </sheetViews>
  <sheetFormatPr baseColWidth="10" defaultRowHeight="16" x14ac:dyDescent="0.2"/>
  <cols>
    <col min="1" max="1" width="23.33203125" bestFit="1" customWidth="1"/>
    <col min="2" max="2" width="33.83203125" bestFit="1" customWidth="1"/>
    <col min="3" max="3" width="23.1640625" bestFit="1" customWidth="1"/>
    <col min="4" max="5" width="10.5" bestFit="1" customWidth="1"/>
    <col min="6" max="6" width="11" bestFit="1" customWidth="1"/>
    <col min="7" max="7" width="162.83203125" bestFit="1" customWidth="1"/>
  </cols>
  <sheetData>
    <row r="1" spans="1:7" ht="21" x14ac:dyDescent="0.25">
      <c r="A1" s="1" t="s">
        <v>1</v>
      </c>
      <c r="B1" s="1" t="s">
        <v>2</v>
      </c>
      <c r="C1" s="1" t="s">
        <v>3</v>
      </c>
      <c r="D1" s="1" t="s">
        <v>4</v>
      </c>
      <c r="E1" s="1" t="s">
        <v>5</v>
      </c>
      <c r="F1" s="1" t="s">
        <v>6</v>
      </c>
      <c r="G1" s="1" t="s">
        <v>11405</v>
      </c>
    </row>
    <row r="2" spans="1:7" ht="21" x14ac:dyDescent="0.25">
      <c r="A2" s="2" t="str">
        <f>HYPERLINK("https://rth.dk/resources/bsgatlas/details.php?id=BSGatlas-gene-1","BSGatlas-gene-1")</f>
        <v>BSGatlas-gene-1</v>
      </c>
      <c r="B2" s="1" t="s">
        <v>11</v>
      </c>
      <c r="C2" s="1" t="s">
        <v>12</v>
      </c>
      <c r="D2" s="1">
        <v>24</v>
      </c>
      <c r="E2" s="1">
        <v>297</v>
      </c>
      <c r="F2" s="1" t="s">
        <v>13</v>
      </c>
      <c r="G2" s="1" t="s">
        <v>11406</v>
      </c>
    </row>
    <row r="3" spans="1:7" ht="21" x14ac:dyDescent="0.25">
      <c r="A3" s="2" t="str">
        <f>HYPERLINK("https://rth.dk/resources/bsgatlas/details.php?id=BSGatlas-gene-2","BSGatlas-gene-2")</f>
        <v>BSGatlas-gene-2</v>
      </c>
      <c r="B3" s="1" t="s">
        <v>11407</v>
      </c>
      <c r="C3" s="1" t="s">
        <v>34</v>
      </c>
      <c r="D3" s="1">
        <v>157</v>
      </c>
      <c r="E3" s="1">
        <v>274</v>
      </c>
      <c r="F3" s="1" t="s">
        <v>9</v>
      </c>
      <c r="G3" s="1" t="s">
        <v>11408</v>
      </c>
    </row>
    <row r="4" spans="1:7" ht="21" x14ac:dyDescent="0.25">
      <c r="A4" s="2" t="str">
        <f>HYPERLINK("https://rth.dk/resources/bsgatlas/details.php?id=BSGatlas-gene-3","BSGatlas-gene-3")</f>
        <v>BSGatlas-gene-3</v>
      </c>
      <c r="B4" s="1" t="s">
        <v>14</v>
      </c>
      <c r="C4" s="1" t="s">
        <v>12</v>
      </c>
      <c r="D4" s="1">
        <v>299</v>
      </c>
      <c r="E4" s="1">
        <v>1067</v>
      </c>
      <c r="F4" s="1" t="s">
        <v>13</v>
      </c>
      <c r="G4" s="1" t="s">
        <v>11406</v>
      </c>
    </row>
    <row r="5" spans="1:7" ht="21" x14ac:dyDescent="0.25">
      <c r="A5" s="2" t="str">
        <f>HYPERLINK("https://rth.dk/resources/bsgatlas/details.php?id=BSGatlas-gene-4","BSGatlas-gene-4")</f>
        <v>BSGatlas-gene-4</v>
      </c>
      <c r="B5" s="1" t="s">
        <v>7</v>
      </c>
      <c r="C5" s="1" t="s">
        <v>8</v>
      </c>
      <c r="D5" s="1">
        <v>410</v>
      </c>
      <c r="E5" s="1">
        <v>1750</v>
      </c>
      <c r="F5" s="1" t="s">
        <v>9</v>
      </c>
      <c r="G5" s="1" t="s">
        <v>11409</v>
      </c>
    </row>
    <row r="6" spans="1:7" ht="21" x14ac:dyDescent="0.25">
      <c r="A6" s="2" t="str">
        <f>HYPERLINK("https://rth.dk/resources/bsgatlas/details.php?id=BSGatlas-gene-5","BSGatlas-gene-5")</f>
        <v>BSGatlas-gene-5</v>
      </c>
      <c r="B6" s="1" t="s">
        <v>10</v>
      </c>
      <c r="C6" s="1" t="s">
        <v>8</v>
      </c>
      <c r="D6" s="1">
        <v>1939</v>
      </c>
      <c r="E6" s="1">
        <v>3075</v>
      </c>
      <c r="F6" s="1" t="s">
        <v>9</v>
      </c>
      <c r="G6" s="1" t="s">
        <v>11409</v>
      </c>
    </row>
    <row r="7" spans="1:7" ht="21" x14ac:dyDescent="0.25">
      <c r="A7" s="2" t="str">
        <f>HYPERLINK("https://rth.dk/resources/bsgatlas/details.php?id=BSGatlas-gene-6","BSGatlas-gene-6")</f>
        <v>BSGatlas-gene-6</v>
      </c>
      <c r="B7" s="1" t="s">
        <v>15</v>
      </c>
      <c r="C7" s="1" t="s">
        <v>8</v>
      </c>
      <c r="D7" s="1">
        <v>3206</v>
      </c>
      <c r="E7" s="1">
        <v>3421</v>
      </c>
      <c r="F7" s="1" t="s">
        <v>9</v>
      </c>
      <c r="G7" s="1" t="s">
        <v>11409</v>
      </c>
    </row>
    <row r="8" spans="1:7" ht="21" x14ac:dyDescent="0.25">
      <c r="A8" s="2" t="str">
        <f>HYPERLINK("https://rth.dk/resources/bsgatlas/details.php?id=BSGatlas-gene-7","BSGatlas-gene-7")</f>
        <v>BSGatlas-gene-7</v>
      </c>
      <c r="B8" s="1" t="s">
        <v>16</v>
      </c>
      <c r="C8" s="1" t="s">
        <v>8</v>
      </c>
      <c r="D8" s="1">
        <v>3437</v>
      </c>
      <c r="E8" s="1">
        <v>4549</v>
      </c>
      <c r="F8" s="1" t="s">
        <v>9</v>
      </c>
      <c r="G8" s="1" t="s">
        <v>11409</v>
      </c>
    </row>
    <row r="9" spans="1:7" ht="21" x14ac:dyDescent="0.25">
      <c r="A9" s="2" t="str">
        <f>HYPERLINK("https://rth.dk/resources/bsgatlas/details.php?id=BSGatlas-gene-8","BSGatlas-gene-8")</f>
        <v>BSGatlas-gene-8</v>
      </c>
      <c r="B9" s="1" t="s">
        <v>17</v>
      </c>
      <c r="C9" s="1" t="s">
        <v>8</v>
      </c>
      <c r="D9" s="1">
        <v>4567</v>
      </c>
      <c r="E9" s="1">
        <v>4812</v>
      </c>
      <c r="F9" s="1" t="s">
        <v>9</v>
      </c>
      <c r="G9" s="1" t="s">
        <v>11409</v>
      </c>
    </row>
    <row r="10" spans="1:7" ht="21" x14ac:dyDescent="0.25">
      <c r="A10" s="2" t="str">
        <f>HYPERLINK("https://rth.dk/resources/bsgatlas/details.php?id=BSGatlas-gene-9","BSGatlas-gene-9")</f>
        <v>BSGatlas-gene-9</v>
      </c>
      <c r="B10" s="1" t="s">
        <v>18</v>
      </c>
      <c r="C10" s="1" t="s">
        <v>8</v>
      </c>
      <c r="D10" s="1">
        <v>4867</v>
      </c>
      <c r="E10" s="1">
        <v>6783</v>
      </c>
      <c r="F10" s="1" t="s">
        <v>9</v>
      </c>
      <c r="G10" s="1" t="s">
        <v>11409</v>
      </c>
    </row>
    <row r="11" spans="1:7" ht="21" x14ac:dyDescent="0.25">
      <c r="A11" s="2" t="str">
        <f>HYPERLINK("https://rth.dk/resources/bsgatlas/details.php?id=BSGatlas-gene-10","BSGatlas-gene-10")</f>
        <v>BSGatlas-gene-10</v>
      </c>
      <c r="B11" s="1" t="s">
        <v>19</v>
      </c>
      <c r="C11" s="1" t="s">
        <v>8</v>
      </c>
      <c r="D11" s="1">
        <v>6994</v>
      </c>
      <c r="E11" s="1">
        <v>9459</v>
      </c>
      <c r="F11" s="1" t="s">
        <v>9</v>
      </c>
      <c r="G11" s="1" t="s">
        <v>11409</v>
      </c>
    </row>
    <row r="12" spans="1:7" ht="21" x14ac:dyDescent="0.25">
      <c r="A12" s="2" t="str">
        <f>HYPERLINK("https://rth.dk/resources/bsgatlas/details.php?id=BSGatlas-gene-11","BSGatlas-gene-11")</f>
        <v>BSGatlas-gene-11</v>
      </c>
      <c r="B12" s="1" t="s">
        <v>54</v>
      </c>
      <c r="C12" s="1" t="s">
        <v>55</v>
      </c>
      <c r="D12" s="1">
        <v>9748</v>
      </c>
      <c r="E12" s="1">
        <v>9815</v>
      </c>
      <c r="F12" s="1" t="s">
        <v>13</v>
      </c>
      <c r="G12" s="1" t="s">
        <v>11410</v>
      </c>
    </row>
    <row r="13" spans="1:7" ht="21" x14ac:dyDescent="0.25">
      <c r="A13" s="2" t="str">
        <f>HYPERLINK("https://rth.dk/resources/bsgatlas/details.php?id=BSGatlas-gene-12","BSGatlas-gene-12")</f>
        <v>BSGatlas-gene-12</v>
      </c>
      <c r="B13" s="1" t="s">
        <v>20</v>
      </c>
      <c r="C13" s="1" t="s">
        <v>21</v>
      </c>
      <c r="D13" s="1">
        <v>9810</v>
      </c>
      <c r="E13" s="1">
        <v>11364</v>
      </c>
      <c r="F13" s="1" t="s">
        <v>9</v>
      </c>
      <c r="G13" s="1" t="s">
        <v>11411</v>
      </c>
    </row>
    <row r="14" spans="1:7" ht="21" x14ac:dyDescent="0.25">
      <c r="A14" s="2" t="str">
        <f>HYPERLINK("https://rth.dk/resources/bsgatlas/details.php?id=BSGatlas-gene-13","BSGatlas-gene-13")</f>
        <v>BSGatlas-gene-13</v>
      </c>
      <c r="B14" s="1" t="s">
        <v>22</v>
      </c>
      <c r="C14" s="1" t="s">
        <v>23</v>
      </c>
      <c r="D14" s="1">
        <v>11463</v>
      </c>
      <c r="E14" s="1">
        <v>11540</v>
      </c>
      <c r="F14" s="1" t="s">
        <v>9</v>
      </c>
      <c r="G14" s="1" t="s">
        <v>11411</v>
      </c>
    </row>
    <row r="15" spans="1:7" ht="21" x14ac:dyDescent="0.25">
      <c r="A15" s="2" t="str">
        <f>HYPERLINK("https://rth.dk/resources/bsgatlas/details.php?id=BSGatlas-gene-14","BSGatlas-gene-14")</f>
        <v>BSGatlas-gene-14</v>
      </c>
      <c r="B15" s="1" t="s">
        <v>24</v>
      </c>
      <c r="C15" s="1" t="s">
        <v>23</v>
      </c>
      <c r="D15" s="1">
        <v>11551</v>
      </c>
      <c r="E15" s="1">
        <v>11627</v>
      </c>
      <c r="F15" s="1" t="s">
        <v>9</v>
      </c>
      <c r="G15" s="1" t="s">
        <v>11411</v>
      </c>
    </row>
    <row r="16" spans="1:7" ht="21" x14ac:dyDescent="0.25">
      <c r="A16" s="2" t="str">
        <f>HYPERLINK("https://rth.dk/resources/bsgatlas/details.php?id=BSGatlas-gene-15","BSGatlas-gene-15")</f>
        <v>BSGatlas-gene-15</v>
      </c>
      <c r="B16" s="1" t="s">
        <v>25</v>
      </c>
      <c r="C16" s="1" t="s">
        <v>21</v>
      </c>
      <c r="D16" s="1">
        <v>11706</v>
      </c>
      <c r="E16" s="1">
        <v>14636</v>
      </c>
      <c r="F16" s="1" t="s">
        <v>9</v>
      </c>
      <c r="G16" s="1" t="s">
        <v>11411</v>
      </c>
    </row>
    <row r="17" spans="1:7" ht="21" x14ac:dyDescent="0.25">
      <c r="A17" s="2" t="str">
        <f>HYPERLINK("https://rth.dk/resources/bsgatlas/details.php?id=BSGatlas-gene-16","BSGatlas-gene-16")</f>
        <v>BSGatlas-gene-16</v>
      </c>
      <c r="B17" s="1" t="s">
        <v>26</v>
      </c>
      <c r="C17" s="1" t="s">
        <v>21</v>
      </c>
      <c r="D17" s="1">
        <v>14691</v>
      </c>
      <c r="E17" s="1">
        <v>14810</v>
      </c>
      <c r="F17" s="1" t="s">
        <v>9</v>
      </c>
      <c r="G17" s="1" t="s">
        <v>11411</v>
      </c>
    </row>
    <row r="18" spans="1:7" ht="21" x14ac:dyDescent="0.25">
      <c r="A18" s="2" t="str">
        <f>HYPERLINK("https://rth.dk/resources/bsgatlas/details.php?id=BSGatlas-gene-17","BSGatlas-gene-17")</f>
        <v>BSGatlas-gene-17</v>
      </c>
      <c r="B18" s="1" t="s">
        <v>27</v>
      </c>
      <c r="C18" s="1" t="s">
        <v>8</v>
      </c>
      <c r="D18" s="1">
        <v>14847</v>
      </c>
      <c r="E18" s="1">
        <v>15794</v>
      </c>
      <c r="F18" s="1" t="s">
        <v>13</v>
      </c>
      <c r="G18" s="1" t="s">
        <v>11409</v>
      </c>
    </row>
    <row r="19" spans="1:7" ht="21" x14ac:dyDescent="0.25">
      <c r="A19" s="2" t="str">
        <f>HYPERLINK("https://rth.dk/resources/bsgatlas/details.php?id=BSGatlas-gene-18","BSGatlas-gene-18")</f>
        <v>BSGatlas-gene-18</v>
      </c>
      <c r="B19" s="1" t="s">
        <v>28</v>
      </c>
      <c r="C19" s="1" t="s">
        <v>8</v>
      </c>
      <c r="D19" s="1">
        <v>15915</v>
      </c>
      <c r="E19" s="1">
        <v>17381</v>
      </c>
      <c r="F19" s="1" t="s">
        <v>9</v>
      </c>
      <c r="G19" s="1" t="s">
        <v>11409</v>
      </c>
    </row>
    <row r="20" spans="1:7" ht="21" x14ac:dyDescent="0.25">
      <c r="A20" s="2" t="str">
        <f>HYPERLINK("https://rth.dk/resources/bsgatlas/details.php?id=BSGatlas-gene-19","BSGatlas-gene-19")</f>
        <v>BSGatlas-gene-19</v>
      </c>
      <c r="B20" s="1" t="s">
        <v>29</v>
      </c>
      <c r="C20" s="1" t="s">
        <v>12</v>
      </c>
      <c r="D20" s="1">
        <v>17238</v>
      </c>
      <c r="E20" s="1">
        <v>17833</v>
      </c>
      <c r="F20" s="1" t="s">
        <v>13</v>
      </c>
      <c r="G20" s="1" t="s">
        <v>11406</v>
      </c>
    </row>
    <row r="21" spans="1:7" ht="21" x14ac:dyDescent="0.25">
      <c r="A21" s="2" t="str">
        <f>HYPERLINK("https://rth.dk/resources/bsgatlas/details.php?id=BSGatlas-gene-20","BSGatlas-gene-20")</f>
        <v>BSGatlas-gene-20</v>
      </c>
      <c r="B21" s="1" t="s">
        <v>30</v>
      </c>
      <c r="C21" s="1" t="s">
        <v>8</v>
      </c>
      <c r="D21" s="1">
        <v>17534</v>
      </c>
      <c r="E21" s="1">
        <v>18865</v>
      </c>
      <c r="F21" s="1" t="s">
        <v>9</v>
      </c>
      <c r="G21" s="1" t="s">
        <v>11409</v>
      </c>
    </row>
    <row r="22" spans="1:7" ht="21" x14ac:dyDescent="0.25">
      <c r="A22" s="2" t="str">
        <f>HYPERLINK("https://rth.dk/resources/bsgatlas/details.php?id=BSGatlas-gene-21","BSGatlas-gene-21")</f>
        <v>BSGatlas-gene-21</v>
      </c>
      <c r="B22" s="1" t="s">
        <v>31</v>
      </c>
      <c r="C22" s="1" t="s">
        <v>8</v>
      </c>
      <c r="D22" s="1">
        <v>19062</v>
      </c>
      <c r="E22" s="1">
        <v>19946</v>
      </c>
      <c r="F22" s="1" t="s">
        <v>9</v>
      </c>
      <c r="G22" s="1" t="s">
        <v>11409</v>
      </c>
    </row>
    <row r="23" spans="1:7" ht="21" x14ac:dyDescent="0.25">
      <c r="A23" s="2" t="str">
        <f>HYPERLINK("https://rth.dk/resources/bsgatlas/details.php?id=BSGatlas-gene-22","BSGatlas-gene-22")</f>
        <v>BSGatlas-gene-22</v>
      </c>
      <c r="B23" s="1" t="s">
        <v>36</v>
      </c>
      <c r="C23" s="1" t="s">
        <v>12</v>
      </c>
      <c r="D23" s="1">
        <v>19194</v>
      </c>
      <c r="E23" s="1">
        <v>19923</v>
      </c>
      <c r="F23" s="1" t="s">
        <v>13</v>
      </c>
      <c r="G23" s="1" t="s">
        <v>11406</v>
      </c>
    </row>
    <row r="24" spans="1:7" ht="21" x14ac:dyDescent="0.25">
      <c r="A24" s="2" t="str">
        <f>HYPERLINK("https://rth.dk/resources/bsgatlas/details.php?id=BSGatlas-gene-23","BSGatlas-gene-23")</f>
        <v>BSGatlas-gene-23</v>
      </c>
      <c r="B24" s="1" t="s">
        <v>32</v>
      </c>
      <c r="C24" s="1" t="s">
        <v>8</v>
      </c>
      <c r="D24" s="1">
        <v>19968</v>
      </c>
      <c r="E24" s="1">
        <v>20558</v>
      </c>
      <c r="F24" s="1" t="s">
        <v>9</v>
      </c>
      <c r="G24" s="1" t="s">
        <v>11409</v>
      </c>
    </row>
    <row r="25" spans="1:7" ht="21" x14ac:dyDescent="0.25">
      <c r="A25" s="2" t="str">
        <f>HYPERLINK("https://rth.dk/resources/bsgatlas/details.php?id=BSGatlas-gene-24","BSGatlas-gene-24")</f>
        <v>BSGatlas-gene-24</v>
      </c>
      <c r="B25" s="1" t="s">
        <v>33</v>
      </c>
      <c r="C25" s="1" t="s">
        <v>34</v>
      </c>
      <c r="D25" s="1">
        <v>20610</v>
      </c>
      <c r="E25" s="1">
        <v>20823</v>
      </c>
      <c r="F25" s="1" t="s">
        <v>9</v>
      </c>
      <c r="G25" s="1" t="s">
        <v>11412</v>
      </c>
    </row>
    <row r="26" spans="1:7" ht="21" x14ac:dyDescent="0.25">
      <c r="A26" s="2" t="str">
        <f>HYPERLINK("https://rth.dk/resources/bsgatlas/details.php?id=BSGatlas-gene-25","BSGatlas-gene-25")</f>
        <v>BSGatlas-gene-25</v>
      </c>
      <c r="B26" s="1" t="s">
        <v>35</v>
      </c>
      <c r="C26" s="1" t="s">
        <v>8</v>
      </c>
      <c r="D26" s="1">
        <v>20880</v>
      </c>
      <c r="E26" s="1">
        <v>22157</v>
      </c>
      <c r="F26" s="1" t="s">
        <v>9</v>
      </c>
      <c r="G26" s="1" t="s">
        <v>11409</v>
      </c>
    </row>
    <row r="27" spans="1:7" ht="21" x14ac:dyDescent="0.25">
      <c r="A27" s="2" t="str">
        <f>HYPERLINK("https://rth.dk/resources/bsgatlas/details.php?id=BSGatlas-gene-26","BSGatlas-gene-26")</f>
        <v>BSGatlas-gene-26</v>
      </c>
      <c r="B27" s="1" t="s">
        <v>37</v>
      </c>
      <c r="C27" s="1" t="s">
        <v>23</v>
      </c>
      <c r="D27" s="1">
        <v>22291</v>
      </c>
      <c r="E27" s="1">
        <v>22384</v>
      </c>
      <c r="F27" s="1" t="s">
        <v>9</v>
      </c>
      <c r="G27" s="1" t="s">
        <v>11411</v>
      </c>
    </row>
    <row r="28" spans="1:7" ht="21" x14ac:dyDescent="0.25">
      <c r="A28" s="2" t="str">
        <f>HYPERLINK("https://rth.dk/resources/bsgatlas/details.php?id=BSGatlas-gene-27","BSGatlas-gene-27")</f>
        <v>BSGatlas-gene-27</v>
      </c>
      <c r="B28" s="1" t="s">
        <v>38</v>
      </c>
      <c r="C28" s="1" t="s">
        <v>8</v>
      </c>
      <c r="D28" s="1">
        <v>22496</v>
      </c>
      <c r="E28" s="1">
        <v>23149</v>
      </c>
      <c r="F28" s="1" t="s">
        <v>13</v>
      </c>
      <c r="G28" s="1" t="s">
        <v>11409</v>
      </c>
    </row>
    <row r="29" spans="1:7" ht="21" x14ac:dyDescent="0.25">
      <c r="A29" s="2" t="str">
        <f>HYPERLINK("https://rth.dk/resources/bsgatlas/details.php?id=BSGatlas-gene-28","BSGatlas-gene-28")</f>
        <v>BSGatlas-gene-28</v>
      </c>
      <c r="B29" s="1" t="s">
        <v>39</v>
      </c>
      <c r="C29" s="1" t="s">
        <v>8</v>
      </c>
      <c r="D29" s="1">
        <v>23146</v>
      </c>
      <c r="E29" s="1">
        <v>23769</v>
      </c>
      <c r="F29" s="1" t="s">
        <v>13</v>
      </c>
      <c r="G29" s="1" t="s">
        <v>11409</v>
      </c>
    </row>
    <row r="30" spans="1:7" ht="21" x14ac:dyDescent="0.25">
      <c r="A30" s="2" t="str">
        <f>HYPERLINK("https://rth.dk/resources/bsgatlas/details.php?id=BSGatlas-gene-29","BSGatlas-gene-29")</f>
        <v>BSGatlas-gene-29</v>
      </c>
      <c r="B30" s="1" t="s">
        <v>40</v>
      </c>
      <c r="C30" s="1" t="s">
        <v>8</v>
      </c>
      <c r="D30" s="1">
        <v>23868</v>
      </c>
      <c r="E30" s="1">
        <v>25151</v>
      </c>
      <c r="F30" s="1" t="s">
        <v>13</v>
      </c>
      <c r="G30" s="1" t="s">
        <v>11409</v>
      </c>
    </row>
    <row r="31" spans="1:7" ht="21" x14ac:dyDescent="0.25">
      <c r="A31" s="2" t="str">
        <f>HYPERLINK("https://rth.dk/resources/bsgatlas/details.php?id=BSGatlas-gene-30","BSGatlas-gene-30")</f>
        <v>BSGatlas-gene-30</v>
      </c>
      <c r="B31" s="1" t="s">
        <v>41</v>
      </c>
      <c r="C31" s="1" t="s">
        <v>8</v>
      </c>
      <c r="D31" s="1">
        <v>25221</v>
      </c>
      <c r="E31" s="1">
        <v>25766</v>
      </c>
      <c r="F31" s="1" t="s">
        <v>13</v>
      </c>
      <c r="G31" s="1" t="s">
        <v>11409</v>
      </c>
    </row>
    <row r="32" spans="1:7" ht="21" x14ac:dyDescent="0.25">
      <c r="A32" s="2" t="str">
        <f>HYPERLINK("https://rth.dk/resources/bsgatlas/details.php?id=BSGatlas-gene-31","BSGatlas-gene-31")</f>
        <v>BSGatlas-gene-31</v>
      </c>
      <c r="B32" s="1" t="s">
        <v>42</v>
      </c>
      <c r="C32" s="1" t="s">
        <v>8</v>
      </c>
      <c r="D32" s="1">
        <v>25852</v>
      </c>
      <c r="E32" s="1">
        <v>26337</v>
      </c>
      <c r="F32" s="1" t="s">
        <v>9</v>
      </c>
      <c r="G32" s="1" t="s">
        <v>11409</v>
      </c>
    </row>
    <row r="33" spans="1:7" ht="21" x14ac:dyDescent="0.25">
      <c r="A33" s="2" t="str">
        <f>HYPERLINK("https://rth.dk/resources/bsgatlas/details.php?id=BSGatlas-gene-32","BSGatlas-gene-32")</f>
        <v>BSGatlas-gene-32</v>
      </c>
      <c r="B33" s="1" t="s">
        <v>43</v>
      </c>
      <c r="C33" s="1" t="s">
        <v>44</v>
      </c>
      <c r="D33" s="1">
        <v>26379</v>
      </c>
      <c r="E33" s="1">
        <v>26732</v>
      </c>
      <c r="F33" s="1" t="s">
        <v>9</v>
      </c>
      <c r="G33" s="1" t="s">
        <v>11413</v>
      </c>
    </row>
    <row r="34" spans="1:7" ht="21" x14ac:dyDescent="0.25">
      <c r="A34" s="2" t="str">
        <f>HYPERLINK("https://rth.dk/resources/bsgatlas/details.php?id=BSGatlas-gene-33","BSGatlas-gene-33")</f>
        <v>BSGatlas-gene-33</v>
      </c>
      <c r="B34" s="1" t="s">
        <v>45</v>
      </c>
      <c r="C34" s="1" t="s">
        <v>8</v>
      </c>
      <c r="D34" s="1">
        <v>26814</v>
      </c>
      <c r="E34" s="1">
        <v>28505</v>
      </c>
      <c r="F34" s="1" t="s">
        <v>9</v>
      </c>
      <c r="G34" s="1" t="s">
        <v>11409</v>
      </c>
    </row>
    <row r="35" spans="1:7" ht="21" x14ac:dyDescent="0.25">
      <c r="A35" s="2" t="str">
        <f>HYPERLINK("https://rth.dk/resources/bsgatlas/details.php?id=BSGatlas-gene-34","BSGatlas-gene-34")</f>
        <v>BSGatlas-gene-34</v>
      </c>
      <c r="B35" s="1" t="s">
        <v>46</v>
      </c>
      <c r="C35" s="1" t="s">
        <v>8</v>
      </c>
      <c r="D35" s="1">
        <v>28529</v>
      </c>
      <c r="E35" s="1">
        <v>28852</v>
      </c>
      <c r="F35" s="1" t="s">
        <v>9</v>
      </c>
      <c r="G35" s="1" t="s">
        <v>11409</v>
      </c>
    </row>
    <row r="36" spans="1:7" ht="21" x14ac:dyDescent="0.25">
      <c r="A36" s="2" t="str">
        <f>HYPERLINK("https://rth.dk/resources/bsgatlas/details.php?id=BSGatlas-gene-35","BSGatlas-gene-35")</f>
        <v>BSGatlas-gene-35</v>
      </c>
      <c r="B36" s="1" t="s">
        <v>47</v>
      </c>
      <c r="C36" s="1" t="s">
        <v>8</v>
      </c>
      <c r="D36" s="1">
        <v>28867</v>
      </c>
      <c r="E36" s="1">
        <v>29463</v>
      </c>
      <c r="F36" s="1" t="s">
        <v>9</v>
      </c>
      <c r="G36" s="1" t="s">
        <v>11409</v>
      </c>
    </row>
    <row r="37" spans="1:7" ht="21" x14ac:dyDescent="0.25">
      <c r="A37" s="2" t="str">
        <f>HYPERLINK("https://rth.dk/resources/bsgatlas/details.php?id=BSGatlas-gene-36","BSGatlas-gene-36")</f>
        <v>BSGatlas-gene-36</v>
      </c>
      <c r="B37" s="1" t="s">
        <v>48</v>
      </c>
      <c r="C37" s="1" t="s">
        <v>8</v>
      </c>
      <c r="D37" s="1">
        <v>29481</v>
      </c>
      <c r="E37" s="1">
        <v>29705</v>
      </c>
      <c r="F37" s="1" t="s">
        <v>9</v>
      </c>
      <c r="G37" s="1" t="s">
        <v>11409</v>
      </c>
    </row>
    <row r="38" spans="1:7" ht="21" x14ac:dyDescent="0.25">
      <c r="A38" s="2" t="str">
        <f>HYPERLINK("https://rth.dk/resources/bsgatlas/details.php?id=BSGatlas-gene-37","BSGatlas-gene-37")</f>
        <v>BSGatlas-gene-37</v>
      </c>
      <c r="B38" s="1" t="s">
        <v>49</v>
      </c>
      <c r="C38" s="1" t="s">
        <v>8</v>
      </c>
      <c r="D38" s="1">
        <v>29772</v>
      </c>
      <c r="E38" s="1">
        <v>30035</v>
      </c>
      <c r="F38" s="1" t="s">
        <v>9</v>
      </c>
      <c r="G38" s="1" t="s">
        <v>11409</v>
      </c>
    </row>
    <row r="39" spans="1:7" ht="21" x14ac:dyDescent="0.25">
      <c r="A39" s="2" t="str">
        <f>HYPERLINK("https://rth.dk/resources/bsgatlas/details.php?id=BSGatlas-gene-38","BSGatlas-gene-38")</f>
        <v>BSGatlas-gene-38</v>
      </c>
      <c r="B39" s="1" t="s">
        <v>50</v>
      </c>
      <c r="C39" s="1" t="s">
        <v>21</v>
      </c>
      <c r="D39" s="1">
        <v>30279</v>
      </c>
      <c r="E39" s="1">
        <v>31832</v>
      </c>
      <c r="F39" s="1" t="s">
        <v>9</v>
      </c>
      <c r="G39" s="1" t="s">
        <v>11411</v>
      </c>
    </row>
    <row r="40" spans="1:7" ht="21" x14ac:dyDescent="0.25">
      <c r="A40" s="2" t="str">
        <f>HYPERLINK("https://rth.dk/resources/bsgatlas/details.php?id=BSGatlas-gene-39","BSGatlas-gene-39")</f>
        <v>BSGatlas-gene-39</v>
      </c>
      <c r="B40" s="1" t="s">
        <v>51</v>
      </c>
      <c r="C40" s="1" t="s">
        <v>23</v>
      </c>
      <c r="D40" s="1">
        <v>31931</v>
      </c>
      <c r="E40" s="1">
        <v>32008</v>
      </c>
      <c r="F40" s="1" t="s">
        <v>9</v>
      </c>
      <c r="G40" s="1" t="s">
        <v>11411</v>
      </c>
    </row>
    <row r="41" spans="1:7" ht="21" x14ac:dyDescent="0.25">
      <c r="A41" s="2" t="str">
        <f>HYPERLINK("https://rth.dk/resources/bsgatlas/details.php?id=BSGatlas-gene-40","BSGatlas-gene-40")</f>
        <v>BSGatlas-gene-40</v>
      </c>
      <c r="B41" s="1" t="s">
        <v>52</v>
      </c>
      <c r="C41" s="1" t="s">
        <v>23</v>
      </c>
      <c r="D41" s="1">
        <v>32019</v>
      </c>
      <c r="E41" s="1">
        <v>32095</v>
      </c>
      <c r="F41" s="1" t="s">
        <v>9</v>
      </c>
      <c r="G41" s="1" t="s">
        <v>11411</v>
      </c>
    </row>
    <row r="42" spans="1:7" ht="21" x14ac:dyDescent="0.25">
      <c r="A42" s="2" t="str">
        <f>HYPERLINK("https://rth.dk/resources/bsgatlas/details.php?id=BSGatlas-gene-41","BSGatlas-gene-41")</f>
        <v>BSGatlas-gene-41</v>
      </c>
      <c r="B42" s="1" t="s">
        <v>53</v>
      </c>
      <c r="C42" s="1" t="s">
        <v>21</v>
      </c>
      <c r="D42" s="1">
        <v>32174</v>
      </c>
      <c r="E42" s="1">
        <v>35104</v>
      </c>
      <c r="F42" s="1" t="s">
        <v>9</v>
      </c>
      <c r="G42" s="1" t="s">
        <v>11411</v>
      </c>
    </row>
    <row r="43" spans="1:7" ht="21" x14ac:dyDescent="0.25">
      <c r="A43" s="2" t="str">
        <f>HYPERLINK("https://rth.dk/resources/bsgatlas/details.php?id=BSGatlas-gene-42","BSGatlas-gene-42")</f>
        <v>BSGatlas-gene-42</v>
      </c>
      <c r="B43" s="1" t="s">
        <v>54</v>
      </c>
      <c r="C43" s="1" t="s">
        <v>55</v>
      </c>
      <c r="D43" s="1">
        <v>35163</v>
      </c>
      <c r="E43" s="1">
        <v>35230</v>
      </c>
      <c r="F43" s="1" t="s">
        <v>9</v>
      </c>
      <c r="G43" s="1" t="s">
        <v>11410</v>
      </c>
    </row>
    <row r="44" spans="1:7" ht="21" x14ac:dyDescent="0.25">
      <c r="A44" s="2" t="str">
        <f>HYPERLINK("https://rth.dk/resources/bsgatlas/details.php?id=BSGatlas-gene-43","BSGatlas-gene-43")</f>
        <v>BSGatlas-gene-43</v>
      </c>
      <c r="B44" s="1" t="s">
        <v>56</v>
      </c>
      <c r="C44" s="1" t="s">
        <v>21</v>
      </c>
      <c r="D44" s="1">
        <v>35236</v>
      </c>
      <c r="E44" s="1">
        <v>35355</v>
      </c>
      <c r="F44" s="1" t="s">
        <v>9</v>
      </c>
      <c r="G44" s="1" t="s">
        <v>11411</v>
      </c>
    </row>
    <row r="45" spans="1:7" ht="21" x14ac:dyDescent="0.25">
      <c r="A45" s="2" t="str">
        <f>HYPERLINK("https://rth.dk/resources/bsgatlas/details.php?id=BSGatlas-gene-44","BSGatlas-gene-44")</f>
        <v>BSGatlas-gene-44</v>
      </c>
      <c r="B45" s="1" t="s">
        <v>57</v>
      </c>
      <c r="C45" s="1" t="s">
        <v>8</v>
      </c>
      <c r="D45" s="1">
        <v>35531</v>
      </c>
      <c r="E45" s="1">
        <v>35725</v>
      </c>
      <c r="F45" s="1" t="s">
        <v>9</v>
      </c>
      <c r="G45" s="1" t="s">
        <v>11409</v>
      </c>
    </row>
    <row r="46" spans="1:7" ht="21" x14ac:dyDescent="0.25">
      <c r="A46" s="2" t="str">
        <f>HYPERLINK("https://rth.dk/resources/bsgatlas/details.php?id=BSGatlas-gene-45","BSGatlas-gene-45")</f>
        <v>BSGatlas-gene-45</v>
      </c>
      <c r="B46" s="1" t="s">
        <v>58</v>
      </c>
      <c r="C46" s="1" t="s">
        <v>8</v>
      </c>
      <c r="D46" s="1">
        <v>35845</v>
      </c>
      <c r="E46" s="1">
        <v>36459</v>
      </c>
      <c r="F46" s="1" t="s">
        <v>9</v>
      </c>
      <c r="G46" s="1" t="s">
        <v>11409</v>
      </c>
    </row>
    <row r="47" spans="1:7" ht="21" x14ac:dyDescent="0.25">
      <c r="A47" s="2" t="str">
        <f>HYPERLINK("https://rth.dk/resources/bsgatlas/details.php?id=BSGatlas-gene-46","BSGatlas-gene-46")</f>
        <v>BSGatlas-gene-46</v>
      </c>
      <c r="B47" s="1" t="s">
        <v>59</v>
      </c>
      <c r="C47" s="1" t="s">
        <v>8</v>
      </c>
      <c r="D47" s="1">
        <v>36478</v>
      </c>
      <c r="E47" s="1">
        <v>37638</v>
      </c>
      <c r="F47" s="1" t="s">
        <v>9</v>
      </c>
      <c r="G47" s="1" t="s">
        <v>11409</v>
      </c>
    </row>
    <row r="48" spans="1:7" ht="21" x14ac:dyDescent="0.25">
      <c r="A48" s="2" t="str">
        <f>HYPERLINK("https://rth.dk/resources/bsgatlas/details.php?id=BSGatlas-gene-47","BSGatlas-gene-47")</f>
        <v>BSGatlas-gene-47</v>
      </c>
      <c r="B48" s="1" t="s">
        <v>60</v>
      </c>
      <c r="C48" s="1" t="s">
        <v>8</v>
      </c>
      <c r="D48" s="1">
        <v>37720</v>
      </c>
      <c r="E48" s="1">
        <v>39162</v>
      </c>
      <c r="F48" s="1" t="s">
        <v>9</v>
      </c>
      <c r="G48" s="1" t="s">
        <v>11409</v>
      </c>
    </row>
    <row r="49" spans="1:7" ht="21" x14ac:dyDescent="0.25">
      <c r="A49" s="2" t="str">
        <f>HYPERLINK("https://rth.dk/resources/bsgatlas/details.php?id=BSGatlas-gene-48","BSGatlas-gene-48")</f>
        <v>BSGatlas-gene-48</v>
      </c>
      <c r="B49" s="1" t="s">
        <v>61</v>
      </c>
      <c r="C49" s="1" t="s">
        <v>8</v>
      </c>
      <c r="D49" s="1">
        <v>39159</v>
      </c>
      <c r="E49" s="1">
        <v>39797</v>
      </c>
      <c r="F49" s="1" t="s">
        <v>9</v>
      </c>
      <c r="G49" s="1" t="s">
        <v>11409</v>
      </c>
    </row>
    <row r="50" spans="1:7" ht="21" x14ac:dyDescent="0.25">
      <c r="A50" s="2" t="str">
        <f>HYPERLINK("https://rth.dk/resources/bsgatlas/details.php?id=BSGatlas-gene-49","BSGatlas-gene-49")</f>
        <v>BSGatlas-gene-49</v>
      </c>
      <c r="B50" s="1" t="s">
        <v>62</v>
      </c>
      <c r="C50" s="1" t="s">
        <v>8</v>
      </c>
      <c r="D50" s="1">
        <v>39871</v>
      </c>
      <c r="E50" s="1">
        <v>40200</v>
      </c>
      <c r="F50" s="1" t="s">
        <v>9</v>
      </c>
      <c r="G50" s="1" t="s">
        <v>11409</v>
      </c>
    </row>
    <row r="51" spans="1:7" ht="21" x14ac:dyDescent="0.25">
      <c r="A51" s="2" t="str">
        <f>HYPERLINK("https://rth.dk/resources/bsgatlas/details.php?id=BSGatlas-gene-50","BSGatlas-gene-50")</f>
        <v>BSGatlas-gene-50</v>
      </c>
      <c r="B51" s="1" t="s">
        <v>63</v>
      </c>
      <c r="C51" s="1" t="s">
        <v>8</v>
      </c>
      <c r="D51" s="1">
        <v>40213</v>
      </c>
      <c r="E51" s="1">
        <v>40653</v>
      </c>
      <c r="F51" s="1" t="s">
        <v>9</v>
      </c>
      <c r="G51" s="1" t="s">
        <v>11409</v>
      </c>
    </row>
    <row r="52" spans="1:7" ht="21" x14ac:dyDescent="0.25">
      <c r="A52" s="2" t="str">
        <f>HYPERLINK("https://rth.dk/resources/bsgatlas/details.php?id=BSGatlas-gene-51","BSGatlas-gene-51")</f>
        <v>BSGatlas-gene-51</v>
      </c>
      <c r="B52" s="1" t="s">
        <v>64</v>
      </c>
      <c r="C52" s="1" t="s">
        <v>8</v>
      </c>
      <c r="D52" s="1">
        <v>40665</v>
      </c>
      <c r="E52" s="1">
        <v>41654</v>
      </c>
      <c r="F52" s="1" t="s">
        <v>9</v>
      </c>
      <c r="G52" s="1" t="s">
        <v>11409</v>
      </c>
    </row>
    <row r="53" spans="1:7" ht="21" x14ac:dyDescent="0.25">
      <c r="A53" s="2" t="str">
        <f>HYPERLINK("https://rth.dk/resources/bsgatlas/details.php?id=BSGatlas-gene-52","BSGatlas-gene-52")</f>
        <v>BSGatlas-gene-52</v>
      </c>
      <c r="B53" s="1" t="s">
        <v>65</v>
      </c>
      <c r="C53" s="1" t="s">
        <v>8</v>
      </c>
      <c r="D53" s="1">
        <v>41657</v>
      </c>
      <c r="E53" s="1">
        <v>42484</v>
      </c>
      <c r="F53" s="1" t="s">
        <v>9</v>
      </c>
      <c r="G53" s="1" t="s">
        <v>11409</v>
      </c>
    </row>
    <row r="54" spans="1:7" ht="21" x14ac:dyDescent="0.25">
      <c r="A54" s="2" t="str">
        <f>HYPERLINK("https://rth.dk/resources/bsgatlas/details.php?id=BSGatlas-gene-53","BSGatlas-gene-53")</f>
        <v>BSGatlas-gene-53</v>
      </c>
      <c r="B54" s="1" t="s">
        <v>66</v>
      </c>
      <c r="C54" s="1" t="s">
        <v>8</v>
      </c>
      <c r="D54" s="1">
        <v>42499</v>
      </c>
      <c r="E54" s="1">
        <v>42858</v>
      </c>
      <c r="F54" s="1" t="s">
        <v>9</v>
      </c>
      <c r="G54" s="1" t="s">
        <v>11409</v>
      </c>
    </row>
    <row r="55" spans="1:7" ht="21" x14ac:dyDescent="0.25">
      <c r="A55" s="2" t="str">
        <f>HYPERLINK("https://rth.dk/resources/bsgatlas/details.php?id=BSGatlas-gene-54","BSGatlas-gene-54")</f>
        <v>BSGatlas-gene-54</v>
      </c>
      <c r="B55" s="1" t="s">
        <v>67</v>
      </c>
      <c r="C55" s="1" t="s">
        <v>8</v>
      </c>
      <c r="D55" s="1">
        <v>42917</v>
      </c>
      <c r="E55" s="1">
        <v>43660</v>
      </c>
      <c r="F55" s="1" t="s">
        <v>9</v>
      </c>
      <c r="G55" s="1" t="s">
        <v>11409</v>
      </c>
    </row>
    <row r="56" spans="1:7" ht="21" x14ac:dyDescent="0.25">
      <c r="A56" s="2" t="str">
        <f>HYPERLINK("https://rth.dk/resources/bsgatlas/details.php?id=BSGatlas-gene-55","BSGatlas-gene-55")</f>
        <v>BSGatlas-gene-55</v>
      </c>
      <c r="B56" s="1" t="s">
        <v>68</v>
      </c>
      <c r="C56" s="1" t="s">
        <v>8</v>
      </c>
      <c r="D56" s="1">
        <v>43647</v>
      </c>
      <c r="E56" s="1">
        <v>43946</v>
      </c>
      <c r="F56" s="1" t="s">
        <v>9</v>
      </c>
      <c r="G56" s="1" t="s">
        <v>11409</v>
      </c>
    </row>
    <row r="57" spans="1:7" ht="21" x14ac:dyDescent="0.25">
      <c r="A57" s="2" t="str">
        <f>HYPERLINK("https://rth.dk/resources/bsgatlas/details.php?id=BSGatlas-gene-56","BSGatlas-gene-56")</f>
        <v>BSGatlas-gene-56</v>
      </c>
      <c r="B57" s="1" t="s">
        <v>69</v>
      </c>
      <c r="C57" s="1" t="s">
        <v>8</v>
      </c>
      <c r="D57" s="1">
        <v>43921</v>
      </c>
      <c r="E57" s="1">
        <v>44799</v>
      </c>
      <c r="F57" s="1" t="s">
        <v>9</v>
      </c>
      <c r="G57" s="1" t="s">
        <v>11409</v>
      </c>
    </row>
    <row r="58" spans="1:7" ht="21" x14ac:dyDescent="0.25">
      <c r="A58" s="2" t="str">
        <f>HYPERLINK("https://rth.dk/resources/bsgatlas/details.php?id=BSGatlas-gene-57","BSGatlas-gene-57")</f>
        <v>BSGatlas-gene-57</v>
      </c>
      <c r="B58" s="1" t="s">
        <v>70</v>
      </c>
      <c r="C58" s="1" t="s">
        <v>8</v>
      </c>
      <c r="D58" s="1">
        <v>44848</v>
      </c>
      <c r="E58" s="1">
        <v>45138</v>
      </c>
      <c r="F58" s="1" t="s">
        <v>13</v>
      </c>
      <c r="G58" s="1" t="s">
        <v>11409</v>
      </c>
    </row>
    <row r="59" spans="1:7" ht="21" x14ac:dyDescent="0.25">
      <c r="A59" s="2" t="str">
        <f>HYPERLINK("https://rth.dk/resources/bsgatlas/details.php?id=BSGatlas-gene-58","BSGatlas-gene-58")</f>
        <v>BSGatlas-gene-58</v>
      </c>
      <c r="B59" s="1" t="s">
        <v>522</v>
      </c>
      <c r="C59" s="1" t="s">
        <v>34</v>
      </c>
      <c r="D59" s="1">
        <v>45536</v>
      </c>
      <c r="E59" s="1">
        <v>45607</v>
      </c>
      <c r="F59" s="1" t="s">
        <v>9</v>
      </c>
      <c r="G59" s="1" t="s">
        <v>11414</v>
      </c>
    </row>
    <row r="60" spans="1:7" ht="21" x14ac:dyDescent="0.25">
      <c r="A60" s="2" t="str">
        <f>HYPERLINK("https://rth.dk/resources/bsgatlas/details.php?id=BSGatlas-gene-59","BSGatlas-gene-59")</f>
        <v>BSGatlas-gene-59</v>
      </c>
      <c r="B60" s="1" t="s">
        <v>71</v>
      </c>
      <c r="C60" s="1" t="s">
        <v>8</v>
      </c>
      <c r="D60" s="1">
        <v>45633</v>
      </c>
      <c r="E60" s="1">
        <v>47627</v>
      </c>
      <c r="F60" s="1" t="s">
        <v>9</v>
      </c>
      <c r="G60" s="1" t="s">
        <v>11409</v>
      </c>
    </row>
    <row r="61" spans="1:7" ht="21" x14ac:dyDescent="0.25">
      <c r="A61" s="2" t="str">
        <f>HYPERLINK("https://rth.dk/resources/bsgatlas/details.php?id=BSGatlas-gene-60","BSGatlas-gene-60")</f>
        <v>BSGatlas-gene-60</v>
      </c>
      <c r="B61" s="1" t="s">
        <v>73</v>
      </c>
      <c r="C61" s="1" t="s">
        <v>12</v>
      </c>
      <c r="D61" s="1">
        <v>47673</v>
      </c>
      <c r="E61" s="1">
        <v>50019</v>
      </c>
      <c r="F61" s="1" t="s">
        <v>13</v>
      </c>
      <c r="G61" s="1" t="s">
        <v>11406</v>
      </c>
    </row>
    <row r="62" spans="1:7" ht="21" x14ac:dyDescent="0.25">
      <c r="A62" s="2" t="str">
        <f>HYPERLINK("https://rth.dk/resources/bsgatlas/details.php?id=BSGatlas-gene-61","BSGatlas-gene-61")</f>
        <v>BSGatlas-gene-61</v>
      </c>
      <c r="B62" s="1" t="s">
        <v>72</v>
      </c>
      <c r="C62" s="1" t="s">
        <v>8</v>
      </c>
      <c r="D62" s="1">
        <v>47706</v>
      </c>
      <c r="E62" s="1">
        <v>48473</v>
      </c>
      <c r="F62" s="1" t="s">
        <v>9</v>
      </c>
      <c r="G62" s="1" t="s">
        <v>11409</v>
      </c>
    </row>
    <row r="63" spans="1:7" ht="21" x14ac:dyDescent="0.25">
      <c r="A63" s="2" t="str">
        <f>HYPERLINK("https://rth.dk/resources/bsgatlas/details.php?id=BSGatlas-gene-62","BSGatlas-gene-62")</f>
        <v>BSGatlas-gene-62</v>
      </c>
      <c r="B63" s="1" t="s">
        <v>74</v>
      </c>
      <c r="C63" s="1" t="s">
        <v>8</v>
      </c>
      <c r="D63" s="1">
        <v>48629</v>
      </c>
      <c r="E63" s="1">
        <v>49942</v>
      </c>
      <c r="F63" s="1" t="s">
        <v>9</v>
      </c>
      <c r="G63" s="1" t="s">
        <v>11409</v>
      </c>
    </row>
    <row r="64" spans="1:7" ht="21" x14ac:dyDescent="0.25">
      <c r="A64" s="2" t="str">
        <f>HYPERLINK("https://rth.dk/resources/bsgatlas/details.php?id=BSGatlas-gene-63","BSGatlas-gene-63")</f>
        <v>BSGatlas-gene-63</v>
      </c>
      <c r="B64" s="1" t="s">
        <v>75</v>
      </c>
      <c r="C64" s="1" t="s">
        <v>8</v>
      </c>
      <c r="D64" s="1">
        <v>50087</v>
      </c>
      <c r="E64" s="1">
        <v>50647</v>
      </c>
      <c r="F64" s="1" t="s">
        <v>9</v>
      </c>
      <c r="G64" s="1" t="s">
        <v>11409</v>
      </c>
    </row>
    <row r="65" spans="1:7" ht="21" x14ac:dyDescent="0.25">
      <c r="A65" s="2" t="str">
        <f>HYPERLINK("https://rth.dk/resources/bsgatlas/details.php?id=BSGatlas-gene-64","BSGatlas-gene-64")</f>
        <v>BSGatlas-gene-64</v>
      </c>
      <c r="B65" s="1" t="s">
        <v>76</v>
      </c>
      <c r="C65" s="1" t="s">
        <v>8</v>
      </c>
      <c r="D65" s="1">
        <v>50640</v>
      </c>
      <c r="E65" s="1">
        <v>51518</v>
      </c>
      <c r="F65" s="1" t="s">
        <v>9</v>
      </c>
      <c r="G65" s="1" t="s">
        <v>11409</v>
      </c>
    </row>
    <row r="66" spans="1:7" ht="21" x14ac:dyDescent="0.25">
      <c r="A66" s="2" t="str">
        <f>HYPERLINK("https://rth.dk/resources/bsgatlas/details.php?id=BSGatlas-gene-65","BSGatlas-gene-65")</f>
        <v>BSGatlas-gene-65</v>
      </c>
      <c r="B66" s="1" t="s">
        <v>77</v>
      </c>
      <c r="C66" s="1" t="s">
        <v>8</v>
      </c>
      <c r="D66" s="1">
        <v>51680</v>
      </c>
      <c r="E66" s="1">
        <v>52552</v>
      </c>
      <c r="F66" s="1" t="s">
        <v>9</v>
      </c>
      <c r="G66" s="1" t="s">
        <v>11409</v>
      </c>
    </row>
    <row r="67" spans="1:7" ht="21" x14ac:dyDescent="0.25">
      <c r="A67" s="2" t="str">
        <f>HYPERLINK("https://rth.dk/resources/bsgatlas/details.php?id=BSGatlas-gene-66","BSGatlas-gene-66")</f>
        <v>BSGatlas-gene-66</v>
      </c>
      <c r="B67" s="1" t="s">
        <v>78</v>
      </c>
      <c r="C67" s="1" t="s">
        <v>8</v>
      </c>
      <c r="D67" s="1">
        <v>52763</v>
      </c>
      <c r="E67" s="1">
        <v>53023</v>
      </c>
      <c r="F67" s="1" t="s">
        <v>9</v>
      </c>
      <c r="G67" s="1" t="s">
        <v>11409</v>
      </c>
    </row>
    <row r="68" spans="1:7" ht="21" x14ac:dyDescent="0.25">
      <c r="A68" s="2" t="str">
        <f>HYPERLINK("https://rth.dk/resources/bsgatlas/details.php?id=BSGatlas-gene-67","BSGatlas-gene-67")</f>
        <v>BSGatlas-gene-67</v>
      </c>
      <c r="B68" s="1" t="s">
        <v>79</v>
      </c>
      <c r="C68" s="1" t="s">
        <v>8</v>
      </c>
      <c r="D68" s="1">
        <v>53183</v>
      </c>
      <c r="E68" s="1">
        <v>53368</v>
      </c>
      <c r="F68" s="1" t="s">
        <v>9</v>
      </c>
      <c r="G68" s="1" t="s">
        <v>11409</v>
      </c>
    </row>
    <row r="69" spans="1:7" ht="21" x14ac:dyDescent="0.25">
      <c r="A69" s="2" t="str">
        <f>HYPERLINK("https://rth.dk/resources/bsgatlas/details.php?id=BSGatlas-gene-68","BSGatlas-gene-68")</f>
        <v>BSGatlas-gene-68</v>
      </c>
      <c r="B69" s="1" t="s">
        <v>80</v>
      </c>
      <c r="C69" s="1" t="s">
        <v>12</v>
      </c>
      <c r="D69" s="1">
        <v>53363</v>
      </c>
      <c r="E69" s="1">
        <v>55717</v>
      </c>
      <c r="F69" s="1" t="s">
        <v>13</v>
      </c>
      <c r="G69" s="1" t="s">
        <v>11406</v>
      </c>
    </row>
    <row r="70" spans="1:7" ht="21" x14ac:dyDescent="0.25">
      <c r="A70" s="2" t="str">
        <f>HYPERLINK("https://rth.dk/resources/bsgatlas/details.php?id=BSGatlas-gene-69","BSGatlas-gene-69")</f>
        <v>BSGatlas-gene-69</v>
      </c>
      <c r="B70" s="1" t="s">
        <v>81</v>
      </c>
      <c r="C70" s="1" t="s">
        <v>8</v>
      </c>
      <c r="D70" s="1">
        <v>53516</v>
      </c>
      <c r="E70" s="1">
        <v>54385</v>
      </c>
      <c r="F70" s="1" t="s">
        <v>9</v>
      </c>
      <c r="G70" s="1" t="s">
        <v>11409</v>
      </c>
    </row>
    <row r="71" spans="1:7" ht="21" x14ac:dyDescent="0.25">
      <c r="A71" s="2" t="str">
        <f>HYPERLINK("https://rth.dk/resources/bsgatlas/details.php?id=BSGatlas-gene-70","BSGatlas-gene-70")</f>
        <v>BSGatlas-gene-70</v>
      </c>
      <c r="B71" s="1" t="s">
        <v>82</v>
      </c>
      <c r="C71" s="1" t="s">
        <v>8</v>
      </c>
      <c r="D71" s="1">
        <v>54441</v>
      </c>
      <c r="E71" s="1">
        <v>55298</v>
      </c>
      <c r="F71" s="1" t="s">
        <v>9</v>
      </c>
      <c r="G71" s="1" t="s">
        <v>11409</v>
      </c>
    </row>
    <row r="72" spans="1:7" ht="21" x14ac:dyDescent="0.25">
      <c r="A72" s="2" t="str">
        <f>HYPERLINK("https://rth.dk/resources/bsgatlas/details.php?id=BSGatlas-gene-71","BSGatlas-gene-71")</f>
        <v>BSGatlas-gene-71</v>
      </c>
      <c r="B72" s="1" t="s">
        <v>83</v>
      </c>
      <c r="C72" s="1" t="s">
        <v>8</v>
      </c>
      <c r="D72" s="1">
        <v>55295</v>
      </c>
      <c r="E72" s="1">
        <v>55672</v>
      </c>
      <c r="F72" s="1" t="s">
        <v>9</v>
      </c>
      <c r="G72" s="1" t="s">
        <v>11409</v>
      </c>
    </row>
    <row r="73" spans="1:7" ht="21" x14ac:dyDescent="0.25">
      <c r="A73" s="2" t="str">
        <f>HYPERLINK("https://rth.dk/resources/bsgatlas/details.php?id=BSGatlas-gene-72","BSGatlas-gene-72")</f>
        <v>BSGatlas-gene-72</v>
      </c>
      <c r="B73" s="1" t="s">
        <v>84</v>
      </c>
      <c r="C73" s="1" t="s">
        <v>8</v>
      </c>
      <c r="D73" s="1">
        <v>55866</v>
      </c>
      <c r="E73" s="1">
        <v>56159</v>
      </c>
      <c r="F73" s="1" t="s">
        <v>9</v>
      </c>
      <c r="G73" s="1" t="s">
        <v>11409</v>
      </c>
    </row>
    <row r="74" spans="1:7" ht="21" x14ac:dyDescent="0.25">
      <c r="A74" s="2" t="str">
        <f>HYPERLINK("https://rth.dk/resources/bsgatlas/details.php?id=BSGatlas-gene-73","BSGatlas-gene-73")</f>
        <v>BSGatlas-gene-73</v>
      </c>
      <c r="B74" s="1" t="s">
        <v>85</v>
      </c>
      <c r="C74" s="1" t="s">
        <v>8</v>
      </c>
      <c r="D74" s="1">
        <v>56352</v>
      </c>
      <c r="E74" s="1">
        <v>57722</v>
      </c>
      <c r="F74" s="1" t="s">
        <v>9</v>
      </c>
      <c r="G74" s="1" t="s">
        <v>11409</v>
      </c>
    </row>
    <row r="75" spans="1:7" ht="21" x14ac:dyDescent="0.25">
      <c r="A75" s="2" t="str">
        <f>HYPERLINK("https://rth.dk/resources/bsgatlas/details.php?id=BSGatlas-gene-74","BSGatlas-gene-74")</f>
        <v>BSGatlas-gene-74</v>
      </c>
      <c r="B75" s="1" t="s">
        <v>86</v>
      </c>
      <c r="C75" s="1" t="s">
        <v>8</v>
      </c>
      <c r="D75" s="1">
        <v>57745</v>
      </c>
      <c r="E75" s="1">
        <v>58698</v>
      </c>
      <c r="F75" s="1" t="s">
        <v>9</v>
      </c>
      <c r="G75" s="1" t="s">
        <v>11409</v>
      </c>
    </row>
    <row r="76" spans="1:7" ht="21" x14ac:dyDescent="0.25">
      <c r="A76" s="2" t="str">
        <f>HYPERLINK("https://rth.dk/resources/bsgatlas/details.php?id=BSGatlas-gene-75","BSGatlas-gene-75")</f>
        <v>BSGatlas-gene-75</v>
      </c>
      <c r="B76" s="1" t="s">
        <v>87</v>
      </c>
      <c r="C76" s="1" t="s">
        <v>8</v>
      </c>
      <c r="D76" s="1">
        <v>58783</v>
      </c>
      <c r="E76" s="1">
        <v>59397</v>
      </c>
      <c r="F76" s="1" t="s">
        <v>9</v>
      </c>
      <c r="G76" s="1" t="s">
        <v>11409</v>
      </c>
    </row>
    <row r="77" spans="1:7" ht="21" x14ac:dyDescent="0.25">
      <c r="A77" s="2" t="str">
        <f>HYPERLINK("https://rth.dk/resources/bsgatlas/details.php?id=BSGatlas-gene-76","BSGatlas-gene-76")</f>
        <v>BSGatlas-gene-76</v>
      </c>
      <c r="B77" s="1" t="s">
        <v>88</v>
      </c>
      <c r="C77" s="1" t="s">
        <v>8</v>
      </c>
      <c r="D77" s="1">
        <v>59504</v>
      </c>
      <c r="E77" s="1">
        <v>60070</v>
      </c>
      <c r="F77" s="1" t="s">
        <v>9</v>
      </c>
      <c r="G77" s="1" t="s">
        <v>11409</v>
      </c>
    </row>
    <row r="78" spans="1:7" ht="21" x14ac:dyDescent="0.25">
      <c r="A78" s="2" t="str">
        <f>HYPERLINK("https://rth.dk/resources/bsgatlas/details.php?id=BSGatlas-gene-77","BSGatlas-gene-77")</f>
        <v>BSGatlas-gene-77</v>
      </c>
      <c r="B78" s="1" t="s">
        <v>89</v>
      </c>
      <c r="C78" s="1" t="s">
        <v>8</v>
      </c>
      <c r="D78" s="1">
        <v>60130</v>
      </c>
      <c r="E78" s="1">
        <v>60360</v>
      </c>
      <c r="F78" s="1" t="s">
        <v>9</v>
      </c>
      <c r="G78" s="1" t="s">
        <v>11409</v>
      </c>
    </row>
    <row r="79" spans="1:7" ht="21" x14ac:dyDescent="0.25">
      <c r="A79" s="2" t="str">
        <f>HYPERLINK("https://rth.dk/resources/bsgatlas/details.php?id=BSGatlas-gene-78","BSGatlas-gene-78")</f>
        <v>BSGatlas-gene-78</v>
      </c>
      <c r="B79" s="1" t="s">
        <v>90</v>
      </c>
      <c r="C79" s="1" t="s">
        <v>8</v>
      </c>
      <c r="D79" s="1">
        <v>60430</v>
      </c>
      <c r="E79" s="1">
        <v>63963</v>
      </c>
      <c r="F79" s="1" t="s">
        <v>9</v>
      </c>
      <c r="G79" s="1" t="s">
        <v>11409</v>
      </c>
    </row>
    <row r="80" spans="1:7" ht="21" x14ac:dyDescent="0.25">
      <c r="A80" s="2" t="str">
        <f>HYPERLINK("https://rth.dk/resources/bsgatlas/details.php?id=BSGatlas-gene-79","BSGatlas-gene-79")</f>
        <v>BSGatlas-gene-79</v>
      </c>
      <c r="B80" s="1" t="s">
        <v>91</v>
      </c>
      <c r="C80" s="1" t="s">
        <v>8</v>
      </c>
      <c r="D80" s="1">
        <v>64099</v>
      </c>
      <c r="E80" s="1">
        <v>64635</v>
      </c>
      <c r="F80" s="1" t="s">
        <v>9</v>
      </c>
      <c r="G80" s="1" t="s">
        <v>11409</v>
      </c>
    </row>
    <row r="81" spans="1:7" ht="21" x14ac:dyDescent="0.25">
      <c r="A81" s="2" t="str">
        <f>HYPERLINK("https://rth.dk/resources/bsgatlas/details.php?id=BSGatlas-gene-80","BSGatlas-gene-80")</f>
        <v>BSGatlas-gene-80</v>
      </c>
      <c r="B81" s="1" t="s">
        <v>92</v>
      </c>
      <c r="C81" s="1" t="s">
        <v>8</v>
      </c>
      <c r="D81" s="1">
        <v>64817</v>
      </c>
      <c r="E81" s="1">
        <v>66415</v>
      </c>
      <c r="F81" s="1" t="s">
        <v>9</v>
      </c>
      <c r="G81" s="1" t="s">
        <v>11409</v>
      </c>
    </row>
    <row r="82" spans="1:7" ht="21" x14ac:dyDescent="0.25">
      <c r="A82" s="2" t="str">
        <f>HYPERLINK("https://rth.dk/resources/bsgatlas/details.php?id=BSGatlas-gene-81","BSGatlas-gene-81")</f>
        <v>BSGatlas-gene-81</v>
      </c>
      <c r="B82" s="1" t="s">
        <v>93</v>
      </c>
      <c r="C82" s="1" t="s">
        <v>8</v>
      </c>
      <c r="D82" s="1">
        <v>66405</v>
      </c>
      <c r="E82" s="1">
        <v>67874</v>
      </c>
      <c r="F82" s="1" t="s">
        <v>9</v>
      </c>
      <c r="G82" s="1" t="s">
        <v>11409</v>
      </c>
    </row>
    <row r="83" spans="1:7" ht="21" x14ac:dyDescent="0.25">
      <c r="A83" s="2" t="str">
        <f>HYPERLINK("https://rth.dk/resources/bsgatlas/details.php?id=BSGatlas-gene-82","BSGatlas-gene-82")</f>
        <v>BSGatlas-gene-82</v>
      </c>
      <c r="B83" s="1" t="s">
        <v>94</v>
      </c>
      <c r="C83" s="1" t="s">
        <v>8</v>
      </c>
      <c r="D83" s="1">
        <v>67877</v>
      </c>
      <c r="E83" s="1">
        <v>68137</v>
      </c>
      <c r="F83" s="1" t="s">
        <v>9</v>
      </c>
      <c r="G83" s="1" t="s">
        <v>11409</v>
      </c>
    </row>
    <row r="84" spans="1:7" ht="21" x14ac:dyDescent="0.25">
      <c r="A84" s="2" t="str">
        <f>HYPERLINK("https://rth.dk/resources/bsgatlas/details.php?id=BSGatlas-gene-83","BSGatlas-gene-83")</f>
        <v>BSGatlas-gene-83</v>
      </c>
      <c r="B84" s="1" t="s">
        <v>95</v>
      </c>
      <c r="C84" s="1" t="s">
        <v>8</v>
      </c>
      <c r="D84" s="1">
        <v>68216</v>
      </c>
      <c r="E84" s="1">
        <v>68518</v>
      </c>
      <c r="F84" s="1" t="s">
        <v>9</v>
      </c>
      <c r="G84" s="1" t="s">
        <v>11409</v>
      </c>
    </row>
    <row r="85" spans="1:7" ht="21" x14ac:dyDescent="0.25">
      <c r="A85" s="2" t="str">
        <f>HYPERLINK("https://rth.dk/resources/bsgatlas/details.php?id=BSGatlas-gene-84","BSGatlas-gene-84")</f>
        <v>BSGatlas-gene-84</v>
      </c>
      <c r="B85" s="1" t="s">
        <v>96</v>
      </c>
      <c r="C85" s="1" t="s">
        <v>8</v>
      </c>
      <c r="D85" s="1">
        <v>68515</v>
      </c>
      <c r="E85" s="1">
        <v>69150</v>
      </c>
      <c r="F85" s="1" t="s">
        <v>9</v>
      </c>
      <c r="G85" s="1" t="s">
        <v>11409</v>
      </c>
    </row>
    <row r="86" spans="1:7" ht="21" x14ac:dyDescent="0.25">
      <c r="A86" s="2" t="str">
        <f>HYPERLINK("https://rth.dk/resources/bsgatlas/details.php?id=BSGatlas-gene-85","BSGatlas-gene-85")</f>
        <v>BSGatlas-gene-85</v>
      </c>
      <c r="B86" s="1" t="s">
        <v>97</v>
      </c>
      <c r="C86" s="1" t="s">
        <v>8</v>
      </c>
      <c r="D86" s="1">
        <v>69168</v>
      </c>
      <c r="E86" s="1">
        <v>69545</v>
      </c>
      <c r="F86" s="1" t="s">
        <v>9</v>
      </c>
      <c r="G86" s="1" t="s">
        <v>11409</v>
      </c>
    </row>
    <row r="87" spans="1:7" ht="21" x14ac:dyDescent="0.25">
      <c r="A87" s="2" t="str">
        <f>HYPERLINK("https://rth.dk/resources/bsgatlas/details.php?id=BSGatlas-gene-86","BSGatlas-gene-86")</f>
        <v>BSGatlas-gene-86</v>
      </c>
      <c r="B87" s="1" t="s">
        <v>98</v>
      </c>
      <c r="C87" s="1" t="s">
        <v>8</v>
      </c>
      <c r="D87" s="1">
        <v>69626</v>
      </c>
      <c r="E87" s="1">
        <v>70012</v>
      </c>
      <c r="F87" s="1" t="s">
        <v>9</v>
      </c>
      <c r="G87" s="1" t="s">
        <v>11409</v>
      </c>
    </row>
    <row r="88" spans="1:7" ht="21" x14ac:dyDescent="0.25">
      <c r="A88" s="2" t="str">
        <f>HYPERLINK("https://rth.dk/resources/bsgatlas/details.php?id=BSGatlas-gene-87","BSGatlas-gene-87")</f>
        <v>BSGatlas-gene-87</v>
      </c>
      <c r="B88" s="1" t="s">
        <v>99</v>
      </c>
      <c r="C88" s="1" t="s">
        <v>23</v>
      </c>
      <c r="D88" s="1">
        <v>70180</v>
      </c>
      <c r="E88" s="1">
        <v>70257</v>
      </c>
      <c r="F88" s="1" t="s">
        <v>9</v>
      </c>
      <c r="G88" s="1" t="s">
        <v>11411</v>
      </c>
    </row>
    <row r="89" spans="1:7" ht="21" x14ac:dyDescent="0.25">
      <c r="A89" s="2" t="str">
        <f>HYPERLINK("https://rth.dk/resources/bsgatlas/details.php?id=BSGatlas-gene-88","BSGatlas-gene-88")</f>
        <v>BSGatlas-gene-88</v>
      </c>
      <c r="B89" s="1" t="s">
        <v>100</v>
      </c>
      <c r="C89" s="1" t="s">
        <v>23</v>
      </c>
      <c r="D89" s="1">
        <v>70266</v>
      </c>
      <c r="E89" s="1">
        <v>70338</v>
      </c>
      <c r="F89" s="1" t="s">
        <v>9</v>
      </c>
      <c r="G89" s="1" t="s">
        <v>11411</v>
      </c>
    </row>
    <row r="90" spans="1:7" ht="21" x14ac:dyDescent="0.25">
      <c r="A90" s="2" t="str">
        <f>HYPERLINK("https://rth.dk/resources/bsgatlas/details.php?id=BSGatlas-gene-89","BSGatlas-gene-89")</f>
        <v>BSGatlas-gene-89</v>
      </c>
      <c r="B90" s="1" t="s">
        <v>101</v>
      </c>
      <c r="C90" s="1" t="s">
        <v>8</v>
      </c>
      <c r="D90" s="1">
        <v>70538</v>
      </c>
      <c r="E90" s="1">
        <v>73021</v>
      </c>
      <c r="F90" s="1" t="s">
        <v>9</v>
      </c>
      <c r="G90" s="1" t="s">
        <v>11409</v>
      </c>
    </row>
    <row r="91" spans="1:7" ht="21" x14ac:dyDescent="0.25">
      <c r="A91" s="2" t="str">
        <f>HYPERLINK("https://rth.dk/resources/bsgatlas/details.php?id=BSGatlas-gene-90","BSGatlas-gene-90")</f>
        <v>BSGatlas-gene-90</v>
      </c>
      <c r="B91" s="1" t="s">
        <v>107</v>
      </c>
      <c r="C91" s="1" t="s">
        <v>12</v>
      </c>
      <c r="D91" s="1">
        <v>71190</v>
      </c>
      <c r="E91" s="1">
        <v>71799</v>
      </c>
      <c r="F91" s="1" t="s">
        <v>13</v>
      </c>
      <c r="G91" s="1" t="s">
        <v>11406</v>
      </c>
    </row>
    <row r="92" spans="1:7" ht="21" x14ac:dyDescent="0.25">
      <c r="A92" s="2" t="str">
        <f>HYPERLINK("https://rth.dk/resources/bsgatlas/details.php?id=BSGatlas-gene-91","BSGatlas-gene-91")</f>
        <v>BSGatlas-gene-91</v>
      </c>
      <c r="B92" s="1" t="s">
        <v>102</v>
      </c>
      <c r="C92" s="1" t="s">
        <v>8</v>
      </c>
      <c r="D92" s="1">
        <v>73106</v>
      </c>
      <c r="E92" s="1">
        <v>73843</v>
      </c>
      <c r="F92" s="1" t="s">
        <v>9</v>
      </c>
      <c r="G92" s="1" t="s">
        <v>11409</v>
      </c>
    </row>
    <row r="93" spans="1:7" ht="21" x14ac:dyDescent="0.25">
      <c r="A93" s="2" t="str">
        <f>HYPERLINK("https://rth.dk/resources/bsgatlas/details.php?id=BSGatlas-gene-92","BSGatlas-gene-92")</f>
        <v>BSGatlas-gene-92</v>
      </c>
      <c r="B93" s="1" t="s">
        <v>103</v>
      </c>
      <c r="C93" s="1" t="s">
        <v>8</v>
      </c>
      <c r="D93" s="1">
        <v>73809</v>
      </c>
      <c r="E93" s="1">
        <v>74825</v>
      </c>
      <c r="F93" s="1" t="s">
        <v>9</v>
      </c>
      <c r="G93" s="1" t="s">
        <v>11409</v>
      </c>
    </row>
    <row r="94" spans="1:7" ht="21" x14ac:dyDescent="0.25">
      <c r="A94" s="2" t="str">
        <f>HYPERLINK("https://rth.dk/resources/bsgatlas/details.php?id=BSGatlas-gene-93","BSGatlas-gene-93")</f>
        <v>BSGatlas-gene-93</v>
      </c>
      <c r="B94" s="1" t="s">
        <v>104</v>
      </c>
      <c r="C94" s="1" t="s">
        <v>8</v>
      </c>
      <c r="D94" s="1">
        <v>74929</v>
      </c>
      <c r="E94" s="1">
        <v>76347</v>
      </c>
      <c r="F94" s="1" t="s">
        <v>9</v>
      </c>
      <c r="G94" s="1" t="s">
        <v>11409</v>
      </c>
    </row>
    <row r="95" spans="1:7" ht="21" x14ac:dyDescent="0.25">
      <c r="A95" s="2" t="str">
        <f>HYPERLINK("https://rth.dk/resources/bsgatlas/details.php?id=BSGatlas-gene-94","BSGatlas-gene-94")</f>
        <v>BSGatlas-gene-94</v>
      </c>
      <c r="B95" s="1" t="s">
        <v>105</v>
      </c>
      <c r="C95" s="1" t="s">
        <v>8</v>
      </c>
      <c r="D95" s="1">
        <v>76344</v>
      </c>
      <c r="E95" s="1">
        <v>76886</v>
      </c>
      <c r="F95" s="1" t="s">
        <v>9</v>
      </c>
      <c r="G95" s="1" t="s">
        <v>11409</v>
      </c>
    </row>
    <row r="96" spans="1:7" ht="21" x14ac:dyDescent="0.25">
      <c r="A96" s="2" t="str">
        <f>HYPERLINK("https://rth.dk/resources/bsgatlas/details.php?id=BSGatlas-gene-95","BSGatlas-gene-95")</f>
        <v>BSGatlas-gene-95</v>
      </c>
      <c r="B96" s="1" t="s">
        <v>106</v>
      </c>
      <c r="C96" s="1" t="s">
        <v>8</v>
      </c>
      <c r="D96" s="1">
        <v>76984</v>
      </c>
      <c r="E96" s="1">
        <v>78897</v>
      </c>
      <c r="F96" s="1" t="s">
        <v>9</v>
      </c>
      <c r="G96" s="1" t="s">
        <v>11409</v>
      </c>
    </row>
    <row r="97" spans="1:7" ht="21" x14ac:dyDescent="0.25">
      <c r="A97" s="2" t="str">
        <f>HYPERLINK("https://rth.dk/resources/bsgatlas/details.php?id=BSGatlas-gene-96","BSGatlas-gene-96")</f>
        <v>BSGatlas-gene-96</v>
      </c>
      <c r="B97" s="1" t="s">
        <v>108</v>
      </c>
      <c r="C97" s="1" t="s">
        <v>8</v>
      </c>
      <c r="D97" s="1">
        <v>79092</v>
      </c>
      <c r="E97" s="1">
        <v>79868</v>
      </c>
      <c r="F97" s="1" t="s">
        <v>9</v>
      </c>
      <c r="G97" s="1" t="s">
        <v>11409</v>
      </c>
    </row>
    <row r="98" spans="1:7" ht="21" x14ac:dyDescent="0.25">
      <c r="A98" s="2" t="str">
        <f>HYPERLINK("https://rth.dk/resources/bsgatlas/details.php?id=BSGatlas-gene-97","BSGatlas-gene-97")</f>
        <v>BSGatlas-gene-97</v>
      </c>
      <c r="B98" s="1" t="s">
        <v>109</v>
      </c>
      <c r="C98" s="1" t="s">
        <v>8</v>
      </c>
      <c r="D98" s="1">
        <v>79880</v>
      </c>
      <c r="E98" s="1">
        <v>80755</v>
      </c>
      <c r="F98" s="1" t="s">
        <v>9</v>
      </c>
      <c r="G98" s="1" t="s">
        <v>11409</v>
      </c>
    </row>
    <row r="99" spans="1:7" ht="21" x14ac:dyDescent="0.25">
      <c r="A99" s="2" t="str">
        <f>HYPERLINK("https://rth.dk/resources/bsgatlas/details.php?id=BSGatlas-gene-98","BSGatlas-gene-98")</f>
        <v>BSGatlas-gene-98</v>
      </c>
      <c r="B99" s="1" t="s">
        <v>110</v>
      </c>
      <c r="C99" s="1" t="s">
        <v>8</v>
      </c>
      <c r="D99" s="1">
        <v>80802</v>
      </c>
      <c r="E99" s="1">
        <v>81695</v>
      </c>
      <c r="F99" s="1" t="s">
        <v>9</v>
      </c>
      <c r="G99" s="1" t="s">
        <v>11409</v>
      </c>
    </row>
    <row r="100" spans="1:7" ht="21" x14ac:dyDescent="0.25">
      <c r="A100" s="2" t="str">
        <f>HYPERLINK("https://rth.dk/resources/bsgatlas/details.php?id=BSGatlas-gene-99","BSGatlas-gene-99")</f>
        <v>BSGatlas-gene-99</v>
      </c>
      <c r="B100" s="1" t="s">
        <v>111</v>
      </c>
      <c r="C100" s="1" t="s">
        <v>8</v>
      </c>
      <c r="D100" s="1">
        <v>81771</v>
      </c>
      <c r="E100" s="1">
        <v>82697</v>
      </c>
      <c r="F100" s="1" t="s">
        <v>9</v>
      </c>
      <c r="G100" s="1" t="s">
        <v>11409</v>
      </c>
    </row>
    <row r="101" spans="1:7" ht="21" x14ac:dyDescent="0.25">
      <c r="A101" s="2" t="str">
        <f>HYPERLINK("https://rth.dk/resources/bsgatlas/details.php?id=BSGatlas-gene-100","BSGatlas-gene-100")</f>
        <v>BSGatlas-gene-100</v>
      </c>
      <c r="B101" s="1" t="s">
        <v>112</v>
      </c>
      <c r="C101" s="1" t="s">
        <v>8</v>
      </c>
      <c r="D101" s="1">
        <v>82864</v>
      </c>
      <c r="E101" s="1">
        <v>84276</v>
      </c>
      <c r="F101" s="1" t="s">
        <v>9</v>
      </c>
      <c r="G101" s="1" t="s">
        <v>11409</v>
      </c>
    </row>
    <row r="102" spans="1:7" ht="21" x14ac:dyDescent="0.25">
      <c r="A102" s="2" t="str">
        <f>HYPERLINK("https://rth.dk/resources/bsgatlas/details.php?id=BSGatlas-gene-101","BSGatlas-gene-101")</f>
        <v>BSGatlas-gene-101</v>
      </c>
      <c r="B102" s="1" t="s">
        <v>113</v>
      </c>
      <c r="C102" s="1" t="s">
        <v>8</v>
      </c>
      <c r="D102" s="1">
        <v>84290</v>
      </c>
      <c r="E102" s="1">
        <v>84874</v>
      </c>
      <c r="F102" s="1" t="s">
        <v>9</v>
      </c>
      <c r="G102" s="1" t="s">
        <v>11409</v>
      </c>
    </row>
    <row r="103" spans="1:7" ht="21" x14ac:dyDescent="0.25">
      <c r="A103" s="2" t="str">
        <f>HYPERLINK("https://rth.dk/resources/bsgatlas/details.php?id=BSGatlas-gene-102","BSGatlas-gene-102")</f>
        <v>BSGatlas-gene-102</v>
      </c>
      <c r="B103" s="1" t="s">
        <v>114</v>
      </c>
      <c r="C103" s="1" t="s">
        <v>8</v>
      </c>
      <c r="D103" s="1">
        <v>84874</v>
      </c>
      <c r="E103" s="1">
        <v>85755</v>
      </c>
      <c r="F103" s="1" t="s">
        <v>9</v>
      </c>
      <c r="G103" s="1" t="s">
        <v>11409</v>
      </c>
    </row>
    <row r="104" spans="1:7" ht="21" x14ac:dyDescent="0.25">
      <c r="A104" s="2" t="str">
        <f>HYPERLINK("https://rth.dk/resources/bsgatlas/details.php?id=BSGatlas-gene-103","BSGatlas-gene-103")</f>
        <v>BSGatlas-gene-103</v>
      </c>
      <c r="B104" s="1" t="s">
        <v>115</v>
      </c>
      <c r="C104" s="1" t="s">
        <v>8</v>
      </c>
      <c r="D104" s="1">
        <v>85737</v>
      </c>
      <c r="E104" s="1">
        <v>86594</v>
      </c>
      <c r="F104" s="1" t="s">
        <v>9</v>
      </c>
      <c r="G104" s="1" t="s">
        <v>11409</v>
      </c>
    </row>
    <row r="105" spans="1:7" ht="21" x14ac:dyDescent="0.25">
      <c r="A105" s="2" t="str">
        <f>HYPERLINK("https://rth.dk/resources/bsgatlas/details.php?id=BSGatlas-gene-104","BSGatlas-gene-104")</f>
        <v>BSGatlas-gene-104</v>
      </c>
      <c r="B105" s="1" t="s">
        <v>116</v>
      </c>
      <c r="C105" s="1" t="s">
        <v>8</v>
      </c>
      <c r="D105" s="1">
        <v>86587</v>
      </c>
      <c r="E105" s="1">
        <v>86949</v>
      </c>
      <c r="F105" s="1" t="s">
        <v>9</v>
      </c>
      <c r="G105" s="1" t="s">
        <v>11409</v>
      </c>
    </row>
    <row r="106" spans="1:7" ht="21" x14ac:dyDescent="0.25">
      <c r="A106" s="2" t="str">
        <f>HYPERLINK("https://rth.dk/resources/bsgatlas/details.php?id=BSGatlas-gene-105","BSGatlas-gene-105")</f>
        <v>BSGatlas-gene-105</v>
      </c>
      <c r="B106" s="1" t="s">
        <v>117</v>
      </c>
      <c r="C106" s="1" t="s">
        <v>8</v>
      </c>
      <c r="D106" s="1">
        <v>86946</v>
      </c>
      <c r="E106" s="1">
        <v>87449</v>
      </c>
      <c r="F106" s="1" t="s">
        <v>9</v>
      </c>
      <c r="G106" s="1" t="s">
        <v>11409</v>
      </c>
    </row>
    <row r="107" spans="1:7" ht="21" x14ac:dyDescent="0.25">
      <c r="A107" s="2" t="str">
        <f>HYPERLINK("https://rth.dk/resources/bsgatlas/details.php?id=BSGatlas-gene-106","BSGatlas-gene-106")</f>
        <v>BSGatlas-gene-106</v>
      </c>
      <c r="B107" s="1" t="s">
        <v>118</v>
      </c>
      <c r="C107" s="1" t="s">
        <v>8</v>
      </c>
      <c r="D107" s="1">
        <v>87401</v>
      </c>
      <c r="E107" s="1">
        <v>87610</v>
      </c>
      <c r="F107" s="1" t="s">
        <v>9</v>
      </c>
      <c r="G107" s="1" t="s">
        <v>11409</v>
      </c>
    </row>
    <row r="108" spans="1:7" ht="21" x14ac:dyDescent="0.25">
      <c r="A108" s="2" t="str">
        <f>HYPERLINK("https://rth.dk/resources/bsgatlas/details.php?id=BSGatlas-gene-107","BSGatlas-gene-107")</f>
        <v>BSGatlas-gene-107</v>
      </c>
      <c r="B108" s="1" t="s">
        <v>119</v>
      </c>
      <c r="C108" s="1" t="s">
        <v>8</v>
      </c>
      <c r="D108" s="1">
        <v>87634</v>
      </c>
      <c r="E108" s="1">
        <v>88635</v>
      </c>
      <c r="F108" s="1" t="s">
        <v>9</v>
      </c>
      <c r="G108" s="1" t="s">
        <v>11409</v>
      </c>
    </row>
    <row r="109" spans="1:7" ht="21" x14ac:dyDescent="0.25">
      <c r="A109" s="2" t="str">
        <f>HYPERLINK("https://rth.dk/resources/bsgatlas/details.php?id=BSGatlas-gene-108","BSGatlas-gene-108")</f>
        <v>BSGatlas-gene-108</v>
      </c>
      <c r="B109" s="1" t="s">
        <v>121</v>
      </c>
      <c r="C109" s="1" t="s">
        <v>12</v>
      </c>
      <c r="D109" s="1">
        <v>88050</v>
      </c>
      <c r="E109" s="1">
        <v>89566</v>
      </c>
      <c r="F109" s="1" t="s">
        <v>13</v>
      </c>
      <c r="G109" s="1" t="s">
        <v>11406</v>
      </c>
    </row>
    <row r="110" spans="1:7" ht="21" x14ac:dyDescent="0.25">
      <c r="A110" s="2" t="str">
        <f>HYPERLINK("https://rth.dk/resources/bsgatlas/details.php?id=BSGatlas-gene-109","BSGatlas-gene-109")</f>
        <v>BSGatlas-gene-109</v>
      </c>
      <c r="B110" s="1" t="s">
        <v>120</v>
      </c>
      <c r="C110" s="1" t="s">
        <v>8</v>
      </c>
      <c r="D110" s="1">
        <v>88727</v>
      </c>
      <c r="E110" s="1">
        <v>90226</v>
      </c>
      <c r="F110" s="1" t="s">
        <v>9</v>
      </c>
      <c r="G110" s="1" t="s">
        <v>11409</v>
      </c>
    </row>
    <row r="111" spans="1:7" ht="21" x14ac:dyDescent="0.25">
      <c r="A111" s="2" t="str">
        <f>HYPERLINK("https://rth.dk/resources/bsgatlas/details.php?id=BSGatlas-gene-110","BSGatlas-gene-110")</f>
        <v>BSGatlas-gene-110</v>
      </c>
      <c r="B111" s="1" t="s">
        <v>122</v>
      </c>
      <c r="C111" s="1" t="s">
        <v>21</v>
      </c>
      <c r="D111" s="1">
        <v>90536</v>
      </c>
      <c r="E111" s="1">
        <v>92089</v>
      </c>
      <c r="F111" s="1" t="s">
        <v>9</v>
      </c>
      <c r="G111" s="1" t="s">
        <v>11411</v>
      </c>
    </row>
    <row r="112" spans="1:7" ht="21" x14ac:dyDescent="0.25">
      <c r="A112" s="2" t="str">
        <f>HYPERLINK("https://rth.dk/resources/bsgatlas/details.php?id=BSGatlas-gene-111","BSGatlas-gene-111")</f>
        <v>BSGatlas-gene-111</v>
      </c>
      <c r="B112" s="1" t="s">
        <v>123</v>
      </c>
      <c r="C112" s="1" t="s">
        <v>21</v>
      </c>
      <c r="D112" s="1">
        <v>92251</v>
      </c>
      <c r="E112" s="1">
        <v>95181</v>
      </c>
      <c r="F112" s="1" t="s">
        <v>9</v>
      </c>
      <c r="G112" s="1" t="s">
        <v>11411</v>
      </c>
    </row>
    <row r="113" spans="1:7" ht="21" x14ac:dyDescent="0.25">
      <c r="A113" s="2" t="str">
        <f>HYPERLINK("https://rth.dk/resources/bsgatlas/details.php?id=BSGatlas-gene-112","BSGatlas-gene-112")</f>
        <v>BSGatlas-gene-112</v>
      </c>
      <c r="B113" s="1" t="s">
        <v>124</v>
      </c>
      <c r="C113" s="1" t="s">
        <v>21</v>
      </c>
      <c r="D113" s="1">
        <v>95236</v>
      </c>
      <c r="E113" s="1">
        <v>95354</v>
      </c>
      <c r="F113" s="1" t="s">
        <v>9</v>
      </c>
      <c r="G113" s="1" t="s">
        <v>11411</v>
      </c>
    </row>
    <row r="114" spans="1:7" ht="21" x14ac:dyDescent="0.25">
      <c r="A114" s="2" t="str">
        <f>HYPERLINK("https://rth.dk/resources/bsgatlas/details.php?id=BSGatlas-gene-113","BSGatlas-gene-113")</f>
        <v>BSGatlas-gene-113</v>
      </c>
      <c r="B114" s="1" t="s">
        <v>125</v>
      </c>
      <c r="C114" s="1" t="s">
        <v>23</v>
      </c>
      <c r="D114" s="1">
        <v>95374</v>
      </c>
      <c r="E114" s="1">
        <v>95450</v>
      </c>
      <c r="F114" s="1" t="s">
        <v>9</v>
      </c>
      <c r="G114" s="1" t="s">
        <v>11411</v>
      </c>
    </row>
    <row r="115" spans="1:7" ht="21" x14ac:dyDescent="0.25">
      <c r="A115" s="2" t="str">
        <f>HYPERLINK("https://rth.dk/resources/bsgatlas/details.php?id=BSGatlas-gene-114","BSGatlas-gene-114")</f>
        <v>BSGatlas-gene-114</v>
      </c>
      <c r="B115" s="1" t="s">
        <v>126</v>
      </c>
      <c r="C115" s="1" t="s">
        <v>23</v>
      </c>
      <c r="D115" s="1">
        <v>95454</v>
      </c>
      <c r="E115" s="1">
        <v>95530</v>
      </c>
      <c r="F115" s="1" t="s">
        <v>9</v>
      </c>
      <c r="G115" s="1" t="s">
        <v>11411</v>
      </c>
    </row>
    <row r="116" spans="1:7" ht="21" x14ac:dyDescent="0.25">
      <c r="A116" s="2" t="str">
        <f>HYPERLINK("https://rth.dk/resources/bsgatlas/details.php?id=BSGatlas-gene-115","BSGatlas-gene-115")</f>
        <v>BSGatlas-gene-115</v>
      </c>
      <c r="B116" s="1" t="s">
        <v>127</v>
      </c>
      <c r="C116" s="1" t="s">
        <v>23</v>
      </c>
      <c r="D116" s="1">
        <v>95566</v>
      </c>
      <c r="E116" s="1">
        <v>95642</v>
      </c>
      <c r="F116" s="1" t="s">
        <v>9</v>
      </c>
      <c r="G116" s="1" t="s">
        <v>11411</v>
      </c>
    </row>
    <row r="117" spans="1:7" ht="21" x14ac:dyDescent="0.25">
      <c r="A117" s="2" t="str">
        <f>HYPERLINK("https://rth.dk/resources/bsgatlas/details.php?id=BSGatlas-gene-116","BSGatlas-gene-116")</f>
        <v>BSGatlas-gene-116</v>
      </c>
      <c r="B117" s="1" t="s">
        <v>128</v>
      </c>
      <c r="C117" s="1" t="s">
        <v>23</v>
      </c>
      <c r="D117" s="1">
        <v>95648</v>
      </c>
      <c r="E117" s="1">
        <v>95731</v>
      </c>
      <c r="F117" s="1" t="s">
        <v>9</v>
      </c>
      <c r="G117" s="1" t="s">
        <v>11411</v>
      </c>
    </row>
    <row r="118" spans="1:7" ht="21" x14ac:dyDescent="0.25">
      <c r="A118" s="2" t="str">
        <f>HYPERLINK("https://rth.dk/resources/bsgatlas/details.php?id=BSGatlas-gene-117","BSGatlas-gene-117")</f>
        <v>BSGatlas-gene-117</v>
      </c>
      <c r="B118" s="1" t="s">
        <v>129</v>
      </c>
      <c r="C118" s="1" t="s">
        <v>23</v>
      </c>
      <c r="D118" s="1">
        <v>95771</v>
      </c>
      <c r="E118" s="1">
        <v>95846</v>
      </c>
      <c r="F118" s="1" t="s">
        <v>9</v>
      </c>
      <c r="G118" s="1" t="s">
        <v>11411</v>
      </c>
    </row>
    <row r="119" spans="1:7" ht="21" x14ac:dyDescent="0.25">
      <c r="A119" s="2" t="str">
        <f>HYPERLINK("https://rth.dk/resources/bsgatlas/details.php?id=BSGatlas-gene-118","BSGatlas-gene-118")</f>
        <v>BSGatlas-gene-118</v>
      </c>
      <c r="B119" s="1" t="s">
        <v>130</v>
      </c>
      <c r="C119" s="1" t="s">
        <v>23</v>
      </c>
      <c r="D119" s="1">
        <v>95860</v>
      </c>
      <c r="E119" s="1">
        <v>95946</v>
      </c>
      <c r="F119" s="1" t="s">
        <v>9</v>
      </c>
      <c r="G119" s="1" t="s">
        <v>11411</v>
      </c>
    </row>
    <row r="120" spans="1:7" ht="21" x14ac:dyDescent="0.25">
      <c r="A120" s="2" t="str">
        <f>HYPERLINK("https://rth.dk/resources/bsgatlas/details.php?id=BSGatlas-gene-119","BSGatlas-gene-119")</f>
        <v>BSGatlas-gene-119</v>
      </c>
      <c r="B120" s="1" t="s">
        <v>131</v>
      </c>
      <c r="C120" s="1" t="s">
        <v>23</v>
      </c>
      <c r="D120" s="1">
        <v>95955</v>
      </c>
      <c r="E120" s="1">
        <v>96032</v>
      </c>
      <c r="F120" s="1" t="s">
        <v>9</v>
      </c>
      <c r="G120" s="1" t="s">
        <v>11411</v>
      </c>
    </row>
    <row r="121" spans="1:7" ht="21" x14ac:dyDescent="0.25">
      <c r="A121" s="2" t="str">
        <f>HYPERLINK("https://rth.dk/resources/bsgatlas/details.php?id=BSGatlas-gene-120","BSGatlas-gene-120")</f>
        <v>BSGatlas-gene-120</v>
      </c>
      <c r="B121" s="1" t="s">
        <v>132</v>
      </c>
      <c r="C121" s="1" t="s">
        <v>23</v>
      </c>
      <c r="D121" s="1">
        <v>96059</v>
      </c>
      <c r="E121" s="1">
        <v>96136</v>
      </c>
      <c r="F121" s="1" t="s">
        <v>9</v>
      </c>
      <c r="G121" s="1" t="s">
        <v>11411</v>
      </c>
    </row>
    <row r="122" spans="1:7" ht="21" x14ac:dyDescent="0.25">
      <c r="A122" s="2" t="str">
        <f>HYPERLINK("https://rth.dk/resources/bsgatlas/details.php?id=BSGatlas-gene-121","BSGatlas-gene-121")</f>
        <v>BSGatlas-gene-121</v>
      </c>
      <c r="B122" s="1" t="s">
        <v>133</v>
      </c>
      <c r="C122" s="1" t="s">
        <v>23</v>
      </c>
      <c r="D122" s="1">
        <v>96145</v>
      </c>
      <c r="E122" s="1">
        <v>96221</v>
      </c>
      <c r="F122" s="1" t="s">
        <v>9</v>
      </c>
      <c r="G122" s="1" t="s">
        <v>11411</v>
      </c>
    </row>
    <row r="123" spans="1:7" ht="21" x14ac:dyDescent="0.25">
      <c r="A123" s="2" t="str">
        <f>HYPERLINK("https://rth.dk/resources/bsgatlas/details.php?id=BSGatlas-gene-122","BSGatlas-gene-122")</f>
        <v>BSGatlas-gene-122</v>
      </c>
      <c r="B123" s="1" t="s">
        <v>11415</v>
      </c>
      <c r="C123" s="1" t="s">
        <v>21</v>
      </c>
      <c r="D123" s="1">
        <v>96392</v>
      </c>
      <c r="E123" s="1">
        <v>97945</v>
      </c>
      <c r="F123" s="1" t="s">
        <v>9</v>
      </c>
      <c r="G123" s="1" t="s">
        <v>11411</v>
      </c>
    </row>
    <row r="124" spans="1:7" ht="21" x14ac:dyDescent="0.25">
      <c r="A124" s="2" t="str">
        <f>HYPERLINK("https://rth.dk/resources/bsgatlas/details.php?id=BSGatlas-gene-123","BSGatlas-gene-123")</f>
        <v>BSGatlas-gene-123</v>
      </c>
      <c r="B124" s="1" t="s">
        <v>11416</v>
      </c>
      <c r="C124" s="1" t="s">
        <v>21</v>
      </c>
      <c r="D124" s="1">
        <v>98107</v>
      </c>
      <c r="E124" s="1">
        <v>101037</v>
      </c>
      <c r="F124" s="1" t="s">
        <v>9</v>
      </c>
      <c r="G124" s="1" t="s">
        <v>11411</v>
      </c>
    </row>
    <row r="125" spans="1:7" ht="21" x14ac:dyDescent="0.25">
      <c r="A125" s="2" t="str">
        <f>HYPERLINK("https://rth.dk/resources/bsgatlas/details.php?id=BSGatlas-gene-124","BSGatlas-gene-124")</f>
        <v>BSGatlas-gene-124</v>
      </c>
      <c r="B125" s="1" t="s">
        <v>11417</v>
      </c>
      <c r="C125" s="1" t="s">
        <v>21</v>
      </c>
      <c r="D125" s="1">
        <v>101092</v>
      </c>
      <c r="E125" s="1">
        <v>101211</v>
      </c>
      <c r="F125" s="1" t="s">
        <v>9</v>
      </c>
      <c r="G125" s="1" t="s">
        <v>11411</v>
      </c>
    </row>
    <row r="126" spans="1:7" ht="21" x14ac:dyDescent="0.25">
      <c r="A126" s="2" t="str">
        <f>HYPERLINK("https://rth.dk/resources/bsgatlas/details.php?id=BSGatlas-gene-125","BSGatlas-gene-125")</f>
        <v>BSGatlas-gene-125</v>
      </c>
      <c r="B126" s="1" t="s">
        <v>134</v>
      </c>
      <c r="C126" s="1" t="s">
        <v>8</v>
      </c>
      <c r="D126" s="1">
        <v>101449</v>
      </c>
      <c r="E126" s="1">
        <v>101913</v>
      </c>
      <c r="F126" s="1" t="s">
        <v>9</v>
      </c>
      <c r="G126" s="1" t="s">
        <v>11409</v>
      </c>
    </row>
    <row r="127" spans="1:7" ht="21" x14ac:dyDescent="0.25">
      <c r="A127" s="2" t="str">
        <f>HYPERLINK("https://rth.dk/resources/bsgatlas/details.php?id=BSGatlas-gene-126","BSGatlas-gene-126")</f>
        <v>BSGatlas-gene-126</v>
      </c>
      <c r="B127" s="1" t="s">
        <v>135</v>
      </c>
      <c r="C127" s="1" t="s">
        <v>8</v>
      </c>
      <c r="D127" s="1">
        <v>101927</v>
      </c>
      <c r="E127" s="1">
        <v>102484</v>
      </c>
      <c r="F127" s="1" t="s">
        <v>9</v>
      </c>
      <c r="G127" s="1" t="s">
        <v>11409</v>
      </c>
    </row>
    <row r="128" spans="1:7" ht="21" x14ac:dyDescent="0.25">
      <c r="A128" s="2" t="str">
        <f>HYPERLINK("https://rth.dk/resources/bsgatlas/details.php?id=BSGatlas-gene-127","BSGatlas-gene-127")</f>
        <v>BSGatlas-gene-127</v>
      </c>
      <c r="B128" s="1" t="s">
        <v>136</v>
      </c>
      <c r="C128" s="1" t="s">
        <v>8</v>
      </c>
      <c r="D128" s="1">
        <v>102484</v>
      </c>
      <c r="E128" s="1">
        <v>103575</v>
      </c>
      <c r="F128" s="1" t="s">
        <v>9</v>
      </c>
      <c r="G128" s="1" t="s">
        <v>11409</v>
      </c>
    </row>
    <row r="129" spans="1:7" ht="21" x14ac:dyDescent="0.25">
      <c r="A129" s="2" t="str">
        <f>HYPERLINK("https://rth.dk/resources/bsgatlas/details.php?id=BSGatlas-gene-128","BSGatlas-gene-128")</f>
        <v>BSGatlas-gene-128</v>
      </c>
      <c r="B129" s="1" t="s">
        <v>137</v>
      </c>
      <c r="C129" s="1" t="s">
        <v>8</v>
      </c>
      <c r="D129" s="1">
        <v>103572</v>
      </c>
      <c r="E129" s="1">
        <v>106004</v>
      </c>
      <c r="F129" s="1" t="s">
        <v>9</v>
      </c>
      <c r="G129" s="1" t="s">
        <v>11409</v>
      </c>
    </row>
    <row r="130" spans="1:7" ht="21" x14ac:dyDescent="0.25">
      <c r="A130" s="2" t="str">
        <f>HYPERLINK("https://rth.dk/resources/bsgatlas/details.php?id=BSGatlas-gene-129","BSGatlas-gene-129")</f>
        <v>BSGatlas-gene-129</v>
      </c>
      <c r="B130" s="1" t="s">
        <v>138</v>
      </c>
      <c r="C130" s="1" t="s">
        <v>8</v>
      </c>
      <c r="D130" s="1">
        <v>106096</v>
      </c>
      <c r="E130" s="1">
        <v>107472</v>
      </c>
      <c r="F130" s="1" t="s">
        <v>9</v>
      </c>
      <c r="G130" s="1" t="s">
        <v>11409</v>
      </c>
    </row>
    <row r="131" spans="1:7" ht="21" x14ac:dyDescent="0.25">
      <c r="A131" s="2" t="str">
        <f>HYPERLINK("https://rth.dk/resources/bsgatlas/details.php?id=BSGatlas-gene-130","BSGatlas-gene-130")</f>
        <v>BSGatlas-gene-130</v>
      </c>
      <c r="B131" s="1" t="s">
        <v>139</v>
      </c>
      <c r="C131" s="1" t="s">
        <v>8</v>
      </c>
      <c r="D131" s="1">
        <v>107476</v>
      </c>
      <c r="E131" s="1">
        <v>108558</v>
      </c>
      <c r="F131" s="1" t="s">
        <v>9</v>
      </c>
      <c r="G131" s="1" t="s">
        <v>11409</v>
      </c>
    </row>
    <row r="132" spans="1:7" ht="21" x14ac:dyDescent="0.25">
      <c r="A132" s="2" t="str">
        <f>HYPERLINK("https://rth.dk/resources/bsgatlas/details.php?id=BSGatlas-gene-131","BSGatlas-gene-131")</f>
        <v>BSGatlas-gene-131</v>
      </c>
      <c r="B132" s="1" t="s">
        <v>140</v>
      </c>
      <c r="C132" s="1" t="s">
        <v>8</v>
      </c>
      <c r="D132" s="1">
        <v>108674</v>
      </c>
      <c r="E132" s="1">
        <v>109774</v>
      </c>
      <c r="F132" s="1" t="s">
        <v>9</v>
      </c>
      <c r="G132" s="1" t="s">
        <v>11409</v>
      </c>
    </row>
    <row r="133" spans="1:7" ht="21" x14ac:dyDescent="0.25">
      <c r="A133" s="2" t="str">
        <f>HYPERLINK("https://rth.dk/resources/bsgatlas/details.php?id=BSGatlas-gene-132","BSGatlas-gene-132")</f>
        <v>BSGatlas-gene-132</v>
      </c>
      <c r="B133" s="1" t="s">
        <v>141</v>
      </c>
      <c r="C133" s="1" t="s">
        <v>8</v>
      </c>
      <c r="D133" s="1">
        <v>109789</v>
      </c>
      <c r="E133" s="1">
        <v>110487</v>
      </c>
      <c r="F133" s="1" t="s">
        <v>9</v>
      </c>
      <c r="G133" s="1" t="s">
        <v>11409</v>
      </c>
    </row>
    <row r="134" spans="1:7" ht="21" x14ac:dyDescent="0.25">
      <c r="A134" s="2" t="str">
        <f>HYPERLINK("https://rth.dk/resources/bsgatlas/details.php?id=BSGatlas-gene-133","BSGatlas-gene-133")</f>
        <v>BSGatlas-gene-133</v>
      </c>
      <c r="B134" s="1" t="s">
        <v>142</v>
      </c>
      <c r="C134" s="1" t="s">
        <v>8</v>
      </c>
      <c r="D134" s="1">
        <v>110480</v>
      </c>
      <c r="E134" s="1">
        <v>110956</v>
      </c>
      <c r="F134" s="1" t="s">
        <v>9</v>
      </c>
      <c r="G134" s="1" t="s">
        <v>11409</v>
      </c>
    </row>
    <row r="135" spans="1:7" ht="21" x14ac:dyDescent="0.25">
      <c r="A135" s="2" t="str">
        <f>HYPERLINK("https://rth.dk/resources/bsgatlas/details.php?id=BSGatlas-gene-134","BSGatlas-gene-134")</f>
        <v>BSGatlas-gene-134</v>
      </c>
      <c r="B135" s="1" t="s">
        <v>143</v>
      </c>
      <c r="C135" s="1" t="s">
        <v>8</v>
      </c>
      <c r="D135" s="1">
        <v>111047</v>
      </c>
      <c r="E135" s="1">
        <v>112498</v>
      </c>
      <c r="F135" s="1" t="s">
        <v>9</v>
      </c>
      <c r="G135" s="1" t="s">
        <v>11409</v>
      </c>
    </row>
    <row r="136" spans="1:7" ht="21" x14ac:dyDescent="0.25">
      <c r="A136" s="2" t="str">
        <f>HYPERLINK("https://rth.dk/resources/bsgatlas/details.php?id=BSGatlas-gene-135","BSGatlas-gene-135")</f>
        <v>BSGatlas-gene-135</v>
      </c>
      <c r="B136" s="1" t="s">
        <v>144</v>
      </c>
      <c r="C136" s="1" t="s">
        <v>34</v>
      </c>
      <c r="D136" s="1">
        <v>112500</v>
      </c>
      <c r="E136" s="1">
        <v>112731</v>
      </c>
      <c r="F136" s="1" t="s">
        <v>9</v>
      </c>
      <c r="G136" s="1" t="s">
        <v>11410</v>
      </c>
    </row>
    <row r="137" spans="1:7" ht="21" x14ac:dyDescent="0.25">
      <c r="A137" s="2" t="str">
        <f>HYPERLINK("https://rth.dk/resources/bsgatlas/details.php?id=BSGatlas-gene-136","BSGatlas-gene-136")</f>
        <v>BSGatlas-gene-136</v>
      </c>
      <c r="B137" s="1" t="s">
        <v>145</v>
      </c>
      <c r="C137" s="1" t="s">
        <v>8</v>
      </c>
      <c r="D137" s="1">
        <v>112800</v>
      </c>
      <c r="E137" s="1">
        <v>113453</v>
      </c>
      <c r="F137" s="1" t="s">
        <v>9</v>
      </c>
      <c r="G137" s="1" t="s">
        <v>11409</v>
      </c>
    </row>
    <row r="138" spans="1:7" ht="21" x14ac:dyDescent="0.25">
      <c r="A138" s="2" t="str">
        <f>HYPERLINK("https://rth.dk/resources/bsgatlas/details.php?id=BSGatlas-gene-137","BSGatlas-gene-137")</f>
        <v>BSGatlas-gene-137</v>
      </c>
      <c r="B138" s="1" t="s">
        <v>146</v>
      </c>
      <c r="C138" s="1" t="s">
        <v>8</v>
      </c>
      <c r="D138" s="1">
        <v>113450</v>
      </c>
      <c r="E138" s="1">
        <v>114850</v>
      </c>
      <c r="F138" s="1" t="s">
        <v>9</v>
      </c>
      <c r="G138" s="1" t="s">
        <v>11409</v>
      </c>
    </row>
    <row r="139" spans="1:7" ht="21" x14ac:dyDescent="0.25">
      <c r="A139" s="2" t="str">
        <f>HYPERLINK("https://rth.dk/resources/bsgatlas/details.php?id=BSGatlas-gene-138","BSGatlas-gene-138")</f>
        <v>BSGatlas-gene-138</v>
      </c>
      <c r="B139" s="1" t="s">
        <v>147</v>
      </c>
      <c r="C139" s="1" t="s">
        <v>8</v>
      </c>
      <c r="D139" s="1">
        <v>114854</v>
      </c>
      <c r="E139" s="1">
        <v>115285</v>
      </c>
      <c r="F139" s="1" t="s">
        <v>9</v>
      </c>
      <c r="G139" s="1" t="s">
        <v>11409</v>
      </c>
    </row>
    <row r="140" spans="1:7" ht="21" x14ac:dyDescent="0.25">
      <c r="A140" s="2" t="str">
        <f>HYPERLINK("https://rth.dk/resources/bsgatlas/details.php?id=BSGatlas-gene-139","BSGatlas-gene-139")</f>
        <v>BSGatlas-gene-139</v>
      </c>
      <c r="B140" s="1" t="s">
        <v>148</v>
      </c>
      <c r="C140" s="1" t="s">
        <v>8</v>
      </c>
      <c r="D140" s="1">
        <v>115269</v>
      </c>
      <c r="E140" s="1">
        <v>116018</v>
      </c>
      <c r="F140" s="1" t="s">
        <v>9</v>
      </c>
      <c r="G140" s="1" t="s">
        <v>11409</v>
      </c>
    </row>
    <row r="141" spans="1:7" ht="21" x14ac:dyDescent="0.25">
      <c r="A141" s="2" t="str">
        <f>HYPERLINK("https://rth.dk/resources/bsgatlas/details.php?id=BSGatlas-gene-140","BSGatlas-gene-140")</f>
        <v>BSGatlas-gene-140</v>
      </c>
      <c r="B141" s="1" t="s">
        <v>149</v>
      </c>
      <c r="C141" s="1" t="s">
        <v>8</v>
      </c>
      <c r="D141" s="1">
        <v>116025</v>
      </c>
      <c r="E141" s="1">
        <v>116537</v>
      </c>
      <c r="F141" s="1" t="s">
        <v>9</v>
      </c>
      <c r="G141" s="1" t="s">
        <v>11409</v>
      </c>
    </row>
    <row r="142" spans="1:7" ht="21" x14ac:dyDescent="0.25">
      <c r="A142" s="2" t="str">
        <f>HYPERLINK("https://rth.dk/resources/bsgatlas/details.php?id=BSGatlas-gene-141","BSGatlas-gene-141")</f>
        <v>BSGatlas-gene-141</v>
      </c>
      <c r="B142" s="1" t="s">
        <v>150</v>
      </c>
      <c r="C142" s="1" t="s">
        <v>8</v>
      </c>
      <c r="D142" s="1">
        <v>116600</v>
      </c>
      <c r="E142" s="1">
        <v>117256</v>
      </c>
      <c r="F142" s="1" t="s">
        <v>9</v>
      </c>
      <c r="G142" s="1" t="s">
        <v>11409</v>
      </c>
    </row>
    <row r="143" spans="1:7" ht="21" x14ac:dyDescent="0.25">
      <c r="A143" s="2" t="str">
        <f>HYPERLINK("https://rth.dk/resources/bsgatlas/details.php?id=BSGatlas-gene-142","BSGatlas-gene-142")</f>
        <v>BSGatlas-gene-142</v>
      </c>
      <c r="B143" s="1" t="s">
        <v>151</v>
      </c>
      <c r="C143" s="1" t="s">
        <v>8</v>
      </c>
      <c r="D143" s="1">
        <v>117349</v>
      </c>
      <c r="E143" s="1">
        <v>117498</v>
      </c>
      <c r="F143" s="1" t="s">
        <v>9</v>
      </c>
      <c r="G143" s="1" t="s">
        <v>11409</v>
      </c>
    </row>
    <row r="144" spans="1:7" ht="21" x14ac:dyDescent="0.25">
      <c r="A144" s="2" t="str">
        <f>HYPERLINK("https://rth.dk/resources/bsgatlas/details.php?id=BSGatlas-gene-143","BSGatlas-gene-143")</f>
        <v>BSGatlas-gene-143</v>
      </c>
      <c r="B144" s="1" t="s">
        <v>152</v>
      </c>
      <c r="C144" s="1" t="s">
        <v>8</v>
      </c>
      <c r="D144" s="1">
        <v>117532</v>
      </c>
      <c r="E144" s="1">
        <v>117711</v>
      </c>
      <c r="F144" s="1" t="s">
        <v>9</v>
      </c>
      <c r="G144" s="1" t="s">
        <v>11409</v>
      </c>
    </row>
    <row r="145" spans="1:7" ht="21" x14ac:dyDescent="0.25">
      <c r="A145" s="2" t="str">
        <f>HYPERLINK("https://rth.dk/resources/bsgatlas/details.php?id=BSGatlas-gene-144","BSGatlas-gene-144")</f>
        <v>BSGatlas-gene-144</v>
      </c>
      <c r="B145" s="1" t="s">
        <v>11418</v>
      </c>
      <c r="C145" s="1" t="s">
        <v>8</v>
      </c>
      <c r="D145" s="1">
        <v>117890</v>
      </c>
      <c r="E145" s="1">
        <v>118423</v>
      </c>
      <c r="F145" s="1" t="s">
        <v>9</v>
      </c>
      <c r="G145" s="1" t="s">
        <v>11409</v>
      </c>
    </row>
    <row r="146" spans="1:7" ht="21" x14ac:dyDescent="0.25">
      <c r="A146" s="2" t="str">
        <f>HYPERLINK("https://rth.dk/resources/bsgatlas/details.php?id=BSGatlas-gene-145","BSGatlas-gene-145")</f>
        <v>BSGatlas-gene-145</v>
      </c>
      <c r="B146" s="1" t="s">
        <v>153</v>
      </c>
      <c r="C146" s="1" t="s">
        <v>8</v>
      </c>
      <c r="D146" s="1">
        <v>118591</v>
      </c>
      <c r="E146" s="1">
        <v>119016</v>
      </c>
      <c r="F146" s="1" t="s">
        <v>9</v>
      </c>
      <c r="G146" s="1" t="s">
        <v>11409</v>
      </c>
    </row>
    <row r="147" spans="1:7" ht="21" x14ac:dyDescent="0.25">
      <c r="A147" s="2" t="str">
        <f>HYPERLINK("https://rth.dk/resources/bsgatlas/details.php?id=BSGatlas-gene-146","BSGatlas-gene-146")</f>
        <v>BSGatlas-gene-146</v>
      </c>
      <c r="B147" s="1" t="s">
        <v>154</v>
      </c>
      <c r="C147" s="1" t="s">
        <v>8</v>
      </c>
      <c r="D147" s="1">
        <v>119111</v>
      </c>
      <c r="E147" s="1">
        <v>119809</v>
      </c>
      <c r="F147" s="1" t="s">
        <v>9</v>
      </c>
      <c r="G147" s="1" t="s">
        <v>11409</v>
      </c>
    </row>
    <row r="148" spans="1:7" ht="21" x14ac:dyDescent="0.25">
      <c r="A148" s="2" t="str">
        <f>HYPERLINK("https://rth.dk/resources/bsgatlas/details.php?id=BSGatlas-gene-147","BSGatlas-gene-147")</f>
        <v>BSGatlas-gene-147</v>
      </c>
      <c r="B148" s="1" t="s">
        <v>155</v>
      </c>
      <c r="C148" s="1" t="s">
        <v>34</v>
      </c>
      <c r="D148" s="1">
        <v>119854</v>
      </c>
      <c r="E148" s="1">
        <v>119995</v>
      </c>
      <c r="F148" s="1" t="s">
        <v>9</v>
      </c>
      <c r="G148" s="1" t="s">
        <v>11412</v>
      </c>
    </row>
    <row r="149" spans="1:7" ht="21" x14ac:dyDescent="0.25">
      <c r="A149" s="2" t="str">
        <f>HYPERLINK("https://rth.dk/resources/bsgatlas/details.php?id=BSGatlas-gene-148","BSGatlas-gene-148")</f>
        <v>BSGatlas-gene-148</v>
      </c>
      <c r="B149" s="1" t="s">
        <v>156</v>
      </c>
      <c r="C149" s="1" t="s">
        <v>8</v>
      </c>
      <c r="D149" s="1">
        <v>120061</v>
      </c>
      <c r="E149" s="1">
        <v>120561</v>
      </c>
      <c r="F149" s="1" t="s">
        <v>9</v>
      </c>
      <c r="G149" s="1" t="s">
        <v>11409</v>
      </c>
    </row>
    <row r="150" spans="1:7" ht="21" x14ac:dyDescent="0.25">
      <c r="A150" s="2" t="str">
        <f>HYPERLINK("https://rth.dk/resources/bsgatlas/details.php?id=BSGatlas-gene-149","BSGatlas-gene-149")</f>
        <v>BSGatlas-gene-149</v>
      </c>
      <c r="B150" s="1" t="s">
        <v>157</v>
      </c>
      <c r="C150" s="1" t="s">
        <v>8</v>
      </c>
      <c r="D150" s="1">
        <v>120607</v>
      </c>
      <c r="E150" s="1">
        <v>120978</v>
      </c>
      <c r="F150" s="1" t="s">
        <v>9</v>
      </c>
      <c r="G150" s="1" t="s">
        <v>11409</v>
      </c>
    </row>
    <row r="151" spans="1:7" ht="21" x14ac:dyDescent="0.25">
      <c r="A151" s="2" t="str">
        <f>HYPERLINK("https://rth.dk/resources/bsgatlas/details.php?id=BSGatlas-gene-150","BSGatlas-gene-150")</f>
        <v>BSGatlas-gene-150</v>
      </c>
      <c r="B151" s="1" t="s">
        <v>11419</v>
      </c>
      <c r="C151" s="1" t="s">
        <v>8</v>
      </c>
      <c r="D151" s="1">
        <v>121068</v>
      </c>
      <c r="E151" s="1">
        <v>121673</v>
      </c>
      <c r="F151" s="1" t="s">
        <v>9</v>
      </c>
      <c r="G151" s="1" t="s">
        <v>11409</v>
      </c>
    </row>
    <row r="152" spans="1:7" ht="21" x14ac:dyDescent="0.25">
      <c r="A152" s="2" t="str">
        <f>HYPERLINK("https://rth.dk/resources/bsgatlas/details.php?id=BSGatlas-gene-151","BSGatlas-gene-151")</f>
        <v>BSGatlas-gene-151</v>
      </c>
      <c r="B152" s="1" t="s">
        <v>158</v>
      </c>
      <c r="C152" s="1" t="s">
        <v>8</v>
      </c>
      <c r="D152" s="1">
        <v>121919</v>
      </c>
      <c r="E152" s="1">
        <v>125500</v>
      </c>
      <c r="F152" s="1" t="s">
        <v>9</v>
      </c>
      <c r="G152" s="1" t="s">
        <v>11409</v>
      </c>
    </row>
    <row r="153" spans="1:7" ht="21" x14ac:dyDescent="0.25">
      <c r="A153" s="2" t="str">
        <f>HYPERLINK("https://rth.dk/resources/bsgatlas/details.php?id=BSGatlas-gene-152","BSGatlas-gene-152")</f>
        <v>BSGatlas-gene-152</v>
      </c>
      <c r="B153" s="1" t="s">
        <v>159</v>
      </c>
      <c r="C153" s="1" t="s">
        <v>8</v>
      </c>
      <c r="D153" s="1">
        <v>125562</v>
      </c>
      <c r="E153" s="1">
        <v>129161</v>
      </c>
      <c r="F153" s="1" t="s">
        <v>9</v>
      </c>
      <c r="G153" s="1" t="s">
        <v>11409</v>
      </c>
    </row>
    <row r="154" spans="1:7" ht="21" x14ac:dyDescent="0.25">
      <c r="A154" s="2" t="str">
        <f>HYPERLINK("https://rth.dk/resources/bsgatlas/details.php?id=BSGatlas-gene-153","BSGatlas-gene-153")</f>
        <v>BSGatlas-gene-153</v>
      </c>
      <c r="B154" s="1" t="s">
        <v>160</v>
      </c>
      <c r="C154" s="1" t="s">
        <v>8</v>
      </c>
      <c r="D154" s="1">
        <v>129340</v>
      </c>
      <c r="E154" s="1">
        <v>129588</v>
      </c>
      <c r="F154" s="1" t="s">
        <v>9</v>
      </c>
      <c r="G154" s="1" t="s">
        <v>11409</v>
      </c>
    </row>
    <row r="155" spans="1:7" ht="21" x14ac:dyDescent="0.25">
      <c r="A155" s="2" t="str">
        <f>HYPERLINK("https://rth.dk/resources/bsgatlas/details.php?id=BSGatlas-gene-154","BSGatlas-gene-154")</f>
        <v>BSGatlas-gene-154</v>
      </c>
      <c r="B155" s="1" t="s">
        <v>161</v>
      </c>
      <c r="C155" s="1" t="s">
        <v>8</v>
      </c>
      <c r="D155" s="1">
        <v>129702</v>
      </c>
      <c r="E155" s="1">
        <v>130118</v>
      </c>
      <c r="F155" s="1" t="s">
        <v>9</v>
      </c>
      <c r="G155" s="1" t="s">
        <v>11409</v>
      </c>
    </row>
    <row r="156" spans="1:7" ht="21" x14ac:dyDescent="0.25">
      <c r="A156" s="2" t="str">
        <f>HYPERLINK("https://rth.dk/resources/bsgatlas/details.php?id=BSGatlas-gene-155","BSGatlas-gene-155")</f>
        <v>BSGatlas-gene-155</v>
      </c>
      <c r="B156" s="1" t="s">
        <v>162</v>
      </c>
      <c r="C156" s="1" t="s">
        <v>8</v>
      </c>
      <c r="D156" s="1">
        <v>130160</v>
      </c>
      <c r="E156" s="1">
        <v>130630</v>
      </c>
      <c r="F156" s="1" t="s">
        <v>9</v>
      </c>
      <c r="G156" s="1" t="s">
        <v>11409</v>
      </c>
    </row>
    <row r="157" spans="1:7" ht="21" x14ac:dyDescent="0.25">
      <c r="A157" s="2" t="str">
        <f>HYPERLINK("https://rth.dk/resources/bsgatlas/details.php?id=BSGatlas-gene-156","BSGatlas-gene-156")</f>
        <v>BSGatlas-gene-156</v>
      </c>
      <c r="B157" s="1" t="s">
        <v>163</v>
      </c>
      <c r="C157" s="1" t="s">
        <v>8</v>
      </c>
      <c r="D157" s="1">
        <v>130684</v>
      </c>
      <c r="E157" s="1">
        <v>132762</v>
      </c>
      <c r="F157" s="1" t="s">
        <v>9</v>
      </c>
      <c r="G157" s="1" t="s">
        <v>11409</v>
      </c>
    </row>
    <row r="158" spans="1:7" ht="21" x14ac:dyDescent="0.25">
      <c r="A158" s="2" t="str">
        <f>HYPERLINK("https://rth.dk/resources/bsgatlas/details.php?id=BSGatlas-gene-157","BSGatlas-gene-157")</f>
        <v>BSGatlas-gene-157</v>
      </c>
      <c r="B158" s="1" t="s">
        <v>164</v>
      </c>
      <c r="C158" s="1" t="s">
        <v>8</v>
      </c>
      <c r="D158" s="1">
        <v>132882</v>
      </c>
      <c r="E158" s="1">
        <v>134072</v>
      </c>
      <c r="F158" s="1" t="s">
        <v>9</v>
      </c>
      <c r="G158" s="1" t="s">
        <v>11409</v>
      </c>
    </row>
    <row r="159" spans="1:7" ht="21" x14ac:dyDescent="0.25">
      <c r="A159" s="2" t="str">
        <f>HYPERLINK("https://rth.dk/resources/bsgatlas/details.php?id=BSGatlas-gene-158","BSGatlas-gene-158")</f>
        <v>BSGatlas-gene-158</v>
      </c>
      <c r="B159" s="1" t="s">
        <v>165</v>
      </c>
      <c r="C159" s="1" t="s">
        <v>8</v>
      </c>
      <c r="D159" s="1">
        <v>134171</v>
      </c>
      <c r="E159" s="1">
        <v>135127</v>
      </c>
      <c r="F159" s="1" t="s">
        <v>9</v>
      </c>
      <c r="G159" s="1" t="s">
        <v>11409</v>
      </c>
    </row>
    <row r="160" spans="1:7" ht="21" x14ac:dyDescent="0.25">
      <c r="A160" s="2" t="str">
        <f>HYPERLINK("https://rth.dk/resources/bsgatlas/details.php?id=BSGatlas-gene-159","BSGatlas-gene-159")</f>
        <v>BSGatlas-gene-159</v>
      </c>
      <c r="B160" s="1" t="s">
        <v>11420</v>
      </c>
      <c r="C160" s="1" t="s">
        <v>34</v>
      </c>
      <c r="D160" s="1">
        <v>135238</v>
      </c>
      <c r="E160" s="1">
        <v>135321</v>
      </c>
      <c r="F160" s="1" t="s">
        <v>9</v>
      </c>
      <c r="G160" s="1" t="s">
        <v>11414</v>
      </c>
    </row>
    <row r="161" spans="1:7" ht="21" x14ac:dyDescent="0.25">
      <c r="A161" s="2" t="str">
        <f>HYPERLINK("https://rth.dk/resources/bsgatlas/details.php?id=BSGatlas-gene-160","BSGatlas-gene-160")</f>
        <v>BSGatlas-gene-160</v>
      </c>
      <c r="B161" s="1" t="s">
        <v>166</v>
      </c>
      <c r="C161" s="1" t="s">
        <v>8</v>
      </c>
      <c r="D161" s="1">
        <v>135364</v>
      </c>
      <c r="E161" s="1">
        <v>135672</v>
      </c>
      <c r="F161" s="1" t="s">
        <v>9</v>
      </c>
      <c r="G161" s="1" t="s">
        <v>11409</v>
      </c>
    </row>
    <row r="162" spans="1:7" ht="21" x14ac:dyDescent="0.25">
      <c r="A162" s="2" t="str">
        <f>HYPERLINK("https://rth.dk/resources/bsgatlas/details.php?id=BSGatlas-gene-161","BSGatlas-gene-161")</f>
        <v>BSGatlas-gene-161</v>
      </c>
      <c r="B162" s="1" t="s">
        <v>167</v>
      </c>
      <c r="C162" s="1" t="s">
        <v>8</v>
      </c>
      <c r="D162" s="1">
        <v>135712</v>
      </c>
      <c r="E162" s="1">
        <v>136341</v>
      </c>
      <c r="F162" s="1" t="s">
        <v>9</v>
      </c>
      <c r="G162" s="1" t="s">
        <v>11409</v>
      </c>
    </row>
    <row r="163" spans="1:7" ht="21" x14ac:dyDescent="0.25">
      <c r="A163" s="2" t="str">
        <f>HYPERLINK("https://rth.dk/resources/bsgatlas/details.php?id=BSGatlas-gene-162","BSGatlas-gene-162")</f>
        <v>BSGatlas-gene-162</v>
      </c>
      <c r="B163" s="1" t="s">
        <v>168</v>
      </c>
      <c r="C163" s="1" t="s">
        <v>8</v>
      </c>
      <c r="D163" s="1">
        <v>136369</v>
      </c>
      <c r="E163" s="1">
        <v>136992</v>
      </c>
      <c r="F163" s="1" t="s">
        <v>9</v>
      </c>
      <c r="G163" s="1" t="s">
        <v>11409</v>
      </c>
    </row>
    <row r="164" spans="1:7" ht="21" x14ac:dyDescent="0.25">
      <c r="A164" s="2" t="str">
        <f>HYPERLINK("https://rth.dk/resources/bsgatlas/details.php?id=BSGatlas-gene-163","BSGatlas-gene-163")</f>
        <v>BSGatlas-gene-163</v>
      </c>
      <c r="B164" s="1" t="s">
        <v>169</v>
      </c>
      <c r="C164" s="1" t="s">
        <v>8</v>
      </c>
      <c r="D164" s="1">
        <v>136992</v>
      </c>
      <c r="E164" s="1">
        <v>137279</v>
      </c>
      <c r="F164" s="1" t="s">
        <v>9</v>
      </c>
      <c r="G164" s="1" t="s">
        <v>11409</v>
      </c>
    </row>
    <row r="165" spans="1:7" ht="21" x14ac:dyDescent="0.25">
      <c r="A165" s="2" t="str">
        <f>HYPERLINK("https://rth.dk/resources/bsgatlas/details.php?id=BSGatlas-gene-164","BSGatlas-gene-164")</f>
        <v>BSGatlas-gene-164</v>
      </c>
      <c r="B165" s="1" t="s">
        <v>170</v>
      </c>
      <c r="C165" s="1" t="s">
        <v>8</v>
      </c>
      <c r="D165" s="1">
        <v>137311</v>
      </c>
      <c r="E165" s="1">
        <v>138144</v>
      </c>
      <c r="F165" s="1" t="s">
        <v>9</v>
      </c>
      <c r="G165" s="1" t="s">
        <v>11409</v>
      </c>
    </row>
    <row r="166" spans="1:7" ht="21" x14ac:dyDescent="0.25">
      <c r="A166" s="2" t="str">
        <f>HYPERLINK("https://rth.dk/resources/bsgatlas/details.php?id=BSGatlas-gene-165","BSGatlas-gene-165")</f>
        <v>BSGatlas-gene-165</v>
      </c>
      <c r="B166" s="1" t="s">
        <v>171</v>
      </c>
      <c r="C166" s="1" t="s">
        <v>8</v>
      </c>
      <c r="D166" s="1">
        <v>138202</v>
      </c>
      <c r="E166" s="1">
        <v>138480</v>
      </c>
      <c r="F166" s="1" t="s">
        <v>9</v>
      </c>
      <c r="G166" s="1" t="s">
        <v>11409</v>
      </c>
    </row>
    <row r="167" spans="1:7" ht="21" x14ac:dyDescent="0.25">
      <c r="A167" s="2" t="str">
        <f>HYPERLINK("https://rth.dk/resources/bsgatlas/details.php?id=BSGatlas-gene-166","BSGatlas-gene-166")</f>
        <v>BSGatlas-gene-166</v>
      </c>
      <c r="B167" s="1" t="s">
        <v>172</v>
      </c>
      <c r="C167" s="1" t="s">
        <v>8</v>
      </c>
      <c r="D167" s="1">
        <v>138497</v>
      </c>
      <c r="E167" s="1">
        <v>138838</v>
      </c>
      <c r="F167" s="1" t="s">
        <v>9</v>
      </c>
      <c r="G167" s="1" t="s">
        <v>11409</v>
      </c>
    </row>
    <row r="168" spans="1:7" ht="21" x14ac:dyDescent="0.25">
      <c r="A168" s="2" t="str">
        <f>HYPERLINK("https://rth.dk/resources/bsgatlas/details.php?id=BSGatlas-gene-167","BSGatlas-gene-167")</f>
        <v>BSGatlas-gene-167</v>
      </c>
      <c r="B168" s="1" t="s">
        <v>173</v>
      </c>
      <c r="C168" s="1" t="s">
        <v>8</v>
      </c>
      <c r="D168" s="1">
        <v>138842</v>
      </c>
      <c r="E168" s="1">
        <v>139498</v>
      </c>
      <c r="F168" s="1" t="s">
        <v>9</v>
      </c>
      <c r="G168" s="1" t="s">
        <v>11409</v>
      </c>
    </row>
    <row r="169" spans="1:7" ht="21" x14ac:dyDescent="0.25">
      <c r="A169" s="2" t="str">
        <f>HYPERLINK("https://rth.dk/resources/bsgatlas/details.php?id=BSGatlas-gene-168","BSGatlas-gene-168")</f>
        <v>BSGatlas-gene-168</v>
      </c>
      <c r="B169" s="1" t="s">
        <v>174</v>
      </c>
      <c r="C169" s="1" t="s">
        <v>8</v>
      </c>
      <c r="D169" s="1">
        <v>139500</v>
      </c>
      <c r="E169" s="1">
        <v>139934</v>
      </c>
      <c r="F169" s="1" t="s">
        <v>9</v>
      </c>
      <c r="G169" s="1" t="s">
        <v>11409</v>
      </c>
    </row>
    <row r="170" spans="1:7" ht="21" x14ac:dyDescent="0.25">
      <c r="A170" s="2" t="str">
        <f>HYPERLINK("https://rth.dk/resources/bsgatlas/details.php?id=BSGatlas-gene-169","BSGatlas-gene-169")</f>
        <v>BSGatlas-gene-169</v>
      </c>
      <c r="B170" s="1" t="s">
        <v>175</v>
      </c>
      <c r="C170" s="1" t="s">
        <v>8</v>
      </c>
      <c r="D170" s="1">
        <v>139924</v>
      </c>
      <c r="E170" s="1">
        <v>140124</v>
      </c>
      <c r="F170" s="1" t="s">
        <v>9</v>
      </c>
      <c r="G170" s="1" t="s">
        <v>11409</v>
      </c>
    </row>
    <row r="171" spans="1:7" ht="21" x14ac:dyDescent="0.25">
      <c r="A171" s="2" t="str">
        <f>HYPERLINK("https://rth.dk/resources/bsgatlas/details.php?id=BSGatlas-gene-170","BSGatlas-gene-170")</f>
        <v>BSGatlas-gene-170</v>
      </c>
      <c r="B171" s="1" t="s">
        <v>176</v>
      </c>
      <c r="C171" s="1" t="s">
        <v>8</v>
      </c>
      <c r="D171" s="1">
        <v>140147</v>
      </c>
      <c r="E171" s="1">
        <v>140410</v>
      </c>
      <c r="F171" s="1" t="s">
        <v>9</v>
      </c>
      <c r="G171" s="1" t="s">
        <v>11409</v>
      </c>
    </row>
    <row r="172" spans="1:7" ht="21" x14ac:dyDescent="0.25">
      <c r="A172" s="2" t="str">
        <f>HYPERLINK("https://rth.dk/resources/bsgatlas/details.php?id=BSGatlas-gene-171","BSGatlas-gene-171")</f>
        <v>BSGatlas-gene-171</v>
      </c>
      <c r="B172" s="1" t="s">
        <v>177</v>
      </c>
      <c r="C172" s="1" t="s">
        <v>8</v>
      </c>
      <c r="D172" s="1">
        <v>140451</v>
      </c>
      <c r="E172" s="1">
        <v>140819</v>
      </c>
      <c r="F172" s="1" t="s">
        <v>9</v>
      </c>
      <c r="G172" s="1" t="s">
        <v>11409</v>
      </c>
    </row>
    <row r="173" spans="1:7" ht="21" x14ac:dyDescent="0.25">
      <c r="A173" s="2" t="str">
        <f>HYPERLINK("https://rth.dk/resources/bsgatlas/details.php?id=BSGatlas-gene-172","BSGatlas-gene-172")</f>
        <v>BSGatlas-gene-172</v>
      </c>
      <c r="B173" s="1" t="s">
        <v>178</v>
      </c>
      <c r="C173" s="1" t="s">
        <v>8</v>
      </c>
      <c r="D173" s="1">
        <v>140857</v>
      </c>
      <c r="E173" s="1">
        <v>141168</v>
      </c>
      <c r="F173" s="1" t="s">
        <v>9</v>
      </c>
      <c r="G173" s="1" t="s">
        <v>11409</v>
      </c>
    </row>
    <row r="174" spans="1:7" ht="21" x14ac:dyDescent="0.25">
      <c r="A174" s="2" t="str">
        <f>HYPERLINK("https://rth.dk/resources/bsgatlas/details.php?id=BSGatlas-gene-173","BSGatlas-gene-173")</f>
        <v>BSGatlas-gene-173</v>
      </c>
      <c r="B174" s="1" t="s">
        <v>179</v>
      </c>
      <c r="C174" s="1" t="s">
        <v>8</v>
      </c>
      <c r="D174" s="1">
        <v>141195</v>
      </c>
      <c r="E174" s="1">
        <v>141734</v>
      </c>
      <c r="F174" s="1" t="s">
        <v>9</v>
      </c>
      <c r="G174" s="1" t="s">
        <v>11409</v>
      </c>
    </row>
    <row r="175" spans="1:7" ht="21" x14ac:dyDescent="0.25">
      <c r="A175" s="2" t="str">
        <f>HYPERLINK("https://rth.dk/resources/bsgatlas/details.php?id=BSGatlas-gene-174","BSGatlas-gene-174")</f>
        <v>BSGatlas-gene-174</v>
      </c>
      <c r="B175" s="1" t="s">
        <v>180</v>
      </c>
      <c r="C175" s="1" t="s">
        <v>8</v>
      </c>
      <c r="D175" s="1">
        <v>141757</v>
      </c>
      <c r="E175" s="1">
        <v>141942</v>
      </c>
      <c r="F175" s="1" t="s">
        <v>9</v>
      </c>
      <c r="G175" s="1" t="s">
        <v>11409</v>
      </c>
    </row>
    <row r="176" spans="1:7" ht="21" x14ac:dyDescent="0.25">
      <c r="A176" s="2" t="str">
        <f>HYPERLINK("https://rth.dk/resources/bsgatlas/details.php?id=BSGatlas-gene-175","BSGatlas-gene-175")</f>
        <v>BSGatlas-gene-175</v>
      </c>
      <c r="B176" s="1" t="s">
        <v>181</v>
      </c>
      <c r="C176" s="1" t="s">
        <v>8</v>
      </c>
      <c r="D176" s="1">
        <v>141974</v>
      </c>
      <c r="E176" s="1">
        <v>142372</v>
      </c>
      <c r="F176" s="1" t="s">
        <v>9</v>
      </c>
      <c r="G176" s="1" t="s">
        <v>11409</v>
      </c>
    </row>
    <row r="177" spans="1:7" ht="21" x14ac:dyDescent="0.25">
      <c r="A177" s="2" t="str">
        <f>HYPERLINK("https://rth.dk/resources/bsgatlas/details.php?id=BSGatlas-gene-176","BSGatlas-gene-176")</f>
        <v>BSGatlas-gene-176</v>
      </c>
      <c r="B177" s="1" t="s">
        <v>182</v>
      </c>
      <c r="C177" s="1" t="s">
        <v>8</v>
      </c>
      <c r="D177" s="1">
        <v>142402</v>
      </c>
      <c r="E177" s="1">
        <v>142941</v>
      </c>
      <c r="F177" s="1" t="s">
        <v>9</v>
      </c>
      <c r="G177" s="1" t="s">
        <v>11409</v>
      </c>
    </row>
    <row r="178" spans="1:7" ht="21" x14ac:dyDescent="0.25">
      <c r="A178" s="2" t="str">
        <f>HYPERLINK("https://rth.dk/resources/bsgatlas/details.php?id=BSGatlas-gene-177","BSGatlas-gene-177")</f>
        <v>BSGatlas-gene-177</v>
      </c>
      <c r="B178" s="1" t="s">
        <v>183</v>
      </c>
      <c r="C178" s="1" t="s">
        <v>8</v>
      </c>
      <c r="D178" s="1">
        <v>142974</v>
      </c>
      <c r="E178" s="1">
        <v>143336</v>
      </c>
      <c r="F178" s="1" t="s">
        <v>9</v>
      </c>
      <c r="G178" s="1" t="s">
        <v>11409</v>
      </c>
    </row>
    <row r="179" spans="1:7" ht="21" x14ac:dyDescent="0.25">
      <c r="A179" s="2" t="str">
        <f>HYPERLINK("https://rth.dk/resources/bsgatlas/details.php?id=BSGatlas-gene-178","BSGatlas-gene-178")</f>
        <v>BSGatlas-gene-178</v>
      </c>
      <c r="B179" s="1" t="s">
        <v>184</v>
      </c>
      <c r="C179" s="1" t="s">
        <v>8</v>
      </c>
      <c r="D179" s="1">
        <v>143361</v>
      </c>
      <c r="E179" s="1">
        <v>143861</v>
      </c>
      <c r="F179" s="1" t="s">
        <v>9</v>
      </c>
      <c r="G179" s="1" t="s">
        <v>11409</v>
      </c>
    </row>
    <row r="180" spans="1:7" ht="21" x14ac:dyDescent="0.25">
      <c r="A180" s="2" t="str">
        <f>HYPERLINK("https://rth.dk/resources/bsgatlas/details.php?id=BSGatlas-gene-179","BSGatlas-gene-179")</f>
        <v>BSGatlas-gene-179</v>
      </c>
      <c r="B180" s="1" t="s">
        <v>185</v>
      </c>
      <c r="C180" s="1" t="s">
        <v>8</v>
      </c>
      <c r="D180" s="1">
        <v>143875</v>
      </c>
      <c r="E180" s="1">
        <v>144054</v>
      </c>
      <c r="F180" s="1" t="s">
        <v>9</v>
      </c>
      <c r="G180" s="1" t="s">
        <v>11409</v>
      </c>
    </row>
    <row r="181" spans="1:7" ht="21" x14ac:dyDescent="0.25">
      <c r="A181" s="2" t="str">
        <f>HYPERLINK("https://rth.dk/resources/bsgatlas/details.php?id=BSGatlas-gene-180","BSGatlas-gene-180")</f>
        <v>BSGatlas-gene-180</v>
      </c>
      <c r="B181" s="1" t="s">
        <v>186</v>
      </c>
      <c r="C181" s="1" t="s">
        <v>8</v>
      </c>
      <c r="D181" s="1">
        <v>144085</v>
      </c>
      <c r="E181" s="1">
        <v>144525</v>
      </c>
      <c r="F181" s="1" t="s">
        <v>9</v>
      </c>
      <c r="G181" s="1" t="s">
        <v>11409</v>
      </c>
    </row>
    <row r="182" spans="1:7" ht="21" x14ac:dyDescent="0.25">
      <c r="A182" s="2" t="str">
        <f>HYPERLINK("https://rth.dk/resources/bsgatlas/details.php?id=BSGatlas-gene-181","BSGatlas-gene-181")</f>
        <v>BSGatlas-gene-181</v>
      </c>
      <c r="B182" s="1" t="s">
        <v>187</v>
      </c>
      <c r="C182" s="1" t="s">
        <v>8</v>
      </c>
      <c r="D182" s="1">
        <v>144527</v>
      </c>
      <c r="E182" s="1">
        <v>145822</v>
      </c>
      <c r="F182" s="1" t="s">
        <v>9</v>
      </c>
      <c r="G182" s="1" t="s">
        <v>11409</v>
      </c>
    </row>
    <row r="183" spans="1:7" ht="21" x14ac:dyDescent="0.25">
      <c r="A183" s="2" t="str">
        <f>HYPERLINK("https://rth.dk/resources/bsgatlas/details.php?id=BSGatlas-gene-182","BSGatlas-gene-182")</f>
        <v>BSGatlas-gene-182</v>
      </c>
      <c r="B183" s="1" t="s">
        <v>188</v>
      </c>
      <c r="C183" s="1" t="s">
        <v>8</v>
      </c>
      <c r="D183" s="1">
        <v>145877</v>
      </c>
      <c r="E183" s="1">
        <v>146530</v>
      </c>
      <c r="F183" s="1" t="s">
        <v>9</v>
      </c>
      <c r="G183" s="1" t="s">
        <v>11409</v>
      </c>
    </row>
    <row r="184" spans="1:7" ht="21" x14ac:dyDescent="0.25">
      <c r="A184" s="2" t="str">
        <f>HYPERLINK("https://rth.dk/resources/bsgatlas/details.php?id=BSGatlas-gene-183","BSGatlas-gene-183")</f>
        <v>BSGatlas-gene-183</v>
      </c>
      <c r="B184" s="1" t="s">
        <v>189</v>
      </c>
      <c r="C184" s="1" t="s">
        <v>8</v>
      </c>
      <c r="D184" s="1">
        <v>146527</v>
      </c>
      <c r="E184" s="1">
        <v>147273</v>
      </c>
      <c r="F184" s="1" t="s">
        <v>9</v>
      </c>
      <c r="G184" s="1" t="s">
        <v>11409</v>
      </c>
    </row>
    <row r="185" spans="1:7" ht="21" x14ac:dyDescent="0.25">
      <c r="A185" s="2" t="str">
        <f>HYPERLINK("https://rth.dk/resources/bsgatlas/details.php?id=BSGatlas-gene-184","BSGatlas-gene-184")</f>
        <v>BSGatlas-gene-184</v>
      </c>
      <c r="B185" s="1" t="s">
        <v>190</v>
      </c>
      <c r="C185" s="1" t="s">
        <v>8</v>
      </c>
      <c r="D185" s="1">
        <v>147312</v>
      </c>
      <c r="E185" s="1">
        <v>147536</v>
      </c>
      <c r="F185" s="1" t="s">
        <v>9</v>
      </c>
      <c r="G185" s="1" t="s">
        <v>11409</v>
      </c>
    </row>
    <row r="186" spans="1:7" ht="21" x14ac:dyDescent="0.25">
      <c r="A186" s="2" t="str">
        <f>HYPERLINK("https://rth.dk/resources/bsgatlas/details.php?id=BSGatlas-gene-185","BSGatlas-gene-185")</f>
        <v>BSGatlas-gene-185</v>
      </c>
      <c r="B186" s="1" t="s">
        <v>191</v>
      </c>
      <c r="C186" s="1" t="s">
        <v>8</v>
      </c>
      <c r="D186" s="1">
        <v>147585</v>
      </c>
      <c r="E186" s="1">
        <v>147803</v>
      </c>
      <c r="F186" s="1" t="s">
        <v>9</v>
      </c>
      <c r="G186" s="1" t="s">
        <v>11409</v>
      </c>
    </row>
    <row r="187" spans="1:7" ht="21" x14ac:dyDescent="0.25">
      <c r="A187" s="2" t="str">
        <f>HYPERLINK("https://rth.dk/resources/bsgatlas/details.php?id=BSGatlas-gene-186","BSGatlas-gene-186")</f>
        <v>BSGatlas-gene-186</v>
      </c>
      <c r="B187" s="1" t="s">
        <v>192</v>
      </c>
      <c r="C187" s="1" t="s">
        <v>8</v>
      </c>
      <c r="D187" s="1">
        <v>147837</v>
      </c>
      <c r="E187" s="1">
        <v>147950</v>
      </c>
      <c r="F187" s="1" t="s">
        <v>9</v>
      </c>
      <c r="G187" s="1" t="s">
        <v>11409</v>
      </c>
    </row>
    <row r="188" spans="1:7" ht="21" x14ac:dyDescent="0.25">
      <c r="A188" s="2" t="str">
        <f>HYPERLINK("https://rth.dk/resources/bsgatlas/details.php?id=BSGatlas-gene-187","BSGatlas-gene-187")</f>
        <v>BSGatlas-gene-187</v>
      </c>
      <c r="B188" s="1" t="s">
        <v>193</v>
      </c>
      <c r="C188" s="1" t="s">
        <v>8</v>
      </c>
      <c r="D188" s="1">
        <v>147973</v>
      </c>
      <c r="E188" s="1">
        <v>148338</v>
      </c>
      <c r="F188" s="1" t="s">
        <v>9</v>
      </c>
      <c r="G188" s="1" t="s">
        <v>11409</v>
      </c>
    </row>
    <row r="189" spans="1:7" ht="21" x14ac:dyDescent="0.25">
      <c r="A189" s="2" t="str">
        <f>HYPERLINK("https://rth.dk/resources/bsgatlas/details.php?id=BSGatlas-gene-188","BSGatlas-gene-188")</f>
        <v>BSGatlas-gene-188</v>
      </c>
      <c r="B189" s="1" t="s">
        <v>194</v>
      </c>
      <c r="C189" s="1" t="s">
        <v>8</v>
      </c>
      <c r="D189" s="1">
        <v>148359</v>
      </c>
      <c r="E189" s="1">
        <v>148754</v>
      </c>
      <c r="F189" s="1" t="s">
        <v>9</v>
      </c>
      <c r="G189" s="1" t="s">
        <v>11409</v>
      </c>
    </row>
    <row r="190" spans="1:7" ht="21" x14ac:dyDescent="0.25">
      <c r="A190" s="2" t="str">
        <f>HYPERLINK("https://rth.dk/resources/bsgatlas/details.php?id=BSGatlas-gene-189","BSGatlas-gene-189")</f>
        <v>BSGatlas-gene-189</v>
      </c>
      <c r="B190" s="1" t="s">
        <v>195</v>
      </c>
      <c r="C190" s="1" t="s">
        <v>8</v>
      </c>
      <c r="D190" s="1">
        <v>148931</v>
      </c>
      <c r="E190" s="1">
        <v>149875</v>
      </c>
      <c r="F190" s="1" t="s">
        <v>9</v>
      </c>
      <c r="G190" s="1" t="s">
        <v>11409</v>
      </c>
    </row>
    <row r="191" spans="1:7" ht="21" x14ac:dyDescent="0.25">
      <c r="A191" s="2" t="str">
        <f>HYPERLINK("https://rth.dk/resources/bsgatlas/details.php?id=BSGatlas-gene-190","BSGatlas-gene-190")</f>
        <v>BSGatlas-gene-190</v>
      </c>
      <c r="B191" s="1" t="s">
        <v>196</v>
      </c>
      <c r="C191" s="1" t="s">
        <v>8</v>
      </c>
      <c r="D191" s="1">
        <v>149953</v>
      </c>
      <c r="E191" s="1">
        <v>150315</v>
      </c>
      <c r="F191" s="1" t="s">
        <v>9</v>
      </c>
      <c r="G191" s="1" t="s">
        <v>11409</v>
      </c>
    </row>
    <row r="192" spans="1:7" ht="21" x14ac:dyDescent="0.25">
      <c r="A192" s="2" t="str">
        <f>HYPERLINK("https://rth.dk/resources/bsgatlas/details.php?id=BSGatlas-gene-191","BSGatlas-gene-191")</f>
        <v>BSGatlas-gene-191</v>
      </c>
      <c r="B192" s="1" t="s">
        <v>11421</v>
      </c>
      <c r="C192" s="1" t="s">
        <v>8</v>
      </c>
      <c r="D192" s="1">
        <v>150443</v>
      </c>
      <c r="E192" s="1">
        <v>151288</v>
      </c>
      <c r="F192" s="1" t="s">
        <v>9</v>
      </c>
      <c r="G192" s="1" t="s">
        <v>11409</v>
      </c>
    </row>
    <row r="193" spans="1:7" ht="21" x14ac:dyDescent="0.25">
      <c r="A193" s="2" t="str">
        <f>HYPERLINK("https://rth.dk/resources/bsgatlas/details.php?id=BSGatlas-gene-192","BSGatlas-gene-192")</f>
        <v>BSGatlas-gene-192</v>
      </c>
      <c r="B193" s="1" t="s">
        <v>11422</v>
      </c>
      <c r="C193" s="1" t="s">
        <v>8</v>
      </c>
      <c r="D193" s="1">
        <v>151303</v>
      </c>
      <c r="E193" s="1">
        <v>152133</v>
      </c>
      <c r="F193" s="1" t="s">
        <v>9</v>
      </c>
      <c r="G193" s="1" t="s">
        <v>11409</v>
      </c>
    </row>
    <row r="194" spans="1:7" ht="21" x14ac:dyDescent="0.25">
      <c r="A194" s="2" t="str">
        <f>HYPERLINK("https://rth.dk/resources/bsgatlas/details.php?id=BSGatlas-gene-193","BSGatlas-gene-193")</f>
        <v>BSGatlas-gene-193</v>
      </c>
      <c r="B194" s="1" t="s">
        <v>11423</v>
      </c>
      <c r="C194" s="1" t="s">
        <v>8</v>
      </c>
      <c r="D194" s="1">
        <v>152130</v>
      </c>
      <c r="E194" s="1">
        <v>152927</v>
      </c>
      <c r="F194" s="1" t="s">
        <v>9</v>
      </c>
      <c r="G194" s="1" t="s">
        <v>11409</v>
      </c>
    </row>
    <row r="195" spans="1:7" ht="21" x14ac:dyDescent="0.25">
      <c r="A195" s="2" t="str">
        <f>HYPERLINK("https://rth.dk/resources/bsgatlas/details.php?id=BSGatlas-gene-194","BSGatlas-gene-194")</f>
        <v>BSGatlas-gene-194</v>
      </c>
      <c r="B195" s="1" t="s">
        <v>197</v>
      </c>
      <c r="C195" s="1" t="s">
        <v>8</v>
      </c>
      <c r="D195" s="1">
        <v>152937</v>
      </c>
      <c r="E195" s="1">
        <v>153680</v>
      </c>
      <c r="F195" s="1" t="s">
        <v>9</v>
      </c>
      <c r="G195" s="1" t="s">
        <v>11409</v>
      </c>
    </row>
    <row r="196" spans="1:7" ht="21" x14ac:dyDescent="0.25">
      <c r="A196" s="2" t="str">
        <f>HYPERLINK("https://rth.dk/resources/bsgatlas/details.php?id=BSGatlas-gene-195","BSGatlas-gene-195")</f>
        <v>BSGatlas-gene-195</v>
      </c>
      <c r="B196" s="1" t="s">
        <v>201</v>
      </c>
      <c r="C196" s="1" t="s">
        <v>12</v>
      </c>
      <c r="D196" s="1">
        <v>153039</v>
      </c>
      <c r="E196" s="1">
        <v>153507</v>
      </c>
      <c r="F196" s="1" t="s">
        <v>13</v>
      </c>
      <c r="G196" s="1" t="s">
        <v>11406</v>
      </c>
    </row>
    <row r="197" spans="1:7" ht="21" x14ac:dyDescent="0.25">
      <c r="A197" s="2" t="str">
        <f>HYPERLINK("https://rth.dk/resources/bsgatlas/details.php?id=BSGatlas-gene-196","BSGatlas-gene-196")</f>
        <v>BSGatlas-gene-196</v>
      </c>
      <c r="B197" s="1" t="s">
        <v>198</v>
      </c>
      <c r="C197" s="1" t="s">
        <v>34</v>
      </c>
      <c r="D197" s="1">
        <v>153736</v>
      </c>
      <c r="E197" s="1">
        <v>153793</v>
      </c>
      <c r="F197" s="1" t="s">
        <v>9</v>
      </c>
      <c r="G197" s="1" t="s">
        <v>11411</v>
      </c>
    </row>
    <row r="198" spans="1:7" ht="21" x14ac:dyDescent="0.25">
      <c r="A198" s="2" t="str">
        <f>HYPERLINK("https://rth.dk/resources/bsgatlas/details.php?id=BSGatlas-gene-197","BSGatlas-gene-197")</f>
        <v>BSGatlas-gene-197</v>
      </c>
      <c r="B198" s="1" t="s">
        <v>199</v>
      </c>
      <c r="C198" s="1" t="s">
        <v>8</v>
      </c>
      <c r="D198" s="1">
        <v>153842</v>
      </c>
      <c r="E198" s="1">
        <v>154279</v>
      </c>
      <c r="F198" s="1" t="s">
        <v>9</v>
      </c>
      <c r="G198" s="1" t="s">
        <v>11409</v>
      </c>
    </row>
    <row r="199" spans="1:7" ht="21" x14ac:dyDescent="0.25">
      <c r="A199" s="2" t="str">
        <f>HYPERLINK("https://rth.dk/resources/bsgatlas/details.php?id=BSGatlas-gene-198","BSGatlas-gene-198")</f>
        <v>BSGatlas-gene-198</v>
      </c>
      <c r="B199" s="1" t="s">
        <v>200</v>
      </c>
      <c r="C199" s="1" t="s">
        <v>8</v>
      </c>
      <c r="D199" s="1">
        <v>154300</v>
      </c>
      <c r="E199" s="1">
        <v>154692</v>
      </c>
      <c r="F199" s="1" t="s">
        <v>9</v>
      </c>
      <c r="G199" s="1" t="s">
        <v>11409</v>
      </c>
    </row>
    <row r="200" spans="1:7" ht="21" x14ac:dyDescent="0.25">
      <c r="A200" s="2" t="str">
        <f>HYPERLINK("https://rth.dk/resources/bsgatlas/details.php?id=BSGatlas-gene-199","BSGatlas-gene-199")</f>
        <v>BSGatlas-gene-199</v>
      </c>
      <c r="B200" s="1" t="s">
        <v>202</v>
      </c>
      <c r="C200" s="1" t="s">
        <v>8</v>
      </c>
      <c r="D200" s="1">
        <v>155156</v>
      </c>
      <c r="E200" s="1">
        <v>155923</v>
      </c>
      <c r="F200" s="1" t="s">
        <v>9</v>
      </c>
      <c r="G200" s="1" t="s">
        <v>11409</v>
      </c>
    </row>
    <row r="201" spans="1:7" ht="21" x14ac:dyDescent="0.25">
      <c r="A201" s="2" t="str">
        <f>HYPERLINK("https://rth.dk/resources/bsgatlas/details.php?id=BSGatlas-gene-200","BSGatlas-gene-200")</f>
        <v>BSGatlas-gene-200</v>
      </c>
      <c r="B201" s="1" t="s">
        <v>203</v>
      </c>
      <c r="C201" s="1" t="s">
        <v>8</v>
      </c>
      <c r="D201" s="1">
        <v>156109</v>
      </c>
      <c r="E201" s="1">
        <v>156552</v>
      </c>
      <c r="F201" s="1" t="s">
        <v>9</v>
      </c>
      <c r="G201" s="1" t="s">
        <v>11409</v>
      </c>
    </row>
    <row r="202" spans="1:7" ht="21" x14ac:dyDescent="0.25">
      <c r="A202" s="2" t="str">
        <f>HYPERLINK("https://rth.dk/resources/bsgatlas/details.php?id=BSGatlas-gene-201","BSGatlas-gene-201")</f>
        <v>BSGatlas-gene-201</v>
      </c>
      <c r="B202" s="1" t="s">
        <v>204</v>
      </c>
      <c r="C202" s="1" t="s">
        <v>8</v>
      </c>
      <c r="D202" s="1">
        <v>156612</v>
      </c>
      <c r="E202" s="1">
        <v>157325</v>
      </c>
      <c r="F202" s="1" t="s">
        <v>9</v>
      </c>
      <c r="G202" s="1" t="s">
        <v>11409</v>
      </c>
    </row>
    <row r="203" spans="1:7" ht="21" x14ac:dyDescent="0.25">
      <c r="A203" s="2" t="str">
        <f>HYPERLINK("https://rth.dk/resources/bsgatlas/details.php?id=BSGatlas-gene-202","BSGatlas-gene-202")</f>
        <v>BSGatlas-gene-202</v>
      </c>
      <c r="B203" s="1" t="s">
        <v>205</v>
      </c>
      <c r="C203" s="1" t="s">
        <v>8</v>
      </c>
      <c r="D203" s="1">
        <v>157421</v>
      </c>
      <c r="E203" s="1">
        <v>158479</v>
      </c>
      <c r="F203" s="1" t="s">
        <v>9</v>
      </c>
      <c r="G203" s="1" t="s">
        <v>11409</v>
      </c>
    </row>
    <row r="204" spans="1:7" ht="21" x14ac:dyDescent="0.25">
      <c r="A204" s="2" t="str">
        <f>HYPERLINK("https://rth.dk/resources/bsgatlas/details.php?id=BSGatlas-gene-203","BSGatlas-gene-203")</f>
        <v>BSGatlas-gene-203</v>
      </c>
      <c r="B204" s="1" t="s">
        <v>206</v>
      </c>
      <c r="C204" s="1" t="s">
        <v>8</v>
      </c>
      <c r="D204" s="1">
        <v>158515</v>
      </c>
      <c r="E204" s="1">
        <v>159072</v>
      </c>
      <c r="F204" s="1" t="s">
        <v>13</v>
      </c>
      <c r="G204" s="1" t="s">
        <v>11409</v>
      </c>
    </row>
    <row r="205" spans="1:7" ht="21" x14ac:dyDescent="0.25">
      <c r="A205" s="2" t="str">
        <f>HYPERLINK("https://rth.dk/resources/bsgatlas/details.php?id=BSGatlas-gene-204","BSGatlas-gene-204")</f>
        <v>BSGatlas-gene-204</v>
      </c>
      <c r="B205" s="1" t="s">
        <v>208</v>
      </c>
      <c r="C205" s="1" t="s">
        <v>8</v>
      </c>
      <c r="D205" s="1">
        <v>159182</v>
      </c>
      <c r="E205" s="1">
        <v>159778</v>
      </c>
      <c r="F205" s="1" t="s">
        <v>9</v>
      </c>
      <c r="G205" s="1" t="s">
        <v>11409</v>
      </c>
    </row>
    <row r="206" spans="1:7" ht="21" x14ac:dyDescent="0.25">
      <c r="A206" s="2" t="str">
        <f>HYPERLINK("https://rth.dk/resources/bsgatlas/details.php?id=BSGatlas-gene-205","BSGatlas-gene-205")</f>
        <v>BSGatlas-gene-205</v>
      </c>
      <c r="B206" s="1" t="s">
        <v>207</v>
      </c>
      <c r="C206" s="1" t="s">
        <v>8</v>
      </c>
      <c r="D206" s="1">
        <v>159779</v>
      </c>
      <c r="E206" s="1">
        <v>160543</v>
      </c>
      <c r="F206" s="1" t="s">
        <v>13</v>
      </c>
      <c r="G206" s="1" t="s">
        <v>11409</v>
      </c>
    </row>
    <row r="207" spans="1:7" ht="21" x14ac:dyDescent="0.25">
      <c r="A207" s="2" t="str">
        <f>HYPERLINK("https://rth.dk/resources/bsgatlas/details.php?id=BSGatlas-gene-206","BSGatlas-gene-206")</f>
        <v>BSGatlas-gene-206</v>
      </c>
      <c r="B207" s="1" t="s">
        <v>209</v>
      </c>
      <c r="C207" s="1" t="s">
        <v>21</v>
      </c>
      <c r="D207" s="1">
        <v>160893</v>
      </c>
      <c r="E207" s="1">
        <v>162445</v>
      </c>
      <c r="F207" s="1" t="s">
        <v>9</v>
      </c>
      <c r="G207" s="1" t="s">
        <v>11411</v>
      </c>
    </row>
    <row r="208" spans="1:7" ht="21" x14ac:dyDescent="0.25">
      <c r="A208" s="2" t="str">
        <f>HYPERLINK("https://rth.dk/resources/bsgatlas/details.php?id=BSGatlas-gene-207","BSGatlas-gene-207")</f>
        <v>BSGatlas-gene-207</v>
      </c>
      <c r="B208" s="1" t="s">
        <v>11424</v>
      </c>
      <c r="C208" s="1" t="s">
        <v>21</v>
      </c>
      <c r="D208" s="1">
        <v>162607</v>
      </c>
      <c r="E208" s="1">
        <v>165535</v>
      </c>
      <c r="F208" s="1" t="s">
        <v>9</v>
      </c>
      <c r="G208" s="1" t="s">
        <v>11411</v>
      </c>
    </row>
    <row r="209" spans="1:7" ht="21" x14ac:dyDescent="0.25">
      <c r="A209" s="2" t="str">
        <f>HYPERLINK("https://rth.dk/resources/bsgatlas/details.php?id=BSGatlas-gene-208","BSGatlas-gene-208")</f>
        <v>BSGatlas-gene-208</v>
      </c>
      <c r="B209" s="1" t="s">
        <v>11425</v>
      </c>
      <c r="C209" s="1" t="s">
        <v>21</v>
      </c>
      <c r="D209" s="1">
        <v>165590</v>
      </c>
      <c r="E209" s="1">
        <v>165707</v>
      </c>
      <c r="F209" s="1" t="s">
        <v>9</v>
      </c>
      <c r="G209" s="1" t="s">
        <v>11411</v>
      </c>
    </row>
    <row r="210" spans="1:7" ht="21" x14ac:dyDescent="0.25">
      <c r="A210" s="2" t="str">
        <f>HYPERLINK("https://rth.dk/resources/bsgatlas/details.php?id=BSGatlas-gene-209","BSGatlas-gene-209")</f>
        <v>BSGatlas-gene-209</v>
      </c>
      <c r="B210" s="1" t="s">
        <v>11426</v>
      </c>
      <c r="C210" s="1" t="s">
        <v>23</v>
      </c>
      <c r="D210" s="1">
        <v>165753</v>
      </c>
      <c r="E210" s="1">
        <v>165825</v>
      </c>
      <c r="F210" s="1" t="s">
        <v>9</v>
      </c>
      <c r="G210" s="1" t="s">
        <v>11411</v>
      </c>
    </row>
    <row r="211" spans="1:7" ht="21" x14ac:dyDescent="0.25">
      <c r="A211" s="2" t="str">
        <f>HYPERLINK("https://rth.dk/resources/bsgatlas/details.php?id=BSGatlas-gene-210","BSGatlas-gene-210")</f>
        <v>BSGatlas-gene-210</v>
      </c>
      <c r="B211" s="1" t="s">
        <v>11427</v>
      </c>
      <c r="C211" s="1" t="s">
        <v>23</v>
      </c>
      <c r="D211" s="1">
        <v>165829</v>
      </c>
      <c r="E211" s="1">
        <v>165902</v>
      </c>
      <c r="F211" s="1" t="s">
        <v>9</v>
      </c>
      <c r="G211" s="1" t="s">
        <v>11411</v>
      </c>
    </row>
    <row r="212" spans="1:7" ht="21" x14ac:dyDescent="0.25">
      <c r="A212" s="2" t="str">
        <f>HYPERLINK("https://rth.dk/resources/bsgatlas/details.php?id=BSGatlas-gene-211","BSGatlas-gene-211")</f>
        <v>BSGatlas-gene-211</v>
      </c>
      <c r="B212" s="1" t="s">
        <v>11428</v>
      </c>
      <c r="C212" s="1" t="s">
        <v>23</v>
      </c>
      <c r="D212" s="1">
        <v>165958</v>
      </c>
      <c r="E212" s="1">
        <v>166033</v>
      </c>
      <c r="F212" s="1" t="s">
        <v>9</v>
      </c>
      <c r="G212" s="1" t="s">
        <v>11411</v>
      </c>
    </row>
    <row r="213" spans="1:7" ht="21" x14ac:dyDescent="0.25">
      <c r="A213" s="2" t="str">
        <f>HYPERLINK("https://rth.dk/resources/bsgatlas/details.php?id=BSGatlas-gene-212","BSGatlas-gene-212")</f>
        <v>BSGatlas-gene-212</v>
      </c>
      <c r="B213" s="1" t="s">
        <v>11429</v>
      </c>
      <c r="C213" s="1" t="s">
        <v>23</v>
      </c>
      <c r="D213" s="1">
        <v>166063</v>
      </c>
      <c r="E213" s="1">
        <v>166140</v>
      </c>
      <c r="F213" s="1" t="s">
        <v>9</v>
      </c>
      <c r="G213" s="1" t="s">
        <v>11411</v>
      </c>
    </row>
    <row r="214" spans="1:7" ht="21" x14ac:dyDescent="0.25">
      <c r="A214" s="2" t="str">
        <f>HYPERLINK("https://rth.dk/resources/bsgatlas/details.php?id=BSGatlas-gene-213","BSGatlas-gene-213")</f>
        <v>BSGatlas-gene-213</v>
      </c>
      <c r="B214" s="1" t="s">
        <v>11430</v>
      </c>
      <c r="C214" s="1" t="s">
        <v>23</v>
      </c>
      <c r="D214" s="1">
        <v>166167</v>
      </c>
      <c r="E214" s="1">
        <v>166244</v>
      </c>
      <c r="F214" s="1" t="s">
        <v>9</v>
      </c>
      <c r="G214" s="1" t="s">
        <v>11411</v>
      </c>
    </row>
    <row r="215" spans="1:7" ht="21" x14ac:dyDescent="0.25">
      <c r="A215" s="2" t="str">
        <f>HYPERLINK("https://rth.dk/resources/bsgatlas/details.php?id=BSGatlas-gene-214","BSGatlas-gene-214")</f>
        <v>BSGatlas-gene-214</v>
      </c>
      <c r="B215" s="1" t="s">
        <v>11431</v>
      </c>
      <c r="C215" s="1" t="s">
        <v>23</v>
      </c>
      <c r="D215" s="1">
        <v>166252</v>
      </c>
      <c r="E215" s="1">
        <v>166328</v>
      </c>
      <c r="F215" s="1" t="s">
        <v>9</v>
      </c>
      <c r="G215" s="1" t="s">
        <v>11411</v>
      </c>
    </row>
    <row r="216" spans="1:7" ht="21" x14ac:dyDescent="0.25">
      <c r="A216" s="2" t="str">
        <f>HYPERLINK("https://rth.dk/resources/bsgatlas/details.php?id=BSGatlas-gene-215","BSGatlas-gene-215")</f>
        <v>BSGatlas-gene-215</v>
      </c>
      <c r="B216" s="1" t="s">
        <v>11432</v>
      </c>
      <c r="C216" s="1" t="s">
        <v>21</v>
      </c>
      <c r="D216" s="1">
        <v>166500</v>
      </c>
      <c r="E216" s="1">
        <v>168053</v>
      </c>
      <c r="F216" s="1" t="s">
        <v>9</v>
      </c>
      <c r="G216" s="1" t="s">
        <v>11411</v>
      </c>
    </row>
    <row r="217" spans="1:7" ht="21" x14ac:dyDescent="0.25">
      <c r="A217" s="2" t="str">
        <f>HYPERLINK("https://rth.dk/resources/bsgatlas/details.php?id=BSGatlas-gene-216","BSGatlas-gene-216")</f>
        <v>BSGatlas-gene-216</v>
      </c>
      <c r="B217" s="1" t="s">
        <v>11433</v>
      </c>
      <c r="C217" s="1" t="s">
        <v>21</v>
      </c>
      <c r="D217" s="1">
        <v>168215</v>
      </c>
      <c r="E217" s="1">
        <v>171141</v>
      </c>
      <c r="F217" s="1" t="s">
        <v>9</v>
      </c>
      <c r="G217" s="1" t="s">
        <v>11411</v>
      </c>
    </row>
    <row r="218" spans="1:7" ht="21" x14ac:dyDescent="0.25">
      <c r="A218" s="2" t="str">
        <f>HYPERLINK("https://rth.dk/resources/bsgatlas/details.php?id=BSGatlas-gene-217","BSGatlas-gene-217")</f>
        <v>BSGatlas-gene-217</v>
      </c>
      <c r="B218" s="1" t="s">
        <v>11434</v>
      </c>
      <c r="C218" s="1" t="s">
        <v>21</v>
      </c>
      <c r="D218" s="1">
        <v>171196</v>
      </c>
      <c r="E218" s="1">
        <v>171314</v>
      </c>
      <c r="F218" s="1" t="s">
        <v>9</v>
      </c>
      <c r="G218" s="1" t="s">
        <v>11411</v>
      </c>
    </row>
    <row r="219" spans="1:7" ht="21" x14ac:dyDescent="0.25">
      <c r="A219" s="2" t="str">
        <f>HYPERLINK("https://rth.dk/resources/bsgatlas/details.php?id=BSGatlas-gene-218","BSGatlas-gene-218")</f>
        <v>BSGatlas-gene-218</v>
      </c>
      <c r="B219" s="1" t="s">
        <v>11435</v>
      </c>
      <c r="C219" s="1" t="s">
        <v>21</v>
      </c>
      <c r="D219" s="1">
        <v>171498</v>
      </c>
      <c r="E219" s="1">
        <v>173049</v>
      </c>
      <c r="F219" s="1" t="s">
        <v>9</v>
      </c>
      <c r="G219" s="1" t="s">
        <v>11411</v>
      </c>
    </row>
    <row r="220" spans="1:7" ht="21" x14ac:dyDescent="0.25">
      <c r="A220" s="2" t="str">
        <f>HYPERLINK("https://rth.dk/resources/bsgatlas/details.php?id=BSGatlas-gene-219","BSGatlas-gene-219")</f>
        <v>BSGatlas-gene-219</v>
      </c>
      <c r="B220" s="1" t="s">
        <v>11436</v>
      </c>
      <c r="C220" s="1" t="s">
        <v>21</v>
      </c>
      <c r="D220" s="1">
        <v>173211</v>
      </c>
      <c r="E220" s="1">
        <v>176141</v>
      </c>
      <c r="F220" s="1" t="s">
        <v>9</v>
      </c>
      <c r="G220" s="1" t="s">
        <v>11411</v>
      </c>
    </row>
    <row r="221" spans="1:7" ht="21" x14ac:dyDescent="0.25">
      <c r="A221" s="2" t="str">
        <f>HYPERLINK("https://rth.dk/resources/bsgatlas/details.php?id=BSGatlas-gene-220","BSGatlas-gene-220")</f>
        <v>BSGatlas-gene-220</v>
      </c>
      <c r="B221" s="1" t="s">
        <v>11437</v>
      </c>
      <c r="C221" s="1" t="s">
        <v>21</v>
      </c>
      <c r="D221" s="1">
        <v>176196</v>
      </c>
      <c r="E221" s="1">
        <v>176315</v>
      </c>
      <c r="F221" s="1" t="s">
        <v>9</v>
      </c>
      <c r="G221" s="1" t="s">
        <v>11411</v>
      </c>
    </row>
    <row r="222" spans="1:7" ht="21" x14ac:dyDescent="0.25">
      <c r="A222" s="2" t="str">
        <f>HYPERLINK("https://rth.dk/resources/bsgatlas/details.php?id=BSGatlas-gene-221","BSGatlas-gene-221")</f>
        <v>BSGatlas-gene-221</v>
      </c>
      <c r="B222" s="1" t="s">
        <v>210</v>
      </c>
      <c r="C222" s="1" t="s">
        <v>8</v>
      </c>
      <c r="D222" s="1">
        <v>177083</v>
      </c>
      <c r="E222" s="1">
        <v>178519</v>
      </c>
      <c r="F222" s="1" t="s">
        <v>9</v>
      </c>
      <c r="G222" s="1" t="s">
        <v>11409</v>
      </c>
    </row>
    <row r="223" spans="1:7" ht="21" x14ac:dyDescent="0.25">
      <c r="A223" s="2" t="str">
        <f>HYPERLINK("https://rth.dk/resources/bsgatlas/details.php?id=BSGatlas-gene-222","BSGatlas-gene-222")</f>
        <v>BSGatlas-gene-222</v>
      </c>
      <c r="B223" s="1" t="s">
        <v>211</v>
      </c>
      <c r="C223" s="1" t="s">
        <v>8</v>
      </c>
      <c r="D223" s="1">
        <v>178665</v>
      </c>
      <c r="E223" s="1">
        <v>179585</v>
      </c>
      <c r="F223" s="1" t="s">
        <v>9</v>
      </c>
      <c r="G223" s="1" t="s">
        <v>11409</v>
      </c>
    </row>
    <row r="224" spans="1:7" ht="21" x14ac:dyDescent="0.25">
      <c r="A224" s="2" t="str">
        <f>HYPERLINK("https://rth.dk/resources/bsgatlas/details.php?id=BSGatlas-gene-223","BSGatlas-gene-223")</f>
        <v>BSGatlas-gene-223</v>
      </c>
      <c r="B224" s="1" t="s">
        <v>212</v>
      </c>
      <c r="C224" s="1" t="s">
        <v>8</v>
      </c>
      <c r="D224" s="1">
        <v>179595</v>
      </c>
      <c r="E224" s="1">
        <v>180347</v>
      </c>
      <c r="F224" s="1" t="s">
        <v>13</v>
      </c>
      <c r="G224" s="1" t="s">
        <v>11409</v>
      </c>
    </row>
    <row r="225" spans="1:7" ht="21" x14ac:dyDescent="0.25">
      <c r="A225" s="2" t="str">
        <f>HYPERLINK("https://rth.dk/resources/bsgatlas/details.php?id=BSGatlas-gene-224","BSGatlas-gene-224")</f>
        <v>BSGatlas-gene-224</v>
      </c>
      <c r="B225" s="1" t="s">
        <v>213</v>
      </c>
      <c r="C225" s="1" t="s">
        <v>8</v>
      </c>
      <c r="D225" s="1">
        <v>180344</v>
      </c>
      <c r="E225" s="1">
        <v>181354</v>
      </c>
      <c r="F225" s="1" t="s">
        <v>13</v>
      </c>
      <c r="G225" s="1" t="s">
        <v>11409</v>
      </c>
    </row>
    <row r="226" spans="1:7" ht="21" x14ac:dyDescent="0.25">
      <c r="A226" s="2" t="str">
        <f>HYPERLINK("https://rth.dk/resources/bsgatlas/details.php?id=BSGatlas-gene-225","BSGatlas-gene-225")</f>
        <v>BSGatlas-gene-225</v>
      </c>
      <c r="B226" s="1" t="s">
        <v>214</v>
      </c>
      <c r="C226" s="1" t="s">
        <v>8</v>
      </c>
      <c r="D226" s="1">
        <v>181347</v>
      </c>
      <c r="E226" s="1">
        <v>182351</v>
      </c>
      <c r="F226" s="1" t="s">
        <v>13</v>
      </c>
      <c r="G226" s="1" t="s">
        <v>11409</v>
      </c>
    </row>
    <row r="227" spans="1:7" ht="21" x14ac:dyDescent="0.25">
      <c r="A227" s="2" t="str">
        <f>HYPERLINK("https://rth.dk/resources/bsgatlas/details.php?id=BSGatlas-gene-226","BSGatlas-gene-226")</f>
        <v>BSGatlas-gene-226</v>
      </c>
      <c r="B227" s="1" t="s">
        <v>215</v>
      </c>
      <c r="C227" s="1" t="s">
        <v>8</v>
      </c>
      <c r="D227" s="1">
        <v>182370</v>
      </c>
      <c r="E227" s="1">
        <v>183323</v>
      </c>
      <c r="F227" s="1" t="s">
        <v>13</v>
      </c>
      <c r="G227" s="1" t="s">
        <v>11409</v>
      </c>
    </row>
    <row r="228" spans="1:7" ht="21" x14ac:dyDescent="0.25">
      <c r="A228" s="2" t="str">
        <f>HYPERLINK("https://rth.dk/resources/bsgatlas/details.php?id=BSGatlas-gene-227","BSGatlas-gene-227")</f>
        <v>BSGatlas-gene-227</v>
      </c>
      <c r="B228" s="1" t="s">
        <v>216</v>
      </c>
      <c r="C228" s="1" t="s">
        <v>8</v>
      </c>
      <c r="D228" s="1">
        <v>183414</v>
      </c>
      <c r="E228" s="1">
        <v>185003</v>
      </c>
      <c r="F228" s="1" t="s">
        <v>13</v>
      </c>
      <c r="G228" s="1" t="s">
        <v>11409</v>
      </c>
    </row>
    <row r="229" spans="1:7" ht="21" x14ac:dyDescent="0.25">
      <c r="A229" s="2" t="str">
        <f>HYPERLINK("https://rth.dk/resources/bsgatlas/details.php?id=BSGatlas-gene-228","BSGatlas-gene-228")</f>
        <v>BSGatlas-gene-228</v>
      </c>
      <c r="B229" s="1" t="s">
        <v>217</v>
      </c>
      <c r="C229" s="1" t="s">
        <v>8</v>
      </c>
      <c r="D229" s="1">
        <v>185194</v>
      </c>
      <c r="E229" s="1">
        <v>186438</v>
      </c>
      <c r="F229" s="1" t="s">
        <v>13</v>
      </c>
      <c r="G229" s="1" t="s">
        <v>11409</v>
      </c>
    </row>
    <row r="230" spans="1:7" ht="21" x14ac:dyDescent="0.25">
      <c r="A230" s="2" t="str">
        <f>HYPERLINK("https://rth.dk/resources/bsgatlas/details.php?id=BSGatlas-gene-229","BSGatlas-gene-229")</f>
        <v>BSGatlas-gene-229</v>
      </c>
      <c r="B230" s="1" t="s">
        <v>218</v>
      </c>
      <c r="C230" s="1" t="s">
        <v>8</v>
      </c>
      <c r="D230" s="1">
        <v>186452</v>
      </c>
      <c r="E230" s="1">
        <v>188380</v>
      </c>
      <c r="F230" s="1" t="s">
        <v>13</v>
      </c>
      <c r="G230" s="1" t="s">
        <v>11409</v>
      </c>
    </row>
    <row r="231" spans="1:7" ht="21" x14ac:dyDescent="0.25">
      <c r="A231" s="2" t="str">
        <f>HYPERLINK("https://rth.dk/resources/bsgatlas/details.php?id=BSGatlas-gene-230","BSGatlas-gene-230")</f>
        <v>BSGatlas-gene-230</v>
      </c>
      <c r="B231" s="1" t="s">
        <v>219</v>
      </c>
      <c r="C231" s="1" t="s">
        <v>8</v>
      </c>
      <c r="D231" s="1">
        <v>188408</v>
      </c>
      <c r="E231" s="1">
        <v>189733</v>
      </c>
      <c r="F231" s="1" t="s">
        <v>13</v>
      </c>
      <c r="G231" s="1" t="s">
        <v>11409</v>
      </c>
    </row>
    <row r="232" spans="1:7" ht="21" x14ac:dyDescent="0.25">
      <c r="A232" s="2" t="str">
        <f>HYPERLINK("https://rth.dk/resources/bsgatlas/details.php?id=BSGatlas-gene-231","BSGatlas-gene-231")</f>
        <v>BSGatlas-gene-231</v>
      </c>
      <c r="B232" s="1" t="s">
        <v>220</v>
      </c>
      <c r="C232" s="1" t="s">
        <v>8</v>
      </c>
      <c r="D232" s="1">
        <v>189790</v>
      </c>
      <c r="E232" s="1">
        <v>191157</v>
      </c>
      <c r="F232" s="1" t="s">
        <v>13</v>
      </c>
      <c r="G232" s="1" t="s">
        <v>11409</v>
      </c>
    </row>
    <row r="233" spans="1:7" ht="21" x14ac:dyDescent="0.25">
      <c r="A233" s="2" t="str">
        <f>HYPERLINK("https://rth.dk/resources/bsgatlas/details.php?id=BSGatlas-gene-232","BSGatlas-gene-232")</f>
        <v>BSGatlas-gene-232</v>
      </c>
      <c r="B233" s="1" t="s">
        <v>221</v>
      </c>
      <c r="C233" s="1" t="s">
        <v>8</v>
      </c>
      <c r="D233" s="1">
        <v>191183</v>
      </c>
      <c r="E233" s="1">
        <v>192034</v>
      </c>
      <c r="F233" s="1" t="s">
        <v>13</v>
      </c>
      <c r="G233" s="1" t="s">
        <v>11409</v>
      </c>
    </row>
    <row r="234" spans="1:7" ht="21" x14ac:dyDescent="0.25">
      <c r="A234" s="2" t="str">
        <f>HYPERLINK("https://rth.dk/resources/bsgatlas/details.php?id=BSGatlas-gene-233","BSGatlas-gene-233")</f>
        <v>BSGatlas-gene-233</v>
      </c>
      <c r="B234" s="1" t="s">
        <v>222</v>
      </c>
      <c r="C234" s="1" t="s">
        <v>8</v>
      </c>
      <c r="D234" s="1">
        <v>192051</v>
      </c>
      <c r="E234" s="1">
        <v>192965</v>
      </c>
      <c r="F234" s="1" t="s">
        <v>13</v>
      </c>
      <c r="G234" s="1" t="s">
        <v>11409</v>
      </c>
    </row>
    <row r="235" spans="1:7" ht="21" x14ac:dyDescent="0.25">
      <c r="A235" s="2" t="str">
        <f>HYPERLINK("https://rth.dk/resources/bsgatlas/details.php?id=BSGatlas-gene-234","BSGatlas-gene-234")</f>
        <v>BSGatlas-gene-234</v>
      </c>
      <c r="B235" s="1" t="s">
        <v>11438</v>
      </c>
      <c r="C235" s="1" t="s">
        <v>8</v>
      </c>
      <c r="D235" s="1">
        <v>193075</v>
      </c>
      <c r="E235" s="1">
        <v>193557</v>
      </c>
      <c r="F235" s="1" t="s">
        <v>13</v>
      </c>
      <c r="G235" s="1" t="s">
        <v>11409</v>
      </c>
    </row>
    <row r="236" spans="1:7" ht="21" x14ac:dyDescent="0.25">
      <c r="A236" s="2" t="str">
        <f>HYPERLINK("https://rth.dk/resources/bsgatlas/details.php?id=BSGatlas-gene-235","BSGatlas-gene-235")</f>
        <v>BSGatlas-gene-235</v>
      </c>
      <c r="B236" s="1" t="s">
        <v>223</v>
      </c>
      <c r="C236" s="1" t="s">
        <v>8</v>
      </c>
      <c r="D236" s="1">
        <v>193570</v>
      </c>
      <c r="E236" s="1">
        <v>194025</v>
      </c>
      <c r="F236" s="1" t="s">
        <v>13</v>
      </c>
      <c r="G236" s="1" t="s">
        <v>11409</v>
      </c>
    </row>
    <row r="237" spans="1:7" ht="21" x14ac:dyDescent="0.25">
      <c r="A237" s="2" t="str">
        <f>HYPERLINK("https://rth.dk/resources/bsgatlas/details.php?id=BSGatlas-gene-236","BSGatlas-gene-236")</f>
        <v>BSGatlas-gene-236</v>
      </c>
      <c r="B237" s="1" t="s">
        <v>224</v>
      </c>
      <c r="C237" s="1" t="s">
        <v>23</v>
      </c>
      <c r="D237" s="1">
        <v>194204</v>
      </c>
      <c r="E237" s="1">
        <v>194279</v>
      </c>
      <c r="F237" s="1" t="s">
        <v>9</v>
      </c>
      <c r="G237" s="1" t="s">
        <v>11411</v>
      </c>
    </row>
    <row r="238" spans="1:7" ht="21" x14ac:dyDescent="0.25">
      <c r="A238" s="2" t="str">
        <f>HYPERLINK("https://rth.dk/resources/bsgatlas/details.php?id=BSGatlas-gene-237","BSGatlas-gene-237")</f>
        <v>BSGatlas-gene-237</v>
      </c>
      <c r="B238" s="1" t="s">
        <v>225</v>
      </c>
      <c r="C238" s="1" t="s">
        <v>23</v>
      </c>
      <c r="D238" s="1">
        <v>194282</v>
      </c>
      <c r="E238" s="1">
        <v>194358</v>
      </c>
      <c r="F238" s="1" t="s">
        <v>9</v>
      </c>
      <c r="G238" s="1" t="s">
        <v>11411</v>
      </c>
    </row>
    <row r="239" spans="1:7" ht="21" x14ac:dyDescent="0.25">
      <c r="A239" s="2" t="str">
        <f>HYPERLINK("https://rth.dk/resources/bsgatlas/details.php?id=BSGatlas-gene-238","BSGatlas-gene-238")</f>
        <v>BSGatlas-gene-238</v>
      </c>
      <c r="B239" s="1" t="s">
        <v>226</v>
      </c>
      <c r="C239" s="1" t="s">
        <v>23</v>
      </c>
      <c r="D239" s="1">
        <v>194362</v>
      </c>
      <c r="E239" s="1">
        <v>194435</v>
      </c>
      <c r="F239" s="1" t="s">
        <v>9</v>
      </c>
      <c r="G239" s="1" t="s">
        <v>11411</v>
      </c>
    </row>
    <row r="240" spans="1:7" ht="21" x14ac:dyDescent="0.25">
      <c r="A240" s="2" t="str">
        <f>HYPERLINK("https://rth.dk/resources/bsgatlas/details.php?id=BSGatlas-gene-239","BSGatlas-gene-239")</f>
        <v>BSGatlas-gene-239</v>
      </c>
      <c r="B240" s="1" t="s">
        <v>227</v>
      </c>
      <c r="C240" s="1" t="s">
        <v>23</v>
      </c>
      <c r="D240" s="1">
        <v>194457</v>
      </c>
      <c r="E240" s="1">
        <v>194542</v>
      </c>
      <c r="F240" s="1" t="s">
        <v>9</v>
      </c>
      <c r="G240" s="1" t="s">
        <v>11411</v>
      </c>
    </row>
    <row r="241" spans="1:7" ht="21" x14ac:dyDescent="0.25">
      <c r="A241" s="2" t="str">
        <f>HYPERLINK("https://rth.dk/resources/bsgatlas/details.php?id=BSGatlas-gene-240","BSGatlas-gene-240")</f>
        <v>BSGatlas-gene-240</v>
      </c>
      <c r="B241" s="1" t="s">
        <v>228</v>
      </c>
      <c r="C241" s="1" t="s">
        <v>23</v>
      </c>
      <c r="D241" s="1">
        <v>194546</v>
      </c>
      <c r="E241" s="1">
        <v>194621</v>
      </c>
      <c r="F241" s="1" t="s">
        <v>9</v>
      </c>
      <c r="G241" s="1" t="s">
        <v>11411</v>
      </c>
    </row>
    <row r="242" spans="1:7" ht="21" x14ac:dyDescent="0.25">
      <c r="A242" s="2" t="str">
        <f>HYPERLINK("https://rth.dk/resources/bsgatlas/details.php?id=BSGatlas-gene-241","BSGatlas-gene-241")</f>
        <v>BSGatlas-gene-241</v>
      </c>
      <c r="B242" s="1" t="s">
        <v>229</v>
      </c>
      <c r="C242" s="1" t="s">
        <v>8</v>
      </c>
      <c r="D242" s="1">
        <v>194849</v>
      </c>
      <c r="E242" s="1">
        <v>195412</v>
      </c>
      <c r="F242" s="1" t="s">
        <v>9</v>
      </c>
      <c r="G242" s="1" t="s">
        <v>11409</v>
      </c>
    </row>
    <row r="243" spans="1:7" ht="21" x14ac:dyDescent="0.25">
      <c r="A243" s="2" t="str">
        <f>HYPERLINK("https://rth.dk/resources/bsgatlas/details.php?id=BSGatlas-gene-242","BSGatlas-gene-242")</f>
        <v>BSGatlas-gene-242</v>
      </c>
      <c r="B243" s="1" t="s">
        <v>230</v>
      </c>
      <c r="C243" s="1" t="s">
        <v>8</v>
      </c>
      <c r="D243" s="1">
        <v>195426</v>
      </c>
      <c r="E243" s="1">
        <v>196052</v>
      </c>
      <c r="F243" s="1" t="s">
        <v>9</v>
      </c>
      <c r="G243" s="1" t="s">
        <v>11409</v>
      </c>
    </row>
    <row r="244" spans="1:7" ht="21" x14ac:dyDescent="0.25">
      <c r="A244" s="2" t="str">
        <f>HYPERLINK("https://rth.dk/resources/bsgatlas/details.php?id=BSGatlas-gene-243","BSGatlas-gene-243")</f>
        <v>BSGatlas-gene-243</v>
      </c>
      <c r="B244" s="1" t="s">
        <v>231</v>
      </c>
      <c r="C244" s="1" t="s">
        <v>8</v>
      </c>
      <c r="D244" s="1">
        <v>196213</v>
      </c>
      <c r="E244" s="1">
        <v>197034</v>
      </c>
      <c r="F244" s="1" t="s">
        <v>9</v>
      </c>
      <c r="G244" s="1" t="s">
        <v>11409</v>
      </c>
    </row>
    <row r="245" spans="1:7" ht="21" x14ac:dyDescent="0.25">
      <c r="A245" s="2" t="str">
        <f>HYPERLINK("https://rth.dk/resources/bsgatlas/details.php?id=BSGatlas-gene-244","BSGatlas-gene-244")</f>
        <v>BSGatlas-gene-244</v>
      </c>
      <c r="B245" s="1" t="s">
        <v>232</v>
      </c>
      <c r="C245" s="1" t="s">
        <v>8</v>
      </c>
      <c r="D245" s="1">
        <v>197027</v>
      </c>
      <c r="E245" s="1">
        <v>198478</v>
      </c>
      <c r="F245" s="1" t="s">
        <v>9</v>
      </c>
      <c r="G245" s="1" t="s">
        <v>11409</v>
      </c>
    </row>
    <row r="246" spans="1:7" ht="21" x14ac:dyDescent="0.25">
      <c r="A246" s="2" t="str">
        <f>HYPERLINK("https://rth.dk/resources/bsgatlas/details.php?id=BSGatlas-gene-245","BSGatlas-gene-245")</f>
        <v>BSGatlas-gene-245</v>
      </c>
      <c r="B246" s="1" t="s">
        <v>233</v>
      </c>
      <c r="C246" s="1" t="s">
        <v>8</v>
      </c>
      <c r="D246" s="1">
        <v>198497</v>
      </c>
      <c r="E246" s="1">
        <v>199843</v>
      </c>
      <c r="F246" s="1" t="s">
        <v>9</v>
      </c>
      <c r="G246" s="1" t="s">
        <v>11409</v>
      </c>
    </row>
    <row r="247" spans="1:7" ht="21" x14ac:dyDescent="0.25">
      <c r="A247" s="2" t="str">
        <f>HYPERLINK("https://rth.dk/resources/bsgatlas/details.php?id=BSGatlas-gene-246","BSGatlas-gene-246")</f>
        <v>BSGatlas-gene-246</v>
      </c>
      <c r="B247" s="1" t="s">
        <v>234</v>
      </c>
      <c r="C247" s="1" t="s">
        <v>34</v>
      </c>
      <c r="D247" s="1">
        <v>200016</v>
      </c>
      <c r="E247" s="1">
        <v>200187</v>
      </c>
      <c r="F247" s="1" t="s">
        <v>9</v>
      </c>
      <c r="G247" s="1" t="s">
        <v>11439</v>
      </c>
    </row>
    <row r="248" spans="1:7" ht="21" x14ac:dyDescent="0.25">
      <c r="A248" s="2" t="str">
        <f>HYPERLINK("https://rth.dk/resources/bsgatlas/details.php?id=BSGatlas-gene-247","BSGatlas-gene-247")</f>
        <v>BSGatlas-gene-247</v>
      </c>
      <c r="B248" s="1" t="s">
        <v>235</v>
      </c>
      <c r="C248" s="1" t="s">
        <v>8</v>
      </c>
      <c r="D248" s="1">
        <v>200277</v>
      </c>
      <c r="E248" s="1">
        <v>202079</v>
      </c>
      <c r="F248" s="1" t="s">
        <v>9</v>
      </c>
      <c r="G248" s="1" t="s">
        <v>11409</v>
      </c>
    </row>
    <row r="249" spans="1:7" ht="21" x14ac:dyDescent="0.25">
      <c r="A249" s="2" t="str">
        <f>HYPERLINK("https://rth.dk/resources/bsgatlas/details.php?id=BSGatlas-gene-248","BSGatlas-gene-248")</f>
        <v>BSGatlas-gene-248</v>
      </c>
      <c r="B249" s="1" t="s">
        <v>11440</v>
      </c>
      <c r="C249" s="1" t="s">
        <v>8</v>
      </c>
      <c r="D249" s="1">
        <v>202126</v>
      </c>
      <c r="E249" s="1">
        <v>202266</v>
      </c>
      <c r="F249" s="1" t="s">
        <v>9</v>
      </c>
      <c r="G249" s="1" t="s">
        <v>11441</v>
      </c>
    </row>
    <row r="250" spans="1:7" ht="21" x14ac:dyDescent="0.25">
      <c r="A250" s="2" t="str">
        <f>HYPERLINK("https://rth.dk/resources/bsgatlas/details.php?id=BSGatlas-gene-249","BSGatlas-gene-249")</f>
        <v>BSGatlas-gene-249</v>
      </c>
      <c r="B250" s="1" t="s">
        <v>236</v>
      </c>
      <c r="C250" s="1" t="s">
        <v>8</v>
      </c>
      <c r="D250" s="1">
        <v>202547</v>
      </c>
      <c r="E250" s="1">
        <v>203458</v>
      </c>
      <c r="F250" s="1" t="s">
        <v>13</v>
      </c>
      <c r="G250" s="1" t="s">
        <v>11409</v>
      </c>
    </row>
    <row r="251" spans="1:7" ht="21" x14ac:dyDescent="0.25">
      <c r="A251" s="2" t="str">
        <f>HYPERLINK("https://rth.dk/resources/bsgatlas/details.php?id=BSGatlas-gene-250","BSGatlas-gene-250")</f>
        <v>BSGatlas-gene-250</v>
      </c>
      <c r="B251" s="1" t="s">
        <v>237</v>
      </c>
      <c r="C251" s="1" t="s">
        <v>8</v>
      </c>
      <c r="D251" s="1">
        <v>203729</v>
      </c>
      <c r="E251" s="1">
        <v>204364</v>
      </c>
      <c r="F251" s="1" t="s">
        <v>9</v>
      </c>
      <c r="G251" s="1" t="s">
        <v>11409</v>
      </c>
    </row>
    <row r="252" spans="1:7" ht="21" x14ac:dyDescent="0.25">
      <c r="A252" s="2" t="str">
        <f>HYPERLINK("https://rth.dk/resources/bsgatlas/details.php?id=BSGatlas-gene-251","BSGatlas-gene-251")</f>
        <v>BSGatlas-gene-251</v>
      </c>
      <c r="B252" s="1" t="s">
        <v>238</v>
      </c>
      <c r="C252" s="1" t="s">
        <v>8</v>
      </c>
      <c r="D252" s="1">
        <v>204351</v>
      </c>
      <c r="E252" s="1">
        <v>204890</v>
      </c>
      <c r="F252" s="1" t="s">
        <v>9</v>
      </c>
      <c r="G252" s="1" t="s">
        <v>11409</v>
      </c>
    </row>
    <row r="253" spans="1:7" ht="21" x14ac:dyDescent="0.25">
      <c r="A253" s="2" t="str">
        <f>HYPERLINK("https://rth.dk/resources/bsgatlas/details.php?id=BSGatlas-gene-252","BSGatlas-gene-252")</f>
        <v>BSGatlas-gene-252</v>
      </c>
      <c r="B253" s="1" t="s">
        <v>239</v>
      </c>
      <c r="C253" s="1" t="s">
        <v>12</v>
      </c>
      <c r="D253" s="1">
        <v>204991</v>
      </c>
      <c r="E253" s="1">
        <v>205238</v>
      </c>
      <c r="F253" s="1" t="s">
        <v>9</v>
      </c>
      <c r="G253" s="1" t="s">
        <v>11442</v>
      </c>
    </row>
    <row r="254" spans="1:7" ht="21" x14ac:dyDescent="0.25">
      <c r="A254" s="2" t="str">
        <f>HYPERLINK("https://rth.dk/resources/bsgatlas/details.php?id=BSGatlas-gene-253","BSGatlas-gene-253")</f>
        <v>BSGatlas-gene-253</v>
      </c>
      <c r="B254" s="1" t="s">
        <v>240</v>
      </c>
      <c r="C254" s="1" t="s">
        <v>8</v>
      </c>
      <c r="D254" s="1">
        <v>205409</v>
      </c>
      <c r="E254" s="1">
        <v>206926</v>
      </c>
      <c r="F254" s="1" t="s">
        <v>9</v>
      </c>
      <c r="G254" s="1" t="s">
        <v>11409</v>
      </c>
    </row>
    <row r="255" spans="1:7" ht="21" x14ac:dyDescent="0.25">
      <c r="A255" s="2" t="str">
        <f>HYPERLINK("https://rth.dk/resources/bsgatlas/details.php?id=BSGatlas-gene-254","BSGatlas-gene-254")</f>
        <v>BSGatlas-gene-254</v>
      </c>
      <c r="B255" s="1" t="s">
        <v>241</v>
      </c>
      <c r="C255" s="1" t="s">
        <v>8</v>
      </c>
      <c r="D255" s="1">
        <v>206941</v>
      </c>
      <c r="E255" s="1">
        <v>209556</v>
      </c>
      <c r="F255" s="1" t="s">
        <v>9</v>
      </c>
      <c r="G255" s="1" t="s">
        <v>11409</v>
      </c>
    </row>
    <row r="256" spans="1:7" ht="21" x14ac:dyDescent="0.25">
      <c r="A256" s="2" t="str">
        <f>HYPERLINK("https://rth.dk/resources/bsgatlas/details.php?id=BSGatlas-gene-255","BSGatlas-gene-255")</f>
        <v>BSGatlas-gene-255</v>
      </c>
      <c r="B256" s="1" t="s">
        <v>242</v>
      </c>
      <c r="C256" s="1" t="s">
        <v>8</v>
      </c>
      <c r="D256" s="1">
        <v>209633</v>
      </c>
      <c r="E256" s="1">
        <v>210160</v>
      </c>
      <c r="F256" s="1" t="s">
        <v>9</v>
      </c>
      <c r="G256" s="1" t="s">
        <v>11409</v>
      </c>
    </row>
    <row r="257" spans="1:7" ht="21" x14ac:dyDescent="0.25">
      <c r="A257" s="2" t="str">
        <f>HYPERLINK("https://rth.dk/resources/bsgatlas/details.php?id=BSGatlas-gene-256","BSGatlas-gene-256")</f>
        <v>BSGatlas-gene-256</v>
      </c>
      <c r="B257" s="1" t="s">
        <v>243</v>
      </c>
      <c r="C257" s="1" t="s">
        <v>8</v>
      </c>
      <c r="D257" s="1">
        <v>210224</v>
      </c>
      <c r="E257" s="1">
        <v>210514</v>
      </c>
      <c r="F257" s="1" t="s">
        <v>9</v>
      </c>
      <c r="G257" s="1" t="s">
        <v>11409</v>
      </c>
    </row>
    <row r="258" spans="1:7" ht="21" x14ac:dyDescent="0.25">
      <c r="A258" s="2" t="str">
        <f>HYPERLINK("https://rth.dk/resources/bsgatlas/details.php?id=BSGatlas-gene-257","BSGatlas-gene-257")</f>
        <v>BSGatlas-gene-257</v>
      </c>
      <c r="B258" s="1" t="s">
        <v>244</v>
      </c>
      <c r="C258" s="1" t="s">
        <v>8</v>
      </c>
      <c r="D258" s="1">
        <v>210572</v>
      </c>
      <c r="E258" s="1">
        <v>210946</v>
      </c>
      <c r="F258" s="1" t="s">
        <v>9</v>
      </c>
      <c r="G258" s="1" t="s">
        <v>11409</v>
      </c>
    </row>
    <row r="259" spans="1:7" ht="21" x14ac:dyDescent="0.25">
      <c r="A259" s="2" t="str">
        <f>HYPERLINK("https://rth.dk/resources/bsgatlas/details.php?id=BSGatlas-gene-258","BSGatlas-gene-258")</f>
        <v>BSGatlas-gene-258</v>
      </c>
      <c r="B259" s="1" t="s">
        <v>245</v>
      </c>
      <c r="C259" s="1" t="s">
        <v>8</v>
      </c>
      <c r="D259" s="1">
        <v>211429</v>
      </c>
      <c r="E259" s="1">
        <v>211731</v>
      </c>
      <c r="F259" s="1" t="s">
        <v>9</v>
      </c>
      <c r="G259" s="1" t="s">
        <v>11409</v>
      </c>
    </row>
    <row r="260" spans="1:7" ht="21" x14ac:dyDescent="0.25">
      <c r="A260" s="2" t="str">
        <f>HYPERLINK("https://rth.dk/resources/bsgatlas/details.php?id=BSGatlas-gene-259","BSGatlas-gene-259")</f>
        <v>BSGatlas-gene-259</v>
      </c>
      <c r="B260" s="1" t="s">
        <v>246</v>
      </c>
      <c r="C260" s="1" t="s">
        <v>8</v>
      </c>
      <c r="D260" s="1">
        <v>211859</v>
      </c>
      <c r="E260" s="1">
        <v>213031</v>
      </c>
      <c r="F260" s="1" t="s">
        <v>9</v>
      </c>
      <c r="G260" s="1" t="s">
        <v>11409</v>
      </c>
    </row>
    <row r="261" spans="1:7" ht="21" x14ac:dyDescent="0.25">
      <c r="A261" s="2" t="str">
        <f>HYPERLINK("https://rth.dk/resources/bsgatlas/details.php?id=BSGatlas-gene-260","BSGatlas-gene-260")</f>
        <v>BSGatlas-gene-260</v>
      </c>
      <c r="B261" s="1" t="s">
        <v>247</v>
      </c>
      <c r="C261" s="1" t="s">
        <v>8</v>
      </c>
      <c r="D261" s="1">
        <v>213155</v>
      </c>
      <c r="E261" s="1">
        <v>213469</v>
      </c>
      <c r="F261" s="1" t="s">
        <v>9</v>
      </c>
      <c r="G261" s="1" t="s">
        <v>11409</v>
      </c>
    </row>
    <row r="262" spans="1:7" ht="21" x14ac:dyDescent="0.25">
      <c r="A262" s="2" t="str">
        <f>HYPERLINK("https://rth.dk/resources/bsgatlas/details.php?id=BSGatlas-gene-261","BSGatlas-gene-261")</f>
        <v>BSGatlas-gene-261</v>
      </c>
      <c r="B262" s="1" t="s">
        <v>248</v>
      </c>
      <c r="C262" s="1" t="s">
        <v>8</v>
      </c>
      <c r="D262" s="1">
        <v>213941</v>
      </c>
      <c r="E262" s="1">
        <v>214108</v>
      </c>
      <c r="F262" s="1" t="s">
        <v>9</v>
      </c>
      <c r="G262" s="1" t="s">
        <v>11409</v>
      </c>
    </row>
    <row r="263" spans="1:7" ht="21" x14ac:dyDescent="0.25">
      <c r="A263" s="2" t="str">
        <f>HYPERLINK("https://rth.dk/resources/bsgatlas/details.php?id=BSGatlas-gene-262","BSGatlas-gene-262")</f>
        <v>BSGatlas-gene-262</v>
      </c>
      <c r="B263" s="1" t="s">
        <v>249</v>
      </c>
      <c r="C263" s="1" t="s">
        <v>8</v>
      </c>
      <c r="D263" s="1">
        <v>214175</v>
      </c>
      <c r="E263" s="1">
        <v>215407</v>
      </c>
      <c r="F263" s="1" t="s">
        <v>9</v>
      </c>
      <c r="G263" s="1" t="s">
        <v>11409</v>
      </c>
    </row>
    <row r="264" spans="1:7" ht="21" x14ac:dyDescent="0.25">
      <c r="A264" s="2" t="str">
        <f>HYPERLINK("https://rth.dk/resources/bsgatlas/details.php?id=BSGatlas-gene-263","BSGatlas-gene-263")</f>
        <v>BSGatlas-gene-263</v>
      </c>
      <c r="B264" s="1" t="s">
        <v>250</v>
      </c>
      <c r="C264" s="1" t="s">
        <v>8</v>
      </c>
      <c r="D264" s="1">
        <v>215404</v>
      </c>
      <c r="E264" s="1">
        <v>216894</v>
      </c>
      <c r="F264" s="1" t="s">
        <v>9</v>
      </c>
      <c r="G264" s="1" t="s">
        <v>11409</v>
      </c>
    </row>
    <row r="265" spans="1:7" ht="21" x14ac:dyDescent="0.25">
      <c r="A265" s="2" t="str">
        <f>HYPERLINK("https://rth.dk/resources/bsgatlas/details.php?id=BSGatlas-gene-264","BSGatlas-gene-264")</f>
        <v>BSGatlas-gene-264</v>
      </c>
      <c r="B265" s="1" t="s">
        <v>251</v>
      </c>
      <c r="C265" s="1" t="s">
        <v>8</v>
      </c>
      <c r="D265" s="1">
        <v>216913</v>
      </c>
      <c r="E265" s="1">
        <v>217632</v>
      </c>
      <c r="F265" s="1" t="s">
        <v>9</v>
      </c>
      <c r="G265" s="1" t="s">
        <v>11409</v>
      </c>
    </row>
    <row r="266" spans="1:7" ht="21" x14ac:dyDescent="0.25">
      <c r="A266" s="2" t="str">
        <f>HYPERLINK("https://rth.dk/resources/bsgatlas/details.php?id=BSGatlas-gene-265","BSGatlas-gene-265")</f>
        <v>BSGatlas-gene-265</v>
      </c>
      <c r="B266" s="1" t="s">
        <v>252</v>
      </c>
      <c r="C266" s="1" t="s">
        <v>8</v>
      </c>
      <c r="D266" s="1">
        <v>217697</v>
      </c>
      <c r="E266" s="1">
        <v>219040</v>
      </c>
      <c r="F266" s="1" t="s">
        <v>9</v>
      </c>
      <c r="G266" s="1" t="s">
        <v>11409</v>
      </c>
    </row>
    <row r="267" spans="1:7" ht="21" x14ac:dyDescent="0.25">
      <c r="A267" s="2" t="str">
        <f>HYPERLINK("https://rth.dk/resources/bsgatlas/details.php?id=BSGatlas-gene-266","BSGatlas-gene-266")</f>
        <v>BSGatlas-gene-266</v>
      </c>
      <c r="B267" s="1" t="s">
        <v>253</v>
      </c>
      <c r="C267" s="1" t="s">
        <v>8</v>
      </c>
      <c r="D267" s="1">
        <v>219087</v>
      </c>
      <c r="E267" s="1">
        <v>219602</v>
      </c>
      <c r="F267" s="1" t="s">
        <v>9</v>
      </c>
      <c r="G267" s="1" t="s">
        <v>11409</v>
      </c>
    </row>
    <row r="268" spans="1:7" ht="21" x14ac:dyDescent="0.25">
      <c r="A268" s="2" t="str">
        <f>HYPERLINK("https://rth.dk/resources/bsgatlas/details.php?id=BSGatlas-gene-267","BSGatlas-gene-267")</f>
        <v>BSGatlas-gene-267</v>
      </c>
      <c r="B268" s="1" t="s">
        <v>254</v>
      </c>
      <c r="C268" s="1" t="s">
        <v>8</v>
      </c>
      <c r="D268" s="1">
        <v>219607</v>
      </c>
      <c r="E268" s="1">
        <v>220032</v>
      </c>
      <c r="F268" s="1" t="s">
        <v>9</v>
      </c>
      <c r="G268" s="1" t="s">
        <v>11409</v>
      </c>
    </row>
    <row r="269" spans="1:7" ht="21" x14ac:dyDescent="0.25">
      <c r="A269" s="2" t="str">
        <f>HYPERLINK("https://rth.dk/resources/bsgatlas/details.php?id=BSGatlas-gene-268","BSGatlas-gene-268")</f>
        <v>BSGatlas-gene-268</v>
      </c>
      <c r="B269" s="1" t="s">
        <v>11443</v>
      </c>
      <c r="C269" s="1" t="s">
        <v>8</v>
      </c>
      <c r="D269" s="1">
        <v>220279</v>
      </c>
      <c r="E269" s="1">
        <v>221256</v>
      </c>
      <c r="F269" s="1" t="s">
        <v>9</v>
      </c>
      <c r="G269" s="1" t="s">
        <v>11409</v>
      </c>
    </row>
    <row r="270" spans="1:7" ht="21" x14ac:dyDescent="0.25">
      <c r="A270" s="2" t="str">
        <f>HYPERLINK("https://rth.dk/resources/bsgatlas/details.php?id=BSGatlas-gene-269","BSGatlas-gene-269")</f>
        <v>BSGatlas-gene-269</v>
      </c>
      <c r="B270" s="1" t="s">
        <v>11444</v>
      </c>
      <c r="C270" s="1" t="s">
        <v>8</v>
      </c>
      <c r="D270" s="1">
        <v>221258</v>
      </c>
      <c r="E270" s="1">
        <v>221929</v>
      </c>
      <c r="F270" s="1" t="s">
        <v>9</v>
      </c>
      <c r="G270" s="1" t="s">
        <v>11409</v>
      </c>
    </row>
    <row r="271" spans="1:7" ht="21" x14ac:dyDescent="0.25">
      <c r="A271" s="2" t="str">
        <f>HYPERLINK("https://rth.dk/resources/bsgatlas/details.php?id=BSGatlas-gene-270","BSGatlas-gene-270")</f>
        <v>BSGatlas-gene-270</v>
      </c>
      <c r="B271" s="1" t="s">
        <v>255</v>
      </c>
      <c r="C271" s="1" t="s">
        <v>8</v>
      </c>
      <c r="D271" s="1">
        <v>221950</v>
      </c>
      <c r="E271" s="1">
        <v>222912</v>
      </c>
      <c r="F271" s="1" t="s">
        <v>9</v>
      </c>
      <c r="G271" s="1" t="s">
        <v>11409</v>
      </c>
    </row>
    <row r="272" spans="1:7" ht="21" x14ac:dyDescent="0.25">
      <c r="A272" s="2" t="str">
        <f>HYPERLINK("https://rth.dk/resources/bsgatlas/details.php?id=BSGatlas-gene-271","BSGatlas-gene-271")</f>
        <v>BSGatlas-gene-271</v>
      </c>
      <c r="B272" s="1" t="s">
        <v>256</v>
      </c>
      <c r="C272" s="1" t="s">
        <v>8</v>
      </c>
      <c r="D272" s="1">
        <v>222971</v>
      </c>
      <c r="E272" s="1">
        <v>223234</v>
      </c>
      <c r="F272" s="1" t="s">
        <v>9</v>
      </c>
      <c r="G272" s="1" t="s">
        <v>11409</v>
      </c>
    </row>
    <row r="273" spans="1:7" ht="21" x14ac:dyDescent="0.25">
      <c r="A273" s="2" t="str">
        <f>HYPERLINK("https://rth.dk/resources/bsgatlas/details.php?id=BSGatlas-gene-272","BSGatlas-gene-272")</f>
        <v>BSGatlas-gene-272</v>
      </c>
      <c r="B273" s="1" t="s">
        <v>257</v>
      </c>
      <c r="C273" s="1" t="s">
        <v>8</v>
      </c>
      <c r="D273" s="1">
        <v>223219</v>
      </c>
      <c r="E273" s="1">
        <v>223989</v>
      </c>
      <c r="F273" s="1" t="s">
        <v>13</v>
      </c>
      <c r="G273" s="1" t="s">
        <v>11409</v>
      </c>
    </row>
    <row r="274" spans="1:7" ht="21" x14ac:dyDescent="0.25">
      <c r="A274" s="2" t="str">
        <f>HYPERLINK("https://rth.dk/resources/bsgatlas/details.php?id=BSGatlas-gene-273","BSGatlas-gene-273")</f>
        <v>BSGatlas-gene-273</v>
      </c>
      <c r="B274" s="1" t="s">
        <v>258</v>
      </c>
      <c r="C274" s="1" t="s">
        <v>8</v>
      </c>
      <c r="D274" s="1">
        <v>224075</v>
      </c>
      <c r="E274" s="1">
        <v>224932</v>
      </c>
      <c r="F274" s="1" t="s">
        <v>13</v>
      </c>
      <c r="G274" s="1" t="s">
        <v>11409</v>
      </c>
    </row>
    <row r="275" spans="1:7" ht="21" x14ac:dyDescent="0.25">
      <c r="A275" s="2" t="str">
        <f>HYPERLINK("https://rth.dk/resources/bsgatlas/details.php?id=BSGatlas-gene-274","BSGatlas-gene-274")</f>
        <v>BSGatlas-gene-274</v>
      </c>
      <c r="B275" s="1" t="s">
        <v>259</v>
      </c>
      <c r="C275" s="1" t="s">
        <v>8</v>
      </c>
      <c r="D275" s="1">
        <v>225064</v>
      </c>
      <c r="E275" s="1">
        <v>226248</v>
      </c>
      <c r="F275" s="1" t="s">
        <v>9</v>
      </c>
      <c r="G275" s="1" t="s">
        <v>11409</v>
      </c>
    </row>
    <row r="276" spans="1:7" ht="21" x14ac:dyDescent="0.25">
      <c r="A276" s="2" t="str">
        <f>HYPERLINK("https://rth.dk/resources/bsgatlas/details.php?id=BSGatlas-gene-275","BSGatlas-gene-275")</f>
        <v>BSGatlas-gene-275</v>
      </c>
      <c r="B276" s="1" t="s">
        <v>260</v>
      </c>
      <c r="C276" s="1" t="s">
        <v>8</v>
      </c>
      <c r="D276" s="1">
        <v>226566</v>
      </c>
      <c r="E276" s="1">
        <v>227954</v>
      </c>
      <c r="F276" s="1" t="s">
        <v>9</v>
      </c>
      <c r="G276" s="1" t="s">
        <v>11409</v>
      </c>
    </row>
    <row r="277" spans="1:7" ht="21" x14ac:dyDescent="0.25">
      <c r="A277" s="2" t="str">
        <f>HYPERLINK("https://rth.dk/resources/bsgatlas/details.php?id=BSGatlas-gene-276","BSGatlas-gene-276")</f>
        <v>BSGatlas-gene-276</v>
      </c>
      <c r="B277" s="1" t="s">
        <v>261</v>
      </c>
      <c r="C277" s="1" t="s">
        <v>8</v>
      </c>
      <c r="D277" s="1">
        <v>228066</v>
      </c>
      <c r="E277" s="1">
        <v>228314</v>
      </c>
      <c r="F277" s="1" t="s">
        <v>9</v>
      </c>
      <c r="G277" s="1" t="s">
        <v>11409</v>
      </c>
    </row>
    <row r="278" spans="1:7" ht="21" x14ac:dyDescent="0.25">
      <c r="A278" s="2" t="str">
        <f>HYPERLINK("https://rth.dk/resources/bsgatlas/details.php?id=BSGatlas-gene-277","BSGatlas-gene-277")</f>
        <v>BSGatlas-gene-277</v>
      </c>
      <c r="B278" s="1" t="s">
        <v>262</v>
      </c>
      <c r="C278" s="1" t="s">
        <v>8</v>
      </c>
      <c r="D278" s="1">
        <v>228331</v>
      </c>
      <c r="E278" s="1">
        <v>228522</v>
      </c>
      <c r="F278" s="1" t="s">
        <v>9</v>
      </c>
      <c r="G278" s="1" t="s">
        <v>11409</v>
      </c>
    </row>
    <row r="279" spans="1:7" ht="21" x14ac:dyDescent="0.25">
      <c r="A279" s="2" t="str">
        <f>HYPERLINK("https://rth.dk/resources/bsgatlas/details.php?id=BSGatlas-gene-278","BSGatlas-gene-278")</f>
        <v>BSGatlas-gene-278</v>
      </c>
      <c r="B279" s="1" t="s">
        <v>263</v>
      </c>
      <c r="C279" s="1" t="s">
        <v>8</v>
      </c>
      <c r="D279" s="1">
        <v>228549</v>
      </c>
      <c r="E279" s="1">
        <v>229352</v>
      </c>
      <c r="F279" s="1" t="s">
        <v>13</v>
      </c>
      <c r="G279" s="1" t="s">
        <v>11409</v>
      </c>
    </row>
    <row r="280" spans="1:7" ht="21" x14ac:dyDescent="0.25">
      <c r="A280" s="2" t="str">
        <f>HYPERLINK("https://rth.dk/resources/bsgatlas/details.php?id=BSGatlas-gene-279","BSGatlas-gene-279")</f>
        <v>BSGatlas-gene-279</v>
      </c>
      <c r="B280" s="1" t="s">
        <v>264</v>
      </c>
      <c r="C280" s="1" t="s">
        <v>8</v>
      </c>
      <c r="D280" s="1">
        <v>229525</v>
      </c>
      <c r="E280" s="1">
        <v>230778</v>
      </c>
      <c r="F280" s="1" t="s">
        <v>9</v>
      </c>
      <c r="G280" s="1" t="s">
        <v>11409</v>
      </c>
    </row>
    <row r="281" spans="1:7" ht="21" x14ac:dyDescent="0.25">
      <c r="A281" s="2" t="str">
        <f>HYPERLINK("https://rth.dk/resources/bsgatlas/details.php?id=BSGatlas-gene-280","BSGatlas-gene-280")</f>
        <v>BSGatlas-gene-280</v>
      </c>
      <c r="B281" s="1" t="s">
        <v>265</v>
      </c>
      <c r="C281" s="1" t="s">
        <v>8</v>
      </c>
      <c r="D281" s="1">
        <v>230819</v>
      </c>
      <c r="E281" s="1">
        <v>231079</v>
      </c>
      <c r="F281" s="1" t="s">
        <v>13</v>
      </c>
      <c r="G281" s="1" t="s">
        <v>11409</v>
      </c>
    </row>
    <row r="282" spans="1:7" ht="21" x14ac:dyDescent="0.25">
      <c r="A282" s="2" t="str">
        <f>HYPERLINK("https://rth.dk/resources/bsgatlas/details.php?id=BSGatlas-gene-281","BSGatlas-gene-281")</f>
        <v>BSGatlas-gene-281</v>
      </c>
      <c r="B282" s="1" t="s">
        <v>266</v>
      </c>
      <c r="C282" s="1" t="s">
        <v>8</v>
      </c>
      <c r="D282" s="1">
        <v>231348</v>
      </c>
      <c r="E282" s="1">
        <v>232967</v>
      </c>
      <c r="F282" s="1" t="s">
        <v>9</v>
      </c>
      <c r="G282" s="1" t="s">
        <v>11409</v>
      </c>
    </row>
    <row r="283" spans="1:7" ht="21" x14ac:dyDescent="0.25">
      <c r="A283" s="2" t="str">
        <f>HYPERLINK("https://rth.dk/resources/bsgatlas/details.php?id=BSGatlas-gene-282","BSGatlas-gene-282")</f>
        <v>BSGatlas-gene-282</v>
      </c>
      <c r="B283" s="1" t="s">
        <v>267</v>
      </c>
      <c r="C283" s="1" t="s">
        <v>8</v>
      </c>
      <c r="D283" s="1">
        <v>233014</v>
      </c>
      <c r="E283" s="1">
        <v>233895</v>
      </c>
      <c r="F283" s="1" t="s">
        <v>13</v>
      </c>
      <c r="G283" s="1" t="s">
        <v>11409</v>
      </c>
    </row>
    <row r="284" spans="1:7" ht="21" x14ac:dyDescent="0.25">
      <c r="A284" s="2" t="str">
        <f>HYPERLINK("https://rth.dk/resources/bsgatlas/details.php?id=BSGatlas-gene-283","BSGatlas-gene-283")</f>
        <v>BSGatlas-gene-283</v>
      </c>
      <c r="B284" s="1" t="s">
        <v>268</v>
      </c>
      <c r="C284" s="1" t="s">
        <v>8</v>
      </c>
      <c r="D284" s="1">
        <v>233994</v>
      </c>
      <c r="E284" s="1">
        <v>235328</v>
      </c>
      <c r="F284" s="1" t="s">
        <v>13</v>
      </c>
      <c r="G284" s="1" t="s">
        <v>11409</v>
      </c>
    </row>
    <row r="285" spans="1:7" ht="21" x14ac:dyDescent="0.25">
      <c r="A285" s="2" t="str">
        <f>HYPERLINK("https://rth.dk/resources/bsgatlas/details.php?id=BSGatlas-gene-284","BSGatlas-gene-284")</f>
        <v>BSGatlas-gene-284</v>
      </c>
      <c r="B285" s="1" t="s">
        <v>269</v>
      </c>
      <c r="C285" s="1" t="s">
        <v>12</v>
      </c>
      <c r="D285" s="1">
        <v>234998</v>
      </c>
      <c r="E285" s="1">
        <v>235624</v>
      </c>
      <c r="F285" s="1" t="s">
        <v>9</v>
      </c>
      <c r="G285" s="1" t="s">
        <v>11406</v>
      </c>
    </row>
    <row r="286" spans="1:7" ht="21" x14ac:dyDescent="0.25">
      <c r="A286" s="2" t="str">
        <f>HYPERLINK("https://rth.dk/resources/bsgatlas/details.php?id=BSGatlas-gene-285","BSGatlas-gene-285")</f>
        <v>BSGatlas-gene-285</v>
      </c>
      <c r="B286" s="1" t="s">
        <v>270</v>
      </c>
      <c r="C286" s="1" t="s">
        <v>34</v>
      </c>
      <c r="D286" s="1">
        <v>235390</v>
      </c>
      <c r="E286" s="1">
        <v>235481</v>
      </c>
      <c r="F286" s="1" t="s">
        <v>13</v>
      </c>
      <c r="G286" s="1" t="s">
        <v>11414</v>
      </c>
    </row>
    <row r="287" spans="1:7" ht="21" x14ac:dyDescent="0.25">
      <c r="A287" s="2" t="str">
        <f>HYPERLINK("https://rth.dk/resources/bsgatlas/details.php?id=BSGatlas-gene-286","BSGatlas-gene-286")</f>
        <v>BSGatlas-gene-286</v>
      </c>
      <c r="B287" s="1" t="s">
        <v>271</v>
      </c>
      <c r="C287" s="1" t="s">
        <v>8</v>
      </c>
      <c r="D287" s="1">
        <v>235625</v>
      </c>
      <c r="E287" s="1">
        <v>235873</v>
      </c>
      <c r="F287" s="1" t="s">
        <v>9</v>
      </c>
      <c r="G287" s="1" t="s">
        <v>11409</v>
      </c>
    </row>
    <row r="288" spans="1:7" ht="21" x14ac:dyDescent="0.25">
      <c r="A288" s="2" t="str">
        <f>HYPERLINK("https://rth.dk/resources/bsgatlas/details.php?id=BSGatlas-gene-287","BSGatlas-gene-287")</f>
        <v>BSGatlas-gene-287</v>
      </c>
      <c r="B288" s="1" t="s">
        <v>272</v>
      </c>
      <c r="C288" s="1" t="s">
        <v>8</v>
      </c>
      <c r="D288" s="1">
        <v>235965</v>
      </c>
      <c r="E288" s="1">
        <v>236882</v>
      </c>
      <c r="F288" s="1" t="s">
        <v>9</v>
      </c>
      <c r="G288" s="1" t="s">
        <v>11409</v>
      </c>
    </row>
    <row r="289" spans="1:7" ht="21" x14ac:dyDescent="0.25">
      <c r="A289" s="2" t="str">
        <f>HYPERLINK("https://rth.dk/resources/bsgatlas/details.php?id=BSGatlas-gene-288","BSGatlas-gene-288")</f>
        <v>BSGatlas-gene-288</v>
      </c>
      <c r="B289" s="1" t="s">
        <v>273</v>
      </c>
      <c r="C289" s="1" t="s">
        <v>8</v>
      </c>
      <c r="D289" s="1">
        <v>236879</v>
      </c>
      <c r="E289" s="1">
        <v>238129</v>
      </c>
      <c r="F289" s="1" t="s">
        <v>9</v>
      </c>
      <c r="G289" s="1" t="s">
        <v>11409</v>
      </c>
    </row>
    <row r="290" spans="1:7" ht="21" x14ac:dyDescent="0.25">
      <c r="A290" s="2" t="str">
        <f>HYPERLINK("https://rth.dk/resources/bsgatlas/details.php?id=BSGatlas-gene-289","BSGatlas-gene-289")</f>
        <v>BSGatlas-gene-289</v>
      </c>
      <c r="B290" s="1" t="s">
        <v>274</v>
      </c>
      <c r="C290" s="1" t="s">
        <v>8</v>
      </c>
      <c r="D290" s="1">
        <v>238164</v>
      </c>
      <c r="E290" s="1">
        <v>238448</v>
      </c>
      <c r="F290" s="1" t="s">
        <v>13</v>
      </c>
      <c r="G290" s="1" t="s">
        <v>11409</v>
      </c>
    </row>
    <row r="291" spans="1:7" ht="21" x14ac:dyDescent="0.25">
      <c r="A291" s="2" t="str">
        <f>HYPERLINK("https://rth.dk/resources/bsgatlas/details.php?id=BSGatlas-gene-290","BSGatlas-gene-290")</f>
        <v>BSGatlas-gene-290</v>
      </c>
      <c r="B291" s="1" t="s">
        <v>275</v>
      </c>
      <c r="C291" s="1" t="s">
        <v>276</v>
      </c>
      <c r="D291" s="1">
        <v>238354</v>
      </c>
      <c r="E291" s="1">
        <v>238476</v>
      </c>
      <c r="F291" s="1" t="s">
        <v>13</v>
      </c>
      <c r="G291" s="1" t="s">
        <v>11441</v>
      </c>
    </row>
    <row r="292" spans="1:7" ht="21" x14ac:dyDescent="0.25">
      <c r="A292" s="2" t="str">
        <f>HYPERLINK("https://rth.dk/resources/bsgatlas/details.php?id=BSGatlas-gene-291","BSGatlas-gene-291")</f>
        <v>BSGatlas-gene-291</v>
      </c>
      <c r="B292" s="1" t="s">
        <v>277</v>
      </c>
      <c r="C292" s="1" t="s">
        <v>8</v>
      </c>
      <c r="D292" s="1">
        <v>238644</v>
      </c>
      <c r="E292" s="1">
        <v>239555</v>
      </c>
      <c r="F292" s="1" t="s">
        <v>13</v>
      </c>
      <c r="G292" s="1" t="s">
        <v>11409</v>
      </c>
    </row>
    <row r="293" spans="1:7" ht="21" x14ac:dyDescent="0.25">
      <c r="A293" s="2" t="str">
        <f>HYPERLINK("https://rth.dk/resources/bsgatlas/details.php?id=BSGatlas-gene-292","BSGatlas-gene-292")</f>
        <v>BSGatlas-gene-292</v>
      </c>
      <c r="B293" s="1" t="s">
        <v>278</v>
      </c>
      <c r="C293" s="1" t="s">
        <v>8</v>
      </c>
      <c r="D293" s="1">
        <v>239644</v>
      </c>
      <c r="E293" s="1">
        <v>241842</v>
      </c>
      <c r="F293" s="1" t="s">
        <v>13</v>
      </c>
      <c r="G293" s="1" t="s">
        <v>11409</v>
      </c>
    </row>
    <row r="294" spans="1:7" ht="21" x14ac:dyDescent="0.25">
      <c r="A294" s="2" t="str">
        <f>HYPERLINK("https://rth.dk/resources/bsgatlas/details.php?id=BSGatlas-gene-293","BSGatlas-gene-293")</f>
        <v>BSGatlas-gene-293</v>
      </c>
      <c r="B294" s="1" t="s">
        <v>279</v>
      </c>
      <c r="C294" s="1" t="s">
        <v>8</v>
      </c>
      <c r="D294" s="1">
        <v>241917</v>
      </c>
      <c r="E294" s="1">
        <v>242837</v>
      </c>
      <c r="F294" s="1" t="s">
        <v>13</v>
      </c>
      <c r="G294" s="1" t="s">
        <v>11409</v>
      </c>
    </row>
    <row r="295" spans="1:7" ht="21" x14ac:dyDescent="0.25">
      <c r="A295" s="2" t="str">
        <f>HYPERLINK("https://rth.dk/resources/bsgatlas/details.php?id=BSGatlas-gene-294","BSGatlas-gene-294")</f>
        <v>BSGatlas-gene-294</v>
      </c>
      <c r="B295" s="1" t="s">
        <v>280</v>
      </c>
      <c r="C295" s="1" t="s">
        <v>8</v>
      </c>
      <c r="D295" s="1">
        <v>242834</v>
      </c>
      <c r="E295" s="1">
        <v>243661</v>
      </c>
      <c r="F295" s="1" t="s">
        <v>13</v>
      </c>
      <c r="G295" s="1" t="s">
        <v>11409</v>
      </c>
    </row>
    <row r="296" spans="1:7" ht="21" x14ac:dyDescent="0.25">
      <c r="A296" s="2" t="str">
        <f>HYPERLINK("https://rth.dk/resources/bsgatlas/details.php?id=BSGatlas-gene-295","BSGatlas-gene-295")</f>
        <v>BSGatlas-gene-295</v>
      </c>
      <c r="B296" s="1" t="s">
        <v>281</v>
      </c>
      <c r="C296" s="1" t="s">
        <v>8</v>
      </c>
      <c r="D296" s="1">
        <v>243892</v>
      </c>
      <c r="E296" s="1">
        <v>245046</v>
      </c>
      <c r="F296" s="1" t="s">
        <v>9</v>
      </c>
      <c r="G296" s="1" t="s">
        <v>11409</v>
      </c>
    </row>
    <row r="297" spans="1:7" ht="21" x14ac:dyDescent="0.25">
      <c r="A297" s="2" t="str">
        <f>HYPERLINK("https://rth.dk/resources/bsgatlas/details.php?id=BSGatlas-gene-296","BSGatlas-gene-296")</f>
        <v>BSGatlas-gene-296</v>
      </c>
      <c r="B297" s="1" t="s">
        <v>282</v>
      </c>
      <c r="C297" s="1" t="s">
        <v>8</v>
      </c>
      <c r="D297" s="1">
        <v>245190</v>
      </c>
      <c r="E297" s="1">
        <v>246131</v>
      </c>
      <c r="F297" s="1" t="s">
        <v>9</v>
      </c>
      <c r="G297" s="1" t="s">
        <v>11409</v>
      </c>
    </row>
    <row r="298" spans="1:7" ht="21" x14ac:dyDescent="0.25">
      <c r="A298" s="2" t="str">
        <f>HYPERLINK("https://rth.dk/resources/bsgatlas/details.php?id=BSGatlas-gene-297","BSGatlas-gene-297")</f>
        <v>BSGatlas-gene-297</v>
      </c>
      <c r="B298" s="1" t="s">
        <v>283</v>
      </c>
      <c r="C298" s="1" t="s">
        <v>8</v>
      </c>
      <c r="D298" s="1">
        <v>246094</v>
      </c>
      <c r="E298" s="1">
        <v>246492</v>
      </c>
      <c r="F298" s="1" t="s">
        <v>9</v>
      </c>
      <c r="G298" s="1" t="s">
        <v>11409</v>
      </c>
    </row>
    <row r="299" spans="1:7" ht="21" x14ac:dyDescent="0.25">
      <c r="A299" s="2" t="str">
        <f>HYPERLINK("https://rth.dk/resources/bsgatlas/details.php?id=BSGatlas-gene-298","BSGatlas-gene-298")</f>
        <v>BSGatlas-gene-298</v>
      </c>
      <c r="B299" s="1" t="s">
        <v>284</v>
      </c>
      <c r="C299" s="1" t="s">
        <v>8</v>
      </c>
      <c r="D299" s="1">
        <v>246658</v>
      </c>
      <c r="E299" s="1">
        <v>247548</v>
      </c>
      <c r="F299" s="1" t="s">
        <v>9</v>
      </c>
      <c r="G299" s="1" t="s">
        <v>11409</v>
      </c>
    </row>
    <row r="300" spans="1:7" ht="21" x14ac:dyDescent="0.25">
      <c r="A300" s="2" t="str">
        <f>HYPERLINK("https://rth.dk/resources/bsgatlas/details.php?id=BSGatlas-gene-299","BSGatlas-gene-299")</f>
        <v>BSGatlas-gene-299</v>
      </c>
      <c r="B300" s="1" t="s">
        <v>285</v>
      </c>
      <c r="C300" s="1" t="s">
        <v>8</v>
      </c>
      <c r="D300" s="1">
        <v>247744</v>
      </c>
      <c r="E300" s="1">
        <v>248277</v>
      </c>
      <c r="F300" s="1" t="s">
        <v>9</v>
      </c>
      <c r="G300" s="1" t="s">
        <v>11409</v>
      </c>
    </row>
    <row r="301" spans="1:7" ht="21" x14ac:dyDescent="0.25">
      <c r="A301" s="2" t="str">
        <f>HYPERLINK("https://rth.dk/resources/bsgatlas/details.php?id=BSGatlas-gene-300","BSGatlas-gene-300")</f>
        <v>BSGatlas-gene-300</v>
      </c>
      <c r="B301" s="1" t="s">
        <v>286</v>
      </c>
      <c r="C301" s="1" t="s">
        <v>8</v>
      </c>
      <c r="D301" s="1">
        <v>248268</v>
      </c>
      <c r="E301" s="1">
        <v>248756</v>
      </c>
      <c r="F301" s="1" t="s">
        <v>9</v>
      </c>
      <c r="G301" s="1" t="s">
        <v>11409</v>
      </c>
    </row>
    <row r="302" spans="1:7" ht="21" x14ac:dyDescent="0.25">
      <c r="A302" s="2" t="str">
        <f>HYPERLINK("https://rth.dk/resources/bsgatlas/details.php?id=BSGatlas-gene-301","BSGatlas-gene-301")</f>
        <v>BSGatlas-gene-301</v>
      </c>
      <c r="B302" s="1" t="s">
        <v>287</v>
      </c>
      <c r="C302" s="1" t="s">
        <v>8</v>
      </c>
      <c r="D302" s="1">
        <v>248749</v>
      </c>
      <c r="E302" s="1">
        <v>249540</v>
      </c>
      <c r="F302" s="1" t="s">
        <v>9</v>
      </c>
      <c r="G302" s="1" t="s">
        <v>11409</v>
      </c>
    </row>
    <row r="303" spans="1:7" ht="21" x14ac:dyDescent="0.25">
      <c r="A303" s="2" t="str">
        <f>HYPERLINK("https://rth.dk/resources/bsgatlas/details.php?id=BSGatlas-gene-302","BSGatlas-gene-302")</f>
        <v>BSGatlas-gene-302</v>
      </c>
      <c r="B303" s="1" t="s">
        <v>11445</v>
      </c>
      <c r="C303" s="1" t="s">
        <v>8</v>
      </c>
      <c r="D303" s="1">
        <v>249595</v>
      </c>
      <c r="E303" s="1">
        <v>249873</v>
      </c>
      <c r="F303" s="1" t="s">
        <v>9</v>
      </c>
      <c r="G303" s="1" t="s">
        <v>11409</v>
      </c>
    </row>
    <row r="304" spans="1:7" ht="21" x14ac:dyDescent="0.25">
      <c r="A304" s="2" t="str">
        <f>HYPERLINK("https://rth.dk/resources/bsgatlas/details.php?id=BSGatlas-gene-303","BSGatlas-gene-303")</f>
        <v>BSGatlas-gene-303</v>
      </c>
      <c r="B304" s="1" t="s">
        <v>288</v>
      </c>
      <c r="C304" s="1" t="s">
        <v>8</v>
      </c>
      <c r="D304" s="1">
        <v>249979</v>
      </c>
      <c r="E304" s="1">
        <v>251319</v>
      </c>
      <c r="F304" s="1" t="s">
        <v>9</v>
      </c>
      <c r="G304" s="1" t="s">
        <v>11409</v>
      </c>
    </row>
    <row r="305" spans="1:7" ht="21" x14ac:dyDescent="0.25">
      <c r="A305" s="2" t="str">
        <f>HYPERLINK("https://rth.dk/resources/bsgatlas/details.php?id=BSGatlas-gene-304","BSGatlas-gene-304")</f>
        <v>BSGatlas-gene-304</v>
      </c>
      <c r="B305" s="1" t="s">
        <v>289</v>
      </c>
      <c r="C305" s="1" t="s">
        <v>8</v>
      </c>
      <c r="D305" s="1">
        <v>251427</v>
      </c>
      <c r="E305" s="1">
        <v>252314</v>
      </c>
      <c r="F305" s="1" t="s">
        <v>9</v>
      </c>
      <c r="G305" s="1" t="s">
        <v>11409</v>
      </c>
    </row>
    <row r="306" spans="1:7" ht="21" x14ac:dyDescent="0.25">
      <c r="A306" s="2" t="str">
        <f>HYPERLINK("https://rth.dk/resources/bsgatlas/details.php?id=BSGatlas-gene-305","BSGatlas-gene-305")</f>
        <v>BSGatlas-gene-305</v>
      </c>
      <c r="B306" s="1" t="s">
        <v>290</v>
      </c>
      <c r="C306" s="1" t="s">
        <v>8</v>
      </c>
      <c r="D306" s="1">
        <v>252514</v>
      </c>
      <c r="E306" s="1">
        <v>253482</v>
      </c>
      <c r="F306" s="1" t="s">
        <v>9</v>
      </c>
      <c r="G306" s="1" t="s">
        <v>11409</v>
      </c>
    </row>
    <row r="307" spans="1:7" ht="21" x14ac:dyDescent="0.25">
      <c r="A307" s="2" t="str">
        <f>HYPERLINK("https://rth.dk/resources/bsgatlas/details.php?id=BSGatlas-gene-306","BSGatlas-gene-306")</f>
        <v>BSGatlas-gene-306</v>
      </c>
      <c r="B307" s="1" t="s">
        <v>291</v>
      </c>
      <c r="C307" s="1" t="s">
        <v>8</v>
      </c>
      <c r="D307" s="1">
        <v>253518</v>
      </c>
      <c r="E307" s="1">
        <v>254762</v>
      </c>
      <c r="F307" s="1" t="s">
        <v>13</v>
      </c>
      <c r="G307" s="1" t="s">
        <v>11409</v>
      </c>
    </row>
    <row r="308" spans="1:7" ht="21" x14ac:dyDescent="0.25">
      <c r="A308" s="2" t="str">
        <f>HYPERLINK("https://rth.dk/resources/bsgatlas/details.php?id=BSGatlas-gene-307","BSGatlas-gene-307")</f>
        <v>BSGatlas-gene-307</v>
      </c>
      <c r="B308" s="1" t="s">
        <v>292</v>
      </c>
      <c r="C308" s="1" t="s">
        <v>8</v>
      </c>
      <c r="D308" s="1">
        <v>254907</v>
      </c>
      <c r="E308" s="1">
        <v>256802</v>
      </c>
      <c r="F308" s="1" t="s">
        <v>13</v>
      </c>
      <c r="G308" s="1" t="s">
        <v>11409</v>
      </c>
    </row>
    <row r="309" spans="1:7" ht="21" x14ac:dyDescent="0.25">
      <c r="A309" s="2" t="str">
        <f>HYPERLINK("https://rth.dk/resources/bsgatlas/details.php?id=BSGatlas-gene-308","BSGatlas-gene-308")</f>
        <v>BSGatlas-gene-308</v>
      </c>
      <c r="B309" s="1" t="s">
        <v>293</v>
      </c>
      <c r="C309" s="1" t="s">
        <v>8</v>
      </c>
      <c r="D309" s="1">
        <v>256823</v>
      </c>
      <c r="E309" s="1">
        <v>257572</v>
      </c>
      <c r="F309" s="1" t="s">
        <v>13</v>
      </c>
      <c r="G309" s="1" t="s">
        <v>11409</v>
      </c>
    </row>
    <row r="310" spans="1:7" ht="21" x14ac:dyDescent="0.25">
      <c r="A310" s="2" t="str">
        <f>HYPERLINK("https://rth.dk/resources/bsgatlas/details.php?id=BSGatlas-gene-309","BSGatlas-gene-309")</f>
        <v>BSGatlas-gene-309</v>
      </c>
      <c r="B310" s="1" t="s">
        <v>294</v>
      </c>
      <c r="C310" s="1" t="s">
        <v>8</v>
      </c>
      <c r="D310" s="1">
        <v>257791</v>
      </c>
      <c r="E310" s="1">
        <v>258498</v>
      </c>
      <c r="F310" s="1" t="s">
        <v>9</v>
      </c>
      <c r="G310" s="1" t="s">
        <v>11409</v>
      </c>
    </row>
    <row r="311" spans="1:7" ht="21" x14ac:dyDescent="0.25">
      <c r="A311" s="2" t="str">
        <f>HYPERLINK("https://rth.dk/resources/bsgatlas/details.php?id=BSGatlas-gene-310","BSGatlas-gene-310")</f>
        <v>BSGatlas-gene-310</v>
      </c>
      <c r="B311" s="1" t="s">
        <v>295</v>
      </c>
      <c r="C311" s="1" t="s">
        <v>8</v>
      </c>
      <c r="D311" s="1">
        <v>258532</v>
      </c>
      <c r="E311" s="1">
        <v>258807</v>
      </c>
      <c r="F311" s="1" t="s">
        <v>9</v>
      </c>
      <c r="G311" s="1" t="s">
        <v>11409</v>
      </c>
    </row>
    <row r="312" spans="1:7" ht="21" x14ac:dyDescent="0.25">
      <c r="A312" s="2" t="str">
        <f>HYPERLINK("https://rth.dk/resources/bsgatlas/details.php?id=BSGatlas-gene-311","BSGatlas-gene-311")</f>
        <v>BSGatlas-gene-311</v>
      </c>
      <c r="B312" s="1" t="s">
        <v>296</v>
      </c>
      <c r="C312" s="1" t="s">
        <v>8</v>
      </c>
      <c r="D312" s="1">
        <v>259016</v>
      </c>
      <c r="E312" s="1">
        <v>260086</v>
      </c>
      <c r="F312" s="1" t="s">
        <v>9</v>
      </c>
      <c r="G312" s="1" t="s">
        <v>11409</v>
      </c>
    </row>
    <row r="313" spans="1:7" ht="21" x14ac:dyDescent="0.25">
      <c r="A313" s="2" t="str">
        <f>HYPERLINK("https://rth.dk/resources/bsgatlas/details.php?id=BSGatlas-gene-312","BSGatlas-gene-312")</f>
        <v>BSGatlas-gene-312</v>
      </c>
      <c r="B313" s="1" t="s">
        <v>297</v>
      </c>
      <c r="C313" s="1" t="s">
        <v>8</v>
      </c>
      <c r="D313" s="1">
        <v>260123</v>
      </c>
      <c r="E313" s="1">
        <v>261535</v>
      </c>
      <c r="F313" s="1" t="s">
        <v>13</v>
      </c>
      <c r="G313" s="1" t="s">
        <v>11409</v>
      </c>
    </row>
    <row r="314" spans="1:7" ht="21" x14ac:dyDescent="0.25">
      <c r="A314" s="2" t="str">
        <f>HYPERLINK("https://rth.dk/resources/bsgatlas/details.php?id=BSGatlas-gene-313","BSGatlas-gene-313")</f>
        <v>BSGatlas-gene-313</v>
      </c>
      <c r="B314" s="1" t="s">
        <v>298</v>
      </c>
      <c r="C314" s="1" t="s">
        <v>8</v>
      </c>
      <c r="D314" s="1">
        <v>261656</v>
      </c>
      <c r="E314" s="1">
        <v>262603</v>
      </c>
      <c r="F314" s="1" t="s">
        <v>13</v>
      </c>
      <c r="G314" s="1" t="s">
        <v>11409</v>
      </c>
    </row>
    <row r="315" spans="1:7" ht="21" x14ac:dyDescent="0.25">
      <c r="A315" s="2" t="str">
        <f>HYPERLINK("https://rth.dk/resources/bsgatlas/details.php?id=BSGatlas-gene-314","BSGatlas-gene-314")</f>
        <v>BSGatlas-gene-314</v>
      </c>
      <c r="B315" s="1" t="s">
        <v>299</v>
      </c>
      <c r="C315" s="1" t="s">
        <v>8</v>
      </c>
      <c r="D315" s="1">
        <v>262732</v>
      </c>
      <c r="E315" s="1">
        <v>264168</v>
      </c>
      <c r="F315" s="1" t="s">
        <v>13</v>
      </c>
      <c r="G315" s="1" t="s">
        <v>11409</v>
      </c>
    </row>
    <row r="316" spans="1:7" ht="21" x14ac:dyDescent="0.25">
      <c r="A316" s="2" t="str">
        <f>HYPERLINK("https://rth.dk/resources/bsgatlas/details.php?id=BSGatlas-gene-315","BSGatlas-gene-315")</f>
        <v>BSGatlas-gene-315</v>
      </c>
      <c r="B316" s="1" t="s">
        <v>300</v>
      </c>
      <c r="C316" s="1" t="s">
        <v>8</v>
      </c>
      <c r="D316" s="1">
        <v>264191</v>
      </c>
      <c r="E316" s="1">
        <v>265174</v>
      </c>
      <c r="F316" s="1" t="s">
        <v>13</v>
      </c>
      <c r="G316" s="1" t="s">
        <v>11409</v>
      </c>
    </row>
    <row r="317" spans="1:7" ht="21" x14ac:dyDescent="0.25">
      <c r="A317" s="2" t="str">
        <f>HYPERLINK("https://rth.dk/resources/bsgatlas/details.php?id=BSGatlas-gene-316","BSGatlas-gene-316")</f>
        <v>BSGatlas-gene-316</v>
      </c>
      <c r="B317" s="1" t="s">
        <v>301</v>
      </c>
      <c r="C317" s="1" t="s">
        <v>8</v>
      </c>
      <c r="D317" s="1">
        <v>265476</v>
      </c>
      <c r="E317" s="1">
        <v>266708</v>
      </c>
      <c r="F317" s="1" t="s">
        <v>9</v>
      </c>
      <c r="G317" s="1" t="s">
        <v>11409</v>
      </c>
    </row>
    <row r="318" spans="1:7" ht="21" x14ac:dyDescent="0.25">
      <c r="A318" s="2" t="str">
        <f>HYPERLINK("https://rth.dk/resources/bsgatlas/details.php?id=BSGatlas-gene-317","BSGatlas-gene-317")</f>
        <v>BSGatlas-gene-317</v>
      </c>
      <c r="B318" s="1" t="s">
        <v>302</v>
      </c>
      <c r="C318" s="1" t="s">
        <v>8</v>
      </c>
      <c r="D318" s="1">
        <v>266719</v>
      </c>
      <c r="E318" s="1">
        <v>267663</v>
      </c>
      <c r="F318" s="1" t="s">
        <v>9</v>
      </c>
      <c r="G318" s="1" t="s">
        <v>11409</v>
      </c>
    </row>
    <row r="319" spans="1:7" ht="21" x14ac:dyDescent="0.25">
      <c r="A319" s="2" t="str">
        <f>HYPERLINK("https://rth.dk/resources/bsgatlas/details.php?id=BSGatlas-gene-318","BSGatlas-gene-318")</f>
        <v>BSGatlas-gene-318</v>
      </c>
      <c r="B319" s="1" t="s">
        <v>303</v>
      </c>
      <c r="C319" s="1" t="s">
        <v>8</v>
      </c>
      <c r="D319" s="1">
        <v>267890</v>
      </c>
      <c r="E319" s="1">
        <v>268816</v>
      </c>
      <c r="F319" s="1" t="s">
        <v>9</v>
      </c>
      <c r="G319" s="1" t="s">
        <v>11409</v>
      </c>
    </row>
    <row r="320" spans="1:7" ht="21" x14ac:dyDescent="0.25">
      <c r="A320" s="2" t="str">
        <f>HYPERLINK("https://rth.dk/resources/bsgatlas/details.php?id=BSGatlas-gene-319","BSGatlas-gene-319")</f>
        <v>BSGatlas-gene-319</v>
      </c>
      <c r="B320" s="1" t="s">
        <v>304</v>
      </c>
      <c r="C320" s="1" t="s">
        <v>8</v>
      </c>
      <c r="D320" s="1">
        <v>268846</v>
      </c>
      <c r="E320" s="1">
        <v>270312</v>
      </c>
      <c r="F320" s="1" t="s">
        <v>9</v>
      </c>
      <c r="G320" s="1" t="s">
        <v>11409</v>
      </c>
    </row>
    <row r="321" spans="1:7" ht="21" x14ac:dyDescent="0.25">
      <c r="A321" s="2" t="str">
        <f>HYPERLINK("https://rth.dk/resources/bsgatlas/details.php?id=BSGatlas-gene-320","BSGatlas-gene-320")</f>
        <v>BSGatlas-gene-320</v>
      </c>
      <c r="B321" s="1" t="s">
        <v>305</v>
      </c>
      <c r="C321" s="1" t="s">
        <v>8</v>
      </c>
      <c r="D321" s="1">
        <v>270396</v>
      </c>
      <c r="E321" s="1">
        <v>271763</v>
      </c>
      <c r="F321" s="1" t="s">
        <v>9</v>
      </c>
      <c r="G321" s="1" t="s">
        <v>11409</v>
      </c>
    </row>
    <row r="322" spans="1:7" ht="21" x14ac:dyDescent="0.25">
      <c r="A322" s="2" t="str">
        <f>HYPERLINK("https://rth.dk/resources/bsgatlas/details.php?id=BSGatlas-gene-321","BSGatlas-gene-321")</f>
        <v>BSGatlas-gene-321</v>
      </c>
      <c r="B322" s="1" t="s">
        <v>306</v>
      </c>
      <c r="C322" s="1" t="s">
        <v>8</v>
      </c>
      <c r="D322" s="1">
        <v>271800</v>
      </c>
      <c r="E322" s="1">
        <v>273167</v>
      </c>
      <c r="F322" s="1" t="s">
        <v>9</v>
      </c>
      <c r="G322" s="1" t="s">
        <v>11409</v>
      </c>
    </row>
    <row r="323" spans="1:7" ht="21" x14ac:dyDescent="0.25">
      <c r="A323" s="2" t="str">
        <f>HYPERLINK("https://rth.dk/resources/bsgatlas/details.php?id=BSGatlas-gene-322","BSGatlas-gene-322")</f>
        <v>BSGatlas-gene-322</v>
      </c>
      <c r="B323" s="1" t="s">
        <v>307</v>
      </c>
      <c r="C323" s="1" t="s">
        <v>8</v>
      </c>
      <c r="D323" s="1">
        <v>273237</v>
      </c>
      <c r="E323" s="1">
        <v>273938</v>
      </c>
      <c r="F323" s="1" t="s">
        <v>9</v>
      </c>
      <c r="G323" s="1" t="s">
        <v>11409</v>
      </c>
    </row>
    <row r="324" spans="1:7" ht="21" x14ac:dyDescent="0.25">
      <c r="A324" s="2" t="str">
        <f>HYPERLINK("https://rth.dk/resources/bsgatlas/details.php?id=BSGatlas-gene-323","BSGatlas-gene-323")</f>
        <v>BSGatlas-gene-323</v>
      </c>
      <c r="B324" s="1" t="s">
        <v>308</v>
      </c>
      <c r="C324" s="1" t="s">
        <v>8</v>
      </c>
      <c r="D324" s="1">
        <v>274029</v>
      </c>
      <c r="E324" s="1">
        <v>275561</v>
      </c>
      <c r="F324" s="1" t="s">
        <v>9</v>
      </c>
      <c r="G324" s="1" t="s">
        <v>11409</v>
      </c>
    </row>
    <row r="325" spans="1:7" ht="21" x14ac:dyDescent="0.25">
      <c r="A325" s="2" t="str">
        <f>HYPERLINK("https://rth.dk/resources/bsgatlas/details.php?id=BSGatlas-gene-324","BSGatlas-gene-324")</f>
        <v>BSGatlas-gene-324</v>
      </c>
      <c r="B325" s="1" t="s">
        <v>309</v>
      </c>
      <c r="C325" s="1" t="s">
        <v>12</v>
      </c>
      <c r="D325" s="1">
        <v>275609</v>
      </c>
      <c r="E325" s="1">
        <v>275716</v>
      </c>
      <c r="F325" s="1" t="s">
        <v>9</v>
      </c>
      <c r="G325" s="1" t="s">
        <v>11442</v>
      </c>
    </row>
    <row r="326" spans="1:7" ht="21" x14ac:dyDescent="0.25">
      <c r="A326" s="2" t="str">
        <f>HYPERLINK("https://rth.dk/resources/bsgatlas/details.php?id=BSGatlas-gene-325","BSGatlas-gene-325")</f>
        <v>BSGatlas-gene-325</v>
      </c>
      <c r="B326" s="1" t="s">
        <v>310</v>
      </c>
      <c r="C326" s="1" t="s">
        <v>8</v>
      </c>
      <c r="D326" s="1">
        <v>275838</v>
      </c>
      <c r="E326" s="1">
        <v>276758</v>
      </c>
      <c r="F326" s="1" t="s">
        <v>9</v>
      </c>
      <c r="G326" s="1" t="s">
        <v>11409</v>
      </c>
    </row>
    <row r="327" spans="1:7" ht="21" x14ac:dyDescent="0.25">
      <c r="A327" s="2" t="str">
        <f>HYPERLINK("https://rth.dk/resources/bsgatlas/details.php?id=BSGatlas-gene-326","BSGatlas-gene-326")</f>
        <v>BSGatlas-gene-326</v>
      </c>
      <c r="B327" s="1" t="s">
        <v>313</v>
      </c>
      <c r="C327" s="1" t="s">
        <v>34</v>
      </c>
      <c r="D327" s="1">
        <v>276814</v>
      </c>
      <c r="E327" s="1">
        <v>277062</v>
      </c>
      <c r="F327" s="1" t="s">
        <v>9</v>
      </c>
      <c r="G327" s="1" t="s">
        <v>11412</v>
      </c>
    </row>
    <row r="328" spans="1:7" ht="21" x14ac:dyDescent="0.25">
      <c r="A328" s="2" t="str">
        <f>HYPERLINK("https://rth.dk/resources/bsgatlas/details.php?id=BSGatlas-gene-327","BSGatlas-gene-327")</f>
        <v>BSGatlas-gene-327</v>
      </c>
      <c r="B328" s="1" t="s">
        <v>311</v>
      </c>
      <c r="C328" s="1" t="s">
        <v>8</v>
      </c>
      <c r="D328" s="1">
        <v>277160</v>
      </c>
      <c r="E328" s="1">
        <v>277321</v>
      </c>
      <c r="F328" s="1" t="s">
        <v>9</v>
      </c>
      <c r="G328" s="1" t="s">
        <v>11409</v>
      </c>
    </row>
    <row r="329" spans="1:7" ht="21" x14ac:dyDescent="0.25">
      <c r="A329" s="2" t="str">
        <f>HYPERLINK("https://rth.dk/resources/bsgatlas/details.php?id=BSGatlas-gene-328","BSGatlas-gene-328")</f>
        <v>BSGatlas-gene-328</v>
      </c>
      <c r="B329" s="1" t="s">
        <v>312</v>
      </c>
      <c r="C329" s="1" t="s">
        <v>8</v>
      </c>
      <c r="D329" s="1">
        <v>277342</v>
      </c>
      <c r="E329" s="1">
        <v>278280</v>
      </c>
      <c r="F329" s="1" t="s">
        <v>9</v>
      </c>
      <c r="G329" s="1" t="s">
        <v>11409</v>
      </c>
    </row>
    <row r="330" spans="1:7" ht="21" x14ac:dyDescent="0.25">
      <c r="A330" s="2" t="str">
        <f>HYPERLINK("https://rth.dk/resources/bsgatlas/details.php?id=BSGatlas-gene-329","BSGatlas-gene-329")</f>
        <v>BSGatlas-gene-329</v>
      </c>
      <c r="B330" s="1" t="s">
        <v>314</v>
      </c>
      <c r="C330" s="1" t="s">
        <v>8</v>
      </c>
      <c r="D330" s="1">
        <v>278377</v>
      </c>
      <c r="E330" s="1">
        <v>279057</v>
      </c>
      <c r="F330" s="1" t="s">
        <v>9</v>
      </c>
      <c r="G330" s="1" t="s">
        <v>11409</v>
      </c>
    </row>
    <row r="331" spans="1:7" ht="21" x14ac:dyDescent="0.25">
      <c r="A331" s="2" t="str">
        <f>HYPERLINK("https://rth.dk/resources/bsgatlas/details.php?id=BSGatlas-gene-330","BSGatlas-gene-330")</f>
        <v>BSGatlas-gene-330</v>
      </c>
      <c r="B331" s="1" t="s">
        <v>315</v>
      </c>
      <c r="C331" s="1" t="s">
        <v>8</v>
      </c>
      <c r="D331" s="1">
        <v>279059</v>
      </c>
      <c r="E331" s="1">
        <v>279994</v>
      </c>
      <c r="F331" s="1" t="s">
        <v>9</v>
      </c>
      <c r="G331" s="1" t="s">
        <v>11409</v>
      </c>
    </row>
    <row r="332" spans="1:7" ht="21" x14ac:dyDescent="0.25">
      <c r="A332" s="2" t="str">
        <f>HYPERLINK("https://rth.dk/resources/bsgatlas/details.php?id=BSGatlas-gene-331","BSGatlas-gene-331")</f>
        <v>BSGatlas-gene-331</v>
      </c>
      <c r="B332" s="1" t="s">
        <v>316</v>
      </c>
      <c r="C332" s="1" t="s">
        <v>8</v>
      </c>
      <c r="D332" s="1">
        <v>280086</v>
      </c>
      <c r="E332" s="1">
        <v>281009</v>
      </c>
      <c r="F332" s="1" t="s">
        <v>9</v>
      </c>
      <c r="G332" s="1" t="s">
        <v>11409</v>
      </c>
    </row>
    <row r="333" spans="1:7" ht="21" x14ac:dyDescent="0.25">
      <c r="A333" s="2" t="str">
        <f>HYPERLINK("https://rth.dk/resources/bsgatlas/details.php?id=BSGatlas-gene-332","BSGatlas-gene-332")</f>
        <v>BSGatlas-gene-332</v>
      </c>
      <c r="B333" s="1" t="s">
        <v>317</v>
      </c>
      <c r="C333" s="1" t="s">
        <v>8</v>
      </c>
      <c r="D333" s="1">
        <v>281028</v>
      </c>
      <c r="E333" s="1">
        <v>281714</v>
      </c>
      <c r="F333" s="1" t="s">
        <v>9</v>
      </c>
      <c r="G333" s="1" t="s">
        <v>11409</v>
      </c>
    </row>
    <row r="334" spans="1:7" ht="21" x14ac:dyDescent="0.25">
      <c r="A334" s="2" t="str">
        <f>HYPERLINK("https://rth.dk/resources/bsgatlas/details.php?id=BSGatlas-gene-333","BSGatlas-gene-333")</f>
        <v>BSGatlas-gene-333</v>
      </c>
      <c r="B334" s="1" t="s">
        <v>318</v>
      </c>
      <c r="C334" s="1" t="s">
        <v>8</v>
      </c>
      <c r="D334" s="1">
        <v>281675</v>
      </c>
      <c r="E334" s="1">
        <v>281809</v>
      </c>
      <c r="F334" s="1" t="s">
        <v>13</v>
      </c>
      <c r="G334" s="1" t="s">
        <v>11441</v>
      </c>
    </row>
    <row r="335" spans="1:7" ht="21" x14ac:dyDescent="0.25">
      <c r="A335" s="2" t="str">
        <f>HYPERLINK("https://rth.dk/resources/bsgatlas/details.php?id=BSGatlas-gene-334","BSGatlas-gene-334")</f>
        <v>BSGatlas-gene-334</v>
      </c>
      <c r="B335" s="1" t="s">
        <v>319</v>
      </c>
      <c r="C335" s="1" t="s">
        <v>8</v>
      </c>
      <c r="D335" s="1">
        <v>281769</v>
      </c>
      <c r="E335" s="1">
        <v>282155</v>
      </c>
      <c r="F335" s="1" t="s">
        <v>13</v>
      </c>
      <c r="G335" s="1" t="s">
        <v>11409</v>
      </c>
    </row>
    <row r="336" spans="1:7" ht="21" x14ac:dyDescent="0.25">
      <c r="A336" s="2" t="str">
        <f>HYPERLINK("https://rth.dk/resources/bsgatlas/details.php?id=BSGatlas-gene-335","BSGatlas-gene-335")</f>
        <v>BSGatlas-gene-335</v>
      </c>
      <c r="B336" s="1" t="s">
        <v>320</v>
      </c>
      <c r="C336" s="1" t="s">
        <v>8</v>
      </c>
      <c r="D336" s="1">
        <v>282469</v>
      </c>
      <c r="E336" s="1">
        <v>282897</v>
      </c>
      <c r="F336" s="1" t="s">
        <v>9</v>
      </c>
      <c r="G336" s="1" t="s">
        <v>11409</v>
      </c>
    </row>
    <row r="337" spans="1:7" ht="21" x14ac:dyDescent="0.25">
      <c r="A337" s="2" t="str">
        <f>HYPERLINK("https://rth.dk/resources/bsgatlas/details.php?id=BSGatlas-gene-336","BSGatlas-gene-336")</f>
        <v>BSGatlas-gene-336</v>
      </c>
      <c r="B337" s="1" t="s">
        <v>321</v>
      </c>
      <c r="C337" s="1" t="s">
        <v>8</v>
      </c>
      <c r="D337" s="1">
        <v>283003</v>
      </c>
      <c r="E337" s="1">
        <v>283734</v>
      </c>
      <c r="F337" s="1" t="s">
        <v>9</v>
      </c>
      <c r="G337" s="1" t="s">
        <v>11409</v>
      </c>
    </row>
    <row r="338" spans="1:7" ht="21" x14ac:dyDescent="0.25">
      <c r="A338" s="2" t="str">
        <f>HYPERLINK("https://rth.dk/resources/bsgatlas/details.php?id=BSGatlas-gene-337","BSGatlas-gene-337")</f>
        <v>BSGatlas-gene-337</v>
      </c>
      <c r="B338" s="1" t="s">
        <v>11446</v>
      </c>
      <c r="C338" s="1" t="s">
        <v>8</v>
      </c>
      <c r="D338" s="1">
        <v>283816</v>
      </c>
      <c r="E338" s="1">
        <v>283992</v>
      </c>
      <c r="F338" s="1" t="s">
        <v>9</v>
      </c>
      <c r="G338" s="1" t="s">
        <v>11409</v>
      </c>
    </row>
    <row r="339" spans="1:7" ht="21" x14ac:dyDescent="0.25">
      <c r="A339" s="2" t="str">
        <f>HYPERLINK("https://rth.dk/resources/bsgatlas/details.php?id=BSGatlas-gene-338","BSGatlas-gene-338")</f>
        <v>BSGatlas-gene-338</v>
      </c>
      <c r="B339" s="1" t="s">
        <v>322</v>
      </c>
      <c r="C339" s="1" t="s">
        <v>8</v>
      </c>
      <c r="D339" s="1">
        <v>284011</v>
      </c>
      <c r="E339" s="1">
        <v>285762</v>
      </c>
      <c r="F339" s="1" t="s">
        <v>9</v>
      </c>
      <c r="G339" s="1" t="s">
        <v>11409</v>
      </c>
    </row>
    <row r="340" spans="1:7" ht="21" x14ac:dyDescent="0.25">
      <c r="A340" s="2" t="str">
        <f>HYPERLINK("https://rth.dk/resources/bsgatlas/details.php?id=BSGatlas-gene-339","BSGatlas-gene-339")</f>
        <v>BSGatlas-gene-339</v>
      </c>
      <c r="B340" s="1" t="s">
        <v>323</v>
      </c>
      <c r="C340" s="1" t="s">
        <v>8</v>
      </c>
      <c r="D340" s="1">
        <v>285775</v>
      </c>
      <c r="E340" s="1">
        <v>285987</v>
      </c>
      <c r="F340" s="1" t="s">
        <v>9</v>
      </c>
      <c r="G340" s="1" t="s">
        <v>11409</v>
      </c>
    </row>
    <row r="341" spans="1:7" ht="21" x14ac:dyDescent="0.25">
      <c r="A341" s="2" t="str">
        <f>HYPERLINK("https://rth.dk/resources/bsgatlas/details.php?id=BSGatlas-gene-340","BSGatlas-gene-340")</f>
        <v>BSGatlas-gene-340</v>
      </c>
      <c r="B341" s="1" t="s">
        <v>324</v>
      </c>
      <c r="C341" s="1" t="s">
        <v>8</v>
      </c>
      <c r="D341" s="1">
        <v>286048</v>
      </c>
      <c r="E341" s="1">
        <v>286776</v>
      </c>
      <c r="F341" s="1" t="s">
        <v>9</v>
      </c>
      <c r="G341" s="1" t="s">
        <v>11409</v>
      </c>
    </row>
    <row r="342" spans="1:7" ht="21" x14ac:dyDescent="0.25">
      <c r="A342" s="2" t="str">
        <f>HYPERLINK("https://rth.dk/resources/bsgatlas/details.php?id=BSGatlas-gene-341","BSGatlas-gene-341")</f>
        <v>BSGatlas-gene-341</v>
      </c>
      <c r="B342" s="1" t="s">
        <v>325</v>
      </c>
      <c r="C342" s="1" t="s">
        <v>8</v>
      </c>
      <c r="D342" s="1">
        <v>286773</v>
      </c>
      <c r="E342" s="1">
        <v>287420</v>
      </c>
      <c r="F342" s="1" t="s">
        <v>13</v>
      </c>
      <c r="G342" s="1" t="s">
        <v>11409</v>
      </c>
    </row>
    <row r="343" spans="1:7" ht="21" x14ac:dyDescent="0.25">
      <c r="A343" s="2" t="str">
        <f>HYPERLINK("https://rth.dk/resources/bsgatlas/details.php?id=BSGatlas-gene-342","BSGatlas-gene-342")</f>
        <v>BSGatlas-gene-342</v>
      </c>
      <c r="B343" s="1" t="s">
        <v>326</v>
      </c>
      <c r="C343" s="1" t="s">
        <v>8</v>
      </c>
      <c r="D343" s="1">
        <v>287499</v>
      </c>
      <c r="E343" s="1">
        <v>288611</v>
      </c>
      <c r="F343" s="1" t="s">
        <v>9</v>
      </c>
      <c r="G343" s="1" t="s">
        <v>11409</v>
      </c>
    </row>
    <row r="344" spans="1:7" ht="21" x14ac:dyDescent="0.25">
      <c r="A344" s="2" t="str">
        <f>HYPERLINK("https://rth.dk/resources/bsgatlas/details.php?id=BSGatlas-gene-343","BSGatlas-gene-343")</f>
        <v>BSGatlas-gene-343</v>
      </c>
      <c r="B344" s="1" t="s">
        <v>327</v>
      </c>
      <c r="C344" s="1" t="s">
        <v>8</v>
      </c>
      <c r="D344" s="1">
        <v>288653</v>
      </c>
      <c r="E344" s="1">
        <v>290092</v>
      </c>
      <c r="F344" s="1" t="s">
        <v>13</v>
      </c>
      <c r="G344" s="1" t="s">
        <v>11409</v>
      </c>
    </row>
    <row r="345" spans="1:7" ht="21" x14ac:dyDescent="0.25">
      <c r="A345" s="2" t="str">
        <f>HYPERLINK("https://rth.dk/resources/bsgatlas/details.php?id=BSGatlas-gene-344","BSGatlas-gene-344")</f>
        <v>BSGatlas-gene-344</v>
      </c>
      <c r="B345" s="1" t="s">
        <v>328</v>
      </c>
      <c r="C345" s="1" t="s">
        <v>8</v>
      </c>
      <c r="D345" s="1">
        <v>290132</v>
      </c>
      <c r="E345" s="1">
        <v>290698</v>
      </c>
      <c r="F345" s="1" t="s">
        <v>13</v>
      </c>
      <c r="G345" s="1" t="s">
        <v>11409</v>
      </c>
    </row>
    <row r="346" spans="1:7" ht="21" x14ac:dyDescent="0.25">
      <c r="A346" s="2" t="str">
        <f>HYPERLINK("https://rth.dk/resources/bsgatlas/details.php?id=BSGatlas-gene-345","BSGatlas-gene-345")</f>
        <v>BSGatlas-gene-345</v>
      </c>
      <c r="B346" s="1" t="s">
        <v>329</v>
      </c>
      <c r="C346" s="1" t="s">
        <v>8</v>
      </c>
      <c r="D346" s="1">
        <v>290915</v>
      </c>
      <c r="E346" s="1">
        <v>292042</v>
      </c>
      <c r="F346" s="1" t="s">
        <v>9</v>
      </c>
      <c r="G346" s="1" t="s">
        <v>11409</v>
      </c>
    </row>
    <row r="347" spans="1:7" ht="21" x14ac:dyDescent="0.25">
      <c r="A347" s="2" t="str">
        <f>HYPERLINK("https://rth.dk/resources/bsgatlas/details.php?id=BSGatlas-gene-346","BSGatlas-gene-346")</f>
        <v>BSGatlas-gene-346</v>
      </c>
      <c r="B347" s="1" t="s">
        <v>330</v>
      </c>
      <c r="C347" s="1" t="s">
        <v>8</v>
      </c>
      <c r="D347" s="1">
        <v>292205</v>
      </c>
      <c r="E347" s="1">
        <v>292843</v>
      </c>
      <c r="F347" s="1" t="s">
        <v>9</v>
      </c>
      <c r="G347" s="1" t="s">
        <v>11409</v>
      </c>
    </row>
    <row r="348" spans="1:7" ht="21" x14ac:dyDescent="0.25">
      <c r="A348" s="2" t="str">
        <f>HYPERLINK("https://rth.dk/resources/bsgatlas/details.php?id=BSGatlas-gene-347","BSGatlas-gene-347")</f>
        <v>BSGatlas-gene-347</v>
      </c>
      <c r="B348" s="1" t="s">
        <v>331</v>
      </c>
      <c r="C348" s="1" t="s">
        <v>8</v>
      </c>
      <c r="D348" s="1">
        <v>292881</v>
      </c>
      <c r="E348" s="1">
        <v>293264</v>
      </c>
      <c r="F348" s="1" t="s">
        <v>13</v>
      </c>
      <c r="G348" s="1" t="s">
        <v>11409</v>
      </c>
    </row>
    <row r="349" spans="1:7" ht="21" x14ac:dyDescent="0.25">
      <c r="A349" s="2" t="str">
        <f>HYPERLINK("https://rth.dk/resources/bsgatlas/details.php?id=BSGatlas-gene-348","BSGatlas-gene-348")</f>
        <v>BSGatlas-gene-348</v>
      </c>
      <c r="B349" s="1" t="s">
        <v>332</v>
      </c>
      <c r="C349" s="1" t="s">
        <v>8</v>
      </c>
      <c r="D349" s="1">
        <v>293499</v>
      </c>
      <c r="E349" s="1">
        <v>294575</v>
      </c>
      <c r="F349" s="1" t="s">
        <v>9</v>
      </c>
      <c r="G349" s="1" t="s">
        <v>11409</v>
      </c>
    </row>
    <row r="350" spans="1:7" ht="21" x14ac:dyDescent="0.25">
      <c r="A350" s="2" t="str">
        <f>HYPERLINK("https://rth.dk/resources/bsgatlas/details.php?id=BSGatlas-gene-349","BSGatlas-gene-349")</f>
        <v>BSGatlas-gene-349</v>
      </c>
      <c r="B350" s="1" t="s">
        <v>333</v>
      </c>
      <c r="C350" s="1" t="s">
        <v>8</v>
      </c>
      <c r="D350" s="1">
        <v>294615</v>
      </c>
      <c r="E350" s="1">
        <v>295571</v>
      </c>
      <c r="F350" s="1" t="s">
        <v>13</v>
      </c>
      <c r="G350" s="1" t="s">
        <v>11409</v>
      </c>
    </row>
    <row r="351" spans="1:7" ht="21" x14ac:dyDescent="0.25">
      <c r="A351" s="2" t="str">
        <f>HYPERLINK("https://rth.dk/resources/bsgatlas/details.php?id=BSGatlas-gene-350","BSGatlas-gene-350")</f>
        <v>BSGatlas-gene-350</v>
      </c>
      <c r="B351" s="1" t="s">
        <v>334</v>
      </c>
      <c r="C351" s="1" t="s">
        <v>8</v>
      </c>
      <c r="D351" s="1">
        <v>295584</v>
      </c>
      <c r="E351" s="1">
        <v>296285</v>
      </c>
      <c r="F351" s="1" t="s">
        <v>13</v>
      </c>
      <c r="G351" s="1" t="s">
        <v>11409</v>
      </c>
    </row>
    <row r="352" spans="1:7" ht="21" x14ac:dyDescent="0.25">
      <c r="A352" s="2" t="str">
        <f>HYPERLINK("https://rth.dk/resources/bsgatlas/details.php?id=BSGatlas-gene-351","BSGatlas-gene-351")</f>
        <v>BSGatlas-gene-351</v>
      </c>
      <c r="B352" s="1" t="s">
        <v>335</v>
      </c>
      <c r="C352" s="1" t="s">
        <v>8</v>
      </c>
      <c r="D352" s="1">
        <v>296429</v>
      </c>
      <c r="E352" s="1">
        <v>297169</v>
      </c>
      <c r="F352" s="1" t="s">
        <v>9</v>
      </c>
      <c r="G352" s="1" t="s">
        <v>11409</v>
      </c>
    </row>
    <row r="353" spans="1:7" ht="21" x14ac:dyDescent="0.25">
      <c r="A353" s="2" t="str">
        <f>HYPERLINK("https://rth.dk/resources/bsgatlas/details.php?id=BSGatlas-gene-352","BSGatlas-gene-352")</f>
        <v>BSGatlas-gene-352</v>
      </c>
      <c r="B353" s="1" t="s">
        <v>336</v>
      </c>
      <c r="C353" s="1" t="s">
        <v>8</v>
      </c>
      <c r="D353" s="1">
        <v>297170</v>
      </c>
      <c r="E353" s="1">
        <v>298330</v>
      </c>
      <c r="F353" s="1" t="s">
        <v>9</v>
      </c>
      <c r="G353" s="1" t="s">
        <v>11409</v>
      </c>
    </row>
    <row r="354" spans="1:7" ht="21" x14ac:dyDescent="0.25">
      <c r="A354" s="2" t="str">
        <f>HYPERLINK("https://rth.dk/resources/bsgatlas/details.php?id=BSGatlas-gene-353","BSGatlas-gene-353")</f>
        <v>BSGatlas-gene-353</v>
      </c>
      <c r="B354" s="1" t="s">
        <v>337</v>
      </c>
      <c r="C354" s="1" t="s">
        <v>8</v>
      </c>
      <c r="D354" s="1">
        <v>298466</v>
      </c>
      <c r="E354" s="1">
        <v>299398</v>
      </c>
      <c r="F354" s="1" t="s">
        <v>9</v>
      </c>
      <c r="G354" s="1" t="s">
        <v>11409</v>
      </c>
    </row>
    <row r="355" spans="1:7" ht="21" x14ac:dyDescent="0.25">
      <c r="A355" s="2" t="str">
        <f>HYPERLINK("https://rth.dk/resources/bsgatlas/details.php?id=BSGatlas-gene-354","BSGatlas-gene-354")</f>
        <v>BSGatlas-gene-354</v>
      </c>
      <c r="B355" s="1" t="s">
        <v>338</v>
      </c>
      <c r="C355" s="1" t="s">
        <v>8</v>
      </c>
      <c r="D355" s="1">
        <v>299438</v>
      </c>
      <c r="E355" s="1">
        <v>300502</v>
      </c>
      <c r="F355" s="1" t="s">
        <v>13</v>
      </c>
      <c r="G355" s="1" t="s">
        <v>11409</v>
      </c>
    </row>
    <row r="356" spans="1:7" ht="21" x14ac:dyDescent="0.25">
      <c r="A356" s="2" t="str">
        <f>HYPERLINK("https://rth.dk/resources/bsgatlas/details.php?id=BSGatlas-gene-355","BSGatlas-gene-355")</f>
        <v>BSGatlas-gene-355</v>
      </c>
      <c r="B356" s="1" t="s">
        <v>522</v>
      </c>
      <c r="C356" s="1" t="s">
        <v>34</v>
      </c>
      <c r="D356" s="1">
        <v>300522</v>
      </c>
      <c r="E356" s="1">
        <v>300681</v>
      </c>
      <c r="F356" s="1" t="s">
        <v>13</v>
      </c>
      <c r="G356" s="1" t="s">
        <v>11414</v>
      </c>
    </row>
    <row r="357" spans="1:7" ht="21" x14ac:dyDescent="0.25">
      <c r="A357" s="2" t="str">
        <f>HYPERLINK("https://rth.dk/resources/bsgatlas/details.php?id=BSGatlas-gene-356","BSGatlas-gene-356")</f>
        <v>BSGatlas-gene-356</v>
      </c>
      <c r="B357" s="1" t="s">
        <v>318</v>
      </c>
      <c r="C357" s="1" t="s">
        <v>8</v>
      </c>
      <c r="D357" s="1">
        <v>300525</v>
      </c>
      <c r="E357" s="1">
        <v>300656</v>
      </c>
      <c r="F357" s="1" t="s">
        <v>13</v>
      </c>
      <c r="G357" s="1" t="s">
        <v>11441</v>
      </c>
    </row>
    <row r="358" spans="1:7" ht="21" x14ac:dyDescent="0.25">
      <c r="A358" s="2" t="str">
        <f>HYPERLINK("https://rth.dk/resources/bsgatlas/details.php?id=BSGatlas-gene-357","BSGatlas-gene-357")</f>
        <v>BSGatlas-gene-357</v>
      </c>
      <c r="B358" s="1" t="s">
        <v>339</v>
      </c>
      <c r="C358" s="1" t="s">
        <v>8</v>
      </c>
      <c r="D358" s="1">
        <v>300830</v>
      </c>
      <c r="E358" s="1">
        <v>302248</v>
      </c>
      <c r="F358" s="1" t="s">
        <v>9</v>
      </c>
      <c r="G358" s="1" t="s">
        <v>11409</v>
      </c>
    </row>
    <row r="359" spans="1:7" ht="21" x14ac:dyDescent="0.25">
      <c r="A359" s="2" t="str">
        <f>HYPERLINK("https://rth.dk/resources/bsgatlas/details.php?id=BSGatlas-gene-358","BSGatlas-gene-358")</f>
        <v>BSGatlas-gene-358</v>
      </c>
      <c r="B359" s="1" t="s">
        <v>340</v>
      </c>
      <c r="C359" s="1" t="s">
        <v>8</v>
      </c>
      <c r="D359" s="1">
        <v>302435</v>
      </c>
      <c r="E359" s="1">
        <v>303796</v>
      </c>
      <c r="F359" s="1" t="s">
        <v>9</v>
      </c>
      <c r="G359" s="1" t="s">
        <v>11409</v>
      </c>
    </row>
    <row r="360" spans="1:7" ht="21" x14ac:dyDescent="0.25">
      <c r="A360" s="2" t="str">
        <f>HYPERLINK("https://rth.dk/resources/bsgatlas/details.php?id=BSGatlas-gene-359","BSGatlas-gene-359")</f>
        <v>BSGatlas-gene-359</v>
      </c>
      <c r="B360" s="1" t="s">
        <v>341</v>
      </c>
      <c r="C360" s="1" t="s">
        <v>8</v>
      </c>
      <c r="D360" s="1">
        <v>303804</v>
      </c>
      <c r="E360" s="1">
        <v>304307</v>
      </c>
      <c r="F360" s="1" t="s">
        <v>13</v>
      </c>
      <c r="G360" s="1" t="s">
        <v>11409</v>
      </c>
    </row>
    <row r="361" spans="1:7" ht="21" x14ac:dyDescent="0.25">
      <c r="A361" s="2" t="str">
        <f>HYPERLINK("https://rth.dk/resources/bsgatlas/details.php?id=BSGatlas-gene-360","BSGatlas-gene-360")</f>
        <v>BSGatlas-gene-360</v>
      </c>
      <c r="B361" s="1" t="s">
        <v>342</v>
      </c>
      <c r="C361" s="1" t="s">
        <v>8</v>
      </c>
      <c r="D361" s="1">
        <v>304430</v>
      </c>
      <c r="E361" s="1">
        <v>305551</v>
      </c>
      <c r="F361" s="1" t="s">
        <v>9</v>
      </c>
      <c r="G361" s="1" t="s">
        <v>11409</v>
      </c>
    </row>
    <row r="362" spans="1:7" ht="21" x14ac:dyDescent="0.25">
      <c r="A362" s="2" t="str">
        <f>HYPERLINK("https://rth.dk/resources/bsgatlas/details.php?id=BSGatlas-gene-361","BSGatlas-gene-361")</f>
        <v>BSGatlas-gene-361</v>
      </c>
      <c r="B362" s="1" t="s">
        <v>343</v>
      </c>
      <c r="C362" s="1" t="s">
        <v>8</v>
      </c>
      <c r="D362" s="1">
        <v>305658</v>
      </c>
      <c r="E362" s="1">
        <v>306434</v>
      </c>
      <c r="F362" s="1" t="s">
        <v>9</v>
      </c>
      <c r="G362" s="1" t="s">
        <v>11409</v>
      </c>
    </row>
    <row r="363" spans="1:7" ht="21" x14ac:dyDescent="0.25">
      <c r="A363" s="2" t="str">
        <f>HYPERLINK("https://rth.dk/resources/bsgatlas/details.php?id=BSGatlas-gene-362","BSGatlas-gene-362")</f>
        <v>BSGatlas-gene-362</v>
      </c>
      <c r="B363" s="1" t="s">
        <v>344</v>
      </c>
      <c r="C363" s="1" t="s">
        <v>8</v>
      </c>
      <c r="D363" s="1">
        <v>306459</v>
      </c>
      <c r="E363" s="1">
        <v>308144</v>
      </c>
      <c r="F363" s="1" t="s">
        <v>9</v>
      </c>
      <c r="G363" s="1" t="s">
        <v>11409</v>
      </c>
    </row>
    <row r="364" spans="1:7" ht="21" x14ac:dyDescent="0.25">
      <c r="A364" s="2" t="str">
        <f>HYPERLINK("https://rth.dk/resources/bsgatlas/details.php?id=BSGatlas-gene-363","BSGatlas-gene-363")</f>
        <v>BSGatlas-gene-363</v>
      </c>
      <c r="B364" s="1" t="s">
        <v>345</v>
      </c>
      <c r="C364" s="1" t="s">
        <v>8</v>
      </c>
      <c r="D364" s="1">
        <v>308332</v>
      </c>
      <c r="E364" s="1">
        <v>309291</v>
      </c>
      <c r="F364" s="1" t="s">
        <v>9</v>
      </c>
      <c r="G364" s="1" t="s">
        <v>11409</v>
      </c>
    </row>
    <row r="365" spans="1:7" ht="21" x14ac:dyDescent="0.25">
      <c r="A365" s="2" t="str">
        <f>HYPERLINK("https://rth.dk/resources/bsgatlas/details.php?id=BSGatlas-gene-364","BSGatlas-gene-364")</f>
        <v>BSGatlas-gene-364</v>
      </c>
      <c r="B365" s="1" t="s">
        <v>346</v>
      </c>
      <c r="C365" s="1" t="s">
        <v>8</v>
      </c>
      <c r="D365" s="1">
        <v>309347</v>
      </c>
      <c r="E365" s="1">
        <v>310042</v>
      </c>
      <c r="F365" s="1" t="s">
        <v>9</v>
      </c>
      <c r="G365" s="1" t="s">
        <v>11409</v>
      </c>
    </row>
    <row r="366" spans="1:7" ht="21" x14ac:dyDescent="0.25">
      <c r="A366" s="2" t="str">
        <f>HYPERLINK("https://rth.dk/resources/bsgatlas/details.php?id=BSGatlas-gene-365","BSGatlas-gene-365")</f>
        <v>BSGatlas-gene-365</v>
      </c>
      <c r="B366" s="1" t="s">
        <v>347</v>
      </c>
      <c r="C366" s="1" t="s">
        <v>8</v>
      </c>
      <c r="D366" s="1">
        <v>310000</v>
      </c>
      <c r="E366" s="1">
        <v>310842</v>
      </c>
      <c r="F366" s="1" t="s">
        <v>9</v>
      </c>
      <c r="G366" s="1" t="s">
        <v>11409</v>
      </c>
    </row>
    <row r="367" spans="1:7" ht="21" x14ac:dyDescent="0.25">
      <c r="A367" s="2" t="str">
        <f>HYPERLINK("https://rth.dk/resources/bsgatlas/details.php?id=BSGatlas-gene-366","BSGatlas-gene-366")</f>
        <v>BSGatlas-gene-366</v>
      </c>
      <c r="B367" s="1" t="s">
        <v>348</v>
      </c>
      <c r="C367" s="1" t="s">
        <v>8</v>
      </c>
      <c r="D367" s="1">
        <v>310880</v>
      </c>
      <c r="E367" s="1">
        <v>311875</v>
      </c>
      <c r="F367" s="1" t="s">
        <v>13</v>
      </c>
      <c r="G367" s="1" t="s">
        <v>11409</v>
      </c>
    </row>
    <row r="368" spans="1:7" ht="21" x14ac:dyDescent="0.25">
      <c r="A368" s="2" t="str">
        <f>HYPERLINK("https://rth.dk/resources/bsgatlas/details.php?id=BSGatlas-gene-367","BSGatlas-gene-367")</f>
        <v>BSGatlas-gene-367</v>
      </c>
      <c r="B368" s="1" t="s">
        <v>349</v>
      </c>
      <c r="C368" s="1" t="s">
        <v>8</v>
      </c>
      <c r="D368" s="1">
        <v>312159</v>
      </c>
      <c r="E368" s="1">
        <v>312758</v>
      </c>
      <c r="F368" s="1" t="s">
        <v>9</v>
      </c>
      <c r="G368" s="1" t="s">
        <v>11409</v>
      </c>
    </row>
    <row r="369" spans="1:7" ht="21" x14ac:dyDescent="0.25">
      <c r="A369" s="2" t="str">
        <f>HYPERLINK("https://rth.dk/resources/bsgatlas/details.php?id=BSGatlas-gene-368","BSGatlas-gene-368")</f>
        <v>BSGatlas-gene-368</v>
      </c>
      <c r="B369" s="1" t="s">
        <v>350</v>
      </c>
      <c r="C369" s="1" t="s">
        <v>8</v>
      </c>
      <c r="D369" s="1">
        <v>312780</v>
      </c>
      <c r="E369" s="1">
        <v>313361</v>
      </c>
      <c r="F369" s="1" t="s">
        <v>9</v>
      </c>
      <c r="G369" s="1" t="s">
        <v>11409</v>
      </c>
    </row>
    <row r="370" spans="1:7" ht="21" x14ac:dyDescent="0.25">
      <c r="A370" s="2" t="str">
        <f>HYPERLINK("https://rth.dk/resources/bsgatlas/details.php?id=BSGatlas-gene-369","BSGatlas-gene-369")</f>
        <v>BSGatlas-gene-369</v>
      </c>
      <c r="B370" s="1" t="s">
        <v>351</v>
      </c>
      <c r="C370" s="1" t="s">
        <v>8</v>
      </c>
      <c r="D370" s="1">
        <v>313396</v>
      </c>
      <c r="E370" s="1">
        <v>313974</v>
      </c>
      <c r="F370" s="1" t="s">
        <v>9</v>
      </c>
      <c r="G370" s="1" t="s">
        <v>11409</v>
      </c>
    </row>
    <row r="371" spans="1:7" ht="21" x14ac:dyDescent="0.25">
      <c r="A371" s="2" t="str">
        <f>HYPERLINK("https://rth.dk/resources/bsgatlas/details.php?id=BSGatlas-gene-370","BSGatlas-gene-370")</f>
        <v>BSGatlas-gene-370</v>
      </c>
      <c r="B371" s="1" t="s">
        <v>352</v>
      </c>
      <c r="C371" s="1" t="s">
        <v>8</v>
      </c>
      <c r="D371" s="1">
        <v>314025</v>
      </c>
      <c r="E371" s="1">
        <v>314798</v>
      </c>
      <c r="F371" s="1" t="s">
        <v>9</v>
      </c>
      <c r="G371" s="1" t="s">
        <v>11409</v>
      </c>
    </row>
    <row r="372" spans="1:7" ht="21" x14ac:dyDescent="0.25">
      <c r="A372" s="2" t="str">
        <f>HYPERLINK("https://rth.dk/resources/bsgatlas/details.php?id=BSGatlas-gene-371","BSGatlas-gene-371")</f>
        <v>BSGatlas-gene-371</v>
      </c>
      <c r="B372" s="1" t="s">
        <v>353</v>
      </c>
      <c r="C372" s="1" t="s">
        <v>8</v>
      </c>
      <c r="D372" s="1">
        <v>314883</v>
      </c>
      <c r="E372" s="1">
        <v>316496</v>
      </c>
      <c r="F372" s="1" t="s">
        <v>9</v>
      </c>
      <c r="G372" s="1" t="s">
        <v>11409</v>
      </c>
    </row>
    <row r="373" spans="1:7" ht="21" x14ac:dyDescent="0.25">
      <c r="A373" s="2" t="str">
        <f>HYPERLINK("https://rth.dk/resources/bsgatlas/details.php?id=BSGatlas-gene-372","BSGatlas-gene-372")</f>
        <v>BSGatlas-gene-372</v>
      </c>
      <c r="B373" s="1" t="s">
        <v>354</v>
      </c>
      <c r="C373" s="1" t="s">
        <v>8</v>
      </c>
      <c r="D373" s="1">
        <v>316512</v>
      </c>
      <c r="E373" s="1">
        <v>317603</v>
      </c>
      <c r="F373" s="1" t="s">
        <v>9</v>
      </c>
      <c r="G373" s="1" t="s">
        <v>11409</v>
      </c>
    </row>
    <row r="374" spans="1:7" ht="21" x14ac:dyDescent="0.25">
      <c r="A374" s="2" t="str">
        <f>HYPERLINK("https://rth.dk/resources/bsgatlas/details.php?id=BSGatlas-gene-373","BSGatlas-gene-373")</f>
        <v>BSGatlas-gene-373</v>
      </c>
      <c r="B374" s="1" t="s">
        <v>355</v>
      </c>
      <c r="C374" s="1" t="s">
        <v>8</v>
      </c>
      <c r="D374" s="1">
        <v>317725</v>
      </c>
      <c r="E374" s="1">
        <v>318927</v>
      </c>
      <c r="F374" s="1" t="s">
        <v>9</v>
      </c>
      <c r="G374" s="1" t="s">
        <v>11409</v>
      </c>
    </row>
    <row r="375" spans="1:7" ht="21" x14ac:dyDescent="0.25">
      <c r="A375" s="2" t="str">
        <f>HYPERLINK("https://rth.dk/resources/bsgatlas/details.php?id=BSGatlas-gene-374","BSGatlas-gene-374")</f>
        <v>BSGatlas-gene-374</v>
      </c>
      <c r="B375" s="1" t="s">
        <v>54</v>
      </c>
      <c r="C375" s="1" t="s">
        <v>55</v>
      </c>
      <c r="D375" s="1">
        <v>319011</v>
      </c>
      <c r="E375" s="1">
        <v>319078</v>
      </c>
      <c r="F375" s="1" t="s">
        <v>9</v>
      </c>
      <c r="G375" s="1" t="s">
        <v>11410</v>
      </c>
    </row>
    <row r="376" spans="1:7" ht="21" x14ac:dyDescent="0.25">
      <c r="A376" s="2" t="str">
        <f>HYPERLINK("https://rth.dk/resources/bsgatlas/details.php?id=BSGatlas-gene-375","BSGatlas-gene-375")</f>
        <v>BSGatlas-gene-375</v>
      </c>
      <c r="B376" s="1" t="s">
        <v>356</v>
      </c>
      <c r="C376" s="1" t="s">
        <v>8</v>
      </c>
      <c r="D376" s="1">
        <v>319180</v>
      </c>
      <c r="E376" s="1">
        <v>320352</v>
      </c>
      <c r="F376" s="1" t="s">
        <v>13</v>
      </c>
      <c r="G376" s="1" t="s">
        <v>11409</v>
      </c>
    </row>
    <row r="377" spans="1:7" ht="21" x14ac:dyDescent="0.25">
      <c r="A377" s="2" t="str">
        <f>HYPERLINK("https://rth.dk/resources/bsgatlas/details.php?id=BSGatlas-gene-376","BSGatlas-gene-376")</f>
        <v>BSGatlas-gene-376</v>
      </c>
      <c r="B377" s="1" t="s">
        <v>357</v>
      </c>
      <c r="C377" s="1" t="s">
        <v>8</v>
      </c>
      <c r="D377" s="1">
        <v>320421</v>
      </c>
      <c r="E377" s="1">
        <v>320723</v>
      </c>
      <c r="F377" s="1" t="s">
        <v>13</v>
      </c>
      <c r="G377" s="1" t="s">
        <v>11409</v>
      </c>
    </row>
    <row r="378" spans="1:7" ht="21" x14ac:dyDescent="0.25">
      <c r="A378" s="2" t="str">
        <f>HYPERLINK("https://rth.dk/resources/bsgatlas/details.php?id=BSGatlas-gene-377","BSGatlas-gene-377")</f>
        <v>BSGatlas-gene-377</v>
      </c>
      <c r="B378" s="1" t="s">
        <v>358</v>
      </c>
      <c r="C378" s="1" t="s">
        <v>8</v>
      </c>
      <c r="D378" s="1">
        <v>321013</v>
      </c>
      <c r="E378" s="1">
        <v>322269</v>
      </c>
      <c r="F378" s="1" t="s">
        <v>9</v>
      </c>
      <c r="G378" s="1" t="s">
        <v>11409</v>
      </c>
    </row>
    <row r="379" spans="1:7" ht="21" x14ac:dyDescent="0.25">
      <c r="A379" s="2" t="str">
        <f>HYPERLINK("https://rth.dk/resources/bsgatlas/details.php?id=BSGatlas-gene-378","BSGatlas-gene-378")</f>
        <v>BSGatlas-gene-378</v>
      </c>
      <c r="B379" s="1" t="s">
        <v>359</v>
      </c>
      <c r="C379" s="1" t="s">
        <v>8</v>
      </c>
      <c r="D379" s="1">
        <v>322271</v>
      </c>
      <c r="E379" s="1">
        <v>323119</v>
      </c>
      <c r="F379" s="1" t="s">
        <v>9</v>
      </c>
      <c r="G379" s="1" t="s">
        <v>11409</v>
      </c>
    </row>
    <row r="380" spans="1:7" ht="21" x14ac:dyDescent="0.25">
      <c r="A380" s="2" t="str">
        <f>HYPERLINK("https://rth.dk/resources/bsgatlas/details.php?id=BSGatlas-gene-379","BSGatlas-gene-379")</f>
        <v>BSGatlas-gene-379</v>
      </c>
      <c r="B380" s="1" t="s">
        <v>360</v>
      </c>
      <c r="C380" s="1" t="s">
        <v>8</v>
      </c>
      <c r="D380" s="1">
        <v>323119</v>
      </c>
      <c r="E380" s="1">
        <v>324000</v>
      </c>
      <c r="F380" s="1" t="s">
        <v>9</v>
      </c>
      <c r="G380" s="1" t="s">
        <v>11409</v>
      </c>
    </row>
    <row r="381" spans="1:7" ht="21" x14ac:dyDescent="0.25">
      <c r="A381" s="2" t="str">
        <f>HYPERLINK("https://rth.dk/resources/bsgatlas/details.php?id=BSGatlas-gene-380","BSGatlas-gene-380")</f>
        <v>BSGatlas-gene-380</v>
      </c>
      <c r="B381" s="1" t="s">
        <v>361</v>
      </c>
      <c r="C381" s="1" t="s">
        <v>8</v>
      </c>
      <c r="D381" s="1">
        <v>324038</v>
      </c>
      <c r="E381" s="1">
        <v>325189</v>
      </c>
      <c r="F381" s="1" t="s">
        <v>13</v>
      </c>
      <c r="G381" s="1" t="s">
        <v>11409</v>
      </c>
    </row>
    <row r="382" spans="1:7" ht="21" x14ac:dyDescent="0.25">
      <c r="A382" s="2" t="str">
        <f>HYPERLINK("https://rth.dk/resources/bsgatlas/details.php?id=BSGatlas-gene-381","BSGatlas-gene-381")</f>
        <v>BSGatlas-gene-381</v>
      </c>
      <c r="B382" s="1" t="s">
        <v>362</v>
      </c>
      <c r="C382" s="1" t="s">
        <v>8</v>
      </c>
      <c r="D382" s="1">
        <v>325339</v>
      </c>
      <c r="E382" s="1">
        <v>326772</v>
      </c>
      <c r="F382" s="1" t="s">
        <v>9</v>
      </c>
      <c r="G382" s="1" t="s">
        <v>11409</v>
      </c>
    </row>
    <row r="383" spans="1:7" ht="21" x14ac:dyDescent="0.25">
      <c r="A383" s="2" t="str">
        <f>HYPERLINK("https://rth.dk/resources/bsgatlas/details.php?id=BSGatlas-gene-382","BSGatlas-gene-382")</f>
        <v>BSGatlas-gene-382</v>
      </c>
      <c r="B383" s="1" t="s">
        <v>363</v>
      </c>
      <c r="C383" s="1" t="s">
        <v>8</v>
      </c>
      <c r="D383" s="1">
        <v>326888</v>
      </c>
      <c r="E383" s="1">
        <v>327469</v>
      </c>
      <c r="F383" s="1" t="s">
        <v>9</v>
      </c>
      <c r="G383" s="1" t="s">
        <v>11409</v>
      </c>
    </row>
    <row r="384" spans="1:7" ht="21" x14ac:dyDescent="0.25">
      <c r="A384" s="2" t="str">
        <f>HYPERLINK("https://rth.dk/resources/bsgatlas/details.php?id=BSGatlas-gene-383","BSGatlas-gene-383")</f>
        <v>BSGatlas-gene-383</v>
      </c>
      <c r="B384" s="1" t="s">
        <v>364</v>
      </c>
      <c r="C384" s="1" t="s">
        <v>8</v>
      </c>
      <c r="D384" s="1">
        <v>327618</v>
      </c>
      <c r="E384" s="1">
        <v>329597</v>
      </c>
      <c r="F384" s="1" t="s">
        <v>9</v>
      </c>
      <c r="G384" s="1" t="s">
        <v>11409</v>
      </c>
    </row>
    <row r="385" spans="1:7" ht="21" x14ac:dyDescent="0.25">
      <c r="A385" s="2" t="str">
        <f>HYPERLINK("https://rth.dk/resources/bsgatlas/details.php?id=BSGatlas-gene-384","BSGatlas-gene-384")</f>
        <v>BSGatlas-gene-384</v>
      </c>
      <c r="B385" s="1" t="s">
        <v>365</v>
      </c>
      <c r="C385" s="1" t="s">
        <v>8</v>
      </c>
      <c r="D385" s="1">
        <v>329774</v>
      </c>
      <c r="E385" s="1">
        <v>330739</v>
      </c>
      <c r="F385" s="1" t="s">
        <v>9</v>
      </c>
      <c r="G385" s="1" t="s">
        <v>11409</v>
      </c>
    </row>
    <row r="386" spans="1:7" ht="21" x14ac:dyDescent="0.25">
      <c r="A386" s="2" t="str">
        <f>HYPERLINK("https://rth.dk/resources/bsgatlas/details.php?id=BSGatlas-gene-385","BSGatlas-gene-385")</f>
        <v>BSGatlas-gene-385</v>
      </c>
      <c r="B386" s="1" t="s">
        <v>366</v>
      </c>
      <c r="C386" s="1" t="s">
        <v>8</v>
      </c>
      <c r="D386" s="1">
        <v>330771</v>
      </c>
      <c r="E386" s="1">
        <v>332396</v>
      </c>
      <c r="F386" s="1" t="s">
        <v>9</v>
      </c>
      <c r="G386" s="1" t="s">
        <v>11409</v>
      </c>
    </row>
    <row r="387" spans="1:7" ht="21" x14ac:dyDescent="0.25">
      <c r="A387" s="2" t="str">
        <f>HYPERLINK("https://rth.dk/resources/bsgatlas/details.php?id=BSGatlas-gene-386","BSGatlas-gene-386")</f>
        <v>BSGatlas-gene-386</v>
      </c>
      <c r="B387" s="1" t="s">
        <v>367</v>
      </c>
      <c r="C387" s="1" t="s">
        <v>8</v>
      </c>
      <c r="D387" s="1">
        <v>332441</v>
      </c>
      <c r="E387" s="1">
        <v>333979</v>
      </c>
      <c r="F387" s="1" t="s">
        <v>13</v>
      </c>
      <c r="G387" s="1" t="s">
        <v>11409</v>
      </c>
    </row>
    <row r="388" spans="1:7" ht="21" x14ac:dyDescent="0.25">
      <c r="A388" s="2" t="str">
        <f>HYPERLINK("https://rth.dk/resources/bsgatlas/details.php?id=BSGatlas-gene-387","BSGatlas-gene-387")</f>
        <v>BSGatlas-gene-387</v>
      </c>
      <c r="B388" s="1" t="s">
        <v>368</v>
      </c>
      <c r="C388" s="1" t="s">
        <v>8</v>
      </c>
      <c r="D388" s="1">
        <v>334092</v>
      </c>
      <c r="E388" s="1">
        <v>334556</v>
      </c>
      <c r="F388" s="1" t="s">
        <v>9</v>
      </c>
      <c r="G388" s="1" t="s">
        <v>11409</v>
      </c>
    </row>
    <row r="389" spans="1:7" ht="21" x14ac:dyDescent="0.25">
      <c r="A389" s="2" t="str">
        <f>HYPERLINK("https://rth.dk/resources/bsgatlas/details.php?id=BSGatlas-gene-388","BSGatlas-gene-388")</f>
        <v>BSGatlas-gene-388</v>
      </c>
      <c r="B389" s="1" t="s">
        <v>369</v>
      </c>
      <c r="C389" s="1" t="s">
        <v>8</v>
      </c>
      <c r="D389" s="1">
        <v>334630</v>
      </c>
      <c r="E389" s="1">
        <v>335259</v>
      </c>
      <c r="F389" s="1" t="s">
        <v>9</v>
      </c>
      <c r="G389" s="1" t="s">
        <v>11409</v>
      </c>
    </row>
    <row r="390" spans="1:7" ht="21" x14ac:dyDescent="0.25">
      <c r="A390" s="2" t="str">
        <f>HYPERLINK("https://rth.dk/resources/bsgatlas/details.php?id=BSGatlas-gene-389","BSGatlas-gene-389")</f>
        <v>BSGatlas-gene-389</v>
      </c>
      <c r="B390" s="1" t="s">
        <v>370</v>
      </c>
      <c r="C390" s="1" t="s">
        <v>8</v>
      </c>
      <c r="D390" s="1">
        <v>335329</v>
      </c>
      <c r="E390" s="1">
        <v>336090</v>
      </c>
      <c r="F390" s="1" t="s">
        <v>9</v>
      </c>
      <c r="G390" s="1" t="s">
        <v>11409</v>
      </c>
    </row>
    <row r="391" spans="1:7" ht="21" x14ac:dyDescent="0.25">
      <c r="A391" s="2" t="str">
        <f>HYPERLINK("https://rth.dk/resources/bsgatlas/details.php?id=BSGatlas-gene-390","BSGatlas-gene-390")</f>
        <v>BSGatlas-gene-390</v>
      </c>
      <c r="B391" s="1" t="s">
        <v>371</v>
      </c>
      <c r="C391" s="1" t="s">
        <v>8</v>
      </c>
      <c r="D391" s="1">
        <v>336092</v>
      </c>
      <c r="E391" s="1">
        <v>337432</v>
      </c>
      <c r="F391" s="1" t="s">
        <v>13</v>
      </c>
      <c r="G391" s="1" t="s">
        <v>11409</v>
      </c>
    </row>
    <row r="392" spans="1:7" ht="21" x14ac:dyDescent="0.25">
      <c r="A392" s="2" t="str">
        <f>HYPERLINK("https://rth.dk/resources/bsgatlas/details.php?id=BSGatlas-gene-391","BSGatlas-gene-391")</f>
        <v>BSGatlas-gene-391</v>
      </c>
      <c r="B392" s="1" t="s">
        <v>372</v>
      </c>
      <c r="C392" s="1" t="s">
        <v>8</v>
      </c>
      <c r="D392" s="1">
        <v>337562</v>
      </c>
      <c r="E392" s="1">
        <v>338158</v>
      </c>
      <c r="F392" s="1" t="s">
        <v>9</v>
      </c>
      <c r="G392" s="1" t="s">
        <v>11409</v>
      </c>
    </row>
    <row r="393" spans="1:7" ht="21" x14ac:dyDescent="0.25">
      <c r="A393" s="2" t="str">
        <f>HYPERLINK("https://rth.dk/resources/bsgatlas/details.php?id=BSGatlas-gene-392","BSGatlas-gene-392")</f>
        <v>BSGatlas-gene-392</v>
      </c>
      <c r="B393" s="1" t="s">
        <v>373</v>
      </c>
      <c r="C393" s="1" t="s">
        <v>8</v>
      </c>
      <c r="D393" s="1">
        <v>338288</v>
      </c>
      <c r="E393" s="1">
        <v>339106</v>
      </c>
      <c r="F393" s="1" t="s">
        <v>9</v>
      </c>
      <c r="G393" s="1" t="s">
        <v>11409</v>
      </c>
    </row>
    <row r="394" spans="1:7" ht="21" x14ac:dyDescent="0.25">
      <c r="A394" s="2" t="str">
        <f>HYPERLINK("https://rth.dk/resources/bsgatlas/details.php?id=BSGatlas-gene-393","BSGatlas-gene-393")</f>
        <v>BSGatlas-gene-393</v>
      </c>
      <c r="B394" s="1" t="s">
        <v>374</v>
      </c>
      <c r="C394" s="1" t="s">
        <v>8</v>
      </c>
      <c r="D394" s="1">
        <v>339156</v>
      </c>
      <c r="E394" s="1">
        <v>339749</v>
      </c>
      <c r="F394" s="1" t="s">
        <v>13</v>
      </c>
      <c r="G394" s="1" t="s">
        <v>11409</v>
      </c>
    </row>
    <row r="395" spans="1:7" ht="21" x14ac:dyDescent="0.25">
      <c r="A395" s="2" t="str">
        <f>HYPERLINK("https://rth.dk/resources/bsgatlas/details.php?id=BSGatlas-gene-394","BSGatlas-gene-394")</f>
        <v>BSGatlas-gene-394</v>
      </c>
      <c r="B395" s="1" t="s">
        <v>375</v>
      </c>
      <c r="C395" s="1" t="s">
        <v>12</v>
      </c>
      <c r="D395" s="1">
        <v>339807</v>
      </c>
      <c r="E395" s="1">
        <v>339955</v>
      </c>
      <c r="F395" s="1" t="s">
        <v>13</v>
      </c>
      <c r="G395" s="1" t="s">
        <v>11406</v>
      </c>
    </row>
    <row r="396" spans="1:7" ht="21" x14ac:dyDescent="0.25">
      <c r="A396" s="2" t="str">
        <f>HYPERLINK("https://rth.dk/resources/bsgatlas/details.php?id=BSGatlas-gene-395","BSGatlas-gene-395")</f>
        <v>BSGatlas-gene-395</v>
      </c>
      <c r="B396" s="1" t="s">
        <v>376</v>
      </c>
      <c r="C396" s="1" t="s">
        <v>8</v>
      </c>
      <c r="D396" s="1">
        <v>340025</v>
      </c>
      <c r="E396" s="1">
        <v>340585</v>
      </c>
      <c r="F396" s="1" t="s">
        <v>9</v>
      </c>
      <c r="G396" s="1" t="s">
        <v>11409</v>
      </c>
    </row>
    <row r="397" spans="1:7" ht="21" x14ac:dyDescent="0.25">
      <c r="A397" s="2" t="str">
        <f>HYPERLINK("https://rth.dk/resources/bsgatlas/details.php?id=BSGatlas-gene-396","BSGatlas-gene-396")</f>
        <v>BSGatlas-gene-396</v>
      </c>
      <c r="B397" s="1" t="s">
        <v>377</v>
      </c>
      <c r="C397" s="1" t="s">
        <v>8</v>
      </c>
      <c r="D397" s="1">
        <v>340613</v>
      </c>
      <c r="E397" s="1">
        <v>341374</v>
      </c>
      <c r="F397" s="1" t="s">
        <v>13</v>
      </c>
      <c r="G397" s="1" t="s">
        <v>11409</v>
      </c>
    </row>
    <row r="398" spans="1:7" ht="21" x14ac:dyDescent="0.25">
      <c r="A398" s="2" t="str">
        <f>HYPERLINK("https://rth.dk/resources/bsgatlas/details.php?id=BSGatlas-gene-397","BSGatlas-gene-397")</f>
        <v>BSGatlas-gene-397</v>
      </c>
      <c r="B398" s="1" t="s">
        <v>378</v>
      </c>
      <c r="C398" s="1" t="s">
        <v>8</v>
      </c>
      <c r="D398" s="1">
        <v>341492</v>
      </c>
      <c r="E398" s="1">
        <v>342466</v>
      </c>
      <c r="F398" s="1" t="s">
        <v>9</v>
      </c>
      <c r="G398" s="1" t="s">
        <v>11409</v>
      </c>
    </row>
    <row r="399" spans="1:7" ht="21" x14ac:dyDescent="0.25">
      <c r="A399" s="2" t="str">
        <f>HYPERLINK("https://rth.dk/resources/bsgatlas/details.php?id=BSGatlas-gene-398","BSGatlas-gene-398")</f>
        <v>BSGatlas-gene-398</v>
      </c>
      <c r="B399" s="1" t="s">
        <v>379</v>
      </c>
      <c r="C399" s="1" t="s">
        <v>8</v>
      </c>
      <c r="D399" s="1">
        <v>342538</v>
      </c>
      <c r="E399" s="1">
        <v>343494</v>
      </c>
      <c r="F399" s="1" t="s">
        <v>9</v>
      </c>
      <c r="G399" s="1" t="s">
        <v>11409</v>
      </c>
    </row>
    <row r="400" spans="1:7" ht="21" x14ac:dyDescent="0.25">
      <c r="A400" s="2" t="str">
        <f>HYPERLINK("https://rth.dk/resources/bsgatlas/details.php?id=BSGatlas-gene-399","BSGatlas-gene-399")</f>
        <v>BSGatlas-gene-399</v>
      </c>
      <c r="B400" s="1" t="s">
        <v>380</v>
      </c>
      <c r="C400" s="1" t="s">
        <v>8</v>
      </c>
      <c r="D400" s="1">
        <v>343578</v>
      </c>
      <c r="E400" s="1">
        <v>344360</v>
      </c>
      <c r="F400" s="1" t="s">
        <v>9</v>
      </c>
      <c r="G400" s="1" t="s">
        <v>11409</v>
      </c>
    </row>
    <row r="401" spans="1:7" ht="21" x14ac:dyDescent="0.25">
      <c r="A401" s="2" t="str">
        <f>HYPERLINK("https://rth.dk/resources/bsgatlas/details.php?id=BSGatlas-gene-400","BSGatlas-gene-400")</f>
        <v>BSGatlas-gene-400</v>
      </c>
      <c r="B401" s="1" t="s">
        <v>381</v>
      </c>
      <c r="C401" s="1" t="s">
        <v>8</v>
      </c>
      <c r="D401" s="1">
        <v>344551</v>
      </c>
      <c r="E401" s="1">
        <v>345462</v>
      </c>
      <c r="F401" s="1" t="s">
        <v>9</v>
      </c>
      <c r="G401" s="1" t="s">
        <v>11409</v>
      </c>
    </row>
    <row r="402" spans="1:7" ht="21" x14ac:dyDescent="0.25">
      <c r="A402" s="2" t="str">
        <f>HYPERLINK("https://rth.dk/resources/bsgatlas/details.php?id=BSGatlas-gene-401","BSGatlas-gene-401")</f>
        <v>BSGatlas-gene-401</v>
      </c>
      <c r="B402" s="1" t="s">
        <v>382</v>
      </c>
      <c r="C402" s="1" t="s">
        <v>8</v>
      </c>
      <c r="D402" s="1">
        <v>345479</v>
      </c>
      <c r="E402" s="1">
        <v>347026</v>
      </c>
      <c r="F402" s="1" t="s">
        <v>9</v>
      </c>
      <c r="G402" s="1" t="s">
        <v>11409</v>
      </c>
    </row>
    <row r="403" spans="1:7" ht="21" x14ac:dyDescent="0.25">
      <c r="A403" s="2" t="str">
        <f>HYPERLINK("https://rth.dk/resources/bsgatlas/details.php?id=BSGatlas-gene-402","BSGatlas-gene-402")</f>
        <v>BSGatlas-gene-402</v>
      </c>
      <c r="B403" s="1" t="s">
        <v>383</v>
      </c>
      <c r="C403" s="1" t="s">
        <v>8</v>
      </c>
      <c r="D403" s="1">
        <v>347150</v>
      </c>
      <c r="E403" s="1">
        <v>348571</v>
      </c>
      <c r="F403" s="1" t="s">
        <v>9</v>
      </c>
      <c r="G403" s="1" t="s">
        <v>11409</v>
      </c>
    </row>
    <row r="404" spans="1:7" ht="21" x14ac:dyDescent="0.25">
      <c r="A404" s="2" t="str">
        <f>HYPERLINK("https://rth.dk/resources/bsgatlas/details.php?id=BSGatlas-gene-403","BSGatlas-gene-403")</f>
        <v>BSGatlas-gene-403</v>
      </c>
      <c r="B404" s="1" t="s">
        <v>384</v>
      </c>
      <c r="C404" s="1" t="s">
        <v>12</v>
      </c>
      <c r="D404" s="1">
        <v>347670</v>
      </c>
      <c r="E404" s="1">
        <v>349525</v>
      </c>
      <c r="F404" s="1" t="s">
        <v>13</v>
      </c>
      <c r="G404" s="1" t="s">
        <v>11406</v>
      </c>
    </row>
    <row r="405" spans="1:7" ht="21" x14ac:dyDescent="0.25">
      <c r="A405" s="2" t="str">
        <f>HYPERLINK("https://rth.dk/resources/bsgatlas/details.php?id=BSGatlas-gene-404","BSGatlas-gene-404")</f>
        <v>BSGatlas-gene-404</v>
      </c>
      <c r="B405" s="1" t="s">
        <v>385</v>
      </c>
      <c r="C405" s="1" t="s">
        <v>8</v>
      </c>
      <c r="D405" s="1">
        <v>348724</v>
      </c>
      <c r="E405" s="1">
        <v>349959</v>
      </c>
      <c r="F405" s="1" t="s">
        <v>9</v>
      </c>
      <c r="G405" s="1" t="s">
        <v>11409</v>
      </c>
    </row>
    <row r="406" spans="1:7" ht="21" x14ac:dyDescent="0.25">
      <c r="A406" s="2" t="str">
        <f>HYPERLINK("https://rth.dk/resources/bsgatlas/details.php?id=BSGatlas-gene-405","BSGatlas-gene-405")</f>
        <v>BSGatlas-gene-405</v>
      </c>
      <c r="B406" s="1" t="s">
        <v>386</v>
      </c>
      <c r="C406" s="1" t="s">
        <v>8</v>
      </c>
      <c r="D406" s="1">
        <v>349996</v>
      </c>
      <c r="E406" s="1">
        <v>350853</v>
      </c>
      <c r="F406" s="1" t="s">
        <v>13</v>
      </c>
      <c r="G406" s="1" t="s">
        <v>11409</v>
      </c>
    </row>
    <row r="407" spans="1:7" ht="21" x14ac:dyDescent="0.25">
      <c r="A407" s="2" t="str">
        <f>HYPERLINK("https://rth.dk/resources/bsgatlas/details.php?id=BSGatlas-gene-406","BSGatlas-gene-406")</f>
        <v>BSGatlas-gene-406</v>
      </c>
      <c r="B407" s="1" t="s">
        <v>387</v>
      </c>
      <c r="C407" s="1" t="s">
        <v>8</v>
      </c>
      <c r="D407" s="1">
        <v>350858</v>
      </c>
      <c r="E407" s="1">
        <v>351742</v>
      </c>
      <c r="F407" s="1" t="s">
        <v>13</v>
      </c>
      <c r="G407" s="1" t="s">
        <v>11409</v>
      </c>
    </row>
    <row r="408" spans="1:7" ht="21" x14ac:dyDescent="0.25">
      <c r="A408" s="2" t="str">
        <f>HYPERLINK("https://rth.dk/resources/bsgatlas/details.php?id=BSGatlas-gene-407","BSGatlas-gene-407")</f>
        <v>BSGatlas-gene-407</v>
      </c>
      <c r="B408" s="1" t="s">
        <v>388</v>
      </c>
      <c r="C408" s="1" t="s">
        <v>8</v>
      </c>
      <c r="D408" s="1">
        <v>351842</v>
      </c>
      <c r="E408" s="1">
        <v>352696</v>
      </c>
      <c r="F408" s="1" t="s">
        <v>13</v>
      </c>
      <c r="G408" s="1" t="s">
        <v>11409</v>
      </c>
    </row>
    <row r="409" spans="1:7" ht="21" x14ac:dyDescent="0.25">
      <c r="A409" s="2" t="str">
        <f>HYPERLINK("https://rth.dk/resources/bsgatlas/details.php?id=BSGatlas-gene-408","BSGatlas-gene-408")</f>
        <v>BSGatlas-gene-408</v>
      </c>
      <c r="B409" s="1" t="s">
        <v>389</v>
      </c>
      <c r="C409" s="1" t="s">
        <v>8</v>
      </c>
      <c r="D409" s="1">
        <v>352858</v>
      </c>
      <c r="E409" s="1">
        <v>353868</v>
      </c>
      <c r="F409" s="1" t="s">
        <v>9</v>
      </c>
      <c r="G409" s="1" t="s">
        <v>11409</v>
      </c>
    </row>
    <row r="410" spans="1:7" ht="21" x14ac:dyDescent="0.25">
      <c r="A410" s="2" t="str">
        <f>HYPERLINK("https://rth.dk/resources/bsgatlas/details.php?id=BSGatlas-gene-409","BSGatlas-gene-409")</f>
        <v>BSGatlas-gene-409</v>
      </c>
      <c r="B410" s="1" t="s">
        <v>390</v>
      </c>
      <c r="C410" s="1" t="s">
        <v>8</v>
      </c>
      <c r="D410" s="1">
        <v>353900</v>
      </c>
      <c r="E410" s="1">
        <v>355351</v>
      </c>
      <c r="F410" s="1" t="s">
        <v>13</v>
      </c>
      <c r="G410" s="1" t="s">
        <v>11409</v>
      </c>
    </row>
    <row r="411" spans="1:7" ht="21" x14ac:dyDescent="0.25">
      <c r="A411" s="2" t="str">
        <f>HYPERLINK("https://rth.dk/resources/bsgatlas/details.php?id=BSGatlas-gene-410","BSGatlas-gene-410")</f>
        <v>BSGatlas-gene-410</v>
      </c>
      <c r="B411" s="1" t="s">
        <v>391</v>
      </c>
      <c r="C411" s="1" t="s">
        <v>8</v>
      </c>
      <c r="D411" s="1">
        <v>355412</v>
      </c>
      <c r="E411" s="1">
        <v>355732</v>
      </c>
      <c r="F411" s="1" t="s">
        <v>13</v>
      </c>
      <c r="G411" s="1" t="s">
        <v>11409</v>
      </c>
    </row>
    <row r="412" spans="1:7" ht="21" x14ac:dyDescent="0.25">
      <c r="A412" s="2" t="str">
        <f>HYPERLINK("https://rth.dk/resources/bsgatlas/details.php?id=BSGatlas-gene-411","BSGatlas-gene-411")</f>
        <v>BSGatlas-gene-411</v>
      </c>
      <c r="B412" s="1" t="s">
        <v>392</v>
      </c>
      <c r="C412" s="1" t="s">
        <v>8</v>
      </c>
      <c r="D412" s="1">
        <v>355764</v>
      </c>
      <c r="E412" s="1">
        <v>358181</v>
      </c>
      <c r="F412" s="1" t="s">
        <v>13</v>
      </c>
      <c r="G412" s="1" t="s">
        <v>11409</v>
      </c>
    </row>
    <row r="413" spans="1:7" ht="21" x14ac:dyDescent="0.25">
      <c r="A413" s="2" t="str">
        <f>HYPERLINK("https://rth.dk/resources/bsgatlas/details.php?id=BSGatlas-gene-412","BSGatlas-gene-412")</f>
        <v>BSGatlas-gene-412</v>
      </c>
      <c r="B413" s="1" t="s">
        <v>393</v>
      </c>
      <c r="C413" s="1" t="s">
        <v>8</v>
      </c>
      <c r="D413" s="1">
        <v>358303</v>
      </c>
      <c r="E413" s="1">
        <v>360435</v>
      </c>
      <c r="F413" s="1" t="s">
        <v>13</v>
      </c>
      <c r="G413" s="1" t="s">
        <v>11409</v>
      </c>
    </row>
    <row r="414" spans="1:7" ht="21" x14ac:dyDescent="0.25">
      <c r="A414" s="2" t="str">
        <f>HYPERLINK("https://rth.dk/resources/bsgatlas/details.php?id=BSGatlas-gene-413","BSGatlas-gene-413")</f>
        <v>BSGatlas-gene-413</v>
      </c>
      <c r="B414" s="1" t="s">
        <v>394</v>
      </c>
      <c r="C414" s="1" t="s">
        <v>8</v>
      </c>
      <c r="D414" s="1">
        <v>360442</v>
      </c>
      <c r="E414" s="1">
        <v>362757</v>
      </c>
      <c r="F414" s="1" t="s">
        <v>13</v>
      </c>
      <c r="G414" s="1" t="s">
        <v>11409</v>
      </c>
    </row>
    <row r="415" spans="1:7" ht="21" x14ac:dyDescent="0.25">
      <c r="A415" s="2" t="str">
        <f>HYPERLINK("https://rth.dk/resources/bsgatlas/details.php?id=BSGatlas-gene-414","BSGatlas-gene-414")</f>
        <v>BSGatlas-gene-414</v>
      </c>
      <c r="B415" s="1" t="s">
        <v>395</v>
      </c>
      <c r="C415" s="1" t="s">
        <v>8</v>
      </c>
      <c r="D415" s="1">
        <v>362937</v>
      </c>
      <c r="E415" s="1">
        <v>364142</v>
      </c>
      <c r="F415" s="1" t="s">
        <v>9</v>
      </c>
      <c r="G415" s="1" t="s">
        <v>11409</v>
      </c>
    </row>
    <row r="416" spans="1:7" ht="21" x14ac:dyDescent="0.25">
      <c r="A416" s="2" t="str">
        <f>HYPERLINK("https://rth.dk/resources/bsgatlas/details.php?id=BSGatlas-gene-415","BSGatlas-gene-415")</f>
        <v>BSGatlas-gene-415</v>
      </c>
      <c r="B416" s="1" t="s">
        <v>396</v>
      </c>
      <c r="C416" s="1" t="s">
        <v>8</v>
      </c>
      <c r="D416" s="1">
        <v>364259</v>
      </c>
      <c r="E416" s="1">
        <v>365173</v>
      </c>
      <c r="F416" s="1" t="s">
        <v>9</v>
      </c>
      <c r="G416" s="1" t="s">
        <v>11409</v>
      </c>
    </row>
    <row r="417" spans="1:7" ht="21" x14ac:dyDescent="0.25">
      <c r="A417" s="2" t="str">
        <f>HYPERLINK("https://rth.dk/resources/bsgatlas/details.php?id=BSGatlas-gene-416","BSGatlas-gene-416")</f>
        <v>BSGatlas-gene-416</v>
      </c>
      <c r="B417" s="1" t="s">
        <v>397</v>
      </c>
      <c r="C417" s="1" t="s">
        <v>8</v>
      </c>
      <c r="D417" s="1">
        <v>365170</v>
      </c>
      <c r="E417" s="1">
        <v>365754</v>
      </c>
      <c r="F417" s="1" t="s">
        <v>9</v>
      </c>
      <c r="G417" s="1" t="s">
        <v>11409</v>
      </c>
    </row>
    <row r="418" spans="1:7" ht="21" x14ac:dyDescent="0.25">
      <c r="A418" s="2" t="str">
        <f>HYPERLINK("https://rth.dk/resources/bsgatlas/details.php?id=BSGatlas-gene-417","BSGatlas-gene-417")</f>
        <v>BSGatlas-gene-417</v>
      </c>
      <c r="B418" s="1" t="s">
        <v>398</v>
      </c>
      <c r="C418" s="1" t="s">
        <v>8</v>
      </c>
      <c r="D418" s="1">
        <v>365850</v>
      </c>
      <c r="E418" s="1">
        <v>366035</v>
      </c>
      <c r="F418" s="1" t="s">
        <v>9</v>
      </c>
      <c r="G418" s="1" t="s">
        <v>11409</v>
      </c>
    </row>
    <row r="419" spans="1:7" ht="21" x14ac:dyDescent="0.25">
      <c r="A419" s="2" t="str">
        <f>HYPERLINK("https://rth.dk/resources/bsgatlas/details.php?id=BSGatlas-gene-418","BSGatlas-gene-418")</f>
        <v>BSGatlas-gene-418</v>
      </c>
      <c r="B419" s="1" t="s">
        <v>399</v>
      </c>
      <c r="C419" s="1" t="s">
        <v>8</v>
      </c>
      <c r="D419" s="1">
        <v>366063</v>
      </c>
      <c r="E419" s="1">
        <v>367256</v>
      </c>
      <c r="F419" s="1" t="s">
        <v>9</v>
      </c>
      <c r="G419" s="1" t="s">
        <v>11409</v>
      </c>
    </row>
    <row r="420" spans="1:7" ht="21" x14ac:dyDescent="0.25">
      <c r="A420" s="2" t="str">
        <f>HYPERLINK("https://rth.dk/resources/bsgatlas/details.php?id=BSGatlas-gene-419","BSGatlas-gene-419")</f>
        <v>BSGatlas-gene-419</v>
      </c>
      <c r="B420" s="1" t="s">
        <v>400</v>
      </c>
      <c r="C420" s="1" t="s">
        <v>8</v>
      </c>
      <c r="D420" s="1">
        <v>367305</v>
      </c>
      <c r="E420" s="1">
        <v>367985</v>
      </c>
      <c r="F420" s="1" t="s">
        <v>13</v>
      </c>
      <c r="G420" s="1" t="s">
        <v>11409</v>
      </c>
    </row>
    <row r="421" spans="1:7" ht="21" x14ac:dyDescent="0.25">
      <c r="A421" s="2" t="str">
        <f>HYPERLINK("https://rth.dk/resources/bsgatlas/details.php?id=BSGatlas-gene-420","BSGatlas-gene-420")</f>
        <v>BSGatlas-gene-420</v>
      </c>
      <c r="B421" s="1" t="s">
        <v>401</v>
      </c>
      <c r="C421" s="1" t="s">
        <v>8</v>
      </c>
      <c r="D421" s="1">
        <v>367995</v>
      </c>
      <c r="E421" s="1">
        <v>368858</v>
      </c>
      <c r="F421" s="1" t="s">
        <v>13</v>
      </c>
      <c r="G421" s="1" t="s">
        <v>11409</v>
      </c>
    </row>
    <row r="422" spans="1:7" ht="21" x14ac:dyDescent="0.25">
      <c r="A422" s="2" t="str">
        <f>HYPERLINK("https://rth.dk/resources/bsgatlas/details.php?id=BSGatlas-gene-421","BSGatlas-gene-421")</f>
        <v>BSGatlas-gene-421</v>
      </c>
      <c r="B422" s="1" t="s">
        <v>318</v>
      </c>
      <c r="C422" s="1" t="s">
        <v>8</v>
      </c>
      <c r="D422" s="1">
        <v>369020</v>
      </c>
      <c r="E422" s="1">
        <v>369217</v>
      </c>
      <c r="F422" s="1" t="s">
        <v>9</v>
      </c>
      <c r="G422" s="1" t="s">
        <v>11441</v>
      </c>
    </row>
    <row r="423" spans="1:7" ht="21" x14ac:dyDescent="0.25">
      <c r="A423" s="2" t="str">
        <f>HYPERLINK("https://rth.dk/resources/bsgatlas/details.php?id=BSGatlas-gene-422","BSGatlas-gene-422")</f>
        <v>BSGatlas-gene-422</v>
      </c>
      <c r="B423" s="1" t="s">
        <v>402</v>
      </c>
      <c r="C423" s="1" t="s">
        <v>8</v>
      </c>
      <c r="D423" s="1">
        <v>369236</v>
      </c>
      <c r="E423" s="1">
        <v>369691</v>
      </c>
      <c r="F423" s="1" t="s">
        <v>9</v>
      </c>
      <c r="G423" s="1" t="s">
        <v>11409</v>
      </c>
    </row>
    <row r="424" spans="1:7" ht="21" x14ac:dyDescent="0.25">
      <c r="A424" s="2" t="str">
        <f>HYPERLINK("https://rth.dk/resources/bsgatlas/details.php?id=BSGatlas-gene-423","BSGatlas-gene-423")</f>
        <v>BSGatlas-gene-423</v>
      </c>
      <c r="B424" s="1" t="s">
        <v>403</v>
      </c>
      <c r="C424" s="1" t="s">
        <v>8</v>
      </c>
      <c r="D424" s="1">
        <v>369773</v>
      </c>
      <c r="E424" s="1">
        <v>370105</v>
      </c>
      <c r="F424" s="1" t="s">
        <v>9</v>
      </c>
      <c r="G424" s="1" t="s">
        <v>11409</v>
      </c>
    </row>
    <row r="425" spans="1:7" ht="21" x14ac:dyDescent="0.25">
      <c r="A425" s="2" t="str">
        <f>HYPERLINK("https://rth.dk/resources/bsgatlas/details.php?id=BSGatlas-gene-424","BSGatlas-gene-424")</f>
        <v>BSGatlas-gene-424</v>
      </c>
      <c r="B425" s="1" t="s">
        <v>404</v>
      </c>
      <c r="C425" s="1" t="s">
        <v>8</v>
      </c>
      <c r="D425" s="1">
        <v>370259</v>
      </c>
      <c r="E425" s="1">
        <v>371692</v>
      </c>
      <c r="F425" s="1" t="s">
        <v>9</v>
      </c>
      <c r="G425" s="1" t="s">
        <v>11409</v>
      </c>
    </row>
    <row r="426" spans="1:7" ht="21" x14ac:dyDescent="0.25">
      <c r="A426" s="2" t="str">
        <f>HYPERLINK("https://rth.dk/resources/bsgatlas/details.php?id=BSGatlas-gene-425","BSGatlas-gene-425")</f>
        <v>BSGatlas-gene-425</v>
      </c>
      <c r="B426" s="1" t="s">
        <v>405</v>
      </c>
      <c r="C426" s="1" t="s">
        <v>8</v>
      </c>
      <c r="D426" s="1">
        <v>371729</v>
      </c>
      <c r="E426" s="1">
        <v>372127</v>
      </c>
      <c r="F426" s="1" t="s">
        <v>13</v>
      </c>
      <c r="G426" s="1" t="s">
        <v>11409</v>
      </c>
    </row>
    <row r="427" spans="1:7" ht="21" x14ac:dyDescent="0.25">
      <c r="A427" s="2" t="str">
        <f>HYPERLINK("https://rth.dk/resources/bsgatlas/details.php?id=BSGatlas-gene-426","BSGatlas-gene-426")</f>
        <v>BSGatlas-gene-426</v>
      </c>
      <c r="B427" s="1" t="s">
        <v>406</v>
      </c>
      <c r="C427" s="1" t="s">
        <v>8</v>
      </c>
      <c r="D427" s="1">
        <v>372154</v>
      </c>
      <c r="E427" s="1">
        <v>372603</v>
      </c>
      <c r="F427" s="1" t="s">
        <v>13</v>
      </c>
      <c r="G427" s="1" t="s">
        <v>11409</v>
      </c>
    </row>
    <row r="428" spans="1:7" ht="21" x14ac:dyDescent="0.25">
      <c r="A428" s="2" t="str">
        <f>HYPERLINK("https://rth.dk/resources/bsgatlas/details.php?id=BSGatlas-gene-427","BSGatlas-gene-427")</f>
        <v>BSGatlas-gene-427</v>
      </c>
      <c r="B428" s="1" t="s">
        <v>407</v>
      </c>
      <c r="C428" s="1" t="s">
        <v>8</v>
      </c>
      <c r="D428" s="1">
        <v>372771</v>
      </c>
      <c r="E428" s="1">
        <v>374492</v>
      </c>
      <c r="F428" s="1" t="s">
        <v>13</v>
      </c>
      <c r="G428" s="1" t="s">
        <v>11409</v>
      </c>
    </row>
    <row r="429" spans="1:7" ht="21" x14ac:dyDescent="0.25">
      <c r="A429" s="2" t="str">
        <f>HYPERLINK("https://rth.dk/resources/bsgatlas/details.php?id=BSGatlas-gene-428","BSGatlas-gene-428")</f>
        <v>BSGatlas-gene-428</v>
      </c>
      <c r="B429" s="1" t="s">
        <v>408</v>
      </c>
      <c r="C429" s="1" t="s">
        <v>8</v>
      </c>
      <c r="D429" s="1">
        <v>374603</v>
      </c>
      <c r="E429" s="1">
        <v>375160</v>
      </c>
      <c r="F429" s="1" t="s">
        <v>13</v>
      </c>
      <c r="G429" s="1" t="s">
        <v>11409</v>
      </c>
    </row>
    <row r="430" spans="1:7" ht="21" x14ac:dyDescent="0.25">
      <c r="A430" s="2" t="str">
        <f>HYPERLINK("https://rth.dk/resources/bsgatlas/details.php?id=BSGatlas-gene-429","BSGatlas-gene-429")</f>
        <v>BSGatlas-gene-429</v>
      </c>
      <c r="B430" s="1" t="s">
        <v>409</v>
      </c>
      <c r="C430" s="1" t="s">
        <v>8</v>
      </c>
      <c r="D430" s="1">
        <v>375166</v>
      </c>
      <c r="E430" s="1">
        <v>375798</v>
      </c>
      <c r="F430" s="1" t="s">
        <v>13</v>
      </c>
      <c r="G430" s="1" t="s">
        <v>11409</v>
      </c>
    </row>
    <row r="431" spans="1:7" ht="21" x14ac:dyDescent="0.25">
      <c r="A431" s="2" t="str">
        <f>HYPERLINK("https://rth.dk/resources/bsgatlas/details.php?id=BSGatlas-gene-430","BSGatlas-gene-430")</f>
        <v>BSGatlas-gene-430</v>
      </c>
      <c r="B431" s="1" t="s">
        <v>410</v>
      </c>
      <c r="C431" s="1" t="s">
        <v>8</v>
      </c>
      <c r="D431" s="1">
        <v>376032</v>
      </c>
      <c r="E431" s="1">
        <v>376394</v>
      </c>
      <c r="F431" s="1" t="s">
        <v>9</v>
      </c>
      <c r="G431" s="1" t="s">
        <v>11409</v>
      </c>
    </row>
    <row r="432" spans="1:7" ht="21" x14ac:dyDescent="0.25">
      <c r="A432" s="2" t="str">
        <f>HYPERLINK("https://rth.dk/resources/bsgatlas/details.php?id=BSGatlas-gene-431","BSGatlas-gene-431")</f>
        <v>BSGatlas-gene-431</v>
      </c>
      <c r="B432" s="1" t="s">
        <v>411</v>
      </c>
      <c r="C432" s="1" t="s">
        <v>12</v>
      </c>
      <c r="D432" s="1">
        <v>376678</v>
      </c>
      <c r="E432" s="1">
        <v>376925</v>
      </c>
      <c r="F432" s="1" t="s">
        <v>9</v>
      </c>
      <c r="G432" s="1" t="s">
        <v>11442</v>
      </c>
    </row>
    <row r="433" spans="1:7" ht="21" x14ac:dyDescent="0.25">
      <c r="A433" s="2" t="str">
        <f>HYPERLINK("https://rth.dk/resources/bsgatlas/details.php?id=BSGatlas-gene-432","BSGatlas-gene-432")</f>
        <v>BSGatlas-gene-432</v>
      </c>
      <c r="B433" s="1" t="s">
        <v>412</v>
      </c>
      <c r="C433" s="1" t="s">
        <v>8</v>
      </c>
      <c r="D433" s="1">
        <v>376968</v>
      </c>
      <c r="E433" s="1">
        <v>387731</v>
      </c>
      <c r="F433" s="1" t="s">
        <v>9</v>
      </c>
      <c r="G433" s="1" t="s">
        <v>11409</v>
      </c>
    </row>
    <row r="434" spans="1:7" ht="21" x14ac:dyDescent="0.25">
      <c r="A434" s="2" t="str">
        <f>HYPERLINK("https://rth.dk/resources/bsgatlas/details.php?id=BSGatlas-gene-433","BSGatlas-gene-433")</f>
        <v>BSGatlas-gene-433</v>
      </c>
      <c r="B434" s="1" t="s">
        <v>413</v>
      </c>
      <c r="C434" s="1" t="s">
        <v>8</v>
      </c>
      <c r="D434" s="1">
        <v>387744</v>
      </c>
      <c r="E434" s="1">
        <v>398495</v>
      </c>
      <c r="F434" s="1" t="s">
        <v>9</v>
      </c>
      <c r="G434" s="1" t="s">
        <v>11409</v>
      </c>
    </row>
    <row r="435" spans="1:7" ht="21" x14ac:dyDescent="0.25">
      <c r="A435" s="2" t="str">
        <f>HYPERLINK("https://rth.dk/resources/bsgatlas/details.php?id=BSGatlas-gene-434","BSGatlas-gene-434")</f>
        <v>BSGatlas-gene-434</v>
      </c>
      <c r="B435" s="1" t="s">
        <v>414</v>
      </c>
      <c r="C435" s="1" t="s">
        <v>8</v>
      </c>
      <c r="D435" s="1">
        <v>390880</v>
      </c>
      <c r="E435" s="1">
        <v>391020</v>
      </c>
      <c r="F435" s="1" t="s">
        <v>9</v>
      </c>
      <c r="G435" s="1" t="s">
        <v>11409</v>
      </c>
    </row>
    <row r="436" spans="1:7" ht="21" x14ac:dyDescent="0.25">
      <c r="A436" s="2" t="str">
        <f>HYPERLINK("https://rth.dk/resources/bsgatlas/details.php?id=BSGatlas-gene-435","BSGatlas-gene-435")</f>
        <v>BSGatlas-gene-435</v>
      </c>
      <c r="B436" s="1" t="s">
        <v>415</v>
      </c>
      <c r="C436" s="1" t="s">
        <v>8</v>
      </c>
      <c r="D436" s="1">
        <v>398532</v>
      </c>
      <c r="E436" s="1">
        <v>402359</v>
      </c>
      <c r="F436" s="1" t="s">
        <v>9</v>
      </c>
      <c r="G436" s="1" t="s">
        <v>11409</v>
      </c>
    </row>
    <row r="437" spans="1:7" ht="21" x14ac:dyDescent="0.25">
      <c r="A437" s="2" t="str">
        <f>HYPERLINK("https://rth.dk/resources/bsgatlas/details.php?id=BSGatlas-gene-436","BSGatlas-gene-436")</f>
        <v>BSGatlas-gene-436</v>
      </c>
      <c r="B437" s="1" t="s">
        <v>416</v>
      </c>
      <c r="C437" s="1" t="s">
        <v>8</v>
      </c>
      <c r="D437" s="1">
        <v>402388</v>
      </c>
      <c r="E437" s="1">
        <v>403116</v>
      </c>
      <c r="F437" s="1" t="s">
        <v>9</v>
      </c>
      <c r="G437" s="1" t="s">
        <v>11409</v>
      </c>
    </row>
    <row r="438" spans="1:7" ht="21" x14ac:dyDescent="0.25">
      <c r="A438" s="2" t="str">
        <f>HYPERLINK("https://rth.dk/resources/bsgatlas/details.php?id=BSGatlas-gene-437","BSGatlas-gene-437")</f>
        <v>BSGatlas-gene-437</v>
      </c>
      <c r="B438" s="1" t="s">
        <v>417</v>
      </c>
      <c r="C438" s="1" t="s">
        <v>8</v>
      </c>
      <c r="D438" s="1">
        <v>403217</v>
      </c>
      <c r="E438" s="1">
        <v>404443</v>
      </c>
      <c r="F438" s="1" t="s">
        <v>9</v>
      </c>
      <c r="G438" s="1" t="s">
        <v>11409</v>
      </c>
    </row>
    <row r="439" spans="1:7" ht="21" x14ac:dyDescent="0.25">
      <c r="A439" s="2" t="str">
        <f>HYPERLINK("https://rth.dk/resources/bsgatlas/details.php?id=BSGatlas-gene-438","BSGatlas-gene-438")</f>
        <v>BSGatlas-gene-438</v>
      </c>
      <c r="B439" s="1" t="s">
        <v>418</v>
      </c>
      <c r="C439" s="1" t="s">
        <v>8</v>
      </c>
      <c r="D439" s="1">
        <v>404458</v>
      </c>
      <c r="E439" s="1">
        <v>405015</v>
      </c>
      <c r="F439" s="1" t="s">
        <v>13</v>
      </c>
      <c r="G439" s="1" t="s">
        <v>11409</v>
      </c>
    </row>
    <row r="440" spans="1:7" ht="21" x14ac:dyDescent="0.25">
      <c r="A440" s="2" t="str">
        <f>HYPERLINK("https://rth.dk/resources/bsgatlas/details.php?id=BSGatlas-gene-439","BSGatlas-gene-439")</f>
        <v>BSGatlas-gene-439</v>
      </c>
      <c r="B440" s="1" t="s">
        <v>419</v>
      </c>
      <c r="C440" s="1" t="s">
        <v>8</v>
      </c>
      <c r="D440" s="1">
        <v>405069</v>
      </c>
      <c r="E440" s="1">
        <v>406007</v>
      </c>
      <c r="F440" s="1" t="s">
        <v>13</v>
      </c>
      <c r="G440" s="1" t="s">
        <v>11409</v>
      </c>
    </row>
    <row r="441" spans="1:7" ht="21" x14ac:dyDescent="0.25">
      <c r="A441" s="2" t="str">
        <f>HYPERLINK("https://rth.dk/resources/bsgatlas/details.php?id=BSGatlas-gene-440","BSGatlas-gene-440")</f>
        <v>BSGatlas-gene-440</v>
      </c>
      <c r="B441" s="1" t="s">
        <v>420</v>
      </c>
      <c r="C441" s="1" t="s">
        <v>8</v>
      </c>
      <c r="D441" s="1">
        <v>406131</v>
      </c>
      <c r="E441" s="1">
        <v>407465</v>
      </c>
      <c r="F441" s="1" t="s">
        <v>9</v>
      </c>
      <c r="G441" s="1" t="s">
        <v>11409</v>
      </c>
    </row>
    <row r="442" spans="1:7" ht="21" x14ac:dyDescent="0.25">
      <c r="A442" s="2" t="str">
        <f>HYPERLINK("https://rth.dk/resources/bsgatlas/details.php?id=BSGatlas-gene-441","BSGatlas-gene-441")</f>
        <v>BSGatlas-gene-441</v>
      </c>
      <c r="B442" s="1" t="s">
        <v>11447</v>
      </c>
      <c r="C442" s="1" t="s">
        <v>276</v>
      </c>
      <c r="D442" s="1">
        <v>407460</v>
      </c>
      <c r="E442" s="1">
        <v>407627</v>
      </c>
      <c r="F442" s="1" t="s">
        <v>13</v>
      </c>
      <c r="G442" s="1" t="s">
        <v>11441</v>
      </c>
    </row>
    <row r="443" spans="1:7" ht="21" x14ac:dyDescent="0.25">
      <c r="A443" s="2" t="str">
        <f>HYPERLINK("https://rth.dk/resources/bsgatlas/details.php?id=BSGatlas-gene-442","BSGatlas-gene-442")</f>
        <v>BSGatlas-gene-442</v>
      </c>
      <c r="B443" s="1" t="s">
        <v>421</v>
      </c>
      <c r="C443" s="1" t="s">
        <v>276</v>
      </c>
      <c r="D443" s="1">
        <v>407638</v>
      </c>
      <c r="E443" s="1">
        <v>408135</v>
      </c>
      <c r="F443" s="1" t="s">
        <v>13</v>
      </c>
      <c r="G443" s="1" t="s">
        <v>11441</v>
      </c>
    </row>
    <row r="444" spans="1:7" ht="21" x14ac:dyDescent="0.25">
      <c r="A444" s="2" t="str">
        <f>HYPERLINK("https://rth.dk/resources/bsgatlas/details.php?id=BSGatlas-gene-443","BSGatlas-gene-443")</f>
        <v>BSGatlas-gene-443</v>
      </c>
      <c r="B444" s="1" t="s">
        <v>422</v>
      </c>
      <c r="C444" s="1" t="s">
        <v>8</v>
      </c>
      <c r="D444" s="1">
        <v>408240</v>
      </c>
      <c r="E444" s="1">
        <v>408887</v>
      </c>
      <c r="F444" s="1" t="s">
        <v>13</v>
      </c>
      <c r="G444" s="1" t="s">
        <v>11409</v>
      </c>
    </row>
    <row r="445" spans="1:7" ht="21" x14ac:dyDescent="0.25">
      <c r="A445" s="2" t="str">
        <f>HYPERLINK("https://rth.dk/resources/bsgatlas/details.php?id=BSGatlas-gene-444","BSGatlas-gene-444")</f>
        <v>BSGatlas-gene-444</v>
      </c>
      <c r="B445" s="1" t="s">
        <v>423</v>
      </c>
      <c r="C445" s="1" t="s">
        <v>8</v>
      </c>
      <c r="D445" s="1">
        <v>409208</v>
      </c>
      <c r="E445" s="1">
        <v>409951</v>
      </c>
      <c r="F445" s="1" t="s">
        <v>13</v>
      </c>
      <c r="G445" s="1" t="s">
        <v>11409</v>
      </c>
    </row>
    <row r="446" spans="1:7" ht="21" x14ac:dyDescent="0.25">
      <c r="A446" s="2" t="str">
        <f>HYPERLINK("https://rth.dk/resources/bsgatlas/details.php?id=BSGatlas-gene-445","BSGatlas-gene-445")</f>
        <v>BSGatlas-gene-445</v>
      </c>
      <c r="B446" s="1" t="s">
        <v>424</v>
      </c>
      <c r="C446" s="1" t="s">
        <v>8</v>
      </c>
      <c r="D446" s="1">
        <v>409965</v>
      </c>
      <c r="E446" s="1">
        <v>410669</v>
      </c>
      <c r="F446" s="1" t="s">
        <v>13</v>
      </c>
      <c r="G446" s="1" t="s">
        <v>11409</v>
      </c>
    </row>
    <row r="447" spans="1:7" ht="21" x14ac:dyDescent="0.25">
      <c r="A447" s="2" t="str">
        <f>HYPERLINK("https://rth.dk/resources/bsgatlas/details.php?id=BSGatlas-gene-446","BSGatlas-gene-446")</f>
        <v>BSGatlas-gene-446</v>
      </c>
      <c r="B447" s="1" t="s">
        <v>425</v>
      </c>
      <c r="C447" s="1" t="s">
        <v>8</v>
      </c>
      <c r="D447" s="1">
        <v>410656</v>
      </c>
      <c r="E447" s="1">
        <v>411462</v>
      </c>
      <c r="F447" s="1" t="s">
        <v>13</v>
      </c>
      <c r="G447" s="1" t="s">
        <v>11409</v>
      </c>
    </row>
    <row r="448" spans="1:7" ht="21" x14ac:dyDescent="0.25">
      <c r="A448" s="2" t="str">
        <f>HYPERLINK("https://rth.dk/resources/bsgatlas/details.php?id=BSGatlas-gene-447","BSGatlas-gene-447")</f>
        <v>BSGatlas-gene-447</v>
      </c>
      <c r="B448" s="1" t="s">
        <v>426</v>
      </c>
      <c r="C448" s="1" t="s">
        <v>8</v>
      </c>
      <c r="D448" s="1">
        <v>411578</v>
      </c>
      <c r="E448" s="1">
        <v>412450</v>
      </c>
      <c r="F448" s="1" t="s">
        <v>13</v>
      </c>
      <c r="G448" s="1" t="s">
        <v>11409</v>
      </c>
    </row>
    <row r="449" spans="1:7" ht="21" x14ac:dyDescent="0.25">
      <c r="A449" s="2" t="str">
        <f>HYPERLINK("https://rth.dk/resources/bsgatlas/details.php?id=BSGatlas-gene-448","BSGatlas-gene-448")</f>
        <v>BSGatlas-gene-448</v>
      </c>
      <c r="B449" s="1" t="s">
        <v>427</v>
      </c>
      <c r="C449" s="1" t="s">
        <v>8</v>
      </c>
      <c r="D449" s="1">
        <v>412540</v>
      </c>
      <c r="E449" s="1">
        <v>413154</v>
      </c>
      <c r="F449" s="1" t="s">
        <v>9</v>
      </c>
      <c r="G449" s="1" t="s">
        <v>11409</v>
      </c>
    </row>
    <row r="450" spans="1:7" ht="21" x14ac:dyDescent="0.25">
      <c r="A450" s="2" t="str">
        <f>HYPERLINK("https://rth.dk/resources/bsgatlas/details.php?id=BSGatlas-gene-449","BSGatlas-gene-449")</f>
        <v>BSGatlas-gene-449</v>
      </c>
      <c r="B450" s="1" t="s">
        <v>428</v>
      </c>
      <c r="C450" s="1" t="s">
        <v>8</v>
      </c>
      <c r="D450" s="1">
        <v>413157</v>
      </c>
      <c r="E450" s="1">
        <v>414578</v>
      </c>
      <c r="F450" s="1" t="s">
        <v>9</v>
      </c>
      <c r="G450" s="1" t="s">
        <v>11409</v>
      </c>
    </row>
    <row r="451" spans="1:7" ht="21" x14ac:dyDescent="0.25">
      <c r="A451" s="2" t="str">
        <f>HYPERLINK("https://rth.dk/resources/bsgatlas/details.php?id=BSGatlas-gene-450","BSGatlas-gene-450")</f>
        <v>BSGatlas-gene-450</v>
      </c>
      <c r="B451" s="1" t="s">
        <v>429</v>
      </c>
      <c r="C451" s="1" t="s">
        <v>8</v>
      </c>
      <c r="D451" s="1">
        <v>414595</v>
      </c>
      <c r="E451" s="1">
        <v>414822</v>
      </c>
      <c r="F451" s="1" t="s">
        <v>9</v>
      </c>
      <c r="G451" s="1" t="s">
        <v>11409</v>
      </c>
    </row>
    <row r="452" spans="1:7" ht="21" x14ac:dyDescent="0.25">
      <c r="A452" s="2" t="str">
        <f>HYPERLINK("https://rth.dk/resources/bsgatlas/details.php?id=BSGatlas-gene-451","BSGatlas-gene-451")</f>
        <v>BSGatlas-gene-451</v>
      </c>
      <c r="B452" s="1" t="s">
        <v>430</v>
      </c>
      <c r="C452" s="1" t="s">
        <v>8</v>
      </c>
      <c r="D452" s="1">
        <v>414819</v>
      </c>
      <c r="E452" s="1">
        <v>415283</v>
      </c>
      <c r="F452" s="1" t="s">
        <v>9</v>
      </c>
      <c r="G452" s="1" t="s">
        <v>11409</v>
      </c>
    </row>
    <row r="453" spans="1:7" ht="21" x14ac:dyDescent="0.25">
      <c r="A453" s="2" t="str">
        <f>HYPERLINK("https://rth.dk/resources/bsgatlas/details.php?id=BSGatlas-gene-452","BSGatlas-gene-452")</f>
        <v>BSGatlas-gene-452</v>
      </c>
      <c r="B453" s="1" t="s">
        <v>431</v>
      </c>
      <c r="C453" s="1" t="s">
        <v>8</v>
      </c>
      <c r="D453" s="1">
        <v>415350</v>
      </c>
      <c r="E453" s="1">
        <v>416195</v>
      </c>
      <c r="F453" s="1" t="s">
        <v>9</v>
      </c>
      <c r="G453" s="1" t="s">
        <v>11409</v>
      </c>
    </row>
    <row r="454" spans="1:7" ht="21" x14ac:dyDescent="0.25">
      <c r="A454" s="2" t="str">
        <f>HYPERLINK("https://rth.dk/resources/bsgatlas/details.php?id=BSGatlas-gene-453","BSGatlas-gene-453")</f>
        <v>BSGatlas-gene-453</v>
      </c>
      <c r="B454" s="1" t="s">
        <v>432</v>
      </c>
      <c r="C454" s="1" t="s">
        <v>8</v>
      </c>
      <c r="D454" s="1">
        <v>416235</v>
      </c>
      <c r="E454" s="1">
        <v>417713</v>
      </c>
      <c r="F454" s="1" t="s">
        <v>13</v>
      </c>
      <c r="G454" s="1" t="s">
        <v>11409</v>
      </c>
    </row>
    <row r="455" spans="1:7" ht="21" x14ac:dyDescent="0.25">
      <c r="A455" s="2" t="str">
        <f>HYPERLINK("https://rth.dk/resources/bsgatlas/details.php?id=BSGatlas-gene-454","BSGatlas-gene-454")</f>
        <v>BSGatlas-gene-454</v>
      </c>
      <c r="B455" s="1" t="s">
        <v>433</v>
      </c>
      <c r="C455" s="1" t="s">
        <v>8</v>
      </c>
      <c r="D455" s="1">
        <v>417993</v>
      </c>
      <c r="E455" s="1">
        <v>419747</v>
      </c>
      <c r="F455" s="1" t="s">
        <v>9</v>
      </c>
      <c r="G455" s="1" t="s">
        <v>11409</v>
      </c>
    </row>
    <row r="456" spans="1:7" ht="21" x14ac:dyDescent="0.25">
      <c r="A456" s="2" t="str">
        <f>HYPERLINK("https://rth.dk/resources/bsgatlas/details.php?id=BSGatlas-gene-455","BSGatlas-gene-455")</f>
        <v>BSGatlas-gene-455</v>
      </c>
      <c r="B456" s="1" t="s">
        <v>434</v>
      </c>
      <c r="C456" s="1" t="s">
        <v>8</v>
      </c>
      <c r="D456" s="1">
        <v>419763</v>
      </c>
      <c r="E456" s="1">
        <v>419984</v>
      </c>
      <c r="F456" s="1" t="s">
        <v>13</v>
      </c>
      <c r="G456" s="1" t="s">
        <v>11409</v>
      </c>
    </row>
    <row r="457" spans="1:7" ht="21" x14ac:dyDescent="0.25">
      <c r="A457" s="2" t="str">
        <f>HYPERLINK("https://rth.dk/resources/bsgatlas/details.php?id=BSGatlas-gene-456","BSGatlas-gene-456")</f>
        <v>BSGatlas-gene-456</v>
      </c>
      <c r="B457" s="1" t="s">
        <v>435</v>
      </c>
      <c r="C457" s="1" t="s">
        <v>8</v>
      </c>
      <c r="D457" s="1">
        <v>420110</v>
      </c>
      <c r="E457" s="1">
        <v>421744</v>
      </c>
      <c r="F457" s="1" t="s">
        <v>9</v>
      </c>
      <c r="G457" s="1" t="s">
        <v>11409</v>
      </c>
    </row>
    <row r="458" spans="1:7" ht="21" x14ac:dyDescent="0.25">
      <c r="A458" s="2" t="str">
        <f>HYPERLINK("https://rth.dk/resources/bsgatlas/details.php?id=BSGatlas-gene-457","BSGatlas-gene-457")</f>
        <v>BSGatlas-gene-457</v>
      </c>
      <c r="B458" s="1" t="s">
        <v>436</v>
      </c>
      <c r="C458" s="1" t="s">
        <v>8</v>
      </c>
      <c r="D458" s="1">
        <v>421734</v>
      </c>
      <c r="E458" s="1">
        <v>422957</v>
      </c>
      <c r="F458" s="1" t="s">
        <v>9</v>
      </c>
      <c r="G458" s="1" t="s">
        <v>11409</v>
      </c>
    </row>
    <row r="459" spans="1:7" ht="21" x14ac:dyDescent="0.25">
      <c r="A459" s="2" t="str">
        <f>HYPERLINK("https://rth.dk/resources/bsgatlas/details.php?id=BSGatlas-gene-458","BSGatlas-gene-458")</f>
        <v>BSGatlas-gene-458</v>
      </c>
      <c r="B459" s="1" t="s">
        <v>437</v>
      </c>
      <c r="C459" s="1" t="s">
        <v>8</v>
      </c>
      <c r="D459" s="1">
        <v>422982</v>
      </c>
      <c r="E459" s="1">
        <v>424103</v>
      </c>
      <c r="F459" s="1" t="s">
        <v>9</v>
      </c>
      <c r="G459" s="1" t="s">
        <v>11409</v>
      </c>
    </row>
    <row r="460" spans="1:7" ht="21" x14ac:dyDescent="0.25">
      <c r="A460" s="2" t="str">
        <f>HYPERLINK("https://rth.dk/resources/bsgatlas/details.php?id=BSGatlas-gene-459","BSGatlas-gene-459")</f>
        <v>BSGatlas-gene-459</v>
      </c>
      <c r="B460" s="1" t="s">
        <v>438</v>
      </c>
      <c r="C460" s="1" t="s">
        <v>8</v>
      </c>
      <c r="D460" s="1">
        <v>424208</v>
      </c>
      <c r="E460" s="1">
        <v>424888</v>
      </c>
      <c r="F460" s="1" t="s">
        <v>13</v>
      </c>
      <c r="G460" s="1" t="s">
        <v>11409</v>
      </c>
    </row>
    <row r="461" spans="1:7" ht="21" x14ac:dyDescent="0.25">
      <c r="A461" s="2" t="str">
        <f>HYPERLINK("https://rth.dk/resources/bsgatlas/details.php?id=BSGatlas-gene-460","BSGatlas-gene-460")</f>
        <v>BSGatlas-gene-460</v>
      </c>
      <c r="B461" s="1" t="s">
        <v>439</v>
      </c>
      <c r="C461" s="1" t="s">
        <v>8</v>
      </c>
      <c r="D461" s="1">
        <v>424904</v>
      </c>
      <c r="E461" s="1">
        <v>426364</v>
      </c>
      <c r="F461" s="1" t="s">
        <v>13</v>
      </c>
      <c r="G461" s="1" t="s">
        <v>11409</v>
      </c>
    </row>
    <row r="462" spans="1:7" ht="21" x14ac:dyDescent="0.25">
      <c r="A462" s="2" t="str">
        <f>HYPERLINK("https://rth.dk/resources/bsgatlas/details.php?id=BSGatlas-gene-461","BSGatlas-gene-461")</f>
        <v>BSGatlas-gene-461</v>
      </c>
      <c r="B462" s="1" t="s">
        <v>440</v>
      </c>
      <c r="C462" s="1" t="s">
        <v>8</v>
      </c>
      <c r="D462" s="1">
        <v>426577</v>
      </c>
      <c r="E462" s="1">
        <v>427260</v>
      </c>
      <c r="F462" s="1" t="s">
        <v>9</v>
      </c>
      <c r="G462" s="1" t="s">
        <v>11409</v>
      </c>
    </row>
    <row r="463" spans="1:7" ht="21" x14ac:dyDescent="0.25">
      <c r="A463" s="2" t="str">
        <f>HYPERLINK("https://rth.dk/resources/bsgatlas/details.php?id=BSGatlas-gene-462","BSGatlas-gene-462")</f>
        <v>BSGatlas-gene-462</v>
      </c>
      <c r="B463" s="1" t="s">
        <v>441</v>
      </c>
      <c r="C463" s="1" t="s">
        <v>8</v>
      </c>
      <c r="D463" s="1">
        <v>427247</v>
      </c>
      <c r="E463" s="1">
        <v>428668</v>
      </c>
      <c r="F463" s="1" t="s">
        <v>9</v>
      </c>
      <c r="G463" s="1" t="s">
        <v>11409</v>
      </c>
    </row>
    <row r="464" spans="1:7" ht="21" x14ac:dyDescent="0.25">
      <c r="A464" s="2" t="str">
        <f>HYPERLINK("https://rth.dk/resources/bsgatlas/details.php?id=BSGatlas-gene-463","BSGatlas-gene-463")</f>
        <v>BSGatlas-gene-463</v>
      </c>
      <c r="B464" s="1" t="s">
        <v>442</v>
      </c>
      <c r="C464" s="1" t="s">
        <v>8</v>
      </c>
      <c r="D464" s="1">
        <v>428831</v>
      </c>
      <c r="E464" s="1">
        <v>429979</v>
      </c>
      <c r="F464" s="1" t="s">
        <v>9</v>
      </c>
      <c r="G464" s="1" t="s">
        <v>11409</v>
      </c>
    </row>
    <row r="465" spans="1:7" ht="21" x14ac:dyDescent="0.25">
      <c r="A465" s="2" t="str">
        <f>HYPERLINK("https://rth.dk/resources/bsgatlas/details.php?id=BSGatlas-gene-464","BSGatlas-gene-464")</f>
        <v>BSGatlas-gene-464</v>
      </c>
      <c r="B465" s="1" t="s">
        <v>443</v>
      </c>
      <c r="C465" s="1" t="s">
        <v>8</v>
      </c>
      <c r="D465" s="1">
        <v>429963</v>
      </c>
      <c r="E465" s="1">
        <v>430085</v>
      </c>
      <c r="F465" s="1" t="s">
        <v>9</v>
      </c>
      <c r="G465" s="1" t="s">
        <v>11409</v>
      </c>
    </row>
    <row r="466" spans="1:7" ht="21" x14ac:dyDescent="0.25">
      <c r="A466" s="2" t="str">
        <f>HYPERLINK("https://rth.dk/resources/bsgatlas/details.php?id=BSGatlas-gene-465","BSGatlas-gene-465")</f>
        <v>BSGatlas-gene-465</v>
      </c>
      <c r="B466" s="1" t="s">
        <v>444</v>
      </c>
      <c r="C466" s="1" t="s">
        <v>8</v>
      </c>
      <c r="D466" s="1">
        <v>430185</v>
      </c>
      <c r="E466" s="1">
        <v>430274</v>
      </c>
      <c r="F466" s="1" t="s">
        <v>13</v>
      </c>
      <c r="G466" s="1" t="s">
        <v>11409</v>
      </c>
    </row>
    <row r="467" spans="1:7" ht="21" x14ac:dyDescent="0.25">
      <c r="A467" s="2" t="str">
        <f>HYPERLINK("https://rth.dk/resources/bsgatlas/details.php?id=BSGatlas-gene-466","BSGatlas-gene-466")</f>
        <v>BSGatlas-gene-466</v>
      </c>
      <c r="B467" s="1" t="s">
        <v>445</v>
      </c>
      <c r="C467" s="1" t="s">
        <v>8</v>
      </c>
      <c r="D467" s="1">
        <v>430356</v>
      </c>
      <c r="E467" s="1">
        <v>430469</v>
      </c>
      <c r="F467" s="1" t="s">
        <v>13</v>
      </c>
      <c r="G467" s="1" t="s">
        <v>11409</v>
      </c>
    </row>
    <row r="468" spans="1:7" ht="21" x14ac:dyDescent="0.25">
      <c r="A468" s="2" t="str">
        <f>HYPERLINK("https://rth.dk/resources/bsgatlas/details.php?id=BSGatlas-gene-467","BSGatlas-gene-467")</f>
        <v>BSGatlas-gene-467</v>
      </c>
      <c r="B468" s="1" t="s">
        <v>446</v>
      </c>
      <c r="C468" s="1" t="s">
        <v>8</v>
      </c>
      <c r="D468" s="1">
        <v>430623</v>
      </c>
      <c r="E468" s="1">
        <v>431987</v>
      </c>
      <c r="F468" s="1" t="s">
        <v>13</v>
      </c>
      <c r="G468" s="1" t="s">
        <v>11409</v>
      </c>
    </row>
    <row r="469" spans="1:7" ht="21" x14ac:dyDescent="0.25">
      <c r="A469" s="2" t="str">
        <f>HYPERLINK("https://rth.dk/resources/bsgatlas/details.php?id=BSGatlas-gene-468","BSGatlas-gene-468")</f>
        <v>BSGatlas-gene-468</v>
      </c>
      <c r="B469" s="1" t="s">
        <v>447</v>
      </c>
      <c r="C469" s="1" t="s">
        <v>8</v>
      </c>
      <c r="D469" s="1">
        <v>432372</v>
      </c>
      <c r="E469" s="1">
        <v>433322</v>
      </c>
      <c r="F469" s="1" t="s">
        <v>9</v>
      </c>
      <c r="G469" s="1" t="s">
        <v>11409</v>
      </c>
    </row>
    <row r="470" spans="1:7" ht="21" x14ac:dyDescent="0.25">
      <c r="A470" s="2" t="str">
        <f>HYPERLINK("https://rth.dk/resources/bsgatlas/details.php?id=BSGatlas-gene-469","BSGatlas-gene-469")</f>
        <v>BSGatlas-gene-469</v>
      </c>
      <c r="B470" s="1" t="s">
        <v>448</v>
      </c>
      <c r="C470" s="1" t="s">
        <v>8</v>
      </c>
      <c r="D470" s="1">
        <v>433315</v>
      </c>
      <c r="E470" s="1">
        <v>434262</v>
      </c>
      <c r="F470" s="1" t="s">
        <v>9</v>
      </c>
      <c r="G470" s="1" t="s">
        <v>11409</v>
      </c>
    </row>
    <row r="471" spans="1:7" ht="21" x14ac:dyDescent="0.25">
      <c r="A471" s="2" t="str">
        <f>HYPERLINK("https://rth.dk/resources/bsgatlas/details.php?id=BSGatlas-gene-470","BSGatlas-gene-470")</f>
        <v>BSGatlas-gene-470</v>
      </c>
      <c r="B471" s="1" t="s">
        <v>449</v>
      </c>
      <c r="C471" s="1" t="s">
        <v>8</v>
      </c>
      <c r="D471" s="1">
        <v>434256</v>
      </c>
      <c r="E471" s="1">
        <v>435014</v>
      </c>
      <c r="F471" s="1" t="s">
        <v>9</v>
      </c>
      <c r="G471" s="1" t="s">
        <v>11409</v>
      </c>
    </row>
    <row r="472" spans="1:7" ht="21" x14ac:dyDescent="0.25">
      <c r="A472" s="2" t="str">
        <f>HYPERLINK("https://rth.dk/resources/bsgatlas/details.php?id=BSGatlas-gene-471","BSGatlas-gene-471")</f>
        <v>BSGatlas-gene-471</v>
      </c>
      <c r="B472" s="1" t="s">
        <v>450</v>
      </c>
      <c r="C472" s="1" t="s">
        <v>8</v>
      </c>
      <c r="D472" s="1">
        <v>435036</v>
      </c>
      <c r="E472" s="1">
        <v>435989</v>
      </c>
      <c r="F472" s="1" t="s">
        <v>9</v>
      </c>
      <c r="G472" s="1" t="s">
        <v>11409</v>
      </c>
    </row>
    <row r="473" spans="1:7" ht="21" x14ac:dyDescent="0.25">
      <c r="A473" s="2" t="str">
        <f>HYPERLINK("https://rth.dk/resources/bsgatlas/details.php?id=BSGatlas-gene-472","BSGatlas-gene-472")</f>
        <v>BSGatlas-gene-472</v>
      </c>
      <c r="B473" s="1" t="s">
        <v>451</v>
      </c>
      <c r="C473" s="1" t="s">
        <v>8</v>
      </c>
      <c r="D473" s="1">
        <v>436036</v>
      </c>
      <c r="E473" s="1">
        <v>437454</v>
      </c>
      <c r="F473" s="1" t="s">
        <v>13</v>
      </c>
      <c r="G473" s="1" t="s">
        <v>11409</v>
      </c>
    </row>
    <row r="474" spans="1:7" ht="21" x14ac:dyDescent="0.25">
      <c r="A474" s="2" t="str">
        <f>HYPERLINK("https://rth.dk/resources/bsgatlas/details.php?id=BSGatlas-gene-473","BSGatlas-gene-473")</f>
        <v>BSGatlas-gene-473</v>
      </c>
      <c r="B474" s="1" t="s">
        <v>452</v>
      </c>
      <c r="C474" s="1" t="s">
        <v>8</v>
      </c>
      <c r="D474" s="1">
        <v>437474</v>
      </c>
      <c r="E474" s="1">
        <v>438352</v>
      </c>
      <c r="F474" s="1" t="s">
        <v>13</v>
      </c>
      <c r="G474" s="1" t="s">
        <v>11409</v>
      </c>
    </row>
    <row r="475" spans="1:7" ht="21" x14ac:dyDescent="0.25">
      <c r="A475" s="2" t="str">
        <f>HYPERLINK("https://rth.dk/resources/bsgatlas/details.php?id=BSGatlas-gene-474","BSGatlas-gene-474")</f>
        <v>BSGatlas-gene-474</v>
      </c>
      <c r="B475" s="1" t="s">
        <v>453</v>
      </c>
      <c r="C475" s="1" t="s">
        <v>8</v>
      </c>
      <c r="D475" s="1">
        <v>438516</v>
      </c>
      <c r="E475" s="1">
        <v>439265</v>
      </c>
      <c r="F475" s="1" t="s">
        <v>13</v>
      </c>
      <c r="G475" s="1" t="s">
        <v>11409</v>
      </c>
    </row>
    <row r="476" spans="1:7" ht="21" x14ac:dyDescent="0.25">
      <c r="A476" s="2" t="str">
        <f>HYPERLINK("https://rth.dk/resources/bsgatlas/details.php?id=BSGatlas-gene-475","BSGatlas-gene-475")</f>
        <v>BSGatlas-gene-475</v>
      </c>
      <c r="B476" s="1" t="s">
        <v>454</v>
      </c>
      <c r="C476" s="1" t="s">
        <v>8</v>
      </c>
      <c r="D476" s="1">
        <v>439282</v>
      </c>
      <c r="E476" s="1">
        <v>439569</v>
      </c>
      <c r="F476" s="1" t="s">
        <v>13</v>
      </c>
      <c r="G476" s="1" t="s">
        <v>11409</v>
      </c>
    </row>
    <row r="477" spans="1:7" ht="21" x14ac:dyDescent="0.25">
      <c r="A477" s="2" t="str">
        <f>HYPERLINK("https://rth.dk/resources/bsgatlas/details.php?id=BSGatlas-gene-476","BSGatlas-gene-476")</f>
        <v>BSGatlas-gene-476</v>
      </c>
      <c r="B477" s="1" t="s">
        <v>455</v>
      </c>
      <c r="C477" s="1" t="s">
        <v>8</v>
      </c>
      <c r="D477" s="1">
        <v>439709</v>
      </c>
      <c r="E477" s="1">
        <v>440023</v>
      </c>
      <c r="F477" s="1" t="s">
        <v>9</v>
      </c>
      <c r="G477" s="1" t="s">
        <v>11409</v>
      </c>
    </row>
    <row r="478" spans="1:7" ht="21" x14ac:dyDescent="0.25">
      <c r="A478" s="2" t="str">
        <f>HYPERLINK("https://rth.dk/resources/bsgatlas/details.php?id=BSGatlas-gene-477","BSGatlas-gene-477")</f>
        <v>BSGatlas-gene-477</v>
      </c>
      <c r="B478" s="1" t="s">
        <v>456</v>
      </c>
      <c r="C478" s="1" t="s">
        <v>8</v>
      </c>
      <c r="D478" s="1">
        <v>440025</v>
      </c>
      <c r="E478" s="1">
        <v>441464</v>
      </c>
      <c r="F478" s="1" t="s">
        <v>13</v>
      </c>
      <c r="G478" s="1" t="s">
        <v>11409</v>
      </c>
    </row>
    <row r="479" spans="1:7" ht="21" x14ac:dyDescent="0.25">
      <c r="A479" s="2" t="str">
        <f>HYPERLINK("https://rth.dk/resources/bsgatlas/details.php?id=BSGatlas-gene-478","BSGatlas-gene-478")</f>
        <v>BSGatlas-gene-478</v>
      </c>
      <c r="B479" s="1" t="s">
        <v>457</v>
      </c>
      <c r="C479" s="1" t="s">
        <v>8</v>
      </c>
      <c r="D479" s="1">
        <v>441571</v>
      </c>
      <c r="E479" s="1">
        <v>442881</v>
      </c>
      <c r="F479" s="1" t="s">
        <v>9</v>
      </c>
      <c r="G479" s="1" t="s">
        <v>11409</v>
      </c>
    </row>
    <row r="480" spans="1:7" ht="21" x14ac:dyDescent="0.25">
      <c r="A480" s="2" t="str">
        <f>HYPERLINK("https://rth.dk/resources/bsgatlas/details.php?id=BSGatlas-gene-479","BSGatlas-gene-479")</f>
        <v>BSGatlas-gene-479</v>
      </c>
      <c r="B480" s="1" t="s">
        <v>458</v>
      </c>
      <c r="C480" s="1" t="s">
        <v>8</v>
      </c>
      <c r="D480" s="1">
        <v>442950</v>
      </c>
      <c r="E480" s="1">
        <v>444338</v>
      </c>
      <c r="F480" s="1" t="s">
        <v>9</v>
      </c>
      <c r="G480" s="1" t="s">
        <v>11409</v>
      </c>
    </row>
    <row r="481" spans="1:7" ht="21" x14ac:dyDescent="0.25">
      <c r="A481" s="2" t="str">
        <f>HYPERLINK("https://rth.dk/resources/bsgatlas/details.php?id=BSGatlas-gene-480","BSGatlas-gene-480")</f>
        <v>BSGatlas-gene-480</v>
      </c>
      <c r="B481" s="1" t="s">
        <v>459</v>
      </c>
      <c r="C481" s="1" t="s">
        <v>8</v>
      </c>
      <c r="D481" s="1">
        <v>444461</v>
      </c>
      <c r="E481" s="1">
        <v>445324</v>
      </c>
      <c r="F481" s="1" t="s">
        <v>9</v>
      </c>
      <c r="G481" s="1" t="s">
        <v>11409</v>
      </c>
    </row>
    <row r="482" spans="1:7" ht="21" x14ac:dyDescent="0.25">
      <c r="A482" s="2" t="str">
        <f>HYPERLINK("https://rth.dk/resources/bsgatlas/details.php?id=BSGatlas-gene-481","BSGatlas-gene-481")</f>
        <v>BSGatlas-gene-481</v>
      </c>
      <c r="B482" s="1" t="s">
        <v>460</v>
      </c>
      <c r="C482" s="1" t="s">
        <v>8</v>
      </c>
      <c r="D482" s="1">
        <v>445344</v>
      </c>
      <c r="E482" s="1">
        <v>446129</v>
      </c>
      <c r="F482" s="1" t="s">
        <v>9</v>
      </c>
      <c r="G482" s="1" t="s">
        <v>11409</v>
      </c>
    </row>
    <row r="483" spans="1:7" ht="21" x14ac:dyDescent="0.25">
      <c r="A483" s="2" t="str">
        <f>HYPERLINK("https://rth.dk/resources/bsgatlas/details.php?id=BSGatlas-gene-482","BSGatlas-gene-482")</f>
        <v>BSGatlas-gene-482</v>
      </c>
      <c r="B483" s="1" t="s">
        <v>461</v>
      </c>
      <c r="C483" s="1" t="s">
        <v>8</v>
      </c>
      <c r="D483" s="1">
        <v>446174</v>
      </c>
      <c r="E483" s="1">
        <v>446788</v>
      </c>
      <c r="F483" s="1" t="s">
        <v>13</v>
      </c>
      <c r="G483" s="1" t="s">
        <v>11409</v>
      </c>
    </row>
    <row r="484" spans="1:7" ht="21" x14ac:dyDescent="0.25">
      <c r="A484" s="2" t="str">
        <f>HYPERLINK("https://rth.dk/resources/bsgatlas/details.php?id=BSGatlas-gene-483","BSGatlas-gene-483")</f>
        <v>BSGatlas-gene-483</v>
      </c>
      <c r="B484" s="1" t="s">
        <v>462</v>
      </c>
      <c r="C484" s="1" t="s">
        <v>8</v>
      </c>
      <c r="D484" s="1">
        <v>446801</v>
      </c>
      <c r="E484" s="1">
        <v>448426</v>
      </c>
      <c r="F484" s="1" t="s">
        <v>13</v>
      </c>
      <c r="G484" s="1" t="s">
        <v>11409</v>
      </c>
    </row>
    <row r="485" spans="1:7" ht="21" x14ac:dyDescent="0.25">
      <c r="A485" s="2" t="str">
        <f>HYPERLINK("https://rth.dk/resources/bsgatlas/details.php?id=BSGatlas-gene-484","BSGatlas-gene-484")</f>
        <v>BSGatlas-gene-484</v>
      </c>
      <c r="B485" s="1" t="s">
        <v>463</v>
      </c>
      <c r="C485" s="1" t="s">
        <v>8</v>
      </c>
      <c r="D485" s="1">
        <v>448461</v>
      </c>
      <c r="E485" s="1">
        <v>449033</v>
      </c>
      <c r="F485" s="1" t="s">
        <v>13</v>
      </c>
      <c r="G485" s="1" t="s">
        <v>11409</v>
      </c>
    </row>
    <row r="486" spans="1:7" ht="21" x14ac:dyDescent="0.25">
      <c r="A486" s="2" t="str">
        <f>HYPERLINK("https://rth.dk/resources/bsgatlas/details.php?id=BSGatlas-gene-485","BSGatlas-gene-485")</f>
        <v>BSGatlas-gene-485</v>
      </c>
      <c r="B486" s="1" t="s">
        <v>464</v>
      </c>
      <c r="C486" s="1" t="s">
        <v>8</v>
      </c>
      <c r="D486" s="1">
        <v>449198</v>
      </c>
      <c r="E486" s="1">
        <v>449551</v>
      </c>
      <c r="F486" s="1" t="s">
        <v>9</v>
      </c>
      <c r="G486" s="1" t="s">
        <v>11409</v>
      </c>
    </row>
    <row r="487" spans="1:7" ht="21" x14ac:dyDescent="0.25">
      <c r="A487" s="2" t="str">
        <f>HYPERLINK("https://rth.dk/resources/bsgatlas/details.php?id=BSGatlas-gene-486","BSGatlas-gene-486")</f>
        <v>BSGatlas-gene-486</v>
      </c>
      <c r="B487" s="1" t="s">
        <v>465</v>
      </c>
      <c r="C487" s="1" t="s">
        <v>8</v>
      </c>
      <c r="D487" s="1">
        <v>449724</v>
      </c>
      <c r="E487" s="1">
        <v>451160</v>
      </c>
      <c r="F487" s="1" t="s">
        <v>9</v>
      </c>
      <c r="G487" s="1" t="s">
        <v>11409</v>
      </c>
    </row>
    <row r="488" spans="1:7" ht="21" x14ac:dyDescent="0.25">
      <c r="A488" s="2" t="str">
        <f>HYPERLINK("https://rth.dk/resources/bsgatlas/details.php?id=BSGatlas-gene-487","BSGatlas-gene-487")</f>
        <v>BSGatlas-gene-487</v>
      </c>
      <c r="B488" s="1" t="s">
        <v>466</v>
      </c>
      <c r="C488" s="1" t="s">
        <v>8</v>
      </c>
      <c r="D488" s="1">
        <v>451185</v>
      </c>
      <c r="E488" s="1">
        <v>451616</v>
      </c>
      <c r="F488" s="1" t="s">
        <v>9</v>
      </c>
      <c r="G488" s="1" t="s">
        <v>11409</v>
      </c>
    </row>
    <row r="489" spans="1:7" ht="21" x14ac:dyDescent="0.25">
      <c r="A489" s="2" t="str">
        <f>HYPERLINK("https://rth.dk/resources/bsgatlas/details.php?id=BSGatlas-gene-488","BSGatlas-gene-488")</f>
        <v>BSGatlas-gene-488</v>
      </c>
      <c r="B489" s="1" t="s">
        <v>467</v>
      </c>
      <c r="C489" s="1" t="s">
        <v>8</v>
      </c>
      <c r="D489" s="1">
        <v>451618</v>
      </c>
      <c r="E489" s="1">
        <v>452739</v>
      </c>
      <c r="F489" s="1" t="s">
        <v>9</v>
      </c>
      <c r="G489" s="1" t="s">
        <v>11409</v>
      </c>
    </row>
    <row r="490" spans="1:7" ht="21" x14ac:dyDescent="0.25">
      <c r="A490" s="2" t="str">
        <f>HYPERLINK("https://rth.dk/resources/bsgatlas/details.php?id=BSGatlas-gene-489","BSGatlas-gene-489")</f>
        <v>BSGatlas-gene-489</v>
      </c>
      <c r="B490" s="1" t="s">
        <v>468</v>
      </c>
      <c r="C490" s="1" t="s">
        <v>8</v>
      </c>
      <c r="D490" s="1">
        <v>452830</v>
      </c>
      <c r="E490" s="1">
        <v>453894</v>
      </c>
      <c r="F490" s="1" t="s">
        <v>9</v>
      </c>
      <c r="G490" s="1" t="s">
        <v>11409</v>
      </c>
    </row>
    <row r="491" spans="1:7" ht="21" x14ac:dyDescent="0.25">
      <c r="A491" s="2" t="str">
        <f>HYPERLINK("https://rth.dk/resources/bsgatlas/details.php?id=BSGatlas-gene-490","BSGatlas-gene-490")</f>
        <v>BSGatlas-gene-490</v>
      </c>
      <c r="B491" s="1" t="s">
        <v>469</v>
      </c>
      <c r="C491" s="1" t="s">
        <v>8</v>
      </c>
      <c r="D491" s="1">
        <v>454029</v>
      </c>
      <c r="E491" s="1">
        <v>454592</v>
      </c>
      <c r="F491" s="1" t="s">
        <v>9</v>
      </c>
      <c r="G491" s="1" t="s">
        <v>11409</v>
      </c>
    </row>
    <row r="492" spans="1:7" ht="21" x14ac:dyDescent="0.25">
      <c r="A492" s="2" t="str">
        <f>HYPERLINK("https://rth.dk/resources/bsgatlas/details.php?id=BSGatlas-gene-491","BSGatlas-gene-491")</f>
        <v>BSGatlas-gene-491</v>
      </c>
      <c r="B492" s="1" t="s">
        <v>470</v>
      </c>
      <c r="C492" s="1" t="s">
        <v>8</v>
      </c>
      <c r="D492" s="1">
        <v>454652</v>
      </c>
      <c r="E492" s="1">
        <v>455260</v>
      </c>
      <c r="F492" s="1" t="s">
        <v>13</v>
      </c>
      <c r="G492" s="1" t="s">
        <v>11409</v>
      </c>
    </row>
    <row r="493" spans="1:7" ht="21" x14ac:dyDescent="0.25">
      <c r="A493" s="2" t="str">
        <f>HYPERLINK("https://rth.dk/resources/bsgatlas/details.php?id=BSGatlas-gene-492","BSGatlas-gene-492")</f>
        <v>BSGatlas-gene-492</v>
      </c>
      <c r="B493" s="1" t="s">
        <v>471</v>
      </c>
      <c r="C493" s="1" t="s">
        <v>8</v>
      </c>
      <c r="D493" s="1">
        <v>455346</v>
      </c>
      <c r="E493" s="1">
        <v>455738</v>
      </c>
      <c r="F493" s="1" t="s">
        <v>9</v>
      </c>
      <c r="G493" s="1" t="s">
        <v>11409</v>
      </c>
    </row>
    <row r="494" spans="1:7" ht="21" x14ac:dyDescent="0.25">
      <c r="A494" s="2" t="str">
        <f>HYPERLINK("https://rth.dk/resources/bsgatlas/details.php?id=BSGatlas-gene-493","BSGatlas-gene-493")</f>
        <v>BSGatlas-gene-493</v>
      </c>
      <c r="B494" s="1" t="s">
        <v>472</v>
      </c>
      <c r="C494" s="1" t="s">
        <v>8</v>
      </c>
      <c r="D494" s="1">
        <v>455771</v>
      </c>
      <c r="E494" s="1">
        <v>455935</v>
      </c>
      <c r="F494" s="1" t="s">
        <v>13</v>
      </c>
      <c r="G494" s="1" t="s">
        <v>11409</v>
      </c>
    </row>
    <row r="495" spans="1:7" ht="21" x14ac:dyDescent="0.25">
      <c r="A495" s="2" t="str">
        <f>HYPERLINK("https://rth.dk/resources/bsgatlas/details.php?id=BSGatlas-gene-494","BSGatlas-gene-494")</f>
        <v>BSGatlas-gene-494</v>
      </c>
      <c r="B495" s="1" t="s">
        <v>473</v>
      </c>
      <c r="C495" s="1" t="s">
        <v>8</v>
      </c>
      <c r="D495" s="1">
        <v>456068</v>
      </c>
      <c r="E495" s="1">
        <v>456817</v>
      </c>
      <c r="F495" s="1" t="s">
        <v>9</v>
      </c>
      <c r="G495" s="1" t="s">
        <v>11409</v>
      </c>
    </row>
    <row r="496" spans="1:7" ht="21" x14ac:dyDescent="0.25">
      <c r="A496" s="2" t="str">
        <f>HYPERLINK("https://rth.dk/resources/bsgatlas/details.php?id=BSGatlas-gene-495","BSGatlas-gene-495")</f>
        <v>BSGatlas-gene-495</v>
      </c>
      <c r="B496" s="1" t="s">
        <v>474</v>
      </c>
      <c r="C496" s="1" t="s">
        <v>8</v>
      </c>
      <c r="D496" s="1">
        <v>457023</v>
      </c>
      <c r="E496" s="1">
        <v>457796</v>
      </c>
      <c r="F496" s="1" t="s">
        <v>9</v>
      </c>
      <c r="G496" s="1" t="s">
        <v>11409</v>
      </c>
    </row>
    <row r="497" spans="1:7" ht="21" x14ac:dyDescent="0.25">
      <c r="A497" s="2" t="str">
        <f>HYPERLINK("https://rth.dk/resources/bsgatlas/details.php?id=BSGatlas-gene-496","BSGatlas-gene-496")</f>
        <v>BSGatlas-gene-496</v>
      </c>
      <c r="B497" s="1" t="s">
        <v>475</v>
      </c>
      <c r="C497" s="1" t="s">
        <v>8</v>
      </c>
      <c r="D497" s="1">
        <v>457811</v>
      </c>
      <c r="E497" s="1">
        <v>459025</v>
      </c>
      <c r="F497" s="1" t="s">
        <v>9</v>
      </c>
      <c r="G497" s="1" t="s">
        <v>11409</v>
      </c>
    </row>
    <row r="498" spans="1:7" ht="21" x14ac:dyDescent="0.25">
      <c r="A498" s="2" t="str">
        <f>HYPERLINK("https://rth.dk/resources/bsgatlas/details.php?id=BSGatlas-gene-497","BSGatlas-gene-497")</f>
        <v>BSGatlas-gene-497</v>
      </c>
      <c r="B498" s="1" t="s">
        <v>476</v>
      </c>
      <c r="C498" s="1" t="s">
        <v>8</v>
      </c>
      <c r="D498" s="1">
        <v>459049</v>
      </c>
      <c r="E498" s="1">
        <v>459822</v>
      </c>
      <c r="F498" s="1" t="s">
        <v>9</v>
      </c>
      <c r="G498" s="1" t="s">
        <v>11409</v>
      </c>
    </row>
    <row r="499" spans="1:7" ht="21" x14ac:dyDescent="0.25">
      <c r="A499" s="2" t="str">
        <f>HYPERLINK("https://rth.dk/resources/bsgatlas/details.php?id=BSGatlas-gene-498","BSGatlas-gene-498")</f>
        <v>BSGatlas-gene-498</v>
      </c>
      <c r="B499" s="1" t="s">
        <v>477</v>
      </c>
      <c r="C499" s="1" t="s">
        <v>8</v>
      </c>
      <c r="D499" s="1">
        <v>459867</v>
      </c>
      <c r="E499" s="1">
        <v>460589</v>
      </c>
      <c r="F499" s="1" t="s">
        <v>9</v>
      </c>
      <c r="G499" s="1" t="s">
        <v>11409</v>
      </c>
    </row>
    <row r="500" spans="1:7" ht="21" x14ac:dyDescent="0.25">
      <c r="A500" s="2" t="str">
        <f>HYPERLINK("https://rth.dk/resources/bsgatlas/details.php?id=BSGatlas-gene-499","BSGatlas-gene-499")</f>
        <v>BSGatlas-gene-499</v>
      </c>
      <c r="B500" s="1" t="s">
        <v>478</v>
      </c>
      <c r="C500" s="1" t="s">
        <v>8</v>
      </c>
      <c r="D500" s="1">
        <v>460592</v>
      </c>
      <c r="E500" s="1">
        <v>461599</v>
      </c>
      <c r="F500" s="1" t="s">
        <v>9</v>
      </c>
      <c r="G500" s="1" t="s">
        <v>11409</v>
      </c>
    </row>
    <row r="501" spans="1:7" ht="21" x14ac:dyDescent="0.25">
      <c r="A501" s="2" t="str">
        <f>HYPERLINK("https://rth.dk/resources/bsgatlas/details.php?id=BSGatlas-gene-500","BSGatlas-gene-500")</f>
        <v>BSGatlas-gene-500</v>
      </c>
      <c r="B501" s="1" t="s">
        <v>479</v>
      </c>
      <c r="C501" s="1" t="s">
        <v>8</v>
      </c>
      <c r="D501" s="1">
        <v>461615</v>
      </c>
      <c r="E501" s="1">
        <v>462367</v>
      </c>
      <c r="F501" s="1" t="s">
        <v>9</v>
      </c>
      <c r="G501" s="1" t="s">
        <v>11409</v>
      </c>
    </row>
    <row r="502" spans="1:7" ht="21" x14ac:dyDescent="0.25">
      <c r="A502" s="2" t="str">
        <f>HYPERLINK("https://rth.dk/resources/bsgatlas/details.php?id=BSGatlas-gene-501","BSGatlas-gene-501")</f>
        <v>BSGatlas-gene-501</v>
      </c>
      <c r="B502" s="1" t="s">
        <v>480</v>
      </c>
      <c r="C502" s="1" t="s">
        <v>8</v>
      </c>
      <c r="D502" s="1">
        <v>462431</v>
      </c>
      <c r="E502" s="1">
        <v>463072</v>
      </c>
      <c r="F502" s="1" t="s">
        <v>9</v>
      </c>
      <c r="G502" s="1" t="s">
        <v>11409</v>
      </c>
    </row>
    <row r="503" spans="1:7" ht="21" x14ac:dyDescent="0.25">
      <c r="A503" s="2" t="str">
        <f>HYPERLINK("https://rth.dk/resources/bsgatlas/details.php?id=BSGatlas-gene-502","BSGatlas-gene-502")</f>
        <v>BSGatlas-gene-502</v>
      </c>
      <c r="B503" s="1" t="s">
        <v>482</v>
      </c>
      <c r="C503" s="1" t="s">
        <v>8</v>
      </c>
      <c r="D503" s="1">
        <v>463245</v>
      </c>
      <c r="E503" s="1">
        <v>463490</v>
      </c>
      <c r="F503" s="1" t="s">
        <v>9</v>
      </c>
      <c r="G503" s="1" t="s">
        <v>11409</v>
      </c>
    </row>
    <row r="504" spans="1:7" ht="21" x14ac:dyDescent="0.25">
      <c r="A504" s="2" t="str">
        <f>HYPERLINK("https://rth.dk/resources/bsgatlas/details.php?id=BSGatlas-gene-503","BSGatlas-gene-503")</f>
        <v>BSGatlas-gene-503</v>
      </c>
      <c r="B504" s="1" t="s">
        <v>481</v>
      </c>
      <c r="C504" s="1" t="s">
        <v>8</v>
      </c>
      <c r="D504" s="1">
        <v>463496</v>
      </c>
      <c r="E504" s="1">
        <v>463783</v>
      </c>
      <c r="F504" s="1" t="s">
        <v>13</v>
      </c>
      <c r="G504" s="1" t="s">
        <v>11409</v>
      </c>
    </row>
    <row r="505" spans="1:7" ht="21" x14ac:dyDescent="0.25">
      <c r="A505" s="2" t="str">
        <f>HYPERLINK("https://rth.dk/resources/bsgatlas/details.php?id=BSGatlas-gene-504","BSGatlas-gene-504")</f>
        <v>BSGatlas-gene-504</v>
      </c>
      <c r="B505" s="1" t="s">
        <v>483</v>
      </c>
      <c r="C505" s="1" t="s">
        <v>8</v>
      </c>
      <c r="D505" s="1">
        <v>463934</v>
      </c>
      <c r="E505" s="1">
        <v>465940</v>
      </c>
      <c r="F505" s="1" t="s">
        <v>9</v>
      </c>
      <c r="G505" s="1" t="s">
        <v>11409</v>
      </c>
    </row>
    <row r="506" spans="1:7" ht="21" x14ac:dyDescent="0.25">
      <c r="A506" s="2" t="str">
        <f>HYPERLINK("https://rth.dk/resources/bsgatlas/details.php?id=BSGatlas-gene-505","BSGatlas-gene-505")</f>
        <v>BSGatlas-gene-505</v>
      </c>
      <c r="B506" s="1" t="s">
        <v>484</v>
      </c>
      <c r="C506" s="1" t="s">
        <v>8</v>
      </c>
      <c r="D506" s="1">
        <v>466042</v>
      </c>
      <c r="E506" s="1">
        <v>466944</v>
      </c>
      <c r="F506" s="1" t="s">
        <v>9</v>
      </c>
      <c r="G506" s="1" t="s">
        <v>11409</v>
      </c>
    </row>
    <row r="507" spans="1:7" ht="21" x14ac:dyDescent="0.25">
      <c r="A507" s="2" t="str">
        <f>HYPERLINK("https://rth.dk/resources/bsgatlas/details.php?id=BSGatlas-gene-506","BSGatlas-gene-506")</f>
        <v>BSGatlas-gene-506</v>
      </c>
      <c r="B507" s="1" t="s">
        <v>485</v>
      </c>
      <c r="C507" s="1" t="s">
        <v>8</v>
      </c>
      <c r="D507" s="1">
        <v>467130</v>
      </c>
      <c r="E507" s="1">
        <v>469214</v>
      </c>
      <c r="F507" s="1" t="s">
        <v>9</v>
      </c>
      <c r="G507" s="1" t="s">
        <v>11409</v>
      </c>
    </row>
    <row r="508" spans="1:7" ht="21" x14ac:dyDescent="0.25">
      <c r="A508" s="2" t="str">
        <f>HYPERLINK("https://rth.dk/resources/bsgatlas/details.php?id=BSGatlas-gene-507","BSGatlas-gene-507")</f>
        <v>BSGatlas-gene-507</v>
      </c>
      <c r="B508" s="1" t="s">
        <v>486</v>
      </c>
      <c r="C508" s="1" t="s">
        <v>8</v>
      </c>
      <c r="D508" s="1">
        <v>469426</v>
      </c>
      <c r="E508" s="1">
        <v>470937</v>
      </c>
      <c r="F508" s="1" t="s">
        <v>9</v>
      </c>
      <c r="G508" s="1" t="s">
        <v>11409</v>
      </c>
    </row>
    <row r="509" spans="1:7" ht="21" x14ac:dyDescent="0.25">
      <c r="A509" s="2" t="str">
        <f>HYPERLINK("https://rth.dk/resources/bsgatlas/details.php?id=BSGatlas-gene-508","BSGatlas-gene-508")</f>
        <v>BSGatlas-gene-508</v>
      </c>
      <c r="B509" s="1" t="s">
        <v>487</v>
      </c>
      <c r="C509" s="1" t="s">
        <v>8</v>
      </c>
      <c r="D509" s="1">
        <v>470957</v>
      </c>
      <c r="E509" s="1">
        <v>471502</v>
      </c>
      <c r="F509" s="1" t="s">
        <v>13</v>
      </c>
      <c r="G509" s="1" t="s">
        <v>11409</v>
      </c>
    </row>
    <row r="510" spans="1:7" ht="21" x14ac:dyDescent="0.25">
      <c r="A510" s="2" t="str">
        <f>HYPERLINK("https://rth.dk/resources/bsgatlas/details.php?id=BSGatlas-gene-509","BSGatlas-gene-509")</f>
        <v>BSGatlas-gene-509</v>
      </c>
      <c r="B510" s="1" t="s">
        <v>488</v>
      </c>
      <c r="C510" s="1" t="s">
        <v>8</v>
      </c>
      <c r="D510" s="1">
        <v>471709</v>
      </c>
      <c r="E510" s="1">
        <v>472569</v>
      </c>
      <c r="F510" s="1" t="s">
        <v>9</v>
      </c>
      <c r="G510" s="1" t="s">
        <v>11409</v>
      </c>
    </row>
    <row r="511" spans="1:7" ht="21" x14ac:dyDescent="0.25">
      <c r="A511" s="2" t="str">
        <f>HYPERLINK("https://rth.dk/resources/bsgatlas/details.php?id=BSGatlas-gene-510","BSGatlas-gene-510")</f>
        <v>BSGatlas-gene-510</v>
      </c>
      <c r="B511" s="1" t="s">
        <v>489</v>
      </c>
      <c r="C511" s="1" t="s">
        <v>8</v>
      </c>
      <c r="D511" s="1">
        <v>472585</v>
      </c>
      <c r="E511" s="1">
        <v>473088</v>
      </c>
      <c r="F511" s="1" t="s">
        <v>9</v>
      </c>
      <c r="G511" s="1" t="s">
        <v>11409</v>
      </c>
    </row>
    <row r="512" spans="1:7" ht="21" x14ac:dyDescent="0.25">
      <c r="A512" s="2" t="str">
        <f>HYPERLINK("https://rth.dk/resources/bsgatlas/details.php?id=BSGatlas-gene-511","BSGatlas-gene-511")</f>
        <v>BSGatlas-gene-511</v>
      </c>
      <c r="B512" s="1" t="s">
        <v>490</v>
      </c>
      <c r="C512" s="1" t="s">
        <v>8</v>
      </c>
      <c r="D512" s="1">
        <v>473174</v>
      </c>
      <c r="E512" s="1">
        <v>473725</v>
      </c>
      <c r="F512" s="1" t="s">
        <v>9</v>
      </c>
      <c r="G512" s="1" t="s">
        <v>11409</v>
      </c>
    </row>
    <row r="513" spans="1:7" ht="21" x14ac:dyDescent="0.25">
      <c r="A513" s="2" t="str">
        <f>HYPERLINK("https://rth.dk/resources/bsgatlas/details.php?id=BSGatlas-gene-512","BSGatlas-gene-512")</f>
        <v>BSGatlas-gene-512</v>
      </c>
      <c r="B513" s="1" t="s">
        <v>491</v>
      </c>
      <c r="C513" s="1" t="s">
        <v>8</v>
      </c>
      <c r="D513" s="1">
        <v>473803</v>
      </c>
      <c r="E513" s="1">
        <v>474225</v>
      </c>
      <c r="F513" s="1" t="s">
        <v>9</v>
      </c>
      <c r="G513" s="1" t="s">
        <v>11409</v>
      </c>
    </row>
    <row r="514" spans="1:7" ht="21" x14ac:dyDescent="0.25">
      <c r="A514" s="2" t="str">
        <f>HYPERLINK("https://rth.dk/resources/bsgatlas/details.php?id=BSGatlas-gene-513","BSGatlas-gene-513")</f>
        <v>BSGatlas-gene-513</v>
      </c>
      <c r="B514" s="1" t="s">
        <v>492</v>
      </c>
      <c r="C514" s="1" t="s">
        <v>12</v>
      </c>
      <c r="D514" s="1">
        <v>474268</v>
      </c>
      <c r="E514" s="1">
        <v>474634</v>
      </c>
      <c r="F514" s="1" t="s">
        <v>9</v>
      </c>
      <c r="G514" s="1" t="s">
        <v>11406</v>
      </c>
    </row>
    <row r="515" spans="1:7" ht="21" x14ac:dyDescent="0.25">
      <c r="A515" s="2" t="str">
        <f>HYPERLINK("https://rth.dk/resources/bsgatlas/details.php?id=BSGatlas-gene-514","BSGatlas-gene-514")</f>
        <v>BSGatlas-gene-514</v>
      </c>
      <c r="B515" s="1" t="s">
        <v>493</v>
      </c>
      <c r="C515" s="1" t="s">
        <v>55</v>
      </c>
      <c r="D515" s="1">
        <v>474329</v>
      </c>
      <c r="E515" s="1">
        <v>474597</v>
      </c>
      <c r="F515" s="1" t="s">
        <v>13</v>
      </c>
      <c r="G515" s="1" t="s">
        <v>11411</v>
      </c>
    </row>
    <row r="516" spans="1:7" ht="21" x14ac:dyDescent="0.25">
      <c r="A516" s="2" t="str">
        <f>HYPERLINK("https://rth.dk/resources/bsgatlas/details.php?id=BSGatlas-gene-515","BSGatlas-gene-515")</f>
        <v>BSGatlas-gene-515</v>
      </c>
      <c r="B516" s="1" t="s">
        <v>494</v>
      </c>
      <c r="C516" s="1" t="s">
        <v>8</v>
      </c>
      <c r="D516" s="1">
        <v>474731</v>
      </c>
      <c r="E516" s="1">
        <v>475540</v>
      </c>
      <c r="F516" s="1" t="s">
        <v>9</v>
      </c>
      <c r="G516" s="1" t="s">
        <v>11409</v>
      </c>
    </row>
    <row r="517" spans="1:7" ht="21" x14ac:dyDescent="0.25">
      <c r="A517" s="2" t="str">
        <f>HYPERLINK("https://rth.dk/resources/bsgatlas/details.php?id=BSGatlas-gene-516","BSGatlas-gene-516")</f>
        <v>BSGatlas-gene-516</v>
      </c>
      <c r="B517" s="1" t="s">
        <v>495</v>
      </c>
      <c r="C517" s="1" t="s">
        <v>8</v>
      </c>
      <c r="D517" s="1">
        <v>475584</v>
      </c>
      <c r="E517" s="1">
        <v>475874</v>
      </c>
      <c r="F517" s="1" t="s">
        <v>13</v>
      </c>
      <c r="G517" s="1" t="s">
        <v>11409</v>
      </c>
    </row>
    <row r="518" spans="1:7" ht="21" x14ac:dyDescent="0.25">
      <c r="A518" s="2" t="str">
        <f>HYPERLINK("https://rth.dk/resources/bsgatlas/details.php?id=BSGatlas-gene-517","BSGatlas-gene-517")</f>
        <v>BSGatlas-gene-517</v>
      </c>
      <c r="B518" s="1" t="s">
        <v>496</v>
      </c>
      <c r="C518" s="1" t="s">
        <v>8</v>
      </c>
      <c r="D518" s="1">
        <v>476059</v>
      </c>
      <c r="E518" s="1">
        <v>476493</v>
      </c>
      <c r="F518" s="1" t="s">
        <v>9</v>
      </c>
      <c r="G518" s="1" t="s">
        <v>11409</v>
      </c>
    </row>
    <row r="519" spans="1:7" ht="21" x14ac:dyDescent="0.25">
      <c r="A519" s="2" t="str">
        <f>HYPERLINK("https://rth.dk/resources/bsgatlas/details.php?id=BSGatlas-gene-518","BSGatlas-gene-518")</f>
        <v>BSGatlas-gene-518</v>
      </c>
      <c r="B519" s="1" t="s">
        <v>497</v>
      </c>
      <c r="C519" s="1" t="s">
        <v>8</v>
      </c>
      <c r="D519" s="1">
        <v>476558</v>
      </c>
      <c r="E519" s="1">
        <v>478741</v>
      </c>
      <c r="F519" s="1" t="s">
        <v>9</v>
      </c>
      <c r="G519" s="1" t="s">
        <v>11409</v>
      </c>
    </row>
    <row r="520" spans="1:7" ht="21" x14ac:dyDescent="0.25">
      <c r="A520" s="2" t="str">
        <f>HYPERLINK("https://rth.dk/resources/bsgatlas/details.php?id=BSGatlas-gene-519","BSGatlas-gene-519")</f>
        <v>BSGatlas-gene-519</v>
      </c>
      <c r="B520" s="1" t="s">
        <v>498</v>
      </c>
      <c r="C520" s="1" t="s">
        <v>8</v>
      </c>
      <c r="D520" s="1">
        <v>478944</v>
      </c>
      <c r="E520" s="1">
        <v>480032</v>
      </c>
      <c r="F520" s="1" t="s">
        <v>9</v>
      </c>
      <c r="G520" s="1" t="s">
        <v>11409</v>
      </c>
    </row>
    <row r="521" spans="1:7" ht="21" x14ac:dyDescent="0.25">
      <c r="A521" s="2" t="str">
        <f>HYPERLINK("https://rth.dk/resources/bsgatlas/details.php?id=BSGatlas-gene-520","BSGatlas-gene-520")</f>
        <v>BSGatlas-gene-520</v>
      </c>
      <c r="B521" s="1" t="s">
        <v>499</v>
      </c>
      <c r="C521" s="1" t="s">
        <v>8</v>
      </c>
      <c r="D521" s="1">
        <v>480013</v>
      </c>
      <c r="E521" s="1">
        <v>480864</v>
      </c>
      <c r="F521" s="1" t="s">
        <v>9</v>
      </c>
      <c r="G521" s="1" t="s">
        <v>11409</v>
      </c>
    </row>
    <row r="522" spans="1:7" ht="21" x14ac:dyDescent="0.25">
      <c r="A522" s="2" t="str">
        <f>HYPERLINK("https://rth.dk/resources/bsgatlas/details.php?id=BSGatlas-gene-521","BSGatlas-gene-521")</f>
        <v>BSGatlas-gene-521</v>
      </c>
      <c r="B522" s="1" t="s">
        <v>500</v>
      </c>
      <c r="C522" s="1" t="s">
        <v>8</v>
      </c>
      <c r="D522" s="1">
        <v>480875</v>
      </c>
      <c r="E522" s="1">
        <v>482584</v>
      </c>
      <c r="F522" s="1" t="s">
        <v>9</v>
      </c>
      <c r="G522" s="1" t="s">
        <v>11409</v>
      </c>
    </row>
    <row r="523" spans="1:7" ht="21" x14ac:dyDescent="0.25">
      <c r="A523" s="2" t="str">
        <f>HYPERLINK("https://rth.dk/resources/bsgatlas/details.php?id=BSGatlas-gene-522","BSGatlas-gene-522")</f>
        <v>BSGatlas-gene-522</v>
      </c>
      <c r="B523" s="1" t="s">
        <v>501</v>
      </c>
      <c r="C523" s="1" t="s">
        <v>8</v>
      </c>
      <c r="D523" s="1">
        <v>482577</v>
      </c>
      <c r="E523" s="1">
        <v>483839</v>
      </c>
      <c r="F523" s="1" t="s">
        <v>9</v>
      </c>
      <c r="G523" s="1" t="s">
        <v>11409</v>
      </c>
    </row>
    <row r="524" spans="1:7" ht="21" x14ac:dyDescent="0.25">
      <c r="A524" s="2" t="str">
        <f>HYPERLINK("https://rth.dk/resources/bsgatlas/details.php?id=BSGatlas-gene-523","BSGatlas-gene-523")</f>
        <v>BSGatlas-gene-523</v>
      </c>
      <c r="B524" s="1" t="s">
        <v>502</v>
      </c>
      <c r="C524" s="1" t="s">
        <v>8</v>
      </c>
      <c r="D524" s="1">
        <v>483845</v>
      </c>
      <c r="E524" s="1">
        <v>485956</v>
      </c>
      <c r="F524" s="1" t="s">
        <v>9</v>
      </c>
      <c r="G524" s="1" t="s">
        <v>11409</v>
      </c>
    </row>
    <row r="525" spans="1:7" ht="21" x14ac:dyDescent="0.25">
      <c r="A525" s="2" t="str">
        <f>HYPERLINK("https://rth.dk/resources/bsgatlas/details.php?id=BSGatlas-gene-524","BSGatlas-gene-524")</f>
        <v>BSGatlas-gene-524</v>
      </c>
      <c r="B525" s="1" t="s">
        <v>504</v>
      </c>
      <c r="C525" s="1" t="s">
        <v>34</v>
      </c>
      <c r="D525" s="1">
        <v>486091</v>
      </c>
      <c r="E525" s="1">
        <v>486235</v>
      </c>
      <c r="F525" s="1" t="s">
        <v>9</v>
      </c>
      <c r="G525" s="1" t="s">
        <v>11412</v>
      </c>
    </row>
    <row r="526" spans="1:7" ht="21" x14ac:dyDescent="0.25">
      <c r="A526" s="2" t="str">
        <f>HYPERLINK("https://rth.dk/resources/bsgatlas/details.php?id=BSGatlas-gene-525","BSGatlas-gene-525")</f>
        <v>BSGatlas-gene-525</v>
      </c>
      <c r="B526" s="1" t="s">
        <v>503</v>
      </c>
      <c r="C526" s="1" t="s">
        <v>8</v>
      </c>
      <c r="D526" s="1">
        <v>486432</v>
      </c>
      <c r="E526" s="1">
        <v>488255</v>
      </c>
      <c r="F526" s="1" t="s">
        <v>9</v>
      </c>
      <c r="G526" s="1" t="s">
        <v>11409</v>
      </c>
    </row>
    <row r="527" spans="1:7" ht="21" x14ac:dyDescent="0.25">
      <c r="A527" s="2" t="str">
        <f>HYPERLINK("https://rth.dk/resources/bsgatlas/details.php?id=BSGatlas-gene-526","BSGatlas-gene-526")</f>
        <v>BSGatlas-gene-526</v>
      </c>
      <c r="B527" s="1" t="s">
        <v>11448</v>
      </c>
      <c r="C527" s="1" t="s">
        <v>8</v>
      </c>
      <c r="D527" s="1">
        <v>488314</v>
      </c>
      <c r="E527" s="1">
        <v>488763</v>
      </c>
      <c r="F527" s="1" t="s">
        <v>9</v>
      </c>
      <c r="G527" s="1" t="s">
        <v>11409</v>
      </c>
    </row>
    <row r="528" spans="1:7" ht="21" x14ac:dyDescent="0.25">
      <c r="A528" s="2" t="str">
        <f>HYPERLINK("https://rth.dk/resources/bsgatlas/details.php?id=BSGatlas-gene-527","BSGatlas-gene-527")</f>
        <v>BSGatlas-gene-527</v>
      </c>
      <c r="B528" s="1" t="s">
        <v>505</v>
      </c>
      <c r="C528" s="1" t="s">
        <v>8</v>
      </c>
      <c r="D528" s="1">
        <v>488830</v>
      </c>
      <c r="E528" s="1">
        <v>490554</v>
      </c>
      <c r="F528" s="1" t="s">
        <v>9</v>
      </c>
      <c r="G528" s="1" t="s">
        <v>11409</v>
      </c>
    </row>
    <row r="529" spans="1:7" ht="21" x14ac:dyDescent="0.25">
      <c r="A529" s="2" t="str">
        <f>HYPERLINK("https://rth.dk/resources/bsgatlas/details.php?id=BSGatlas-gene-528","BSGatlas-gene-528")</f>
        <v>BSGatlas-gene-528</v>
      </c>
      <c r="B529" s="1" t="s">
        <v>506</v>
      </c>
      <c r="C529" s="1" t="s">
        <v>12</v>
      </c>
      <c r="D529" s="1">
        <v>490527</v>
      </c>
      <c r="E529" s="1">
        <v>490638</v>
      </c>
      <c r="F529" s="1" t="s">
        <v>13</v>
      </c>
      <c r="G529" s="1" t="s">
        <v>11406</v>
      </c>
    </row>
    <row r="530" spans="1:7" ht="21" x14ac:dyDescent="0.25">
      <c r="A530" s="2" t="str">
        <f>HYPERLINK("https://rth.dk/resources/bsgatlas/details.php?id=BSGatlas-gene-529","BSGatlas-gene-529")</f>
        <v>BSGatlas-gene-529</v>
      </c>
      <c r="B530" s="1" t="s">
        <v>318</v>
      </c>
      <c r="C530" s="1" t="s">
        <v>8</v>
      </c>
      <c r="D530" s="1">
        <v>490546</v>
      </c>
      <c r="E530" s="1">
        <v>490749</v>
      </c>
      <c r="F530" s="1" t="s">
        <v>13</v>
      </c>
      <c r="G530" s="1" t="s">
        <v>11441</v>
      </c>
    </row>
    <row r="531" spans="1:7" ht="21" x14ac:dyDescent="0.25">
      <c r="A531" s="2" t="str">
        <f>HYPERLINK("https://rth.dk/resources/bsgatlas/details.php?id=BSGatlas-gene-530","BSGatlas-gene-530")</f>
        <v>BSGatlas-gene-530</v>
      </c>
      <c r="B531" s="1" t="s">
        <v>507</v>
      </c>
      <c r="C531" s="1" t="s">
        <v>12</v>
      </c>
      <c r="D531" s="1">
        <v>490639</v>
      </c>
      <c r="E531" s="1">
        <v>490854</v>
      </c>
      <c r="F531" s="1" t="s">
        <v>9</v>
      </c>
      <c r="G531" s="1" t="s">
        <v>11406</v>
      </c>
    </row>
    <row r="532" spans="1:7" ht="21" x14ac:dyDescent="0.25">
      <c r="A532" s="2" t="str">
        <f>HYPERLINK("https://rth.dk/resources/bsgatlas/details.php?id=BSGatlas-gene-531","BSGatlas-gene-531")</f>
        <v>BSGatlas-gene-531</v>
      </c>
      <c r="B532" s="1" t="s">
        <v>508</v>
      </c>
      <c r="C532" s="1" t="s">
        <v>8</v>
      </c>
      <c r="D532" s="1">
        <v>490777</v>
      </c>
      <c r="E532" s="1">
        <v>491043</v>
      </c>
      <c r="F532" s="1" t="s">
        <v>13</v>
      </c>
      <c r="G532" s="1" t="s">
        <v>11409</v>
      </c>
    </row>
    <row r="533" spans="1:7" ht="21" x14ac:dyDescent="0.25">
      <c r="A533" s="2" t="str">
        <f>HYPERLINK("https://rth.dk/resources/bsgatlas/details.php?id=BSGatlas-gene-532","BSGatlas-gene-532")</f>
        <v>BSGatlas-gene-532</v>
      </c>
      <c r="B533" s="1" t="s">
        <v>509</v>
      </c>
      <c r="C533" s="1" t="s">
        <v>8</v>
      </c>
      <c r="D533" s="1">
        <v>491147</v>
      </c>
      <c r="E533" s="1">
        <v>492424</v>
      </c>
      <c r="F533" s="1" t="s">
        <v>13</v>
      </c>
      <c r="G533" s="1" t="s">
        <v>11409</v>
      </c>
    </row>
    <row r="534" spans="1:7" ht="21" x14ac:dyDescent="0.25">
      <c r="A534" s="2" t="str">
        <f>HYPERLINK("https://rth.dk/resources/bsgatlas/details.php?id=BSGatlas-gene-533","BSGatlas-gene-533")</f>
        <v>BSGatlas-gene-533</v>
      </c>
      <c r="B534" s="1" t="s">
        <v>510</v>
      </c>
      <c r="C534" s="1" t="s">
        <v>8</v>
      </c>
      <c r="D534" s="1">
        <v>492654</v>
      </c>
      <c r="E534" s="1">
        <v>492911</v>
      </c>
      <c r="F534" s="1" t="s">
        <v>13</v>
      </c>
      <c r="G534" s="1" t="s">
        <v>11409</v>
      </c>
    </row>
    <row r="535" spans="1:7" ht="21" x14ac:dyDescent="0.25">
      <c r="A535" s="2" t="str">
        <f>HYPERLINK("https://rth.dk/resources/bsgatlas/details.php?id=BSGatlas-gene-534","BSGatlas-gene-534")</f>
        <v>BSGatlas-gene-534</v>
      </c>
      <c r="B535" s="1" t="s">
        <v>511</v>
      </c>
      <c r="C535" s="1" t="s">
        <v>8</v>
      </c>
      <c r="D535" s="1">
        <v>492989</v>
      </c>
      <c r="E535" s="1">
        <v>493441</v>
      </c>
      <c r="F535" s="1" t="s">
        <v>13</v>
      </c>
      <c r="G535" s="1" t="s">
        <v>11409</v>
      </c>
    </row>
    <row r="536" spans="1:7" ht="21" x14ac:dyDescent="0.25">
      <c r="A536" s="2" t="str">
        <f>HYPERLINK("https://rth.dk/resources/bsgatlas/details.php?id=BSGatlas-gene-535","BSGatlas-gene-535")</f>
        <v>BSGatlas-gene-535</v>
      </c>
      <c r="B536" s="1" t="s">
        <v>512</v>
      </c>
      <c r="C536" s="1" t="s">
        <v>8</v>
      </c>
      <c r="D536" s="1">
        <v>493559</v>
      </c>
      <c r="E536" s="1">
        <v>494377</v>
      </c>
      <c r="F536" s="1" t="s">
        <v>9</v>
      </c>
      <c r="G536" s="1" t="s">
        <v>11409</v>
      </c>
    </row>
    <row r="537" spans="1:7" ht="21" x14ac:dyDescent="0.25">
      <c r="A537" s="2" t="str">
        <f>HYPERLINK("https://rth.dk/resources/bsgatlas/details.php?id=BSGatlas-gene-536","BSGatlas-gene-536")</f>
        <v>BSGatlas-gene-536</v>
      </c>
      <c r="B537" s="1" t="s">
        <v>513</v>
      </c>
      <c r="C537" s="1" t="s">
        <v>8</v>
      </c>
      <c r="D537" s="1">
        <v>494506</v>
      </c>
      <c r="E537" s="1">
        <v>494877</v>
      </c>
      <c r="F537" s="1" t="s">
        <v>9</v>
      </c>
      <c r="G537" s="1" t="s">
        <v>11409</v>
      </c>
    </row>
    <row r="538" spans="1:7" ht="21" x14ac:dyDescent="0.25">
      <c r="A538" s="2" t="str">
        <f>HYPERLINK("https://rth.dk/resources/bsgatlas/details.php?id=BSGatlas-gene-537","BSGatlas-gene-537")</f>
        <v>BSGatlas-gene-537</v>
      </c>
      <c r="B538" s="1" t="s">
        <v>516</v>
      </c>
      <c r="C538" s="1" t="s">
        <v>8</v>
      </c>
      <c r="D538" s="1">
        <v>495009</v>
      </c>
      <c r="E538" s="1">
        <v>495350</v>
      </c>
      <c r="F538" s="1" t="s">
        <v>9</v>
      </c>
      <c r="G538" s="1" t="s">
        <v>11409</v>
      </c>
    </row>
    <row r="539" spans="1:7" ht="21" x14ac:dyDescent="0.25">
      <c r="A539" s="2" t="str">
        <f>HYPERLINK("https://rth.dk/resources/bsgatlas/details.php?id=BSGatlas-gene-538","BSGatlas-gene-538")</f>
        <v>BSGatlas-gene-538</v>
      </c>
      <c r="B539" s="1" t="s">
        <v>517</v>
      </c>
      <c r="C539" s="1" t="s">
        <v>8</v>
      </c>
      <c r="D539" s="1">
        <v>495344</v>
      </c>
      <c r="E539" s="1">
        <v>495703</v>
      </c>
      <c r="F539" s="1" t="s">
        <v>9</v>
      </c>
      <c r="G539" s="1" t="s">
        <v>11409</v>
      </c>
    </row>
    <row r="540" spans="1:7" ht="21" x14ac:dyDescent="0.25">
      <c r="A540" s="2" t="str">
        <f>HYPERLINK("https://rth.dk/resources/bsgatlas/details.php?id=BSGatlas-gene-539","BSGatlas-gene-539")</f>
        <v>BSGatlas-gene-539</v>
      </c>
      <c r="B540" s="1" t="s">
        <v>514</v>
      </c>
      <c r="C540" s="1" t="s">
        <v>8</v>
      </c>
      <c r="D540" s="1">
        <v>495740</v>
      </c>
      <c r="E540" s="1">
        <v>496561</v>
      </c>
      <c r="F540" s="1" t="s">
        <v>13</v>
      </c>
      <c r="G540" s="1" t="s">
        <v>11409</v>
      </c>
    </row>
    <row r="541" spans="1:7" ht="21" x14ac:dyDescent="0.25">
      <c r="A541" s="2" t="str">
        <f>HYPERLINK("https://rth.dk/resources/bsgatlas/details.php?id=BSGatlas-gene-540","BSGatlas-gene-540")</f>
        <v>BSGatlas-gene-540</v>
      </c>
      <c r="B541" s="1" t="s">
        <v>515</v>
      </c>
      <c r="C541" s="1" t="s">
        <v>8</v>
      </c>
      <c r="D541" s="1">
        <v>496646</v>
      </c>
      <c r="E541" s="1">
        <v>497698</v>
      </c>
      <c r="F541" s="1" t="s">
        <v>13</v>
      </c>
      <c r="G541" s="1" t="s">
        <v>11409</v>
      </c>
    </row>
    <row r="542" spans="1:7" ht="21" x14ac:dyDescent="0.25">
      <c r="A542" s="2" t="str">
        <f>HYPERLINK("https://rth.dk/resources/bsgatlas/details.php?id=BSGatlas-gene-541","BSGatlas-gene-541")</f>
        <v>BSGatlas-gene-541</v>
      </c>
      <c r="B542" s="1" t="s">
        <v>518</v>
      </c>
      <c r="C542" s="1" t="s">
        <v>8</v>
      </c>
      <c r="D542" s="1">
        <v>497768</v>
      </c>
      <c r="E542" s="1">
        <v>499375</v>
      </c>
      <c r="F542" s="1" t="s">
        <v>9</v>
      </c>
      <c r="G542" s="1" t="s">
        <v>11409</v>
      </c>
    </row>
    <row r="543" spans="1:7" ht="21" x14ac:dyDescent="0.25">
      <c r="A543" s="2" t="str">
        <f>HYPERLINK("https://rth.dk/resources/bsgatlas/details.php?id=BSGatlas-gene-542","BSGatlas-gene-542")</f>
        <v>BSGatlas-gene-542</v>
      </c>
      <c r="B543" s="1" t="s">
        <v>519</v>
      </c>
      <c r="C543" s="1" t="s">
        <v>8</v>
      </c>
      <c r="D543" s="1">
        <v>499365</v>
      </c>
      <c r="E543" s="1">
        <v>500045</v>
      </c>
      <c r="F543" s="1" t="s">
        <v>9</v>
      </c>
      <c r="G543" s="1" t="s">
        <v>11409</v>
      </c>
    </row>
    <row r="544" spans="1:7" ht="21" x14ac:dyDescent="0.25">
      <c r="A544" s="2" t="str">
        <f>HYPERLINK("https://rth.dk/resources/bsgatlas/details.php?id=BSGatlas-gene-543","BSGatlas-gene-543")</f>
        <v>BSGatlas-gene-543</v>
      </c>
      <c r="B544" s="1" t="s">
        <v>520</v>
      </c>
      <c r="C544" s="1" t="s">
        <v>8</v>
      </c>
      <c r="D544" s="1">
        <v>500166</v>
      </c>
      <c r="E544" s="1">
        <v>501431</v>
      </c>
      <c r="F544" s="1" t="s">
        <v>9</v>
      </c>
      <c r="G544" s="1" t="s">
        <v>11409</v>
      </c>
    </row>
    <row r="545" spans="1:7" ht="21" x14ac:dyDescent="0.25">
      <c r="A545" s="2" t="str">
        <f>HYPERLINK("https://rth.dk/resources/bsgatlas/details.php?id=BSGatlas-gene-544","BSGatlas-gene-544")</f>
        <v>BSGatlas-gene-544</v>
      </c>
      <c r="B545" s="1" t="s">
        <v>521</v>
      </c>
      <c r="C545" s="1" t="s">
        <v>8</v>
      </c>
      <c r="D545" s="1">
        <v>501579</v>
      </c>
      <c r="E545" s="1">
        <v>502631</v>
      </c>
      <c r="F545" s="1" t="s">
        <v>9</v>
      </c>
      <c r="G545" s="1" t="s">
        <v>11409</v>
      </c>
    </row>
    <row r="546" spans="1:7" ht="21" x14ac:dyDescent="0.25">
      <c r="A546" s="2" t="str">
        <f>HYPERLINK("https://rth.dk/resources/bsgatlas/details.php?id=BSGatlas-gene-545","BSGatlas-gene-545")</f>
        <v>BSGatlas-gene-545</v>
      </c>
      <c r="B546" s="1" t="s">
        <v>522</v>
      </c>
      <c r="C546" s="1" t="s">
        <v>34</v>
      </c>
      <c r="D546" s="1">
        <v>502668</v>
      </c>
      <c r="E546" s="1">
        <v>502883</v>
      </c>
      <c r="F546" s="1" t="s">
        <v>9</v>
      </c>
      <c r="G546" s="1" t="s">
        <v>11414</v>
      </c>
    </row>
    <row r="547" spans="1:7" ht="21" x14ac:dyDescent="0.25">
      <c r="A547" s="2" t="str">
        <f>HYPERLINK("https://rth.dk/resources/bsgatlas/details.php?id=BSGatlas-gene-546","BSGatlas-gene-546")</f>
        <v>BSGatlas-gene-546</v>
      </c>
      <c r="B547" s="1" t="s">
        <v>11449</v>
      </c>
      <c r="C547" s="1" t="s">
        <v>8</v>
      </c>
      <c r="D547" s="1">
        <v>502908</v>
      </c>
      <c r="E547" s="1">
        <v>503834</v>
      </c>
      <c r="F547" s="1" t="s">
        <v>9</v>
      </c>
      <c r="G547" s="1" t="s">
        <v>11409</v>
      </c>
    </row>
    <row r="548" spans="1:7" ht="21" x14ac:dyDescent="0.25">
      <c r="A548" s="2" t="str">
        <f>HYPERLINK("https://rth.dk/resources/bsgatlas/details.php?id=BSGatlas-gene-547","BSGatlas-gene-547")</f>
        <v>BSGatlas-gene-547</v>
      </c>
      <c r="B548" s="1" t="s">
        <v>11450</v>
      </c>
      <c r="C548" s="1" t="s">
        <v>8</v>
      </c>
      <c r="D548" s="1">
        <v>503854</v>
      </c>
      <c r="E548" s="1">
        <v>504594</v>
      </c>
      <c r="F548" s="1" t="s">
        <v>9</v>
      </c>
      <c r="G548" s="1" t="s">
        <v>11409</v>
      </c>
    </row>
    <row r="549" spans="1:7" ht="21" x14ac:dyDescent="0.25">
      <c r="A549" s="2" t="str">
        <f>HYPERLINK("https://rth.dk/resources/bsgatlas/details.php?id=BSGatlas-gene-548","BSGatlas-gene-548")</f>
        <v>BSGatlas-gene-548</v>
      </c>
      <c r="B549" s="1" t="s">
        <v>523</v>
      </c>
      <c r="C549" s="1" t="s">
        <v>8</v>
      </c>
      <c r="D549" s="1">
        <v>504689</v>
      </c>
      <c r="E549" s="1">
        <v>505024</v>
      </c>
      <c r="F549" s="1" t="s">
        <v>9</v>
      </c>
      <c r="G549" s="1" t="s">
        <v>11409</v>
      </c>
    </row>
    <row r="550" spans="1:7" ht="21" x14ac:dyDescent="0.25">
      <c r="A550" s="2" t="str">
        <f>HYPERLINK("https://rth.dk/resources/bsgatlas/details.php?id=BSGatlas-gene-549","BSGatlas-gene-549")</f>
        <v>BSGatlas-gene-549</v>
      </c>
      <c r="B550" s="1" t="s">
        <v>524</v>
      </c>
      <c r="C550" s="1" t="s">
        <v>8</v>
      </c>
      <c r="D550" s="1">
        <v>505152</v>
      </c>
      <c r="E550" s="1">
        <v>506297</v>
      </c>
      <c r="F550" s="1" t="s">
        <v>9</v>
      </c>
      <c r="G550" s="1" t="s">
        <v>11409</v>
      </c>
    </row>
    <row r="551" spans="1:7" ht="21" x14ac:dyDescent="0.25">
      <c r="A551" s="2" t="str">
        <f>HYPERLINK("https://rth.dk/resources/bsgatlas/details.php?id=BSGatlas-gene-550","BSGatlas-gene-550")</f>
        <v>BSGatlas-gene-550</v>
      </c>
      <c r="B551" s="1" t="s">
        <v>525</v>
      </c>
      <c r="C551" s="1" t="s">
        <v>8</v>
      </c>
      <c r="D551" s="1">
        <v>506322</v>
      </c>
      <c r="E551" s="1">
        <v>506501</v>
      </c>
      <c r="F551" s="1" t="s">
        <v>13</v>
      </c>
      <c r="G551" s="1" t="s">
        <v>11409</v>
      </c>
    </row>
    <row r="552" spans="1:7" ht="21" x14ac:dyDescent="0.25">
      <c r="A552" s="2" t="str">
        <f>HYPERLINK("https://rth.dk/resources/bsgatlas/details.php?id=BSGatlas-gene-551","BSGatlas-gene-551")</f>
        <v>BSGatlas-gene-551</v>
      </c>
      <c r="B552" s="1" t="s">
        <v>526</v>
      </c>
      <c r="C552" s="1" t="s">
        <v>8</v>
      </c>
      <c r="D552" s="1">
        <v>506455</v>
      </c>
      <c r="E552" s="1">
        <v>506619</v>
      </c>
      <c r="F552" s="1" t="s">
        <v>13</v>
      </c>
      <c r="G552" s="1" t="s">
        <v>11409</v>
      </c>
    </row>
    <row r="553" spans="1:7" ht="21" x14ac:dyDescent="0.25">
      <c r="A553" s="2" t="str">
        <f>HYPERLINK("https://rth.dk/resources/bsgatlas/details.php?id=BSGatlas-gene-552","BSGatlas-gene-552")</f>
        <v>BSGatlas-gene-552</v>
      </c>
      <c r="B553" s="1" t="s">
        <v>527</v>
      </c>
      <c r="C553" s="1" t="s">
        <v>8</v>
      </c>
      <c r="D553" s="1">
        <v>506866</v>
      </c>
      <c r="E553" s="1">
        <v>507738</v>
      </c>
      <c r="F553" s="1" t="s">
        <v>9</v>
      </c>
      <c r="G553" s="1" t="s">
        <v>11409</v>
      </c>
    </row>
    <row r="554" spans="1:7" ht="21" x14ac:dyDescent="0.25">
      <c r="A554" s="2" t="str">
        <f>HYPERLINK("https://rth.dk/resources/bsgatlas/details.php?id=BSGatlas-gene-553","BSGatlas-gene-553")</f>
        <v>BSGatlas-gene-553</v>
      </c>
      <c r="B554" s="1" t="s">
        <v>528</v>
      </c>
      <c r="C554" s="1" t="s">
        <v>8</v>
      </c>
      <c r="D554" s="1">
        <v>507753</v>
      </c>
      <c r="E554" s="1">
        <v>508073</v>
      </c>
      <c r="F554" s="1" t="s">
        <v>13</v>
      </c>
      <c r="G554" s="1" t="s">
        <v>11409</v>
      </c>
    </row>
    <row r="555" spans="1:7" ht="21" x14ac:dyDescent="0.25">
      <c r="A555" s="2" t="str">
        <f>HYPERLINK("https://rth.dk/resources/bsgatlas/details.php?id=BSGatlas-gene-554","BSGatlas-gene-554")</f>
        <v>BSGatlas-gene-554</v>
      </c>
      <c r="B555" s="1" t="s">
        <v>529</v>
      </c>
      <c r="C555" s="1" t="s">
        <v>8</v>
      </c>
      <c r="D555" s="1">
        <v>508248</v>
      </c>
      <c r="E555" s="1">
        <v>509312</v>
      </c>
      <c r="F555" s="1" t="s">
        <v>9</v>
      </c>
      <c r="G555" s="1" t="s">
        <v>11409</v>
      </c>
    </row>
    <row r="556" spans="1:7" ht="21" x14ac:dyDescent="0.25">
      <c r="A556" s="2" t="str">
        <f>HYPERLINK("https://rth.dk/resources/bsgatlas/details.php?id=BSGatlas-gene-555","BSGatlas-gene-555")</f>
        <v>BSGatlas-gene-555</v>
      </c>
      <c r="B556" s="1" t="s">
        <v>530</v>
      </c>
      <c r="C556" s="1" t="s">
        <v>8</v>
      </c>
      <c r="D556" s="1">
        <v>509384</v>
      </c>
      <c r="E556" s="1">
        <v>510757</v>
      </c>
      <c r="F556" s="1" t="s">
        <v>9</v>
      </c>
      <c r="G556" s="1" t="s">
        <v>11409</v>
      </c>
    </row>
    <row r="557" spans="1:7" ht="21" x14ac:dyDescent="0.25">
      <c r="A557" s="2" t="str">
        <f>HYPERLINK("https://rth.dk/resources/bsgatlas/details.php?id=BSGatlas-gene-556","BSGatlas-gene-556")</f>
        <v>BSGatlas-gene-556</v>
      </c>
      <c r="B557" s="1" t="s">
        <v>531</v>
      </c>
      <c r="C557" s="1" t="s">
        <v>8</v>
      </c>
      <c r="D557" s="1">
        <v>511157</v>
      </c>
      <c r="E557" s="1">
        <v>512641</v>
      </c>
      <c r="F557" s="1" t="s">
        <v>9</v>
      </c>
      <c r="G557" s="1" t="s">
        <v>11409</v>
      </c>
    </row>
    <row r="558" spans="1:7" ht="21" x14ac:dyDescent="0.25">
      <c r="A558" s="2" t="str">
        <f>HYPERLINK("https://rth.dk/resources/bsgatlas/details.php?id=BSGatlas-gene-557","BSGatlas-gene-557")</f>
        <v>BSGatlas-gene-557</v>
      </c>
      <c r="B558" s="1" t="s">
        <v>532</v>
      </c>
      <c r="C558" s="1" t="s">
        <v>8</v>
      </c>
      <c r="D558" s="1">
        <v>512814</v>
      </c>
      <c r="E558" s="1">
        <v>513293</v>
      </c>
      <c r="F558" s="1" t="s">
        <v>9</v>
      </c>
      <c r="G558" s="1" t="s">
        <v>11409</v>
      </c>
    </row>
    <row r="559" spans="1:7" ht="21" x14ac:dyDescent="0.25">
      <c r="A559" s="2" t="str">
        <f>HYPERLINK("https://rth.dk/resources/bsgatlas/details.php?id=BSGatlas-gene-558","BSGatlas-gene-558")</f>
        <v>BSGatlas-gene-558</v>
      </c>
      <c r="B559" s="1" t="s">
        <v>533</v>
      </c>
      <c r="C559" s="1" t="s">
        <v>8</v>
      </c>
      <c r="D559" s="1">
        <v>513283</v>
      </c>
      <c r="E559" s="1">
        <v>514764</v>
      </c>
      <c r="F559" s="1" t="s">
        <v>9</v>
      </c>
      <c r="G559" s="1" t="s">
        <v>11409</v>
      </c>
    </row>
    <row r="560" spans="1:7" ht="21" x14ac:dyDescent="0.25">
      <c r="A560" s="2" t="str">
        <f>HYPERLINK("https://rth.dk/resources/bsgatlas/details.php?id=BSGatlas-gene-559","BSGatlas-gene-559")</f>
        <v>BSGatlas-gene-559</v>
      </c>
      <c r="B560" s="1" t="s">
        <v>54</v>
      </c>
      <c r="C560" s="1" t="s">
        <v>55</v>
      </c>
      <c r="D560" s="1">
        <v>514831</v>
      </c>
      <c r="E560" s="1">
        <v>514898</v>
      </c>
      <c r="F560" s="1" t="s">
        <v>9</v>
      </c>
      <c r="G560" s="1" t="s">
        <v>11410</v>
      </c>
    </row>
    <row r="561" spans="1:7" ht="21" x14ac:dyDescent="0.25">
      <c r="A561" s="2" t="str">
        <f>HYPERLINK("https://rth.dk/resources/bsgatlas/details.php?id=BSGatlas-gene-560","BSGatlas-gene-560")</f>
        <v>BSGatlas-gene-560</v>
      </c>
      <c r="B561" s="1" t="s">
        <v>534</v>
      </c>
      <c r="C561" s="1" t="s">
        <v>8</v>
      </c>
      <c r="D561" s="1">
        <v>515016</v>
      </c>
      <c r="E561" s="1">
        <v>515615</v>
      </c>
      <c r="F561" s="1" t="s">
        <v>13</v>
      </c>
      <c r="G561" s="1" t="s">
        <v>11409</v>
      </c>
    </row>
    <row r="562" spans="1:7" ht="21" x14ac:dyDescent="0.25">
      <c r="A562" s="2" t="str">
        <f>HYPERLINK("https://rth.dk/resources/bsgatlas/details.php?id=BSGatlas-gene-561","BSGatlas-gene-561")</f>
        <v>BSGatlas-gene-561</v>
      </c>
      <c r="B562" s="1" t="s">
        <v>535</v>
      </c>
      <c r="C562" s="1" t="s">
        <v>8</v>
      </c>
      <c r="D562" s="1">
        <v>515710</v>
      </c>
      <c r="E562" s="1">
        <v>516075</v>
      </c>
      <c r="F562" s="1" t="s">
        <v>9</v>
      </c>
      <c r="G562" s="1" t="s">
        <v>11409</v>
      </c>
    </row>
    <row r="563" spans="1:7" ht="21" x14ac:dyDescent="0.25">
      <c r="A563" s="2" t="str">
        <f>HYPERLINK("https://rth.dk/resources/bsgatlas/details.php?id=BSGatlas-gene-562","BSGatlas-gene-562")</f>
        <v>BSGatlas-gene-562</v>
      </c>
      <c r="B563" s="1" t="s">
        <v>536</v>
      </c>
      <c r="C563" s="1" t="s">
        <v>8</v>
      </c>
      <c r="D563" s="1">
        <v>516241</v>
      </c>
      <c r="E563" s="1">
        <v>517257</v>
      </c>
      <c r="F563" s="1" t="s">
        <v>9</v>
      </c>
      <c r="G563" s="1" t="s">
        <v>11409</v>
      </c>
    </row>
    <row r="564" spans="1:7" ht="21" x14ac:dyDescent="0.25">
      <c r="A564" s="2" t="str">
        <f>HYPERLINK("https://rth.dk/resources/bsgatlas/details.php?id=BSGatlas-gene-563","BSGatlas-gene-563")</f>
        <v>BSGatlas-gene-563</v>
      </c>
      <c r="B564" s="1" t="s">
        <v>537</v>
      </c>
      <c r="C564" s="1" t="s">
        <v>8</v>
      </c>
      <c r="D564" s="1">
        <v>517372</v>
      </c>
      <c r="E564" s="1">
        <v>518541</v>
      </c>
      <c r="F564" s="1" t="s">
        <v>9</v>
      </c>
      <c r="G564" s="1" t="s">
        <v>11409</v>
      </c>
    </row>
    <row r="565" spans="1:7" ht="21" x14ac:dyDescent="0.25">
      <c r="A565" s="2" t="str">
        <f>HYPERLINK("https://rth.dk/resources/bsgatlas/details.php?id=BSGatlas-gene-564","BSGatlas-gene-564")</f>
        <v>BSGatlas-gene-564</v>
      </c>
      <c r="B565" s="1" t="s">
        <v>538</v>
      </c>
      <c r="C565" s="1" t="s">
        <v>8</v>
      </c>
      <c r="D565" s="1">
        <v>518657</v>
      </c>
      <c r="E565" s="1">
        <v>518938</v>
      </c>
      <c r="F565" s="1" t="s">
        <v>9</v>
      </c>
      <c r="G565" s="1" t="s">
        <v>11409</v>
      </c>
    </row>
    <row r="566" spans="1:7" ht="21" x14ac:dyDescent="0.25">
      <c r="A566" s="2" t="str">
        <f>HYPERLINK("https://rth.dk/resources/bsgatlas/details.php?id=BSGatlas-gene-565","BSGatlas-gene-565")</f>
        <v>BSGatlas-gene-565</v>
      </c>
      <c r="B566" s="1" t="s">
        <v>539</v>
      </c>
      <c r="C566" s="1" t="s">
        <v>8</v>
      </c>
      <c r="D566" s="1">
        <v>518943</v>
      </c>
      <c r="E566" s="1">
        <v>519293</v>
      </c>
      <c r="F566" s="1" t="s">
        <v>9</v>
      </c>
      <c r="G566" s="1" t="s">
        <v>11409</v>
      </c>
    </row>
    <row r="567" spans="1:7" ht="21" x14ac:dyDescent="0.25">
      <c r="A567" s="2" t="str">
        <f>HYPERLINK("https://rth.dk/resources/bsgatlas/details.php?id=BSGatlas-gene-566","BSGatlas-gene-566")</f>
        <v>BSGatlas-gene-566</v>
      </c>
      <c r="B567" s="1" t="s">
        <v>540</v>
      </c>
      <c r="C567" s="1" t="s">
        <v>12</v>
      </c>
      <c r="D567" s="1">
        <v>519083</v>
      </c>
      <c r="E567" s="1">
        <v>519559</v>
      </c>
      <c r="F567" s="1" t="s">
        <v>13</v>
      </c>
      <c r="G567" s="1" t="s">
        <v>11406</v>
      </c>
    </row>
    <row r="568" spans="1:7" ht="21" x14ac:dyDescent="0.25">
      <c r="A568" s="2" t="str">
        <f>HYPERLINK("https://rth.dk/resources/bsgatlas/details.php?id=BSGatlas-gene-567","BSGatlas-gene-567")</f>
        <v>BSGatlas-gene-567</v>
      </c>
      <c r="B568" s="1" t="s">
        <v>541</v>
      </c>
      <c r="C568" s="1" t="s">
        <v>8</v>
      </c>
      <c r="D568" s="1">
        <v>519408</v>
      </c>
      <c r="E568" s="1">
        <v>520232</v>
      </c>
      <c r="F568" s="1" t="s">
        <v>9</v>
      </c>
      <c r="G568" s="1" t="s">
        <v>11409</v>
      </c>
    </row>
    <row r="569" spans="1:7" ht="21" x14ac:dyDescent="0.25">
      <c r="A569" s="2" t="str">
        <f>HYPERLINK("https://rth.dk/resources/bsgatlas/details.php?id=BSGatlas-gene-568","BSGatlas-gene-568")</f>
        <v>BSGatlas-gene-568</v>
      </c>
      <c r="B569" s="1" t="s">
        <v>542</v>
      </c>
      <c r="C569" s="1" t="s">
        <v>8</v>
      </c>
      <c r="D569" s="1">
        <v>520237</v>
      </c>
      <c r="E569" s="1">
        <v>520602</v>
      </c>
      <c r="F569" s="1" t="s">
        <v>9</v>
      </c>
      <c r="G569" s="1" t="s">
        <v>11409</v>
      </c>
    </row>
    <row r="570" spans="1:7" ht="21" x14ac:dyDescent="0.25">
      <c r="A570" s="2" t="str">
        <f>HYPERLINK("https://rth.dk/resources/bsgatlas/details.php?id=BSGatlas-gene-569","BSGatlas-gene-569")</f>
        <v>BSGatlas-gene-569</v>
      </c>
      <c r="B570" s="1" t="s">
        <v>543</v>
      </c>
      <c r="C570" s="1" t="s">
        <v>8</v>
      </c>
      <c r="D570" s="1">
        <v>520606</v>
      </c>
      <c r="E570" s="1">
        <v>521007</v>
      </c>
      <c r="F570" s="1" t="s">
        <v>9</v>
      </c>
      <c r="G570" s="1" t="s">
        <v>11409</v>
      </c>
    </row>
    <row r="571" spans="1:7" ht="21" x14ac:dyDescent="0.25">
      <c r="A571" s="2" t="str">
        <f>HYPERLINK("https://rth.dk/resources/bsgatlas/details.php?id=BSGatlas-gene-570","BSGatlas-gene-570")</f>
        <v>BSGatlas-gene-570</v>
      </c>
      <c r="B571" s="1" t="s">
        <v>544</v>
      </c>
      <c r="C571" s="1" t="s">
        <v>8</v>
      </c>
      <c r="D571" s="1">
        <v>521019</v>
      </c>
      <c r="E571" s="1">
        <v>522026</v>
      </c>
      <c r="F571" s="1" t="s">
        <v>9</v>
      </c>
      <c r="G571" s="1" t="s">
        <v>11409</v>
      </c>
    </row>
    <row r="572" spans="1:7" ht="21" x14ac:dyDescent="0.25">
      <c r="A572" s="2" t="str">
        <f>HYPERLINK("https://rth.dk/resources/bsgatlas/details.php?id=BSGatlas-gene-571","BSGatlas-gene-571")</f>
        <v>BSGatlas-gene-571</v>
      </c>
      <c r="B572" s="1" t="s">
        <v>545</v>
      </c>
      <c r="C572" s="1" t="s">
        <v>8</v>
      </c>
      <c r="D572" s="1">
        <v>522088</v>
      </c>
      <c r="E572" s="1">
        <v>522417</v>
      </c>
      <c r="F572" s="1" t="s">
        <v>9</v>
      </c>
      <c r="G572" s="1" t="s">
        <v>11409</v>
      </c>
    </row>
    <row r="573" spans="1:7" ht="21" x14ac:dyDescent="0.25">
      <c r="A573" s="2" t="str">
        <f>HYPERLINK("https://rth.dk/resources/bsgatlas/details.php?id=BSGatlas-gene-572","BSGatlas-gene-572")</f>
        <v>BSGatlas-gene-572</v>
      </c>
      <c r="B573" s="1" t="s">
        <v>546</v>
      </c>
      <c r="C573" s="1" t="s">
        <v>8</v>
      </c>
      <c r="D573" s="1">
        <v>522414</v>
      </c>
      <c r="E573" s="1">
        <v>522896</v>
      </c>
      <c r="F573" s="1" t="s">
        <v>9</v>
      </c>
      <c r="G573" s="1" t="s">
        <v>11409</v>
      </c>
    </row>
    <row r="574" spans="1:7" ht="21" x14ac:dyDescent="0.25">
      <c r="A574" s="2" t="str">
        <f>HYPERLINK("https://rth.dk/resources/bsgatlas/details.php?id=BSGatlas-gene-573","BSGatlas-gene-573")</f>
        <v>BSGatlas-gene-573</v>
      </c>
      <c r="B574" s="1" t="s">
        <v>547</v>
      </c>
      <c r="C574" s="1" t="s">
        <v>8</v>
      </c>
      <c r="D574" s="1">
        <v>522862</v>
      </c>
      <c r="E574" s="1">
        <v>523650</v>
      </c>
      <c r="F574" s="1" t="s">
        <v>9</v>
      </c>
      <c r="G574" s="1" t="s">
        <v>11409</v>
      </c>
    </row>
    <row r="575" spans="1:7" ht="21" x14ac:dyDescent="0.25">
      <c r="A575" s="2" t="str">
        <f>HYPERLINK("https://rth.dk/resources/bsgatlas/details.php?id=BSGatlas-gene-574","BSGatlas-gene-574")</f>
        <v>BSGatlas-gene-574</v>
      </c>
      <c r="B575" s="1" t="s">
        <v>548</v>
      </c>
      <c r="C575" s="1" t="s">
        <v>8</v>
      </c>
      <c r="D575" s="1">
        <v>523650</v>
      </c>
      <c r="E575" s="1">
        <v>524249</v>
      </c>
      <c r="F575" s="1" t="s">
        <v>9</v>
      </c>
      <c r="G575" s="1" t="s">
        <v>11409</v>
      </c>
    </row>
    <row r="576" spans="1:7" ht="21" x14ac:dyDescent="0.25">
      <c r="A576" s="2" t="str">
        <f>HYPERLINK("https://rth.dk/resources/bsgatlas/details.php?id=BSGatlas-gene-575","BSGatlas-gene-575")</f>
        <v>BSGatlas-gene-575</v>
      </c>
      <c r="B576" s="1" t="s">
        <v>318</v>
      </c>
      <c r="C576" s="1" t="s">
        <v>8</v>
      </c>
      <c r="D576" s="1">
        <v>524360</v>
      </c>
      <c r="E576" s="1">
        <v>524476</v>
      </c>
      <c r="F576" s="1" t="s">
        <v>9</v>
      </c>
      <c r="G576" s="1" t="s">
        <v>11441</v>
      </c>
    </row>
    <row r="577" spans="1:7" ht="21" x14ac:dyDescent="0.25">
      <c r="A577" s="2" t="str">
        <f>HYPERLINK("https://rth.dk/resources/bsgatlas/details.php?id=BSGatlas-gene-576","BSGatlas-gene-576")</f>
        <v>BSGatlas-gene-576</v>
      </c>
      <c r="B577" s="1" t="s">
        <v>549</v>
      </c>
      <c r="C577" s="1" t="s">
        <v>8</v>
      </c>
      <c r="D577" s="1">
        <v>524492</v>
      </c>
      <c r="E577" s="1">
        <v>524785</v>
      </c>
      <c r="F577" s="1" t="s">
        <v>9</v>
      </c>
      <c r="G577" s="1" t="s">
        <v>11409</v>
      </c>
    </row>
    <row r="578" spans="1:7" ht="21" x14ac:dyDescent="0.25">
      <c r="A578" s="2" t="str">
        <f>HYPERLINK("https://rth.dk/resources/bsgatlas/details.php?id=BSGatlas-gene-577","BSGatlas-gene-577")</f>
        <v>BSGatlas-gene-577</v>
      </c>
      <c r="B578" s="1" t="s">
        <v>550</v>
      </c>
      <c r="C578" s="1" t="s">
        <v>8</v>
      </c>
      <c r="D578" s="1">
        <v>524782</v>
      </c>
      <c r="E578" s="1">
        <v>525222</v>
      </c>
      <c r="F578" s="1" t="s">
        <v>9</v>
      </c>
      <c r="G578" s="1" t="s">
        <v>11409</v>
      </c>
    </row>
    <row r="579" spans="1:7" ht="21" x14ac:dyDescent="0.25">
      <c r="A579" s="2" t="str">
        <f>HYPERLINK("https://rth.dk/resources/bsgatlas/details.php?id=BSGatlas-gene-578","BSGatlas-gene-578")</f>
        <v>BSGatlas-gene-578</v>
      </c>
      <c r="B579" s="1" t="s">
        <v>552</v>
      </c>
      <c r="C579" s="1" t="s">
        <v>12</v>
      </c>
      <c r="D579" s="1">
        <v>525021</v>
      </c>
      <c r="E579" s="1">
        <v>528076</v>
      </c>
      <c r="F579" s="1" t="s">
        <v>13</v>
      </c>
      <c r="G579" s="1" t="s">
        <v>11406</v>
      </c>
    </row>
    <row r="580" spans="1:7" ht="21" x14ac:dyDescent="0.25">
      <c r="A580" s="2" t="str">
        <f>HYPERLINK("https://rth.dk/resources/bsgatlas/details.php?id=BSGatlas-gene-579","BSGatlas-gene-579")</f>
        <v>BSGatlas-gene-579</v>
      </c>
      <c r="B580" s="1" t="s">
        <v>551</v>
      </c>
      <c r="C580" s="1" t="s">
        <v>8</v>
      </c>
      <c r="D580" s="1">
        <v>525206</v>
      </c>
      <c r="E580" s="1">
        <v>525649</v>
      </c>
      <c r="F580" s="1" t="s">
        <v>9</v>
      </c>
      <c r="G580" s="1" t="s">
        <v>11409</v>
      </c>
    </row>
    <row r="581" spans="1:7" ht="21" x14ac:dyDescent="0.25">
      <c r="A581" s="2" t="str">
        <f>HYPERLINK("https://rth.dk/resources/bsgatlas/details.php?id=BSGatlas-gene-580","BSGatlas-gene-580")</f>
        <v>BSGatlas-gene-580</v>
      </c>
      <c r="B581" s="1" t="s">
        <v>554</v>
      </c>
      <c r="C581" s="1" t="s">
        <v>8</v>
      </c>
      <c r="D581" s="1">
        <v>525743</v>
      </c>
      <c r="E581" s="1">
        <v>527902</v>
      </c>
      <c r="F581" s="1" t="s">
        <v>9</v>
      </c>
      <c r="G581" s="1" t="s">
        <v>11409</v>
      </c>
    </row>
    <row r="582" spans="1:7" ht="21" x14ac:dyDescent="0.25">
      <c r="A582" s="2" t="str">
        <f>HYPERLINK("https://rth.dk/resources/bsgatlas/details.php?id=BSGatlas-gene-581","BSGatlas-gene-581")</f>
        <v>BSGatlas-gene-581</v>
      </c>
      <c r="B582" s="1" t="s">
        <v>553</v>
      </c>
      <c r="C582" s="1" t="s">
        <v>8</v>
      </c>
      <c r="D582" s="1">
        <v>527912</v>
      </c>
      <c r="E582" s="1">
        <v>528025</v>
      </c>
      <c r="F582" s="1" t="s">
        <v>13</v>
      </c>
      <c r="G582" s="1" t="s">
        <v>11409</v>
      </c>
    </row>
    <row r="583" spans="1:7" ht="21" x14ac:dyDescent="0.25">
      <c r="A583" s="2" t="str">
        <f>HYPERLINK("https://rth.dk/resources/bsgatlas/details.php?id=BSGatlas-gene-582","BSGatlas-gene-582")</f>
        <v>BSGatlas-gene-582</v>
      </c>
      <c r="B583" s="1" t="s">
        <v>555</v>
      </c>
      <c r="C583" s="1" t="s">
        <v>8</v>
      </c>
      <c r="D583" s="1">
        <v>528129</v>
      </c>
      <c r="E583" s="1">
        <v>528581</v>
      </c>
      <c r="F583" s="1" t="s">
        <v>9</v>
      </c>
      <c r="G583" s="1" t="s">
        <v>11409</v>
      </c>
    </row>
    <row r="584" spans="1:7" ht="21" x14ac:dyDescent="0.25">
      <c r="A584" s="2" t="str">
        <f>HYPERLINK("https://rth.dk/resources/bsgatlas/details.php?id=BSGatlas-gene-583","BSGatlas-gene-583")</f>
        <v>BSGatlas-gene-583</v>
      </c>
      <c r="B584" s="1" t="s">
        <v>556</v>
      </c>
      <c r="C584" s="1" t="s">
        <v>23</v>
      </c>
      <c r="D584" s="1">
        <v>528703</v>
      </c>
      <c r="E584" s="1">
        <v>528778</v>
      </c>
      <c r="F584" s="1" t="s">
        <v>9</v>
      </c>
      <c r="G584" s="1" t="s">
        <v>11411</v>
      </c>
    </row>
    <row r="585" spans="1:7" ht="21" x14ac:dyDescent="0.25">
      <c r="A585" s="2" t="str">
        <f>HYPERLINK("https://rth.dk/resources/bsgatlas/details.php?id=BSGatlas-gene-584","BSGatlas-gene-584")</f>
        <v>BSGatlas-gene-584</v>
      </c>
      <c r="B585" s="1" t="s">
        <v>11451</v>
      </c>
      <c r="C585" s="1" t="s">
        <v>23</v>
      </c>
      <c r="D585" s="1">
        <v>528782</v>
      </c>
      <c r="E585" s="1">
        <v>528873</v>
      </c>
      <c r="F585" s="1" t="s">
        <v>9</v>
      </c>
      <c r="G585" s="1" t="s">
        <v>11411</v>
      </c>
    </row>
    <row r="586" spans="1:7" ht="21" x14ac:dyDescent="0.25">
      <c r="A586" s="2" t="str">
        <f>HYPERLINK("https://rth.dk/resources/bsgatlas/details.php?id=BSGatlas-gene-585","BSGatlas-gene-585")</f>
        <v>BSGatlas-gene-585</v>
      </c>
      <c r="B586" s="1" t="s">
        <v>11452</v>
      </c>
      <c r="C586" s="1" t="s">
        <v>23</v>
      </c>
      <c r="D586" s="1">
        <v>528902</v>
      </c>
      <c r="E586" s="1">
        <v>528974</v>
      </c>
      <c r="F586" s="1" t="s">
        <v>9</v>
      </c>
      <c r="G586" s="1" t="s">
        <v>11411</v>
      </c>
    </row>
    <row r="587" spans="1:7" ht="21" x14ac:dyDescent="0.25">
      <c r="A587" s="2" t="str">
        <f>HYPERLINK("https://rth.dk/resources/bsgatlas/details.php?id=BSGatlas-gene-586","BSGatlas-gene-586")</f>
        <v>BSGatlas-gene-586</v>
      </c>
      <c r="B587" s="1" t="s">
        <v>11453</v>
      </c>
      <c r="C587" s="1" t="s">
        <v>23</v>
      </c>
      <c r="D587" s="1">
        <v>528985</v>
      </c>
      <c r="E587" s="1">
        <v>529060</v>
      </c>
      <c r="F587" s="1" t="s">
        <v>9</v>
      </c>
      <c r="G587" s="1" t="s">
        <v>11411</v>
      </c>
    </row>
    <row r="588" spans="1:7" ht="21" x14ac:dyDescent="0.25">
      <c r="A588" s="2" t="str">
        <f>HYPERLINK("https://rth.dk/resources/bsgatlas/details.php?id=BSGatlas-gene-587","BSGatlas-gene-587")</f>
        <v>BSGatlas-gene-587</v>
      </c>
      <c r="B588" s="1" t="s">
        <v>11454</v>
      </c>
      <c r="C588" s="1" t="s">
        <v>23</v>
      </c>
      <c r="D588" s="1">
        <v>529086</v>
      </c>
      <c r="E588" s="1">
        <v>529162</v>
      </c>
      <c r="F588" s="1" t="s">
        <v>9</v>
      </c>
      <c r="G588" s="1" t="s">
        <v>11411</v>
      </c>
    </row>
    <row r="589" spans="1:7" ht="21" x14ac:dyDescent="0.25">
      <c r="A589" s="2" t="str">
        <f>HYPERLINK("https://rth.dk/resources/bsgatlas/details.php?id=BSGatlas-gene-588","BSGatlas-gene-588")</f>
        <v>BSGatlas-gene-588</v>
      </c>
      <c r="B589" s="1" t="s">
        <v>560</v>
      </c>
      <c r="C589" s="1" t="s">
        <v>23</v>
      </c>
      <c r="D589" s="1">
        <v>529173</v>
      </c>
      <c r="E589" s="1">
        <v>529255</v>
      </c>
      <c r="F589" s="1" t="s">
        <v>9</v>
      </c>
      <c r="G589" s="1" t="s">
        <v>11411</v>
      </c>
    </row>
    <row r="590" spans="1:7" ht="21" x14ac:dyDescent="0.25">
      <c r="A590" s="2" t="str">
        <f>HYPERLINK("https://rth.dk/resources/bsgatlas/details.php?id=BSGatlas-gene-589","BSGatlas-gene-589")</f>
        <v>BSGatlas-gene-589</v>
      </c>
      <c r="B590" s="1" t="s">
        <v>561</v>
      </c>
      <c r="C590" s="1" t="s">
        <v>23</v>
      </c>
      <c r="D590" s="1">
        <v>529335</v>
      </c>
      <c r="E590" s="1">
        <v>529422</v>
      </c>
      <c r="F590" s="1" t="s">
        <v>9</v>
      </c>
      <c r="G590" s="1" t="s">
        <v>11411</v>
      </c>
    </row>
    <row r="591" spans="1:7" ht="21" x14ac:dyDescent="0.25">
      <c r="A591" s="2" t="str">
        <f>HYPERLINK("https://rth.dk/resources/bsgatlas/details.php?id=BSGatlas-gene-590","BSGatlas-gene-590")</f>
        <v>BSGatlas-gene-590</v>
      </c>
      <c r="B591" s="1" t="s">
        <v>557</v>
      </c>
      <c r="C591" s="1" t="s">
        <v>8</v>
      </c>
      <c r="D591" s="1">
        <v>529505</v>
      </c>
      <c r="E591" s="1">
        <v>530611</v>
      </c>
      <c r="F591" s="1" t="s">
        <v>13</v>
      </c>
      <c r="G591" s="1" t="s">
        <v>11409</v>
      </c>
    </row>
    <row r="592" spans="1:7" ht="21" x14ac:dyDescent="0.25">
      <c r="A592" s="2" t="str">
        <f>HYPERLINK("https://rth.dk/resources/bsgatlas/details.php?id=BSGatlas-gene-591","BSGatlas-gene-591")</f>
        <v>BSGatlas-gene-591</v>
      </c>
      <c r="B592" s="1" t="s">
        <v>558</v>
      </c>
      <c r="C592" s="1" t="s">
        <v>8</v>
      </c>
      <c r="D592" s="1">
        <v>530624</v>
      </c>
      <c r="E592" s="1">
        <v>531133</v>
      </c>
      <c r="F592" s="1" t="s">
        <v>13</v>
      </c>
      <c r="G592" s="1" t="s">
        <v>11409</v>
      </c>
    </row>
    <row r="593" spans="1:7" ht="21" x14ac:dyDescent="0.25">
      <c r="A593" s="2" t="str">
        <f>HYPERLINK("https://rth.dk/resources/bsgatlas/details.php?id=BSGatlas-gene-592","BSGatlas-gene-592")</f>
        <v>BSGatlas-gene-592</v>
      </c>
      <c r="B593" s="1" t="s">
        <v>559</v>
      </c>
      <c r="C593" s="1" t="s">
        <v>8</v>
      </c>
      <c r="D593" s="1">
        <v>531130</v>
      </c>
      <c r="E593" s="1">
        <v>531513</v>
      </c>
      <c r="F593" s="1" t="s">
        <v>13</v>
      </c>
      <c r="G593" s="1" t="s">
        <v>11409</v>
      </c>
    </row>
    <row r="594" spans="1:7" ht="21" x14ac:dyDescent="0.25">
      <c r="A594" s="2" t="str">
        <f>HYPERLINK("https://rth.dk/resources/bsgatlas/details.php?id=BSGatlas-gene-593","BSGatlas-gene-593")</f>
        <v>BSGatlas-gene-593</v>
      </c>
      <c r="B594" s="1" t="s">
        <v>562</v>
      </c>
      <c r="C594" s="1" t="s">
        <v>8</v>
      </c>
      <c r="D594" s="1">
        <v>531787</v>
      </c>
      <c r="E594" s="1">
        <v>531981</v>
      </c>
      <c r="F594" s="1" t="s">
        <v>9</v>
      </c>
      <c r="G594" s="1" t="s">
        <v>11409</v>
      </c>
    </row>
    <row r="595" spans="1:7" ht="21" x14ac:dyDescent="0.25">
      <c r="A595" s="2" t="str">
        <f>HYPERLINK("https://rth.dk/resources/bsgatlas/details.php?id=BSGatlas-gene-594","BSGatlas-gene-594")</f>
        <v>BSGatlas-gene-594</v>
      </c>
      <c r="B595" s="1" t="s">
        <v>563</v>
      </c>
      <c r="C595" s="1" t="s">
        <v>8</v>
      </c>
      <c r="D595" s="1">
        <v>531978</v>
      </c>
      <c r="E595" s="1">
        <v>532238</v>
      </c>
      <c r="F595" s="1" t="s">
        <v>9</v>
      </c>
      <c r="G595" s="1" t="s">
        <v>11409</v>
      </c>
    </row>
    <row r="596" spans="1:7" ht="21" x14ac:dyDescent="0.25">
      <c r="A596" s="2" t="str">
        <f>HYPERLINK("https://rth.dk/resources/bsgatlas/details.php?id=BSGatlas-gene-595","BSGatlas-gene-595")</f>
        <v>BSGatlas-gene-595</v>
      </c>
      <c r="B596" s="1" t="s">
        <v>564</v>
      </c>
      <c r="C596" s="1" t="s">
        <v>8</v>
      </c>
      <c r="D596" s="1">
        <v>532292</v>
      </c>
      <c r="E596" s="1">
        <v>532552</v>
      </c>
      <c r="F596" s="1" t="s">
        <v>9</v>
      </c>
      <c r="G596" s="1" t="s">
        <v>11409</v>
      </c>
    </row>
    <row r="597" spans="1:7" ht="21" x14ac:dyDescent="0.25">
      <c r="A597" s="2" t="str">
        <f>HYPERLINK("https://rth.dk/resources/bsgatlas/details.php?id=BSGatlas-gene-596","BSGatlas-gene-596")</f>
        <v>BSGatlas-gene-596</v>
      </c>
      <c r="B597" s="1" t="s">
        <v>581</v>
      </c>
      <c r="C597" s="1" t="s">
        <v>55</v>
      </c>
      <c r="D597" s="1">
        <v>532583</v>
      </c>
      <c r="E597" s="1">
        <v>532642</v>
      </c>
      <c r="F597" s="1" t="s">
        <v>13</v>
      </c>
      <c r="G597" s="1" t="s">
        <v>11455</v>
      </c>
    </row>
    <row r="598" spans="1:7" ht="21" x14ac:dyDescent="0.25">
      <c r="A598" s="2" t="str">
        <f>HYPERLINK("https://rth.dk/resources/bsgatlas/details.php?id=BSGatlas-gene-597","BSGatlas-gene-597")</f>
        <v>BSGatlas-gene-597</v>
      </c>
      <c r="B598" s="1" t="s">
        <v>318</v>
      </c>
      <c r="C598" s="1" t="s">
        <v>8</v>
      </c>
      <c r="D598" s="1">
        <v>532758</v>
      </c>
      <c r="E598" s="1">
        <v>532886</v>
      </c>
      <c r="F598" s="1" t="s">
        <v>9</v>
      </c>
      <c r="G598" s="1" t="s">
        <v>11441</v>
      </c>
    </row>
    <row r="599" spans="1:7" ht="21" x14ac:dyDescent="0.25">
      <c r="A599" s="2" t="str">
        <f>HYPERLINK("https://rth.dk/resources/bsgatlas/details.php?id=BSGatlas-gene-598","BSGatlas-gene-598")</f>
        <v>BSGatlas-gene-598</v>
      </c>
      <c r="B599" s="1" t="s">
        <v>565</v>
      </c>
      <c r="C599" s="1" t="s">
        <v>8</v>
      </c>
      <c r="D599" s="1">
        <v>532922</v>
      </c>
      <c r="E599" s="1">
        <v>533302</v>
      </c>
      <c r="F599" s="1" t="s">
        <v>9</v>
      </c>
      <c r="G599" s="1" t="s">
        <v>11409</v>
      </c>
    </row>
    <row r="600" spans="1:7" ht="21" x14ac:dyDescent="0.25">
      <c r="A600" s="2" t="str">
        <f>HYPERLINK("https://rth.dk/resources/bsgatlas/details.php?id=BSGatlas-gene-599","BSGatlas-gene-599")</f>
        <v>BSGatlas-gene-599</v>
      </c>
      <c r="B600" s="1" t="s">
        <v>566</v>
      </c>
      <c r="C600" s="1" t="s">
        <v>8</v>
      </c>
      <c r="D600" s="1">
        <v>533338</v>
      </c>
      <c r="E600" s="1">
        <v>534780</v>
      </c>
      <c r="F600" s="1" t="s">
        <v>9</v>
      </c>
      <c r="G600" s="1" t="s">
        <v>11409</v>
      </c>
    </row>
    <row r="601" spans="1:7" ht="21" x14ac:dyDescent="0.25">
      <c r="A601" s="2" t="str">
        <f>HYPERLINK("https://rth.dk/resources/bsgatlas/details.php?id=BSGatlas-gene-600","BSGatlas-gene-600")</f>
        <v>BSGatlas-gene-600</v>
      </c>
      <c r="B601" s="1" t="s">
        <v>567</v>
      </c>
      <c r="C601" s="1" t="s">
        <v>8</v>
      </c>
      <c r="D601" s="1">
        <v>534773</v>
      </c>
      <c r="E601" s="1">
        <v>535831</v>
      </c>
      <c r="F601" s="1" t="s">
        <v>9</v>
      </c>
      <c r="G601" s="1" t="s">
        <v>11409</v>
      </c>
    </row>
    <row r="602" spans="1:7" ht="21" x14ac:dyDescent="0.25">
      <c r="A602" s="2" t="str">
        <f>HYPERLINK("https://rth.dk/resources/bsgatlas/details.php?id=BSGatlas-gene-601","BSGatlas-gene-601")</f>
        <v>BSGatlas-gene-601</v>
      </c>
      <c r="B602" s="1" t="s">
        <v>568</v>
      </c>
      <c r="C602" s="1" t="s">
        <v>55</v>
      </c>
      <c r="D602" s="1">
        <v>535879</v>
      </c>
      <c r="E602" s="1">
        <v>535933</v>
      </c>
      <c r="F602" s="1" t="s">
        <v>9</v>
      </c>
      <c r="G602" s="1" t="s">
        <v>11410</v>
      </c>
    </row>
    <row r="603" spans="1:7" ht="21" x14ac:dyDescent="0.25">
      <c r="A603" s="2" t="str">
        <f>HYPERLINK("https://rth.dk/resources/bsgatlas/details.php?id=BSGatlas-gene-602","BSGatlas-gene-602")</f>
        <v>BSGatlas-gene-602</v>
      </c>
      <c r="B603" s="1" t="s">
        <v>569</v>
      </c>
      <c r="C603" s="1" t="s">
        <v>8</v>
      </c>
      <c r="D603" s="1">
        <v>536096</v>
      </c>
      <c r="E603" s="1">
        <v>536365</v>
      </c>
      <c r="F603" s="1" t="s">
        <v>9</v>
      </c>
      <c r="G603" s="1" t="s">
        <v>11409</v>
      </c>
    </row>
    <row r="604" spans="1:7" ht="21" x14ac:dyDescent="0.25">
      <c r="A604" s="2" t="str">
        <f>HYPERLINK("https://rth.dk/resources/bsgatlas/details.php?id=BSGatlas-gene-603","BSGatlas-gene-603")</f>
        <v>BSGatlas-gene-603</v>
      </c>
      <c r="B604" s="1" t="s">
        <v>570</v>
      </c>
      <c r="C604" s="1" t="s">
        <v>8</v>
      </c>
      <c r="D604" s="1">
        <v>536404</v>
      </c>
      <c r="E604" s="1">
        <v>536670</v>
      </c>
      <c r="F604" s="1" t="s">
        <v>9</v>
      </c>
      <c r="G604" s="1" t="s">
        <v>11409</v>
      </c>
    </row>
    <row r="605" spans="1:7" ht="21" x14ac:dyDescent="0.25">
      <c r="A605" s="2" t="str">
        <f>HYPERLINK("https://rth.dk/resources/bsgatlas/details.php?id=BSGatlas-gene-604","BSGatlas-gene-604")</f>
        <v>BSGatlas-gene-604</v>
      </c>
      <c r="B605" s="1" t="s">
        <v>571</v>
      </c>
      <c r="C605" s="1" t="s">
        <v>8</v>
      </c>
      <c r="D605" s="1">
        <v>536687</v>
      </c>
      <c r="E605" s="1">
        <v>536995</v>
      </c>
      <c r="F605" s="1" t="s">
        <v>9</v>
      </c>
      <c r="G605" s="1" t="s">
        <v>11409</v>
      </c>
    </row>
    <row r="606" spans="1:7" ht="21" x14ac:dyDescent="0.25">
      <c r="A606" s="2" t="str">
        <f>HYPERLINK("https://rth.dk/resources/bsgatlas/details.php?id=BSGatlas-gene-605","BSGatlas-gene-605")</f>
        <v>BSGatlas-gene-605</v>
      </c>
      <c r="B606" s="1" t="s">
        <v>572</v>
      </c>
      <c r="C606" s="1" t="s">
        <v>8</v>
      </c>
      <c r="D606" s="1">
        <v>536985</v>
      </c>
      <c r="E606" s="1">
        <v>538049</v>
      </c>
      <c r="F606" s="1" t="s">
        <v>9</v>
      </c>
      <c r="G606" s="1" t="s">
        <v>11409</v>
      </c>
    </row>
    <row r="607" spans="1:7" ht="21" x14ac:dyDescent="0.25">
      <c r="A607" s="2" t="str">
        <f>HYPERLINK("https://rth.dk/resources/bsgatlas/details.php?id=BSGatlas-gene-606","BSGatlas-gene-606")</f>
        <v>BSGatlas-gene-606</v>
      </c>
      <c r="B607" s="1" t="s">
        <v>573</v>
      </c>
      <c r="C607" s="1" t="s">
        <v>8</v>
      </c>
      <c r="D607" s="1">
        <v>538061</v>
      </c>
      <c r="E607" s="1">
        <v>538309</v>
      </c>
      <c r="F607" s="1" t="s">
        <v>9</v>
      </c>
      <c r="G607" s="1" t="s">
        <v>11409</v>
      </c>
    </row>
    <row r="608" spans="1:7" ht="21" x14ac:dyDescent="0.25">
      <c r="A608" s="2" t="str">
        <f>HYPERLINK("https://rth.dk/resources/bsgatlas/details.php?id=BSGatlas-gene-607","BSGatlas-gene-607")</f>
        <v>BSGatlas-gene-607</v>
      </c>
      <c r="B608" s="1" t="s">
        <v>574</v>
      </c>
      <c r="C608" s="1" t="s">
        <v>8</v>
      </c>
      <c r="D608" s="1">
        <v>538322</v>
      </c>
      <c r="E608" s="1">
        <v>538846</v>
      </c>
      <c r="F608" s="1" t="s">
        <v>9</v>
      </c>
      <c r="G608" s="1" t="s">
        <v>11409</v>
      </c>
    </row>
    <row r="609" spans="1:7" ht="21" x14ac:dyDescent="0.25">
      <c r="A609" s="2" t="str">
        <f>HYPERLINK("https://rth.dk/resources/bsgatlas/details.php?id=BSGatlas-gene-608","BSGatlas-gene-608")</f>
        <v>BSGatlas-gene-608</v>
      </c>
      <c r="B609" s="1" t="s">
        <v>575</v>
      </c>
      <c r="C609" s="1" t="s">
        <v>8</v>
      </c>
      <c r="D609" s="1">
        <v>538734</v>
      </c>
      <c r="E609" s="1">
        <v>541229</v>
      </c>
      <c r="F609" s="1" t="s">
        <v>9</v>
      </c>
      <c r="G609" s="1" t="s">
        <v>11409</v>
      </c>
    </row>
    <row r="610" spans="1:7" ht="21" x14ac:dyDescent="0.25">
      <c r="A610" s="2" t="str">
        <f>HYPERLINK("https://rth.dk/resources/bsgatlas/details.php?id=BSGatlas-gene-609","BSGatlas-gene-609")</f>
        <v>BSGatlas-gene-609</v>
      </c>
      <c r="B610" s="1" t="s">
        <v>576</v>
      </c>
      <c r="C610" s="1" t="s">
        <v>8</v>
      </c>
      <c r="D610" s="1">
        <v>541248</v>
      </c>
      <c r="E610" s="1">
        <v>541574</v>
      </c>
      <c r="F610" s="1" t="s">
        <v>9</v>
      </c>
      <c r="G610" s="1" t="s">
        <v>11409</v>
      </c>
    </row>
    <row r="611" spans="1:7" ht="21" x14ac:dyDescent="0.25">
      <c r="A611" s="2" t="str">
        <f>HYPERLINK("https://rth.dk/resources/bsgatlas/details.php?id=BSGatlas-gene-610","BSGatlas-gene-610")</f>
        <v>BSGatlas-gene-610</v>
      </c>
      <c r="B611" s="1" t="s">
        <v>577</v>
      </c>
      <c r="C611" s="1" t="s">
        <v>8</v>
      </c>
      <c r="D611" s="1">
        <v>541578</v>
      </c>
      <c r="E611" s="1">
        <v>544025</v>
      </c>
      <c r="F611" s="1" t="s">
        <v>9</v>
      </c>
      <c r="G611" s="1" t="s">
        <v>11409</v>
      </c>
    </row>
    <row r="612" spans="1:7" ht="21" x14ac:dyDescent="0.25">
      <c r="A612" s="2" t="str">
        <f>HYPERLINK("https://rth.dk/resources/bsgatlas/details.php?id=BSGatlas-gene-611","BSGatlas-gene-611")</f>
        <v>BSGatlas-gene-611</v>
      </c>
      <c r="B612" s="1" t="s">
        <v>578</v>
      </c>
      <c r="C612" s="1" t="s">
        <v>8</v>
      </c>
      <c r="D612" s="1">
        <v>544022</v>
      </c>
      <c r="E612" s="1">
        <v>545011</v>
      </c>
      <c r="F612" s="1" t="s">
        <v>9</v>
      </c>
      <c r="G612" s="1" t="s">
        <v>11409</v>
      </c>
    </row>
    <row r="613" spans="1:7" ht="21" x14ac:dyDescent="0.25">
      <c r="A613" s="2" t="str">
        <f>HYPERLINK("https://rth.dk/resources/bsgatlas/details.php?id=BSGatlas-gene-612","BSGatlas-gene-612")</f>
        <v>BSGatlas-gene-612</v>
      </c>
      <c r="B613" s="1" t="s">
        <v>579</v>
      </c>
      <c r="C613" s="1" t="s">
        <v>8</v>
      </c>
      <c r="D613" s="1">
        <v>545026</v>
      </c>
      <c r="E613" s="1">
        <v>545532</v>
      </c>
      <c r="F613" s="1" t="s">
        <v>9</v>
      </c>
      <c r="G613" s="1" t="s">
        <v>11409</v>
      </c>
    </row>
    <row r="614" spans="1:7" ht="21" x14ac:dyDescent="0.25">
      <c r="A614" s="2" t="str">
        <f>HYPERLINK("https://rth.dk/resources/bsgatlas/details.php?id=BSGatlas-gene-613","BSGatlas-gene-613")</f>
        <v>BSGatlas-gene-613</v>
      </c>
      <c r="B614" s="1" t="s">
        <v>580</v>
      </c>
      <c r="C614" s="1" t="s">
        <v>8</v>
      </c>
      <c r="D614" s="1">
        <v>545595</v>
      </c>
      <c r="E614" s="1">
        <v>545975</v>
      </c>
      <c r="F614" s="1" t="s">
        <v>9</v>
      </c>
      <c r="G614" s="1" t="s">
        <v>11409</v>
      </c>
    </row>
    <row r="615" spans="1:7" ht="21" x14ac:dyDescent="0.25">
      <c r="A615" s="2" t="str">
        <f>HYPERLINK("https://rth.dk/resources/bsgatlas/details.php?id=BSGatlas-gene-614","BSGatlas-gene-614")</f>
        <v>BSGatlas-gene-614</v>
      </c>
      <c r="B615" s="1" t="s">
        <v>582</v>
      </c>
      <c r="C615" s="1" t="s">
        <v>8</v>
      </c>
      <c r="D615" s="1">
        <v>546166</v>
      </c>
      <c r="E615" s="1">
        <v>546966</v>
      </c>
      <c r="F615" s="1" t="s">
        <v>13</v>
      </c>
      <c r="G615" s="1" t="s">
        <v>11409</v>
      </c>
    </row>
    <row r="616" spans="1:7" ht="21" x14ac:dyDescent="0.25">
      <c r="A616" s="2" t="str">
        <f>HYPERLINK("https://rth.dk/resources/bsgatlas/details.php?id=BSGatlas-gene-615","BSGatlas-gene-615")</f>
        <v>BSGatlas-gene-615</v>
      </c>
      <c r="B616" s="1" t="s">
        <v>583</v>
      </c>
      <c r="C616" s="1" t="s">
        <v>8</v>
      </c>
      <c r="D616" s="1">
        <v>547306</v>
      </c>
      <c r="E616" s="1">
        <v>548481</v>
      </c>
      <c r="F616" s="1" t="s">
        <v>9</v>
      </c>
      <c r="G616" s="1" t="s">
        <v>11409</v>
      </c>
    </row>
    <row r="617" spans="1:7" ht="21" x14ac:dyDescent="0.25">
      <c r="A617" s="2" t="str">
        <f>HYPERLINK("https://rth.dk/resources/bsgatlas/details.php?id=BSGatlas-gene-616","BSGatlas-gene-616")</f>
        <v>BSGatlas-gene-616</v>
      </c>
      <c r="B617" s="1" t="s">
        <v>584</v>
      </c>
      <c r="C617" s="1" t="s">
        <v>8</v>
      </c>
      <c r="D617" s="1">
        <v>548438</v>
      </c>
      <c r="E617" s="1">
        <v>548557</v>
      </c>
      <c r="F617" s="1" t="s">
        <v>9</v>
      </c>
      <c r="G617" s="1" t="s">
        <v>11409</v>
      </c>
    </row>
    <row r="618" spans="1:7" ht="21" x14ac:dyDescent="0.25">
      <c r="A618" s="2" t="str">
        <f>HYPERLINK("https://rth.dk/resources/bsgatlas/details.php?id=BSGatlas-gene-617","BSGatlas-gene-617")</f>
        <v>BSGatlas-gene-617</v>
      </c>
      <c r="B618" s="1" t="s">
        <v>585</v>
      </c>
      <c r="C618" s="1" t="s">
        <v>8</v>
      </c>
      <c r="D618" s="1">
        <v>548710</v>
      </c>
      <c r="E618" s="1">
        <v>549651</v>
      </c>
      <c r="F618" s="1" t="s">
        <v>9</v>
      </c>
      <c r="G618" s="1" t="s">
        <v>11409</v>
      </c>
    </row>
    <row r="619" spans="1:7" ht="21" x14ac:dyDescent="0.25">
      <c r="A619" s="2" t="str">
        <f>HYPERLINK("https://rth.dk/resources/bsgatlas/details.php?id=BSGatlas-gene-618","BSGatlas-gene-618")</f>
        <v>BSGatlas-gene-618</v>
      </c>
      <c r="B619" s="1" t="s">
        <v>586</v>
      </c>
      <c r="C619" s="1" t="s">
        <v>8</v>
      </c>
      <c r="D619" s="1">
        <v>550240</v>
      </c>
      <c r="E619" s="1">
        <v>551259</v>
      </c>
      <c r="F619" s="1" t="s">
        <v>13</v>
      </c>
      <c r="G619" s="1" t="s">
        <v>11409</v>
      </c>
    </row>
    <row r="620" spans="1:7" ht="21" x14ac:dyDescent="0.25">
      <c r="A620" s="2" t="str">
        <f>HYPERLINK("https://rth.dk/resources/bsgatlas/details.php?id=BSGatlas-gene-619","BSGatlas-gene-619")</f>
        <v>BSGatlas-gene-619</v>
      </c>
      <c r="B620" s="1" t="s">
        <v>587</v>
      </c>
      <c r="C620" s="1" t="s">
        <v>8</v>
      </c>
      <c r="D620" s="1">
        <v>551519</v>
      </c>
      <c r="E620" s="1">
        <v>551929</v>
      </c>
      <c r="F620" s="1" t="s">
        <v>9</v>
      </c>
      <c r="G620" s="1" t="s">
        <v>11409</v>
      </c>
    </row>
    <row r="621" spans="1:7" ht="21" x14ac:dyDescent="0.25">
      <c r="A621" s="2" t="str">
        <f>HYPERLINK("https://rth.dk/resources/bsgatlas/details.php?id=BSGatlas-gene-620","BSGatlas-gene-620")</f>
        <v>BSGatlas-gene-620</v>
      </c>
      <c r="B621" s="1" t="s">
        <v>588</v>
      </c>
      <c r="C621" s="1" t="s">
        <v>8</v>
      </c>
      <c r="D621" s="1">
        <v>552052</v>
      </c>
      <c r="E621" s="1">
        <v>552501</v>
      </c>
      <c r="F621" s="1" t="s">
        <v>13</v>
      </c>
      <c r="G621" s="1" t="s">
        <v>11409</v>
      </c>
    </row>
    <row r="622" spans="1:7" ht="21" x14ac:dyDescent="0.25">
      <c r="A622" s="2" t="str">
        <f>HYPERLINK("https://rth.dk/resources/bsgatlas/details.php?id=BSGatlas-gene-621","BSGatlas-gene-621")</f>
        <v>BSGatlas-gene-621</v>
      </c>
      <c r="B622" s="1" t="s">
        <v>11456</v>
      </c>
      <c r="C622" s="1" t="s">
        <v>8</v>
      </c>
      <c r="D622" s="1">
        <v>552616</v>
      </c>
      <c r="E622" s="1">
        <v>553158</v>
      </c>
      <c r="F622" s="1" t="s">
        <v>9</v>
      </c>
      <c r="G622" s="1" t="s">
        <v>11409</v>
      </c>
    </row>
    <row r="623" spans="1:7" ht="21" x14ac:dyDescent="0.25">
      <c r="A623" s="2" t="str">
        <f>HYPERLINK("https://rth.dk/resources/bsgatlas/details.php?id=BSGatlas-gene-622","BSGatlas-gene-622")</f>
        <v>BSGatlas-gene-622</v>
      </c>
      <c r="B623" s="1" t="s">
        <v>589</v>
      </c>
      <c r="C623" s="1" t="s">
        <v>8</v>
      </c>
      <c r="D623" s="1">
        <v>553711</v>
      </c>
      <c r="E623" s="1">
        <v>554475</v>
      </c>
      <c r="F623" s="1" t="s">
        <v>9</v>
      </c>
      <c r="G623" s="1" t="s">
        <v>11409</v>
      </c>
    </row>
    <row r="624" spans="1:7" ht="21" x14ac:dyDescent="0.25">
      <c r="A624" s="2" t="str">
        <f>HYPERLINK("https://rth.dk/resources/bsgatlas/details.php?id=BSGatlas-gene-623","BSGatlas-gene-623")</f>
        <v>BSGatlas-gene-623</v>
      </c>
      <c r="B624" s="1" t="s">
        <v>11457</v>
      </c>
      <c r="C624" s="1" t="s">
        <v>8</v>
      </c>
      <c r="D624" s="1">
        <v>554669</v>
      </c>
      <c r="E624" s="1">
        <v>555979</v>
      </c>
      <c r="F624" s="1" t="s">
        <v>9</v>
      </c>
      <c r="G624" s="1" t="s">
        <v>11409</v>
      </c>
    </row>
    <row r="625" spans="1:7" ht="21" x14ac:dyDescent="0.25">
      <c r="A625" s="2" t="str">
        <f>HYPERLINK("https://rth.dk/resources/bsgatlas/details.php?id=BSGatlas-gene-624","BSGatlas-gene-624")</f>
        <v>BSGatlas-gene-624</v>
      </c>
      <c r="B625" s="1" t="s">
        <v>590</v>
      </c>
      <c r="C625" s="1" t="s">
        <v>8</v>
      </c>
      <c r="D625" s="1">
        <v>556562</v>
      </c>
      <c r="E625" s="1">
        <v>556738</v>
      </c>
      <c r="F625" s="1" t="s">
        <v>9</v>
      </c>
      <c r="G625" s="1" t="s">
        <v>11409</v>
      </c>
    </row>
    <row r="626" spans="1:7" ht="21" x14ac:dyDescent="0.25">
      <c r="A626" s="2" t="str">
        <f>HYPERLINK("https://rth.dk/resources/bsgatlas/details.php?id=BSGatlas-gene-625","BSGatlas-gene-625")</f>
        <v>BSGatlas-gene-625</v>
      </c>
      <c r="B626" s="1" t="s">
        <v>591</v>
      </c>
      <c r="C626" s="1" t="s">
        <v>8</v>
      </c>
      <c r="D626" s="1">
        <v>556763</v>
      </c>
      <c r="E626" s="1">
        <v>557449</v>
      </c>
      <c r="F626" s="1" t="s">
        <v>9</v>
      </c>
      <c r="G626" s="1" t="s">
        <v>11409</v>
      </c>
    </row>
    <row r="627" spans="1:7" ht="21" x14ac:dyDescent="0.25">
      <c r="A627" s="2" t="str">
        <f>HYPERLINK("https://rth.dk/resources/bsgatlas/details.php?id=BSGatlas-gene-626","BSGatlas-gene-626")</f>
        <v>BSGatlas-gene-626</v>
      </c>
      <c r="B627" s="1" t="s">
        <v>592</v>
      </c>
      <c r="C627" s="1" t="s">
        <v>8</v>
      </c>
      <c r="D627" s="1">
        <v>557873</v>
      </c>
      <c r="E627" s="1">
        <v>558058</v>
      </c>
      <c r="F627" s="1" t="s">
        <v>9</v>
      </c>
      <c r="G627" s="1" t="s">
        <v>11409</v>
      </c>
    </row>
    <row r="628" spans="1:7" ht="21" x14ac:dyDescent="0.25">
      <c r="A628" s="2" t="str">
        <f>HYPERLINK("https://rth.dk/resources/bsgatlas/details.php?id=BSGatlas-gene-627","BSGatlas-gene-627")</f>
        <v>BSGatlas-gene-627</v>
      </c>
      <c r="B628" s="1" t="s">
        <v>11458</v>
      </c>
      <c r="C628" s="1" t="s">
        <v>8</v>
      </c>
      <c r="D628" s="1">
        <v>558408</v>
      </c>
      <c r="E628" s="1">
        <v>559001</v>
      </c>
      <c r="F628" s="1" t="s">
        <v>9</v>
      </c>
      <c r="G628" s="1" t="s">
        <v>11409</v>
      </c>
    </row>
    <row r="629" spans="1:7" ht="21" x14ac:dyDescent="0.25">
      <c r="A629" s="2" t="str">
        <f>HYPERLINK("https://rth.dk/resources/bsgatlas/details.php?id=BSGatlas-gene-628","BSGatlas-gene-628")</f>
        <v>BSGatlas-gene-628</v>
      </c>
      <c r="B629" s="1" t="s">
        <v>593</v>
      </c>
      <c r="C629" s="1" t="s">
        <v>34</v>
      </c>
      <c r="D629" s="1">
        <v>559182</v>
      </c>
      <c r="E629" s="1">
        <v>559512</v>
      </c>
      <c r="F629" s="1" t="s">
        <v>9</v>
      </c>
      <c r="G629" s="1" t="s">
        <v>11410</v>
      </c>
    </row>
    <row r="630" spans="1:7" ht="21" x14ac:dyDescent="0.25">
      <c r="A630" s="2" t="str">
        <f>HYPERLINK("https://rth.dk/resources/bsgatlas/details.php?id=BSGatlas-gene-629","BSGatlas-gene-629")</f>
        <v>BSGatlas-gene-629</v>
      </c>
      <c r="B630" s="1" t="s">
        <v>594</v>
      </c>
      <c r="C630" s="1" t="s">
        <v>8</v>
      </c>
      <c r="D630" s="1">
        <v>559264</v>
      </c>
      <c r="E630" s="1">
        <v>559464</v>
      </c>
      <c r="F630" s="1" t="s">
        <v>9</v>
      </c>
      <c r="G630" s="1" t="s">
        <v>11409</v>
      </c>
    </row>
    <row r="631" spans="1:7" ht="21" x14ac:dyDescent="0.25">
      <c r="A631" s="2" t="str">
        <f>HYPERLINK("https://rth.dk/resources/bsgatlas/details.php?id=BSGatlas-gene-630","BSGatlas-gene-630")</f>
        <v>BSGatlas-gene-630</v>
      </c>
      <c r="B631" s="1" t="s">
        <v>595</v>
      </c>
      <c r="C631" s="1" t="s">
        <v>12</v>
      </c>
      <c r="D631" s="1">
        <v>559532</v>
      </c>
      <c r="E631" s="1">
        <v>559610</v>
      </c>
      <c r="F631" s="1" t="s">
        <v>13</v>
      </c>
      <c r="G631" s="1" t="s">
        <v>11455</v>
      </c>
    </row>
    <row r="632" spans="1:7" ht="21" x14ac:dyDescent="0.25">
      <c r="A632" s="2" t="str">
        <f>HYPERLINK("https://rth.dk/resources/bsgatlas/details.php?id=BSGatlas-gene-631","BSGatlas-gene-631")</f>
        <v>BSGatlas-gene-631</v>
      </c>
      <c r="B632" s="1" t="s">
        <v>11459</v>
      </c>
      <c r="C632" s="1" t="s">
        <v>55</v>
      </c>
      <c r="D632" s="1">
        <v>559893</v>
      </c>
      <c r="E632" s="1">
        <v>559980</v>
      </c>
      <c r="F632" s="1" t="s">
        <v>9</v>
      </c>
      <c r="G632" s="1" t="s">
        <v>11410</v>
      </c>
    </row>
    <row r="633" spans="1:7" ht="21" x14ac:dyDescent="0.25">
      <c r="A633" s="2" t="str">
        <f>HYPERLINK("https://rth.dk/resources/bsgatlas/details.php?id=BSGatlas-gene-632","BSGatlas-gene-632")</f>
        <v>BSGatlas-gene-632</v>
      </c>
      <c r="B633" s="1" t="s">
        <v>596</v>
      </c>
      <c r="C633" s="1" t="s">
        <v>8</v>
      </c>
      <c r="D633" s="1">
        <v>560151</v>
      </c>
      <c r="E633" s="1">
        <v>560612</v>
      </c>
      <c r="F633" s="1" t="s">
        <v>13</v>
      </c>
      <c r="G633" s="1" t="s">
        <v>11409</v>
      </c>
    </row>
    <row r="634" spans="1:7" ht="21" x14ac:dyDescent="0.25">
      <c r="A634" s="2" t="str">
        <f>HYPERLINK("https://rth.dk/resources/bsgatlas/details.php?id=BSGatlas-gene-633","BSGatlas-gene-633")</f>
        <v>BSGatlas-gene-633</v>
      </c>
      <c r="B634" s="1" t="s">
        <v>597</v>
      </c>
      <c r="C634" s="1" t="s">
        <v>12</v>
      </c>
      <c r="D634" s="1">
        <v>560674</v>
      </c>
      <c r="E634" s="1">
        <v>561156</v>
      </c>
      <c r="F634" s="1" t="s">
        <v>9</v>
      </c>
      <c r="G634" s="1" t="s">
        <v>11442</v>
      </c>
    </row>
    <row r="635" spans="1:7" ht="21" x14ac:dyDescent="0.25">
      <c r="A635" s="2" t="str">
        <f>HYPERLINK("https://rth.dk/resources/bsgatlas/details.php?id=BSGatlas-gene-634","BSGatlas-gene-634")</f>
        <v>BSGatlas-gene-634</v>
      </c>
      <c r="B635" s="1" t="s">
        <v>598</v>
      </c>
      <c r="C635" s="1" t="s">
        <v>8</v>
      </c>
      <c r="D635" s="1">
        <v>561180</v>
      </c>
      <c r="E635" s="1">
        <v>561416</v>
      </c>
      <c r="F635" s="1" t="s">
        <v>13</v>
      </c>
      <c r="G635" s="1" t="s">
        <v>11409</v>
      </c>
    </row>
    <row r="636" spans="1:7" ht="21" x14ac:dyDescent="0.25">
      <c r="A636" s="2" t="str">
        <f>HYPERLINK("https://rth.dk/resources/bsgatlas/details.php?id=BSGatlas-gene-635","BSGatlas-gene-635")</f>
        <v>BSGatlas-gene-635</v>
      </c>
      <c r="B636" s="1" t="s">
        <v>599</v>
      </c>
      <c r="C636" s="1" t="s">
        <v>8</v>
      </c>
      <c r="D636" s="1">
        <v>561514</v>
      </c>
      <c r="E636" s="1">
        <v>562389</v>
      </c>
      <c r="F636" s="1" t="s">
        <v>13</v>
      </c>
      <c r="G636" s="1" t="s">
        <v>11409</v>
      </c>
    </row>
    <row r="637" spans="1:7" ht="21" x14ac:dyDescent="0.25">
      <c r="A637" s="2" t="str">
        <f>HYPERLINK("https://rth.dk/resources/bsgatlas/details.php?id=BSGatlas-gene-636","BSGatlas-gene-636")</f>
        <v>BSGatlas-gene-636</v>
      </c>
      <c r="B637" s="1" t="s">
        <v>600</v>
      </c>
      <c r="C637" s="1" t="s">
        <v>8</v>
      </c>
      <c r="D637" s="1">
        <v>562502</v>
      </c>
      <c r="E637" s="1">
        <v>563461</v>
      </c>
      <c r="F637" s="1" t="s">
        <v>9</v>
      </c>
      <c r="G637" s="1" t="s">
        <v>11409</v>
      </c>
    </row>
    <row r="638" spans="1:7" ht="21" x14ac:dyDescent="0.25">
      <c r="A638" s="2" t="str">
        <f>HYPERLINK("https://rth.dk/resources/bsgatlas/details.php?id=BSGatlas-gene-637","BSGatlas-gene-637")</f>
        <v>BSGatlas-gene-637</v>
      </c>
      <c r="B638" s="1" t="s">
        <v>601</v>
      </c>
      <c r="C638" s="1" t="s">
        <v>8</v>
      </c>
      <c r="D638" s="1">
        <v>563614</v>
      </c>
      <c r="E638" s="1">
        <v>564486</v>
      </c>
      <c r="F638" s="1" t="s">
        <v>13</v>
      </c>
      <c r="G638" s="1" t="s">
        <v>11409</v>
      </c>
    </row>
    <row r="639" spans="1:7" ht="21" x14ac:dyDescent="0.25">
      <c r="A639" s="2" t="str">
        <f>HYPERLINK("https://rth.dk/resources/bsgatlas/details.php?id=BSGatlas-gene-638","BSGatlas-gene-638")</f>
        <v>BSGatlas-gene-638</v>
      </c>
      <c r="B639" s="1" t="s">
        <v>602</v>
      </c>
      <c r="C639" s="1" t="s">
        <v>8</v>
      </c>
      <c r="D639" s="1">
        <v>564713</v>
      </c>
      <c r="E639" s="1">
        <v>566101</v>
      </c>
      <c r="F639" s="1" t="s">
        <v>9</v>
      </c>
      <c r="G639" s="1" t="s">
        <v>11409</v>
      </c>
    </row>
    <row r="640" spans="1:7" ht="21" x14ac:dyDescent="0.25">
      <c r="A640" s="2" t="str">
        <f>HYPERLINK("https://rth.dk/resources/bsgatlas/details.php?id=BSGatlas-gene-639","BSGatlas-gene-639")</f>
        <v>BSGatlas-gene-639</v>
      </c>
      <c r="B640" s="1" t="s">
        <v>11460</v>
      </c>
      <c r="C640" s="1" t="s">
        <v>8</v>
      </c>
      <c r="D640" s="1">
        <v>566211</v>
      </c>
      <c r="E640" s="1">
        <v>567503</v>
      </c>
      <c r="F640" s="1" t="s">
        <v>9</v>
      </c>
      <c r="G640" s="1" t="s">
        <v>11409</v>
      </c>
    </row>
    <row r="641" spans="1:7" ht="21" x14ac:dyDescent="0.25">
      <c r="A641" s="2" t="str">
        <f>HYPERLINK("https://rth.dk/resources/bsgatlas/details.php?id=BSGatlas-gene-640","BSGatlas-gene-640")</f>
        <v>BSGatlas-gene-640</v>
      </c>
      <c r="B641" s="1" t="s">
        <v>603</v>
      </c>
      <c r="C641" s="1" t="s">
        <v>8</v>
      </c>
      <c r="D641" s="1">
        <v>567662</v>
      </c>
      <c r="E641" s="1">
        <v>568108</v>
      </c>
      <c r="F641" s="1" t="s">
        <v>9</v>
      </c>
      <c r="G641" s="1" t="s">
        <v>11409</v>
      </c>
    </row>
    <row r="642" spans="1:7" ht="21" x14ac:dyDescent="0.25">
      <c r="A642" s="2" t="str">
        <f>HYPERLINK("https://rth.dk/resources/bsgatlas/details.php?id=BSGatlas-gene-641","BSGatlas-gene-641")</f>
        <v>BSGatlas-gene-641</v>
      </c>
      <c r="B642" s="1" t="s">
        <v>604</v>
      </c>
      <c r="C642" s="1" t="s">
        <v>8</v>
      </c>
      <c r="D642" s="1">
        <v>568345</v>
      </c>
      <c r="E642" s="1">
        <v>568938</v>
      </c>
      <c r="F642" s="1" t="s">
        <v>9</v>
      </c>
      <c r="G642" s="1" t="s">
        <v>11409</v>
      </c>
    </row>
    <row r="643" spans="1:7" ht="21" x14ac:dyDescent="0.25">
      <c r="A643" s="2" t="str">
        <f>HYPERLINK("https://rth.dk/resources/bsgatlas/details.php?id=BSGatlas-gene-642","BSGatlas-gene-642")</f>
        <v>BSGatlas-gene-642</v>
      </c>
      <c r="B643" s="1" t="s">
        <v>605</v>
      </c>
      <c r="C643" s="1" t="s">
        <v>8</v>
      </c>
      <c r="D643" s="1">
        <v>569290</v>
      </c>
      <c r="E643" s="1">
        <v>569949</v>
      </c>
      <c r="F643" s="1" t="s">
        <v>13</v>
      </c>
      <c r="G643" s="1" t="s">
        <v>11409</v>
      </c>
    </row>
    <row r="644" spans="1:7" ht="21" x14ac:dyDescent="0.25">
      <c r="A644" s="2" t="str">
        <f>HYPERLINK("https://rth.dk/resources/bsgatlas/details.php?id=BSGatlas-gene-643","BSGatlas-gene-643")</f>
        <v>BSGatlas-gene-643</v>
      </c>
      <c r="B644" s="1" t="s">
        <v>606</v>
      </c>
      <c r="C644" s="1" t="s">
        <v>8</v>
      </c>
      <c r="D644" s="1">
        <v>570371</v>
      </c>
      <c r="E644" s="1">
        <v>571234</v>
      </c>
      <c r="F644" s="1" t="s">
        <v>13</v>
      </c>
      <c r="G644" s="1" t="s">
        <v>11409</v>
      </c>
    </row>
    <row r="645" spans="1:7" ht="21" x14ac:dyDescent="0.25">
      <c r="A645" s="2" t="str">
        <f>HYPERLINK("https://rth.dk/resources/bsgatlas/details.php?id=BSGatlas-gene-644","BSGatlas-gene-644")</f>
        <v>BSGatlas-gene-644</v>
      </c>
      <c r="B645" s="1" t="s">
        <v>607</v>
      </c>
      <c r="C645" s="1" t="s">
        <v>8</v>
      </c>
      <c r="D645" s="1">
        <v>571389</v>
      </c>
      <c r="E645" s="1">
        <v>572780</v>
      </c>
      <c r="F645" s="1" t="s">
        <v>9</v>
      </c>
      <c r="G645" s="1" t="s">
        <v>11409</v>
      </c>
    </row>
    <row r="646" spans="1:7" ht="21" x14ac:dyDescent="0.25">
      <c r="A646" s="2" t="str">
        <f>HYPERLINK("https://rth.dk/resources/bsgatlas/details.php?id=BSGatlas-gene-645","BSGatlas-gene-645")</f>
        <v>BSGatlas-gene-645</v>
      </c>
      <c r="B646" s="1" t="s">
        <v>608</v>
      </c>
      <c r="C646" s="1" t="s">
        <v>8</v>
      </c>
      <c r="D646" s="1">
        <v>572974</v>
      </c>
      <c r="E646" s="1">
        <v>573399</v>
      </c>
      <c r="F646" s="1" t="s">
        <v>9</v>
      </c>
      <c r="G646" s="1" t="s">
        <v>11409</v>
      </c>
    </row>
    <row r="647" spans="1:7" ht="21" x14ac:dyDescent="0.25">
      <c r="A647" s="2" t="str">
        <f>HYPERLINK("https://rth.dk/resources/bsgatlas/details.php?id=BSGatlas-gene-646","BSGatlas-gene-646")</f>
        <v>BSGatlas-gene-646</v>
      </c>
      <c r="B647" s="1" t="s">
        <v>609</v>
      </c>
      <c r="C647" s="1" t="s">
        <v>8</v>
      </c>
      <c r="D647" s="1">
        <v>573452</v>
      </c>
      <c r="E647" s="1">
        <v>574024</v>
      </c>
      <c r="F647" s="1" t="s">
        <v>13</v>
      </c>
      <c r="G647" s="1" t="s">
        <v>11409</v>
      </c>
    </row>
    <row r="648" spans="1:7" ht="21" x14ac:dyDescent="0.25">
      <c r="A648" s="2" t="str">
        <f>HYPERLINK("https://rth.dk/resources/bsgatlas/details.php?id=BSGatlas-gene-647","BSGatlas-gene-647")</f>
        <v>BSGatlas-gene-647</v>
      </c>
      <c r="B648" s="1" t="s">
        <v>610</v>
      </c>
      <c r="C648" s="1" t="s">
        <v>8</v>
      </c>
      <c r="D648" s="1">
        <v>574106</v>
      </c>
      <c r="E648" s="1">
        <v>574435</v>
      </c>
      <c r="F648" s="1" t="s">
        <v>13</v>
      </c>
      <c r="G648" s="1" t="s">
        <v>11409</v>
      </c>
    </row>
    <row r="649" spans="1:7" ht="21" x14ac:dyDescent="0.25">
      <c r="A649" s="2" t="str">
        <f>HYPERLINK("https://rth.dk/resources/bsgatlas/details.php?id=BSGatlas-gene-648","BSGatlas-gene-648")</f>
        <v>BSGatlas-gene-648</v>
      </c>
      <c r="B649" s="1" t="s">
        <v>611</v>
      </c>
      <c r="C649" s="1" t="s">
        <v>8</v>
      </c>
      <c r="D649" s="1">
        <v>574690</v>
      </c>
      <c r="E649" s="1">
        <v>575562</v>
      </c>
      <c r="F649" s="1" t="s">
        <v>9</v>
      </c>
      <c r="G649" s="1" t="s">
        <v>11409</v>
      </c>
    </row>
    <row r="650" spans="1:7" ht="21" x14ac:dyDescent="0.25">
      <c r="A650" s="2" t="str">
        <f>HYPERLINK("https://rth.dk/resources/bsgatlas/details.php?id=BSGatlas-gene-649","BSGatlas-gene-649")</f>
        <v>BSGatlas-gene-649</v>
      </c>
      <c r="B650" s="1" t="s">
        <v>612</v>
      </c>
      <c r="C650" s="1" t="s">
        <v>8</v>
      </c>
      <c r="D650" s="1">
        <v>575712</v>
      </c>
      <c r="E650" s="1">
        <v>576098</v>
      </c>
      <c r="F650" s="1" t="s">
        <v>13</v>
      </c>
      <c r="G650" s="1" t="s">
        <v>11409</v>
      </c>
    </row>
    <row r="651" spans="1:7" ht="21" x14ac:dyDescent="0.25">
      <c r="A651" s="2" t="str">
        <f>HYPERLINK("https://rth.dk/resources/bsgatlas/details.php?id=BSGatlas-gene-650","BSGatlas-gene-650")</f>
        <v>BSGatlas-gene-650</v>
      </c>
      <c r="B651" s="1" t="s">
        <v>613</v>
      </c>
      <c r="C651" s="1" t="s">
        <v>8</v>
      </c>
      <c r="D651" s="1">
        <v>576209</v>
      </c>
      <c r="E651" s="1">
        <v>576802</v>
      </c>
      <c r="F651" s="1" t="s">
        <v>9</v>
      </c>
      <c r="G651" s="1" t="s">
        <v>11409</v>
      </c>
    </row>
    <row r="652" spans="1:7" ht="21" x14ac:dyDescent="0.25">
      <c r="A652" s="2" t="str">
        <f>HYPERLINK("https://rth.dk/resources/bsgatlas/details.php?id=BSGatlas-gene-651","BSGatlas-gene-651")</f>
        <v>BSGatlas-gene-651</v>
      </c>
      <c r="B652" s="1" t="s">
        <v>614</v>
      </c>
      <c r="C652" s="1" t="s">
        <v>8</v>
      </c>
      <c r="D652" s="1">
        <v>576946</v>
      </c>
      <c r="E652" s="1">
        <v>578133</v>
      </c>
      <c r="F652" s="1" t="s">
        <v>13</v>
      </c>
      <c r="G652" s="1" t="s">
        <v>11409</v>
      </c>
    </row>
    <row r="653" spans="1:7" ht="21" x14ac:dyDescent="0.25">
      <c r="A653" s="2" t="str">
        <f>HYPERLINK("https://rth.dk/resources/bsgatlas/details.php?id=BSGatlas-gene-652","BSGatlas-gene-652")</f>
        <v>BSGatlas-gene-652</v>
      </c>
      <c r="B653" s="1" t="s">
        <v>615</v>
      </c>
      <c r="C653" s="1" t="s">
        <v>8</v>
      </c>
      <c r="D653" s="1">
        <v>578337</v>
      </c>
      <c r="E653" s="1">
        <v>578933</v>
      </c>
      <c r="F653" s="1" t="s">
        <v>9</v>
      </c>
      <c r="G653" s="1" t="s">
        <v>11409</v>
      </c>
    </row>
    <row r="654" spans="1:7" ht="21" x14ac:dyDescent="0.25">
      <c r="A654" s="2" t="str">
        <f>HYPERLINK("https://rth.dk/resources/bsgatlas/details.php?id=BSGatlas-gene-653","BSGatlas-gene-653")</f>
        <v>BSGatlas-gene-653</v>
      </c>
      <c r="B654" s="1" t="s">
        <v>616</v>
      </c>
      <c r="C654" s="1" t="s">
        <v>8</v>
      </c>
      <c r="D654" s="1">
        <v>579047</v>
      </c>
      <c r="E654" s="1">
        <v>579232</v>
      </c>
      <c r="F654" s="1" t="s">
        <v>9</v>
      </c>
      <c r="G654" s="1" t="s">
        <v>11409</v>
      </c>
    </row>
    <row r="655" spans="1:7" ht="21" x14ac:dyDescent="0.25">
      <c r="A655" s="2" t="str">
        <f>HYPERLINK("https://rth.dk/resources/bsgatlas/details.php?id=BSGatlas-gene-654","BSGatlas-gene-654")</f>
        <v>BSGatlas-gene-654</v>
      </c>
      <c r="B655" s="1" t="s">
        <v>617</v>
      </c>
      <c r="C655" s="1" t="s">
        <v>8</v>
      </c>
      <c r="D655" s="1">
        <v>579541</v>
      </c>
      <c r="E655" s="1">
        <v>579876</v>
      </c>
      <c r="F655" s="1" t="s">
        <v>9</v>
      </c>
      <c r="G655" s="1" t="s">
        <v>11409</v>
      </c>
    </row>
    <row r="656" spans="1:7" ht="21" x14ac:dyDescent="0.25">
      <c r="A656" s="2" t="str">
        <f>HYPERLINK("https://rth.dk/resources/bsgatlas/details.php?id=BSGatlas-gene-655","BSGatlas-gene-655")</f>
        <v>BSGatlas-gene-655</v>
      </c>
      <c r="B656" s="1" t="s">
        <v>618</v>
      </c>
      <c r="C656" s="1" t="s">
        <v>8</v>
      </c>
      <c r="D656" s="1">
        <v>579889</v>
      </c>
      <c r="E656" s="1">
        <v>581196</v>
      </c>
      <c r="F656" s="1" t="s">
        <v>9</v>
      </c>
      <c r="G656" s="1" t="s">
        <v>11409</v>
      </c>
    </row>
    <row r="657" spans="1:7" ht="21" x14ac:dyDescent="0.25">
      <c r="A657" s="2" t="str">
        <f>HYPERLINK("https://rth.dk/resources/bsgatlas/details.php?id=BSGatlas-gene-656","BSGatlas-gene-656")</f>
        <v>BSGatlas-gene-656</v>
      </c>
      <c r="B657" s="1" t="s">
        <v>619</v>
      </c>
      <c r="C657" s="1" t="s">
        <v>276</v>
      </c>
      <c r="D657" s="1">
        <v>581228</v>
      </c>
      <c r="E657" s="1">
        <v>581329</v>
      </c>
      <c r="F657" s="1" t="s">
        <v>9</v>
      </c>
      <c r="G657" s="1" t="s">
        <v>11441</v>
      </c>
    </row>
    <row r="658" spans="1:7" ht="21" x14ac:dyDescent="0.25">
      <c r="A658" s="2" t="str">
        <f>HYPERLINK("https://rth.dk/resources/bsgatlas/details.php?id=BSGatlas-gene-657","BSGatlas-gene-657")</f>
        <v>BSGatlas-gene-657</v>
      </c>
      <c r="B658" s="1" t="s">
        <v>620</v>
      </c>
      <c r="C658" s="1" t="s">
        <v>276</v>
      </c>
      <c r="D658" s="1">
        <v>581341</v>
      </c>
      <c r="E658" s="1">
        <v>581454</v>
      </c>
      <c r="F658" s="1" t="s">
        <v>9</v>
      </c>
      <c r="G658" s="1" t="s">
        <v>11441</v>
      </c>
    </row>
    <row r="659" spans="1:7" ht="21" x14ac:dyDescent="0.25">
      <c r="A659" s="2" t="str">
        <f>HYPERLINK("https://rth.dk/resources/bsgatlas/details.php?id=BSGatlas-gene-658","BSGatlas-gene-658")</f>
        <v>BSGatlas-gene-658</v>
      </c>
      <c r="B659" s="1" t="s">
        <v>621</v>
      </c>
      <c r="C659" s="1" t="s">
        <v>8</v>
      </c>
      <c r="D659" s="1">
        <v>581694</v>
      </c>
      <c r="E659" s="1">
        <v>582479</v>
      </c>
      <c r="F659" s="1" t="s">
        <v>9</v>
      </c>
      <c r="G659" s="1" t="s">
        <v>11409</v>
      </c>
    </row>
    <row r="660" spans="1:7" ht="21" x14ac:dyDescent="0.25">
      <c r="A660" s="2" t="str">
        <f>HYPERLINK("https://rth.dk/resources/bsgatlas/details.php?id=BSGatlas-gene-659","BSGatlas-gene-659")</f>
        <v>BSGatlas-gene-659</v>
      </c>
      <c r="B660" s="1" t="s">
        <v>622</v>
      </c>
      <c r="C660" s="1" t="s">
        <v>8</v>
      </c>
      <c r="D660" s="1">
        <v>582536</v>
      </c>
      <c r="E660" s="1">
        <v>583456</v>
      </c>
      <c r="F660" s="1" t="s">
        <v>13</v>
      </c>
      <c r="G660" s="1" t="s">
        <v>11409</v>
      </c>
    </row>
    <row r="661" spans="1:7" ht="21" x14ac:dyDescent="0.25">
      <c r="A661" s="2" t="str">
        <f>HYPERLINK("https://rth.dk/resources/bsgatlas/details.php?id=BSGatlas-gene-660","BSGatlas-gene-660")</f>
        <v>BSGatlas-gene-660</v>
      </c>
      <c r="B661" s="1" t="s">
        <v>623</v>
      </c>
      <c r="C661" s="1" t="s">
        <v>8</v>
      </c>
      <c r="D661" s="1">
        <v>583589</v>
      </c>
      <c r="E661" s="1">
        <v>585037</v>
      </c>
      <c r="F661" s="1" t="s">
        <v>9</v>
      </c>
      <c r="G661" s="1" t="s">
        <v>11409</v>
      </c>
    </row>
    <row r="662" spans="1:7" ht="21" x14ac:dyDescent="0.25">
      <c r="A662" s="2" t="str">
        <f>HYPERLINK("https://rth.dk/resources/bsgatlas/details.php?id=BSGatlas-gene-661","BSGatlas-gene-661")</f>
        <v>BSGatlas-gene-661</v>
      </c>
      <c r="B662" s="1" t="s">
        <v>624</v>
      </c>
      <c r="C662" s="1" t="s">
        <v>8</v>
      </c>
      <c r="D662" s="1">
        <v>585155</v>
      </c>
      <c r="E662" s="1">
        <v>585778</v>
      </c>
      <c r="F662" s="1" t="s">
        <v>13</v>
      </c>
      <c r="G662" s="1" t="s">
        <v>11409</v>
      </c>
    </row>
    <row r="663" spans="1:7" ht="21" x14ac:dyDescent="0.25">
      <c r="A663" s="2" t="str">
        <f>HYPERLINK("https://rth.dk/resources/bsgatlas/details.php?id=BSGatlas-gene-662","BSGatlas-gene-662")</f>
        <v>BSGatlas-gene-662</v>
      </c>
      <c r="B663" s="1" t="s">
        <v>625</v>
      </c>
      <c r="C663" s="1" t="s">
        <v>8</v>
      </c>
      <c r="D663" s="1">
        <v>585868</v>
      </c>
      <c r="E663" s="1">
        <v>586548</v>
      </c>
      <c r="F663" s="1" t="s">
        <v>9</v>
      </c>
      <c r="G663" s="1" t="s">
        <v>11409</v>
      </c>
    </row>
    <row r="664" spans="1:7" ht="21" x14ac:dyDescent="0.25">
      <c r="A664" s="2" t="str">
        <f>HYPERLINK("https://rth.dk/resources/bsgatlas/details.php?id=BSGatlas-gene-663","BSGatlas-gene-663")</f>
        <v>BSGatlas-gene-663</v>
      </c>
      <c r="B664" s="1" t="s">
        <v>626</v>
      </c>
      <c r="C664" s="1" t="s">
        <v>8</v>
      </c>
      <c r="D664" s="1">
        <v>586628</v>
      </c>
      <c r="E664" s="1">
        <v>587071</v>
      </c>
      <c r="F664" s="1" t="s">
        <v>13</v>
      </c>
      <c r="G664" s="1" t="s">
        <v>11409</v>
      </c>
    </row>
    <row r="665" spans="1:7" ht="21" x14ac:dyDescent="0.25">
      <c r="A665" s="2" t="str">
        <f>HYPERLINK("https://rth.dk/resources/bsgatlas/details.php?id=BSGatlas-gene-664","BSGatlas-gene-664")</f>
        <v>BSGatlas-gene-664</v>
      </c>
      <c r="B665" s="1" t="s">
        <v>11461</v>
      </c>
      <c r="C665" s="1" t="s">
        <v>8</v>
      </c>
      <c r="D665" s="1">
        <v>587157</v>
      </c>
      <c r="E665" s="1">
        <v>587336</v>
      </c>
      <c r="F665" s="1" t="s">
        <v>13</v>
      </c>
      <c r="G665" s="1" t="s">
        <v>11409</v>
      </c>
    </row>
    <row r="666" spans="1:7" ht="21" x14ac:dyDescent="0.25">
      <c r="A666" s="2" t="str">
        <f>HYPERLINK("https://rth.dk/resources/bsgatlas/details.php?id=BSGatlas-gene-665","BSGatlas-gene-665")</f>
        <v>BSGatlas-gene-665</v>
      </c>
      <c r="B666" s="1" t="s">
        <v>11462</v>
      </c>
      <c r="C666" s="1" t="s">
        <v>8</v>
      </c>
      <c r="D666" s="1">
        <v>587333</v>
      </c>
      <c r="E666" s="1">
        <v>587476</v>
      </c>
      <c r="F666" s="1" t="s">
        <v>13</v>
      </c>
      <c r="G666" s="1" t="s">
        <v>11409</v>
      </c>
    </row>
    <row r="667" spans="1:7" ht="21" x14ac:dyDescent="0.25">
      <c r="A667" s="2" t="str">
        <f>HYPERLINK("https://rth.dk/resources/bsgatlas/details.php?id=BSGatlas-gene-666","BSGatlas-gene-666")</f>
        <v>BSGatlas-gene-666</v>
      </c>
      <c r="B667" s="1" t="s">
        <v>627</v>
      </c>
      <c r="C667" s="1" t="s">
        <v>8</v>
      </c>
      <c r="D667" s="1">
        <v>587744</v>
      </c>
      <c r="E667" s="1">
        <v>588967</v>
      </c>
      <c r="F667" s="1" t="s">
        <v>9</v>
      </c>
      <c r="G667" s="1" t="s">
        <v>11409</v>
      </c>
    </row>
    <row r="668" spans="1:7" ht="21" x14ac:dyDescent="0.25">
      <c r="A668" s="2" t="str">
        <f>HYPERLINK("https://rth.dk/resources/bsgatlas/details.php?id=BSGatlas-gene-667","BSGatlas-gene-667")</f>
        <v>BSGatlas-gene-667</v>
      </c>
      <c r="B668" s="1" t="s">
        <v>628</v>
      </c>
      <c r="C668" s="1" t="s">
        <v>8</v>
      </c>
      <c r="D668" s="1">
        <v>588960</v>
      </c>
      <c r="E668" s="1">
        <v>589601</v>
      </c>
      <c r="F668" s="1" t="s">
        <v>9</v>
      </c>
      <c r="G668" s="1" t="s">
        <v>11409</v>
      </c>
    </row>
    <row r="669" spans="1:7" ht="21" x14ac:dyDescent="0.25">
      <c r="A669" s="2" t="str">
        <f>HYPERLINK("https://rth.dk/resources/bsgatlas/details.php?id=BSGatlas-gene-668","BSGatlas-gene-668")</f>
        <v>BSGatlas-gene-668</v>
      </c>
      <c r="B669" s="1" t="s">
        <v>629</v>
      </c>
      <c r="C669" s="1" t="s">
        <v>8</v>
      </c>
      <c r="D669" s="1">
        <v>589717</v>
      </c>
      <c r="E669" s="1">
        <v>591891</v>
      </c>
      <c r="F669" s="1" t="s">
        <v>9</v>
      </c>
      <c r="G669" s="1" t="s">
        <v>11409</v>
      </c>
    </row>
    <row r="670" spans="1:7" ht="21" x14ac:dyDescent="0.25">
      <c r="A670" s="2" t="str">
        <f>HYPERLINK("https://rth.dk/resources/bsgatlas/details.php?id=BSGatlas-gene-669","BSGatlas-gene-669")</f>
        <v>BSGatlas-gene-669</v>
      </c>
      <c r="B670" s="1" t="s">
        <v>630</v>
      </c>
      <c r="C670" s="1" t="s">
        <v>8</v>
      </c>
      <c r="D670" s="1">
        <v>592303</v>
      </c>
      <c r="E670" s="1">
        <v>593205</v>
      </c>
      <c r="F670" s="1" t="s">
        <v>13</v>
      </c>
      <c r="G670" s="1" t="s">
        <v>11409</v>
      </c>
    </row>
    <row r="671" spans="1:7" ht="21" x14ac:dyDescent="0.25">
      <c r="A671" s="2" t="str">
        <f>HYPERLINK("https://rth.dk/resources/bsgatlas/details.php?id=BSGatlas-gene-670","BSGatlas-gene-670")</f>
        <v>BSGatlas-gene-670</v>
      </c>
      <c r="B671" s="1" t="s">
        <v>631</v>
      </c>
      <c r="C671" s="1" t="s">
        <v>8</v>
      </c>
      <c r="D671" s="1">
        <v>593407</v>
      </c>
      <c r="E671" s="1">
        <v>594096</v>
      </c>
      <c r="F671" s="1" t="s">
        <v>13</v>
      </c>
      <c r="G671" s="1" t="s">
        <v>11409</v>
      </c>
    </row>
    <row r="672" spans="1:7" ht="21" x14ac:dyDescent="0.25">
      <c r="A672" s="2" t="str">
        <f>HYPERLINK("https://rth.dk/resources/bsgatlas/details.php?id=BSGatlas-gene-671","BSGatlas-gene-671")</f>
        <v>BSGatlas-gene-671</v>
      </c>
      <c r="B672" s="1" t="s">
        <v>632</v>
      </c>
      <c r="C672" s="1" t="s">
        <v>8</v>
      </c>
      <c r="D672" s="1">
        <v>594186</v>
      </c>
      <c r="E672" s="1">
        <v>594998</v>
      </c>
      <c r="F672" s="1" t="s">
        <v>13</v>
      </c>
      <c r="G672" s="1" t="s">
        <v>11409</v>
      </c>
    </row>
    <row r="673" spans="1:7" ht="21" x14ac:dyDescent="0.25">
      <c r="A673" s="2" t="str">
        <f>HYPERLINK("https://rth.dk/resources/bsgatlas/details.php?id=BSGatlas-gene-672","BSGatlas-gene-672")</f>
        <v>BSGatlas-gene-672</v>
      </c>
      <c r="B673" s="1" t="s">
        <v>633</v>
      </c>
      <c r="C673" s="1" t="s">
        <v>8</v>
      </c>
      <c r="D673" s="1">
        <v>595109</v>
      </c>
      <c r="E673" s="1">
        <v>596002</v>
      </c>
      <c r="F673" s="1" t="s">
        <v>13</v>
      </c>
      <c r="G673" s="1" t="s">
        <v>11409</v>
      </c>
    </row>
    <row r="674" spans="1:7" ht="21" x14ac:dyDescent="0.25">
      <c r="A674" s="2" t="str">
        <f>HYPERLINK("https://rth.dk/resources/bsgatlas/details.php?id=BSGatlas-gene-673","BSGatlas-gene-673")</f>
        <v>BSGatlas-gene-673</v>
      </c>
      <c r="B674" s="1" t="s">
        <v>634</v>
      </c>
      <c r="C674" s="1" t="s">
        <v>8</v>
      </c>
      <c r="D674" s="1">
        <v>596478</v>
      </c>
      <c r="E674" s="1">
        <v>597098</v>
      </c>
      <c r="F674" s="1" t="s">
        <v>9</v>
      </c>
      <c r="G674" s="1" t="s">
        <v>11409</v>
      </c>
    </row>
    <row r="675" spans="1:7" ht="21" x14ac:dyDescent="0.25">
      <c r="A675" s="2" t="str">
        <f>HYPERLINK("https://rth.dk/resources/bsgatlas/details.php?id=BSGatlas-gene-674","BSGatlas-gene-674")</f>
        <v>BSGatlas-gene-674</v>
      </c>
      <c r="B675" s="1" t="s">
        <v>635</v>
      </c>
      <c r="C675" s="1" t="s">
        <v>8</v>
      </c>
      <c r="D675" s="1">
        <v>597114</v>
      </c>
      <c r="E675" s="1">
        <v>598052</v>
      </c>
      <c r="F675" s="1" t="s">
        <v>9</v>
      </c>
      <c r="G675" s="1" t="s">
        <v>11409</v>
      </c>
    </row>
    <row r="676" spans="1:7" ht="21" x14ac:dyDescent="0.25">
      <c r="A676" s="2" t="str">
        <f>HYPERLINK("https://rth.dk/resources/bsgatlas/details.php?id=BSGatlas-gene-675","BSGatlas-gene-675")</f>
        <v>BSGatlas-gene-675</v>
      </c>
      <c r="B676" s="1" t="s">
        <v>636</v>
      </c>
      <c r="C676" s="1" t="s">
        <v>8</v>
      </c>
      <c r="D676" s="1">
        <v>598154</v>
      </c>
      <c r="E676" s="1">
        <v>598543</v>
      </c>
      <c r="F676" s="1" t="s">
        <v>9</v>
      </c>
      <c r="G676" s="1" t="s">
        <v>11409</v>
      </c>
    </row>
    <row r="677" spans="1:7" ht="21" x14ac:dyDescent="0.25">
      <c r="A677" s="2" t="str">
        <f>HYPERLINK("https://rth.dk/resources/bsgatlas/details.php?id=BSGatlas-gene-676","BSGatlas-gene-676")</f>
        <v>BSGatlas-gene-676</v>
      </c>
      <c r="B677" s="1" t="s">
        <v>637</v>
      </c>
      <c r="C677" s="1" t="s">
        <v>8</v>
      </c>
      <c r="D677" s="1">
        <v>598729</v>
      </c>
      <c r="E677" s="1">
        <v>599067</v>
      </c>
      <c r="F677" s="1" t="s">
        <v>9</v>
      </c>
      <c r="G677" s="1" t="s">
        <v>11409</v>
      </c>
    </row>
    <row r="678" spans="1:7" ht="21" x14ac:dyDescent="0.25">
      <c r="A678" s="2" t="str">
        <f>HYPERLINK("https://rth.dk/resources/bsgatlas/details.php?id=BSGatlas-gene-677","BSGatlas-gene-677")</f>
        <v>BSGatlas-gene-677</v>
      </c>
      <c r="B678" s="1" t="s">
        <v>638</v>
      </c>
      <c r="C678" s="1" t="s">
        <v>8</v>
      </c>
      <c r="D678" s="1">
        <v>599107</v>
      </c>
      <c r="E678" s="1">
        <v>599343</v>
      </c>
      <c r="F678" s="1" t="s">
        <v>13</v>
      </c>
      <c r="G678" s="1" t="s">
        <v>11409</v>
      </c>
    </row>
    <row r="679" spans="1:7" ht="21" x14ac:dyDescent="0.25">
      <c r="A679" s="2" t="str">
        <f>HYPERLINK("https://rth.dk/resources/bsgatlas/details.php?id=BSGatlas-gene-678","BSGatlas-gene-678")</f>
        <v>BSGatlas-gene-678</v>
      </c>
      <c r="B679" s="1" t="s">
        <v>640</v>
      </c>
      <c r="C679" s="1" t="s">
        <v>8</v>
      </c>
      <c r="D679" s="1">
        <v>599875</v>
      </c>
      <c r="E679" s="1">
        <v>600105</v>
      </c>
      <c r="F679" s="1" t="s">
        <v>13</v>
      </c>
      <c r="G679" s="1" t="s">
        <v>11409</v>
      </c>
    </row>
    <row r="680" spans="1:7" ht="21" x14ac:dyDescent="0.25">
      <c r="A680" s="2" t="str">
        <f>HYPERLINK("https://rth.dk/resources/bsgatlas/details.php?id=BSGatlas-gene-679","BSGatlas-gene-679")</f>
        <v>BSGatlas-gene-679</v>
      </c>
      <c r="B680" s="1" t="s">
        <v>641</v>
      </c>
      <c r="C680" s="1" t="s">
        <v>8</v>
      </c>
      <c r="D680" s="1">
        <v>600229</v>
      </c>
      <c r="E680" s="1">
        <v>600906</v>
      </c>
      <c r="F680" s="1" t="s">
        <v>13</v>
      </c>
      <c r="G680" s="1" t="s">
        <v>11409</v>
      </c>
    </row>
    <row r="681" spans="1:7" ht="21" x14ac:dyDescent="0.25">
      <c r="A681" s="2" t="str">
        <f>HYPERLINK("https://rth.dk/resources/bsgatlas/details.php?id=BSGatlas-gene-680","BSGatlas-gene-680")</f>
        <v>BSGatlas-gene-680</v>
      </c>
      <c r="B681" s="1" t="s">
        <v>639</v>
      </c>
      <c r="C681" s="1" t="s">
        <v>8</v>
      </c>
      <c r="D681" s="1">
        <v>601019</v>
      </c>
      <c r="E681" s="1">
        <v>601726</v>
      </c>
      <c r="F681" s="1" t="s">
        <v>9</v>
      </c>
      <c r="G681" s="1" t="s">
        <v>11409</v>
      </c>
    </row>
    <row r="682" spans="1:7" ht="21" x14ac:dyDescent="0.25">
      <c r="A682" s="2" t="str">
        <f>HYPERLINK("https://rth.dk/resources/bsgatlas/details.php?id=BSGatlas-gene-681","BSGatlas-gene-681")</f>
        <v>BSGatlas-gene-681</v>
      </c>
      <c r="B682" s="1" t="s">
        <v>642</v>
      </c>
      <c r="C682" s="1" t="s">
        <v>8</v>
      </c>
      <c r="D682" s="1">
        <v>601741</v>
      </c>
      <c r="E682" s="1">
        <v>602172</v>
      </c>
      <c r="F682" s="1" t="s">
        <v>13</v>
      </c>
      <c r="G682" s="1" t="s">
        <v>11409</v>
      </c>
    </row>
    <row r="683" spans="1:7" ht="21" x14ac:dyDescent="0.25">
      <c r="A683" s="2" t="str">
        <f>HYPERLINK("https://rth.dk/resources/bsgatlas/details.php?id=BSGatlas-gene-682","BSGatlas-gene-682")</f>
        <v>BSGatlas-gene-682</v>
      </c>
      <c r="B683" s="1" t="s">
        <v>643</v>
      </c>
      <c r="C683" s="1" t="s">
        <v>8</v>
      </c>
      <c r="D683" s="1">
        <v>602185</v>
      </c>
      <c r="E683" s="1">
        <v>602427</v>
      </c>
      <c r="F683" s="1" t="s">
        <v>13</v>
      </c>
      <c r="G683" s="1" t="s">
        <v>11409</v>
      </c>
    </row>
    <row r="684" spans="1:7" ht="21" x14ac:dyDescent="0.25">
      <c r="A684" s="2" t="str">
        <f>HYPERLINK("https://rth.dk/resources/bsgatlas/details.php?id=BSGatlas-gene-683","BSGatlas-gene-683")</f>
        <v>BSGatlas-gene-683</v>
      </c>
      <c r="B684" s="1" t="s">
        <v>644</v>
      </c>
      <c r="C684" s="1" t="s">
        <v>8</v>
      </c>
      <c r="D684" s="1">
        <v>602441</v>
      </c>
      <c r="E684" s="1">
        <v>602713</v>
      </c>
      <c r="F684" s="1" t="s">
        <v>13</v>
      </c>
      <c r="G684" s="1" t="s">
        <v>11409</v>
      </c>
    </row>
    <row r="685" spans="1:7" ht="21" x14ac:dyDescent="0.25">
      <c r="A685" s="2" t="str">
        <f>HYPERLINK("https://rth.dk/resources/bsgatlas/details.php?id=BSGatlas-gene-684","BSGatlas-gene-684")</f>
        <v>BSGatlas-gene-684</v>
      </c>
      <c r="B685" s="1" t="s">
        <v>645</v>
      </c>
      <c r="C685" s="1" t="s">
        <v>8</v>
      </c>
      <c r="D685" s="1">
        <v>603012</v>
      </c>
      <c r="E685" s="1">
        <v>603599</v>
      </c>
      <c r="F685" s="1" t="s">
        <v>9</v>
      </c>
      <c r="G685" s="1" t="s">
        <v>11409</v>
      </c>
    </row>
    <row r="686" spans="1:7" ht="21" x14ac:dyDescent="0.25">
      <c r="A686" s="2" t="str">
        <f>HYPERLINK("https://rth.dk/resources/bsgatlas/details.php?id=BSGatlas-gene-685","BSGatlas-gene-685")</f>
        <v>BSGatlas-gene-685</v>
      </c>
      <c r="B686" s="1" t="s">
        <v>646</v>
      </c>
      <c r="C686" s="1" t="s">
        <v>8</v>
      </c>
      <c r="D686" s="1">
        <v>603596</v>
      </c>
      <c r="E686" s="1">
        <v>603940</v>
      </c>
      <c r="F686" s="1" t="s">
        <v>9</v>
      </c>
      <c r="G686" s="1" t="s">
        <v>11409</v>
      </c>
    </row>
    <row r="687" spans="1:7" ht="21" x14ac:dyDescent="0.25">
      <c r="A687" s="2" t="str">
        <f>HYPERLINK("https://rth.dk/resources/bsgatlas/details.php?id=BSGatlas-gene-686","BSGatlas-gene-686")</f>
        <v>BSGatlas-gene-686</v>
      </c>
      <c r="B687" s="1" t="s">
        <v>647</v>
      </c>
      <c r="C687" s="1" t="s">
        <v>8</v>
      </c>
      <c r="D687" s="1">
        <v>604103</v>
      </c>
      <c r="E687" s="1">
        <v>604576</v>
      </c>
      <c r="F687" s="1" t="s">
        <v>9</v>
      </c>
      <c r="G687" s="1" t="s">
        <v>11409</v>
      </c>
    </row>
    <row r="688" spans="1:7" ht="21" x14ac:dyDescent="0.25">
      <c r="A688" s="2" t="str">
        <f>HYPERLINK("https://rth.dk/resources/bsgatlas/details.php?id=BSGatlas-gene-687","BSGatlas-gene-687")</f>
        <v>BSGatlas-gene-687</v>
      </c>
      <c r="B688" s="1" t="s">
        <v>648</v>
      </c>
      <c r="C688" s="1" t="s">
        <v>8</v>
      </c>
      <c r="D688" s="1">
        <v>604736</v>
      </c>
      <c r="E688" s="1">
        <v>606379</v>
      </c>
      <c r="F688" s="1" t="s">
        <v>13</v>
      </c>
      <c r="G688" s="1" t="s">
        <v>11409</v>
      </c>
    </row>
    <row r="689" spans="1:7" ht="21" x14ac:dyDescent="0.25">
      <c r="A689" s="2" t="str">
        <f>HYPERLINK("https://rth.dk/resources/bsgatlas/details.php?id=BSGatlas-gene-688","BSGatlas-gene-688")</f>
        <v>BSGatlas-gene-688</v>
      </c>
      <c r="B689" s="1" t="s">
        <v>649</v>
      </c>
      <c r="C689" s="1" t="s">
        <v>55</v>
      </c>
      <c r="D689" s="1">
        <v>606406</v>
      </c>
      <c r="E689" s="1">
        <v>606606</v>
      </c>
      <c r="F689" s="1" t="s">
        <v>13</v>
      </c>
      <c r="G689" s="1" t="s">
        <v>11463</v>
      </c>
    </row>
    <row r="690" spans="1:7" ht="21" x14ac:dyDescent="0.25">
      <c r="A690" s="2" t="str">
        <f>HYPERLINK("https://rth.dk/resources/bsgatlas/details.php?id=BSGatlas-gene-689","BSGatlas-gene-689")</f>
        <v>BSGatlas-gene-689</v>
      </c>
      <c r="B690" s="1" t="s">
        <v>650</v>
      </c>
      <c r="C690" s="1" t="s">
        <v>8</v>
      </c>
      <c r="D690" s="1">
        <v>606699</v>
      </c>
      <c r="E690" s="1">
        <v>608075</v>
      </c>
      <c r="F690" s="1" t="s">
        <v>13</v>
      </c>
      <c r="G690" s="1" t="s">
        <v>11409</v>
      </c>
    </row>
    <row r="691" spans="1:7" ht="21" x14ac:dyDescent="0.25">
      <c r="A691" s="2" t="str">
        <f>HYPERLINK("https://rth.dk/resources/bsgatlas/details.php?id=BSGatlas-gene-690","BSGatlas-gene-690")</f>
        <v>BSGatlas-gene-690</v>
      </c>
      <c r="B691" s="1" t="s">
        <v>651</v>
      </c>
      <c r="C691" s="1" t="s">
        <v>8</v>
      </c>
      <c r="D691" s="1">
        <v>608246</v>
      </c>
      <c r="E691" s="1">
        <v>608764</v>
      </c>
      <c r="F691" s="1" t="s">
        <v>13</v>
      </c>
      <c r="G691" s="1" t="s">
        <v>11409</v>
      </c>
    </row>
    <row r="692" spans="1:7" ht="21" x14ac:dyDescent="0.25">
      <c r="A692" s="2" t="str">
        <f>HYPERLINK("https://rth.dk/resources/bsgatlas/details.php?id=BSGatlas-gene-691","BSGatlas-gene-691")</f>
        <v>BSGatlas-gene-691</v>
      </c>
      <c r="B692" s="1" t="s">
        <v>652</v>
      </c>
      <c r="C692" s="1" t="s">
        <v>8</v>
      </c>
      <c r="D692" s="1">
        <v>608933</v>
      </c>
      <c r="E692" s="1">
        <v>609391</v>
      </c>
      <c r="F692" s="1" t="s">
        <v>9</v>
      </c>
      <c r="G692" s="1" t="s">
        <v>11409</v>
      </c>
    </row>
    <row r="693" spans="1:7" ht="21" x14ac:dyDescent="0.25">
      <c r="A693" s="2" t="str">
        <f>HYPERLINK("https://rth.dk/resources/bsgatlas/details.php?id=BSGatlas-gene-692","BSGatlas-gene-692")</f>
        <v>BSGatlas-gene-692</v>
      </c>
      <c r="B693" s="1" t="s">
        <v>653</v>
      </c>
      <c r="C693" s="1" t="s">
        <v>8</v>
      </c>
      <c r="D693" s="1">
        <v>609388</v>
      </c>
      <c r="E693" s="1">
        <v>612045</v>
      </c>
      <c r="F693" s="1" t="s">
        <v>9</v>
      </c>
      <c r="G693" s="1" t="s">
        <v>11409</v>
      </c>
    </row>
    <row r="694" spans="1:7" ht="21" x14ac:dyDescent="0.25">
      <c r="A694" s="2" t="str">
        <f>HYPERLINK("https://rth.dk/resources/bsgatlas/details.php?id=BSGatlas-gene-693","BSGatlas-gene-693")</f>
        <v>BSGatlas-gene-693</v>
      </c>
      <c r="B694" s="1" t="s">
        <v>654</v>
      </c>
      <c r="C694" s="1" t="s">
        <v>8</v>
      </c>
      <c r="D694" s="1">
        <v>612191</v>
      </c>
      <c r="E694" s="1">
        <v>612820</v>
      </c>
      <c r="F694" s="1" t="s">
        <v>13</v>
      </c>
      <c r="G694" s="1" t="s">
        <v>11409</v>
      </c>
    </row>
    <row r="695" spans="1:7" ht="21" x14ac:dyDescent="0.25">
      <c r="A695" s="2" t="str">
        <f>HYPERLINK("https://rth.dk/resources/bsgatlas/details.php?id=BSGatlas-gene-694","BSGatlas-gene-694")</f>
        <v>BSGatlas-gene-694</v>
      </c>
      <c r="B695" s="1" t="s">
        <v>655</v>
      </c>
      <c r="C695" s="1" t="s">
        <v>8</v>
      </c>
      <c r="D695" s="1">
        <v>612836</v>
      </c>
      <c r="E695" s="1">
        <v>613330</v>
      </c>
      <c r="F695" s="1" t="s">
        <v>13</v>
      </c>
      <c r="G695" s="1" t="s">
        <v>11409</v>
      </c>
    </row>
    <row r="696" spans="1:7" ht="21" x14ac:dyDescent="0.25">
      <c r="A696" s="2" t="str">
        <f>HYPERLINK("https://rth.dk/resources/bsgatlas/details.php?id=BSGatlas-gene-695","BSGatlas-gene-695")</f>
        <v>BSGatlas-gene-695</v>
      </c>
      <c r="B696" s="1" t="s">
        <v>656</v>
      </c>
      <c r="C696" s="1" t="s">
        <v>8</v>
      </c>
      <c r="D696" s="1">
        <v>613641</v>
      </c>
      <c r="E696" s="1">
        <v>614849</v>
      </c>
      <c r="F696" s="1" t="s">
        <v>9</v>
      </c>
      <c r="G696" s="1" t="s">
        <v>11409</v>
      </c>
    </row>
    <row r="697" spans="1:7" ht="21" x14ac:dyDescent="0.25">
      <c r="A697" s="2" t="str">
        <f>HYPERLINK("https://rth.dk/resources/bsgatlas/details.php?id=BSGatlas-gene-696","BSGatlas-gene-696")</f>
        <v>BSGatlas-gene-696</v>
      </c>
      <c r="B697" s="1" t="s">
        <v>657</v>
      </c>
      <c r="C697" s="1" t="s">
        <v>8</v>
      </c>
      <c r="D697" s="1">
        <v>614885</v>
      </c>
      <c r="E697" s="1">
        <v>615622</v>
      </c>
      <c r="F697" s="1" t="s">
        <v>13</v>
      </c>
      <c r="G697" s="1" t="s">
        <v>11409</v>
      </c>
    </row>
    <row r="698" spans="1:7" ht="21" x14ac:dyDescent="0.25">
      <c r="A698" s="2" t="str">
        <f>HYPERLINK("https://rth.dk/resources/bsgatlas/details.php?id=BSGatlas-gene-697","BSGatlas-gene-697")</f>
        <v>BSGatlas-gene-697</v>
      </c>
      <c r="B698" s="1" t="s">
        <v>658</v>
      </c>
      <c r="C698" s="1" t="s">
        <v>8</v>
      </c>
      <c r="D698" s="1">
        <v>615871</v>
      </c>
      <c r="E698" s="1">
        <v>616545</v>
      </c>
      <c r="F698" s="1" t="s">
        <v>9</v>
      </c>
      <c r="G698" s="1" t="s">
        <v>11409</v>
      </c>
    </row>
    <row r="699" spans="1:7" ht="21" x14ac:dyDescent="0.25">
      <c r="A699" s="2" t="str">
        <f>HYPERLINK("https://rth.dk/resources/bsgatlas/details.php?id=BSGatlas-gene-698","BSGatlas-gene-698")</f>
        <v>BSGatlas-gene-698</v>
      </c>
      <c r="B699" s="1" t="s">
        <v>659</v>
      </c>
      <c r="C699" s="1" t="s">
        <v>8</v>
      </c>
      <c r="D699" s="1">
        <v>616672</v>
      </c>
      <c r="E699" s="1">
        <v>617934</v>
      </c>
      <c r="F699" s="1" t="s">
        <v>9</v>
      </c>
      <c r="G699" s="1" t="s">
        <v>11409</v>
      </c>
    </row>
    <row r="700" spans="1:7" ht="21" x14ac:dyDescent="0.25">
      <c r="A700" s="2" t="str">
        <f>HYPERLINK("https://rth.dk/resources/bsgatlas/details.php?id=BSGatlas-gene-699","BSGatlas-gene-699")</f>
        <v>BSGatlas-gene-699</v>
      </c>
      <c r="B700" s="1" t="s">
        <v>660</v>
      </c>
      <c r="C700" s="1" t="s">
        <v>8</v>
      </c>
      <c r="D700" s="1">
        <v>618095</v>
      </c>
      <c r="E700" s="1">
        <v>619282</v>
      </c>
      <c r="F700" s="1" t="s">
        <v>9</v>
      </c>
      <c r="G700" s="1" t="s">
        <v>11409</v>
      </c>
    </row>
    <row r="701" spans="1:7" ht="21" x14ac:dyDescent="0.25">
      <c r="A701" s="2" t="str">
        <f>HYPERLINK("https://rth.dk/resources/bsgatlas/details.php?id=BSGatlas-gene-700","BSGatlas-gene-700")</f>
        <v>BSGatlas-gene-700</v>
      </c>
      <c r="B701" s="1" t="s">
        <v>661</v>
      </c>
      <c r="C701" s="1" t="s">
        <v>8</v>
      </c>
      <c r="D701" s="1">
        <v>619321</v>
      </c>
      <c r="E701" s="1">
        <v>620031</v>
      </c>
      <c r="F701" s="1" t="s">
        <v>13</v>
      </c>
      <c r="G701" s="1" t="s">
        <v>11409</v>
      </c>
    </row>
    <row r="702" spans="1:7" ht="21" x14ac:dyDescent="0.25">
      <c r="A702" s="2" t="str">
        <f>HYPERLINK("https://rth.dk/resources/bsgatlas/details.php?id=BSGatlas-gene-701","BSGatlas-gene-701")</f>
        <v>BSGatlas-gene-701</v>
      </c>
      <c r="B702" s="1" t="s">
        <v>662</v>
      </c>
      <c r="C702" s="1" t="s">
        <v>8</v>
      </c>
      <c r="D702" s="1">
        <v>620097</v>
      </c>
      <c r="E702" s="1">
        <v>621485</v>
      </c>
      <c r="F702" s="1" t="s">
        <v>13</v>
      </c>
      <c r="G702" s="1" t="s">
        <v>11409</v>
      </c>
    </row>
    <row r="703" spans="1:7" ht="21" x14ac:dyDescent="0.25">
      <c r="A703" s="2" t="str">
        <f>HYPERLINK("https://rth.dk/resources/bsgatlas/details.php?id=BSGatlas-gene-702","BSGatlas-gene-702")</f>
        <v>BSGatlas-gene-702</v>
      </c>
      <c r="B703" s="1" t="s">
        <v>663</v>
      </c>
      <c r="C703" s="1" t="s">
        <v>8</v>
      </c>
      <c r="D703" s="1">
        <v>621847</v>
      </c>
      <c r="E703" s="1">
        <v>622218</v>
      </c>
      <c r="F703" s="1" t="s">
        <v>9</v>
      </c>
      <c r="G703" s="1" t="s">
        <v>11409</v>
      </c>
    </row>
    <row r="704" spans="1:7" ht="21" x14ac:dyDescent="0.25">
      <c r="A704" s="2" t="str">
        <f>HYPERLINK("https://rth.dk/resources/bsgatlas/details.php?id=BSGatlas-gene-703","BSGatlas-gene-703")</f>
        <v>BSGatlas-gene-703</v>
      </c>
      <c r="B704" s="1" t="s">
        <v>664</v>
      </c>
      <c r="C704" s="1" t="s">
        <v>8</v>
      </c>
      <c r="D704" s="1">
        <v>622293</v>
      </c>
      <c r="E704" s="1">
        <v>622790</v>
      </c>
      <c r="F704" s="1" t="s">
        <v>13</v>
      </c>
      <c r="G704" s="1" t="s">
        <v>11409</v>
      </c>
    </row>
    <row r="705" spans="1:7" ht="21" x14ac:dyDescent="0.25">
      <c r="A705" s="2" t="str">
        <f>HYPERLINK("https://rth.dk/resources/bsgatlas/details.php?id=BSGatlas-gene-704","BSGatlas-gene-704")</f>
        <v>BSGatlas-gene-704</v>
      </c>
      <c r="B705" s="1" t="s">
        <v>665</v>
      </c>
      <c r="C705" s="1" t="s">
        <v>8</v>
      </c>
      <c r="D705" s="1">
        <v>622808</v>
      </c>
      <c r="E705" s="1">
        <v>623290</v>
      </c>
      <c r="F705" s="1" t="s">
        <v>13</v>
      </c>
      <c r="G705" s="1" t="s">
        <v>11409</v>
      </c>
    </row>
    <row r="706" spans="1:7" ht="21" x14ac:dyDescent="0.25">
      <c r="A706" s="2" t="str">
        <f>HYPERLINK("https://rth.dk/resources/bsgatlas/details.php?id=BSGatlas-gene-705","BSGatlas-gene-705")</f>
        <v>BSGatlas-gene-705</v>
      </c>
      <c r="B706" s="1" t="s">
        <v>666</v>
      </c>
      <c r="C706" s="1" t="s">
        <v>8</v>
      </c>
      <c r="D706" s="1">
        <v>623373</v>
      </c>
      <c r="E706" s="1">
        <v>624350</v>
      </c>
      <c r="F706" s="1" t="s">
        <v>9</v>
      </c>
      <c r="G706" s="1" t="s">
        <v>11409</v>
      </c>
    </row>
    <row r="707" spans="1:7" ht="21" x14ac:dyDescent="0.25">
      <c r="A707" s="2" t="str">
        <f>HYPERLINK("https://rth.dk/resources/bsgatlas/details.php?id=BSGatlas-gene-706","BSGatlas-gene-706")</f>
        <v>BSGatlas-gene-706</v>
      </c>
      <c r="B707" s="1" t="s">
        <v>667</v>
      </c>
      <c r="C707" s="1" t="s">
        <v>8</v>
      </c>
      <c r="D707" s="1">
        <v>624492</v>
      </c>
      <c r="E707" s="1">
        <v>625109</v>
      </c>
      <c r="F707" s="1" t="s">
        <v>9</v>
      </c>
      <c r="G707" s="1" t="s">
        <v>11409</v>
      </c>
    </row>
    <row r="708" spans="1:7" ht="21" x14ac:dyDescent="0.25">
      <c r="A708" s="2" t="str">
        <f>HYPERLINK("https://rth.dk/resources/bsgatlas/details.php?id=BSGatlas-gene-707","BSGatlas-gene-707")</f>
        <v>BSGatlas-gene-707</v>
      </c>
      <c r="B708" s="1" t="s">
        <v>668</v>
      </c>
      <c r="C708" s="1" t="s">
        <v>8</v>
      </c>
      <c r="D708" s="1">
        <v>625125</v>
      </c>
      <c r="E708" s="1">
        <v>626291</v>
      </c>
      <c r="F708" s="1" t="s">
        <v>13</v>
      </c>
      <c r="G708" s="1" t="s">
        <v>11409</v>
      </c>
    </row>
    <row r="709" spans="1:7" ht="21" x14ac:dyDescent="0.25">
      <c r="A709" s="2" t="str">
        <f>HYPERLINK("https://rth.dk/resources/bsgatlas/details.php?id=BSGatlas-gene-708","BSGatlas-gene-708")</f>
        <v>BSGatlas-gene-708</v>
      </c>
      <c r="B709" s="1" t="s">
        <v>669</v>
      </c>
      <c r="C709" s="1" t="s">
        <v>34</v>
      </c>
      <c r="D709" s="1">
        <v>626346</v>
      </c>
      <c r="E709" s="1">
        <v>626446</v>
      </c>
      <c r="F709" s="1" t="s">
        <v>13</v>
      </c>
      <c r="G709" s="1" t="s">
        <v>11464</v>
      </c>
    </row>
    <row r="710" spans="1:7" ht="21" x14ac:dyDescent="0.25">
      <c r="A710" s="2" t="str">
        <f>HYPERLINK("https://rth.dk/resources/bsgatlas/details.php?id=BSGatlas-gene-709","BSGatlas-gene-709")</f>
        <v>BSGatlas-gene-709</v>
      </c>
      <c r="B710" s="1" t="s">
        <v>670</v>
      </c>
      <c r="C710" s="1" t="s">
        <v>8</v>
      </c>
      <c r="D710" s="1">
        <v>626622</v>
      </c>
      <c r="E710" s="1">
        <v>626933</v>
      </c>
      <c r="F710" s="1" t="s">
        <v>9</v>
      </c>
      <c r="G710" s="1" t="s">
        <v>11409</v>
      </c>
    </row>
    <row r="711" spans="1:7" ht="21" x14ac:dyDescent="0.25">
      <c r="A711" s="2" t="str">
        <f>HYPERLINK("https://rth.dk/resources/bsgatlas/details.php?id=BSGatlas-gene-710","BSGatlas-gene-710")</f>
        <v>BSGatlas-gene-710</v>
      </c>
      <c r="B711" s="1" t="s">
        <v>671</v>
      </c>
      <c r="C711" s="1" t="s">
        <v>8</v>
      </c>
      <c r="D711" s="1">
        <v>626933</v>
      </c>
      <c r="E711" s="1">
        <v>627265</v>
      </c>
      <c r="F711" s="1" t="s">
        <v>9</v>
      </c>
      <c r="G711" s="1" t="s">
        <v>11409</v>
      </c>
    </row>
    <row r="712" spans="1:7" ht="21" x14ac:dyDescent="0.25">
      <c r="A712" s="2" t="str">
        <f>HYPERLINK("https://rth.dk/resources/bsgatlas/details.php?id=BSGatlas-gene-711","BSGatlas-gene-711")</f>
        <v>BSGatlas-gene-711</v>
      </c>
      <c r="B712" s="1" t="s">
        <v>672</v>
      </c>
      <c r="C712" s="1" t="s">
        <v>8</v>
      </c>
      <c r="D712" s="1">
        <v>627284</v>
      </c>
      <c r="E712" s="1">
        <v>628612</v>
      </c>
      <c r="F712" s="1" t="s">
        <v>9</v>
      </c>
      <c r="G712" s="1" t="s">
        <v>11409</v>
      </c>
    </row>
    <row r="713" spans="1:7" ht="21" x14ac:dyDescent="0.25">
      <c r="A713" s="2" t="str">
        <f>HYPERLINK("https://rth.dk/resources/bsgatlas/details.php?id=BSGatlas-gene-712","BSGatlas-gene-712")</f>
        <v>BSGatlas-gene-712</v>
      </c>
      <c r="B713" s="1" t="s">
        <v>673</v>
      </c>
      <c r="C713" s="1" t="s">
        <v>8</v>
      </c>
      <c r="D713" s="1">
        <v>628630</v>
      </c>
      <c r="E713" s="1">
        <v>630027</v>
      </c>
      <c r="F713" s="1" t="s">
        <v>9</v>
      </c>
      <c r="G713" s="1" t="s">
        <v>11409</v>
      </c>
    </row>
    <row r="714" spans="1:7" ht="21" x14ac:dyDescent="0.25">
      <c r="A714" s="2" t="str">
        <f>HYPERLINK("https://rth.dk/resources/bsgatlas/details.php?id=BSGatlas-gene-713","BSGatlas-gene-713")</f>
        <v>BSGatlas-gene-713</v>
      </c>
      <c r="B714" s="1" t="s">
        <v>674</v>
      </c>
      <c r="C714" s="1" t="s">
        <v>8</v>
      </c>
      <c r="D714" s="1">
        <v>630170</v>
      </c>
      <c r="E714" s="1">
        <v>630883</v>
      </c>
      <c r="F714" s="1" t="s">
        <v>9</v>
      </c>
      <c r="G714" s="1" t="s">
        <v>11409</v>
      </c>
    </row>
    <row r="715" spans="1:7" ht="21" x14ac:dyDescent="0.25">
      <c r="A715" s="2" t="str">
        <f>HYPERLINK("https://rth.dk/resources/bsgatlas/details.php?id=BSGatlas-gene-714","BSGatlas-gene-714")</f>
        <v>BSGatlas-gene-714</v>
      </c>
      <c r="B715" s="1" t="s">
        <v>675</v>
      </c>
      <c r="C715" s="1" t="s">
        <v>8</v>
      </c>
      <c r="D715" s="1">
        <v>630912</v>
      </c>
      <c r="E715" s="1">
        <v>631811</v>
      </c>
      <c r="F715" s="1" t="s">
        <v>9</v>
      </c>
      <c r="G715" s="1" t="s">
        <v>11409</v>
      </c>
    </row>
    <row r="716" spans="1:7" ht="21" x14ac:dyDescent="0.25">
      <c r="A716" s="2" t="str">
        <f>HYPERLINK("https://rth.dk/resources/bsgatlas/details.php?id=BSGatlas-gene-715","BSGatlas-gene-715")</f>
        <v>BSGatlas-gene-715</v>
      </c>
      <c r="B716" s="1" t="s">
        <v>676</v>
      </c>
      <c r="C716" s="1" t="s">
        <v>8</v>
      </c>
      <c r="D716" s="1">
        <v>631808</v>
      </c>
      <c r="E716" s="1">
        <v>632755</v>
      </c>
      <c r="F716" s="1" t="s">
        <v>9</v>
      </c>
      <c r="G716" s="1" t="s">
        <v>11409</v>
      </c>
    </row>
    <row r="717" spans="1:7" ht="21" x14ac:dyDescent="0.25">
      <c r="A717" s="2" t="str">
        <f>HYPERLINK("https://rth.dk/resources/bsgatlas/details.php?id=BSGatlas-gene-716","BSGatlas-gene-716")</f>
        <v>BSGatlas-gene-716</v>
      </c>
      <c r="B717" s="1" t="s">
        <v>677</v>
      </c>
      <c r="C717" s="1" t="s">
        <v>8</v>
      </c>
      <c r="D717" s="1">
        <v>632774</v>
      </c>
      <c r="E717" s="1">
        <v>633862</v>
      </c>
      <c r="F717" s="1" t="s">
        <v>9</v>
      </c>
      <c r="G717" s="1" t="s">
        <v>11409</v>
      </c>
    </row>
    <row r="718" spans="1:7" ht="21" x14ac:dyDescent="0.25">
      <c r="A718" s="2" t="str">
        <f>HYPERLINK("https://rth.dk/resources/bsgatlas/details.php?id=BSGatlas-gene-717","BSGatlas-gene-717")</f>
        <v>BSGatlas-gene-717</v>
      </c>
      <c r="B718" s="1" t="s">
        <v>678</v>
      </c>
      <c r="C718" s="1" t="s">
        <v>276</v>
      </c>
      <c r="D718" s="1">
        <v>633923</v>
      </c>
      <c r="E718" s="1">
        <v>634651</v>
      </c>
      <c r="F718" s="1" t="s">
        <v>13</v>
      </c>
      <c r="G718" s="1" t="s">
        <v>11441</v>
      </c>
    </row>
    <row r="719" spans="1:7" ht="21" x14ac:dyDescent="0.25">
      <c r="A719" s="2" t="str">
        <f>HYPERLINK("https://rth.dk/resources/bsgatlas/details.php?id=BSGatlas-gene-718","BSGatlas-gene-718")</f>
        <v>BSGatlas-gene-718</v>
      </c>
      <c r="B719" s="1" t="s">
        <v>679</v>
      </c>
      <c r="C719" s="1" t="s">
        <v>276</v>
      </c>
      <c r="D719" s="1">
        <v>634651</v>
      </c>
      <c r="E719" s="1">
        <v>634776</v>
      </c>
      <c r="F719" s="1" t="s">
        <v>13</v>
      </c>
      <c r="G719" s="1" t="s">
        <v>11441</v>
      </c>
    </row>
    <row r="720" spans="1:7" ht="21" x14ac:dyDescent="0.25">
      <c r="A720" s="2" t="str">
        <f>HYPERLINK("https://rth.dk/resources/bsgatlas/details.php?id=BSGatlas-gene-719","BSGatlas-gene-719")</f>
        <v>BSGatlas-gene-719</v>
      </c>
      <c r="B720" s="1" t="s">
        <v>680</v>
      </c>
      <c r="C720" s="1" t="s">
        <v>23</v>
      </c>
      <c r="D720" s="1">
        <v>635109</v>
      </c>
      <c r="E720" s="1">
        <v>635186</v>
      </c>
      <c r="F720" s="1" t="s">
        <v>9</v>
      </c>
      <c r="G720" s="1" t="s">
        <v>11411</v>
      </c>
    </row>
    <row r="721" spans="1:7" ht="21" x14ac:dyDescent="0.25">
      <c r="A721" s="2" t="str">
        <f>HYPERLINK("https://rth.dk/resources/bsgatlas/details.php?id=BSGatlas-gene-720","BSGatlas-gene-720")</f>
        <v>BSGatlas-gene-720</v>
      </c>
      <c r="B721" s="1" t="s">
        <v>11465</v>
      </c>
      <c r="C721" s="1" t="s">
        <v>23</v>
      </c>
      <c r="D721" s="1">
        <v>635199</v>
      </c>
      <c r="E721" s="1">
        <v>635273</v>
      </c>
      <c r="F721" s="1" t="s">
        <v>9</v>
      </c>
      <c r="G721" s="1" t="s">
        <v>11411</v>
      </c>
    </row>
    <row r="722" spans="1:7" ht="21" x14ac:dyDescent="0.25">
      <c r="A722" s="2" t="str">
        <f>HYPERLINK("https://rth.dk/resources/bsgatlas/details.php?id=BSGatlas-gene-721","BSGatlas-gene-721")</f>
        <v>BSGatlas-gene-721</v>
      </c>
      <c r="B722" s="1" t="s">
        <v>54</v>
      </c>
      <c r="C722" s="1" t="s">
        <v>55</v>
      </c>
      <c r="D722" s="1">
        <v>635371</v>
      </c>
      <c r="E722" s="1">
        <v>635438</v>
      </c>
      <c r="F722" s="1" t="s">
        <v>13</v>
      </c>
      <c r="G722" s="1" t="s">
        <v>11410</v>
      </c>
    </row>
    <row r="723" spans="1:7" ht="21" x14ac:dyDescent="0.25">
      <c r="A723" s="2" t="str">
        <f>HYPERLINK("https://rth.dk/resources/bsgatlas/details.php?id=BSGatlas-gene-722","BSGatlas-gene-722")</f>
        <v>BSGatlas-gene-722</v>
      </c>
      <c r="B723" s="1" t="s">
        <v>681</v>
      </c>
      <c r="C723" s="1" t="s">
        <v>21</v>
      </c>
      <c r="D723" s="1">
        <v>635433</v>
      </c>
      <c r="E723" s="1">
        <v>636987</v>
      </c>
      <c r="F723" s="1" t="s">
        <v>9</v>
      </c>
      <c r="G723" s="1" t="s">
        <v>11411</v>
      </c>
    </row>
    <row r="724" spans="1:7" ht="21" x14ac:dyDescent="0.25">
      <c r="A724" s="2" t="str">
        <f>HYPERLINK("https://rth.dk/resources/bsgatlas/details.php?id=BSGatlas-gene-723","BSGatlas-gene-723")</f>
        <v>BSGatlas-gene-723</v>
      </c>
      <c r="B724" s="1" t="s">
        <v>682</v>
      </c>
      <c r="C724" s="1" t="s">
        <v>21</v>
      </c>
      <c r="D724" s="1">
        <v>637152</v>
      </c>
      <c r="E724" s="1">
        <v>640082</v>
      </c>
      <c r="F724" s="1" t="s">
        <v>9</v>
      </c>
      <c r="G724" s="1" t="s">
        <v>11411</v>
      </c>
    </row>
    <row r="725" spans="1:7" ht="21" x14ac:dyDescent="0.25">
      <c r="A725" s="2" t="str">
        <f>HYPERLINK("https://rth.dk/resources/bsgatlas/details.php?id=BSGatlas-gene-724","BSGatlas-gene-724")</f>
        <v>BSGatlas-gene-724</v>
      </c>
      <c r="B725" s="1" t="s">
        <v>683</v>
      </c>
      <c r="C725" s="1" t="s">
        <v>21</v>
      </c>
      <c r="D725" s="1">
        <v>640137</v>
      </c>
      <c r="E725" s="1">
        <v>640254</v>
      </c>
      <c r="F725" s="1" t="s">
        <v>9</v>
      </c>
      <c r="G725" s="1" t="s">
        <v>11411</v>
      </c>
    </row>
    <row r="726" spans="1:7" ht="21" x14ac:dyDescent="0.25">
      <c r="A726" s="2" t="str">
        <f>HYPERLINK("https://rth.dk/resources/bsgatlas/details.php?id=BSGatlas-gene-725","BSGatlas-gene-725")</f>
        <v>BSGatlas-gene-725</v>
      </c>
      <c r="B726" s="1" t="s">
        <v>11466</v>
      </c>
      <c r="C726" s="1" t="s">
        <v>23</v>
      </c>
      <c r="D726" s="1">
        <v>640267</v>
      </c>
      <c r="E726" s="1">
        <v>640344</v>
      </c>
      <c r="F726" s="1" t="s">
        <v>9</v>
      </c>
      <c r="G726" s="1" t="s">
        <v>11411</v>
      </c>
    </row>
    <row r="727" spans="1:7" ht="21" x14ac:dyDescent="0.25">
      <c r="A727" s="2" t="str">
        <f>HYPERLINK("https://rth.dk/resources/bsgatlas/details.php?id=BSGatlas-gene-726","BSGatlas-gene-726")</f>
        <v>BSGatlas-gene-726</v>
      </c>
      <c r="B727" s="1" t="s">
        <v>684</v>
      </c>
      <c r="C727" s="1" t="s">
        <v>23</v>
      </c>
      <c r="D727" s="1">
        <v>640404</v>
      </c>
      <c r="E727" s="1">
        <v>640481</v>
      </c>
      <c r="F727" s="1" t="s">
        <v>9</v>
      </c>
      <c r="G727" s="1" t="s">
        <v>11411</v>
      </c>
    </row>
    <row r="728" spans="1:7" ht="21" x14ac:dyDescent="0.25">
      <c r="A728" s="2" t="str">
        <f>HYPERLINK("https://rth.dk/resources/bsgatlas/details.php?id=BSGatlas-gene-727","BSGatlas-gene-727")</f>
        <v>BSGatlas-gene-727</v>
      </c>
      <c r="B728" s="1" t="s">
        <v>685</v>
      </c>
      <c r="C728" s="1" t="s">
        <v>8</v>
      </c>
      <c r="D728" s="1">
        <v>640662</v>
      </c>
      <c r="E728" s="1">
        <v>641639</v>
      </c>
      <c r="F728" s="1" t="s">
        <v>9</v>
      </c>
      <c r="G728" s="1" t="s">
        <v>11409</v>
      </c>
    </row>
    <row r="729" spans="1:7" ht="21" x14ac:dyDescent="0.25">
      <c r="A729" s="2" t="str">
        <f>HYPERLINK("https://rth.dk/resources/bsgatlas/details.php?id=BSGatlas-gene-728","BSGatlas-gene-728")</f>
        <v>BSGatlas-gene-728</v>
      </c>
      <c r="B729" s="1" t="s">
        <v>686</v>
      </c>
      <c r="C729" s="1" t="s">
        <v>8</v>
      </c>
      <c r="D729" s="1">
        <v>641654</v>
      </c>
      <c r="E729" s="1">
        <v>642130</v>
      </c>
      <c r="F729" s="1" t="s">
        <v>9</v>
      </c>
      <c r="G729" s="1" t="s">
        <v>11409</v>
      </c>
    </row>
    <row r="730" spans="1:7" ht="21" x14ac:dyDescent="0.25">
      <c r="A730" s="2" t="str">
        <f>HYPERLINK("https://rth.dk/resources/bsgatlas/details.php?id=BSGatlas-gene-729","BSGatlas-gene-729")</f>
        <v>BSGatlas-gene-729</v>
      </c>
      <c r="B730" s="1" t="s">
        <v>687</v>
      </c>
      <c r="C730" s="1" t="s">
        <v>8</v>
      </c>
      <c r="D730" s="1">
        <v>642111</v>
      </c>
      <c r="E730" s="1">
        <v>642800</v>
      </c>
      <c r="F730" s="1" t="s">
        <v>9</v>
      </c>
      <c r="G730" s="1" t="s">
        <v>11409</v>
      </c>
    </row>
    <row r="731" spans="1:7" ht="21" x14ac:dyDescent="0.25">
      <c r="A731" s="2" t="str">
        <f>HYPERLINK("https://rth.dk/resources/bsgatlas/details.php?id=BSGatlas-gene-730","BSGatlas-gene-730")</f>
        <v>BSGatlas-gene-730</v>
      </c>
      <c r="B731" s="1" t="s">
        <v>688</v>
      </c>
      <c r="C731" s="1" t="s">
        <v>8</v>
      </c>
      <c r="D731" s="1">
        <v>642810</v>
      </c>
      <c r="E731" s="1">
        <v>643265</v>
      </c>
      <c r="F731" s="1" t="s">
        <v>9</v>
      </c>
      <c r="G731" s="1" t="s">
        <v>11409</v>
      </c>
    </row>
    <row r="732" spans="1:7" ht="21" x14ac:dyDescent="0.25">
      <c r="A732" s="2" t="str">
        <f>HYPERLINK("https://rth.dk/resources/bsgatlas/details.php?id=BSGatlas-gene-731","BSGatlas-gene-731")</f>
        <v>BSGatlas-gene-731</v>
      </c>
      <c r="B732" s="1" t="s">
        <v>689</v>
      </c>
      <c r="C732" s="1" t="s">
        <v>8</v>
      </c>
      <c r="D732" s="1">
        <v>643258</v>
      </c>
      <c r="E732" s="1">
        <v>644298</v>
      </c>
      <c r="F732" s="1" t="s">
        <v>9</v>
      </c>
      <c r="G732" s="1" t="s">
        <v>11409</v>
      </c>
    </row>
    <row r="733" spans="1:7" ht="21" x14ac:dyDescent="0.25">
      <c r="A733" s="2" t="str">
        <f>HYPERLINK("https://rth.dk/resources/bsgatlas/details.php?id=BSGatlas-gene-732","BSGatlas-gene-732")</f>
        <v>BSGatlas-gene-732</v>
      </c>
      <c r="B733" s="1" t="s">
        <v>690</v>
      </c>
      <c r="C733" s="1" t="s">
        <v>8</v>
      </c>
      <c r="D733" s="1">
        <v>644528</v>
      </c>
      <c r="E733" s="1">
        <v>646456</v>
      </c>
      <c r="F733" s="1" t="s">
        <v>13</v>
      </c>
      <c r="G733" s="1" t="s">
        <v>11409</v>
      </c>
    </row>
    <row r="734" spans="1:7" ht="21" x14ac:dyDescent="0.25">
      <c r="A734" s="2" t="str">
        <f>HYPERLINK("https://rth.dk/resources/bsgatlas/details.php?id=BSGatlas-gene-733","BSGatlas-gene-733")</f>
        <v>BSGatlas-gene-733</v>
      </c>
      <c r="B734" s="1" t="s">
        <v>691</v>
      </c>
      <c r="C734" s="1" t="s">
        <v>8</v>
      </c>
      <c r="D734" s="1">
        <v>646582</v>
      </c>
      <c r="E734" s="1">
        <v>647094</v>
      </c>
      <c r="F734" s="1" t="s">
        <v>9</v>
      </c>
      <c r="G734" s="1" t="s">
        <v>11409</v>
      </c>
    </row>
    <row r="735" spans="1:7" ht="21" x14ac:dyDescent="0.25">
      <c r="A735" s="2" t="str">
        <f>HYPERLINK("https://rth.dk/resources/bsgatlas/details.php?id=BSGatlas-gene-734","BSGatlas-gene-734")</f>
        <v>BSGatlas-gene-734</v>
      </c>
      <c r="B735" s="1" t="s">
        <v>692</v>
      </c>
      <c r="C735" s="1" t="s">
        <v>8</v>
      </c>
      <c r="D735" s="1">
        <v>647091</v>
      </c>
      <c r="E735" s="1">
        <v>647738</v>
      </c>
      <c r="F735" s="1" t="s">
        <v>9</v>
      </c>
      <c r="G735" s="1" t="s">
        <v>11409</v>
      </c>
    </row>
    <row r="736" spans="1:7" ht="21" x14ac:dyDescent="0.25">
      <c r="A736" s="2" t="str">
        <f>HYPERLINK("https://rth.dk/resources/bsgatlas/details.php?id=BSGatlas-gene-735","BSGatlas-gene-735")</f>
        <v>BSGatlas-gene-735</v>
      </c>
      <c r="B736" s="1" t="s">
        <v>693</v>
      </c>
      <c r="C736" s="1" t="s">
        <v>8</v>
      </c>
      <c r="D736" s="1">
        <v>647760</v>
      </c>
      <c r="E736" s="1">
        <v>647933</v>
      </c>
      <c r="F736" s="1" t="s">
        <v>9</v>
      </c>
      <c r="G736" s="1" t="s">
        <v>11409</v>
      </c>
    </row>
    <row r="737" spans="1:7" ht="21" x14ac:dyDescent="0.25">
      <c r="A737" s="2" t="str">
        <f>HYPERLINK("https://rth.dk/resources/bsgatlas/details.php?id=BSGatlas-gene-736","BSGatlas-gene-736")</f>
        <v>BSGatlas-gene-736</v>
      </c>
      <c r="B737" s="1" t="s">
        <v>694</v>
      </c>
      <c r="C737" s="1" t="s">
        <v>8</v>
      </c>
      <c r="D737" s="1">
        <v>647940</v>
      </c>
      <c r="E737" s="1">
        <v>648704</v>
      </c>
      <c r="F737" s="1" t="s">
        <v>9</v>
      </c>
      <c r="G737" s="1" t="s">
        <v>11409</v>
      </c>
    </row>
    <row r="738" spans="1:7" ht="21" x14ac:dyDescent="0.25">
      <c r="A738" s="2" t="str">
        <f>HYPERLINK("https://rth.dk/resources/bsgatlas/details.php?id=BSGatlas-gene-737","BSGatlas-gene-737")</f>
        <v>BSGatlas-gene-737</v>
      </c>
      <c r="B738" s="1" t="s">
        <v>695</v>
      </c>
      <c r="C738" s="1" t="s">
        <v>8</v>
      </c>
      <c r="D738" s="1">
        <v>648742</v>
      </c>
      <c r="E738" s="1">
        <v>648933</v>
      </c>
      <c r="F738" s="1" t="s">
        <v>13</v>
      </c>
      <c r="G738" s="1" t="s">
        <v>11409</v>
      </c>
    </row>
    <row r="739" spans="1:7" ht="21" x14ac:dyDescent="0.25">
      <c r="A739" s="2" t="str">
        <f>HYPERLINK("https://rth.dk/resources/bsgatlas/details.php?id=BSGatlas-gene-738","BSGatlas-gene-738")</f>
        <v>BSGatlas-gene-738</v>
      </c>
      <c r="B739" s="1" t="s">
        <v>696</v>
      </c>
      <c r="C739" s="1" t="s">
        <v>8</v>
      </c>
      <c r="D739" s="1">
        <v>648930</v>
      </c>
      <c r="E739" s="1">
        <v>649664</v>
      </c>
      <c r="F739" s="1" t="s">
        <v>13</v>
      </c>
      <c r="G739" s="1" t="s">
        <v>11409</v>
      </c>
    </row>
    <row r="740" spans="1:7" ht="21" x14ac:dyDescent="0.25">
      <c r="A740" s="2" t="str">
        <f>HYPERLINK("https://rth.dk/resources/bsgatlas/details.php?id=BSGatlas-gene-739","BSGatlas-gene-739")</f>
        <v>BSGatlas-gene-739</v>
      </c>
      <c r="B740" s="1" t="s">
        <v>697</v>
      </c>
      <c r="C740" s="1" t="s">
        <v>8</v>
      </c>
      <c r="D740" s="1">
        <v>649903</v>
      </c>
      <c r="E740" s="1">
        <v>650187</v>
      </c>
      <c r="F740" s="1" t="s">
        <v>9</v>
      </c>
      <c r="G740" s="1" t="s">
        <v>11409</v>
      </c>
    </row>
    <row r="741" spans="1:7" ht="21" x14ac:dyDescent="0.25">
      <c r="A741" s="2" t="str">
        <f>HYPERLINK("https://rth.dk/resources/bsgatlas/details.php?id=BSGatlas-gene-740","BSGatlas-gene-740")</f>
        <v>BSGatlas-gene-740</v>
      </c>
      <c r="B741" s="1" t="s">
        <v>698</v>
      </c>
      <c r="C741" s="1" t="s">
        <v>8</v>
      </c>
      <c r="D741" s="1">
        <v>650234</v>
      </c>
      <c r="E741" s="1">
        <v>651868</v>
      </c>
      <c r="F741" s="1" t="s">
        <v>9</v>
      </c>
      <c r="G741" s="1" t="s">
        <v>11409</v>
      </c>
    </row>
    <row r="742" spans="1:7" ht="21" x14ac:dyDescent="0.25">
      <c r="A742" s="2" t="str">
        <f>HYPERLINK("https://rth.dk/resources/bsgatlas/details.php?id=BSGatlas-gene-741","BSGatlas-gene-741")</f>
        <v>BSGatlas-gene-741</v>
      </c>
      <c r="B742" s="1" t="s">
        <v>11467</v>
      </c>
      <c r="C742" s="1" t="s">
        <v>276</v>
      </c>
      <c r="D742" s="1">
        <v>651977</v>
      </c>
      <c r="E742" s="1">
        <v>652084</v>
      </c>
      <c r="F742" s="1" t="s">
        <v>13</v>
      </c>
      <c r="G742" s="1" t="s">
        <v>11441</v>
      </c>
    </row>
    <row r="743" spans="1:7" ht="21" x14ac:dyDescent="0.25">
      <c r="A743" s="2" t="str">
        <f>HYPERLINK("https://rth.dk/resources/bsgatlas/details.php?id=BSGatlas-gene-742","BSGatlas-gene-742")</f>
        <v>BSGatlas-gene-742</v>
      </c>
      <c r="B743" s="1" t="s">
        <v>11468</v>
      </c>
      <c r="C743" s="1" t="s">
        <v>276</v>
      </c>
      <c r="D743" s="1">
        <v>652087</v>
      </c>
      <c r="E743" s="1">
        <v>652245</v>
      </c>
      <c r="F743" s="1" t="s">
        <v>13</v>
      </c>
      <c r="G743" s="1" t="s">
        <v>11441</v>
      </c>
    </row>
    <row r="744" spans="1:7" ht="21" x14ac:dyDescent="0.25">
      <c r="A744" s="2" t="str">
        <f>HYPERLINK("https://rth.dk/resources/bsgatlas/details.php?id=BSGatlas-gene-743","BSGatlas-gene-743")</f>
        <v>BSGatlas-gene-743</v>
      </c>
      <c r="B744" s="1" t="s">
        <v>11468</v>
      </c>
      <c r="C744" s="1" t="s">
        <v>276</v>
      </c>
      <c r="D744" s="1">
        <v>652290</v>
      </c>
      <c r="E744" s="1">
        <v>652418</v>
      </c>
      <c r="F744" s="1" t="s">
        <v>13</v>
      </c>
      <c r="G744" s="1" t="s">
        <v>11441</v>
      </c>
    </row>
    <row r="745" spans="1:7" ht="21" x14ac:dyDescent="0.25">
      <c r="A745" s="2" t="str">
        <f>HYPERLINK("https://rth.dk/resources/bsgatlas/details.php?id=BSGatlas-gene-744","BSGatlas-gene-744")</f>
        <v>BSGatlas-gene-744</v>
      </c>
      <c r="B745" s="1" t="s">
        <v>11468</v>
      </c>
      <c r="C745" s="1" t="s">
        <v>276</v>
      </c>
      <c r="D745" s="1">
        <v>652511</v>
      </c>
      <c r="E745" s="1">
        <v>652720</v>
      </c>
      <c r="F745" s="1" t="s">
        <v>13</v>
      </c>
      <c r="G745" s="1" t="s">
        <v>11441</v>
      </c>
    </row>
    <row r="746" spans="1:7" ht="21" x14ac:dyDescent="0.25">
      <c r="A746" s="2" t="str">
        <f>HYPERLINK("https://rth.dk/resources/bsgatlas/details.php?id=BSGatlas-gene-745","BSGatlas-gene-745")</f>
        <v>BSGatlas-gene-745</v>
      </c>
      <c r="B746" s="1" t="s">
        <v>11469</v>
      </c>
      <c r="C746" s="1" t="s">
        <v>276</v>
      </c>
      <c r="D746" s="1">
        <v>652713</v>
      </c>
      <c r="E746" s="1">
        <v>653018</v>
      </c>
      <c r="F746" s="1" t="s">
        <v>13</v>
      </c>
      <c r="G746" s="1" t="s">
        <v>11441</v>
      </c>
    </row>
    <row r="747" spans="1:7" ht="21" x14ac:dyDescent="0.25">
      <c r="A747" s="2" t="str">
        <f>HYPERLINK("https://rth.dk/resources/bsgatlas/details.php?id=BSGatlas-gene-746","BSGatlas-gene-746")</f>
        <v>BSGatlas-gene-746</v>
      </c>
      <c r="B747" s="1" t="s">
        <v>11470</v>
      </c>
      <c r="C747" s="1" t="s">
        <v>8</v>
      </c>
      <c r="D747" s="1">
        <v>653432</v>
      </c>
      <c r="E747" s="1">
        <v>653812</v>
      </c>
      <c r="F747" s="1" t="s">
        <v>9</v>
      </c>
      <c r="G747" s="1" t="s">
        <v>11409</v>
      </c>
    </row>
    <row r="748" spans="1:7" ht="21" x14ac:dyDescent="0.25">
      <c r="A748" s="2" t="str">
        <f>HYPERLINK("https://rth.dk/resources/bsgatlas/details.php?id=BSGatlas-gene-747","BSGatlas-gene-747")</f>
        <v>BSGatlas-gene-747</v>
      </c>
      <c r="B748" s="1" t="s">
        <v>11471</v>
      </c>
      <c r="C748" s="1" t="s">
        <v>8</v>
      </c>
      <c r="D748" s="1">
        <v>654071</v>
      </c>
      <c r="E748" s="1">
        <v>654343</v>
      </c>
      <c r="F748" s="1" t="s">
        <v>9</v>
      </c>
      <c r="G748" s="1" t="s">
        <v>11409</v>
      </c>
    </row>
    <row r="749" spans="1:7" ht="21" x14ac:dyDescent="0.25">
      <c r="A749" s="2" t="str">
        <f>HYPERLINK("https://rth.dk/resources/bsgatlas/details.php?id=BSGatlas-gene-748","BSGatlas-gene-748")</f>
        <v>BSGatlas-gene-748</v>
      </c>
      <c r="B749" s="1" t="s">
        <v>11472</v>
      </c>
      <c r="C749" s="1" t="s">
        <v>276</v>
      </c>
      <c r="D749" s="1">
        <v>654333</v>
      </c>
      <c r="E749" s="1">
        <v>654692</v>
      </c>
      <c r="F749" s="1" t="s">
        <v>9</v>
      </c>
      <c r="G749" s="1" t="s">
        <v>11441</v>
      </c>
    </row>
    <row r="750" spans="1:7" ht="21" x14ac:dyDescent="0.25">
      <c r="A750" s="2" t="str">
        <f>HYPERLINK("https://rth.dk/resources/bsgatlas/details.php?id=BSGatlas-gene-749","BSGatlas-gene-749")</f>
        <v>BSGatlas-gene-749</v>
      </c>
      <c r="B750" s="1" t="s">
        <v>11473</v>
      </c>
      <c r="C750" s="1" t="s">
        <v>276</v>
      </c>
      <c r="D750" s="1">
        <v>654978</v>
      </c>
      <c r="E750" s="1">
        <v>655193</v>
      </c>
      <c r="F750" s="1" t="s">
        <v>9</v>
      </c>
      <c r="G750" s="1" t="s">
        <v>11441</v>
      </c>
    </row>
    <row r="751" spans="1:7" ht="21" x14ac:dyDescent="0.25">
      <c r="A751" s="2" t="str">
        <f>HYPERLINK("https://rth.dk/resources/bsgatlas/details.php?id=BSGatlas-gene-750","BSGatlas-gene-750")</f>
        <v>BSGatlas-gene-750</v>
      </c>
      <c r="B751" s="1" t="s">
        <v>699</v>
      </c>
      <c r="C751" s="1" t="s">
        <v>8</v>
      </c>
      <c r="D751" s="1">
        <v>655223</v>
      </c>
      <c r="E751" s="1">
        <v>656506</v>
      </c>
      <c r="F751" s="1" t="s">
        <v>9</v>
      </c>
      <c r="G751" s="1" t="s">
        <v>11409</v>
      </c>
    </row>
    <row r="752" spans="1:7" ht="21" x14ac:dyDescent="0.25">
      <c r="A752" s="2" t="str">
        <f>HYPERLINK("https://rth.dk/resources/bsgatlas/details.php?id=BSGatlas-gene-751","BSGatlas-gene-751")</f>
        <v>BSGatlas-gene-751</v>
      </c>
      <c r="B752" s="1" t="s">
        <v>700</v>
      </c>
      <c r="C752" s="1" t="s">
        <v>8</v>
      </c>
      <c r="D752" s="1">
        <v>656528</v>
      </c>
      <c r="E752" s="1">
        <v>657697</v>
      </c>
      <c r="F752" s="1" t="s">
        <v>9</v>
      </c>
      <c r="G752" s="1" t="s">
        <v>11409</v>
      </c>
    </row>
    <row r="753" spans="1:7" ht="21" x14ac:dyDescent="0.25">
      <c r="A753" s="2" t="str">
        <f>HYPERLINK("https://rth.dk/resources/bsgatlas/details.php?id=BSGatlas-gene-752","BSGatlas-gene-752")</f>
        <v>BSGatlas-gene-752</v>
      </c>
      <c r="B753" s="1" t="s">
        <v>701</v>
      </c>
      <c r="C753" s="1" t="s">
        <v>276</v>
      </c>
      <c r="D753" s="1">
        <v>657793</v>
      </c>
      <c r="E753" s="1">
        <v>658062</v>
      </c>
      <c r="F753" s="1" t="s">
        <v>13</v>
      </c>
      <c r="G753" s="1" t="s">
        <v>11441</v>
      </c>
    </row>
    <row r="754" spans="1:7" ht="21" x14ac:dyDescent="0.25">
      <c r="A754" s="2" t="str">
        <f>HYPERLINK("https://rth.dk/resources/bsgatlas/details.php?id=BSGatlas-gene-753","BSGatlas-gene-753")</f>
        <v>BSGatlas-gene-753</v>
      </c>
      <c r="B754" s="1" t="s">
        <v>11474</v>
      </c>
      <c r="C754" s="1" t="s">
        <v>276</v>
      </c>
      <c r="D754" s="1">
        <v>658061</v>
      </c>
      <c r="E754" s="1">
        <v>658189</v>
      </c>
      <c r="F754" s="1" t="s">
        <v>13</v>
      </c>
      <c r="G754" s="1" t="s">
        <v>11441</v>
      </c>
    </row>
    <row r="755" spans="1:7" ht="21" x14ac:dyDescent="0.25">
      <c r="A755" s="2" t="str">
        <f>HYPERLINK("https://rth.dk/resources/bsgatlas/details.php?id=BSGatlas-gene-754","BSGatlas-gene-754")</f>
        <v>BSGatlas-gene-754</v>
      </c>
      <c r="B755" s="1" t="s">
        <v>11475</v>
      </c>
      <c r="C755" s="1" t="s">
        <v>276</v>
      </c>
      <c r="D755" s="1">
        <v>658189</v>
      </c>
      <c r="E755" s="1">
        <v>658605</v>
      </c>
      <c r="F755" s="1" t="s">
        <v>13</v>
      </c>
      <c r="G755" s="1" t="s">
        <v>11441</v>
      </c>
    </row>
    <row r="756" spans="1:7" ht="21" x14ac:dyDescent="0.25">
      <c r="A756" s="2" t="str">
        <f>HYPERLINK("https://rth.dk/resources/bsgatlas/details.php?id=BSGatlas-gene-755","BSGatlas-gene-755")</f>
        <v>BSGatlas-gene-755</v>
      </c>
      <c r="B756" s="1" t="s">
        <v>702</v>
      </c>
      <c r="C756" s="1" t="s">
        <v>12</v>
      </c>
      <c r="D756" s="1">
        <v>658495</v>
      </c>
      <c r="E756" s="1">
        <v>658899</v>
      </c>
      <c r="F756" s="1" t="s">
        <v>9</v>
      </c>
      <c r="G756" s="1" t="s">
        <v>11406</v>
      </c>
    </row>
    <row r="757" spans="1:7" ht="21" x14ac:dyDescent="0.25">
      <c r="A757" s="2" t="str">
        <f>HYPERLINK("https://rth.dk/resources/bsgatlas/details.php?id=BSGatlas-gene-756","BSGatlas-gene-756")</f>
        <v>BSGatlas-gene-756</v>
      </c>
      <c r="B757" s="1" t="s">
        <v>11476</v>
      </c>
      <c r="C757" s="1" t="s">
        <v>276</v>
      </c>
      <c r="D757" s="1">
        <v>658615</v>
      </c>
      <c r="E757" s="1">
        <v>658758</v>
      </c>
      <c r="F757" s="1" t="s">
        <v>13</v>
      </c>
      <c r="G757" s="1" t="s">
        <v>11441</v>
      </c>
    </row>
    <row r="758" spans="1:7" ht="21" x14ac:dyDescent="0.25">
      <c r="A758" s="2" t="str">
        <f>HYPERLINK("https://rth.dk/resources/bsgatlas/details.php?id=BSGatlas-gene-757","BSGatlas-gene-757")</f>
        <v>BSGatlas-gene-757</v>
      </c>
      <c r="B758" s="1" t="s">
        <v>11476</v>
      </c>
      <c r="C758" s="1" t="s">
        <v>276</v>
      </c>
      <c r="D758" s="1">
        <v>658813</v>
      </c>
      <c r="E758" s="1">
        <v>659010</v>
      </c>
      <c r="F758" s="1" t="s">
        <v>13</v>
      </c>
      <c r="G758" s="1" t="s">
        <v>11441</v>
      </c>
    </row>
    <row r="759" spans="1:7" ht="21" x14ac:dyDescent="0.25">
      <c r="A759" s="2" t="str">
        <f>HYPERLINK("https://rth.dk/resources/bsgatlas/details.php?id=BSGatlas-gene-758","BSGatlas-gene-758")</f>
        <v>BSGatlas-gene-758</v>
      </c>
      <c r="B759" s="1" t="s">
        <v>11477</v>
      </c>
      <c r="C759" s="1" t="s">
        <v>276</v>
      </c>
      <c r="D759" s="1">
        <v>659010</v>
      </c>
      <c r="E759" s="1">
        <v>659129</v>
      </c>
      <c r="F759" s="1" t="s">
        <v>13</v>
      </c>
      <c r="G759" s="1" t="s">
        <v>11441</v>
      </c>
    </row>
    <row r="760" spans="1:7" ht="21" x14ac:dyDescent="0.25">
      <c r="A760" s="2" t="str">
        <f>HYPERLINK("https://rth.dk/resources/bsgatlas/details.php?id=BSGatlas-gene-759","BSGatlas-gene-759")</f>
        <v>BSGatlas-gene-759</v>
      </c>
      <c r="B760" s="1" t="s">
        <v>11478</v>
      </c>
      <c r="C760" s="1" t="s">
        <v>276</v>
      </c>
      <c r="D760" s="1">
        <v>659129</v>
      </c>
      <c r="E760" s="1">
        <v>659221</v>
      </c>
      <c r="F760" s="1" t="s">
        <v>13</v>
      </c>
      <c r="G760" s="1" t="s">
        <v>11441</v>
      </c>
    </row>
    <row r="761" spans="1:7" ht="21" x14ac:dyDescent="0.25">
      <c r="A761" s="2" t="str">
        <f>HYPERLINK("https://rth.dk/resources/bsgatlas/details.php?id=BSGatlas-gene-760","BSGatlas-gene-760")</f>
        <v>BSGatlas-gene-760</v>
      </c>
      <c r="B761" s="1" t="s">
        <v>703</v>
      </c>
      <c r="C761" s="1" t="s">
        <v>12</v>
      </c>
      <c r="D761" s="1">
        <v>659158</v>
      </c>
      <c r="E761" s="1">
        <v>659332</v>
      </c>
      <c r="F761" s="1" t="s">
        <v>13</v>
      </c>
      <c r="G761" s="1" t="s">
        <v>11442</v>
      </c>
    </row>
    <row r="762" spans="1:7" ht="21" x14ac:dyDescent="0.25">
      <c r="A762" s="2" t="str">
        <f>HYPERLINK("https://rth.dk/resources/bsgatlas/details.php?id=BSGatlas-gene-761","BSGatlas-gene-761")</f>
        <v>BSGatlas-gene-761</v>
      </c>
      <c r="B762" s="1" t="s">
        <v>704</v>
      </c>
      <c r="C762" s="1" t="s">
        <v>8</v>
      </c>
      <c r="D762" s="1">
        <v>659623</v>
      </c>
      <c r="E762" s="1">
        <v>660564</v>
      </c>
      <c r="F762" s="1" t="s">
        <v>9</v>
      </c>
      <c r="G762" s="1" t="s">
        <v>11409</v>
      </c>
    </row>
    <row r="763" spans="1:7" ht="21" x14ac:dyDescent="0.25">
      <c r="A763" s="2" t="str">
        <f>HYPERLINK("https://rth.dk/resources/bsgatlas/details.php?id=BSGatlas-gene-762","BSGatlas-gene-762")</f>
        <v>BSGatlas-gene-762</v>
      </c>
      <c r="B763" s="1" t="s">
        <v>705</v>
      </c>
      <c r="C763" s="1" t="s">
        <v>8</v>
      </c>
      <c r="D763" s="1">
        <v>660596</v>
      </c>
      <c r="E763" s="1">
        <v>661627</v>
      </c>
      <c r="F763" s="1" t="s">
        <v>9</v>
      </c>
      <c r="G763" s="1" t="s">
        <v>11409</v>
      </c>
    </row>
    <row r="764" spans="1:7" ht="21" x14ac:dyDescent="0.25">
      <c r="A764" s="2" t="str">
        <f>HYPERLINK("https://rth.dk/resources/bsgatlas/details.php?id=BSGatlas-gene-763","BSGatlas-gene-763")</f>
        <v>BSGatlas-gene-763</v>
      </c>
      <c r="B764" s="1" t="s">
        <v>706</v>
      </c>
      <c r="C764" s="1" t="s">
        <v>8</v>
      </c>
      <c r="D764" s="1">
        <v>661630</v>
      </c>
      <c r="E764" s="1">
        <v>663027</v>
      </c>
      <c r="F764" s="1" t="s">
        <v>9</v>
      </c>
      <c r="G764" s="1" t="s">
        <v>11409</v>
      </c>
    </row>
    <row r="765" spans="1:7" ht="21" x14ac:dyDescent="0.25">
      <c r="A765" s="2" t="str">
        <f>HYPERLINK("https://rth.dk/resources/bsgatlas/details.php?id=BSGatlas-gene-764","BSGatlas-gene-764")</f>
        <v>BSGatlas-gene-764</v>
      </c>
      <c r="B765" s="1" t="s">
        <v>11479</v>
      </c>
      <c r="C765" s="1" t="s">
        <v>12</v>
      </c>
      <c r="D765" s="1">
        <v>663344</v>
      </c>
      <c r="E765" s="1">
        <v>663562</v>
      </c>
      <c r="F765" s="1" t="s">
        <v>9</v>
      </c>
      <c r="G765" s="1" t="s">
        <v>11442</v>
      </c>
    </row>
    <row r="766" spans="1:7" ht="21" x14ac:dyDescent="0.25">
      <c r="A766" s="2" t="str">
        <f>HYPERLINK("https://rth.dk/resources/bsgatlas/details.php?id=BSGatlas-gene-765","BSGatlas-gene-765")</f>
        <v>BSGatlas-gene-765</v>
      </c>
      <c r="B766" s="1" t="s">
        <v>11480</v>
      </c>
      <c r="C766" s="1" t="s">
        <v>8</v>
      </c>
      <c r="D766" s="1">
        <v>663601</v>
      </c>
      <c r="E766" s="1">
        <v>663936</v>
      </c>
      <c r="F766" s="1" t="s">
        <v>9</v>
      </c>
      <c r="G766" s="1" t="s">
        <v>11409</v>
      </c>
    </row>
    <row r="767" spans="1:7" ht="21" x14ac:dyDescent="0.25">
      <c r="A767" s="2" t="str">
        <f>HYPERLINK("https://rth.dk/resources/bsgatlas/details.php?id=BSGatlas-gene-766","BSGatlas-gene-766")</f>
        <v>BSGatlas-gene-766</v>
      </c>
      <c r="B767" s="1" t="s">
        <v>707</v>
      </c>
      <c r="C767" s="1" t="s">
        <v>8</v>
      </c>
      <c r="D767" s="1">
        <v>664319</v>
      </c>
      <c r="E767" s="1">
        <v>664669</v>
      </c>
      <c r="F767" s="1" t="s">
        <v>9</v>
      </c>
      <c r="G767" s="1" t="s">
        <v>11409</v>
      </c>
    </row>
    <row r="768" spans="1:7" ht="21" x14ac:dyDescent="0.25">
      <c r="A768" s="2" t="str">
        <f>HYPERLINK("https://rth.dk/resources/bsgatlas/details.php?id=BSGatlas-gene-767","BSGatlas-gene-767")</f>
        <v>BSGatlas-gene-767</v>
      </c>
      <c r="B768" s="1" t="s">
        <v>708</v>
      </c>
      <c r="C768" s="1" t="s">
        <v>8</v>
      </c>
      <c r="D768" s="1">
        <v>664775</v>
      </c>
      <c r="E768" s="1">
        <v>667264</v>
      </c>
      <c r="F768" s="1" t="s">
        <v>13</v>
      </c>
      <c r="G768" s="1" t="s">
        <v>11409</v>
      </c>
    </row>
    <row r="769" spans="1:7" ht="21" x14ac:dyDescent="0.25">
      <c r="A769" s="2" t="str">
        <f>HYPERLINK("https://rth.dk/resources/bsgatlas/details.php?id=BSGatlas-gene-768","BSGatlas-gene-768")</f>
        <v>BSGatlas-gene-768</v>
      </c>
      <c r="B769" s="1" t="s">
        <v>709</v>
      </c>
      <c r="C769" s="1" t="s">
        <v>8</v>
      </c>
      <c r="D769" s="1">
        <v>667466</v>
      </c>
      <c r="E769" s="1">
        <v>668527</v>
      </c>
      <c r="F769" s="1" t="s">
        <v>9</v>
      </c>
      <c r="G769" s="1" t="s">
        <v>11409</v>
      </c>
    </row>
    <row r="770" spans="1:7" ht="21" x14ac:dyDescent="0.25">
      <c r="A770" s="2" t="str">
        <f>HYPERLINK("https://rth.dk/resources/bsgatlas/details.php?id=BSGatlas-gene-769","BSGatlas-gene-769")</f>
        <v>BSGatlas-gene-769</v>
      </c>
      <c r="B770" s="1" t="s">
        <v>710</v>
      </c>
      <c r="C770" s="1" t="s">
        <v>8</v>
      </c>
      <c r="D770" s="1">
        <v>668601</v>
      </c>
      <c r="E770" s="1">
        <v>669992</v>
      </c>
      <c r="F770" s="1" t="s">
        <v>9</v>
      </c>
      <c r="G770" s="1" t="s">
        <v>11409</v>
      </c>
    </row>
    <row r="771" spans="1:7" ht="21" x14ac:dyDescent="0.25">
      <c r="A771" s="2" t="str">
        <f>HYPERLINK("https://rth.dk/resources/bsgatlas/details.php?id=BSGatlas-gene-770","BSGatlas-gene-770")</f>
        <v>BSGatlas-gene-770</v>
      </c>
      <c r="B771" s="1" t="s">
        <v>711</v>
      </c>
      <c r="C771" s="1" t="s">
        <v>8</v>
      </c>
      <c r="D771" s="1">
        <v>670087</v>
      </c>
      <c r="E771" s="1">
        <v>671049</v>
      </c>
      <c r="F771" s="1" t="s">
        <v>9</v>
      </c>
      <c r="G771" s="1" t="s">
        <v>11409</v>
      </c>
    </row>
    <row r="772" spans="1:7" ht="21" x14ac:dyDescent="0.25">
      <c r="A772" s="2" t="str">
        <f>HYPERLINK("https://rth.dk/resources/bsgatlas/details.php?id=BSGatlas-gene-771","BSGatlas-gene-771")</f>
        <v>BSGatlas-gene-771</v>
      </c>
      <c r="B772" s="1" t="s">
        <v>712</v>
      </c>
      <c r="C772" s="1" t="s">
        <v>8</v>
      </c>
      <c r="D772" s="1">
        <v>671245</v>
      </c>
      <c r="E772" s="1">
        <v>671928</v>
      </c>
      <c r="F772" s="1" t="s">
        <v>9</v>
      </c>
      <c r="G772" s="1" t="s">
        <v>11409</v>
      </c>
    </row>
    <row r="773" spans="1:7" ht="21" x14ac:dyDescent="0.25">
      <c r="A773" s="2" t="str">
        <f>HYPERLINK("https://rth.dk/resources/bsgatlas/details.php?id=BSGatlas-gene-772","BSGatlas-gene-772")</f>
        <v>BSGatlas-gene-772</v>
      </c>
      <c r="B773" s="1" t="s">
        <v>713</v>
      </c>
      <c r="C773" s="1" t="s">
        <v>8</v>
      </c>
      <c r="D773" s="1">
        <v>671994</v>
      </c>
      <c r="E773" s="1">
        <v>673019</v>
      </c>
      <c r="F773" s="1" t="s">
        <v>9</v>
      </c>
      <c r="G773" s="1" t="s">
        <v>11409</v>
      </c>
    </row>
    <row r="774" spans="1:7" ht="21" x14ac:dyDescent="0.25">
      <c r="A774" s="2" t="str">
        <f>HYPERLINK("https://rth.dk/resources/bsgatlas/details.php?id=BSGatlas-gene-773","BSGatlas-gene-773")</f>
        <v>BSGatlas-gene-773</v>
      </c>
      <c r="B774" s="1" t="s">
        <v>714</v>
      </c>
      <c r="C774" s="1" t="s">
        <v>8</v>
      </c>
      <c r="D774" s="1">
        <v>673019</v>
      </c>
      <c r="E774" s="1">
        <v>673783</v>
      </c>
      <c r="F774" s="1" t="s">
        <v>9</v>
      </c>
      <c r="G774" s="1" t="s">
        <v>11409</v>
      </c>
    </row>
    <row r="775" spans="1:7" ht="21" x14ac:dyDescent="0.25">
      <c r="A775" s="2" t="str">
        <f>HYPERLINK("https://rth.dk/resources/bsgatlas/details.php?id=BSGatlas-gene-774","BSGatlas-gene-774")</f>
        <v>BSGatlas-gene-774</v>
      </c>
      <c r="B775" s="1" t="s">
        <v>715</v>
      </c>
      <c r="C775" s="1" t="s">
        <v>8</v>
      </c>
      <c r="D775" s="1">
        <v>673814</v>
      </c>
      <c r="E775" s="1">
        <v>674785</v>
      </c>
      <c r="F775" s="1" t="s">
        <v>9</v>
      </c>
      <c r="G775" s="1" t="s">
        <v>11409</v>
      </c>
    </row>
    <row r="776" spans="1:7" ht="21" x14ac:dyDescent="0.25">
      <c r="A776" s="2" t="str">
        <f>HYPERLINK("https://rth.dk/resources/bsgatlas/details.php?id=BSGatlas-gene-775","BSGatlas-gene-775")</f>
        <v>BSGatlas-gene-775</v>
      </c>
      <c r="B776" s="1" t="s">
        <v>716</v>
      </c>
      <c r="C776" s="1" t="s">
        <v>8</v>
      </c>
      <c r="D776" s="1">
        <v>674832</v>
      </c>
      <c r="E776" s="1">
        <v>675857</v>
      </c>
      <c r="F776" s="1" t="s">
        <v>13</v>
      </c>
      <c r="G776" s="1" t="s">
        <v>11409</v>
      </c>
    </row>
    <row r="777" spans="1:7" ht="21" x14ac:dyDescent="0.25">
      <c r="A777" s="2" t="str">
        <f>HYPERLINK("https://rth.dk/resources/bsgatlas/details.php?id=BSGatlas-gene-776","BSGatlas-gene-776")</f>
        <v>BSGatlas-gene-776</v>
      </c>
      <c r="B777" s="1" t="s">
        <v>717</v>
      </c>
      <c r="C777" s="1" t="s">
        <v>8</v>
      </c>
      <c r="D777" s="1">
        <v>676442</v>
      </c>
      <c r="E777" s="1">
        <v>677863</v>
      </c>
      <c r="F777" s="1" t="s">
        <v>9</v>
      </c>
      <c r="G777" s="1" t="s">
        <v>11409</v>
      </c>
    </row>
    <row r="778" spans="1:7" ht="21" x14ac:dyDescent="0.25">
      <c r="A778" s="2" t="str">
        <f>HYPERLINK("https://rth.dk/resources/bsgatlas/details.php?id=BSGatlas-gene-777","BSGatlas-gene-777")</f>
        <v>BSGatlas-gene-777</v>
      </c>
      <c r="B778" s="1" t="s">
        <v>718</v>
      </c>
      <c r="C778" s="1" t="s">
        <v>8</v>
      </c>
      <c r="D778" s="1">
        <v>677911</v>
      </c>
      <c r="E778" s="1">
        <v>678951</v>
      </c>
      <c r="F778" s="1" t="s">
        <v>13</v>
      </c>
      <c r="G778" s="1" t="s">
        <v>11409</v>
      </c>
    </row>
    <row r="779" spans="1:7" ht="21" x14ac:dyDescent="0.25">
      <c r="A779" s="2" t="str">
        <f>HYPERLINK("https://rth.dk/resources/bsgatlas/details.php?id=BSGatlas-gene-778","BSGatlas-gene-778")</f>
        <v>BSGatlas-gene-778</v>
      </c>
      <c r="B779" s="1" t="s">
        <v>721</v>
      </c>
      <c r="C779" s="1" t="s">
        <v>12</v>
      </c>
      <c r="D779" s="1">
        <v>679090</v>
      </c>
      <c r="E779" s="1">
        <v>679220</v>
      </c>
      <c r="F779" s="1" t="s">
        <v>13</v>
      </c>
      <c r="G779" s="1" t="s">
        <v>11442</v>
      </c>
    </row>
    <row r="780" spans="1:7" ht="21" x14ac:dyDescent="0.25">
      <c r="A780" s="2" t="str">
        <f>HYPERLINK("https://rth.dk/resources/bsgatlas/details.php?id=BSGatlas-gene-779","BSGatlas-gene-779")</f>
        <v>BSGatlas-gene-779</v>
      </c>
      <c r="B780" s="1" t="s">
        <v>719</v>
      </c>
      <c r="C780" s="1" t="s">
        <v>8</v>
      </c>
      <c r="D780" s="1">
        <v>679390</v>
      </c>
      <c r="E780" s="1">
        <v>679761</v>
      </c>
      <c r="F780" s="1" t="s">
        <v>9</v>
      </c>
      <c r="G780" s="1" t="s">
        <v>11409</v>
      </c>
    </row>
    <row r="781" spans="1:7" ht="21" x14ac:dyDescent="0.25">
      <c r="A781" s="2" t="str">
        <f>HYPERLINK("https://rth.dk/resources/bsgatlas/details.php?id=BSGatlas-gene-780","BSGatlas-gene-780")</f>
        <v>BSGatlas-gene-780</v>
      </c>
      <c r="B781" s="1" t="s">
        <v>720</v>
      </c>
      <c r="C781" s="1" t="s">
        <v>8</v>
      </c>
      <c r="D781" s="1">
        <v>679827</v>
      </c>
      <c r="E781" s="1">
        <v>680873</v>
      </c>
      <c r="F781" s="1" t="s">
        <v>9</v>
      </c>
      <c r="G781" s="1" t="s">
        <v>11409</v>
      </c>
    </row>
    <row r="782" spans="1:7" ht="21" x14ac:dyDescent="0.25">
      <c r="A782" s="2" t="str">
        <f>HYPERLINK("https://rth.dk/resources/bsgatlas/details.php?id=BSGatlas-gene-781","BSGatlas-gene-781")</f>
        <v>BSGatlas-gene-781</v>
      </c>
      <c r="B782" s="1" t="s">
        <v>722</v>
      </c>
      <c r="C782" s="1" t="s">
        <v>8</v>
      </c>
      <c r="D782" s="1">
        <v>680907</v>
      </c>
      <c r="E782" s="1">
        <v>681065</v>
      </c>
      <c r="F782" s="1" t="s">
        <v>13</v>
      </c>
      <c r="G782" s="1" t="s">
        <v>11409</v>
      </c>
    </row>
    <row r="783" spans="1:7" ht="21" x14ac:dyDescent="0.25">
      <c r="A783" s="2" t="str">
        <f>HYPERLINK("https://rth.dk/resources/bsgatlas/details.php?id=BSGatlas-gene-782","BSGatlas-gene-782")</f>
        <v>BSGatlas-gene-782</v>
      </c>
      <c r="B783" s="1" t="s">
        <v>723</v>
      </c>
      <c r="C783" s="1" t="s">
        <v>8</v>
      </c>
      <c r="D783" s="1">
        <v>681255</v>
      </c>
      <c r="E783" s="1">
        <v>681464</v>
      </c>
      <c r="F783" s="1" t="s">
        <v>13</v>
      </c>
      <c r="G783" s="1" t="s">
        <v>11409</v>
      </c>
    </row>
    <row r="784" spans="1:7" ht="21" x14ac:dyDescent="0.25">
      <c r="A784" s="2" t="str">
        <f>HYPERLINK("https://rth.dk/resources/bsgatlas/details.php?id=BSGatlas-gene-783","BSGatlas-gene-783")</f>
        <v>BSGatlas-gene-783</v>
      </c>
      <c r="B784" s="1" t="s">
        <v>724</v>
      </c>
      <c r="C784" s="1" t="s">
        <v>8</v>
      </c>
      <c r="D784" s="1">
        <v>681547</v>
      </c>
      <c r="E784" s="1">
        <v>682362</v>
      </c>
      <c r="F784" s="1" t="s">
        <v>13</v>
      </c>
      <c r="G784" s="1" t="s">
        <v>11409</v>
      </c>
    </row>
    <row r="785" spans="1:7" ht="21" x14ac:dyDescent="0.25">
      <c r="A785" s="2" t="str">
        <f>HYPERLINK("https://rth.dk/resources/bsgatlas/details.php?id=BSGatlas-gene-784","BSGatlas-gene-784")</f>
        <v>BSGatlas-gene-784</v>
      </c>
      <c r="B785" s="1" t="s">
        <v>725</v>
      </c>
      <c r="C785" s="1" t="s">
        <v>8</v>
      </c>
      <c r="D785" s="1">
        <v>682375</v>
      </c>
      <c r="E785" s="1">
        <v>683364</v>
      </c>
      <c r="F785" s="1" t="s">
        <v>13</v>
      </c>
      <c r="G785" s="1" t="s">
        <v>11409</v>
      </c>
    </row>
    <row r="786" spans="1:7" ht="21" x14ac:dyDescent="0.25">
      <c r="A786" s="2" t="str">
        <f>HYPERLINK("https://rth.dk/resources/bsgatlas/details.php?id=BSGatlas-gene-785","BSGatlas-gene-785")</f>
        <v>BSGatlas-gene-785</v>
      </c>
      <c r="B786" s="1" t="s">
        <v>726</v>
      </c>
      <c r="C786" s="1" t="s">
        <v>8</v>
      </c>
      <c r="D786" s="1">
        <v>683462</v>
      </c>
      <c r="E786" s="1">
        <v>685003</v>
      </c>
      <c r="F786" s="1" t="s">
        <v>13</v>
      </c>
      <c r="G786" s="1" t="s">
        <v>11409</v>
      </c>
    </row>
    <row r="787" spans="1:7" ht="21" x14ac:dyDescent="0.25">
      <c r="A787" s="2" t="str">
        <f>HYPERLINK("https://rth.dk/resources/bsgatlas/details.php?id=BSGatlas-gene-786","BSGatlas-gene-786")</f>
        <v>BSGatlas-gene-786</v>
      </c>
      <c r="B787" s="1" t="s">
        <v>727</v>
      </c>
      <c r="C787" s="1" t="s">
        <v>8</v>
      </c>
      <c r="D787" s="1">
        <v>685155</v>
      </c>
      <c r="E787" s="1">
        <v>686564</v>
      </c>
      <c r="F787" s="1" t="s">
        <v>13</v>
      </c>
      <c r="G787" s="1" t="s">
        <v>11409</v>
      </c>
    </row>
    <row r="788" spans="1:7" ht="21" x14ac:dyDescent="0.25">
      <c r="A788" s="2" t="str">
        <f>HYPERLINK("https://rth.dk/resources/bsgatlas/details.php?id=BSGatlas-gene-787","BSGatlas-gene-787")</f>
        <v>BSGatlas-gene-787</v>
      </c>
      <c r="B788" s="1" t="s">
        <v>11481</v>
      </c>
      <c r="C788" s="1" t="s">
        <v>8</v>
      </c>
      <c r="D788" s="1">
        <v>686602</v>
      </c>
      <c r="E788" s="1">
        <v>686889</v>
      </c>
      <c r="F788" s="1" t="s">
        <v>13</v>
      </c>
      <c r="G788" s="1" t="s">
        <v>11409</v>
      </c>
    </row>
    <row r="789" spans="1:7" ht="21" x14ac:dyDescent="0.25">
      <c r="A789" s="2" t="str">
        <f>HYPERLINK("https://rth.dk/resources/bsgatlas/details.php?id=BSGatlas-gene-788","BSGatlas-gene-788")</f>
        <v>BSGatlas-gene-788</v>
      </c>
      <c r="B789" s="1" t="s">
        <v>728</v>
      </c>
      <c r="C789" s="1" t="s">
        <v>8</v>
      </c>
      <c r="D789" s="1">
        <v>686962</v>
      </c>
      <c r="E789" s="1">
        <v>687834</v>
      </c>
      <c r="F789" s="1" t="s">
        <v>9</v>
      </c>
      <c r="G789" s="1" t="s">
        <v>11409</v>
      </c>
    </row>
    <row r="790" spans="1:7" ht="21" x14ac:dyDescent="0.25">
      <c r="A790" s="2" t="str">
        <f>HYPERLINK("https://rth.dk/resources/bsgatlas/details.php?id=BSGatlas-gene-789","BSGatlas-gene-789")</f>
        <v>BSGatlas-gene-789</v>
      </c>
      <c r="B790" s="1" t="s">
        <v>729</v>
      </c>
      <c r="C790" s="1" t="s">
        <v>8</v>
      </c>
      <c r="D790" s="1">
        <v>688184</v>
      </c>
      <c r="E790" s="1">
        <v>689146</v>
      </c>
      <c r="F790" s="1" t="s">
        <v>9</v>
      </c>
      <c r="G790" s="1" t="s">
        <v>11409</v>
      </c>
    </row>
    <row r="791" spans="1:7" ht="21" x14ac:dyDescent="0.25">
      <c r="A791" s="2" t="str">
        <f>HYPERLINK("https://rth.dk/resources/bsgatlas/details.php?id=BSGatlas-gene-790","BSGatlas-gene-790")</f>
        <v>BSGatlas-gene-790</v>
      </c>
      <c r="B791" s="1" t="s">
        <v>11482</v>
      </c>
      <c r="C791" s="1" t="s">
        <v>8</v>
      </c>
      <c r="D791" s="1">
        <v>689146</v>
      </c>
      <c r="E791" s="1">
        <v>690342</v>
      </c>
      <c r="F791" s="1" t="s">
        <v>9</v>
      </c>
      <c r="G791" s="1" t="s">
        <v>11409</v>
      </c>
    </row>
    <row r="792" spans="1:7" ht="21" x14ac:dyDescent="0.25">
      <c r="A792" s="2" t="str">
        <f>HYPERLINK("https://rth.dk/resources/bsgatlas/details.php?id=BSGatlas-gene-791","BSGatlas-gene-791")</f>
        <v>BSGatlas-gene-791</v>
      </c>
      <c r="B792" s="1" t="s">
        <v>11483</v>
      </c>
      <c r="C792" s="1" t="s">
        <v>8</v>
      </c>
      <c r="D792" s="1">
        <v>690364</v>
      </c>
      <c r="E792" s="1">
        <v>692577</v>
      </c>
      <c r="F792" s="1" t="s">
        <v>9</v>
      </c>
      <c r="G792" s="1" t="s">
        <v>11409</v>
      </c>
    </row>
    <row r="793" spans="1:7" ht="21" x14ac:dyDescent="0.25">
      <c r="A793" s="2" t="str">
        <f>HYPERLINK("https://rth.dk/resources/bsgatlas/details.php?id=BSGatlas-gene-792","BSGatlas-gene-792")</f>
        <v>BSGatlas-gene-792</v>
      </c>
      <c r="B793" s="1" t="s">
        <v>522</v>
      </c>
      <c r="C793" s="1" t="s">
        <v>34</v>
      </c>
      <c r="D793" s="1">
        <v>692609</v>
      </c>
      <c r="E793" s="1">
        <v>692701</v>
      </c>
      <c r="F793" s="1" t="s">
        <v>9</v>
      </c>
      <c r="G793" s="1" t="s">
        <v>11414</v>
      </c>
    </row>
    <row r="794" spans="1:7" ht="21" x14ac:dyDescent="0.25">
      <c r="A794" s="2" t="str">
        <f>HYPERLINK("https://rth.dk/resources/bsgatlas/details.php?id=BSGatlas-gene-793","BSGatlas-gene-793")</f>
        <v>BSGatlas-gene-793</v>
      </c>
      <c r="B794" s="1" t="s">
        <v>730</v>
      </c>
      <c r="C794" s="1" t="s">
        <v>8</v>
      </c>
      <c r="D794" s="1">
        <v>692740</v>
      </c>
      <c r="E794" s="1">
        <v>694281</v>
      </c>
      <c r="F794" s="1" t="s">
        <v>9</v>
      </c>
      <c r="G794" s="1" t="s">
        <v>11409</v>
      </c>
    </row>
    <row r="795" spans="1:7" ht="21" x14ac:dyDescent="0.25">
      <c r="A795" s="2" t="str">
        <f>HYPERLINK("https://rth.dk/resources/bsgatlas/details.php?id=BSGatlas-gene-794","BSGatlas-gene-794")</f>
        <v>BSGatlas-gene-794</v>
      </c>
      <c r="B795" s="1" t="s">
        <v>732</v>
      </c>
      <c r="C795" s="1" t="s">
        <v>34</v>
      </c>
      <c r="D795" s="1">
        <v>694424</v>
      </c>
      <c r="E795" s="1">
        <v>694527</v>
      </c>
      <c r="F795" s="1" t="s">
        <v>9</v>
      </c>
      <c r="G795" s="1" t="s">
        <v>11412</v>
      </c>
    </row>
    <row r="796" spans="1:7" ht="21" x14ac:dyDescent="0.25">
      <c r="A796" s="2" t="str">
        <f>HYPERLINK("https://rth.dk/resources/bsgatlas/details.php?id=BSGatlas-gene-795","BSGatlas-gene-795")</f>
        <v>BSGatlas-gene-795</v>
      </c>
      <c r="B796" s="1" t="s">
        <v>731</v>
      </c>
      <c r="C796" s="1" t="s">
        <v>8</v>
      </c>
      <c r="D796" s="1">
        <v>694662</v>
      </c>
      <c r="E796" s="1">
        <v>695984</v>
      </c>
      <c r="F796" s="1" t="s">
        <v>9</v>
      </c>
      <c r="G796" s="1" t="s">
        <v>11409</v>
      </c>
    </row>
    <row r="797" spans="1:7" ht="21" x14ac:dyDescent="0.25">
      <c r="A797" s="2" t="str">
        <f>HYPERLINK("https://rth.dk/resources/bsgatlas/details.php?id=BSGatlas-gene-796","BSGatlas-gene-796")</f>
        <v>BSGatlas-gene-796</v>
      </c>
      <c r="B797" s="1" t="s">
        <v>733</v>
      </c>
      <c r="C797" s="1" t="s">
        <v>8</v>
      </c>
      <c r="D797" s="1">
        <v>696195</v>
      </c>
      <c r="E797" s="1">
        <v>696998</v>
      </c>
      <c r="F797" s="1" t="s">
        <v>9</v>
      </c>
      <c r="G797" s="1" t="s">
        <v>11409</v>
      </c>
    </row>
    <row r="798" spans="1:7" ht="21" x14ac:dyDescent="0.25">
      <c r="A798" s="2" t="str">
        <f>HYPERLINK("https://rth.dk/resources/bsgatlas/details.php?id=BSGatlas-gene-797","BSGatlas-gene-797")</f>
        <v>BSGatlas-gene-797</v>
      </c>
      <c r="B798" s="1" t="s">
        <v>734</v>
      </c>
      <c r="C798" s="1" t="s">
        <v>8</v>
      </c>
      <c r="D798" s="1">
        <v>697157</v>
      </c>
      <c r="E798" s="1">
        <v>697324</v>
      </c>
      <c r="F798" s="1" t="s">
        <v>9</v>
      </c>
      <c r="G798" s="1" t="s">
        <v>11409</v>
      </c>
    </row>
    <row r="799" spans="1:7" ht="21" x14ac:dyDescent="0.25">
      <c r="A799" s="2" t="str">
        <f>HYPERLINK("https://rth.dk/resources/bsgatlas/details.php?id=BSGatlas-gene-798","BSGatlas-gene-798")</f>
        <v>BSGatlas-gene-798</v>
      </c>
      <c r="B799" s="1" t="s">
        <v>735</v>
      </c>
      <c r="C799" s="1" t="s">
        <v>8</v>
      </c>
      <c r="D799" s="1">
        <v>697538</v>
      </c>
      <c r="E799" s="1">
        <v>698092</v>
      </c>
      <c r="F799" s="1" t="s">
        <v>9</v>
      </c>
      <c r="G799" s="1" t="s">
        <v>11409</v>
      </c>
    </row>
    <row r="800" spans="1:7" ht="21" x14ac:dyDescent="0.25">
      <c r="A800" s="2" t="str">
        <f>HYPERLINK("https://rth.dk/resources/bsgatlas/details.php?id=BSGatlas-gene-799","BSGatlas-gene-799")</f>
        <v>BSGatlas-gene-799</v>
      </c>
      <c r="B800" s="1" t="s">
        <v>736</v>
      </c>
      <c r="C800" s="1" t="s">
        <v>8</v>
      </c>
      <c r="D800" s="1">
        <v>698092</v>
      </c>
      <c r="E800" s="1">
        <v>698289</v>
      </c>
      <c r="F800" s="1" t="s">
        <v>9</v>
      </c>
      <c r="G800" s="1" t="s">
        <v>11409</v>
      </c>
    </row>
    <row r="801" spans="1:7" ht="21" x14ac:dyDescent="0.25">
      <c r="A801" s="2" t="str">
        <f>HYPERLINK("https://rth.dk/resources/bsgatlas/details.php?id=BSGatlas-gene-800","BSGatlas-gene-800")</f>
        <v>BSGatlas-gene-800</v>
      </c>
      <c r="B801" s="1" t="s">
        <v>737</v>
      </c>
      <c r="C801" s="1" t="s">
        <v>34</v>
      </c>
      <c r="D801" s="1">
        <v>698368</v>
      </c>
      <c r="E801" s="1">
        <v>698471</v>
      </c>
      <c r="F801" s="1" t="s">
        <v>9</v>
      </c>
      <c r="G801" s="1" t="s">
        <v>11411</v>
      </c>
    </row>
    <row r="802" spans="1:7" ht="21" x14ac:dyDescent="0.25">
      <c r="A802" s="2" t="str">
        <f>HYPERLINK("https://rth.dk/resources/bsgatlas/details.php?id=BSGatlas-gene-801","BSGatlas-gene-801")</f>
        <v>BSGatlas-gene-801</v>
      </c>
      <c r="B802" s="1" t="s">
        <v>738</v>
      </c>
      <c r="C802" s="1" t="s">
        <v>34</v>
      </c>
      <c r="D802" s="1">
        <v>698372</v>
      </c>
      <c r="E802" s="1">
        <v>698571</v>
      </c>
      <c r="F802" s="1" t="s">
        <v>9</v>
      </c>
      <c r="G802" s="1" t="s">
        <v>11414</v>
      </c>
    </row>
    <row r="803" spans="1:7" ht="21" x14ac:dyDescent="0.25">
      <c r="A803" s="2" t="str">
        <f>HYPERLINK("https://rth.dk/resources/bsgatlas/details.php?id=BSGatlas-gene-802","BSGatlas-gene-802")</f>
        <v>BSGatlas-gene-802</v>
      </c>
      <c r="B803" s="1" t="s">
        <v>739</v>
      </c>
      <c r="C803" s="1" t="s">
        <v>8</v>
      </c>
      <c r="D803" s="1">
        <v>698612</v>
      </c>
      <c r="E803" s="1">
        <v>699100</v>
      </c>
      <c r="F803" s="1" t="s">
        <v>9</v>
      </c>
      <c r="G803" s="1" t="s">
        <v>11409</v>
      </c>
    </row>
    <row r="804" spans="1:7" ht="21" x14ac:dyDescent="0.25">
      <c r="A804" s="2" t="str">
        <f>HYPERLINK("https://rth.dk/resources/bsgatlas/details.php?id=BSGatlas-gene-803","BSGatlas-gene-803")</f>
        <v>BSGatlas-gene-803</v>
      </c>
      <c r="B804" s="1" t="s">
        <v>740</v>
      </c>
      <c r="C804" s="1" t="s">
        <v>8</v>
      </c>
      <c r="D804" s="1">
        <v>699093</v>
      </c>
      <c r="E804" s="1">
        <v>700235</v>
      </c>
      <c r="F804" s="1" t="s">
        <v>9</v>
      </c>
      <c r="G804" s="1" t="s">
        <v>11409</v>
      </c>
    </row>
    <row r="805" spans="1:7" ht="21" x14ac:dyDescent="0.25">
      <c r="A805" s="2" t="str">
        <f>HYPERLINK("https://rth.dk/resources/bsgatlas/details.php?id=BSGatlas-gene-804","BSGatlas-gene-804")</f>
        <v>BSGatlas-gene-804</v>
      </c>
      <c r="B805" s="1" t="s">
        <v>741</v>
      </c>
      <c r="C805" s="1" t="s">
        <v>8</v>
      </c>
      <c r="D805" s="1">
        <v>700232</v>
      </c>
      <c r="E805" s="1">
        <v>701527</v>
      </c>
      <c r="F805" s="1" t="s">
        <v>9</v>
      </c>
      <c r="G805" s="1" t="s">
        <v>11409</v>
      </c>
    </row>
    <row r="806" spans="1:7" ht="21" x14ac:dyDescent="0.25">
      <c r="A806" s="2" t="str">
        <f>HYPERLINK("https://rth.dk/resources/bsgatlas/details.php?id=BSGatlas-gene-805","BSGatlas-gene-805")</f>
        <v>BSGatlas-gene-805</v>
      </c>
      <c r="B806" s="1" t="s">
        <v>742</v>
      </c>
      <c r="C806" s="1" t="s">
        <v>8</v>
      </c>
      <c r="D806" s="1">
        <v>701601</v>
      </c>
      <c r="E806" s="1">
        <v>702326</v>
      </c>
      <c r="F806" s="1" t="s">
        <v>9</v>
      </c>
      <c r="G806" s="1" t="s">
        <v>11409</v>
      </c>
    </row>
    <row r="807" spans="1:7" ht="21" x14ac:dyDescent="0.25">
      <c r="A807" s="2" t="str">
        <f>HYPERLINK("https://rth.dk/resources/bsgatlas/details.php?id=BSGatlas-gene-806","BSGatlas-gene-806")</f>
        <v>BSGatlas-gene-806</v>
      </c>
      <c r="B807" s="1" t="s">
        <v>743</v>
      </c>
      <c r="C807" s="1" t="s">
        <v>8</v>
      </c>
      <c r="D807" s="1">
        <v>702319</v>
      </c>
      <c r="E807" s="1">
        <v>702573</v>
      </c>
      <c r="F807" s="1" t="s">
        <v>9</v>
      </c>
      <c r="G807" s="1" t="s">
        <v>11409</v>
      </c>
    </row>
    <row r="808" spans="1:7" ht="21" x14ac:dyDescent="0.25">
      <c r="A808" s="2" t="str">
        <f>HYPERLINK("https://rth.dk/resources/bsgatlas/details.php?id=BSGatlas-gene-807","BSGatlas-gene-807")</f>
        <v>BSGatlas-gene-807</v>
      </c>
      <c r="B808" s="1" t="s">
        <v>744</v>
      </c>
      <c r="C808" s="1" t="s">
        <v>8</v>
      </c>
      <c r="D808" s="1">
        <v>702570</v>
      </c>
      <c r="E808" s="1">
        <v>703253</v>
      </c>
      <c r="F808" s="1" t="s">
        <v>9</v>
      </c>
      <c r="G808" s="1" t="s">
        <v>11409</v>
      </c>
    </row>
    <row r="809" spans="1:7" ht="21" x14ac:dyDescent="0.25">
      <c r="A809" s="2" t="str">
        <f>HYPERLINK("https://rth.dk/resources/bsgatlas/details.php?id=BSGatlas-gene-808","BSGatlas-gene-808")</f>
        <v>BSGatlas-gene-808</v>
      </c>
      <c r="B809" s="1" t="s">
        <v>745</v>
      </c>
      <c r="C809" s="1" t="s">
        <v>8</v>
      </c>
      <c r="D809" s="1">
        <v>703237</v>
      </c>
      <c r="E809" s="1">
        <v>705465</v>
      </c>
      <c r="F809" s="1" t="s">
        <v>9</v>
      </c>
      <c r="G809" s="1" t="s">
        <v>11409</v>
      </c>
    </row>
    <row r="810" spans="1:7" ht="21" x14ac:dyDescent="0.25">
      <c r="A810" s="2" t="str">
        <f>HYPERLINK("https://rth.dk/resources/bsgatlas/details.php?id=BSGatlas-gene-809","BSGatlas-gene-809")</f>
        <v>BSGatlas-gene-809</v>
      </c>
      <c r="B810" s="1" t="s">
        <v>746</v>
      </c>
      <c r="C810" s="1" t="s">
        <v>8</v>
      </c>
      <c r="D810" s="1">
        <v>705441</v>
      </c>
      <c r="E810" s="1">
        <v>706871</v>
      </c>
      <c r="F810" s="1" t="s">
        <v>9</v>
      </c>
      <c r="G810" s="1" t="s">
        <v>11409</v>
      </c>
    </row>
    <row r="811" spans="1:7" ht="21" x14ac:dyDescent="0.25">
      <c r="A811" s="2" t="str">
        <f>HYPERLINK("https://rth.dk/resources/bsgatlas/details.php?id=BSGatlas-gene-810","BSGatlas-gene-810")</f>
        <v>BSGatlas-gene-810</v>
      </c>
      <c r="B811" s="1" t="s">
        <v>747</v>
      </c>
      <c r="C811" s="1" t="s">
        <v>8</v>
      </c>
      <c r="D811" s="1">
        <v>706973</v>
      </c>
      <c r="E811" s="1">
        <v>708013</v>
      </c>
      <c r="F811" s="1" t="s">
        <v>9</v>
      </c>
      <c r="G811" s="1" t="s">
        <v>11409</v>
      </c>
    </row>
    <row r="812" spans="1:7" ht="21" x14ac:dyDescent="0.25">
      <c r="A812" s="2" t="str">
        <f>HYPERLINK("https://rth.dk/resources/bsgatlas/details.php?id=BSGatlas-gene-811","BSGatlas-gene-811")</f>
        <v>BSGatlas-gene-811</v>
      </c>
      <c r="B812" s="1" t="s">
        <v>748</v>
      </c>
      <c r="C812" s="1" t="s">
        <v>8</v>
      </c>
      <c r="D812" s="1">
        <v>708010</v>
      </c>
      <c r="E812" s="1">
        <v>708597</v>
      </c>
      <c r="F812" s="1" t="s">
        <v>9</v>
      </c>
      <c r="G812" s="1" t="s">
        <v>11409</v>
      </c>
    </row>
    <row r="813" spans="1:7" ht="21" x14ac:dyDescent="0.25">
      <c r="A813" s="2" t="str">
        <f>HYPERLINK("https://rth.dk/resources/bsgatlas/details.php?id=BSGatlas-gene-812","BSGatlas-gene-812")</f>
        <v>BSGatlas-gene-812</v>
      </c>
      <c r="B813" s="1" t="s">
        <v>749</v>
      </c>
      <c r="C813" s="1" t="s">
        <v>8</v>
      </c>
      <c r="D813" s="1">
        <v>708594</v>
      </c>
      <c r="E813" s="1">
        <v>710132</v>
      </c>
      <c r="F813" s="1" t="s">
        <v>9</v>
      </c>
      <c r="G813" s="1" t="s">
        <v>11409</v>
      </c>
    </row>
    <row r="814" spans="1:7" ht="21" x14ac:dyDescent="0.25">
      <c r="A814" s="2" t="str">
        <f>HYPERLINK("https://rth.dk/resources/bsgatlas/details.php?id=BSGatlas-gene-813","BSGatlas-gene-813")</f>
        <v>BSGatlas-gene-813</v>
      </c>
      <c r="B814" s="1" t="s">
        <v>750</v>
      </c>
      <c r="C814" s="1" t="s">
        <v>8</v>
      </c>
      <c r="D814" s="1">
        <v>710148</v>
      </c>
      <c r="E814" s="1">
        <v>711416</v>
      </c>
      <c r="F814" s="1" t="s">
        <v>9</v>
      </c>
      <c r="G814" s="1" t="s">
        <v>11409</v>
      </c>
    </row>
    <row r="815" spans="1:7" ht="21" x14ac:dyDescent="0.25">
      <c r="A815" s="2" t="str">
        <f>HYPERLINK("https://rth.dk/resources/bsgatlas/details.php?id=BSGatlas-gene-814","BSGatlas-gene-814")</f>
        <v>BSGatlas-gene-814</v>
      </c>
      <c r="B815" s="1" t="s">
        <v>751</v>
      </c>
      <c r="C815" s="1" t="s">
        <v>8</v>
      </c>
      <c r="D815" s="1">
        <v>711456</v>
      </c>
      <c r="E815" s="1">
        <v>711875</v>
      </c>
      <c r="F815" s="1" t="s">
        <v>13</v>
      </c>
      <c r="G815" s="1" t="s">
        <v>11409</v>
      </c>
    </row>
    <row r="816" spans="1:7" ht="21" x14ac:dyDescent="0.25">
      <c r="A816" s="2" t="str">
        <f>HYPERLINK("https://rth.dk/resources/bsgatlas/details.php?id=BSGatlas-gene-815","BSGatlas-gene-815")</f>
        <v>BSGatlas-gene-815</v>
      </c>
      <c r="B816" s="1" t="s">
        <v>752</v>
      </c>
      <c r="C816" s="1" t="s">
        <v>8</v>
      </c>
      <c r="D816" s="1">
        <v>712019</v>
      </c>
      <c r="E816" s="1">
        <v>713293</v>
      </c>
      <c r="F816" s="1" t="s">
        <v>9</v>
      </c>
      <c r="G816" s="1" t="s">
        <v>11409</v>
      </c>
    </row>
    <row r="817" spans="1:7" ht="21" x14ac:dyDescent="0.25">
      <c r="A817" s="2" t="str">
        <f>HYPERLINK("https://rth.dk/resources/bsgatlas/details.php?id=BSGatlas-gene-816","BSGatlas-gene-816")</f>
        <v>BSGatlas-gene-816</v>
      </c>
      <c r="B817" s="1" t="s">
        <v>753</v>
      </c>
      <c r="C817" s="1" t="s">
        <v>8</v>
      </c>
      <c r="D817" s="1">
        <v>713308</v>
      </c>
      <c r="E817" s="1">
        <v>713535</v>
      </c>
      <c r="F817" s="1" t="s">
        <v>13</v>
      </c>
      <c r="G817" s="1" t="s">
        <v>11409</v>
      </c>
    </row>
    <row r="818" spans="1:7" ht="21" x14ac:dyDescent="0.25">
      <c r="A818" s="2" t="str">
        <f>HYPERLINK("https://rth.dk/resources/bsgatlas/details.php?id=BSGatlas-gene-817","BSGatlas-gene-817")</f>
        <v>BSGatlas-gene-817</v>
      </c>
      <c r="B818" s="1" t="s">
        <v>754</v>
      </c>
      <c r="C818" s="1" t="s">
        <v>8</v>
      </c>
      <c r="D818" s="1">
        <v>713664</v>
      </c>
      <c r="E818" s="1">
        <v>715406</v>
      </c>
      <c r="F818" s="1" t="s">
        <v>9</v>
      </c>
      <c r="G818" s="1" t="s">
        <v>11409</v>
      </c>
    </row>
    <row r="819" spans="1:7" ht="21" x14ac:dyDescent="0.25">
      <c r="A819" s="2" t="str">
        <f>HYPERLINK("https://rth.dk/resources/bsgatlas/details.php?id=BSGatlas-gene-818","BSGatlas-gene-818")</f>
        <v>BSGatlas-gene-818</v>
      </c>
      <c r="B819" s="1" t="s">
        <v>755</v>
      </c>
      <c r="C819" s="1" t="s">
        <v>8</v>
      </c>
      <c r="D819" s="1">
        <v>715433</v>
      </c>
      <c r="E819" s="1">
        <v>716428</v>
      </c>
      <c r="F819" s="1" t="s">
        <v>9</v>
      </c>
      <c r="G819" s="1" t="s">
        <v>11409</v>
      </c>
    </row>
    <row r="820" spans="1:7" ht="21" x14ac:dyDescent="0.25">
      <c r="A820" s="2" t="str">
        <f>HYPERLINK("https://rth.dk/resources/bsgatlas/details.php?id=BSGatlas-gene-819","BSGatlas-gene-819")</f>
        <v>BSGatlas-gene-819</v>
      </c>
      <c r="B820" s="1" t="s">
        <v>756</v>
      </c>
      <c r="C820" s="1" t="s">
        <v>8</v>
      </c>
      <c r="D820" s="1">
        <v>716431</v>
      </c>
      <c r="E820" s="1">
        <v>716745</v>
      </c>
      <c r="F820" s="1" t="s">
        <v>9</v>
      </c>
      <c r="G820" s="1" t="s">
        <v>11409</v>
      </c>
    </row>
    <row r="821" spans="1:7" ht="21" x14ac:dyDescent="0.25">
      <c r="A821" s="2" t="str">
        <f>HYPERLINK("https://rth.dk/resources/bsgatlas/details.php?id=BSGatlas-gene-820","BSGatlas-gene-820")</f>
        <v>BSGatlas-gene-820</v>
      </c>
      <c r="B821" s="1" t="s">
        <v>757</v>
      </c>
      <c r="C821" s="1" t="s">
        <v>8</v>
      </c>
      <c r="D821" s="1">
        <v>716780</v>
      </c>
      <c r="E821" s="1">
        <v>718357</v>
      </c>
      <c r="F821" s="1" t="s">
        <v>13</v>
      </c>
      <c r="G821" s="1" t="s">
        <v>11409</v>
      </c>
    </row>
    <row r="822" spans="1:7" ht="21" x14ac:dyDescent="0.25">
      <c r="A822" s="2" t="str">
        <f>HYPERLINK("https://rth.dk/resources/bsgatlas/details.php?id=BSGatlas-gene-821","BSGatlas-gene-821")</f>
        <v>BSGatlas-gene-821</v>
      </c>
      <c r="B822" s="1" t="s">
        <v>758</v>
      </c>
      <c r="C822" s="1" t="s">
        <v>8</v>
      </c>
      <c r="D822" s="1">
        <v>718622</v>
      </c>
      <c r="E822" s="1">
        <v>719308</v>
      </c>
      <c r="F822" s="1" t="s">
        <v>9</v>
      </c>
      <c r="G822" s="1" t="s">
        <v>11409</v>
      </c>
    </row>
    <row r="823" spans="1:7" ht="21" x14ac:dyDescent="0.25">
      <c r="A823" s="2" t="str">
        <f>HYPERLINK("https://rth.dk/resources/bsgatlas/details.php?id=BSGatlas-gene-822","BSGatlas-gene-822")</f>
        <v>BSGatlas-gene-822</v>
      </c>
      <c r="B823" s="1" t="s">
        <v>759</v>
      </c>
      <c r="C823" s="1" t="s">
        <v>8</v>
      </c>
      <c r="D823" s="1">
        <v>719370</v>
      </c>
      <c r="E823" s="1">
        <v>721589</v>
      </c>
      <c r="F823" s="1" t="s">
        <v>9</v>
      </c>
      <c r="G823" s="1" t="s">
        <v>11409</v>
      </c>
    </row>
    <row r="824" spans="1:7" ht="21" x14ac:dyDescent="0.25">
      <c r="A824" s="2" t="str">
        <f>HYPERLINK("https://rth.dk/resources/bsgatlas/details.php?id=BSGatlas-gene-823","BSGatlas-gene-823")</f>
        <v>BSGatlas-gene-823</v>
      </c>
      <c r="B824" s="1" t="s">
        <v>760</v>
      </c>
      <c r="C824" s="1" t="s">
        <v>8</v>
      </c>
      <c r="D824" s="1">
        <v>721613</v>
      </c>
      <c r="E824" s="1">
        <v>723619</v>
      </c>
      <c r="F824" s="1" t="s">
        <v>9</v>
      </c>
      <c r="G824" s="1" t="s">
        <v>11409</v>
      </c>
    </row>
    <row r="825" spans="1:7" ht="21" x14ac:dyDescent="0.25">
      <c r="A825" s="2" t="str">
        <f>HYPERLINK("https://rth.dk/resources/bsgatlas/details.php?id=BSGatlas-gene-824","BSGatlas-gene-824")</f>
        <v>BSGatlas-gene-824</v>
      </c>
      <c r="B825" s="1" t="s">
        <v>761</v>
      </c>
      <c r="C825" s="1" t="s">
        <v>8</v>
      </c>
      <c r="D825" s="1">
        <v>723635</v>
      </c>
      <c r="E825" s="1">
        <v>724825</v>
      </c>
      <c r="F825" s="1" t="s">
        <v>9</v>
      </c>
      <c r="G825" s="1" t="s">
        <v>11409</v>
      </c>
    </row>
    <row r="826" spans="1:7" ht="21" x14ac:dyDescent="0.25">
      <c r="A826" s="2" t="str">
        <f>HYPERLINK("https://rth.dk/resources/bsgatlas/details.php?id=BSGatlas-gene-825","BSGatlas-gene-825")</f>
        <v>BSGatlas-gene-825</v>
      </c>
      <c r="B826" s="1" t="s">
        <v>762</v>
      </c>
      <c r="C826" s="1" t="s">
        <v>8</v>
      </c>
      <c r="D826" s="1">
        <v>724987</v>
      </c>
      <c r="E826" s="1">
        <v>725997</v>
      </c>
      <c r="F826" s="1" t="s">
        <v>9</v>
      </c>
      <c r="G826" s="1" t="s">
        <v>11409</v>
      </c>
    </row>
    <row r="827" spans="1:7" ht="21" x14ac:dyDescent="0.25">
      <c r="A827" s="2" t="str">
        <f>HYPERLINK("https://rth.dk/resources/bsgatlas/details.php?id=BSGatlas-gene-826","BSGatlas-gene-826")</f>
        <v>BSGatlas-gene-826</v>
      </c>
      <c r="B827" s="1" t="s">
        <v>11484</v>
      </c>
      <c r="C827" s="1" t="s">
        <v>12</v>
      </c>
      <c r="D827" s="1">
        <v>726024</v>
      </c>
      <c r="E827" s="1">
        <v>726828</v>
      </c>
      <c r="F827" s="1" t="s">
        <v>9</v>
      </c>
      <c r="G827" s="1" t="s">
        <v>11406</v>
      </c>
    </row>
    <row r="828" spans="1:7" ht="21" x14ac:dyDescent="0.25">
      <c r="A828" s="2" t="str">
        <f>HYPERLINK("https://rth.dk/resources/bsgatlas/details.php?id=BSGatlas-gene-827","BSGatlas-gene-827")</f>
        <v>BSGatlas-gene-827</v>
      </c>
      <c r="B828" s="1" t="s">
        <v>763</v>
      </c>
      <c r="C828" s="1" t="s">
        <v>8</v>
      </c>
      <c r="D828" s="1">
        <v>726035</v>
      </c>
      <c r="E828" s="1">
        <v>726733</v>
      </c>
      <c r="F828" s="1" t="s">
        <v>13</v>
      </c>
      <c r="G828" s="1" t="s">
        <v>11409</v>
      </c>
    </row>
    <row r="829" spans="1:7" ht="21" x14ac:dyDescent="0.25">
      <c r="A829" s="2" t="str">
        <f>HYPERLINK("https://rth.dk/resources/bsgatlas/details.php?id=BSGatlas-gene-828","BSGatlas-gene-828")</f>
        <v>BSGatlas-gene-828</v>
      </c>
      <c r="B829" s="1" t="s">
        <v>764</v>
      </c>
      <c r="C829" s="1" t="s">
        <v>8</v>
      </c>
      <c r="D829" s="1">
        <v>726840</v>
      </c>
      <c r="E829" s="1">
        <v>728318</v>
      </c>
      <c r="F829" s="1" t="s">
        <v>13</v>
      </c>
      <c r="G829" s="1" t="s">
        <v>11409</v>
      </c>
    </row>
    <row r="830" spans="1:7" ht="21" x14ac:dyDescent="0.25">
      <c r="A830" s="2" t="str">
        <f>HYPERLINK("https://rth.dk/resources/bsgatlas/details.php?id=BSGatlas-gene-829","BSGatlas-gene-829")</f>
        <v>BSGatlas-gene-829</v>
      </c>
      <c r="B830" s="1" t="s">
        <v>765</v>
      </c>
      <c r="C830" s="1" t="s">
        <v>8</v>
      </c>
      <c r="D830" s="1">
        <v>728732</v>
      </c>
      <c r="E830" s="1">
        <v>729022</v>
      </c>
      <c r="F830" s="1" t="s">
        <v>9</v>
      </c>
      <c r="G830" s="1" t="s">
        <v>11409</v>
      </c>
    </row>
    <row r="831" spans="1:7" ht="21" x14ac:dyDescent="0.25">
      <c r="A831" s="2" t="str">
        <f>HYPERLINK("https://rth.dk/resources/bsgatlas/details.php?id=BSGatlas-gene-830","BSGatlas-gene-830")</f>
        <v>BSGatlas-gene-830</v>
      </c>
      <c r="B831" s="1" t="s">
        <v>766</v>
      </c>
      <c r="C831" s="1" t="s">
        <v>8</v>
      </c>
      <c r="D831" s="1">
        <v>729038</v>
      </c>
      <c r="E831" s="1">
        <v>730495</v>
      </c>
      <c r="F831" s="1" t="s">
        <v>9</v>
      </c>
      <c r="G831" s="1" t="s">
        <v>11409</v>
      </c>
    </row>
    <row r="832" spans="1:7" ht="21" x14ac:dyDescent="0.25">
      <c r="A832" s="2" t="str">
        <f>HYPERLINK("https://rth.dk/resources/bsgatlas/details.php?id=BSGatlas-gene-831","BSGatlas-gene-831")</f>
        <v>BSGatlas-gene-831</v>
      </c>
      <c r="B832" s="1" t="s">
        <v>767</v>
      </c>
      <c r="C832" s="1" t="s">
        <v>8</v>
      </c>
      <c r="D832" s="1">
        <v>730509</v>
      </c>
      <c r="E832" s="1">
        <v>731939</v>
      </c>
      <c r="F832" s="1" t="s">
        <v>9</v>
      </c>
      <c r="G832" s="1" t="s">
        <v>11409</v>
      </c>
    </row>
    <row r="833" spans="1:7" ht="21" x14ac:dyDescent="0.25">
      <c r="A833" s="2" t="str">
        <f>HYPERLINK("https://rth.dk/resources/bsgatlas/details.php?id=BSGatlas-gene-832","BSGatlas-gene-832")</f>
        <v>BSGatlas-gene-832</v>
      </c>
      <c r="B833" s="1" t="s">
        <v>768</v>
      </c>
      <c r="C833" s="1" t="s">
        <v>8</v>
      </c>
      <c r="D833" s="1">
        <v>731954</v>
      </c>
      <c r="E833" s="1">
        <v>732823</v>
      </c>
      <c r="F833" s="1" t="s">
        <v>13</v>
      </c>
      <c r="G833" s="1" t="s">
        <v>11409</v>
      </c>
    </row>
    <row r="834" spans="1:7" ht="21" x14ac:dyDescent="0.25">
      <c r="A834" s="2" t="str">
        <f>HYPERLINK("https://rth.dk/resources/bsgatlas/details.php?id=BSGatlas-gene-833","BSGatlas-gene-833")</f>
        <v>BSGatlas-gene-833</v>
      </c>
      <c r="B834" s="1" t="s">
        <v>769</v>
      </c>
      <c r="C834" s="1" t="s">
        <v>8</v>
      </c>
      <c r="D834" s="1">
        <v>732955</v>
      </c>
      <c r="E834" s="1">
        <v>736113</v>
      </c>
      <c r="F834" s="1" t="s">
        <v>9</v>
      </c>
      <c r="G834" s="1" t="s">
        <v>11409</v>
      </c>
    </row>
    <row r="835" spans="1:7" ht="21" x14ac:dyDescent="0.25">
      <c r="A835" s="2" t="str">
        <f>HYPERLINK("https://rth.dk/resources/bsgatlas/details.php?id=BSGatlas-gene-834","BSGatlas-gene-834")</f>
        <v>BSGatlas-gene-834</v>
      </c>
      <c r="B835" s="1" t="s">
        <v>770</v>
      </c>
      <c r="C835" s="1" t="s">
        <v>8</v>
      </c>
      <c r="D835" s="1">
        <v>736436</v>
      </c>
      <c r="E835" s="1">
        <v>737347</v>
      </c>
      <c r="F835" s="1" t="s">
        <v>9</v>
      </c>
      <c r="G835" s="1" t="s">
        <v>11409</v>
      </c>
    </row>
    <row r="836" spans="1:7" ht="21" x14ac:dyDescent="0.25">
      <c r="A836" s="2" t="str">
        <f>HYPERLINK("https://rth.dk/resources/bsgatlas/details.php?id=BSGatlas-gene-835","BSGatlas-gene-835")</f>
        <v>BSGatlas-gene-835</v>
      </c>
      <c r="B836" s="1" t="s">
        <v>771</v>
      </c>
      <c r="C836" s="1" t="s">
        <v>8</v>
      </c>
      <c r="D836" s="1">
        <v>737603</v>
      </c>
      <c r="E836" s="1">
        <v>738982</v>
      </c>
      <c r="F836" s="1" t="s">
        <v>9</v>
      </c>
      <c r="G836" s="1" t="s">
        <v>11409</v>
      </c>
    </row>
    <row r="837" spans="1:7" ht="21" x14ac:dyDescent="0.25">
      <c r="A837" s="2" t="str">
        <f>HYPERLINK("https://rth.dk/resources/bsgatlas/details.php?id=BSGatlas-gene-836","BSGatlas-gene-836")</f>
        <v>BSGatlas-gene-836</v>
      </c>
      <c r="B837" s="1" t="s">
        <v>776</v>
      </c>
      <c r="C837" s="1" t="s">
        <v>8</v>
      </c>
      <c r="D837" s="1">
        <v>738995</v>
      </c>
      <c r="E837" s="1">
        <v>739897</v>
      </c>
      <c r="F837" s="1" t="s">
        <v>13</v>
      </c>
      <c r="G837" s="1" t="s">
        <v>11409</v>
      </c>
    </row>
    <row r="838" spans="1:7" ht="21" x14ac:dyDescent="0.25">
      <c r="A838" s="2" t="str">
        <f>HYPERLINK("https://rth.dk/resources/bsgatlas/details.php?id=BSGatlas-gene-837","BSGatlas-gene-837")</f>
        <v>BSGatlas-gene-837</v>
      </c>
      <c r="B838" s="1" t="s">
        <v>772</v>
      </c>
      <c r="C838" s="1" t="s">
        <v>8</v>
      </c>
      <c r="D838" s="1">
        <v>739878</v>
      </c>
      <c r="E838" s="1">
        <v>740213</v>
      </c>
      <c r="F838" s="1" t="s">
        <v>9</v>
      </c>
      <c r="G838" s="1" t="s">
        <v>11409</v>
      </c>
    </row>
    <row r="839" spans="1:7" ht="21" x14ac:dyDescent="0.25">
      <c r="A839" s="2" t="str">
        <f>HYPERLINK("https://rth.dk/resources/bsgatlas/details.php?id=BSGatlas-gene-838","BSGatlas-gene-838")</f>
        <v>BSGatlas-gene-838</v>
      </c>
      <c r="B839" s="1" t="s">
        <v>773</v>
      </c>
      <c r="C839" s="1" t="s">
        <v>8</v>
      </c>
      <c r="D839" s="1">
        <v>740288</v>
      </c>
      <c r="E839" s="1">
        <v>742927</v>
      </c>
      <c r="F839" s="1" t="s">
        <v>9</v>
      </c>
      <c r="G839" s="1" t="s">
        <v>11409</v>
      </c>
    </row>
    <row r="840" spans="1:7" ht="21" x14ac:dyDescent="0.25">
      <c r="A840" s="2" t="str">
        <f>HYPERLINK("https://rth.dk/resources/bsgatlas/details.php?id=BSGatlas-gene-839","BSGatlas-gene-839")</f>
        <v>BSGatlas-gene-839</v>
      </c>
      <c r="B840" s="1" t="s">
        <v>774</v>
      </c>
      <c r="C840" s="1" t="s">
        <v>8</v>
      </c>
      <c r="D840" s="1">
        <v>742939</v>
      </c>
      <c r="E840" s="1">
        <v>744738</v>
      </c>
      <c r="F840" s="1" t="s">
        <v>9</v>
      </c>
      <c r="G840" s="1" t="s">
        <v>11409</v>
      </c>
    </row>
    <row r="841" spans="1:7" ht="21" x14ac:dyDescent="0.25">
      <c r="A841" s="2" t="str">
        <f>HYPERLINK("https://rth.dk/resources/bsgatlas/details.php?id=BSGatlas-gene-840","BSGatlas-gene-840")</f>
        <v>BSGatlas-gene-840</v>
      </c>
      <c r="B841" s="1" t="s">
        <v>775</v>
      </c>
      <c r="C841" s="1" t="s">
        <v>8</v>
      </c>
      <c r="D841" s="1">
        <v>744851</v>
      </c>
      <c r="E841" s="1">
        <v>745999</v>
      </c>
      <c r="F841" s="1" t="s">
        <v>9</v>
      </c>
      <c r="G841" s="1" t="s">
        <v>11409</v>
      </c>
    </row>
    <row r="842" spans="1:7" ht="21" x14ac:dyDescent="0.25">
      <c r="A842" s="2" t="str">
        <f>HYPERLINK("https://rth.dk/resources/bsgatlas/details.php?id=BSGatlas-gene-841","BSGatlas-gene-841")</f>
        <v>BSGatlas-gene-841</v>
      </c>
      <c r="B842" s="1" t="s">
        <v>11485</v>
      </c>
      <c r="C842" s="1" t="s">
        <v>8</v>
      </c>
      <c r="D842" s="1">
        <v>746261</v>
      </c>
      <c r="E842" s="1">
        <v>746566</v>
      </c>
      <c r="F842" s="1" t="s">
        <v>13</v>
      </c>
      <c r="G842" s="1" t="s">
        <v>11409</v>
      </c>
    </row>
    <row r="843" spans="1:7" ht="21" x14ac:dyDescent="0.25">
      <c r="A843" s="2" t="str">
        <f>HYPERLINK("https://rth.dk/resources/bsgatlas/details.php?id=BSGatlas-gene-842","BSGatlas-gene-842")</f>
        <v>BSGatlas-gene-842</v>
      </c>
      <c r="B843" s="1" t="s">
        <v>11486</v>
      </c>
      <c r="C843" s="1" t="s">
        <v>8</v>
      </c>
      <c r="D843" s="1">
        <v>746633</v>
      </c>
      <c r="E843" s="1">
        <v>746839</v>
      </c>
      <c r="F843" s="1" t="s">
        <v>13</v>
      </c>
      <c r="G843" s="1" t="s">
        <v>11409</v>
      </c>
    </row>
    <row r="844" spans="1:7" ht="21" x14ac:dyDescent="0.25">
      <c r="A844" s="2" t="str">
        <f>HYPERLINK("https://rth.dk/resources/bsgatlas/details.php?id=BSGatlas-gene-843","BSGatlas-gene-843")</f>
        <v>BSGatlas-gene-843</v>
      </c>
      <c r="B844" s="1" t="s">
        <v>777</v>
      </c>
      <c r="C844" s="1" t="s">
        <v>8</v>
      </c>
      <c r="D844" s="1">
        <v>747079</v>
      </c>
      <c r="E844" s="1">
        <v>747534</v>
      </c>
      <c r="F844" s="1" t="s">
        <v>13</v>
      </c>
      <c r="G844" s="1" t="s">
        <v>11409</v>
      </c>
    </row>
    <row r="845" spans="1:7" ht="21" x14ac:dyDescent="0.25">
      <c r="A845" s="2" t="str">
        <f>HYPERLINK("https://rth.dk/resources/bsgatlas/details.php?id=BSGatlas-gene-844","BSGatlas-gene-844")</f>
        <v>BSGatlas-gene-844</v>
      </c>
      <c r="B845" s="1" t="s">
        <v>778</v>
      </c>
      <c r="C845" s="1" t="s">
        <v>8</v>
      </c>
      <c r="D845" s="1">
        <v>747554</v>
      </c>
      <c r="E845" s="1">
        <v>749563</v>
      </c>
      <c r="F845" s="1" t="s">
        <v>13</v>
      </c>
      <c r="G845" s="1" t="s">
        <v>11409</v>
      </c>
    </row>
    <row r="846" spans="1:7" ht="21" x14ac:dyDescent="0.25">
      <c r="A846" s="2" t="str">
        <f>HYPERLINK("https://rth.dk/resources/bsgatlas/details.php?id=BSGatlas-gene-845","BSGatlas-gene-845")</f>
        <v>BSGatlas-gene-845</v>
      </c>
      <c r="B846" s="1" t="s">
        <v>11487</v>
      </c>
      <c r="C846" s="1" t="s">
        <v>8</v>
      </c>
      <c r="D846" s="1">
        <v>749775</v>
      </c>
      <c r="E846" s="1">
        <v>750797</v>
      </c>
      <c r="F846" s="1" t="s">
        <v>9</v>
      </c>
      <c r="G846" s="1" t="s">
        <v>11409</v>
      </c>
    </row>
    <row r="847" spans="1:7" ht="21" x14ac:dyDescent="0.25">
      <c r="A847" s="2" t="str">
        <f>HYPERLINK("https://rth.dk/resources/bsgatlas/details.php?id=BSGatlas-gene-846","BSGatlas-gene-846")</f>
        <v>BSGatlas-gene-846</v>
      </c>
      <c r="B847" s="1" t="s">
        <v>779</v>
      </c>
      <c r="C847" s="1" t="s">
        <v>8</v>
      </c>
      <c r="D847" s="1">
        <v>750959</v>
      </c>
      <c r="E847" s="1">
        <v>752089</v>
      </c>
      <c r="F847" s="1" t="s">
        <v>9</v>
      </c>
      <c r="G847" s="1" t="s">
        <v>11409</v>
      </c>
    </row>
    <row r="848" spans="1:7" ht="21" x14ac:dyDescent="0.25">
      <c r="A848" s="2" t="str">
        <f>HYPERLINK("https://rth.dk/resources/bsgatlas/details.php?id=BSGatlas-gene-847","BSGatlas-gene-847")</f>
        <v>BSGatlas-gene-847</v>
      </c>
      <c r="B848" s="1" t="s">
        <v>780</v>
      </c>
      <c r="C848" s="1" t="s">
        <v>8</v>
      </c>
      <c r="D848" s="1">
        <v>752079</v>
      </c>
      <c r="E848" s="1">
        <v>752252</v>
      </c>
      <c r="F848" s="1" t="s">
        <v>9</v>
      </c>
      <c r="G848" s="1" t="s">
        <v>11409</v>
      </c>
    </row>
    <row r="849" spans="1:7" ht="21" x14ac:dyDescent="0.25">
      <c r="A849" s="2" t="str">
        <f>HYPERLINK("https://rth.dk/resources/bsgatlas/details.php?id=BSGatlas-gene-848","BSGatlas-gene-848")</f>
        <v>BSGatlas-gene-848</v>
      </c>
      <c r="B849" s="1" t="s">
        <v>781</v>
      </c>
      <c r="C849" s="1" t="s">
        <v>8</v>
      </c>
      <c r="D849" s="1">
        <v>752412</v>
      </c>
      <c r="E849" s="1">
        <v>753131</v>
      </c>
      <c r="F849" s="1" t="s">
        <v>9</v>
      </c>
      <c r="G849" s="1" t="s">
        <v>11409</v>
      </c>
    </row>
    <row r="850" spans="1:7" ht="21" x14ac:dyDescent="0.25">
      <c r="A850" s="2" t="str">
        <f>HYPERLINK("https://rth.dk/resources/bsgatlas/details.php?id=BSGatlas-gene-849","BSGatlas-gene-849")</f>
        <v>BSGatlas-gene-849</v>
      </c>
      <c r="B850" s="1" t="s">
        <v>782</v>
      </c>
      <c r="C850" s="1" t="s">
        <v>8</v>
      </c>
      <c r="D850" s="1">
        <v>753265</v>
      </c>
      <c r="E850" s="1">
        <v>753702</v>
      </c>
      <c r="F850" s="1" t="s">
        <v>9</v>
      </c>
      <c r="G850" s="1" t="s">
        <v>11409</v>
      </c>
    </row>
    <row r="851" spans="1:7" ht="21" x14ac:dyDescent="0.25">
      <c r="A851" s="2" t="str">
        <f>HYPERLINK("https://rth.dk/resources/bsgatlas/details.php?id=BSGatlas-gene-850","BSGatlas-gene-850")</f>
        <v>BSGatlas-gene-850</v>
      </c>
      <c r="B851" s="1" t="s">
        <v>783</v>
      </c>
      <c r="C851" s="1" t="s">
        <v>8</v>
      </c>
      <c r="D851" s="1">
        <v>753817</v>
      </c>
      <c r="E851" s="1">
        <v>754401</v>
      </c>
      <c r="F851" s="1" t="s">
        <v>9</v>
      </c>
      <c r="G851" s="1" t="s">
        <v>11409</v>
      </c>
    </row>
    <row r="852" spans="1:7" ht="21" x14ac:dyDescent="0.25">
      <c r="A852" s="2" t="str">
        <f>HYPERLINK("https://rth.dk/resources/bsgatlas/details.php?id=BSGatlas-gene-851","BSGatlas-gene-851")</f>
        <v>BSGatlas-gene-851</v>
      </c>
      <c r="B852" s="1" t="s">
        <v>784</v>
      </c>
      <c r="C852" s="1" t="s">
        <v>8</v>
      </c>
      <c r="D852" s="1">
        <v>754480</v>
      </c>
      <c r="E852" s="1">
        <v>754923</v>
      </c>
      <c r="F852" s="1" t="s">
        <v>9</v>
      </c>
      <c r="G852" s="1" t="s">
        <v>11409</v>
      </c>
    </row>
    <row r="853" spans="1:7" ht="21" x14ac:dyDescent="0.25">
      <c r="A853" s="2" t="str">
        <f>HYPERLINK("https://rth.dk/resources/bsgatlas/details.php?id=BSGatlas-gene-852","BSGatlas-gene-852")</f>
        <v>BSGatlas-gene-852</v>
      </c>
      <c r="B853" s="1" t="s">
        <v>785</v>
      </c>
      <c r="C853" s="1" t="s">
        <v>8</v>
      </c>
      <c r="D853" s="1">
        <v>754920</v>
      </c>
      <c r="E853" s="1">
        <v>755780</v>
      </c>
      <c r="F853" s="1" t="s">
        <v>9</v>
      </c>
      <c r="G853" s="1" t="s">
        <v>11409</v>
      </c>
    </row>
    <row r="854" spans="1:7" ht="21" x14ac:dyDescent="0.25">
      <c r="A854" s="2" t="str">
        <f>HYPERLINK("https://rth.dk/resources/bsgatlas/details.php?id=BSGatlas-gene-853","BSGatlas-gene-853")</f>
        <v>BSGatlas-gene-853</v>
      </c>
      <c r="B854" s="1" t="s">
        <v>786</v>
      </c>
      <c r="C854" s="1" t="s">
        <v>8</v>
      </c>
      <c r="D854" s="1">
        <v>755907</v>
      </c>
      <c r="E854" s="1">
        <v>756155</v>
      </c>
      <c r="F854" s="1" t="s">
        <v>9</v>
      </c>
      <c r="G854" s="1" t="s">
        <v>11409</v>
      </c>
    </row>
    <row r="855" spans="1:7" ht="21" x14ac:dyDescent="0.25">
      <c r="A855" s="2" t="str">
        <f>HYPERLINK("https://rth.dk/resources/bsgatlas/details.php?id=BSGatlas-gene-854","BSGatlas-gene-854")</f>
        <v>BSGatlas-gene-854</v>
      </c>
      <c r="B855" s="1" t="s">
        <v>787</v>
      </c>
      <c r="C855" s="1" t="s">
        <v>8</v>
      </c>
      <c r="D855" s="1">
        <v>756139</v>
      </c>
      <c r="E855" s="1">
        <v>756402</v>
      </c>
      <c r="F855" s="1" t="s">
        <v>9</v>
      </c>
      <c r="G855" s="1" t="s">
        <v>11409</v>
      </c>
    </row>
    <row r="856" spans="1:7" ht="21" x14ac:dyDescent="0.25">
      <c r="A856" s="2" t="str">
        <f>HYPERLINK("https://rth.dk/resources/bsgatlas/details.php?id=BSGatlas-gene-855","BSGatlas-gene-855")</f>
        <v>BSGatlas-gene-855</v>
      </c>
      <c r="B856" s="1" t="s">
        <v>788</v>
      </c>
      <c r="C856" s="1" t="s">
        <v>8</v>
      </c>
      <c r="D856" s="1">
        <v>756417</v>
      </c>
      <c r="E856" s="1">
        <v>756986</v>
      </c>
      <c r="F856" s="1" t="s">
        <v>9</v>
      </c>
      <c r="G856" s="1" t="s">
        <v>11409</v>
      </c>
    </row>
    <row r="857" spans="1:7" ht="21" x14ac:dyDescent="0.25">
      <c r="A857" s="2" t="str">
        <f>HYPERLINK("https://rth.dk/resources/bsgatlas/details.php?id=BSGatlas-gene-856","BSGatlas-gene-856")</f>
        <v>BSGatlas-gene-856</v>
      </c>
      <c r="B857" s="1" t="s">
        <v>789</v>
      </c>
      <c r="C857" s="1" t="s">
        <v>8</v>
      </c>
      <c r="D857" s="1">
        <v>757111</v>
      </c>
      <c r="E857" s="1">
        <v>757653</v>
      </c>
      <c r="F857" s="1" t="s">
        <v>9</v>
      </c>
      <c r="G857" s="1" t="s">
        <v>11409</v>
      </c>
    </row>
    <row r="858" spans="1:7" ht="21" x14ac:dyDescent="0.25">
      <c r="A858" s="2" t="str">
        <f>HYPERLINK("https://rth.dk/resources/bsgatlas/details.php?id=BSGatlas-gene-857","BSGatlas-gene-857")</f>
        <v>BSGatlas-gene-857</v>
      </c>
      <c r="B858" s="1" t="s">
        <v>790</v>
      </c>
      <c r="C858" s="1" t="s">
        <v>8</v>
      </c>
      <c r="D858" s="1">
        <v>757676</v>
      </c>
      <c r="E858" s="1">
        <v>757978</v>
      </c>
      <c r="F858" s="1" t="s">
        <v>9</v>
      </c>
      <c r="G858" s="1" t="s">
        <v>11409</v>
      </c>
    </row>
    <row r="859" spans="1:7" ht="21" x14ac:dyDescent="0.25">
      <c r="A859" s="2" t="str">
        <f>HYPERLINK("https://rth.dk/resources/bsgatlas/details.php?id=BSGatlas-gene-858","BSGatlas-gene-858")</f>
        <v>BSGatlas-gene-858</v>
      </c>
      <c r="B859" s="1" t="s">
        <v>791</v>
      </c>
      <c r="C859" s="1" t="s">
        <v>8</v>
      </c>
      <c r="D859" s="1">
        <v>758093</v>
      </c>
      <c r="E859" s="1">
        <v>758722</v>
      </c>
      <c r="F859" s="1" t="s">
        <v>9</v>
      </c>
      <c r="G859" s="1" t="s">
        <v>11409</v>
      </c>
    </row>
    <row r="860" spans="1:7" ht="21" x14ac:dyDescent="0.25">
      <c r="A860" s="2" t="str">
        <f>HYPERLINK("https://rth.dk/resources/bsgatlas/details.php?id=BSGatlas-gene-859","BSGatlas-gene-859")</f>
        <v>BSGatlas-gene-859</v>
      </c>
      <c r="B860" s="1" t="s">
        <v>792</v>
      </c>
      <c r="C860" s="1" t="s">
        <v>8</v>
      </c>
      <c r="D860" s="1">
        <v>758719</v>
      </c>
      <c r="E860" s="1">
        <v>760452</v>
      </c>
      <c r="F860" s="1" t="s">
        <v>9</v>
      </c>
      <c r="G860" s="1" t="s">
        <v>11409</v>
      </c>
    </row>
    <row r="861" spans="1:7" ht="21" x14ac:dyDescent="0.25">
      <c r="A861" s="2" t="str">
        <f>HYPERLINK("https://rth.dk/resources/bsgatlas/details.php?id=BSGatlas-gene-860","BSGatlas-gene-860")</f>
        <v>BSGatlas-gene-860</v>
      </c>
      <c r="B861" s="1" t="s">
        <v>793</v>
      </c>
      <c r="C861" s="1" t="s">
        <v>8</v>
      </c>
      <c r="D861" s="1">
        <v>760452</v>
      </c>
      <c r="E861" s="1">
        <v>761558</v>
      </c>
      <c r="F861" s="1" t="s">
        <v>9</v>
      </c>
      <c r="G861" s="1" t="s">
        <v>11409</v>
      </c>
    </row>
    <row r="862" spans="1:7" ht="21" x14ac:dyDescent="0.25">
      <c r="A862" s="2" t="str">
        <f>HYPERLINK("https://rth.dk/resources/bsgatlas/details.php?id=BSGatlas-gene-861","BSGatlas-gene-861")</f>
        <v>BSGatlas-gene-861</v>
      </c>
      <c r="B862" s="1" t="s">
        <v>794</v>
      </c>
      <c r="C862" s="1" t="s">
        <v>8</v>
      </c>
      <c r="D862" s="1">
        <v>761662</v>
      </c>
      <c r="E862" s="1">
        <v>762945</v>
      </c>
      <c r="F862" s="1" t="s">
        <v>9</v>
      </c>
      <c r="G862" s="1" t="s">
        <v>11409</v>
      </c>
    </row>
    <row r="863" spans="1:7" ht="21" x14ac:dyDescent="0.25">
      <c r="A863" s="2" t="str">
        <f>HYPERLINK("https://rth.dk/resources/bsgatlas/details.php?id=BSGatlas-gene-862","BSGatlas-gene-862")</f>
        <v>BSGatlas-gene-862</v>
      </c>
      <c r="B863" s="1" t="s">
        <v>11488</v>
      </c>
      <c r="C863" s="1" t="s">
        <v>8</v>
      </c>
      <c r="D863" s="1">
        <v>762942</v>
      </c>
      <c r="E863" s="1">
        <v>763871</v>
      </c>
      <c r="F863" s="1" t="s">
        <v>9</v>
      </c>
      <c r="G863" s="1" t="s">
        <v>11409</v>
      </c>
    </row>
    <row r="864" spans="1:7" ht="21" x14ac:dyDescent="0.25">
      <c r="A864" s="2" t="str">
        <f>HYPERLINK("https://rth.dk/resources/bsgatlas/details.php?id=BSGatlas-gene-863","BSGatlas-gene-863")</f>
        <v>BSGatlas-gene-863</v>
      </c>
      <c r="B864" s="1" t="s">
        <v>11489</v>
      </c>
      <c r="C864" s="1" t="s">
        <v>8</v>
      </c>
      <c r="D864" s="1">
        <v>763875</v>
      </c>
      <c r="E864" s="1">
        <v>764765</v>
      </c>
      <c r="F864" s="1" t="s">
        <v>9</v>
      </c>
      <c r="G864" s="1" t="s">
        <v>11409</v>
      </c>
    </row>
    <row r="865" spans="1:7" ht="21" x14ac:dyDescent="0.25">
      <c r="A865" s="2" t="str">
        <f>HYPERLINK("https://rth.dk/resources/bsgatlas/details.php?id=BSGatlas-gene-864","BSGatlas-gene-864")</f>
        <v>BSGatlas-gene-864</v>
      </c>
      <c r="B865" s="1" t="s">
        <v>11490</v>
      </c>
      <c r="C865" s="1" t="s">
        <v>8</v>
      </c>
      <c r="D865" s="1">
        <v>764781</v>
      </c>
      <c r="E865" s="1">
        <v>765815</v>
      </c>
      <c r="F865" s="1" t="s">
        <v>9</v>
      </c>
      <c r="G865" s="1" t="s">
        <v>11409</v>
      </c>
    </row>
    <row r="866" spans="1:7" ht="21" x14ac:dyDescent="0.25">
      <c r="A866" s="2" t="str">
        <f>HYPERLINK("https://rth.dk/resources/bsgatlas/details.php?id=BSGatlas-gene-865","BSGatlas-gene-865")</f>
        <v>BSGatlas-gene-865</v>
      </c>
      <c r="B866" s="1" t="s">
        <v>795</v>
      </c>
      <c r="C866" s="1" t="s">
        <v>8</v>
      </c>
      <c r="D866" s="1">
        <v>765838</v>
      </c>
      <c r="E866" s="1">
        <v>768123</v>
      </c>
      <c r="F866" s="1" t="s">
        <v>9</v>
      </c>
      <c r="G866" s="1" t="s">
        <v>11409</v>
      </c>
    </row>
    <row r="867" spans="1:7" ht="21" x14ac:dyDescent="0.25">
      <c r="A867" s="2" t="str">
        <f>HYPERLINK("https://rth.dk/resources/bsgatlas/details.php?id=BSGatlas-gene-866","BSGatlas-gene-866")</f>
        <v>BSGatlas-gene-866</v>
      </c>
      <c r="B867" s="1" t="s">
        <v>796</v>
      </c>
      <c r="C867" s="1" t="s">
        <v>8</v>
      </c>
      <c r="D867" s="1">
        <v>768137</v>
      </c>
      <c r="E867" s="1">
        <v>768835</v>
      </c>
      <c r="F867" s="1" t="s">
        <v>9</v>
      </c>
      <c r="G867" s="1" t="s">
        <v>11409</v>
      </c>
    </row>
    <row r="868" spans="1:7" ht="21" x14ac:dyDescent="0.25">
      <c r="A868" s="2" t="str">
        <f>HYPERLINK("https://rth.dk/resources/bsgatlas/details.php?id=BSGatlas-gene-867","BSGatlas-gene-867")</f>
        <v>BSGatlas-gene-867</v>
      </c>
      <c r="B868" s="1" t="s">
        <v>797</v>
      </c>
      <c r="C868" s="1" t="s">
        <v>8</v>
      </c>
      <c r="D868" s="1">
        <v>768828</v>
      </c>
      <c r="E868" s="1">
        <v>769490</v>
      </c>
      <c r="F868" s="1" t="s">
        <v>9</v>
      </c>
      <c r="G868" s="1" t="s">
        <v>11409</v>
      </c>
    </row>
    <row r="869" spans="1:7" ht="21" x14ac:dyDescent="0.25">
      <c r="A869" s="2" t="str">
        <f>HYPERLINK("https://rth.dk/resources/bsgatlas/details.php?id=BSGatlas-gene-868","BSGatlas-gene-868")</f>
        <v>BSGatlas-gene-868</v>
      </c>
      <c r="B869" s="1" t="s">
        <v>798</v>
      </c>
      <c r="C869" s="1" t="s">
        <v>8</v>
      </c>
      <c r="D869" s="1">
        <v>769487</v>
      </c>
      <c r="E869" s="1">
        <v>770113</v>
      </c>
      <c r="F869" s="1" t="s">
        <v>9</v>
      </c>
      <c r="G869" s="1" t="s">
        <v>11409</v>
      </c>
    </row>
    <row r="870" spans="1:7" ht="21" x14ac:dyDescent="0.25">
      <c r="A870" s="2" t="str">
        <f>HYPERLINK("https://rth.dk/resources/bsgatlas/details.php?id=BSGatlas-gene-869","BSGatlas-gene-869")</f>
        <v>BSGatlas-gene-869</v>
      </c>
      <c r="B870" s="1" t="s">
        <v>799</v>
      </c>
      <c r="C870" s="1" t="s">
        <v>8</v>
      </c>
      <c r="D870" s="1">
        <v>770234</v>
      </c>
      <c r="E870" s="1">
        <v>772096</v>
      </c>
      <c r="F870" s="1" t="s">
        <v>9</v>
      </c>
      <c r="G870" s="1" t="s">
        <v>11409</v>
      </c>
    </row>
    <row r="871" spans="1:7" ht="21" x14ac:dyDescent="0.25">
      <c r="A871" s="2" t="str">
        <f>HYPERLINK("https://rth.dk/resources/bsgatlas/details.php?id=BSGatlas-gene-870","BSGatlas-gene-870")</f>
        <v>BSGatlas-gene-870</v>
      </c>
      <c r="B871" s="1" t="s">
        <v>800</v>
      </c>
      <c r="C871" s="1" t="s">
        <v>8</v>
      </c>
      <c r="D871" s="1">
        <v>772142</v>
      </c>
      <c r="E871" s="1">
        <v>773980</v>
      </c>
      <c r="F871" s="1" t="s">
        <v>9</v>
      </c>
      <c r="G871" s="1" t="s">
        <v>11409</v>
      </c>
    </row>
    <row r="872" spans="1:7" ht="21" x14ac:dyDescent="0.25">
      <c r="A872" s="2" t="str">
        <f>HYPERLINK("https://rth.dk/resources/bsgatlas/details.php?id=BSGatlas-gene-871","BSGatlas-gene-871")</f>
        <v>BSGatlas-gene-871</v>
      </c>
      <c r="B872" s="1" t="s">
        <v>801</v>
      </c>
      <c r="C872" s="1" t="s">
        <v>8</v>
      </c>
      <c r="D872" s="1">
        <v>774138</v>
      </c>
      <c r="E872" s="1">
        <v>774791</v>
      </c>
      <c r="F872" s="1" t="s">
        <v>9</v>
      </c>
      <c r="G872" s="1" t="s">
        <v>11409</v>
      </c>
    </row>
    <row r="873" spans="1:7" ht="21" x14ac:dyDescent="0.25">
      <c r="A873" s="2" t="str">
        <f>HYPERLINK("https://rth.dk/resources/bsgatlas/details.php?id=BSGatlas-gene-872","BSGatlas-gene-872")</f>
        <v>BSGatlas-gene-872</v>
      </c>
      <c r="B873" s="1" t="s">
        <v>802</v>
      </c>
      <c r="C873" s="1" t="s">
        <v>8</v>
      </c>
      <c r="D873" s="1">
        <v>774799</v>
      </c>
      <c r="E873" s="1">
        <v>776790</v>
      </c>
      <c r="F873" s="1" t="s">
        <v>9</v>
      </c>
      <c r="G873" s="1" t="s">
        <v>11409</v>
      </c>
    </row>
    <row r="874" spans="1:7" ht="21" x14ac:dyDescent="0.25">
      <c r="A874" s="2" t="str">
        <f>HYPERLINK("https://rth.dk/resources/bsgatlas/details.php?id=BSGatlas-gene-873","BSGatlas-gene-873")</f>
        <v>BSGatlas-gene-873</v>
      </c>
      <c r="B874" s="1" t="s">
        <v>11491</v>
      </c>
      <c r="C874" s="1" t="s">
        <v>8</v>
      </c>
      <c r="D874" s="1">
        <v>776834</v>
      </c>
      <c r="E874" s="1">
        <v>779407</v>
      </c>
      <c r="F874" s="1" t="s">
        <v>9</v>
      </c>
      <c r="G874" s="1" t="s">
        <v>11409</v>
      </c>
    </row>
    <row r="875" spans="1:7" ht="21" x14ac:dyDescent="0.25">
      <c r="A875" s="2" t="str">
        <f>HYPERLINK("https://rth.dk/resources/bsgatlas/details.php?id=BSGatlas-gene-874","BSGatlas-gene-874")</f>
        <v>BSGatlas-gene-874</v>
      </c>
      <c r="B875" s="1" t="s">
        <v>11492</v>
      </c>
      <c r="C875" s="1" t="s">
        <v>8</v>
      </c>
      <c r="D875" s="1">
        <v>779529</v>
      </c>
      <c r="E875" s="1">
        <v>781037</v>
      </c>
      <c r="F875" s="1" t="s">
        <v>9</v>
      </c>
      <c r="G875" s="1" t="s">
        <v>11409</v>
      </c>
    </row>
    <row r="876" spans="1:7" ht="21" x14ac:dyDescent="0.25">
      <c r="A876" s="2" t="str">
        <f>HYPERLINK("https://rth.dk/resources/bsgatlas/details.php?id=BSGatlas-gene-875","BSGatlas-gene-875")</f>
        <v>BSGatlas-gene-875</v>
      </c>
      <c r="B876" s="1" t="s">
        <v>11493</v>
      </c>
      <c r="C876" s="1" t="s">
        <v>8</v>
      </c>
      <c r="D876" s="1">
        <v>781092</v>
      </c>
      <c r="E876" s="1">
        <v>782048</v>
      </c>
      <c r="F876" s="1" t="s">
        <v>9</v>
      </c>
      <c r="G876" s="1" t="s">
        <v>11409</v>
      </c>
    </row>
    <row r="877" spans="1:7" ht="21" x14ac:dyDescent="0.25">
      <c r="A877" s="2" t="str">
        <f>HYPERLINK("https://rth.dk/resources/bsgatlas/details.php?id=BSGatlas-gene-876","BSGatlas-gene-876")</f>
        <v>BSGatlas-gene-876</v>
      </c>
      <c r="B877" s="1" t="s">
        <v>11494</v>
      </c>
      <c r="C877" s="1" t="s">
        <v>8</v>
      </c>
      <c r="D877" s="1">
        <v>782062</v>
      </c>
      <c r="E877" s="1">
        <v>782949</v>
      </c>
      <c r="F877" s="1" t="s">
        <v>9</v>
      </c>
      <c r="G877" s="1" t="s">
        <v>11409</v>
      </c>
    </row>
    <row r="878" spans="1:7" ht="21" x14ac:dyDescent="0.25">
      <c r="A878" s="2" t="str">
        <f>HYPERLINK("https://rth.dk/resources/bsgatlas/details.php?id=BSGatlas-gene-877","BSGatlas-gene-877")</f>
        <v>BSGatlas-gene-877</v>
      </c>
      <c r="B878" s="1" t="s">
        <v>803</v>
      </c>
      <c r="C878" s="1" t="s">
        <v>8</v>
      </c>
      <c r="D878" s="1">
        <v>782958</v>
      </c>
      <c r="E878" s="1">
        <v>784298</v>
      </c>
      <c r="F878" s="1" t="s">
        <v>9</v>
      </c>
      <c r="G878" s="1" t="s">
        <v>11409</v>
      </c>
    </row>
    <row r="879" spans="1:7" ht="21" x14ac:dyDescent="0.25">
      <c r="A879" s="2" t="str">
        <f>HYPERLINK("https://rth.dk/resources/bsgatlas/details.php?id=BSGatlas-gene-878","BSGatlas-gene-878")</f>
        <v>BSGatlas-gene-878</v>
      </c>
      <c r="B879" s="1" t="s">
        <v>804</v>
      </c>
      <c r="C879" s="1" t="s">
        <v>8</v>
      </c>
      <c r="D879" s="1">
        <v>784381</v>
      </c>
      <c r="E879" s="1">
        <v>785076</v>
      </c>
      <c r="F879" s="1" t="s">
        <v>9</v>
      </c>
      <c r="G879" s="1" t="s">
        <v>11409</v>
      </c>
    </row>
    <row r="880" spans="1:7" ht="21" x14ac:dyDescent="0.25">
      <c r="A880" s="2" t="str">
        <f>HYPERLINK("https://rth.dk/resources/bsgatlas/details.php?id=BSGatlas-gene-879","BSGatlas-gene-879")</f>
        <v>BSGatlas-gene-879</v>
      </c>
      <c r="B880" s="1" t="s">
        <v>805</v>
      </c>
      <c r="C880" s="1" t="s">
        <v>8</v>
      </c>
      <c r="D880" s="1">
        <v>785113</v>
      </c>
      <c r="E880" s="1">
        <v>785439</v>
      </c>
      <c r="F880" s="1" t="s">
        <v>13</v>
      </c>
      <c r="G880" s="1" t="s">
        <v>11409</v>
      </c>
    </row>
    <row r="881" spans="1:7" ht="21" x14ac:dyDescent="0.25">
      <c r="A881" s="2" t="str">
        <f>HYPERLINK("https://rth.dk/resources/bsgatlas/details.php?id=BSGatlas-gene-880","BSGatlas-gene-880")</f>
        <v>BSGatlas-gene-880</v>
      </c>
      <c r="B881" s="1" t="s">
        <v>806</v>
      </c>
      <c r="C881" s="1" t="s">
        <v>8</v>
      </c>
      <c r="D881" s="1">
        <v>785543</v>
      </c>
      <c r="E881" s="1">
        <v>785905</v>
      </c>
      <c r="F881" s="1" t="s">
        <v>13</v>
      </c>
      <c r="G881" s="1" t="s">
        <v>11409</v>
      </c>
    </row>
    <row r="882" spans="1:7" ht="21" x14ac:dyDescent="0.25">
      <c r="A882" s="2" t="str">
        <f>HYPERLINK("https://rth.dk/resources/bsgatlas/details.php?id=BSGatlas-gene-881","BSGatlas-gene-881")</f>
        <v>BSGatlas-gene-881</v>
      </c>
      <c r="B882" s="1" t="s">
        <v>807</v>
      </c>
      <c r="C882" s="1" t="s">
        <v>12</v>
      </c>
      <c r="D882" s="1">
        <v>785976</v>
      </c>
      <c r="E882" s="1">
        <v>786536</v>
      </c>
      <c r="F882" s="1" t="s">
        <v>13</v>
      </c>
      <c r="G882" s="1" t="s">
        <v>11406</v>
      </c>
    </row>
    <row r="883" spans="1:7" ht="21" x14ac:dyDescent="0.25">
      <c r="A883" s="2" t="str">
        <f>HYPERLINK("https://rth.dk/resources/bsgatlas/details.php?id=BSGatlas-gene-882","BSGatlas-gene-882")</f>
        <v>BSGatlas-gene-882</v>
      </c>
      <c r="B883" s="1" t="s">
        <v>808</v>
      </c>
      <c r="C883" s="1" t="s">
        <v>276</v>
      </c>
      <c r="D883" s="1">
        <v>786689</v>
      </c>
      <c r="E883" s="1">
        <v>787264</v>
      </c>
      <c r="F883" s="1" t="s">
        <v>9</v>
      </c>
      <c r="G883" s="1" t="s">
        <v>11441</v>
      </c>
    </row>
    <row r="884" spans="1:7" ht="21" x14ac:dyDescent="0.25">
      <c r="A884" s="2" t="str">
        <f>HYPERLINK("https://rth.dk/resources/bsgatlas/details.php?id=BSGatlas-gene-883","BSGatlas-gene-883")</f>
        <v>BSGatlas-gene-883</v>
      </c>
      <c r="B884" s="1" t="s">
        <v>808</v>
      </c>
      <c r="C884" s="1" t="s">
        <v>276</v>
      </c>
      <c r="D884" s="1">
        <v>787264</v>
      </c>
      <c r="E884" s="1">
        <v>787560</v>
      </c>
      <c r="F884" s="1" t="s">
        <v>9</v>
      </c>
      <c r="G884" s="1" t="s">
        <v>11441</v>
      </c>
    </row>
    <row r="885" spans="1:7" ht="21" x14ac:dyDescent="0.25">
      <c r="A885" s="2" t="str">
        <f>HYPERLINK("https://rth.dk/resources/bsgatlas/details.php?id=BSGatlas-gene-884","BSGatlas-gene-884")</f>
        <v>BSGatlas-gene-884</v>
      </c>
      <c r="B885" s="1" t="s">
        <v>809</v>
      </c>
      <c r="C885" s="1" t="s">
        <v>8</v>
      </c>
      <c r="D885" s="1">
        <v>787715</v>
      </c>
      <c r="E885" s="1">
        <v>787882</v>
      </c>
      <c r="F885" s="1" t="s">
        <v>9</v>
      </c>
      <c r="G885" s="1" t="s">
        <v>11409</v>
      </c>
    </row>
    <row r="886" spans="1:7" ht="21" x14ac:dyDescent="0.25">
      <c r="A886" s="2" t="str">
        <f>HYPERLINK("https://rth.dk/resources/bsgatlas/details.php?id=BSGatlas-gene-885","BSGatlas-gene-885")</f>
        <v>BSGatlas-gene-885</v>
      </c>
      <c r="B886" s="1" t="s">
        <v>810</v>
      </c>
      <c r="C886" s="1" t="s">
        <v>8</v>
      </c>
      <c r="D886" s="1">
        <v>787992</v>
      </c>
      <c r="E886" s="1">
        <v>788636</v>
      </c>
      <c r="F886" s="1" t="s">
        <v>9</v>
      </c>
      <c r="G886" s="1" t="s">
        <v>11409</v>
      </c>
    </row>
    <row r="887" spans="1:7" ht="21" x14ac:dyDescent="0.25">
      <c r="A887" s="2" t="str">
        <f>HYPERLINK("https://rth.dk/resources/bsgatlas/details.php?id=BSGatlas-gene-886","BSGatlas-gene-886")</f>
        <v>BSGatlas-gene-886</v>
      </c>
      <c r="B887" s="1" t="s">
        <v>811</v>
      </c>
      <c r="C887" s="1" t="s">
        <v>8</v>
      </c>
      <c r="D887" s="1">
        <v>788636</v>
      </c>
      <c r="E887" s="1">
        <v>789628</v>
      </c>
      <c r="F887" s="1" t="s">
        <v>9</v>
      </c>
      <c r="G887" s="1" t="s">
        <v>11409</v>
      </c>
    </row>
    <row r="888" spans="1:7" ht="21" x14ac:dyDescent="0.25">
      <c r="A888" s="2" t="str">
        <f>HYPERLINK("https://rth.dk/resources/bsgatlas/details.php?id=BSGatlas-gene-887","BSGatlas-gene-887")</f>
        <v>BSGatlas-gene-887</v>
      </c>
      <c r="B888" s="1" t="s">
        <v>812</v>
      </c>
      <c r="C888" s="1" t="s">
        <v>8</v>
      </c>
      <c r="D888" s="1">
        <v>789652</v>
      </c>
      <c r="E888" s="1">
        <v>790155</v>
      </c>
      <c r="F888" s="1" t="s">
        <v>13</v>
      </c>
      <c r="G888" s="1" t="s">
        <v>11409</v>
      </c>
    </row>
    <row r="889" spans="1:7" ht="21" x14ac:dyDescent="0.25">
      <c r="A889" s="2" t="str">
        <f>HYPERLINK("https://rth.dk/resources/bsgatlas/details.php?id=BSGatlas-gene-888","BSGatlas-gene-888")</f>
        <v>BSGatlas-gene-888</v>
      </c>
      <c r="B889" s="1" t="s">
        <v>813</v>
      </c>
      <c r="C889" s="1" t="s">
        <v>8</v>
      </c>
      <c r="D889" s="1">
        <v>790318</v>
      </c>
      <c r="E889" s="1">
        <v>791427</v>
      </c>
      <c r="F889" s="1" t="s">
        <v>9</v>
      </c>
      <c r="G889" s="1" t="s">
        <v>11409</v>
      </c>
    </row>
    <row r="890" spans="1:7" ht="21" x14ac:dyDescent="0.25">
      <c r="A890" s="2" t="str">
        <f>HYPERLINK("https://rth.dk/resources/bsgatlas/details.php?id=BSGatlas-gene-889","BSGatlas-gene-889")</f>
        <v>BSGatlas-gene-889</v>
      </c>
      <c r="B890" s="1" t="s">
        <v>814</v>
      </c>
      <c r="C890" s="1" t="s">
        <v>8</v>
      </c>
      <c r="D890" s="1">
        <v>791462</v>
      </c>
      <c r="E890" s="1">
        <v>792532</v>
      </c>
      <c r="F890" s="1" t="s">
        <v>13</v>
      </c>
      <c r="G890" s="1" t="s">
        <v>11409</v>
      </c>
    </row>
    <row r="891" spans="1:7" ht="21" x14ac:dyDescent="0.25">
      <c r="A891" s="2" t="str">
        <f>HYPERLINK("https://rth.dk/resources/bsgatlas/details.php?id=BSGatlas-gene-890","BSGatlas-gene-890")</f>
        <v>BSGatlas-gene-890</v>
      </c>
      <c r="B891" s="1" t="s">
        <v>815</v>
      </c>
      <c r="C891" s="1" t="s">
        <v>8</v>
      </c>
      <c r="D891" s="1">
        <v>792682</v>
      </c>
      <c r="E891" s="1">
        <v>795867</v>
      </c>
      <c r="F891" s="1" t="s">
        <v>9</v>
      </c>
      <c r="G891" s="1" t="s">
        <v>11409</v>
      </c>
    </row>
    <row r="892" spans="1:7" ht="21" x14ac:dyDescent="0.25">
      <c r="A892" s="2" t="str">
        <f>HYPERLINK("https://rth.dk/resources/bsgatlas/details.php?id=BSGatlas-gene-891","BSGatlas-gene-891")</f>
        <v>BSGatlas-gene-891</v>
      </c>
      <c r="B892" s="1" t="s">
        <v>816</v>
      </c>
      <c r="C892" s="1" t="s">
        <v>12</v>
      </c>
      <c r="D892" s="1">
        <v>796025</v>
      </c>
      <c r="E892" s="1">
        <v>796075</v>
      </c>
      <c r="F892" s="1" t="s">
        <v>9</v>
      </c>
      <c r="G892" s="1" t="s">
        <v>11442</v>
      </c>
    </row>
    <row r="893" spans="1:7" ht="21" x14ac:dyDescent="0.25">
      <c r="A893" s="2" t="str">
        <f>HYPERLINK("https://rth.dk/resources/bsgatlas/details.php?id=BSGatlas-gene-892","BSGatlas-gene-892")</f>
        <v>BSGatlas-gene-892</v>
      </c>
      <c r="B893" s="1" t="s">
        <v>522</v>
      </c>
      <c r="C893" s="1" t="s">
        <v>34</v>
      </c>
      <c r="D893" s="1">
        <v>796130</v>
      </c>
      <c r="E893" s="1">
        <v>796224</v>
      </c>
      <c r="F893" s="1" t="s">
        <v>9</v>
      </c>
      <c r="G893" s="1" t="s">
        <v>11414</v>
      </c>
    </row>
    <row r="894" spans="1:7" ht="21" x14ac:dyDescent="0.25">
      <c r="A894" s="2" t="str">
        <f>HYPERLINK("https://rth.dk/resources/bsgatlas/details.php?id=BSGatlas-gene-893","BSGatlas-gene-893")</f>
        <v>BSGatlas-gene-893</v>
      </c>
      <c r="B894" s="1" t="s">
        <v>817</v>
      </c>
      <c r="C894" s="1" t="s">
        <v>8</v>
      </c>
      <c r="D894" s="1">
        <v>796314</v>
      </c>
      <c r="E894" s="1">
        <v>798233</v>
      </c>
      <c r="F894" s="1" t="s">
        <v>9</v>
      </c>
      <c r="G894" s="1" t="s">
        <v>11409</v>
      </c>
    </row>
    <row r="895" spans="1:7" ht="21" x14ac:dyDescent="0.25">
      <c r="A895" s="2" t="str">
        <f>HYPERLINK("https://rth.dk/resources/bsgatlas/details.php?id=BSGatlas-gene-894","BSGatlas-gene-894")</f>
        <v>BSGatlas-gene-894</v>
      </c>
      <c r="B895" s="1" t="s">
        <v>818</v>
      </c>
      <c r="C895" s="1" t="s">
        <v>8</v>
      </c>
      <c r="D895" s="1">
        <v>798469</v>
      </c>
      <c r="E895" s="1">
        <v>799233</v>
      </c>
      <c r="F895" s="1" t="s">
        <v>9</v>
      </c>
      <c r="G895" s="1" t="s">
        <v>11409</v>
      </c>
    </row>
    <row r="896" spans="1:7" ht="21" x14ac:dyDescent="0.25">
      <c r="A896" s="2" t="str">
        <f>HYPERLINK("https://rth.dk/resources/bsgatlas/details.php?id=BSGatlas-gene-895","BSGatlas-gene-895")</f>
        <v>BSGatlas-gene-895</v>
      </c>
      <c r="B896" s="1" t="s">
        <v>819</v>
      </c>
      <c r="C896" s="1" t="s">
        <v>8</v>
      </c>
      <c r="D896" s="1">
        <v>799240</v>
      </c>
      <c r="E896" s="1">
        <v>800208</v>
      </c>
      <c r="F896" s="1" t="s">
        <v>9</v>
      </c>
      <c r="G896" s="1" t="s">
        <v>11409</v>
      </c>
    </row>
    <row r="897" spans="1:7" ht="21" x14ac:dyDescent="0.25">
      <c r="A897" s="2" t="str">
        <f>HYPERLINK("https://rth.dk/resources/bsgatlas/details.php?id=BSGatlas-gene-896","BSGatlas-gene-896")</f>
        <v>BSGatlas-gene-896</v>
      </c>
      <c r="B897" s="1" t="s">
        <v>820</v>
      </c>
      <c r="C897" s="1" t="s">
        <v>8</v>
      </c>
      <c r="D897" s="1">
        <v>800232</v>
      </c>
      <c r="E897" s="1">
        <v>801143</v>
      </c>
      <c r="F897" s="1" t="s">
        <v>9</v>
      </c>
      <c r="G897" s="1" t="s">
        <v>11409</v>
      </c>
    </row>
    <row r="898" spans="1:7" ht="21" x14ac:dyDescent="0.25">
      <c r="A898" s="2" t="str">
        <f>HYPERLINK("https://rth.dk/resources/bsgatlas/details.php?id=BSGatlas-gene-897","BSGatlas-gene-897")</f>
        <v>BSGatlas-gene-897</v>
      </c>
      <c r="B898" s="1" t="s">
        <v>821</v>
      </c>
      <c r="C898" s="1" t="s">
        <v>8</v>
      </c>
      <c r="D898" s="1">
        <v>801172</v>
      </c>
      <c r="E898" s="1">
        <v>802350</v>
      </c>
      <c r="F898" s="1" t="s">
        <v>9</v>
      </c>
      <c r="G898" s="1" t="s">
        <v>11409</v>
      </c>
    </row>
    <row r="899" spans="1:7" ht="21" x14ac:dyDescent="0.25">
      <c r="A899" s="2" t="str">
        <f>HYPERLINK("https://rth.dk/resources/bsgatlas/details.php?id=BSGatlas-gene-898","BSGatlas-gene-898")</f>
        <v>BSGatlas-gene-898</v>
      </c>
      <c r="B899" s="1" t="s">
        <v>822</v>
      </c>
      <c r="C899" s="1" t="s">
        <v>8</v>
      </c>
      <c r="D899" s="1">
        <v>802351</v>
      </c>
      <c r="E899" s="1">
        <v>803286</v>
      </c>
      <c r="F899" s="1" t="s">
        <v>9</v>
      </c>
      <c r="G899" s="1" t="s">
        <v>11409</v>
      </c>
    </row>
    <row r="900" spans="1:7" ht="21" x14ac:dyDescent="0.25">
      <c r="A900" s="2" t="str">
        <f>HYPERLINK("https://rth.dk/resources/bsgatlas/details.php?id=BSGatlas-gene-899","BSGatlas-gene-899")</f>
        <v>BSGatlas-gene-899</v>
      </c>
      <c r="B900" s="1" t="s">
        <v>823</v>
      </c>
      <c r="C900" s="1" t="s">
        <v>8</v>
      </c>
      <c r="D900" s="1">
        <v>803317</v>
      </c>
      <c r="E900" s="1">
        <v>804546</v>
      </c>
      <c r="F900" s="1" t="s">
        <v>13</v>
      </c>
      <c r="G900" s="1" t="s">
        <v>11409</v>
      </c>
    </row>
    <row r="901" spans="1:7" ht="21" x14ac:dyDescent="0.25">
      <c r="A901" s="2" t="str">
        <f>HYPERLINK("https://rth.dk/resources/bsgatlas/details.php?id=BSGatlas-gene-900","BSGatlas-gene-900")</f>
        <v>BSGatlas-gene-900</v>
      </c>
      <c r="B901" s="1" t="s">
        <v>824</v>
      </c>
      <c r="C901" s="1" t="s">
        <v>8</v>
      </c>
      <c r="D901" s="1">
        <v>804657</v>
      </c>
      <c r="E901" s="1">
        <v>805364</v>
      </c>
      <c r="F901" s="1" t="s">
        <v>13</v>
      </c>
      <c r="G901" s="1" t="s">
        <v>11409</v>
      </c>
    </row>
    <row r="902" spans="1:7" ht="21" x14ac:dyDescent="0.25">
      <c r="A902" s="2" t="str">
        <f>HYPERLINK("https://rth.dk/resources/bsgatlas/details.php?id=BSGatlas-gene-901","BSGatlas-gene-901")</f>
        <v>BSGatlas-gene-901</v>
      </c>
      <c r="B902" s="1" t="s">
        <v>825</v>
      </c>
      <c r="C902" s="1" t="s">
        <v>8</v>
      </c>
      <c r="D902" s="1">
        <v>805456</v>
      </c>
      <c r="E902" s="1">
        <v>806841</v>
      </c>
      <c r="F902" s="1" t="s">
        <v>13</v>
      </c>
      <c r="G902" s="1" t="s">
        <v>11409</v>
      </c>
    </row>
    <row r="903" spans="1:7" ht="21" x14ac:dyDescent="0.25">
      <c r="A903" s="2" t="str">
        <f>HYPERLINK("https://rth.dk/resources/bsgatlas/details.php?id=BSGatlas-gene-902","BSGatlas-gene-902")</f>
        <v>BSGatlas-gene-902</v>
      </c>
      <c r="B903" s="1" t="s">
        <v>826</v>
      </c>
      <c r="C903" s="1" t="s">
        <v>8</v>
      </c>
      <c r="D903" s="1">
        <v>807091</v>
      </c>
      <c r="E903" s="1">
        <v>808548</v>
      </c>
      <c r="F903" s="1" t="s">
        <v>9</v>
      </c>
      <c r="G903" s="1" t="s">
        <v>11409</v>
      </c>
    </row>
    <row r="904" spans="1:7" ht="21" x14ac:dyDescent="0.25">
      <c r="A904" s="2" t="str">
        <f>HYPERLINK("https://rth.dk/resources/bsgatlas/details.php?id=BSGatlas-gene-903","BSGatlas-gene-903")</f>
        <v>BSGatlas-gene-903</v>
      </c>
      <c r="B904" s="1" t="s">
        <v>827</v>
      </c>
      <c r="C904" s="1" t="s">
        <v>8</v>
      </c>
      <c r="D904" s="1">
        <v>808562</v>
      </c>
      <c r="E904" s="1">
        <v>809422</v>
      </c>
      <c r="F904" s="1" t="s">
        <v>9</v>
      </c>
      <c r="G904" s="1" t="s">
        <v>11409</v>
      </c>
    </row>
    <row r="905" spans="1:7" ht="21" x14ac:dyDescent="0.25">
      <c r="A905" s="2" t="str">
        <f>HYPERLINK("https://rth.dk/resources/bsgatlas/details.php?id=BSGatlas-gene-904","BSGatlas-gene-904")</f>
        <v>BSGatlas-gene-904</v>
      </c>
      <c r="B905" s="1" t="s">
        <v>828</v>
      </c>
      <c r="C905" s="1" t="s">
        <v>8</v>
      </c>
      <c r="D905" s="1">
        <v>809557</v>
      </c>
      <c r="E905" s="1">
        <v>811446</v>
      </c>
      <c r="F905" s="1" t="s">
        <v>9</v>
      </c>
      <c r="G905" s="1" t="s">
        <v>11409</v>
      </c>
    </row>
    <row r="906" spans="1:7" ht="21" x14ac:dyDescent="0.25">
      <c r="A906" s="2" t="str">
        <f>HYPERLINK("https://rth.dk/resources/bsgatlas/details.php?id=BSGatlas-gene-905","BSGatlas-gene-905")</f>
        <v>BSGatlas-gene-905</v>
      </c>
      <c r="B906" s="1" t="s">
        <v>829</v>
      </c>
      <c r="C906" s="1" t="s">
        <v>8</v>
      </c>
      <c r="D906" s="1">
        <v>811569</v>
      </c>
      <c r="E906" s="1">
        <v>812015</v>
      </c>
      <c r="F906" s="1" t="s">
        <v>9</v>
      </c>
      <c r="G906" s="1" t="s">
        <v>11409</v>
      </c>
    </row>
    <row r="907" spans="1:7" ht="21" x14ac:dyDescent="0.25">
      <c r="A907" s="2" t="str">
        <f>HYPERLINK("https://rth.dk/resources/bsgatlas/details.php?id=BSGatlas-gene-906","BSGatlas-gene-906")</f>
        <v>BSGatlas-gene-906</v>
      </c>
      <c r="B907" s="1" t="s">
        <v>830</v>
      </c>
      <c r="C907" s="1" t="s">
        <v>8</v>
      </c>
      <c r="D907" s="1">
        <v>812140</v>
      </c>
      <c r="E907" s="1">
        <v>812562</v>
      </c>
      <c r="F907" s="1" t="s">
        <v>9</v>
      </c>
      <c r="G907" s="1" t="s">
        <v>11409</v>
      </c>
    </row>
    <row r="908" spans="1:7" ht="21" x14ac:dyDescent="0.25">
      <c r="A908" s="2" t="str">
        <f>HYPERLINK("https://rth.dk/resources/bsgatlas/details.php?id=BSGatlas-gene-907","BSGatlas-gene-907")</f>
        <v>BSGatlas-gene-907</v>
      </c>
      <c r="B908" s="1" t="s">
        <v>831</v>
      </c>
      <c r="C908" s="1" t="s">
        <v>8</v>
      </c>
      <c r="D908" s="1">
        <v>812628</v>
      </c>
      <c r="E908" s="1">
        <v>813818</v>
      </c>
      <c r="F908" s="1" t="s">
        <v>9</v>
      </c>
      <c r="G908" s="1" t="s">
        <v>11409</v>
      </c>
    </row>
    <row r="909" spans="1:7" ht="21" x14ac:dyDescent="0.25">
      <c r="A909" s="2" t="str">
        <f>HYPERLINK("https://rth.dk/resources/bsgatlas/details.php?id=BSGatlas-gene-908","BSGatlas-gene-908")</f>
        <v>BSGatlas-gene-908</v>
      </c>
      <c r="B909" s="1" t="s">
        <v>11495</v>
      </c>
      <c r="C909" s="1" t="s">
        <v>8</v>
      </c>
      <c r="D909" s="1">
        <v>814109</v>
      </c>
      <c r="E909" s="1">
        <v>814264</v>
      </c>
      <c r="F909" s="1" t="s">
        <v>9</v>
      </c>
      <c r="G909" s="1" t="s">
        <v>11409</v>
      </c>
    </row>
    <row r="910" spans="1:7" ht="21" x14ac:dyDescent="0.25">
      <c r="A910" s="2" t="str">
        <f>HYPERLINK("https://rth.dk/resources/bsgatlas/details.php?id=BSGatlas-gene-909","BSGatlas-gene-909")</f>
        <v>BSGatlas-gene-909</v>
      </c>
      <c r="B910" s="1" t="s">
        <v>832</v>
      </c>
      <c r="C910" s="1" t="s">
        <v>8</v>
      </c>
      <c r="D910" s="1">
        <v>814384</v>
      </c>
      <c r="E910" s="1">
        <v>815940</v>
      </c>
      <c r="F910" s="1" t="s">
        <v>13</v>
      </c>
      <c r="G910" s="1" t="s">
        <v>11409</v>
      </c>
    </row>
    <row r="911" spans="1:7" ht="21" x14ac:dyDescent="0.25">
      <c r="A911" s="2" t="str">
        <f>HYPERLINK("https://rth.dk/resources/bsgatlas/details.php?id=BSGatlas-gene-910","BSGatlas-gene-910")</f>
        <v>BSGatlas-gene-910</v>
      </c>
      <c r="B911" s="1" t="s">
        <v>833</v>
      </c>
      <c r="C911" s="1" t="s">
        <v>8</v>
      </c>
      <c r="D911" s="1">
        <v>816113</v>
      </c>
      <c r="E911" s="1">
        <v>817243</v>
      </c>
      <c r="F911" s="1" t="s">
        <v>9</v>
      </c>
      <c r="G911" s="1" t="s">
        <v>11409</v>
      </c>
    </row>
    <row r="912" spans="1:7" ht="21" x14ac:dyDescent="0.25">
      <c r="A912" s="2" t="str">
        <f>HYPERLINK("https://rth.dk/resources/bsgatlas/details.php?id=BSGatlas-gene-911","BSGatlas-gene-911")</f>
        <v>BSGatlas-gene-911</v>
      </c>
      <c r="B912" s="1" t="s">
        <v>834</v>
      </c>
      <c r="C912" s="1" t="s">
        <v>8</v>
      </c>
      <c r="D912" s="1">
        <v>817311</v>
      </c>
      <c r="E912" s="1">
        <v>817757</v>
      </c>
      <c r="F912" s="1" t="s">
        <v>9</v>
      </c>
      <c r="G912" s="1" t="s">
        <v>11409</v>
      </c>
    </row>
    <row r="913" spans="1:7" ht="21" x14ac:dyDescent="0.25">
      <c r="A913" s="2" t="str">
        <f>HYPERLINK("https://rth.dk/resources/bsgatlas/details.php?id=BSGatlas-gene-912","BSGatlas-gene-912")</f>
        <v>BSGatlas-gene-912</v>
      </c>
      <c r="B913" s="1" t="s">
        <v>835</v>
      </c>
      <c r="C913" s="1" t="s">
        <v>8</v>
      </c>
      <c r="D913" s="1">
        <v>817810</v>
      </c>
      <c r="E913" s="1">
        <v>818829</v>
      </c>
      <c r="F913" s="1" t="s">
        <v>13</v>
      </c>
      <c r="G913" s="1" t="s">
        <v>11409</v>
      </c>
    </row>
    <row r="914" spans="1:7" ht="21" x14ac:dyDescent="0.25">
      <c r="A914" s="2" t="str">
        <f>HYPERLINK("https://rth.dk/resources/bsgatlas/details.php?id=BSGatlas-gene-913","BSGatlas-gene-913")</f>
        <v>BSGatlas-gene-913</v>
      </c>
      <c r="B914" s="1" t="s">
        <v>837</v>
      </c>
      <c r="C914" s="1" t="s">
        <v>12</v>
      </c>
      <c r="D914" s="1">
        <v>818976</v>
      </c>
      <c r="E914" s="1">
        <v>820073</v>
      </c>
      <c r="F914" s="1" t="s">
        <v>9</v>
      </c>
      <c r="G914" s="1" t="s">
        <v>11406</v>
      </c>
    </row>
    <row r="915" spans="1:7" ht="21" x14ac:dyDescent="0.25">
      <c r="A915" s="2" t="str">
        <f>HYPERLINK("https://rth.dk/resources/bsgatlas/details.php?id=BSGatlas-gene-914","BSGatlas-gene-914")</f>
        <v>BSGatlas-gene-914</v>
      </c>
      <c r="B915" s="1" t="s">
        <v>836</v>
      </c>
      <c r="C915" s="1" t="s">
        <v>8</v>
      </c>
      <c r="D915" s="1">
        <v>819311</v>
      </c>
      <c r="E915" s="1">
        <v>820531</v>
      </c>
      <c r="F915" s="1" t="s">
        <v>13</v>
      </c>
      <c r="G915" s="1" t="s">
        <v>11409</v>
      </c>
    </row>
    <row r="916" spans="1:7" ht="21" x14ac:dyDescent="0.25">
      <c r="A916" s="2" t="str">
        <f>HYPERLINK("https://rth.dk/resources/bsgatlas/details.php?id=BSGatlas-gene-915","BSGatlas-gene-915")</f>
        <v>BSGatlas-gene-915</v>
      </c>
      <c r="B916" s="1" t="s">
        <v>838</v>
      </c>
      <c r="C916" s="1" t="s">
        <v>12</v>
      </c>
      <c r="D916" s="1">
        <v>820666</v>
      </c>
      <c r="E916" s="1">
        <v>820838</v>
      </c>
      <c r="F916" s="1" t="s">
        <v>9</v>
      </c>
      <c r="G916" s="1" t="s">
        <v>11442</v>
      </c>
    </row>
    <row r="917" spans="1:7" ht="21" x14ac:dyDescent="0.25">
      <c r="A917" s="2" t="str">
        <f>HYPERLINK("https://rth.dk/resources/bsgatlas/details.php?id=BSGatlas-gene-916","BSGatlas-gene-916")</f>
        <v>BSGatlas-gene-916</v>
      </c>
      <c r="B917" s="1" t="s">
        <v>839</v>
      </c>
      <c r="C917" s="1" t="s">
        <v>8</v>
      </c>
      <c r="D917" s="1">
        <v>820867</v>
      </c>
      <c r="E917" s="1">
        <v>822330</v>
      </c>
      <c r="F917" s="1" t="s">
        <v>9</v>
      </c>
      <c r="G917" s="1" t="s">
        <v>11409</v>
      </c>
    </row>
    <row r="918" spans="1:7" ht="21" x14ac:dyDescent="0.25">
      <c r="A918" s="2" t="str">
        <f>HYPERLINK("https://rth.dk/resources/bsgatlas/details.php?id=BSGatlas-gene-917","BSGatlas-gene-917")</f>
        <v>BSGatlas-gene-917</v>
      </c>
      <c r="B918" s="1" t="s">
        <v>840</v>
      </c>
      <c r="C918" s="1" t="s">
        <v>8</v>
      </c>
      <c r="D918" s="1">
        <v>822903</v>
      </c>
      <c r="E918" s="1">
        <v>823703</v>
      </c>
      <c r="F918" s="1" t="s">
        <v>13</v>
      </c>
      <c r="G918" s="1" t="s">
        <v>11409</v>
      </c>
    </row>
    <row r="919" spans="1:7" ht="21" x14ac:dyDescent="0.25">
      <c r="A919" s="2" t="str">
        <f>HYPERLINK("https://rth.dk/resources/bsgatlas/details.php?id=BSGatlas-gene-918","BSGatlas-gene-918")</f>
        <v>BSGatlas-gene-918</v>
      </c>
      <c r="B919" s="1" t="s">
        <v>841</v>
      </c>
      <c r="C919" s="1" t="s">
        <v>8</v>
      </c>
      <c r="D919" s="1">
        <v>823716</v>
      </c>
      <c r="E919" s="1">
        <v>824717</v>
      </c>
      <c r="F919" s="1" t="s">
        <v>13</v>
      </c>
      <c r="G919" s="1" t="s">
        <v>11409</v>
      </c>
    </row>
    <row r="920" spans="1:7" ht="21" x14ac:dyDescent="0.25">
      <c r="A920" s="2" t="str">
        <f>HYPERLINK("https://rth.dk/resources/bsgatlas/details.php?id=BSGatlas-gene-919","BSGatlas-gene-919")</f>
        <v>BSGatlas-gene-919</v>
      </c>
      <c r="B920" s="1" t="s">
        <v>842</v>
      </c>
      <c r="C920" s="1" t="s">
        <v>8</v>
      </c>
      <c r="D920" s="1">
        <v>824714</v>
      </c>
      <c r="E920" s="1">
        <v>825715</v>
      </c>
      <c r="F920" s="1" t="s">
        <v>13</v>
      </c>
      <c r="G920" s="1" t="s">
        <v>11409</v>
      </c>
    </row>
    <row r="921" spans="1:7" ht="21" x14ac:dyDescent="0.25">
      <c r="A921" s="2" t="str">
        <f>HYPERLINK("https://rth.dk/resources/bsgatlas/details.php?id=BSGatlas-gene-920","BSGatlas-gene-920")</f>
        <v>BSGatlas-gene-920</v>
      </c>
      <c r="B921" s="1" t="s">
        <v>843</v>
      </c>
      <c r="C921" s="1" t="s">
        <v>8</v>
      </c>
      <c r="D921" s="1">
        <v>825787</v>
      </c>
      <c r="E921" s="1">
        <v>826734</v>
      </c>
      <c r="F921" s="1" t="s">
        <v>13</v>
      </c>
      <c r="G921" s="1" t="s">
        <v>11409</v>
      </c>
    </row>
    <row r="922" spans="1:7" ht="21" x14ac:dyDescent="0.25">
      <c r="A922" s="2" t="str">
        <f>HYPERLINK("https://rth.dk/resources/bsgatlas/details.php?id=BSGatlas-gene-921","BSGatlas-gene-921")</f>
        <v>BSGatlas-gene-921</v>
      </c>
      <c r="B922" s="1" t="s">
        <v>844</v>
      </c>
      <c r="C922" s="1" t="s">
        <v>8</v>
      </c>
      <c r="D922" s="1">
        <v>826843</v>
      </c>
      <c r="E922" s="1">
        <v>827211</v>
      </c>
      <c r="F922" s="1" t="s">
        <v>13</v>
      </c>
      <c r="G922" s="1" t="s">
        <v>11409</v>
      </c>
    </row>
    <row r="923" spans="1:7" ht="21" x14ac:dyDescent="0.25">
      <c r="A923" s="2" t="str">
        <f>HYPERLINK("https://rth.dk/resources/bsgatlas/details.php?id=BSGatlas-gene-922","BSGatlas-gene-922")</f>
        <v>BSGatlas-gene-922</v>
      </c>
      <c r="B923" s="1" t="s">
        <v>845</v>
      </c>
      <c r="C923" s="1" t="s">
        <v>8</v>
      </c>
      <c r="D923" s="1">
        <v>827252</v>
      </c>
      <c r="E923" s="1">
        <v>827419</v>
      </c>
      <c r="F923" s="1" t="s">
        <v>9</v>
      </c>
      <c r="G923" s="1" t="s">
        <v>11496</v>
      </c>
    </row>
    <row r="924" spans="1:7" ht="21" x14ac:dyDescent="0.25">
      <c r="A924" s="2" t="str">
        <f>HYPERLINK("https://rth.dk/resources/bsgatlas/details.php?id=BSGatlas-gene-923","BSGatlas-gene-923")</f>
        <v>BSGatlas-gene-923</v>
      </c>
      <c r="B924" s="1" t="s">
        <v>846</v>
      </c>
      <c r="C924" s="1" t="s">
        <v>8</v>
      </c>
      <c r="D924" s="1">
        <v>827455</v>
      </c>
      <c r="E924" s="1">
        <v>827802</v>
      </c>
      <c r="F924" s="1" t="s">
        <v>9</v>
      </c>
      <c r="G924" s="1" t="s">
        <v>11409</v>
      </c>
    </row>
    <row r="925" spans="1:7" ht="21" x14ac:dyDescent="0.25">
      <c r="A925" s="2" t="str">
        <f>HYPERLINK("https://rth.dk/resources/bsgatlas/details.php?id=BSGatlas-gene-924","BSGatlas-gene-924")</f>
        <v>BSGatlas-gene-924</v>
      </c>
      <c r="B925" s="1" t="s">
        <v>847</v>
      </c>
      <c r="C925" s="1" t="s">
        <v>8</v>
      </c>
      <c r="D925" s="1">
        <v>827993</v>
      </c>
      <c r="E925" s="1">
        <v>829255</v>
      </c>
      <c r="F925" s="1" t="s">
        <v>9</v>
      </c>
      <c r="G925" s="1" t="s">
        <v>11409</v>
      </c>
    </row>
    <row r="926" spans="1:7" ht="21" x14ac:dyDescent="0.25">
      <c r="A926" s="2" t="str">
        <f>HYPERLINK("https://rth.dk/resources/bsgatlas/details.php?id=BSGatlas-gene-925","BSGatlas-gene-925")</f>
        <v>BSGatlas-gene-925</v>
      </c>
      <c r="B926" s="1" t="s">
        <v>848</v>
      </c>
      <c r="C926" s="1" t="s">
        <v>8</v>
      </c>
      <c r="D926" s="1">
        <v>829382</v>
      </c>
      <c r="E926" s="1">
        <v>830818</v>
      </c>
      <c r="F926" s="1" t="s">
        <v>9</v>
      </c>
      <c r="G926" s="1" t="s">
        <v>11409</v>
      </c>
    </row>
    <row r="927" spans="1:7" ht="21" x14ac:dyDescent="0.25">
      <c r="A927" s="2" t="str">
        <f>HYPERLINK("https://rth.dk/resources/bsgatlas/details.php?id=BSGatlas-gene-926","BSGatlas-gene-926")</f>
        <v>BSGatlas-gene-926</v>
      </c>
      <c r="B927" s="1" t="s">
        <v>849</v>
      </c>
      <c r="C927" s="1" t="s">
        <v>8</v>
      </c>
      <c r="D927" s="1">
        <v>830945</v>
      </c>
      <c r="E927" s="1">
        <v>832573</v>
      </c>
      <c r="F927" s="1" t="s">
        <v>9</v>
      </c>
      <c r="G927" s="1" t="s">
        <v>11409</v>
      </c>
    </row>
    <row r="928" spans="1:7" ht="21" x14ac:dyDescent="0.25">
      <c r="A928" s="2" t="str">
        <f>HYPERLINK("https://rth.dk/resources/bsgatlas/details.php?id=BSGatlas-gene-927","BSGatlas-gene-927")</f>
        <v>BSGatlas-gene-927</v>
      </c>
      <c r="B928" s="1" t="s">
        <v>850</v>
      </c>
      <c r="C928" s="1" t="s">
        <v>8</v>
      </c>
      <c r="D928" s="1">
        <v>832545</v>
      </c>
      <c r="E928" s="1">
        <v>833225</v>
      </c>
      <c r="F928" s="1" t="s">
        <v>9</v>
      </c>
      <c r="G928" s="1" t="s">
        <v>11409</v>
      </c>
    </row>
    <row r="929" spans="1:7" ht="21" x14ac:dyDescent="0.25">
      <c r="A929" s="2" t="str">
        <f>HYPERLINK("https://rth.dk/resources/bsgatlas/details.php?id=BSGatlas-gene-928","BSGatlas-gene-928")</f>
        <v>BSGatlas-gene-928</v>
      </c>
      <c r="B929" s="1" t="s">
        <v>851</v>
      </c>
      <c r="C929" s="1" t="s">
        <v>8</v>
      </c>
      <c r="D929" s="1">
        <v>833228</v>
      </c>
      <c r="E929" s="1">
        <v>834187</v>
      </c>
      <c r="F929" s="1" t="s">
        <v>9</v>
      </c>
      <c r="G929" s="1" t="s">
        <v>11409</v>
      </c>
    </row>
    <row r="930" spans="1:7" ht="21" x14ac:dyDescent="0.25">
      <c r="A930" s="2" t="str">
        <f>HYPERLINK("https://rth.dk/resources/bsgatlas/details.php?id=BSGatlas-gene-929","BSGatlas-gene-929")</f>
        <v>BSGatlas-gene-929</v>
      </c>
      <c r="B930" s="1" t="s">
        <v>852</v>
      </c>
      <c r="C930" s="1" t="s">
        <v>8</v>
      </c>
      <c r="D930" s="1">
        <v>834383</v>
      </c>
      <c r="E930" s="1">
        <v>835684</v>
      </c>
      <c r="F930" s="1" t="s">
        <v>9</v>
      </c>
      <c r="G930" s="1" t="s">
        <v>11409</v>
      </c>
    </row>
    <row r="931" spans="1:7" ht="21" x14ac:dyDescent="0.25">
      <c r="A931" s="2" t="str">
        <f>HYPERLINK("https://rth.dk/resources/bsgatlas/details.php?id=BSGatlas-gene-930","BSGatlas-gene-930")</f>
        <v>BSGatlas-gene-930</v>
      </c>
      <c r="B931" s="1" t="s">
        <v>853</v>
      </c>
      <c r="C931" s="1" t="s">
        <v>8</v>
      </c>
      <c r="D931" s="1">
        <v>835740</v>
      </c>
      <c r="E931" s="1">
        <v>836534</v>
      </c>
      <c r="F931" s="1" t="s">
        <v>9</v>
      </c>
      <c r="G931" s="1" t="s">
        <v>11409</v>
      </c>
    </row>
    <row r="932" spans="1:7" ht="21" x14ac:dyDescent="0.25">
      <c r="A932" s="2" t="str">
        <f>HYPERLINK("https://rth.dk/resources/bsgatlas/details.php?id=BSGatlas-gene-931","BSGatlas-gene-931")</f>
        <v>BSGatlas-gene-931</v>
      </c>
      <c r="B932" s="1" t="s">
        <v>854</v>
      </c>
      <c r="C932" s="1" t="s">
        <v>8</v>
      </c>
      <c r="D932" s="1">
        <v>836653</v>
      </c>
      <c r="E932" s="1">
        <v>837744</v>
      </c>
      <c r="F932" s="1" t="s">
        <v>9</v>
      </c>
      <c r="G932" s="1" t="s">
        <v>11409</v>
      </c>
    </row>
    <row r="933" spans="1:7" ht="21" x14ac:dyDescent="0.25">
      <c r="A933" s="2" t="str">
        <f>HYPERLINK("https://rth.dk/resources/bsgatlas/details.php?id=BSGatlas-gene-932","BSGatlas-gene-932")</f>
        <v>BSGatlas-gene-932</v>
      </c>
      <c r="B933" s="1" t="s">
        <v>856</v>
      </c>
      <c r="C933" s="1" t="s">
        <v>8</v>
      </c>
      <c r="D933" s="1">
        <v>837735</v>
      </c>
      <c r="E933" s="1">
        <v>838010</v>
      </c>
      <c r="F933" s="1" t="s">
        <v>13</v>
      </c>
      <c r="G933" s="1" t="s">
        <v>11409</v>
      </c>
    </row>
    <row r="934" spans="1:7" ht="21" x14ac:dyDescent="0.25">
      <c r="A934" s="2" t="str">
        <f>HYPERLINK("https://rth.dk/resources/bsgatlas/details.php?id=BSGatlas-gene-933","BSGatlas-gene-933")</f>
        <v>BSGatlas-gene-933</v>
      </c>
      <c r="B934" s="1" t="s">
        <v>855</v>
      </c>
      <c r="C934" s="1" t="s">
        <v>8</v>
      </c>
      <c r="D934" s="1">
        <v>838077</v>
      </c>
      <c r="E934" s="1">
        <v>838742</v>
      </c>
      <c r="F934" s="1" t="s">
        <v>9</v>
      </c>
      <c r="G934" s="1" t="s">
        <v>11409</v>
      </c>
    </row>
    <row r="935" spans="1:7" ht="21" x14ac:dyDescent="0.25">
      <c r="A935" s="2" t="str">
        <f>HYPERLINK("https://rth.dk/resources/bsgatlas/details.php?id=BSGatlas-gene-934","BSGatlas-gene-934")</f>
        <v>BSGatlas-gene-934</v>
      </c>
      <c r="B935" s="1" t="s">
        <v>857</v>
      </c>
      <c r="C935" s="1" t="s">
        <v>8</v>
      </c>
      <c r="D935" s="1">
        <v>838783</v>
      </c>
      <c r="E935" s="1">
        <v>838920</v>
      </c>
      <c r="F935" s="1" t="s">
        <v>13</v>
      </c>
      <c r="G935" s="1" t="s">
        <v>11409</v>
      </c>
    </row>
    <row r="936" spans="1:7" ht="21" x14ac:dyDescent="0.25">
      <c r="A936" s="2" t="str">
        <f>HYPERLINK("https://rth.dk/resources/bsgatlas/details.php?id=BSGatlas-gene-935","BSGatlas-gene-935")</f>
        <v>BSGatlas-gene-935</v>
      </c>
      <c r="B936" s="1" t="s">
        <v>858</v>
      </c>
      <c r="C936" s="1" t="s">
        <v>12</v>
      </c>
      <c r="D936" s="1">
        <v>839062</v>
      </c>
      <c r="E936" s="1">
        <v>840126</v>
      </c>
      <c r="F936" s="1" t="s">
        <v>9</v>
      </c>
      <c r="G936" s="1" t="s">
        <v>11406</v>
      </c>
    </row>
    <row r="937" spans="1:7" ht="21" x14ac:dyDescent="0.25">
      <c r="A937" s="2" t="str">
        <f>HYPERLINK("https://rth.dk/resources/bsgatlas/details.php?id=BSGatlas-gene-936","BSGatlas-gene-936")</f>
        <v>BSGatlas-gene-936</v>
      </c>
      <c r="B937" s="1" t="s">
        <v>859</v>
      </c>
      <c r="C937" s="1" t="s">
        <v>8</v>
      </c>
      <c r="D937" s="1">
        <v>839077</v>
      </c>
      <c r="E937" s="1">
        <v>839232</v>
      </c>
      <c r="F937" s="1" t="s">
        <v>13</v>
      </c>
      <c r="G937" s="1" t="s">
        <v>11409</v>
      </c>
    </row>
    <row r="938" spans="1:7" ht="21" x14ac:dyDescent="0.25">
      <c r="A938" s="2" t="str">
        <f>HYPERLINK("https://rth.dk/resources/bsgatlas/details.php?id=BSGatlas-gene-937","BSGatlas-gene-937")</f>
        <v>BSGatlas-gene-937</v>
      </c>
      <c r="B938" s="1" t="s">
        <v>860</v>
      </c>
      <c r="C938" s="1" t="s">
        <v>8</v>
      </c>
      <c r="D938" s="1">
        <v>839339</v>
      </c>
      <c r="E938" s="1">
        <v>839653</v>
      </c>
      <c r="F938" s="1" t="s">
        <v>13</v>
      </c>
      <c r="G938" s="1" t="s">
        <v>11409</v>
      </c>
    </row>
    <row r="939" spans="1:7" ht="21" x14ac:dyDescent="0.25">
      <c r="A939" s="2" t="str">
        <f>HYPERLINK("https://rth.dk/resources/bsgatlas/details.php?id=BSGatlas-gene-938","BSGatlas-gene-938")</f>
        <v>BSGatlas-gene-938</v>
      </c>
      <c r="B939" s="1" t="s">
        <v>861</v>
      </c>
      <c r="C939" s="1" t="s">
        <v>8</v>
      </c>
      <c r="D939" s="1">
        <v>839735</v>
      </c>
      <c r="E939" s="1">
        <v>840484</v>
      </c>
      <c r="F939" s="1" t="s">
        <v>13</v>
      </c>
      <c r="G939" s="1" t="s">
        <v>11409</v>
      </c>
    </row>
    <row r="940" spans="1:7" ht="21" x14ac:dyDescent="0.25">
      <c r="A940" s="2" t="str">
        <f>HYPERLINK("https://rth.dk/resources/bsgatlas/details.php?id=BSGatlas-gene-939","BSGatlas-gene-939")</f>
        <v>BSGatlas-gene-939</v>
      </c>
      <c r="B940" s="1" t="s">
        <v>862</v>
      </c>
      <c r="C940" s="1" t="s">
        <v>8</v>
      </c>
      <c r="D940" s="1">
        <v>840656</v>
      </c>
      <c r="E940" s="1">
        <v>842014</v>
      </c>
      <c r="F940" s="1" t="s">
        <v>9</v>
      </c>
      <c r="G940" s="1" t="s">
        <v>11409</v>
      </c>
    </row>
    <row r="941" spans="1:7" ht="21" x14ac:dyDescent="0.25">
      <c r="A941" s="2" t="str">
        <f>HYPERLINK("https://rth.dk/resources/bsgatlas/details.php?id=BSGatlas-gene-940","BSGatlas-gene-940")</f>
        <v>BSGatlas-gene-940</v>
      </c>
      <c r="B941" s="1" t="s">
        <v>863</v>
      </c>
      <c r="C941" s="1" t="s">
        <v>8</v>
      </c>
      <c r="D941" s="1">
        <v>842047</v>
      </c>
      <c r="E941" s="1">
        <v>843996</v>
      </c>
      <c r="F941" s="1" t="s">
        <v>13</v>
      </c>
      <c r="G941" s="1" t="s">
        <v>11409</v>
      </c>
    </row>
    <row r="942" spans="1:7" ht="21" x14ac:dyDescent="0.25">
      <c r="A942" s="2" t="str">
        <f>HYPERLINK("https://rth.dk/resources/bsgatlas/details.php?id=BSGatlas-gene-941","BSGatlas-gene-941")</f>
        <v>BSGatlas-gene-941</v>
      </c>
      <c r="B942" s="1" t="s">
        <v>864</v>
      </c>
      <c r="C942" s="1" t="s">
        <v>8</v>
      </c>
      <c r="D942" s="1">
        <v>844097</v>
      </c>
      <c r="E942" s="1">
        <v>844234</v>
      </c>
      <c r="F942" s="1" t="s">
        <v>9</v>
      </c>
      <c r="G942" s="1" t="s">
        <v>11409</v>
      </c>
    </row>
    <row r="943" spans="1:7" ht="21" x14ac:dyDescent="0.25">
      <c r="A943" s="2" t="str">
        <f>HYPERLINK("https://rth.dk/resources/bsgatlas/details.php?id=BSGatlas-gene-942","BSGatlas-gene-942")</f>
        <v>BSGatlas-gene-942</v>
      </c>
      <c r="B943" s="1" t="s">
        <v>865</v>
      </c>
      <c r="C943" s="1" t="s">
        <v>8</v>
      </c>
      <c r="D943" s="1">
        <v>844253</v>
      </c>
      <c r="E943" s="1">
        <v>844645</v>
      </c>
      <c r="F943" s="1" t="s">
        <v>9</v>
      </c>
      <c r="G943" s="1" t="s">
        <v>11409</v>
      </c>
    </row>
    <row r="944" spans="1:7" ht="21" x14ac:dyDescent="0.25">
      <c r="A944" s="2" t="str">
        <f>HYPERLINK("https://rth.dk/resources/bsgatlas/details.php?id=BSGatlas-gene-943","BSGatlas-gene-943")</f>
        <v>BSGatlas-gene-943</v>
      </c>
      <c r="B944" s="1" t="s">
        <v>866</v>
      </c>
      <c r="C944" s="1" t="s">
        <v>8</v>
      </c>
      <c r="D944" s="1">
        <v>844770</v>
      </c>
      <c r="E944" s="1">
        <v>846185</v>
      </c>
      <c r="F944" s="1" t="s">
        <v>9</v>
      </c>
      <c r="G944" s="1" t="s">
        <v>11409</v>
      </c>
    </row>
    <row r="945" spans="1:7" ht="21" x14ac:dyDescent="0.25">
      <c r="A945" s="2" t="str">
        <f>HYPERLINK("https://rth.dk/resources/bsgatlas/details.php?id=BSGatlas-gene-944","BSGatlas-gene-944")</f>
        <v>BSGatlas-gene-944</v>
      </c>
      <c r="B945" s="1" t="s">
        <v>867</v>
      </c>
      <c r="C945" s="1" t="s">
        <v>8</v>
      </c>
      <c r="D945" s="1">
        <v>846182</v>
      </c>
      <c r="E945" s="1">
        <v>847258</v>
      </c>
      <c r="F945" s="1" t="s">
        <v>13</v>
      </c>
      <c r="G945" s="1" t="s">
        <v>11409</v>
      </c>
    </row>
    <row r="946" spans="1:7" ht="21" x14ac:dyDescent="0.25">
      <c r="A946" s="2" t="str">
        <f>HYPERLINK("https://rth.dk/resources/bsgatlas/details.php?id=BSGatlas-gene-945","BSGatlas-gene-945")</f>
        <v>BSGatlas-gene-945</v>
      </c>
      <c r="B946" s="1" t="s">
        <v>868</v>
      </c>
      <c r="C946" s="1" t="s">
        <v>8</v>
      </c>
      <c r="D946" s="1">
        <v>847282</v>
      </c>
      <c r="E946" s="1">
        <v>847482</v>
      </c>
      <c r="F946" s="1" t="s">
        <v>13</v>
      </c>
      <c r="G946" s="1" t="s">
        <v>11409</v>
      </c>
    </row>
    <row r="947" spans="1:7" ht="21" x14ac:dyDescent="0.25">
      <c r="A947" s="2" t="str">
        <f>HYPERLINK("https://rth.dk/resources/bsgatlas/details.php?id=BSGatlas-gene-946","BSGatlas-gene-946")</f>
        <v>BSGatlas-gene-946</v>
      </c>
      <c r="B947" s="1" t="s">
        <v>869</v>
      </c>
      <c r="C947" s="1" t="s">
        <v>8</v>
      </c>
      <c r="D947" s="1">
        <v>847498</v>
      </c>
      <c r="E947" s="1">
        <v>848652</v>
      </c>
      <c r="F947" s="1" t="s">
        <v>13</v>
      </c>
      <c r="G947" s="1" t="s">
        <v>11409</v>
      </c>
    </row>
    <row r="948" spans="1:7" ht="21" x14ac:dyDescent="0.25">
      <c r="A948" s="2" t="str">
        <f>HYPERLINK("https://rth.dk/resources/bsgatlas/details.php?id=BSGatlas-gene-947","BSGatlas-gene-947")</f>
        <v>BSGatlas-gene-947</v>
      </c>
      <c r="B948" s="1" t="s">
        <v>870</v>
      </c>
      <c r="C948" s="1" t="s">
        <v>8</v>
      </c>
      <c r="D948" s="1">
        <v>848633</v>
      </c>
      <c r="E948" s="1">
        <v>850174</v>
      </c>
      <c r="F948" s="1" t="s">
        <v>13</v>
      </c>
      <c r="G948" s="1" t="s">
        <v>11409</v>
      </c>
    </row>
    <row r="949" spans="1:7" ht="21" x14ac:dyDescent="0.25">
      <c r="A949" s="2" t="str">
        <f>HYPERLINK("https://rth.dk/resources/bsgatlas/details.php?id=BSGatlas-gene-948","BSGatlas-gene-948")</f>
        <v>BSGatlas-gene-948</v>
      </c>
      <c r="B949" s="1" t="s">
        <v>871</v>
      </c>
      <c r="C949" s="1" t="s">
        <v>8</v>
      </c>
      <c r="D949" s="1">
        <v>850367</v>
      </c>
      <c r="E949" s="1">
        <v>851779</v>
      </c>
      <c r="F949" s="1" t="s">
        <v>9</v>
      </c>
      <c r="G949" s="1" t="s">
        <v>11409</v>
      </c>
    </row>
    <row r="950" spans="1:7" ht="21" x14ac:dyDescent="0.25">
      <c r="A950" s="2" t="str">
        <f>HYPERLINK("https://rth.dk/resources/bsgatlas/details.php?id=BSGatlas-gene-949","BSGatlas-gene-949")</f>
        <v>BSGatlas-gene-949</v>
      </c>
      <c r="B950" s="1" t="s">
        <v>872</v>
      </c>
      <c r="C950" s="1" t="s">
        <v>8</v>
      </c>
      <c r="D950" s="1">
        <v>851850</v>
      </c>
      <c r="E950" s="1">
        <v>853535</v>
      </c>
      <c r="F950" s="1" t="s">
        <v>9</v>
      </c>
      <c r="G950" s="1" t="s">
        <v>11409</v>
      </c>
    </row>
    <row r="951" spans="1:7" ht="21" x14ac:dyDescent="0.25">
      <c r="A951" s="2" t="str">
        <f>HYPERLINK("https://rth.dk/resources/bsgatlas/details.php?id=BSGatlas-gene-950","BSGatlas-gene-950")</f>
        <v>BSGatlas-gene-950</v>
      </c>
      <c r="B951" s="1" t="s">
        <v>873</v>
      </c>
      <c r="C951" s="1" t="s">
        <v>8</v>
      </c>
      <c r="D951" s="1">
        <v>853556</v>
      </c>
      <c r="E951" s="1">
        <v>854272</v>
      </c>
      <c r="F951" s="1" t="s">
        <v>9</v>
      </c>
      <c r="G951" s="1" t="s">
        <v>11409</v>
      </c>
    </row>
    <row r="952" spans="1:7" ht="21" x14ac:dyDescent="0.25">
      <c r="A952" s="2" t="str">
        <f>HYPERLINK("https://rth.dk/resources/bsgatlas/details.php?id=BSGatlas-gene-951","BSGatlas-gene-951")</f>
        <v>BSGatlas-gene-951</v>
      </c>
      <c r="B952" s="1" t="s">
        <v>874</v>
      </c>
      <c r="C952" s="1" t="s">
        <v>8</v>
      </c>
      <c r="D952" s="1">
        <v>854412</v>
      </c>
      <c r="E952" s="1">
        <v>855077</v>
      </c>
      <c r="F952" s="1" t="s">
        <v>9</v>
      </c>
      <c r="G952" s="1" t="s">
        <v>11409</v>
      </c>
    </row>
    <row r="953" spans="1:7" ht="21" x14ac:dyDescent="0.25">
      <c r="A953" s="2" t="str">
        <f>HYPERLINK("https://rth.dk/resources/bsgatlas/details.php?id=BSGatlas-gene-952","BSGatlas-gene-952")</f>
        <v>BSGatlas-gene-952</v>
      </c>
      <c r="B953" s="1" t="s">
        <v>875</v>
      </c>
      <c r="C953" s="1" t="s">
        <v>8</v>
      </c>
      <c r="D953" s="1">
        <v>855114</v>
      </c>
      <c r="E953" s="1">
        <v>859502</v>
      </c>
      <c r="F953" s="1" t="s">
        <v>13</v>
      </c>
      <c r="G953" s="1" t="s">
        <v>11409</v>
      </c>
    </row>
    <row r="954" spans="1:7" ht="21" x14ac:dyDescent="0.25">
      <c r="A954" s="2" t="str">
        <f>HYPERLINK("https://rth.dk/resources/bsgatlas/details.php?id=BSGatlas-gene-953","BSGatlas-gene-953")</f>
        <v>BSGatlas-gene-953</v>
      </c>
      <c r="B954" s="1" t="s">
        <v>876</v>
      </c>
      <c r="C954" s="1" t="s">
        <v>8</v>
      </c>
      <c r="D954" s="1">
        <v>859745</v>
      </c>
      <c r="E954" s="1">
        <v>860263</v>
      </c>
      <c r="F954" s="1" t="s">
        <v>9</v>
      </c>
      <c r="G954" s="1" t="s">
        <v>11409</v>
      </c>
    </row>
    <row r="955" spans="1:7" ht="21" x14ac:dyDescent="0.25">
      <c r="A955" s="2" t="str">
        <f>HYPERLINK("https://rth.dk/resources/bsgatlas/details.php?id=BSGatlas-gene-954","BSGatlas-gene-954")</f>
        <v>BSGatlas-gene-954</v>
      </c>
      <c r="B955" s="1" t="s">
        <v>877</v>
      </c>
      <c r="C955" s="1" t="s">
        <v>8</v>
      </c>
      <c r="D955" s="1">
        <v>860303</v>
      </c>
      <c r="E955" s="1">
        <v>861493</v>
      </c>
      <c r="F955" s="1" t="s">
        <v>13</v>
      </c>
      <c r="G955" s="1" t="s">
        <v>11409</v>
      </c>
    </row>
    <row r="956" spans="1:7" ht="21" x14ac:dyDescent="0.25">
      <c r="A956" s="2" t="str">
        <f>HYPERLINK("https://rth.dk/resources/bsgatlas/details.php?id=BSGatlas-gene-955","BSGatlas-gene-955")</f>
        <v>BSGatlas-gene-955</v>
      </c>
      <c r="B956" s="1" t="s">
        <v>878</v>
      </c>
      <c r="C956" s="1" t="s">
        <v>8</v>
      </c>
      <c r="D956" s="1">
        <v>861586</v>
      </c>
      <c r="E956" s="1">
        <v>861801</v>
      </c>
      <c r="F956" s="1" t="s">
        <v>13</v>
      </c>
      <c r="G956" s="1" t="s">
        <v>11409</v>
      </c>
    </row>
    <row r="957" spans="1:7" ht="21" x14ac:dyDescent="0.25">
      <c r="A957" s="2" t="str">
        <f>HYPERLINK("https://rth.dk/resources/bsgatlas/details.php?id=BSGatlas-gene-956","BSGatlas-gene-956")</f>
        <v>BSGatlas-gene-956</v>
      </c>
      <c r="B957" s="1" t="s">
        <v>879</v>
      </c>
      <c r="C957" s="1" t="s">
        <v>8</v>
      </c>
      <c r="D957" s="1">
        <v>862004</v>
      </c>
      <c r="E957" s="1">
        <v>862474</v>
      </c>
      <c r="F957" s="1" t="s">
        <v>9</v>
      </c>
      <c r="G957" s="1" t="s">
        <v>11409</v>
      </c>
    </row>
    <row r="958" spans="1:7" ht="21" x14ac:dyDescent="0.25">
      <c r="A958" s="2" t="str">
        <f>HYPERLINK("https://rth.dk/resources/bsgatlas/details.php?id=BSGatlas-gene-957","BSGatlas-gene-957")</f>
        <v>BSGatlas-gene-957</v>
      </c>
      <c r="B958" s="1" t="s">
        <v>880</v>
      </c>
      <c r="C958" s="1" t="s">
        <v>8</v>
      </c>
      <c r="D958" s="1">
        <v>862492</v>
      </c>
      <c r="E958" s="1">
        <v>862812</v>
      </c>
      <c r="F958" s="1" t="s">
        <v>9</v>
      </c>
      <c r="G958" s="1" t="s">
        <v>11409</v>
      </c>
    </row>
    <row r="959" spans="1:7" ht="21" x14ac:dyDescent="0.25">
      <c r="A959" s="2" t="str">
        <f>HYPERLINK("https://rth.dk/resources/bsgatlas/details.php?id=BSGatlas-gene-958","BSGatlas-gene-958")</f>
        <v>BSGatlas-gene-958</v>
      </c>
      <c r="B959" s="1" t="s">
        <v>881</v>
      </c>
      <c r="C959" s="1" t="s">
        <v>8</v>
      </c>
      <c r="D959" s="1">
        <v>862836</v>
      </c>
      <c r="E959" s="1">
        <v>863663</v>
      </c>
      <c r="F959" s="1" t="s">
        <v>9</v>
      </c>
      <c r="G959" s="1" t="s">
        <v>11409</v>
      </c>
    </row>
    <row r="960" spans="1:7" ht="21" x14ac:dyDescent="0.25">
      <c r="A960" s="2" t="str">
        <f>HYPERLINK("https://rth.dk/resources/bsgatlas/details.php?id=BSGatlas-gene-959","BSGatlas-gene-959")</f>
        <v>BSGatlas-gene-959</v>
      </c>
      <c r="B960" s="1" t="s">
        <v>882</v>
      </c>
      <c r="C960" s="1" t="s">
        <v>12</v>
      </c>
      <c r="D960" s="1">
        <v>863681</v>
      </c>
      <c r="E960" s="1">
        <v>863837</v>
      </c>
      <c r="F960" s="1" t="s">
        <v>9</v>
      </c>
      <c r="G960" s="1" t="s">
        <v>11406</v>
      </c>
    </row>
    <row r="961" spans="1:7" ht="21" x14ac:dyDescent="0.25">
      <c r="A961" s="2" t="str">
        <f>HYPERLINK("https://rth.dk/resources/bsgatlas/details.php?id=BSGatlas-gene-960","BSGatlas-gene-960")</f>
        <v>BSGatlas-gene-960</v>
      </c>
      <c r="B961" s="1" t="s">
        <v>883</v>
      </c>
      <c r="C961" s="1" t="s">
        <v>8</v>
      </c>
      <c r="D961" s="1">
        <v>863862</v>
      </c>
      <c r="E961" s="1">
        <v>865037</v>
      </c>
      <c r="F961" s="1" t="s">
        <v>13</v>
      </c>
      <c r="G961" s="1" t="s">
        <v>11409</v>
      </c>
    </row>
    <row r="962" spans="1:7" ht="21" x14ac:dyDescent="0.25">
      <c r="A962" s="2" t="str">
        <f>HYPERLINK("https://rth.dk/resources/bsgatlas/details.php?id=BSGatlas-gene-961","BSGatlas-gene-961")</f>
        <v>BSGatlas-gene-961</v>
      </c>
      <c r="B962" s="1" t="s">
        <v>884</v>
      </c>
      <c r="C962" s="1" t="s">
        <v>8</v>
      </c>
      <c r="D962" s="1">
        <v>865205</v>
      </c>
      <c r="E962" s="1">
        <v>866260</v>
      </c>
      <c r="F962" s="1" t="s">
        <v>9</v>
      </c>
      <c r="G962" s="1" t="s">
        <v>11409</v>
      </c>
    </row>
    <row r="963" spans="1:7" ht="21" x14ac:dyDescent="0.25">
      <c r="A963" s="2" t="str">
        <f>HYPERLINK("https://rth.dk/resources/bsgatlas/details.php?id=BSGatlas-gene-962","BSGatlas-gene-962")</f>
        <v>BSGatlas-gene-962</v>
      </c>
      <c r="B963" s="1" t="s">
        <v>885</v>
      </c>
      <c r="C963" s="1" t="s">
        <v>8</v>
      </c>
      <c r="D963" s="1">
        <v>866331</v>
      </c>
      <c r="E963" s="1">
        <v>867125</v>
      </c>
      <c r="F963" s="1" t="s">
        <v>9</v>
      </c>
      <c r="G963" s="1" t="s">
        <v>11409</v>
      </c>
    </row>
    <row r="964" spans="1:7" ht="21" x14ac:dyDescent="0.25">
      <c r="A964" s="2" t="str">
        <f>HYPERLINK("https://rth.dk/resources/bsgatlas/details.php?id=BSGatlas-gene-963","BSGatlas-gene-963")</f>
        <v>BSGatlas-gene-963</v>
      </c>
      <c r="B964" s="1" t="s">
        <v>886</v>
      </c>
      <c r="C964" s="1" t="s">
        <v>8</v>
      </c>
      <c r="D964" s="1">
        <v>867164</v>
      </c>
      <c r="E964" s="1">
        <v>868006</v>
      </c>
      <c r="F964" s="1" t="s">
        <v>13</v>
      </c>
      <c r="G964" s="1" t="s">
        <v>11409</v>
      </c>
    </row>
    <row r="965" spans="1:7" ht="21" x14ac:dyDescent="0.25">
      <c r="A965" s="2" t="str">
        <f>HYPERLINK("https://rth.dk/resources/bsgatlas/details.php?id=BSGatlas-gene-964","BSGatlas-gene-964")</f>
        <v>BSGatlas-gene-964</v>
      </c>
      <c r="B965" s="1" t="s">
        <v>887</v>
      </c>
      <c r="C965" s="1" t="s">
        <v>8</v>
      </c>
      <c r="D965" s="1">
        <v>868007</v>
      </c>
      <c r="E965" s="1">
        <v>869128</v>
      </c>
      <c r="F965" s="1" t="s">
        <v>13</v>
      </c>
      <c r="G965" s="1" t="s">
        <v>11409</v>
      </c>
    </row>
    <row r="966" spans="1:7" ht="21" x14ac:dyDescent="0.25">
      <c r="A966" s="2" t="str">
        <f>HYPERLINK("https://rth.dk/resources/bsgatlas/details.php?id=BSGatlas-gene-965","BSGatlas-gene-965")</f>
        <v>BSGatlas-gene-965</v>
      </c>
      <c r="B966" s="1" t="s">
        <v>888</v>
      </c>
      <c r="C966" s="1" t="s">
        <v>8</v>
      </c>
      <c r="D966" s="1">
        <v>869273</v>
      </c>
      <c r="E966" s="1">
        <v>869458</v>
      </c>
      <c r="F966" s="1" t="s">
        <v>9</v>
      </c>
      <c r="G966" s="1" t="s">
        <v>11409</v>
      </c>
    </row>
    <row r="967" spans="1:7" ht="21" x14ac:dyDescent="0.25">
      <c r="A967" s="2" t="str">
        <f>HYPERLINK("https://rth.dk/resources/bsgatlas/details.php?id=BSGatlas-gene-966","BSGatlas-gene-966")</f>
        <v>BSGatlas-gene-966</v>
      </c>
      <c r="B967" s="1" t="s">
        <v>889</v>
      </c>
      <c r="C967" s="1" t="s">
        <v>8</v>
      </c>
      <c r="D967" s="1">
        <v>869559</v>
      </c>
      <c r="E967" s="1">
        <v>870350</v>
      </c>
      <c r="F967" s="1" t="s">
        <v>9</v>
      </c>
      <c r="G967" s="1" t="s">
        <v>11409</v>
      </c>
    </row>
    <row r="968" spans="1:7" ht="21" x14ac:dyDescent="0.25">
      <c r="A968" s="2" t="str">
        <f>HYPERLINK("https://rth.dk/resources/bsgatlas/details.php?id=BSGatlas-gene-967","BSGatlas-gene-967")</f>
        <v>BSGatlas-gene-967</v>
      </c>
      <c r="B968" s="1" t="s">
        <v>890</v>
      </c>
      <c r="C968" s="1" t="s">
        <v>8</v>
      </c>
      <c r="D968" s="1">
        <v>870388</v>
      </c>
      <c r="E968" s="1">
        <v>871248</v>
      </c>
      <c r="F968" s="1" t="s">
        <v>13</v>
      </c>
      <c r="G968" s="1" t="s">
        <v>11409</v>
      </c>
    </row>
    <row r="969" spans="1:7" ht="21" x14ac:dyDescent="0.25">
      <c r="A969" s="2" t="str">
        <f>HYPERLINK("https://rth.dk/resources/bsgatlas/details.php?id=BSGatlas-gene-968","BSGatlas-gene-968")</f>
        <v>BSGatlas-gene-968</v>
      </c>
      <c r="B969" s="1" t="s">
        <v>891</v>
      </c>
      <c r="C969" s="1" t="s">
        <v>8</v>
      </c>
      <c r="D969" s="1">
        <v>871347</v>
      </c>
      <c r="E969" s="1">
        <v>872306</v>
      </c>
      <c r="F969" s="1" t="s">
        <v>13</v>
      </c>
      <c r="G969" s="1" t="s">
        <v>11409</v>
      </c>
    </row>
    <row r="970" spans="1:7" ht="21" x14ac:dyDescent="0.25">
      <c r="A970" s="2" t="str">
        <f>HYPERLINK("https://rth.dk/resources/bsgatlas/details.php?id=BSGatlas-gene-969","BSGatlas-gene-969")</f>
        <v>BSGatlas-gene-969</v>
      </c>
      <c r="B970" s="1" t="s">
        <v>892</v>
      </c>
      <c r="C970" s="1" t="s">
        <v>8</v>
      </c>
      <c r="D970" s="1">
        <v>872425</v>
      </c>
      <c r="E970" s="1">
        <v>873288</v>
      </c>
      <c r="F970" s="1" t="s">
        <v>9</v>
      </c>
      <c r="G970" s="1" t="s">
        <v>11409</v>
      </c>
    </row>
    <row r="971" spans="1:7" ht="21" x14ac:dyDescent="0.25">
      <c r="A971" s="2" t="str">
        <f>HYPERLINK("https://rth.dk/resources/bsgatlas/details.php?id=BSGatlas-gene-970","BSGatlas-gene-970")</f>
        <v>BSGatlas-gene-970</v>
      </c>
      <c r="B971" s="1" t="s">
        <v>893</v>
      </c>
      <c r="C971" s="1" t="s">
        <v>8</v>
      </c>
      <c r="D971" s="1">
        <v>873402</v>
      </c>
      <c r="E971" s="1">
        <v>874802</v>
      </c>
      <c r="F971" s="1" t="s">
        <v>9</v>
      </c>
      <c r="G971" s="1" t="s">
        <v>11409</v>
      </c>
    </row>
    <row r="972" spans="1:7" ht="21" x14ac:dyDescent="0.25">
      <c r="A972" s="2" t="str">
        <f>HYPERLINK("https://rth.dk/resources/bsgatlas/details.php?id=BSGatlas-gene-971","BSGatlas-gene-971")</f>
        <v>BSGatlas-gene-971</v>
      </c>
      <c r="B972" s="1" t="s">
        <v>894</v>
      </c>
      <c r="C972" s="1" t="s">
        <v>8</v>
      </c>
      <c r="D972" s="1">
        <v>875428</v>
      </c>
      <c r="E972" s="1">
        <v>875694</v>
      </c>
      <c r="F972" s="1" t="s">
        <v>9</v>
      </c>
      <c r="G972" s="1" t="s">
        <v>11409</v>
      </c>
    </row>
    <row r="973" spans="1:7" ht="21" x14ac:dyDescent="0.25">
      <c r="A973" s="2" t="str">
        <f>HYPERLINK("https://rth.dk/resources/bsgatlas/details.php?id=BSGatlas-gene-972","BSGatlas-gene-972")</f>
        <v>BSGatlas-gene-972</v>
      </c>
      <c r="B973" s="1" t="s">
        <v>895</v>
      </c>
      <c r="C973" s="1" t="s">
        <v>8</v>
      </c>
      <c r="D973" s="1">
        <v>876426</v>
      </c>
      <c r="E973" s="1">
        <v>877403</v>
      </c>
      <c r="F973" s="1" t="s">
        <v>9</v>
      </c>
      <c r="G973" s="1" t="s">
        <v>11409</v>
      </c>
    </row>
    <row r="974" spans="1:7" ht="21" x14ac:dyDescent="0.25">
      <c r="A974" s="2" t="str">
        <f>HYPERLINK("https://rth.dk/resources/bsgatlas/details.php?id=BSGatlas-gene-973","BSGatlas-gene-973")</f>
        <v>BSGatlas-gene-973</v>
      </c>
      <c r="B974" s="1" t="s">
        <v>896</v>
      </c>
      <c r="C974" s="1" t="s">
        <v>8</v>
      </c>
      <c r="D974" s="1">
        <v>877599</v>
      </c>
      <c r="E974" s="1">
        <v>878051</v>
      </c>
      <c r="F974" s="1" t="s">
        <v>9</v>
      </c>
      <c r="G974" s="1" t="s">
        <v>11409</v>
      </c>
    </row>
    <row r="975" spans="1:7" ht="21" x14ac:dyDescent="0.25">
      <c r="A975" s="2" t="str">
        <f>HYPERLINK("https://rth.dk/resources/bsgatlas/details.php?id=BSGatlas-gene-974","BSGatlas-gene-974")</f>
        <v>BSGatlas-gene-974</v>
      </c>
      <c r="B975" s="1" t="s">
        <v>897</v>
      </c>
      <c r="C975" s="1" t="s">
        <v>8</v>
      </c>
      <c r="D975" s="1">
        <v>878081</v>
      </c>
      <c r="E975" s="1">
        <v>878770</v>
      </c>
      <c r="F975" s="1" t="s">
        <v>9</v>
      </c>
      <c r="G975" s="1" t="s">
        <v>11409</v>
      </c>
    </row>
    <row r="976" spans="1:7" ht="21" x14ac:dyDescent="0.25">
      <c r="A976" s="2" t="str">
        <f>HYPERLINK("https://rth.dk/resources/bsgatlas/details.php?id=BSGatlas-gene-975","BSGatlas-gene-975")</f>
        <v>BSGatlas-gene-975</v>
      </c>
      <c r="B976" s="1" t="s">
        <v>898</v>
      </c>
      <c r="C976" s="1" t="s">
        <v>8</v>
      </c>
      <c r="D976" s="1">
        <v>879002</v>
      </c>
      <c r="E976" s="1">
        <v>880003</v>
      </c>
      <c r="F976" s="1" t="s">
        <v>9</v>
      </c>
      <c r="G976" s="1" t="s">
        <v>11409</v>
      </c>
    </row>
    <row r="977" spans="1:7" ht="21" x14ac:dyDescent="0.25">
      <c r="A977" s="2" t="str">
        <f>HYPERLINK("https://rth.dk/resources/bsgatlas/details.php?id=BSGatlas-gene-976","BSGatlas-gene-976")</f>
        <v>BSGatlas-gene-976</v>
      </c>
      <c r="B977" s="1" t="s">
        <v>899</v>
      </c>
      <c r="C977" s="1" t="s">
        <v>8</v>
      </c>
      <c r="D977" s="1">
        <v>880007</v>
      </c>
      <c r="E977" s="1">
        <v>881035</v>
      </c>
      <c r="F977" s="1" t="s">
        <v>9</v>
      </c>
      <c r="G977" s="1" t="s">
        <v>11409</v>
      </c>
    </row>
    <row r="978" spans="1:7" ht="21" x14ac:dyDescent="0.25">
      <c r="A978" s="2" t="str">
        <f>HYPERLINK("https://rth.dk/resources/bsgatlas/details.php?id=BSGatlas-gene-977","BSGatlas-gene-977")</f>
        <v>BSGatlas-gene-977</v>
      </c>
      <c r="B978" s="1" t="s">
        <v>900</v>
      </c>
      <c r="C978" s="1" t="s">
        <v>8</v>
      </c>
      <c r="D978" s="1">
        <v>881049</v>
      </c>
      <c r="E978" s="1">
        <v>882245</v>
      </c>
      <c r="F978" s="1" t="s">
        <v>9</v>
      </c>
      <c r="G978" s="1" t="s">
        <v>11409</v>
      </c>
    </row>
    <row r="979" spans="1:7" ht="21" x14ac:dyDescent="0.25">
      <c r="A979" s="2" t="str">
        <f>HYPERLINK("https://rth.dk/resources/bsgatlas/details.php?id=BSGatlas-gene-978","BSGatlas-gene-978")</f>
        <v>BSGatlas-gene-978</v>
      </c>
      <c r="B979" s="1" t="s">
        <v>901</v>
      </c>
      <c r="C979" s="1" t="s">
        <v>8</v>
      </c>
      <c r="D979" s="1">
        <v>882266</v>
      </c>
      <c r="E979" s="1">
        <v>883642</v>
      </c>
      <c r="F979" s="1" t="s">
        <v>9</v>
      </c>
      <c r="G979" s="1" t="s">
        <v>11409</v>
      </c>
    </row>
    <row r="980" spans="1:7" ht="21" x14ac:dyDescent="0.25">
      <c r="A980" s="2" t="str">
        <f>HYPERLINK("https://rth.dk/resources/bsgatlas/details.php?id=BSGatlas-gene-979","BSGatlas-gene-979")</f>
        <v>BSGatlas-gene-979</v>
      </c>
      <c r="B980" s="1" t="s">
        <v>902</v>
      </c>
      <c r="C980" s="1" t="s">
        <v>8</v>
      </c>
      <c r="D980" s="1">
        <v>883758</v>
      </c>
      <c r="E980" s="1">
        <v>885575</v>
      </c>
      <c r="F980" s="1" t="s">
        <v>9</v>
      </c>
      <c r="G980" s="1" t="s">
        <v>11409</v>
      </c>
    </row>
    <row r="981" spans="1:7" ht="21" x14ac:dyDescent="0.25">
      <c r="A981" s="2" t="str">
        <f>HYPERLINK("https://rth.dk/resources/bsgatlas/details.php?id=BSGatlas-gene-980","BSGatlas-gene-980")</f>
        <v>BSGatlas-gene-980</v>
      </c>
      <c r="B981" s="1" t="s">
        <v>903</v>
      </c>
      <c r="C981" s="1" t="s">
        <v>8</v>
      </c>
      <c r="D981" s="1">
        <v>885629</v>
      </c>
      <c r="E981" s="1">
        <v>885808</v>
      </c>
      <c r="F981" s="1" t="s">
        <v>9</v>
      </c>
      <c r="G981" s="1" t="s">
        <v>11409</v>
      </c>
    </row>
    <row r="982" spans="1:7" ht="21" x14ac:dyDescent="0.25">
      <c r="A982" s="2" t="str">
        <f>HYPERLINK("https://rth.dk/resources/bsgatlas/details.php?id=BSGatlas-gene-981","BSGatlas-gene-981")</f>
        <v>BSGatlas-gene-981</v>
      </c>
      <c r="B982" s="1" t="s">
        <v>904</v>
      </c>
      <c r="C982" s="1" t="s">
        <v>8</v>
      </c>
      <c r="D982" s="1">
        <v>885844</v>
      </c>
      <c r="E982" s="1">
        <v>886173</v>
      </c>
      <c r="F982" s="1" t="s">
        <v>13</v>
      </c>
      <c r="G982" s="1" t="s">
        <v>11409</v>
      </c>
    </row>
    <row r="983" spans="1:7" ht="21" x14ac:dyDescent="0.25">
      <c r="A983" s="2" t="str">
        <f>HYPERLINK("https://rth.dk/resources/bsgatlas/details.php?id=BSGatlas-gene-982","BSGatlas-gene-982")</f>
        <v>BSGatlas-gene-982</v>
      </c>
      <c r="B983" s="1" t="s">
        <v>905</v>
      </c>
      <c r="C983" s="1" t="s">
        <v>8</v>
      </c>
      <c r="D983" s="1">
        <v>886223</v>
      </c>
      <c r="E983" s="1">
        <v>886681</v>
      </c>
      <c r="F983" s="1" t="s">
        <v>13</v>
      </c>
      <c r="G983" s="1" t="s">
        <v>11409</v>
      </c>
    </row>
    <row r="984" spans="1:7" ht="21" x14ac:dyDescent="0.25">
      <c r="A984" s="2" t="str">
        <f>HYPERLINK("https://rth.dk/resources/bsgatlas/details.php?id=BSGatlas-gene-983","BSGatlas-gene-983")</f>
        <v>BSGatlas-gene-983</v>
      </c>
      <c r="B984" s="1" t="s">
        <v>906</v>
      </c>
      <c r="C984" s="1" t="s">
        <v>8</v>
      </c>
      <c r="D984" s="1">
        <v>886775</v>
      </c>
      <c r="E984" s="1">
        <v>887332</v>
      </c>
      <c r="F984" s="1" t="s">
        <v>13</v>
      </c>
      <c r="G984" s="1" t="s">
        <v>11409</v>
      </c>
    </row>
    <row r="985" spans="1:7" ht="21" x14ac:dyDescent="0.25">
      <c r="A985" s="2" t="str">
        <f>HYPERLINK("https://rth.dk/resources/bsgatlas/details.php?id=BSGatlas-gene-984","BSGatlas-gene-984")</f>
        <v>BSGatlas-gene-984</v>
      </c>
      <c r="B985" s="1" t="s">
        <v>910</v>
      </c>
      <c r="C985" s="1" t="s">
        <v>12</v>
      </c>
      <c r="D985" s="1">
        <v>887222</v>
      </c>
      <c r="E985" s="1">
        <v>887809</v>
      </c>
      <c r="F985" s="1" t="s">
        <v>9</v>
      </c>
      <c r="G985" s="1" t="s">
        <v>11406</v>
      </c>
    </row>
    <row r="986" spans="1:7" ht="21" x14ac:dyDescent="0.25">
      <c r="A986" s="2" t="str">
        <f>HYPERLINK("https://rth.dk/resources/bsgatlas/details.php?id=BSGatlas-gene-985","BSGatlas-gene-985")</f>
        <v>BSGatlas-gene-985</v>
      </c>
      <c r="B986" s="1" t="s">
        <v>907</v>
      </c>
      <c r="C986" s="1" t="s">
        <v>8</v>
      </c>
      <c r="D986" s="1">
        <v>887364</v>
      </c>
      <c r="E986" s="1">
        <v>888131</v>
      </c>
      <c r="F986" s="1" t="s">
        <v>13</v>
      </c>
      <c r="G986" s="1" t="s">
        <v>11409</v>
      </c>
    </row>
    <row r="987" spans="1:7" ht="21" x14ac:dyDescent="0.25">
      <c r="A987" s="2" t="str">
        <f>HYPERLINK("https://rth.dk/resources/bsgatlas/details.php?id=BSGatlas-gene-986","BSGatlas-gene-986")</f>
        <v>BSGatlas-gene-986</v>
      </c>
      <c r="B987" s="1" t="s">
        <v>908</v>
      </c>
      <c r="C987" s="1" t="s">
        <v>8</v>
      </c>
      <c r="D987" s="1">
        <v>888143</v>
      </c>
      <c r="E987" s="1">
        <v>889366</v>
      </c>
      <c r="F987" s="1" t="s">
        <v>13</v>
      </c>
      <c r="G987" s="1" t="s">
        <v>11409</v>
      </c>
    </row>
    <row r="988" spans="1:7" ht="21" x14ac:dyDescent="0.25">
      <c r="A988" s="2" t="str">
        <f>HYPERLINK("https://rth.dk/resources/bsgatlas/details.php?id=BSGatlas-gene-987","BSGatlas-gene-987")</f>
        <v>BSGatlas-gene-987</v>
      </c>
      <c r="B988" s="1" t="s">
        <v>909</v>
      </c>
      <c r="C988" s="1" t="s">
        <v>8</v>
      </c>
      <c r="D988" s="1">
        <v>889372</v>
      </c>
      <c r="E988" s="1">
        <v>889686</v>
      </c>
      <c r="F988" s="1" t="s">
        <v>13</v>
      </c>
      <c r="G988" s="1" t="s">
        <v>11409</v>
      </c>
    </row>
    <row r="989" spans="1:7" ht="21" x14ac:dyDescent="0.25">
      <c r="A989" s="2" t="str">
        <f>HYPERLINK("https://rth.dk/resources/bsgatlas/details.php?id=BSGatlas-gene-988","BSGatlas-gene-988")</f>
        <v>BSGatlas-gene-988</v>
      </c>
      <c r="B989" s="1" t="s">
        <v>911</v>
      </c>
      <c r="C989" s="1" t="s">
        <v>8</v>
      </c>
      <c r="D989" s="1">
        <v>890022</v>
      </c>
      <c r="E989" s="1">
        <v>891371</v>
      </c>
      <c r="F989" s="1" t="s">
        <v>9</v>
      </c>
      <c r="G989" s="1" t="s">
        <v>11409</v>
      </c>
    </row>
    <row r="990" spans="1:7" ht="21" x14ac:dyDescent="0.25">
      <c r="A990" s="2" t="str">
        <f>HYPERLINK("https://rth.dk/resources/bsgatlas/details.php?id=BSGatlas-gene-989","BSGatlas-gene-989")</f>
        <v>BSGatlas-gene-989</v>
      </c>
      <c r="B990" s="1" t="s">
        <v>912</v>
      </c>
      <c r="C990" s="1" t="s">
        <v>8</v>
      </c>
      <c r="D990" s="1">
        <v>891436</v>
      </c>
      <c r="E990" s="1">
        <v>892200</v>
      </c>
      <c r="F990" s="1" t="s">
        <v>9</v>
      </c>
      <c r="G990" s="1" t="s">
        <v>11409</v>
      </c>
    </row>
    <row r="991" spans="1:7" ht="21" x14ac:dyDescent="0.25">
      <c r="A991" s="2" t="str">
        <f>HYPERLINK("https://rth.dk/resources/bsgatlas/details.php?id=BSGatlas-gene-990","BSGatlas-gene-990")</f>
        <v>BSGatlas-gene-990</v>
      </c>
      <c r="B991" s="1" t="s">
        <v>913</v>
      </c>
      <c r="C991" s="1" t="s">
        <v>8</v>
      </c>
      <c r="D991" s="1">
        <v>892215</v>
      </c>
      <c r="E991" s="1">
        <v>893798</v>
      </c>
      <c r="F991" s="1" t="s">
        <v>9</v>
      </c>
      <c r="G991" s="1" t="s">
        <v>11409</v>
      </c>
    </row>
    <row r="992" spans="1:7" ht="21" x14ac:dyDescent="0.25">
      <c r="A992" s="2" t="str">
        <f>HYPERLINK("https://rth.dk/resources/bsgatlas/details.php?id=BSGatlas-gene-991","BSGatlas-gene-991")</f>
        <v>BSGatlas-gene-991</v>
      </c>
      <c r="B992" s="1" t="s">
        <v>914</v>
      </c>
      <c r="C992" s="1" t="s">
        <v>8</v>
      </c>
      <c r="D992" s="1">
        <v>893904</v>
      </c>
      <c r="E992" s="1">
        <v>895625</v>
      </c>
      <c r="F992" s="1" t="s">
        <v>9</v>
      </c>
      <c r="G992" s="1" t="s">
        <v>11409</v>
      </c>
    </row>
    <row r="993" spans="1:7" ht="21" x14ac:dyDescent="0.25">
      <c r="A993" s="2" t="str">
        <f>HYPERLINK("https://rth.dk/resources/bsgatlas/details.php?id=BSGatlas-gene-992","BSGatlas-gene-992")</f>
        <v>BSGatlas-gene-992</v>
      </c>
      <c r="B993" s="1" t="s">
        <v>915</v>
      </c>
      <c r="C993" s="1" t="s">
        <v>8</v>
      </c>
      <c r="D993" s="1">
        <v>895619</v>
      </c>
      <c r="E993" s="1">
        <v>897433</v>
      </c>
      <c r="F993" s="1" t="s">
        <v>9</v>
      </c>
      <c r="G993" s="1" t="s">
        <v>11409</v>
      </c>
    </row>
    <row r="994" spans="1:7" ht="21" x14ac:dyDescent="0.25">
      <c r="A994" s="2" t="str">
        <f>HYPERLINK("https://rth.dk/resources/bsgatlas/details.php?id=BSGatlas-gene-993","BSGatlas-gene-993")</f>
        <v>BSGatlas-gene-993</v>
      </c>
      <c r="B994" s="1" t="s">
        <v>916</v>
      </c>
      <c r="C994" s="1" t="s">
        <v>8</v>
      </c>
      <c r="D994" s="1">
        <v>897588</v>
      </c>
      <c r="E994" s="1">
        <v>897992</v>
      </c>
      <c r="F994" s="1" t="s">
        <v>9</v>
      </c>
      <c r="G994" s="1" t="s">
        <v>11409</v>
      </c>
    </row>
    <row r="995" spans="1:7" ht="21" x14ac:dyDescent="0.25">
      <c r="A995" s="2" t="str">
        <f>HYPERLINK("https://rth.dk/resources/bsgatlas/details.php?id=BSGatlas-gene-994","BSGatlas-gene-994")</f>
        <v>BSGatlas-gene-994</v>
      </c>
      <c r="B995" s="1" t="s">
        <v>917</v>
      </c>
      <c r="C995" s="1" t="s">
        <v>8</v>
      </c>
      <c r="D995" s="1">
        <v>898010</v>
      </c>
      <c r="E995" s="1">
        <v>898867</v>
      </c>
      <c r="F995" s="1" t="s">
        <v>9</v>
      </c>
      <c r="G995" s="1" t="s">
        <v>11409</v>
      </c>
    </row>
    <row r="996" spans="1:7" ht="21" x14ac:dyDescent="0.25">
      <c r="A996" s="2" t="str">
        <f>HYPERLINK("https://rth.dk/resources/bsgatlas/details.php?id=BSGatlas-gene-995","BSGatlas-gene-995")</f>
        <v>BSGatlas-gene-995</v>
      </c>
      <c r="B996" s="1" t="s">
        <v>918</v>
      </c>
      <c r="C996" s="1" t="s">
        <v>8</v>
      </c>
      <c r="D996" s="1">
        <v>898961</v>
      </c>
      <c r="E996" s="1">
        <v>899905</v>
      </c>
      <c r="F996" s="1" t="s">
        <v>9</v>
      </c>
      <c r="G996" s="1" t="s">
        <v>11409</v>
      </c>
    </row>
    <row r="997" spans="1:7" ht="21" x14ac:dyDescent="0.25">
      <c r="A997" s="2" t="str">
        <f>HYPERLINK("https://rth.dk/resources/bsgatlas/details.php?id=BSGatlas-gene-996","BSGatlas-gene-996")</f>
        <v>BSGatlas-gene-996</v>
      </c>
      <c r="B997" s="1" t="s">
        <v>919</v>
      </c>
      <c r="C997" s="1" t="s">
        <v>8</v>
      </c>
      <c r="D997" s="1">
        <v>900080</v>
      </c>
      <c r="E997" s="1">
        <v>901528</v>
      </c>
      <c r="F997" s="1" t="s">
        <v>9</v>
      </c>
      <c r="G997" s="1" t="s">
        <v>11409</v>
      </c>
    </row>
    <row r="998" spans="1:7" ht="21" x14ac:dyDescent="0.25">
      <c r="A998" s="2" t="str">
        <f>HYPERLINK("https://rth.dk/resources/bsgatlas/details.php?id=BSGatlas-gene-997","BSGatlas-gene-997")</f>
        <v>BSGatlas-gene-997</v>
      </c>
      <c r="B998" s="1" t="s">
        <v>920</v>
      </c>
      <c r="C998" s="1" t="s">
        <v>8</v>
      </c>
      <c r="D998" s="1">
        <v>901555</v>
      </c>
      <c r="E998" s="1">
        <v>902496</v>
      </c>
      <c r="F998" s="1" t="s">
        <v>9</v>
      </c>
      <c r="G998" s="1" t="s">
        <v>11409</v>
      </c>
    </row>
    <row r="999" spans="1:7" ht="21" x14ac:dyDescent="0.25">
      <c r="A999" s="2" t="str">
        <f>HYPERLINK("https://rth.dk/resources/bsgatlas/details.php?id=BSGatlas-gene-998","BSGatlas-gene-998")</f>
        <v>BSGatlas-gene-998</v>
      </c>
      <c r="B999" s="1" t="s">
        <v>921</v>
      </c>
      <c r="C999" s="1" t="s">
        <v>8</v>
      </c>
      <c r="D999" s="1">
        <v>902506</v>
      </c>
      <c r="E999" s="1">
        <v>903687</v>
      </c>
      <c r="F999" s="1" t="s">
        <v>9</v>
      </c>
      <c r="G999" s="1" t="s">
        <v>11409</v>
      </c>
    </row>
    <row r="1000" spans="1:7" ht="21" x14ac:dyDescent="0.25">
      <c r="A1000" s="2" t="str">
        <f>HYPERLINK("https://rth.dk/resources/bsgatlas/details.php?id=BSGatlas-gene-999","BSGatlas-gene-999")</f>
        <v>BSGatlas-gene-999</v>
      </c>
      <c r="B1000" s="1" t="s">
        <v>922</v>
      </c>
      <c r="C1000" s="1" t="s">
        <v>8</v>
      </c>
      <c r="D1000" s="1">
        <v>903811</v>
      </c>
      <c r="E1000" s="1">
        <v>905013</v>
      </c>
      <c r="F1000" s="1" t="s">
        <v>9</v>
      </c>
      <c r="G1000" s="1" t="s">
        <v>11409</v>
      </c>
    </row>
    <row r="1001" spans="1:7" ht="21" x14ac:dyDescent="0.25">
      <c r="A1001" s="2" t="str">
        <f>HYPERLINK("https://rth.dk/resources/bsgatlas/details.php?id=BSGatlas-gene-1000","BSGatlas-gene-1000")</f>
        <v>BSGatlas-gene-1000</v>
      </c>
      <c r="B1001" s="1" t="s">
        <v>923</v>
      </c>
      <c r="C1001" s="1" t="s">
        <v>8</v>
      </c>
      <c r="D1001" s="1">
        <v>905010</v>
      </c>
      <c r="E1001" s="1">
        <v>905672</v>
      </c>
      <c r="F1001" s="1" t="s">
        <v>9</v>
      </c>
      <c r="G1001" s="1" t="s">
        <v>11409</v>
      </c>
    </row>
    <row r="1002" spans="1:7" ht="21" x14ac:dyDescent="0.25">
      <c r="A1002" s="2" t="str">
        <f>HYPERLINK("https://rth.dk/resources/bsgatlas/details.php?id=BSGatlas-gene-1001","BSGatlas-gene-1001")</f>
        <v>BSGatlas-gene-1001</v>
      </c>
      <c r="B1002" s="1" t="s">
        <v>924</v>
      </c>
      <c r="C1002" s="1" t="s">
        <v>8</v>
      </c>
      <c r="D1002" s="1">
        <v>905816</v>
      </c>
      <c r="E1002" s="1">
        <v>906751</v>
      </c>
      <c r="F1002" s="1" t="s">
        <v>9</v>
      </c>
      <c r="G1002" s="1" t="s">
        <v>11409</v>
      </c>
    </row>
    <row r="1003" spans="1:7" ht="21" x14ac:dyDescent="0.25">
      <c r="A1003" s="2" t="str">
        <f>HYPERLINK("https://rth.dk/resources/bsgatlas/details.php?id=BSGatlas-gene-1002","BSGatlas-gene-1002")</f>
        <v>BSGatlas-gene-1002</v>
      </c>
      <c r="B1003" s="1" t="s">
        <v>925</v>
      </c>
      <c r="C1003" s="1" t="s">
        <v>8</v>
      </c>
      <c r="D1003" s="1">
        <v>906764</v>
      </c>
      <c r="E1003" s="1">
        <v>907954</v>
      </c>
      <c r="F1003" s="1" t="s">
        <v>9</v>
      </c>
      <c r="G1003" s="1" t="s">
        <v>11409</v>
      </c>
    </row>
    <row r="1004" spans="1:7" ht="21" x14ac:dyDescent="0.25">
      <c r="A1004" s="2" t="str">
        <f>HYPERLINK("https://rth.dk/resources/bsgatlas/details.php?id=BSGatlas-gene-1003","BSGatlas-gene-1003")</f>
        <v>BSGatlas-gene-1003</v>
      </c>
      <c r="B1004" s="1" t="s">
        <v>926</v>
      </c>
      <c r="C1004" s="1" t="s">
        <v>8</v>
      </c>
      <c r="D1004" s="1">
        <v>907968</v>
      </c>
      <c r="E1004" s="1">
        <v>909125</v>
      </c>
      <c r="F1004" s="1" t="s">
        <v>9</v>
      </c>
      <c r="G1004" s="1" t="s">
        <v>11409</v>
      </c>
    </row>
    <row r="1005" spans="1:7" ht="21" x14ac:dyDescent="0.25">
      <c r="A1005" s="2" t="str">
        <f>HYPERLINK("https://rth.dk/resources/bsgatlas/details.php?id=BSGatlas-gene-1004","BSGatlas-gene-1004")</f>
        <v>BSGatlas-gene-1004</v>
      </c>
      <c r="B1005" s="1" t="s">
        <v>927</v>
      </c>
      <c r="C1005" s="1" t="s">
        <v>8</v>
      </c>
      <c r="D1005" s="1">
        <v>909198</v>
      </c>
      <c r="E1005" s="1">
        <v>909746</v>
      </c>
      <c r="F1005" s="1" t="s">
        <v>13</v>
      </c>
      <c r="G1005" s="1" t="s">
        <v>11409</v>
      </c>
    </row>
    <row r="1006" spans="1:7" ht="21" x14ac:dyDescent="0.25">
      <c r="A1006" s="2" t="str">
        <f>HYPERLINK("https://rth.dk/resources/bsgatlas/details.php?id=BSGatlas-gene-1005","BSGatlas-gene-1005")</f>
        <v>BSGatlas-gene-1005</v>
      </c>
      <c r="B1006" s="1" t="s">
        <v>928</v>
      </c>
      <c r="C1006" s="1" t="s">
        <v>8</v>
      </c>
      <c r="D1006" s="1">
        <v>910019</v>
      </c>
      <c r="E1006" s="1">
        <v>910651</v>
      </c>
      <c r="F1006" s="1" t="s">
        <v>9</v>
      </c>
      <c r="G1006" s="1" t="s">
        <v>11409</v>
      </c>
    </row>
    <row r="1007" spans="1:7" ht="21" x14ac:dyDescent="0.25">
      <c r="A1007" s="2" t="str">
        <f>HYPERLINK("https://rth.dk/resources/bsgatlas/details.php?id=BSGatlas-gene-1006","BSGatlas-gene-1006")</f>
        <v>BSGatlas-gene-1006</v>
      </c>
      <c r="B1007" s="1" t="s">
        <v>929</v>
      </c>
      <c r="C1007" s="1" t="s">
        <v>8</v>
      </c>
      <c r="D1007" s="1">
        <v>910840</v>
      </c>
      <c r="E1007" s="1">
        <v>911928</v>
      </c>
      <c r="F1007" s="1" t="s">
        <v>9</v>
      </c>
      <c r="G1007" s="1" t="s">
        <v>11409</v>
      </c>
    </row>
    <row r="1008" spans="1:7" ht="21" x14ac:dyDescent="0.25">
      <c r="A1008" s="2" t="str">
        <f>HYPERLINK("https://rth.dk/resources/bsgatlas/details.php?id=BSGatlas-gene-1007","BSGatlas-gene-1007")</f>
        <v>BSGatlas-gene-1007</v>
      </c>
      <c r="B1008" s="1" t="s">
        <v>930</v>
      </c>
      <c r="C1008" s="1" t="s">
        <v>12</v>
      </c>
      <c r="D1008" s="1">
        <v>911330</v>
      </c>
      <c r="E1008" s="1">
        <v>911718</v>
      </c>
      <c r="F1008" s="1" t="s">
        <v>13</v>
      </c>
      <c r="G1008" s="1" t="s">
        <v>11406</v>
      </c>
    </row>
    <row r="1009" spans="1:7" ht="21" x14ac:dyDescent="0.25">
      <c r="A1009" s="2" t="str">
        <f>HYPERLINK("https://rth.dk/resources/bsgatlas/details.php?id=BSGatlas-gene-1008","BSGatlas-gene-1008")</f>
        <v>BSGatlas-gene-1008</v>
      </c>
      <c r="B1009" s="1" t="s">
        <v>931</v>
      </c>
      <c r="C1009" s="1" t="s">
        <v>8</v>
      </c>
      <c r="D1009" s="1">
        <v>911964</v>
      </c>
      <c r="E1009" s="1">
        <v>912581</v>
      </c>
      <c r="F1009" s="1" t="s">
        <v>13</v>
      </c>
      <c r="G1009" s="1" t="s">
        <v>11409</v>
      </c>
    </row>
    <row r="1010" spans="1:7" ht="21" x14ac:dyDescent="0.25">
      <c r="A1010" s="2" t="str">
        <f>HYPERLINK("https://rth.dk/resources/bsgatlas/details.php?id=BSGatlas-gene-1009","BSGatlas-gene-1009")</f>
        <v>BSGatlas-gene-1009</v>
      </c>
      <c r="B1010" s="1" t="s">
        <v>932</v>
      </c>
      <c r="C1010" s="1" t="s">
        <v>8</v>
      </c>
      <c r="D1010" s="1">
        <v>912547</v>
      </c>
      <c r="E1010" s="1">
        <v>913800</v>
      </c>
      <c r="F1010" s="1" t="s">
        <v>13</v>
      </c>
      <c r="G1010" s="1" t="s">
        <v>11409</v>
      </c>
    </row>
    <row r="1011" spans="1:7" ht="21" x14ac:dyDescent="0.25">
      <c r="A1011" s="2" t="str">
        <f>HYPERLINK("https://rth.dk/resources/bsgatlas/details.php?id=BSGatlas-gene-1010","BSGatlas-gene-1010")</f>
        <v>BSGatlas-gene-1010</v>
      </c>
      <c r="B1011" s="1" t="s">
        <v>933</v>
      </c>
      <c r="C1011" s="1" t="s">
        <v>8</v>
      </c>
      <c r="D1011" s="1">
        <v>913924</v>
      </c>
      <c r="E1011" s="1">
        <v>914460</v>
      </c>
      <c r="F1011" s="1" t="s">
        <v>9</v>
      </c>
      <c r="G1011" s="1" t="s">
        <v>11409</v>
      </c>
    </row>
    <row r="1012" spans="1:7" ht="21" x14ac:dyDescent="0.25">
      <c r="A1012" s="2" t="str">
        <f>HYPERLINK("https://rth.dk/resources/bsgatlas/details.php?id=BSGatlas-gene-1011","BSGatlas-gene-1011")</f>
        <v>BSGatlas-gene-1011</v>
      </c>
      <c r="B1012" s="1" t="s">
        <v>934</v>
      </c>
      <c r="C1012" s="1" t="s">
        <v>8</v>
      </c>
      <c r="D1012" s="1">
        <v>914457</v>
      </c>
      <c r="E1012" s="1">
        <v>916013</v>
      </c>
      <c r="F1012" s="1" t="s">
        <v>13</v>
      </c>
      <c r="G1012" s="1" t="s">
        <v>11409</v>
      </c>
    </row>
    <row r="1013" spans="1:7" ht="21" x14ac:dyDescent="0.25">
      <c r="A1013" s="2" t="str">
        <f>HYPERLINK("https://rth.dk/resources/bsgatlas/details.php?id=BSGatlas-gene-1012","BSGatlas-gene-1012")</f>
        <v>BSGatlas-gene-1012</v>
      </c>
      <c r="B1013" s="1" t="s">
        <v>935</v>
      </c>
      <c r="C1013" s="1" t="s">
        <v>8</v>
      </c>
      <c r="D1013" s="1">
        <v>916124</v>
      </c>
      <c r="E1013" s="1">
        <v>916606</v>
      </c>
      <c r="F1013" s="1" t="s">
        <v>13</v>
      </c>
      <c r="G1013" s="1" t="s">
        <v>11409</v>
      </c>
    </row>
    <row r="1014" spans="1:7" ht="21" x14ac:dyDescent="0.25">
      <c r="A1014" s="2" t="str">
        <f>HYPERLINK("https://rth.dk/resources/bsgatlas/details.php?id=BSGatlas-gene-1013","BSGatlas-gene-1013")</f>
        <v>BSGatlas-gene-1013</v>
      </c>
      <c r="B1014" s="1" t="s">
        <v>936</v>
      </c>
      <c r="C1014" s="1" t="s">
        <v>8</v>
      </c>
      <c r="D1014" s="1">
        <v>916778</v>
      </c>
      <c r="E1014" s="1">
        <v>919348</v>
      </c>
      <c r="F1014" s="1" t="s">
        <v>9</v>
      </c>
      <c r="G1014" s="1" t="s">
        <v>11409</v>
      </c>
    </row>
    <row r="1015" spans="1:7" ht="21" x14ac:dyDescent="0.25">
      <c r="A1015" s="2" t="str">
        <f>HYPERLINK("https://rth.dk/resources/bsgatlas/details.php?id=BSGatlas-gene-1014","BSGatlas-gene-1014")</f>
        <v>BSGatlas-gene-1014</v>
      </c>
      <c r="B1015" s="1" t="s">
        <v>937</v>
      </c>
      <c r="C1015" s="1" t="s">
        <v>8</v>
      </c>
      <c r="D1015" s="1">
        <v>919366</v>
      </c>
      <c r="E1015" s="1">
        <v>920343</v>
      </c>
      <c r="F1015" s="1" t="s">
        <v>13</v>
      </c>
      <c r="G1015" s="1" t="s">
        <v>11409</v>
      </c>
    </row>
    <row r="1016" spans="1:7" ht="21" x14ac:dyDescent="0.25">
      <c r="A1016" s="2" t="str">
        <f>HYPERLINK("https://rth.dk/resources/bsgatlas/details.php?id=BSGatlas-gene-1015","BSGatlas-gene-1015")</f>
        <v>BSGatlas-gene-1015</v>
      </c>
      <c r="B1016" s="1" t="s">
        <v>938</v>
      </c>
      <c r="C1016" s="1" t="s">
        <v>8</v>
      </c>
      <c r="D1016" s="1">
        <v>920474</v>
      </c>
      <c r="E1016" s="1">
        <v>921475</v>
      </c>
      <c r="F1016" s="1" t="s">
        <v>9</v>
      </c>
      <c r="G1016" s="1" t="s">
        <v>11409</v>
      </c>
    </row>
    <row r="1017" spans="1:7" ht="21" x14ac:dyDescent="0.25">
      <c r="A1017" s="2" t="str">
        <f>HYPERLINK("https://rth.dk/resources/bsgatlas/details.php?id=BSGatlas-gene-1016","BSGatlas-gene-1016")</f>
        <v>BSGatlas-gene-1016</v>
      </c>
      <c r="B1017" s="1" t="s">
        <v>939</v>
      </c>
      <c r="C1017" s="1" t="s">
        <v>8</v>
      </c>
      <c r="D1017" s="1">
        <v>921472</v>
      </c>
      <c r="E1017" s="1">
        <v>922503</v>
      </c>
      <c r="F1017" s="1" t="s">
        <v>9</v>
      </c>
      <c r="G1017" s="1" t="s">
        <v>11409</v>
      </c>
    </row>
    <row r="1018" spans="1:7" ht="21" x14ac:dyDescent="0.25">
      <c r="A1018" s="2" t="str">
        <f>HYPERLINK("https://rth.dk/resources/bsgatlas/details.php?id=BSGatlas-gene-1017","BSGatlas-gene-1017")</f>
        <v>BSGatlas-gene-1017</v>
      </c>
      <c r="B1018" s="1" t="s">
        <v>940</v>
      </c>
      <c r="C1018" s="1" t="s">
        <v>8</v>
      </c>
      <c r="D1018" s="1">
        <v>922618</v>
      </c>
      <c r="E1018" s="1">
        <v>923499</v>
      </c>
      <c r="F1018" s="1" t="s">
        <v>9</v>
      </c>
      <c r="G1018" s="1" t="s">
        <v>11409</v>
      </c>
    </row>
    <row r="1019" spans="1:7" ht="21" x14ac:dyDescent="0.25">
      <c r="A1019" s="2" t="str">
        <f>HYPERLINK("https://rth.dk/resources/bsgatlas/details.php?id=BSGatlas-gene-1018","BSGatlas-gene-1018")</f>
        <v>BSGatlas-gene-1018</v>
      </c>
      <c r="B1019" s="1" t="s">
        <v>941</v>
      </c>
      <c r="C1019" s="1" t="s">
        <v>8</v>
      </c>
      <c r="D1019" s="1">
        <v>923587</v>
      </c>
      <c r="E1019" s="1">
        <v>924171</v>
      </c>
      <c r="F1019" s="1" t="s">
        <v>9</v>
      </c>
      <c r="G1019" s="1" t="s">
        <v>11409</v>
      </c>
    </row>
    <row r="1020" spans="1:7" ht="21" x14ac:dyDescent="0.25">
      <c r="A1020" s="2" t="str">
        <f>HYPERLINK("https://rth.dk/resources/bsgatlas/details.php?id=BSGatlas-gene-1019","BSGatlas-gene-1019")</f>
        <v>BSGatlas-gene-1019</v>
      </c>
      <c r="B1020" s="1" t="s">
        <v>942</v>
      </c>
      <c r="C1020" s="1" t="s">
        <v>8</v>
      </c>
      <c r="D1020" s="1">
        <v>924210</v>
      </c>
      <c r="E1020" s="1">
        <v>924401</v>
      </c>
      <c r="F1020" s="1" t="s">
        <v>13</v>
      </c>
      <c r="G1020" s="1" t="s">
        <v>11409</v>
      </c>
    </row>
    <row r="1021" spans="1:7" ht="21" x14ac:dyDescent="0.25">
      <c r="A1021" s="2" t="str">
        <f>HYPERLINK("https://rth.dk/resources/bsgatlas/details.php?id=BSGatlas-gene-1020","BSGatlas-gene-1020")</f>
        <v>BSGatlas-gene-1020</v>
      </c>
      <c r="B1021" s="1" t="s">
        <v>943</v>
      </c>
      <c r="C1021" s="1" t="s">
        <v>8</v>
      </c>
      <c r="D1021" s="1">
        <v>924468</v>
      </c>
      <c r="E1021" s="1">
        <v>924578</v>
      </c>
      <c r="F1021" s="1" t="s">
        <v>13</v>
      </c>
      <c r="G1021" s="1" t="s">
        <v>11409</v>
      </c>
    </row>
    <row r="1022" spans="1:7" ht="21" x14ac:dyDescent="0.25">
      <c r="A1022" s="2" t="str">
        <f>HYPERLINK("https://rth.dk/resources/bsgatlas/details.php?id=BSGatlas-gene-1021","BSGatlas-gene-1021")</f>
        <v>BSGatlas-gene-1021</v>
      </c>
      <c r="B1022" s="1" t="s">
        <v>944</v>
      </c>
      <c r="C1022" s="1" t="s">
        <v>8</v>
      </c>
      <c r="D1022" s="1">
        <v>924633</v>
      </c>
      <c r="E1022" s="1">
        <v>925544</v>
      </c>
      <c r="F1022" s="1" t="s">
        <v>13</v>
      </c>
      <c r="G1022" s="1" t="s">
        <v>11409</v>
      </c>
    </row>
    <row r="1023" spans="1:7" ht="21" x14ac:dyDescent="0.25">
      <c r="A1023" s="2" t="str">
        <f>HYPERLINK("https://rth.dk/resources/bsgatlas/details.php?id=BSGatlas-gene-1022","BSGatlas-gene-1022")</f>
        <v>BSGatlas-gene-1022</v>
      </c>
      <c r="B1023" s="1" t="s">
        <v>945</v>
      </c>
      <c r="C1023" s="1" t="s">
        <v>8</v>
      </c>
      <c r="D1023" s="1">
        <v>925633</v>
      </c>
      <c r="E1023" s="1">
        <v>926427</v>
      </c>
      <c r="F1023" s="1" t="s">
        <v>9</v>
      </c>
      <c r="G1023" s="1" t="s">
        <v>11409</v>
      </c>
    </row>
    <row r="1024" spans="1:7" ht="21" x14ac:dyDescent="0.25">
      <c r="A1024" s="2" t="str">
        <f>HYPERLINK("https://rth.dk/resources/bsgatlas/details.php?id=BSGatlas-gene-1023","BSGatlas-gene-1023")</f>
        <v>BSGatlas-gene-1023</v>
      </c>
      <c r="B1024" s="1" t="s">
        <v>946</v>
      </c>
      <c r="C1024" s="1" t="s">
        <v>8</v>
      </c>
      <c r="D1024" s="1">
        <v>926429</v>
      </c>
      <c r="E1024" s="1">
        <v>926743</v>
      </c>
      <c r="F1024" s="1" t="s">
        <v>9</v>
      </c>
      <c r="G1024" s="1" t="s">
        <v>11409</v>
      </c>
    </row>
    <row r="1025" spans="1:7" ht="21" x14ac:dyDescent="0.25">
      <c r="A1025" s="2" t="str">
        <f>HYPERLINK("https://rth.dk/resources/bsgatlas/details.php?id=BSGatlas-gene-1024","BSGatlas-gene-1024")</f>
        <v>BSGatlas-gene-1024</v>
      </c>
      <c r="B1025" s="1" t="s">
        <v>11497</v>
      </c>
      <c r="C1025" s="1" t="s">
        <v>12</v>
      </c>
      <c r="D1025" s="1">
        <v>926651</v>
      </c>
      <c r="E1025" s="1">
        <v>926919</v>
      </c>
      <c r="F1025" s="1" t="s">
        <v>13</v>
      </c>
      <c r="G1025" s="1" t="s">
        <v>11406</v>
      </c>
    </row>
    <row r="1026" spans="1:7" ht="21" x14ac:dyDescent="0.25">
      <c r="A1026" s="2" t="str">
        <f>HYPERLINK("https://rth.dk/resources/bsgatlas/details.php?id=BSGatlas-gene-1025","BSGatlas-gene-1025")</f>
        <v>BSGatlas-gene-1025</v>
      </c>
      <c r="B1026" s="1" t="s">
        <v>947</v>
      </c>
      <c r="C1026" s="1" t="s">
        <v>8</v>
      </c>
      <c r="D1026" s="1">
        <v>926886</v>
      </c>
      <c r="E1026" s="1">
        <v>928079</v>
      </c>
      <c r="F1026" s="1" t="s">
        <v>9</v>
      </c>
      <c r="G1026" s="1" t="s">
        <v>11409</v>
      </c>
    </row>
    <row r="1027" spans="1:7" ht="21" x14ac:dyDescent="0.25">
      <c r="A1027" s="2" t="str">
        <f>HYPERLINK("https://rth.dk/resources/bsgatlas/details.php?id=BSGatlas-gene-1026","BSGatlas-gene-1026")</f>
        <v>BSGatlas-gene-1026</v>
      </c>
      <c r="B1027" s="1" t="s">
        <v>948</v>
      </c>
      <c r="C1027" s="1" t="s">
        <v>8</v>
      </c>
      <c r="D1027" s="1">
        <v>928112</v>
      </c>
      <c r="E1027" s="1">
        <v>928264</v>
      </c>
      <c r="F1027" s="1" t="s">
        <v>13</v>
      </c>
      <c r="G1027" s="1" t="s">
        <v>11409</v>
      </c>
    </row>
    <row r="1028" spans="1:7" ht="21" x14ac:dyDescent="0.25">
      <c r="A1028" s="2" t="str">
        <f>HYPERLINK("https://rth.dk/resources/bsgatlas/details.php?id=BSGatlas-gene-1027","BSGatlas-gene-1027")</f>
        <v>BSGatlas-gene-1027</v>
      </c>
      <c r="B1028" s="1" t="s">
        <v>949</v>
      </c>
      <c r="C1028" s="1" t="s">
        <v>8</v>
      </c>
      <c r="D1028" s="1">
        <v>928389</v>
      </c>
      <c r="E1028" s="1">
        <v>928658</v>
      </c>
      <c r="F1028" s="1" t="s">
        <v>9</v>
      </c>
      <c r="G1028" s="1" t="s">
        <v>11409</v>
      </c>
    </row>
    <row r="1029" spans="1:7" ht="21" x14ac:dyDescent="0.25">
      <c r="A1029" s="2" t="str">
        <f>HYPERLINK("https://rth.dk/resources/bsgatlas/details.php?id=BSGatlas-gene-1028","BSGatlas-gene-1028")</f>
        <v>BSGatlas-gene-1028</v>
      </c>
      <c r="B1029" s="1" t="s">
        <v>950</v>
      </c>
      <c r="C1029" s="1" t="s">
        <v>8</v>
      </c>
      <c r="D1029" s="1">
        <v>928803</v>
      </c>
      <c r="E1029" s="1">
        <v>929321</v>
      </c>
      <c r="F1029" s="1" t="s">
        <v>9</v>
      </c>
      <c r="G1029" s="1" t="s">
        <v>11409</v>
      </c>
    </row>
    <row r="1030" spans="1:7" ht="21" x14ac:dyDescent="0.25">
      <c r="A1030" s="2" t="str">
        <f>HYPERLINK("https://rth.dk/resources/bsgatlas/details.php?id=BSGatlas-gene-1029","BSGatlas-gene-1029")</f>
        <v>BSGatlas-gene-1029</v>
      </c>
      <c r="B1030" s="1" t="s">
        <v>951</v>
      </c>
      <c r="C1030" s="1" t="s">
        <v>8</v>
      </c>
      <c r="D1030" s="1">
        <v>929406</v>
      </c>
      <c r="E1030" s="1">
        <v>929738</v>
      </c>
      <c r="F1030" s="1" t="s">
        <v>9</v>
      </c>
      <c r="G1030" s="1" t="s">
        <v>11409</v>
      </c>
    </row>
    <row r="1031" spans="1:7" ht="21" x14ac:dyDescent="0.25">
      <c r="A1031" s="2" t="str">
        <f>HYPERLINK("https://rth.dk/resources/bsgatlas/details.php?id=BSGatlas-gene-1030","BSGatlas-gene-1030")</f>
        <v>BSGatlas-gene-1030</v>
      </c>
      <c r="B1031" s="1" t="s">
        <v>952</v>
      </c>
      <c r="C1031" s="1" t="s">
        <v>8</v>
      </c>
      <c r="D1031" s="1">
        <v>929725</v>
      </c>
      <c r="E1031" s="1">
        <v>930585</v>
      </c>
      <c r="F1031" s="1" t="s">
        <v>9</v>
      </c>
      <c r="G1031" s="1" t="s">
        <v>11409</v>
      </c>
    </row>
    <row r="1032" spans="1:7" ht="21" x14ac:dyDescent="0.25">
      <c r="A1032" s="2" t="str">
        <f>HYPERLINK("https://rth.dk/resources/bsgatlas/details.php?id=BSGatlas-gene-1031","BSGatlas-gene-1031")</f>
        <v>BSGatlas-gene-1031</v>
      </c>
      <c r="B1032" s="1" t="s">
        <v>953</v>
      </c>
      <c r="C1032" s="1" t="s">
        <v>8</v>
      </c>
      <c r="D1032" s="1">
        <v>930818</v>
      </c>
      <c r="E1032" s="1">
        <v>931807</v>
      </c>
      <c r="F1032" s="1" t="s">
        <v>9</v>
      </c>
      <c r="G1032" s="1" t="s">
        <v>11409</v>
      </c>
    </row>
    <row r="1033" spans="1:7" ht="21" x14ac:dyDescent="0.25">
      <c r="A1033" s="2" t="str">
        <f>HYPERLINK("https://rth.dk/resources/bsgatlas/details.php?id=BSGatlas-gene-1032","BSGatlas-gene-1032")</f>
        <v>BSGatlas-gene-1032</v>
      </c>
      <c r="B1033" s="1" t="s">
        <v>954</v>
      </c>
      <c r="C1033" s="1" t="s">
        <v>8</v>
      </c>
      <c r="D1033" s="1">
        <v>931879</v>
      </c>
      <c r="E1033" s="1">
        <v>934464</v>
      </c>
      <c r="F1033" s="1" t="s">
        <v>9</v>
      </c>
      <c r="G1033" s="1" t="s">
        <v>11409</v>
      </c>
    </row>
    <row r="1034" spans="1:7" ht="21" x14ac:dyDescent="0.25">
      <c r="A1034" s="2" t="str">
        <f>HYPERLINK("https://rth.dk/resources/bsgatlas/details.php?id=BSGatlas-gene-1033","BSGatlas-gene-1033")</f>
        <v>BSGatlas-gene-1033</v>
      </c>
      <c r="B1034" s="1" t="s">
        <v>955</v>
      </c>
      <c r="C1034" s="1" t="s">
        <v>8</v>
      </c>
      <c r="D1034" s="1">
        <v>934457</v>
      </c>
      <c r="E1034" s="1">
        <v>935440</v>
      </c>
      <c r="F1034" s="1" t="s">
        <v>13</v>
      </c>
      <c r="G1034" s="1" t="s">
        <v>11409</v>
      </c>
    </row>
    <row r="1035" spans="1:7" ht="21" x14ac:dyDescent="0.25">
      <c r="A1035" s="2" t="str">
        <f>HYPERLINK("https://rth.dk/resources/bsgatlas/details.php?id=BSGatlas-gene-1034","BSGatlas-gene-1034")</f>
        <v>BSGatlas-gene-1034</v>
      </c>
      <c r="B1035" s="1" t="s">
        <v>956</v>
      </c>
      <c r="C1035" s="1" t="s">
        <v>8</v>
      </c>
      <c r="D1035" s="1">
        <v>935656</v>
      </c>
      <c r="E1035" s="1">
        <v>936765</v>
      </c>
      <c r="F1035" s="1" t="s">
        <v>9</v>
      </c>
      <c r="G1035" s="1" t="s">
        <v>11409</v>
      </c>
    </row>
    <row r="1036" spans="1:7" ht="21" x14ac:dyDescent="0.25">
      <c r="A1036" s="2" t="str">
        <f>HYPERLINK("https://rth.dk/resources/bsgatlas/details.php?id=BSGatlas-gene-1035","BSGatlas-gene-1035")</f>
        <v>BSGatlas-gene-1035</v>
      </c>
      <c r="B1036" s="1" t="s">
        <v>959</v>
      </c>
      <c r="C1036" s="1" t="s">
        <v>8</v>
      </c>
      <c r="D1036" s="1">
        <v>936773</v>
      </c>
      <c r="E1036" s="1">
        <v>936997</v>
      </c>
      <c r="F1036" s="1" t="s">
        <v>13</v>
      </c>
      <c r="G1036" s="1" t="s">
        <v>11409</v>
      </c>
    </row>
    <row r="1037" spans="1:7" ht="21" x14ac:dyDescent="0.25">
      <c r="A1037" s="2" t="str">
        <f>HYPERLINK("https://rth.dk/resources/bsgatlas/details.php?id=BSGatlas-gene-1036","BSGatlas-gene-1036")</f>
        <v>BSGatlas-gene-1036</v>
      </c>
      <c r="B1037" s="1" t="s">
        <v>957</v>
      </c>
      <c r="C1037" s="1" t="s">
        <v>8</v>
      </c>
      <c r="D1037" s="1">
        <v>937079</v>
      </c>
      <c r="E1037" s="1">
        <v>937831</v>
      </c>
      <c r="F1037" s="1" t="s">
        <v>9</v>
      </c>
      <c r="G1037" s="1" t="s">
        <v>11409</v>
      </c>
    </row>
    <row r="1038" spans="1:7" ht="21" x14ac:dyDescent="0.25">
      <c r="A1038" s="2" t="str">
        <f>HYPERLINK("https://rth.dk/resources/bsgatlas/details.php?id=BSGatlas-gene-1037","BSGatlas-gene-1037")</f>
        <v>BSGatlas-gene-1037</v>
      </c>
      <c r="B1038" s="1" t="s">
        <v>958</v>
      </c>
      <c r="C1038" s="1" t="s">
        <v>8</v>
      </c>
      <c r="D1038" s="1">
        <v>937900</v>
      </c>
      <c r="E1038" s="1">
        <v>938154</v>
      </c>
      <c r="F1038" s="1" t="s">
        <v>9</v>
      </c>
      <c r="G1038" s="1" t="s">
        <v>11409</v>
      </c>
    </row>
    <row r="1039" spans="1:7" ht="21" x14ac:dyDescent="0.25">
      <c r="A1039" s="2" t="str">
        <f>HYPERLINK("https://rth.dk/resources/bsgatlas/details.php?id=BSGatlas-gene-1038","BSGatlas-gene-1038")</f>
        <v>BSGatlas-gene-1038</v>
      </c>
      <c r="B1039" s="1" t="s">
        <v>960</v>
      </c>
      <c r="C1039" s="1" t="s">
        <v>8</v>
      </c>
      <c r="D1039" s="1">
        <v>938243</v>
      </c>
      <c r="E1039" s="1">
        <v>938587</v>
      </c>
      <c r="F1039" s="1" t="s">
        <v>9</v>
      </c>
      <c r="G1039" s="1" t="s">
        <v>11409</v>
      </c>
    </row>
    <row r="1040" spans="1:7" ht="21" x14ac:dyDescent="0.25">
      <c r="A1040" s="2" t="str">
        <f>HYPERLINK("https://rth.dk/resources/bsgatlas/details.php?id=BSGatlas-gene-1039","BSGatlas-gene-1039")</f>
        <v>BSGatlas-gene-1039</v>
      </c>
      <c r="B1040" s="1" t="s">
        <v>961</v>
      </c>
      <c r="C1040" s="1" t="s">
        <v>8</v>
      </c>
      <c r="D1040" s="1">
        <v>938731</v>
      </c>
      <c r="E1040" s="1">
        <v>939261</v>
      </c>
      <c r="F1040" s="1" t="s">
        <v>9</v>
      </c>
      <c r="G1040" s="1" t="s">
        <v>11409</v>
      </c>
    </row>
    <row r="1041" spans="1:7" ht="21" x14ac:dyDescent="0.25">
      <c r="A1041" s="2" t="str">
        <f>HYPERLINK("https://rth.dk/resources/bsgatlas/details.php?id=BSGatlas-gene-1040","BSGatlas-gene-1040")</f>
        <v>BSGatlas-gene-1040</v>
      </c>
      <c r="B1041" s="1" t="s">
        <v>962</v>
      </c>
      <c r="C1041" s="1" t="s">
        <v>8</v>
      </c>
      <c r="D1041" s="1">
        <v>939349</v>
      </c>
      <c r="E1041" s="1">
        <v>941091</v>
      </c>
      <c r="F1041" s="1" t="s">
        <v>9</v>
      </c>
      <c r="G1041" s="1" t="s">
        <v>11409</v>
      </c>
    </row>
    <row r="1042" spans="1:7" ht="21" x14ac:dyDescent="0.25">
      <c r="A1042" s="2" t="str">
        <f>HYPERLINK("https://rth.dk/resources/bsgatlas/details.php?id=BSGatlas-gene-1041","BSGatlas-gene-1041")</f>
        <v>BSGatlas-gene-1041</v>
      </c>
      <c r="B1042" s="1" t="s">
        <v>963</v>
      </c>
      <c r="C1042" s="1" t="s">
        <v>8</v>
      </c>
      <c r="D1042" s="1">
        <v>941168</v>
      </c>
      <c r="E1042" s="1">
        <v>942229</v>
      </c>
      <c r="F1042" s="1" t="s">
        <v>13</v>
      </c>
      <c r="G1042" s="1" t="s">
        <v>11409</v>
      </c>
    </row>
    <row r="1043" spans="1:7" ht="21" x14ac:dyDescent="0.25">
      <c r="A1043" s="2" t="str">
        <f>HYPERLINK("https://rth.dk/resources/bsgatlas/details.php?id=BSGatlas-gene-1042","BSGatlas-gene-1042")</f>
        <v>BSGatlas-gene-1042</v>
      </c>
      <c r="B1043" s="1" t="s">
        <v>964</v>
      </c>
      <c r="C1043" s="1" t="s">
        <v>8</v>
      </c>
      <c r="D1043" s="1">
        <v>942449</v>
      </c>
      <c r="E1043" s="1">
        <v>943738</v>
      </c>
      <c r="F1043" s="1" t="s">
        <v>13</v>
      </c>
      <c r="G1043" s="1" t="s">
        <v>11409</v>
      </c>
    </row>
    <row r="1044" spans="1:7" ht="21" x14ac:dyDescent="0.25">
      <c r="A1044" s="2" t="str">
        <f>HYPERLINK("https://rth.dk/resources/bsgatlas/details.php?id=BSGatlas-gene-1043","BSGatlas-gene-1043")</f>
        <v>BSGatlas-gene-1043</v>
      </c>
      <c r="B1044" s="1" t="s">
        <v>965</v>
      </c>
      <c r="C1044" s="1" t="s">
        <v>8</v>
      </c>
      <c r="D1044" s="1">
        <v>943891</v>
      </c>
      <c r="E1044" s="1">
        <v>944364</v>
      </c>
      <c r="F1044" s="1" t="s">
        <v>9</v>
      </c>
      <c r="G1044" s="1" t="s">
        <v>11409</v>
      </c>
    </row>
    <row r="1045" spans="1:7" ht="21" x14ac:dyDescent="0.25">
      <c r="A1045" s="2" t="str">
        <f>HYPERLINK("https://rth.dk/resources/bsgatlas/details.php?id=BSGatlas-gene-1044","BSGatlas-gene-1044")</f>
        <v>BSGatlas-gene-1044</v>
      </c>
      <c r="B1045" s="1" t="s">
        <v>966</v>
      </c>
      <c r="C1045" s="1" t="s">
        <v>8</v>
      </c>
      <c r="D1045" s="1">
        <v>944487</v>
      </c>
      <c r="E1045" s="1">
        <v>944924</v>
      </c>
      <c r="F1045" s="1" t="s">
        <v>9</v>
      </c>
      <c r="G1045" s="1" t="s">
        <v>11409</v>
      </c>
    </row>
    <row r="1046" spans="1:7" ht="21" x14ac:dyDescent="0.25">
      <c r="A1046" s="2" t="str">
        <f>HYPERLINK("https://rth.dk/resources/bsgatlas/details.php?id=BSGatlas-gene-1045","BSGatlas-gene-1045")</f>
        <v>BSGatlas-gene-1045</v>
      </c>
      <c r="B1046" s="1" t="s">
        <v>967</v>
      </c>
      <c r="C1046" s="1" t="s">
        <v>8</v>
      </c>
      <c r="D1046" s="1">
        <v>944959</v>
      </c>
      <c r="E1046" s="1">
        <v>945312</v>
      </c>
      <c r="F1046" s="1" t="s">
        <v>13</v>
      </c>
      <c r="G1046" s="1" t="s">
        <v>11409</v>
      </c>
    </row>
    <row r="1047" spans="1:7" ht="21" x14ac:dyDescent="0.25">
      <c r="A1047" s="2" t="str">
        <f>HYPERLINK("https://rth.dk/resources/bsgatlas/details.php?id=BSGatlas-gene-1046","BSGatlas-gene-1046")</f>
        <v>BSGatlas-gene-1046</v>
      </c>
      <c r="B1047" s="1" t="s">
        <v>968</v>
      </c>
      <c r="C1047" s="1" t="s">
        <v>8</v>
      </c>
      <c r="D1047" s="1">
        <v>945520</v>
      </c>
      <c r="E1047" s="1">
        <v>946404</v>
      </c>
      <c r="F1047" s="1" t="s">
        <v>9</v>
      </c>
      <c r="G1047" s="1" t="s">
        <v>11409</v>
      </c>
    </row>
    <row r="1048" spans="1:7" ht="21" x14ac:dyDescent="0.25">
      <c r="A1048" s="2" t="str">
        <f>HYPERLINK("https://rth.dk/resources/bsgatlas/details.php?id=BSGatlas-gene-1047","BSGatlas-gene-1047")</f>
        <v>BSGatlas-gene-1047</v>
      </c>
      <c r="B1048" s="1" t="s">
        <v>54</v>
      </c>
      <c r="C1048" s="1" t="s">
        <v>55</v>
      </c>
      <c r="D1048" s="1">
        <v>946634</v>
      </c>
      <c r="E1048" s="1">
        <v>946701</v>
      </c>
      <c r="F1048" s="1" t="s">
        <v>13</v>
      </c>
      <c r="G1048" s="1" t="s">
        <v>11410</v>
      </c>
    </row>
    <row r="1049" spans="1:7" ht="21" x14ac:dyDescent="0.25">
      <c r="A1049" s="2" t="str">
        <f>HYPERLINK("https://rth.dk/resources/bsgatlas/details.php?id=BSGatlas-gene-1048","BSGatlas-gene-1048")</f>
        <v>BSGatlas-gene-1048</v>
      </c>
      <c r="B1049" s="1" t="s">
        <v>969</v>
      </c>
      <c r="C1049" s="1" t="s">
        <v>21</v>
      </c>
      <c r="D1049" s="1">
        <v>946696</v>
      </c>
      <c r="E1049" s="1">
        <v>948250</v>
      </c>
      <c r="F1049" s="1" t="s">
        <v>9</v>
      </c>
      <c r="G1049" s="1" t="s">
        <v>11411</v>
      </c>
    </row>
    <row r="1050" spans="1:7" ht="21" x14ac:dyDescent="0.25">
      <c r="A1050" s="2" t="str">
        <f>HYPERLINK("https://rth.dk/resources/bsgatlas/details.php?id=BSGatlas-gene-1049","BSGatlas-gene-1049")</f>
        <v>BSGatlas-gene-1049</v>
      </c>
      <c r="B1050" s="1" t="s">
        <v>970</v>
      </c>
      <c r="C1050" s="1" t="s">
        <v>21</v>
      </c>
      <c r="D1050" s="1">
        <v>948415</v>
      </c>
      <c r="E1050" s="1">
        <v>951345</v>
      </c>
      <c r="F1050" s="1" t="s">
        <v>9</v>
      </c>
      <c r="G1050" s="1" t="s">
        <v>11411</v>
      </c>
    </row>
    <row r="1051" spans="1:7" ht="21" x14ac:dyDescent="0.25">
      <c r="A1051" s="2" t="str">
        <f>HYPERLINK("https://rth.dk/resources/bsgatlas/details.php?id=BSGatlas-gene-1050","BSGatlas-gene-1050")</f>
        <v>BSGatlas-gene-1050</v>
      </c>
      <c r="B1051" s="1" t="s">
        <v>971</v>
      </c>
      <c r="C1051" s="1" t="s">
        <v>21</v>
      </c>
      <c r="D1051" s="1">
        <v>951456</v>
      </c>
      <c r="E1051" s="1">
        <v>951572</v>
      </c>
      <c r="F1051" s="1" t="s">
        <v>9</v>
      </c>
      <c r="G1051" s="1" t="s">
        <v>11411</v>
      </c>
    </row>
    <row r="1052" spans="1:7" ht="21" x14ac:dyDescent="0.25">
      <c r="A1052" s="2" t="str">
        <f>HYPERLINK("https://rth.dk/resources/bsgatlas/details.php?id=BSGatlas-gene-1051","BSGatlas-gene-1051")</f>
        <v>BSGatlas-gene-1051</v>
      </c>
      <c r="B1052" s="1" t="s">
        <v>972</v>
      </c>
      <c r="C1052" s="1" t="s">
        <v>23</v>
      </c>
      <c r="D1052" s="1">
        <v>951581</v>
      </c>
      <c r="E1052" s="1">
        <v>951656</v>
      </c>
      <c r="F1052" s="1" t="s">
        <v>9</v>
      </c>
      <c r="G1052" s="1" t="s">
        <v>11411</v>
      </c>
    </row>
    <row r="1053" spans="1:7" ht="21" x14ac:dyDescent="0.25">
      <c r="A1053" s="2" t="str">
        <f>HYPERLINK("https://rth.dk/resources/bsgatlas/details.php?id=BSGatlas-gene-1052","BSGatlas-gene-1052")</f>
        <v>BSGatlas-gene-1052</v>
      </c>
      <c r="B1053" s="1" t="s">
        <v>973</v>
      </c>
      <c r="C1053" s="1" t="s">
        <v>23</v>
      </c>
      <c r="D1053" s="1">
        <v>951661</v>
      </c>
      <c r="E1053" s="1">
        <v>951753</v>
      </c>
      <c r="F1053" s="1" t="s">
        <v>9</v>
      </c>
      <c r="G1053" s="1" t="s">
        <v>11411</v>
      </c>
    </row>
    <row r="1054" spans="1:7" ht="21" x14ac:dyDescent="0.25">
      <c r="A1054" s="2" t="str">
        <f>HYPERLINK("https://rth.dk/resources/bsgatlas/details.php?id=BSGatlas-gene-1053","BSGatlas-gene-1053")</f>
        <v>BSGatlas-gene-1053</v>
      </c>
      <c r="B1054" s="1" t="s">
        <v>974</v>
      </c>
      <c r="C1054" s="1" t="s">
        <v>23</v>
      </c>
      <c r="D1054" s="1">
        <v>951787</v>
      </c>
      <c r="E1054" s="1">
        <v>951859</v>
      </c>
      <c r="F1054" s="1" t="s">
        <v>9</v>
      </c>
      <c r="G1054" s="1" t="s">
        <v>11411</v>
      </c>
    </row>
    <row r="1055" spans="1:7" ht="21" x14ac:dyDescent="0.25">
      <c r="A1055" s="2" t="str">
        <f>HYPERLINK("https://rth.dk/resources/bsgatlas/details.php?id=BSGatlas-gene-1054","BSGatlas-gene-1054")</f>
        <v>BSGatlas-gene-1054</v>
      </c>
      <c r="B1055" s="1" t="s">
        <v>975</v>
      </c>
      <c r="C1055" s="1" t="s">
        <v>23</v>
      </c>
      <c r="D1055" s="1">
        <v>951868</v>
      </c>
      <c r="E1055" s="1">
        <v>951944</v>
      </c>
      <c r="F1055" s="1" t="s">
        <v>9</v>
      </c>
      <c r="G1055" s="1" t="s">
        <v>11411</v>
      </c>
    </row>
    <row r="1056" spans="1:7" ht="21" x14ac:dyDescent="0.25">
      <c r="A1056" s="2" t="str">
        <f>HYPERLINK("https://rth.dk/resources/bsgatlas/details.php?id=BSGatlas-gene-1055","BSGatlas-gene-1055")</f>
        <v>BSGatlas-gene-1055</v>
      </c>
      <c r="B1056" s="1" t="s">
        <v>976</v>
      </c>
      <c r="C1056" s="1" t="s">
        <v>23</v>
      </c>
      <c r="D1056" s="1">
        <v>951953</v>
      </c>
      <c r="E1056" s="1">
        <v>952030</v>
      </c>
      <c r="F1056" s="1" t="s">
        <v>9</v>
      </c>
      <c r="G1056" s="1" t="s">
        <v>11411</v>
      </c>
    </row>
    <row r="1057" spans="1:7" ht="21" x14ac:dyDescent="0.25">
      <c r="A1057" s="2" t="str">
        <f>HYPERLINK("https://rth.dk/resources/bsgatlas/details.php?id=BSGatlas-gene-1056","BSGatlas-gene-1056")</f>
        <v>BSGatlas-gene-1056</v>
      </c>
      <c r="B1057" s="1" t="s">
        <v>977</v>
      </c>
      <c r="C1057" s="1" t="s">
        <v>23</v>
      </c>
      <c r="D1057" s="1">
        <v>952041</v>
      </c>
      <c r="E1057" s="1">
        <v>952118</v>
      </c>
      <c r="F1057" s="1" t="s">
        <v>9</v>
      </c>
      <c r="G1057" s="1" t="s">
        <v>11411</v>
      </c>
    </row>
    <row r="1058" spans="1:7" ht="21" x14ac:dyDescent="0.25">
      <c r="A1058" s="2" t="str">
        <f>HYPERLINK("https://rth.dk/resources/bsgatlas/details.php?id=BSGatlas-gene-1057","BSGatlas-gene-1057")</f>
        <v>BSGatlas-gene-1057</v>
      </c>
      <c r="B1058" s="1" t="s">
        <v>978</v>
      </c>
      <c r="C1058" s="1" t="s">
        <v>23</v>
      </c>
      <c r="D1058" s="1">
        <v>952130</v>
      </c>
      <c r="E1058" s="1">
        <v>952206</v>
      </c>
      <c r="F1058" s="1" t="s">
        <v>9</v>
      </c>
      <c r="G1058" s="1" t="s">
        <v>11411</v>
      </c>
    </row>
    <row r="1059" spans="1:7" ht="21" x14ac:dyDescent="0.25">
      <c r="A1059" s="2" t="str">
        <f>HYPERLINK("https://rth.dk/resources/bsgatlas/details.php?id=BSGatlas-gene-1058","BSGatlas-gene-1058")</f>
        <v>BSGatlas-gene-1058</v>
      </c>
      <c r="B1059" s="1" t="s">
        <v>979</v>
      </c>
      <c r="C1059" s="1" t="s">
        <v>23</v>
      </c>
      <c r="D1059" s="1">
        <v>952211</v>
      </c>
      <c r="E1059" s="1">
        <v>952284</v>
      </c>
      <c r="F1059" s="1" t="s">
        <v>9</v>
      </c>
      <c r="G1059" s="1" t="s">
        <v>11411</v>
      </c>
    </row>
    <row r="1060" spans="1:7" ht="21" x14ac:dyDescent="0.25">
      <c r="A1060" s="2" t="str">
        <f>HYPERLINK("https://rth.dk/resources/bsgatlas/details.php?id=BSGatlas-gene-1059","BSGatlas-gene-1059")</f>
        <v>BSGatlas-gene-1059</v>
      </c>
      <c r="B1060" s="1" t="s">
        <v>980</v>
      </c>
      <c r="C1060" s="1" t="s">
        <v>23</v>
      </c>
      <c r="D1060" s="1">
        <v>952306</v>
      </c>
      <c r="E1060" s="1">
        <v>952391</v>
      </c>
      <c r="F1060" s="1" t="s">
        <v>9</v>
      </c>
      <c r="G1060" s="1" t="s">
        <v>11411</v>
      </c>
    </row>
    <row r="1061" spans="1:7" ht="21" x14ac:dyDescent="0.25">
      <c r="A1061" s="2" t="str">
        <f>HYPERLINK("https://rth.dk/resources/bsgatlas/details.php?id=BSGatlas-gene-1060","BSGatlas-gene-1060")</f>
        <v>BSGatlas-gene-1060</v>
      </c>
      <c r="B1061" s="1" t="s">
        <v>981</v>
      </c>
      <c r="C1061" s="1" t="s">
        <v>23</v>
      </c>
      <c r="D1061" s="1">
        <v>952396</v>
      </c>
      <c r="E1061" s="1">
        <v>952470</v>
      </c>
      <c r="F1061" s="1" t="s">
        <v>9</v>
      </c>
      <c r="G1061" s="1" t="s">
        <v>11411</v>
      </c>
    </row>
    <row r="1062" spans="1:7" ht="21" x14ac:dyDescent="0.25">
      <c r="A1062" s="2" t="str">
        <f>HYPERLINK("https://rth.dk/resources/bsgatlas/details.php?id=BSGatlas-gene-1061","BSGatlas-gene-1061")</f>
        <v>BSGatlas-gene-1061</v>
      </c>
      <c r="B1062" s="1" t="s">
        <v>982</v>
      </c>
      <c r="C1062" s="1" t="s">
        <v>23</v>
      </c>
      <c r="D1062" s="1">
        <v>952494</v>
      </c>
      <c r="E1062" s="1">
        <v>952570</v>
      </c>
      <c r="F1062" s="1" t="s">
        <v>9</v>
      </c>
      <c r="G1062" s="1" t="s">
        <v>11411</v>
      </c>
    </row>
    <row r="1063" spans="1:7" ht="21" x14ac:dyDescent="0.25">
      <c r="A1063" s="2" t="str">
        <f>HYPERLINK("https://rth.dk/resources/bsgatlas/details.php?id=BSGatlas-gene-1062","BSGatlas-gene-1062")</f>
        <v>BSGatlas-gene-1062</v>
      </c>
      <c r="B1063" s="1" t="s">
        <v>983</v>
      </c>
      <c r="C1063" s="1" t="s">
        <v>23</v>
      </c>
      <c r="D1063" s="1">
        <v>952579</v>
      </c>
      <c r="E1063" s="1">
        <v>952651</v>
      </c>
      <c r="F1063" s="1" t="s">
        <v>9</v>
      </c>
      <c r="G1063" s="1" t="s">
        <v>11411</v>
      </c>
    </row>
    <row r="1064" spans="1:7" ht="21" x14ac:dyDescent="0.25">
      <c r="A1064" s="2" t="str">
        <f>HYPERLINK("https://rth.dk/resources/bsgatlas/details.php?id=BSGatlas-gene-1063","BSGatlas-gene-1063")</f>
        <v>BSGatlas-gene-1063</v>
      </c>
      <c r="B1064" s="1" t="s">
        <v>984</v>
      </c>
      <c r="C1064" s="1" t="s">
        <v>23</v>
      </c>
      <c r="D1064" s="1">
        <v>952700</v>
      </c>
      <c r="E1064" s="1">
        <v>952775</v>
      </c>
      <c r="F1064" s="1" t="s">
        <v>9</v>
      </c>
      <c r="G1064" s="1" t="s">
        <v>11411</v>
      </c>
    </row>
    <row r="1065" spans="1:7" ht="21" x14ac:dyDescent="0.25">
      <c r="A1065" s="2" t="str">
        <f>HYPERLINK("https://rth.dk/resources/bsgatlas/details.php?id=BSGatlas-gene-1064","BSGatlas-gene-1064")</f>
        <v>BSGatlas-gene-1064</v>
      </c>
      <c r="B1065" s="1" t="s">
        <v>985</v>
      </c>
      <c r="C1065" s="1" t="s">
        <v>23</v>
      </c>
      <c r="D1065" s="1">
        <v>952780</v>
      </c>
      <c r="E1065" s="1">
        <v>952851</v>
      </c>
      <c r="F1065" s="1" t="s">
        <v>9</v>
      </c>
      <c r="G1065" s="1" t="s">
        <v>11411</v>
      </c>
    </row>
    <row r="1066" spans="1:7" ht="21" x14ac:dyDescent="0.25">
      <c r="A1066" s="2" t="str">
        <f>HYPERLINK("https://rth.dk/resources/bsgatlas/details.php?id=BSGatlas-gene-1065","BSGatlas-gene-1065")</f>
        <v>BSGatlas-gene-1065</v>
      </c>
      <c r="B1066" s="1" t="s">
        <v>986</v>
      </c>
      <c r="C1066" s="1" t="s">
        <v>23</v>
      </c>
      <c r="D1066" s="1">
        <v>952858</v>
      </c>
      <c r="E1066" s="1">
        <v>952947</v>
      </c>
      <c r="F1066" s="1" t="s">
        <v>9</v>
      </c>
      <c r="G1066" s="1" t="s">
        <v>11411</v>
      </c>
    </row>
    <row r="1067" spans="1:7" ht="21" x14ac:dyDescent="0.25">
      <c r="A1067" s="2" t="str">
        <f>HYPERLINK("https://rth.dk/resources/bsgatlas/details.php?id=BSGatlas-gene-1066","BSGatlas-gene-1066")</f>
        <v>BSGatlas-gene-1066</v>
      </c>
      <c r="B1067" s="1" t="s">
        <v>987</v>
      </c>
      <c r="C1067" s="1" t="s">
        <v>23</v>
      </c>
      <c r="D1067" s="1">
        <v>953212</v>
      </c>
      <c r="E1067" s="1">
        <v>953294</v>
      </c>
      <c r="F1067" s="1" t="s">
        <v>9</v>
      </c>
      <c r="G1067" s="1" t="s">
        <v>11411</v>
      </c>
    </row>
    <row r="1068" spans="1:7" ht="21" x14ac:dyDescent="0.25">
      <c r="A1068" s="2" t="str">
        <f>HYPERLINK("https://rth.dk/resources/bsgatlas/details.php?id=BSGatlas-gene-1067","BSGatlas-gene-1067")</f>
        <v>BSGatlas-gene-1067</v>
      </c>
      <c r="B1068" s="1" t="s">
        <v>988</v>
      </c>
      <c r="C1068" s="1" t="s">
        <v>8</v>
      </c>
      <c r="D1068" s="1">
        <v>953373</v>
      </c>
      <c r="E1068" s="1">
        <v>954149</v>
      </c>
      <c r="F1068" s="1" t="s">
        <v>13</v>
      </c>
      <c r="G1068" s="1" t="s">
        <v>11409</v>
      </c>
    </row>
    <row r="1069" spans="1:7" ht="21" x14ac:dyDescent="0.25">
      <c r="A1069" s="2" t="str">
        <f>HYPERLINK("https://rth.dk/resources/bsgatlas/details.php?id=BSGatlas-gene-1068","BSGatlas-gene-1068")</f>
        <v>BSGatlas-gene-1068</v>
      </c>
      <c r="B1069" s="1" t="s">
        <v>989</v>
      </c>
      <c r="C1069" s="1" t="s">
        <v>8</v>
      </c>
      <c r="D1069" s="1">
        <v>954291</v>
      </c>
      <c r="E1069" s="1">
        <v>954494</v>
      </c>
      <c r="F1069" s="1" t="s">
        <v>9</v>
      </c>
      <c r="G1069" s="1" t="s">
        <v>11409</v>
      </c>
    </row>
    <row r="1070" spans="1:7" ht="21" x14ac:dyDescent="0.25">
      <c r="A1070" s="2" t="str">
        <f>HYPERLINK("https://rth.dk/resources/bsgatlas/details.php?id=BSGatlas-gene-1069","BSGatlas-gene-1069")</f>
        <v>BSGatlas-gene-1069</v>
      </c>
      <c r="B1070" s="1" t="s">
        <v>990</v>
      </c>
      <c r="C1070" s="1" t="s">
        <v>8</v>
      </c>
      <c r="D1070" s="1">
        <v>954579</v>
      </c>
      <c r="E1070" s="1">
        <v>954851</v>
      </c>
      <c r="F1070" s="1" t="s">
        <v>13</v>
      </c>
      <c r="G1070" s="1" t="s">
        <v>11409</v>
      </c>
    </row>
    <row r="1071" spans="1:7" ht="21" x14ac:dyDescent="0.25">
      <c r="A1071" s="2" t="str">
        <f>HYPERLINK("https://rth.dk/resources/bsgatlas/details.php?id=BSGatlas-gene-1070","BSGatlas-gene-1070")</f>
        <v>BSGatlas-gene-1070</v>
      </c>
      <c r="B1071" s="1" t="s">
        <v>991</v>
      </c>
      <c r="C1071" s="1" t="s">
        <v>8</v>
      </c>
      <c r="D1071" s="1">
        <v>954893</v>
      </c>
      <c r="E1071" s="1">
        <v>955585</v>
      </c>
      <c r="F1071" s="1" t="s">
        <v>9</v>
      </c>
      <c r="G1071" s="1" t="s">
        <v>11409</v>
      </c>
    </row>
    <row r="1072" spans="1:7" ht="21" x14ac:dyDescent="0.25">
      <c r="A1072" s="2" t="str">
        <f>HYPERLINK("https://rth.dk/resources/bsgatlas/details.php?id=BSGatlas-gene-1071","BSGatlas-gene-1071")</f>
        <v>BSGatlas-gene-1071</v>
      </c>
      <c r="B1072" s="1" t="s">
        <v>992</v>
      </c>
      <c r="C1072" s="1" t="s">
        <v>34</v>
      </c>
      <c r="D1072" s="1">
        <v>955654</v>
      </c>
      <c r="E1072" s="1">
        <v>955762</v>
      </c>
      <c r="F1072" s="1" t="s">
        <v>9</v>
      </c>
      <c r="G1072" s="1" t="s">
        <v>11412</v>
      </c>
    </row>
    <row r="1073" spans="1:7" ht="21" x14ac:dyDescent="0.25">
      <c r="A1073" s="2" t="str">
        <f>HYPERLINK("https://rth.dk/resources/bsgatlas/details.php?id=BSGatlas-gene-1072","BSGatlas-gene-1072")</f>
        <v>BSGatlas-gene-1072</v>
      </c>
      <c r="B1073" s="1" t="s">
        <v>993</v>
      </c>
      <c r="C1073" s="1" t="s">
        <v>8</v>
      </c>
      <c r="D1073" s="1">
        <v>955895</v>
      </c>
      <c r="E1073" s="1">
        <v>957667</v>
      </c>
      <c r="F1073" s="1" t="s">
        <v>9</v>
      </c>
      <c r="G1073" s="1" t="s">
        <v>11409</v>
      </c>
    </row>
    <row r="1074" spans="1:7" ht="21" x14ac:dyDescent="0.25">
      <c r="A1074" s="2" t="str">
        <f>HYPERLINK("https://rth.dk/resources/bsgatlas/details.php?id=BSGatlas-gene-1073","BSGatlas-gene-1073")</f>
        <v>BSGatlas-gene-1073</v>
      </c>
      <c r="B1074" s="1" t="s">
        <v>994</v>
      </c>
      <c r="C1074" s="1" t="s">
        <v>8</v>
      </c>
      <c r="D1074" s="1">
        <v>957705</v>
      </c>
      <c r="E1074" s="1">
        <v>959060</v>
      </c>
      <c r="F1074" s="1" t="s">
        <v>13</v>
      </c>
      <c r="G1074" s="1" t="s">
        <v>11409</v>
      </c>
    </row>
    <row r="1075" spans="1:7" ht="21" x14ac:dyDescent="0.25">
      <c r="A1075" s="2" t="str">
        <f>HYPERLINK("https://rth.dk/resources/bsgatlas/details.php?id=BSGatlas-gene-1074","BSGatlas-gene-1074")</f>
        <v>BSGatlas-gene-1074</v>
      </c>
      <c r="B1075" s="1" t="s">
        <v>995</v>
      </c>
      <c r="C1075" s="1" t="s">
        <v>8</v>
      </c>
      <c r="D1075" s="1">
        <v>959311</v>
      </c>
      <c r="E1075" s="1">
        <v>959508</v>
      </c>
      <c r="F1075" s="1" t="s">
        <v>9</v>
      </c>
      <c r="G1075" s="1" t="s">
        <v>11409</v>
      </c>
    </row>
    <row r="1076" spans="1:7" ht="21" x14ac:dyDescent="0.25">
      <c r="A1076" s="2" t="str">
        <f>HYPERLINK("https://rth.dk/resources/bsgatlas/details.php?id=BSGatlas-gene-1075","BSGatlas-gene-1075")</f>
        <v>BSGatlas-gene-1075</v>
      </c>
      <c r="B1076" s="1" t="s">
        <v>996</v>
      </c>
      <c r="C1076" s="1" t="s">
        <v>8</v>
      </c>
      <c r="D1076" s="1">
        <v>959535</v>
      </c>
      <c r="E1076" s="1">
        <v>960986</v>
      </c>
      <c r="F1076" s="1" t="s">
        <v>13</v>
      </c>
      <c r="G1076" s="1" t="s">
        <v>11409</v>
      </c>
    </row>
    <row r="1077" spans="1:7" ht="21" x14ac:dyDescent="0.25">
      <c r="A1077" s="2" t="str">
        <f>HYPERLINK("https://rth.dk/resources/bsgatlas/details.php?id=BSGatlas-gene-1076","BSGatlas-gene-1076")</f>
        <v>BSGatlas-gene-1076</v>
      </c>
      <c r="B1077" s="1" t="s">
        <v>997</v>
      </c>
      <c r="C1077" s="1" t="s">
        <v>12</v>
      </c>
      <c r="D1077" s="1">
        <v>961009</v>
      </c>
      <c r="E1077" s="1">
        <v>961338</v>
      </c>
      <c r="F1077" s="1" t="s">
        <v>9</v>
      </c>
      <c r="G1077" s="1" t="s">
        <v>11406</v>
      </c>
    </row>
    <row r="1078" spans="1:7" ht="21" x14ac:dyDescent="0.25">
      <c r="A1078" s="2" t="str">
        <f>HYPERLINK("https://rth.dk/resources/bsgatlas/details.php?id=BSGatlas-gene-1077","BSGatlas-gene-1077")</f>
        <v>BSGatlas-gene-1077</v>
      </c>
      <c r="B1078" s="1" t="s">
        <v>998</v>
      </c>
      <c r="C1078" s="1" t="s">
        <v>8</v>
      </c>
      <c r="D1078" s="1">
        <v>961394</v>
      </c>
      <c r="E1078" s="1">
        <v>962161</v>
      </c>
      <c r="F1078" s="1" t="s">
        <v>9</v>
      </c>
      <c r="G1078" s="1" t="s">
        <v>11409</v>
      </c>
    </row>
    <row r="1079" spans="1:7" ht="21" x14ac:dyDescent="0.25">
      <c r="A1079" s="2" t="str">
        <f>HYPERLINK("https://rth.dk/resources/bsgatlas/details.php?id=BSGatlas-gene-1078","BSGatlas-gene-1078")</f>
        <v>BSGatlas-gene-1078</v>
      </c>
      <c r="B1079" s="1" t="s">
        <v>999</v>
      </c>
      <c r="C1079" s="1" t="s">
        <v>8</v>
      </c>
      <c r="D1079" s="1">
        <v>962179</v>
      </c>
      <c r="E1079" s="1">
        <v>963177</v>
      </c>
      <c r="F1079" s="1" t="s">
        <v>9</v>
      </c>
      <c r="G1079" s="1" t="s">
        <v>11409</v>
      </c>
    </row>
    <row r="1080" spans="1:7" ht="21" x14ac:dyDescent="0.25">
      <c r="A1080" s="2" t="str">
        <f>HYPERLINK("https://rth.dk/resources/bsgatlas/details.php?id=BSGatlas-gene-1079","BSGatlas-gene-1079")</f>
        <v>BSGatlas-gene-1079</v>
      </c>
      <c r="B1080" s="1" t="s">
        <v>1000</v>
      </c>
      <c r="C1080" s="1" t="s">
        <v>8</v>
      </c>
      <c r="D1080" s="1">
        <v>963174</v>
      </c>
      <c r="E1080" s="1">
        <v>964004</v>
      </c>
      <c r="F1080" s="1" t="s">
        <v>9</v>
      </c>
      <c r="G1080" s="1" t="s">
        <v>11409</v>
      </c>
    </row>
    <row r="1081" spans="1:7" ht="21" x14ac:dyDescent="0.25">
      <c r="A1081" s="2" t="str">
        <f>HYPERLINK("https://rth.dk/resources/bsgatlas/details.php?id=BSGatlas-gene-1080","BSGatlas-gene-1080")</f>
        <v>BSGatlas-gene-1080</v>
      </c>
      <c r="B1081" s="1" t="s">
        <v>1001</v>
      </c>
      <c r="C1081" s="1" t="s">
        <v>8</v>
      </c>
      <c r="D1081" s="1">
        <v>964027</v>
      </c>
      <c r="E1081" s="1">
        <v>965157</v>
      </c>
      <c r="F1081" s="1" t="s">
        <v>9</v>
      </c>
      <c r="G1081" s="1" t="s">
        <v>11409</v>
      </c>
    </row>
    <row r="1082" spans="1:7" ht="21" x14ac:dyDescent="0.25">
      <c r="A1082" s="2" t="str">
        <f>HYPERLINK("https://rth.dk/resources/bsgatlas/details.php?id=BSGatlas-gene-1081","BSGatlas-gene-1081")</f>
        <v>BSGatlas-gene-1081</v>
      </c>
      <c r="B1082" s="1" t="s">
        <v>1002</v>
      </c>
      <c r="C1082" s="1" t="s">
        <v>8</v>
      </c>
      <c r="D1082" s="1">
        <v>965261</v>
      </c>
      <c r="E1082" s="1">
        <v>965797</v>
      </c>
      <c r="F1082" s="1" t="s">
        <v>9</v>
      </c>
      <c r="G1082" s="1" t="s">
        <v>11409</v>
      </c>
    </row>
    <row r="1083" spans="1:7" ht="21" x14ac:dyDescent="0.25">
      <c r="A1083" s="2" t="str">
        <f>HYPERLINK("https://rth.dk/resources/bsgatlas/details.php?id=BSGatlas-gene-1082","BSGatlas-gene-1082")</f>
        <v>BSGatlas-gene-1082</v>
      </c>
      <c r="B1083" s="1" t="s">
        <v>1003</v>
      </c>
      <c r="C1083" s="1" t="s">
        <v>8</v>
      </c>
      <c r="D1083" s="1">
        <v>965909</v>
      </c>
      <c r="E1083" s="1">
        <v>966178</v>
      </c>
      <c r="F1083" s="1" t="s">
        <v>9</v>
      </c>
      <c r="G1083" s="1" t="s">
        <v>11409</v>
      </c>
    </row>
    <row r="1084" spans="1:7" ht="21" x14ac:dyDescent="0.25">
      <c r="A1084" s="2" t="str">
        <f>HYPERLINK("https://rth.dk/resources/bsgatlas/details.php?id=BSGatlas-gene-1083","BSGatlas-gene-1083")</f>
        <v>BSGatlas-gene-1083</v>
      </c>
      <c r="B1084" s="1" t="s">
        <v>1004</v>
      </c>
      <c r="C1084" s="1" t="s">
        <v>8</v>
      </c>
      <c r="D1084" s="1">
        <v>966196</v>
      </c>
      <c r="E1084" s="1">
        <v>966669</v>
      </c>
      <c r="F1084" s="1" t="s">
        <v>13</v>
      </c>
      <c r="G1084" s="1" t="s">
        <v>11409</v>
      </c>
    </row>
    <row r="1085" spans="1:7" ht="21" x14ac:dyDescent="0.25">
      <c r="A1085" s="2" t="str">
        <f>HYPERLINK("https://rth.dk/resources/bsgatlas/details.php?id=BSGatlas-gene-1084","BSGatlas-gene-1084")</f>
        <v>BSGatlas-gene-1084</v>
      </c>
      <c r="B1085" s="1" t="s">
        <v>1005</v>
      </c>
      <c r="C1085" s="1" t="s">
        <v>8</v>
      </c>
      <c r="D1085" s="1">
        <v>966671</v>
      </c>
      <c r="E1085" s="1">
        <v>966871</v>
      </c>
      <c r="F1085" s="1" t="s">
        <v>13</v>
      </c>
      <c r="G1085" s="1" t="s">
        <v>11409</v>
      </c>
    </row>
    <row r="1086" spans="1:7" ht="21" x14ac:dyDescent="0.25">
      <c r="A1086" s="2" t="str">
        <f>HYPERLINK("https://rth.dk/resources/bsgatlas/details.php?id=BSGatlas-gene-1085","BSGatlas-gene-1085")</f>
        <v>BSGatlas-gene-1085</v>
      </c>
      <c r="B1086" s="1" t="s">
        <v>1006</v>
      </c>
      <c r="C1086" s="1" t="s">
        <v>23</v>
      </c>
      <c r="D1086" s="1">
        <v>967064</v>
      </c>
      <c r="E1086" s="1">
        <v>967138</v>
      </c>
      <c r="F1086" s="1" t="s">
        <v>9</v>
      </c>
      <c r="G1086" s="1" t="s">
        <v>11411</v>
      </c>
    </row>
    <row r="1087" spans="1:7" ht="21" x14ac:dyDescent="0.25">
      <c r="A1087" s="2" t="str">
        <f>HYPERLINK("https://rth.dk/resources/bsgatlas/details.php?id=BSGatlas-gene-1086","BSGatlas-gene-1086")</f>
        <v>BSGatlas-gene-1086</v>
      </c>
      <c r="B1087" s="1" t="s">
        <v>1007</v>
      </c>
      <c r="C1087" s="1" t="s">
        <v>8</v>
      </c>
      <c r="D1087" s="1">
        <v>967229</v>
      </c>
      <c r="E1087" s="1">
        <v>967852</v>
      </c>
      <c r="F1087" s="1" t="s">
        <v>13</v>
      </c>
      <c r="G1087" s="1" t="s">
        <v>11409</v>
      </c>
    </row>
    <row r="1088" spans="1:7" ht="21" x14ac:dyDescent="0.25">
      <c r="A1088" s="2" t="str">
        <f>HYPERLINK("https://rth.dk/resources/bsgatlas/details.php?id=BSGatlas-gene-1087","BSGatlas-gene-1087")</f>
        <v>BSGatlas-gene-1087</v>
      </c>
      <c r="B1088" s="1" t="s">
        <v>1008</v>
      </c>
      <c r="C1088" s="1" t="s">
        <v>8</v>
      </c>
      <c r="D1088" s="1">
        <v>967935</v>
      </c>
      <c r="E1088" s="1">
        <v>969095</v>
      </c>
      <c r="F1088" s="1" t="s">
        <v>9</v>
      </c>
      <c r="G1088" s="1" t="s">
        <v>11409</v>
      </c>
    </row>
    <row r="1089" spans="1:7" ht="21" x14ac:dyDescent="0.25">
      <c r="A1089" s="2" t="str">
        <f>HYPERLINK("https://rth.dk/resources/bsgatlas/details.php?id=BSGatlas-gene-1088","BSGatlas-gene-1088")</f>
        <v>BSGatlas-gene-1088</v>
      </c>
      <c r="B1089" s="1" t="s">
        <v>1009</v>
      </c>
      <c r="C1089" s="1" t="s">
        <v>8</v>
      </c>
      <c r="D1089" s="1">
        <v>969162</v>
      </c>
      <c r="E1089" s="1">
        <v>970097</v>
      </c>
      <c r="F1089" s="1" t="s">
        <v>9</v>
      </c>
      <c r="G1089" s="1" t="s">
        <v>11409</v>
      </c>
    </row>
    <row r="1090" spans="1:7" ht="21" x14ac:dyDescent="0.25">
      <c r="A1090" s="2" t="str">
        <f>HYPERLINK("https://rth.dk/resources/bsgatlas/details.php?id=BSGatlas-gene-1089","BSGatlas-gene-1089")</f>
        <v>BSGatlas-gene-1089</v>
      </c>
      <c r="B1090" s="1" t="s">
        <v>1010</v>
      </c>
      <c r="C1090" s="1" t="s">
        <v>8</v>
      </c>
      <c r="D1090" s="1">
        <v>970135</v>
      </c>
      <c r="E1090" s="1">
        <v>970617</v>
      </c>
      <c r="F1090" s="1" t="s">
        <v>9</v>
      </c>
      <c r="G1090" s="1" t="s">
        <v>11409</v>
      </c>
    </row>
    <row r="1091" spans="1:7" ht="21" x14ac:dyDescent="0.25">
      <c r="A1091" s="2" t="str">
        <f>HYPERLINK("https://rth.dk/resources/bsgatlas/details.php?id=BSGatlas-gene-1090","BSGatlas-gene-1090")</f>
        <v>BSGatlas-gene-1090</v>
      </c>
      <c r="B1091" s="1" t="s">
        <v>1011</v>
      </c>
      <c r="C1091" s="1" t="s">
        <v>8</v>
      </c>
      <c r="D1091" s="1">
        <v>970667</v>
      </c>
      <c r="E1091" s="1">
        <v>971383</v>
      </c>
      <c r="F1091" s="1" t="s">
        <v>9</v>
      </c>
      <c r="G1091" s="1" t="s">
        <v>11409</v>
      </c>
    </row>
    <row r="1092" spans="1:7" ht="21" x14ac:dyDescent="0.25">
      <c r="A1092" s="2" t="str">
        <f>HYPERLINK("https://rth.dk/resources/bsgatlas/details.php?id=BSGatlas-gene-1091","BSGatlas-gene-1091")</f>
        <v>BSGatlas-gene-1091</v>
      </c>
      <c r="B1092" s="1" t="s">
        <v>1012</v>
      </c>
      <c r="C1092" s="1" t="s">
        <v>8</v>
      </c>
      <c r="D1092" s="1">
        <v>971374</v>
      </c>
      <c r="E1092" s="1">
        <v>972087</v>
      </c>
      <c r="F1092" s="1" t="s">
        <v>9</v>
      </c>
      <c r="G1092" s="1" t="s">
        <v>11409</v>
      </c>
    </row>
    <row r="1093" spans="1:7" ht="21" x14ac:dyDescent="0.25">
      <c r="A1093" s="2" t="str">
        <f>HYPERLINK("https://rth.dk/resources/bsgatlas/details.php?id=BSGatlas-gene-1092","BSGatlas-gene-1092")</f>
        <v>BSGatlas-gene-1092</v>
      </c>
      <c r="B1093" s="1" t="s">
        <v>1013</v>
      </c>
      <c r="C1093" s="1" t="s">
        <v>8</v>
      </c>
      <c r="D1093" s="1">
        <v>972099</v>
      </c>
      <c r="E1093" s="1">
        <v>972806</v>
      </c>
      <c r="F1093" s="1" t="s">
        <v>9</v>
      </c>
      <c r="G1093" s="1" t="s">
        <v>11409</v>
      </c>
    </row>
    <row r="1094" spans="1:7" ht="21" x14ac:dyDescent="0.25">
      <c r="A1094" s="2" t="str">
        <f>HYPERLINK("https://rth.dk/resources/bsgatlas/details.php?id=BSGatlas-gene-1093","BSGatlas-gene-1093")</f>
        <v>BSGatlas-gene-1093</v>
      </c>
      <c r="B1094" s="1" t="s">
        <v>1014</v>
      </c>
      <c r="C1094" s="1" t="s">
        <v>12</v>
      </c>
      <c r="D1094" s="1">
        <v>972833</v>
      </c>
      <c r="E1094" s="1">
        <v>973008</v>
      </c>
      <c r="F1094" s="1" t="s">
        <v>13</v>
      </c>
      <c r="G1094" s="1" t="s">
        <v>11406</v>
      </c>
    </row>
    <row r="1095" spans="1:7" ht="21" x14ac:dyDescent="0.25">
      <c r="A1095" s="2" t="str">
        <f>HYPERLINK("https://rth.dk/resources/bsgatlas/details.php?id=BSGatlas-gene-1094","BSGatlas-gene-1094")</f>
        <v>BSGatlas-gene-1094</v>
      </c>
      <c r="B1095" s="1" t="s">
        <v>1015</v>
      </c>
      <c r="C1095" s="1" t="s">
        <v>8</v>
      </c>
      <c r="D1095" s="1">
        <v>973156</v>
      </c>
      <c r="E1095" s="1">
        <v>975051</v>
      </c>
      <c r="F1095" s="1" t="s">
        <v>9</v>
      </c>
      <c r="G1095" s="1" t="s">
        <v>11409</v>
      </c>
    </row>
    <row r="1096" spans="1:7" ht="21" x14ac:dyDescent="0.25">
      <c r="A1096" s="2" t="str">
        <f>HYPERLINK("https://rth.dk/resources/bsgatlas/details.php?id=BSGatlas-gene-1095","BSGatlas-gene-1095")</f>
        <v>BSGatlas-gene-1095</v>
      </c>
      <c r="B1096" s="1" t="s">
        <v>1016</v>
      </c>
      <c r="C1096" s="1" t="s">
        <v>8</v>
      </c>
      <c r="D1096" s="1">
        <v>975231</v>
      </c>
      <c r="E1096" s="1">
        <v>976409</v>
      </c>
      <c r="F1096" s="1" t="s">
        <v>9</v>
      </c>
      <c r="G1096" s="1" t="s">
        <v>11409</v>
      </c>
    </row>
    <row r="1097" spans="1:7" ht="21" x14ac:dyDescent="0.25">
      <c r="A1097" s="2" t="str">
        <f>HYPERLINK("https://rth.dk/resources/bsgatlas/details.php?id=BSGatlas-gene-1096","BSGatlas-gene-1096")</f>
        <v>BSGatlas-gene-1096</v>
      </c>
      <c r="B1097" s="1" t="s">
        <v>1017</v>
      </c>
      <c r="C1097" s="1" t="s">
        <v>8</v>
      </c>
      <c r="D1097" s="1">
        <v>976569</v>
      </c>
      <c r="E1097" s="1">
        <v>977033</v>
      </c>
      <c r="F1097" s="1" t="s">
        <v>9</v>
      </c>
      <c r="G1097" s="1" t="s">
        <v>11409</v>
      </c>
    </row>
    <row r="1098" spans="1:7" ht="21" x14ac:dyDescent="0.25">
      <c r="A1098" s="2" t="str">
        <f>HYPERLINK("https://rth.dk/resources/bsgatlas/details.php?id=BSGatlas-gene-1097","BSGatlas-gene-1097")</f>
        <v>BSGatlas-gene-1097</v>
      </c>
      <c r="B1098" s="1" t="s">
        <v>1018</v>
      </c>
      <c r="C1098" s="1" t="s">
        <v>8</v>
      </c>
      <c r="D1098" s="1">
        <v>977069</v>
      </c>
      <c r="E1098" s="1">
        <v>977734</v>
      </c>
      <c r="F1098" s="1" t="s">
        <v>9</v>
      </c>
      <c r="G1098" s="1" t="s">
        <v>11409</v>
      </c>
    </row>
    <row r="1099" spans="1:7" ht="21" x14ac:dyDescent="0.25">
      <c r="A1099" s="2" t="str">
        <f>HYPERLINK("https://rth.dk/resources/bsgatlas/details.php?id=BSGatlas-gene-1098","BSGatlas-gene-1098")</f>
        <v>BSGatlas-gene-1098</v>
      </c>
      <c r="B1099" s="1" t="s">
        <v>1019</v>
      </c>
      <c r="C1099" s="1" t="s">
        <v>8</v>
      </c>
      <c r="D1099" s="1">
        <v>977775</v>
      </c>
      <c r="E1099" s="1">
        <v>979373</v>
      </c>
      <c r="F1099" s="1" t="s">
        <v>9</v>
      </c>
      <c r="G1099" s="1" t="s">
        <v>11409</v>
      </c>
    </row>
    <row r="1100" spans="1:7" ht="21" x14ac:dyDescent="0.25">
      <c r="A1100" s="2" t="str">
        <f>HYPERLINK("https://rth.dk/resources/bsgatlas/details.php?id=BSGatlas-gene-1099","BSGatlas-gene-1099")</f>
        <v>BSGatlas-gene-1099</v>
      </c>
      <c r="B1100" s="1" t="s">
        <v>1020</v>
      </c>
      <c r="C1100" s="1" t="s">
        <v>8</v>
      </c>
      <c r="D1100" s="1">
        <v>979396</v>
      </c>
      <c r="E1100" s="1">
        <v>979926</v>
      </c>
      <c r="F1100" s="1" t="s">
        <v>9</v>
      </c>
      <c r="G1100" s="1" t="s">
        <v>11409</v>
      </c>
    </row>
    <row r="1101" spans="1:7" ht="21" x14ac:dyDescent="0.25">
      <c r="A1101" s="2" t="str">
        <f>HYPERLINK("https://rth.dk/resources/bsgatlas/details.php?id=BSGatlas-gene-1100","BSGatlas-gene-1100")</f>
        <v>BSGatlas-gene-1100</v>
      </c>
      <c r="B1101" s="1" t="s">
        <v>1021</v>
      </c>
      <c r="C1101" s="1" t="s">
        <v>8</v>
      </c>
      <c r="D1101" s="1">
        <v>979939</v>
      </c>
      <c r="E1101" s="1">
        <v>980313</v>
      </c>
      <c r="F1101" s="1" t="s">
        <v>9</v>
      </c>
      <c r="G1101" s="1" t="s">
        <v>11409</v>
      </c>
    </row>
    <row r="1102" spans="1:7" ht="21" x14ac:dyDescent="0.25">
      <c r="A1102" s="2" t="str">
        <f>HYPERLINK("https://rth.dk/resources/bsgatlas/details.php?id=BSGatlas-gene-1101","BSGatlas-gene-1101")</f>
        <v>BSGatlas-gene-1101</v>
      </c>
      <c r="B1102" s="1" t="s">
        <v>1022</v>
      </c>
      <c r="C1102" s="1" t="s">
        <v>8</v>
      </c>
      <c r="D1102" s="1">
        <v>980313</v>
      </c>
      <c r="E1102" s="1">
        <v>980468</v>
      </c>
      <c r="F1102" s="1" t="s">
        <v>9</v>
      </c>
      <c r="G1102" s="1" t="s">
        <v>11409</v>
      </c>
    </row>
    <row r="1103" spans="1:7" ht="21" x14ac:dyDescent="0.25">
      <c r="A1103" s="2" t="str">
        <f>HYPERLINK("https://rth.dk/resources/bsgatlas/details.php?id=BSGatlas-gene-1102","BSGatlas-gene-1102")</f>
        <v>BSGatlas-gene-1102</v>
      </c>
      <c r="B1103" s="1" t="s">
        <v>1023</v>
      </c>
      <c r="C1103" s="1" t="s">
        <v>8</v>
      </c>
      <c r="D1103" s="1">
        <v>980473</v>
      </c>
      <c r="E1103" s="1">
        <v>981234</v>
      </c>
      <c r="F1103" s="1" t="s">
        <v>9</v>
      </c>
      <c r="G1103" s="1" t="s">
        <v>11409</v>
      </c>
    </row>
    <row r="1104" spans="1:7" ht="21" x14ac:dyDescent="0.25">
      <c r="A1104" s="2" t="str">
        <f>HYPERLINK("https://rth.dk/resources/bsgatlas/details.php?id=BSGatlas-gene-1103","BSGatlas-gene-1103")</f>
        <v>BSGatlas-gene-1103</v>
      </c>
      <c r="B1104" s="1" t="s">
        <v>1024</v>
      </c>
      <c r="C1104" s="1" t="s">
        <v>8</v>
      </c>
      <c r="D1104" s="1">
        <v>981237</v>
      </c>
      <c r="E1104" s="1">
        <v>981602</v>
      </c>
      <c r="F1104" s="1" t="s">
        <v>9</v>
      </c>
      <c r="G1104" s="1" t="s">
        <v>11409</v>
      </c>
    </row>
    <row r="1105" spans="1:7" ht="21" x14ac:dyDescent="0.25">
      <c r="A1105" s="2" t="str">
        <f>HYPERLINK("https://rth.dk/resources/bsgatlas/details.php?id=BSGatlas-gene-1104","BSGatlas-gene-1104")</f>
        <v>BSGatlas-gene-1104</v>
      </c>
      <c r="B1105" s="1" t="s">
        <v>1025</v>
      </c>
      <c r="C1105" s="1" t="s">
        <v>8</v>
      </c>
      <c r="D1105" s="1">
        <v>981604</v>
      </c>
      <c r="E1105" s="1">
        <v>982302</v>
      </c>
      <c r="F1105" s="1" t="s">
        <v>9</v>
      </c>
      <c r="G1105" s="1" t="s">
        <v>11409</v>
      </c>
    </row>
    <row r="1106" spans="1:7" ht="21" x14ac:dyDescent="0.25">
      <c r="A1106" s="2" t="str">
        <f>HYPERLINK("https://rth.dk/resources/bsgatlas/details.php?id=BSGatlas-gene-1105","BSGatlas-gene-1105")</f>
        <v>BSGatlas-gene-1105</v>
      </c>
      <c r="B1106" s="1" t="s">
        <v>1026</v>
      </c>
      <c r="C1106" s="1" t="s">
        <v>8</v>
      </c>
      <c r="D1106" s="1">
        <v>982319</v>
      </c>
      <c r="E1106" s="1">
        <v>983236</v>
      </c>
      <c r="F1106" s="1" t="s">
        <v>9</v>
      </c>
      <c r="G1106" s="1" t="s">
        <v>11409</v>
      </c>
    </row>
    <row r="1107" spans="1:7" ht="21" x14ac:dyDescent="0.25">
      <c r="A1107" s="2" t="str">
        <f>HYPERLINK("https://rth.dk/resources/bsgatlas/details.php?id=BSGatlas-gene-1106","BSGatlas-gene-1106")</f>
        <v>BSGatlas-gene-1106</v>
      </c>
      <c r="B1107" s="1" t="s">
        <v>1027</v>
      </c>
      <c r="C1107" s="1" t="s">
        <v>8</v>
      </c>
      <c r="D1107" s="1">
        <v>983229</v>
      </c>
      <c r="E1107" s="1">
        <v>984170</v>
      </c>
      <c r="F1107" s="1" t="s">
        <v>9</v>
      </c>
      <c r="G1107" s="1" t="s">
        <v>11409</v>
      </c>
    </row>
    <row r="1108" spans="1:7" ht="21" x14ac:dyDescent="0.25">
      <c r="A1108" s="2" t="str">
        <f>HYPERLINK("https://rth.dk/resources/bsgatlas/details.php?id=BSGatlas-gene-1107","BSGatlas-gene-1107")</f>
        <v>BSGatlas-gene-1107</v>
      </c>
      <c r="B1108" s="1" t="s">
        <v>593</v>
      </c>
      <c r="C1108" s="1" t="s">
        <v>34</v>
      </c>
      <c r="D1108" s="1">
        <v>984214</v>
      </c>
      <c r="E1108" s="1">
        <v>984527</v>
      </c>
      <c r="F1108" s="1" t="s">
        <v>13</v>
      </c>
      <c r="G1108" s="1" t="s">
        <v>11498</v>
      </c>
    </row>
    <row r="1109" spans="1:7" ht="21" x14ac:dyDescent="0.25">
      <c r="A1109" s="2" t="str">
        <f>HYPERLINK("https://rth.dk/resources/bsgatlas/details.php?id=BSGatlas-gene-1108","BSGatlas-gene-1108")</f>
        <v>BSGatlas-gene-1108</v>
      </c>
      <c r="B1109" s="1" t="s">
        <v>1028</v>
      </c>
      <c r="C1109" s="1" t="s">
        <v>8</v>
      </c>
      <c r="D1109" s="1">
        <v>984262</v>
      </c>
      <c r="E1109" s="1">
        <v>984465</v>
      </c>
      <c r="F1109" s="1" t="s">
        <v>13</v>
      </c>
      <c r="G1109" s="1" t="s">
        <v>11409</v>
      </c>
    </row>
    <row r="1110" spans="1:7" ht="21" x14ac:dyDescent="0.25">
      <c r="A1110" s="2" t="str">
        <f>HYPERLINK("https://rth.dk/resources/bsgatlas/details.php?id=BSGatlas-gene-1109","BSGatlas-gene-1109")</f>
        <v>BSGatlas-gene-1109</v>
      </c>
      <c r="B1110" s="1" t="s">
        <v>1029</v>
      </c>
      <c r="C1110" s="1" t="s">
        <v>8</v>
      </c>
      <c r="D1110" s="1">
        <v>984901</v>
      </c>
      <c r="E1110" s="1">
        <v>985731</v>
      </c>
      <c r="F1110" s="1" t="s">
        <v>9</v>
      </c>
      <c r="G1110" s="1" t="s">
        <v>11409</v>
      </c>
    </row>
    <row r="1111" spans="1:7" ht="21" x14ac:dyDescent="0.25">
      <c r="A1111" s="2" t="str">
        <f>HYPERLINK("https://rth.dk/resources/bsgatlas/details.php?id=BSGatlas-gene-1110","BSGatlas-gene-1110")</f>
        <v>BSGatlas-gene-1110</v>
      </c>
      <c r="B1111" s="1" t="s">
        <v>1030</v>
      </c>
      <c r="C1111" s="1" t="s">
        <v>8</v>
      </c>
      <c r="D1111" s="1">
        <v>985734</v>
      </c>
      <c r="E1111" s="1">
        <v>986813</v>
      </c>
      <c r="F1111" s="1" t="s">
        <v>13</v>
      </c>
      <c r="G1111" s="1" t="s">
        <v>11409</v>
      </c>
    </row>
    <row r="1112" spans="1:7" ht="21" x14ac:dyDescent="0.25">
      <c r="A1112" s="2" t="str">
        <f>HYPERLINK("https://rth.dk/resources/bsgatlas/details.php?id=BSGatlas-gene-1111","BSGatlas-gene-1111")</f>
        <v>BSGatlas-gene-1111</v>
      </c>
      <c r="B1112" s="1" t="s">
        <v>1031</v>
      </c>
      <c r="C1112" s="1" t="s">
        <v>8</v>
      </c>
      <c r="D1112" s="1">
        <v>986986</v>
      </c>
      <c r="E1112" s="1">
        <v>988377</v>
      </c>
      <c r="F1112" s="1" t="s">
        <v>9</v>
      </c>
      <c r="G1112" s="1" t="s">
        <v>11409</v>
      </c>
    </row>
    <row r="1113" spans="1:7" ht="21" x14ac:dyDescent="0.25">
      <c r="A1113" s="2" t="str">
        <f>HYPERLINK("https://rth.dk/resources/bsgatlas/details.php?id=BSGatlas-gene-1112","BSGatlas-gene-1112")</f>
        <v>BSGatlas-gene-1112</v>
      </c>
      <c r="B1113" s="1" t="s">
        <v>1032</v>
      </c>
      <c r="C1113" s="1" t="s">
        <v>8</v>
      </c>
      <c r="D1113" s="1">
        <v>988417</v>
      </c>
      <c r="E1113" s="1">
        <v>988872</v>
      </c>
      <c r="F1113" s="1" t="s">
        <v>13</v>
      </c>
      <c r="G1113" s="1" t="s">
        <v>11409</v>
      </c>
    </row>
    <row r="1114" spans="1:7" ht="21" x14ac:dyDescent="0.25">
      <c r="A1114" s="2" t="str">
        <f>HYPERLINK("https://rth.dk/resources/bsgatlas/details.php?id=BSGatlas-gene-1113","BSGatlas-gene-1113")</f>
        <v>BSGatlas-gene-1113</v>
      </c>
      <c r="B1114" s="1" t="s">
        <v>1033</v>
      </c>
      <c r="C1114" s="1" t="s">
        <v>8</v>
      </c>
      <c r="D1114" s="1">
        <v>989022</v>
      </c>
      <c r="E1114" s="1">
        <v>989591</v>
      </c>
      <c r="F1114" s="1" t="s">
        <v>9</v>
      </c>
      <c r="G1114" s="1" t="s">
        <v>11409</v>
      </c>
    </row>
    <row r="1115" spans="1:7" ht="21" x14ac:dyDescent="0.25">
      <c r="A1115" s="2" t="str">
        <f>HYPERLINK("https://rth.dk/resources/bsgatlas/details.php?id=BSGatlas-gene-1114","BSGatlas-gene-1114")</f>
        <v>BSGatlas-gene-1114</v>
      </c>
      <c r="B1115" s="1" t="s">
        <v>1034</v>
      </c>
      <c r="C1115" s="1" t="s">
        <v>8</v>
      </c>
      <c r="D1115" s="1">
        <v>989712</v>
      </c>
      <c r="E1115" s="1">
        <v>990680</v>
      </c>
      <c r="F1115" s="1" t="s">
        <v>9</v>
      </c>
      <c r="G1115" s="1" t="s">
        <v>11409</v>
      </c>
    </row>
    <row r="1116" spans="1:7" ht="21" x14ac:dyDescent="0.25">
      <c r="A1116" s="2" t="str">
        <f>HYPERLINK("https://rth.dk/resources/bsgatlas/details.php?id=BSGatlas-gene-1115","BSGatlas-gene-1115")</f>
        <v>BSGatlas-gene-1115</v>
      </c>
      <c r="B1116" s="1" t="s">
        <v>1035</v>
      </c>
      <c r="C1116" s="1" t="s">
        <v>8</v>
      </c>
      <c r="D1116" s="1">
        <v>990612</v>
      </c>
      <c r="E1116" s="1">
        <v>991265</v>
      </c>
      <c r="F1116" s="1" t="s">
        <v>13</v>
      </c>
      <c r="G1116" s="1" t="s">
        <v>11409</v>
      </c>
    </row>
    <row r="1117" spans="1:7" ht="21" x14ac:dyDescent="0.25">
      <c r="A1117" s="2" t="str">
        <f>HYPERLINK("https://rth.dk/resources/bsgatlas/details.php?id=BSGatlas-gene-1116","BSGatlas-gene-1116")</f>
        <v>BSGatlas-gene-1116</v>
      </c>
      <c r="B1117" s="1" t="s">
        <v>1036</v>
      </c>
      <c r="C1117" s="1" t="s">
        <v>8</v>
      </c>
      <c r="D1117" s="1">
        <v>991348</v>
      </c>
      <c r="E1117" s="1">
        <v>995001</v>
      </c>
      <c r="F1117" s="1" t="s">
        <v>9</v>
      </c>
      <c r="G1117" s="1" t="s">
        <v>11409</v>
      </c>
    </row>
    <row r="1118" spans="1:7" ht="21" x14ac:dyDescent="0.25">
      <c r="A1118" s="2" t="str">
        <f>HYPERLINK("https://rth.dk/resources/bsgatlas/details.php?id=BSGatlas-gene-1117","BSGatlas-gene-1117")</f>
        <v>BSGatlas-gene-1117</v>
      </c>
      <c r="B1118" s="1" t="s">
        <v>1037</v>
      </c>
      <c r="C1118" s="1" t="s">
        <v>8</v>
      </c>
      <c r="D1118" s="1">
        <v>994998</v>
      </c>
      <c r="E1118" s="1">
        <v>995594</v>
      </c>
      <c r="F1118" s="1" t="s">
        <v>9</v>
      </c>
      <c r="G1118" s="1" t="s">
        <v>11409</v>
      </c>
    </row>
    <row r="1119" spans="1:7" ht="21" x14ac:dyDescent="0.25">
      <c r="A1119" s="2" t="str">
        <f>HYPERLINK("https://rth.dk/resources/bsgatlas/details.php?id=BSGatlas-gene-1118","BSGatlas-gene-1118")</f>
        <v>BSGatlas-gene-1118</v>
      </c>
      <c r="B1119" s="1" t="s">
        <v>1038</v>
      </c>
      <c r="C1119" s="1" t="s">
        <v>8</v>
      </c>
      <c r="D1119" s="1">
        <v>995624</v>
      </c>
      <c r="E1119" s="1">
        <v>996532</v>
      </c>
      <c r="F1119" s="1" t="s">
        <v>13</v>
      </c>
      <c r="G1119" s="1" t="s">
        <v>11409</v>
      </c>
    </row>
    <row r="1120" spans="1:7" ht="21" x14ac:dyDescent="0.25">
      <c r="A1120" s="2" t="str">
        <f>HYPERLINK("https://rth.dk/resources/bsgatlas/details.php?id=BSGatlas-gene-1119","BSGatlas-gene-1119")</f>
        <v>BSGatlas-gene-1119</v>
      </c>
      <c r="B1120" s="1" t="s">
        <v>1039</v>
      </c>
      <c r="C1120" s="1" t="s">
        <v>8</v>
      </c>
      <c r="D1120" s="1">
        <v>996643</v>
      </c>
      <c r="E1120" s="1">
        <v>997038</v>
      </c>
      <c r="F1120" s="1" t="s">
        <v>9</v>
      </c>
      <c r="G1120" s="1" t="s">
        <v>11409</v>
      </c>
    </row>
    <row r="1121" spans="1:7" ht="21" x14ac:dyDescent="0.25">
      <c r="A1121" s="2" t="str">
        <f>HYPERLINK("https://rth.dk/resources/bsgatlas/details.php?id=BSGatlas-gene-1120","BSGatlas-gene-1120")</f>
        <v>BSGatlas-gene-1120</v>
      </c>
      <c r="B1121" s="1" t="s">
        <v>1040</v>
      </c>
      <c r="C1121" s="1" t="s">
        <v>8</v>
      </c>
      <c r="D1121" s="1">
        <v>997175</v>
      </c>
      <c r="E1121" s="1">
        <v>997597</v>
      </c>
      <c r="F1121" s="1" t="s">
        <v>9</v>
      </c>
      <c r="G1121" s="1" t="s">
        <v>11409</v>
      </c>
    </row>
    <row r="1122" spans="1:7" ht="21" x14ac:dyDescent="0.25">
      <c r="A1122" s="2" t="str">
        <f>HYPERLINK("https://rth.dk/resources/bsgatlas/details.php?id=BSGatlas-gene-1121","BSGatlas-gene-1121")</f>
        <v>BSGatlas-gene-1121</v>
      </c>
      <c r="B1122" s="1" t="s">
        <v>1041</v>
      </c>
      <c r="C1122" s="1" t="s">
        <v>8</v>
      </c>
      <c r="D1122" s="1">
        <v>997724</v>
      </c>
      <c r="E1122" s="1">
        <v>998386</v>
      </c>
      <c r="F1122" s="1" t="s">
        <v>9</v>
      </c>
      <c r="G1122" s="1" t="s">
        <v>11409</v>
      </c>
    </row>
    <row r="1123" spans="1:7" ht="21" x14ac:dyDescent="0.25">
      <c r="A1123" s="2" t="str">
        <f>HYPERLINK("https://rth.dk/resources/bsgatlas/details.php?id=BSGatlas-gene-1122","BSGatlas-gene-1122")</f>
        <v>BSGatlas-gene-1122</v>
      </c>
      <c r="B1123" s="1" t="s">
        <v>1042</v>
      </c>
      <c r="C1123" s="1" t="s">
        <v>8</v>
      </c>
      <c r="D1123" s="1">
        <v>998402</v>
      </c>
      <c r="E1123" s="1">
        <v>999943</v>
      </c>
      <c r="F1123" s="1" t="s">
        <v>9</v>
      </c>
      <c r="G1123" s="1" t="s">
        <v>11409</v>
      </c>
    </row>
    <row r="1124" spans="1:7" ht="21" x14ac:dyDescent="0.25">
      <c r="A1124" s="2" t="str">
        <f>HYPERLINK("https://rth.dk/resources/bsgatlas/details.php?id=BSGatlas-gene-1123","BSGatlas-gene-1123")</f>
        <v>BSGatlas-gene-1123</v>
      </c>
      <c r="B1124" s="1" t="s">
        <v>11499</v>
      </c>
      <c r="C1124" s="1" t="s">
        <v>276</v>
      </c>
      <c r="D1124" s="1">
        <v>1000027</v>
      </c>
      <c r="E1124" s="1">
        <v>1000218</v>
      </c>
      <c r="F1124" s="1" t="s">
        <v>9</v>
      </c>
      <c r="G1124" s="1" t="s">
        <v>11441</v>
      </c>
    </row>
    <row r="1125" spans="1:7" ht="21" x14ac:dyDescent="0.25">
      <c r="A1125" s="2" t="str">
        <f>HYPERLINK("https://rth.dk/resources/bsgatlas/details.php?id=BSGatlas-gene-1124","BSGatlas-gene-1124")</f>
        <v>BSGatlas-gene-1124</v>
      </c>
      <c r="B1125" s="1" t="s">
        <v>1043</v>
      </c>
      <c r="C1125" s="1" t="s">
        <v>8</v>
      </c>
      <c r="D1125" s="1">
        <v>1000364</v>
      </c>
      <c r="E1125" s="1">
        <v>1001716</v>
      </c>
      <c r="F1125" s="1" t="s">
        <v>9</v>
      </c>
      <c r="G1125" s="1" t="s">
        <v>11409</v>
      </c>
    </row>
    <row r="1126" spans="1:7" ht="21" x14ac:dyDescent="0.25">
      <c r="A1126" s="2" t="str">
        <f>HYPERLINK("https://rth.dk/resources/bsgatlas/details.php?id=BSGatlas-gene-1125","BSGatlas-gene-1125")</f>
        <v>BSGatlas-gene-1125</v>
      </c>
      <c r="B1126" s="1" t="s">
        <v>1044</v>
      </c>
      <c r="C1126" s="1" t="s">
        <v>8</v>
      </c>
      <c r="D1126" s="1">
        <v>1001744</v>
      </c>
      <c r="E1126" s="1">
        <v>1002322</v>
      </c>
      <c r="F1126" s="1" t="s">
        <v>9</v>
      </c>
      <c r="G1126" s="1" t="s">
        <v>11409</v>
      </c>
    </row>
    <row r="1127" spans="1:7" ht="21" x14ac:dyDescent="0.25">
      <c r="A1127" s="2" t="str">
        <f>HYPERLINK("https://rth.dk/resources/bsgatlas/details.php?id=BSGatlas-gene-1126","BSGatlas-gene-1126")</f>
        <v>BSGatlas-gene-1126</v>
      </c>
      <c r="B1127" s="1" t="s">
        <v>270</v>
      </c>
      <c r="C1127" s="1" t="s">
        <v>34</v>
      </c>
      <c r="D1127" s="1">
        <v>1002354</v>
      </c>
      <c r="E1127" s="1">
        <v>1002447</v>
      </c>
      <c r="F1127" s="1" t="s">
        <v>9</v>
      </c>
      <c r="G1127" s="1" t="s">
        <v>11414</v>
      </c>
    </row>
    <row r="1128" spans="1:7" ht="21" x14ac:dyDescent="0.25">
      <c r="A1128" s="2" t="str">
        <f>HYPERLINK("https://rth.dk/resources/bsgatlas/details.php?id=BSGatlas-gene-1127","BSGatlas-gene-1127")</f>
        <v>BSGatlas-gene-1127</v>
      </c>
      <c r="B1128" s="1" t="s">
        <v>1045</v>
      </c>
      <c r="C1128" s="1" t="s">
        <v>8</v>
      </c>
      <c r="D1128" s="1">
        <v>1002501</v>
      </c>
      <c r="E1128" s="1">
        <v>1003325</v>
      </c>
      <c r="F1128" s="1" t="s">
        <v>9</v>
      </c>
      <c r="G1128" s="1" t="s">
        <v>11409</v>
      </c>
    </row>
    <row r="1129" spans="1:7" ht="21" x14ac:dyDescent="0.25">
      <c r="A1129" s="2" t="str">
        <f>HYPERLINK("https://rth.dk/resources/bsgatlas/details.php?id=BSGatlas-gene-1128","BSGatlas-gene-1128")</f>
        <v>BSGatlas-gene-1128</v>
      </c>
      <c r="B1129" s="1" t="s">
        <v>1046</v>
      </c>
      <c r="C1129" s="1" t="s">
        <v>8</v>
      </c>
      <c r="D1129" s="1">
        <v>1003344</v>
      </c>
      <c r="E1129" s="1">
        <v>1004834</v>
      </c>
      <c r="F1129" s="1" t="s">
        <v>9</v>
      </c>
      <c r="G1129" s="1" t="s">
        <v>11409</v>
      </c>
    </row>
    <row r="1130" spans="1:7" ht="21" x14ac:dyDescent="0.25">
      <c r="A1130" s="2" t="str">
        <f>HYPERLINK("https://rth.dk/resources/bsgatlas/details.php?id=BSGatlas-gene-1129","BSGatlas-gene-1129")</f>
        <v>BSGatlas-gene-1129</v>
      </c>
      <c r="B1130" s="1" t="s">
        <v>270</v>
      </c>
      <c r="C1130" s="1" t="s">
        <v>34</v>
      </c>
      <c r="D1130" s="1">
        <v>1004860</v>
      </c>
      <c r="E1130" s="1">
        <v>1004945</v>
      </c>
      <c r="F1130" s="1" t="s">
        <v>9</v>
      </c>
      <c r="G1130" s="1" t="s">
        <v>11414</v>
      </c>
    </row>
    <row r="1131" spans="1:7" ht="21" x14ac:dyDescent="0.25">
      <c r="A1131" s="2" t="str">
        <f>HYPERLINK("https://rth.dk/resources/bsgatlas/details.php?id=BSGatlas-gene-1130","BSGatlas-gene-1130")</f>
        <v>BSGatlas-gene-1130</v>
      </c>
      <c r="B1131" s="1" t="s">
        <v>1047</v>
      </c>
      <c r="C1131" s="1" t="s">
        <v>8</v>
      </c>
      <c r="D1131" s="1">
        <v>1004975</v>
      </c>
      <c r="E1131" s="1">
        <v>1006642</v>
      </c>
      <c r="F1131" s="1" t="s">
        <v>9</v>
      </c>
      <c r="G1131" s="1" t="s">
        <v>11409</v>
      </c>
    </row>
    <row r="1132" spans="1:7" ht="21" x14ac:dyDescent="0.25">
      <c r="A1132" s="2" t="str">
        <f>HYPERLINK("https://rth.dk/resources/bsgatlas/details.php?id=BSGatlas-gene-1131","BSGatlas-gene-1131")</f>
        <v>BSGatlas-gene-1131</v>
      </c>
      <c r="B1132" s="1" t="s">
        <v>1048</v>
      </c>
      <c r="C1132" s="1" t="s">
        <v>8</v>
      </c>
      <c r="D1132" s="1">
        <v>1006774</v>
      </c>
      <c r="E1132" s="1">
        <v>1008519</v>
      </c>
      <c r="F1132" s="1" t="s">
        <v>9</v>
      </c>
      <c r="G1132" s="1" t="s">
        <v>11409</v>
      </c>
    </row>
    <row r="1133" spans="1:7" ht="21" x14ac:dyDescent="0.25">
      <c r="A1133" s="2" t="str">
        <f>HYPERLINK("https://rth.dk/resources/bsgatlas/details.php?id=BSGatlas-gene-1132","BSGatlas-gene-1132")</f>
        <v>BSGatlas-gene-1132</v>
      </c>
      <c r="B1133" s="1" t="s">
        <v>1049</v>
      </c>
      <c r="C1133" s="1" t="s">
        <v>8</v>
      </c>
      <c r="D1133" s="1">
        <v>1008668</v>
      </c>
      <c r="E1133" s="1">
        <v>1009807</v>
      </c>
      <c r="F1133" s="1" t="s">
        <v>9</v>
      </c>
      <c r="G1133" s="1" t="s">
        <v>11409</v>
      </c>
    </row>
    <row r="1134" spans="1:7" ht="21" x14ac:dyDescent="0.25">
      <c r="A1134" s="2" t="str">
        <f>HYPERLINK("https://rth.dk/resources/bsgatlas/details.php?id=BSGatlas-gene-1133","BSGatlas-gene-1133")</f>
        <v>BSGatlas-gene-1133</v>
      </c>
      <c r="B1134" s="1" t="s">
        <v>1050</v>
      </c>
      <c r="C1134" s="1" t="s">
        <v>8</v>
      </c>
      <c r="D1134" s="1">
        <v>1009804</v>
      </c>
      <c r="E1134" s="1">
        <v>1010448</v>
      </c>
      <c r="F1134" s="1" t="s">
        <v>9</v>
      </c>
      <c r="G1134" s="1" t="s">
        <v>11409</v>
      </c>
    </row>
    <row r="1135" spans="1:7" ht="21" x14ac:dyDescent="0.25">
      <c r="A1135" s="2" t="str">
        <f>HYPERLINK("https://rth.dk/resources/bsgatlas/details.php?id=BSGatlas-gene-1134","BSGatlas-gene-1134")</f>
        <v>BSGatlas-gene-1134</v>
      </c>
      <c r="B1135" s="1" t="s">
        <v>1051</v>
      </c>
      <c r="C1135" s="1" t="s">
        <v>8</v>
      </c>
      <c r="D1135" s="1">
        <v>1010445</v>
      </c>
      <c r="E1135" s="1">
        <v>1010969</v>
      </c>
      <c r="F1135" s="1" t="s">
        <v>9</v>
      </c>
      <c r="G1135" s="1" t="s">
        <v>11409</v>
      </c>
    </row>
    <row r="1136" spans="1:7" ht="21" x14ac:dyDescent="0.25">
      <c r="A1136" s="2" t="str">
        <f>HYPERLINK("https://rth.dk/resources/bsgatlas/details.php?id=BSGatlas-gene-1135","BSGatlas-gene-1135")</f>
        <v>BSGatlas-gene-1135</v>
      </c>
      <c r="B1136" s="1" t="s">
        <v>1052</v>
      </c>
      <c r="C1136" s="1" t="s">
        <v>8</v>
      </c>
      <c r="D1136" s="1">
        <v>1010984</v>
      </c>
      <c r="E1136" s="1">
        <v>1011226</v>
      </c>
      <c r="F1136" s="1" t="s">
        <v>13</v>
      </c>
      <c r="G1136" s="1" t="s">
        <v>11409</v>
      </c>
    </row>
    <row r="1137" spans="1:7" ht="21" x14ac:dyDescent="0.25">
      <c r="A1137" s="2" t="str">
        <f>HYPERLINK("https://rth.dk/resources/bsgatlas/details.php?id=BSGatlas-gene-1136","BSGatlas-gene-1136")</f>
        <v>BSGatlas-gene-1136</v>
      </c>
      <c r="B1137" s="1" t="s">
        <v>1053</v>
      </c>
      <c r="C1137" s="1" t="s">
        <v>8</v>
      </c>
      <c r="D1137" s="1">
        <v>1011427</v>
      </c>
      <c r="E1137" s="1">
        <v>1011750</v>
      </c>
      <c r="F1137" s="1" t="s">
        <v>9</v>
      </c>
      <c r="G1137" s="1" t="s">
        <v>11409</v>
      </c>
    </row>
    <row r="1138" spans="1:7" ht="21" x14ac:dyDescent="0.25">
      <c r="A1138" s="2" t="str">
        <f>HYPERLINK("https://rth.dk/resources/bsgatlas/details.php?id=BSGatlas-gene-1137","BSGatlas-gene-1137")</f>
        <v>BSGatlas-gene-1137</v>
      </c>
      <c r="B1138" s="1" t="s">
        <v>1054</v>
      </c>
      <c r="C1138" s="1" t="s">
        <v>8</v>
      </c>
      <c r="D1138" s="1">
        <v>1011792</v>
      </c>
      <c r="E1138" s="1">
        <v>1013258</v>
      </c>
      <c r="F1138" s="1" t="s">
        <v>13</v>
      </c>
      <c r="G1138" s="1" t="s">
        <v>11409</v>
      </c>
    </row>
    <row r="1139" spans="1:7" ht="21" x14ac:dyDescent="0.25">
      <c r="A1139" s="2" t="str">
        <f>HYPERLINK("https://rth.dk/resources/bsgatlas/details.php?id=BSGatlas-gene-1138","BSGatlas-gene-1138")</f>
        <v>BSGatlas-gene-1138</v>
      </c>
      <c r="B1139" s="1" t="s">
        <v>1055</v>
      </c>
      <c r="C1139" s="1" t="s">
        <v>8</v>
      </c>
      <c r="D1139" s="1">
        <v>1013411</v>
      </c>
      <c r="E1139" s="1">
        <v>1013851</v>
      </c>
      <c r="F1139" s="1" t="s">
        <v>13</v>
      </c>
      <c r="G1139" s="1" t="s">
        <v>11409</v>
      </c>
    </row>
    <row r="1140" spans="1:7" ht="21" x14ac:dyDescent="0.25">
      <c r="A1140" s="2" t="str">
        <f>HYPERLINK("https://rth.dk/resources/bsgatlas/details.php?id=BSGatlas-gene-1139","BSGatlas-gene-1139")</f>
        <v>BSGatlas-gene-1139</v>
      </c>
      <c r="B1140" s="1" t="s">
        <v>1056</v>
      </c>
      <c r="C1140" s="1" t="s">
        <v>12</v>
      </c>
      <c r="D1140" s="1">
        <v>1013861</v>
      </c>
      <c r="E1140" s="1">
        <v>1013971</v>
      </c>
      <c r="F1140" s="1" t="s">
        <v>9</v>
      </c>
      <c r="G1140" s="1" t="s">
        <v>11406</v>
      </c>
    </row>
    <row r="1141" spans="1:7" ht="21" x14ac:dyDescent="0.25">
      <c r="A1141" s="2" t="str">
        <f>HYPERLINK("https://rth.dk/resources/bsgatlas/details.php?id=BSGatlas-gene-1140","BSGatlas-gene-1140")</f>
        <v>BSGatlas-gene-1140</v>
      </c>
      <c r="B1141" s="1" t="s">
        <v>1057</v>
      </c>
      <c r="C1141" s="1" t="s">
        <v>8</v>
      </c>
      <c r="D1141" s="1">
        <v>1013958</v>
      </c>
      <c r="E1141" s="1">
        <v>1015616</v>
      </c>
      <c r="F1141" s="1" t="s">
        <v>13</v>
      </c>
      <c r="G1141" s="1" t="s">
        <v>11409</v>
      </c>
    </row>
    <row r="1142" spans="1:7" ht="21" x14ac:dyDescent="0.25">
      <c r="A1142" s="2" t="str">
        <f>HYPERLINK("https://rth.dk/resources/bsgatlas/details.php?id=BSGatlas-gene-1141","BSGatlas-gene-1141")</f>
        <v>BSGatlas-gene-1141</v>
      </c>
      <c r="B1142" s="1" t="s">
        <v>1058</v>
      </c>
      <c r="C1142" s="1" t="s">
        <v>8</v>
      </c>
      <c r="D1142" s="1">
        <v>1015647</v>
      </c>
      <c r="E1142" s="1">
        <v>1017053</v>
      </c>
      <c r="F1142" s="1" t="s">
        <v>9</v>
      </c>
      <c r="G1142" s="1" t="s">
        <v>11409</v>
      </c>
    </row>
    <row r="1143" spans="1:7" ht="21" x14ac:dyDescent="0.25">
      <c r="A1143" s="2" t="str">
        <f>HYPERLINK("https://rth.dk/resources/bsgatlas/details.php?id=BSGatlas-gene-1142","BSGatlas-gene-1142")</f>
        <v>BSGatlas-gene-1142</v>
      </c>
      <c r="B1143" s="1" t="s">
        <v>1059</v>
      </c>
      <c r="C1143" s="1" t="s">
        <v>8</v>
      </c>
      <c r="D1143" s="1">
        <v>1017083</v>
      </c>
      <c r="E1143" s="1">
        <v>1018468</v>
      </c>
      <c r="F1143" s="1" t="s">
        <v>13</v>
      </c>
      <c r="G1143" s="1" t="s">
        <v>11409</v>
      </c>
    </row>
    <row r="1144" spans="1:7" ht="21" x14ac:dyDescent="0.25">
      <c r="A1144" s="2" t="str">
        <f>HYPERLINK("https://rth.dk/resources/bsgatlas/details.php?id=BSGatlas-gene-1143","BSGatlas-gene-1143")</f>
        <v>BSGatlas-gene-1143</v>
      </c>
      <c r="B1144" s="1" t="s">
        <v>1060</v>
      </c>
      <c r="C1144" s="1" t="s">
        <v>12</v>
      </c>
      <c r="D1144" s="1">
        <v>1018648</v>
      </c>
      <c r="E1144" s="1">
        <v>1018800</v>
      </c>
      <c r="F1144" s="1" t="s">
        <v>9</v>
      </c>
      <c r="G1144" s="1" t="s">
        <v>11442</v>
      </c>
    </row>
    <row r="1145" spans="1:7" ht="21" x14ac:dyDescent="0.25">
      <c r="A1145" s="2" t="str">
        <f>HYPERLINK("https://rth.dk/resources/bsgatlas/details.php?id=BSGatlas-gene-1144","BSGatlas-gene-1144")</f>
        <v>BSGatlas-gene-1144</v>
      </c>
      <c r="B1145" s="1" t="s">
        <v>1061</v>
      </c>
      <c r="C1145" s="1" t="s">
        <v>8</v>
      </c>
      <c r="D1145" s="1">
        <v>1018998</v>
      </c>
      <c r="E1145" s="1">
        <v>1020002</v>
      </c>
      <c r="F1145" s="1" t="s">
        <v>9</v>
      </c>
      <c r="G1145" s="1" t="s">
        <v>11409</v>
      </c>
    </row>
    <row r="1146" spans="1:7" ht="21" x14ac:dyDescent="0.25">
      <c r="A1146" s="2" t="str">
        <f>HYPERLINK("https://rth.dk/resources/bsgatlas/details.php?id=BSGatlas-gene-1145","BSGatlas-gene-1145")</f>
        <v>BSGatlas-gene-1145</v>
      </c>
      <c r="B1146" s="1" t="s">
        <v>1062</v>
      </c>
      <c r="C1146" s="1" t="s">
        <v>8</v>
      </c>
      <c r="D1146" s="1">
        <v>1020073</v>
      </c>
      <c r="E1146" s="1">
        <v>1020948</v>
      </c>
      <c r="F1146" s="1" t="s">
        <v>13</v>
      </c>
      <c r="G1146" s="1" t="s">
        <v>11409</v>
      </c>
    </row>
    <row r="1147" spans="1:7" ht="21" x14ac:dyDescent="0.25">
      <c r="A1147" s="2" t="str">
        <f>HYPERLINK("https://rth.dk/resources/bsgatlas/details.php?id=BSGatlas-gene-1146","BSGatlas-gene-1146")</f>
        <v>BSGatlas-gene-1146</v>
      </c>
      <c r="B1147" s="1" t="s">
        <v>1063</v>
      </c>
      <c r="C1147" s="1" t="s">
        <v>8</v>
      </c>
      <c r="D1147" s="1">
        <v>1021057</v>
      </c>
      <c r="E1147" s="1">
        <v>1022157</v>
      </c>
      <c r="F1147" s="1" t="s">
        <v>9</v>
      </c>
      <c r="G1147" s="1" t="s">
        <v>11409</v>
      </c>
    </row>
    <row r="1148" spans="1:7" ht="21" x14ac:dyDescent="0.25">
      <c r="A1148" s="2" t="str">
        <f>HYPERLINK("https://rth.dk/resources/bsgatlas/details.php?id=BSGatlas-gene-1147","BSGatlas-gene-1147")</f>
        <v>BSGatlas-gene-1147</v>
      </c>
      <c r="B1148" s="1" t="s">
        <v>1064</v>
      </c>
      <c r="C1148" s="1" t="s">
        <v>8</v>
      </c>
      <c r="D1148" s="1">
        <v>1022231</v>
      </c>
      <c r="E1148" s="1">
        <v>1023100</v>
      </c>
      <c r="F1148" s="1" t="s">
        <v>9</v>
      </c>
      <c r="G1148" s="1" t="s">
        <v>11409</v>
      </c>
    </row>
    <row r="1149" spans="1:7" ht="21" x14ac:dyDescent="0.25">
      <c r="A1149" s="2" t="str">
        <f>HYPERLINK("https://rth.dk/resources/bsgatlas/details.php?id=BSGatlas-gene-1148","BSGatlas-gene-1148")</f>
        <v>BSGatlas-gene-1148</v>
      </c>
      <c r="B1149" s="1" t="s">
        <v>1065</v>
      </c>
      <c r="C1149" s="1" t="s">
        <v>8</v>
      </c>
      <c r="D1149" s="1">
        <v>1023350</v>
      </c>
      <c r="E1149" s="1">
        <v>1024747</v>
      </c>
      <c r="F1149" s="1" t="s">
        <v>9</v>
      </c>
      <c r="G1149" s="1" t="s">
        <v>11409</v>
      </c>
    </row>
    <row r="1150" spans="1:7" ht="21" x14ac:dyDescent="0.25">
      <c r="A1150" s="2" t="str">
        <f>HYPERLINK("https://rth.dk/resources/bsgatlas/details.php?id=BSGatlas-gene-1149","BSGatlas-gene-1149")</f>
        <v>BSGatlas-gene-1149</v>
      </c>
      <c r="B1150" s="1" t="s">
        <v>1066</v>
      </c>
      <c r="C1150" s="1" t="s">
        <v>8</v>
      </c>
      <c r="D1150" s="1">
        <v>1024865</v>
      </c>
      <c r="E1150" s="1">
        <v>1026220</v>
      </c>
      <c r="F1150" s="1" t="s">
        <v>9</v>
      </c>
      <c r="G1150" s="1" t="s">
        <v>11409</v>
      </c>
    </row>
    <row r="1151" spans="1:7" ht="21" x14ac:dyDescent="0.25">
      <c r="A1151" s="2" t="str">
        <f>HYPERLINK("https://rth.dk/resources/bsgatlas/details.php?id=BSGatlas-gene-1150","BSGatlas-gene-1150")</f>
        <v>BSGatlas-gene-1150</v>
      </c>
      <c r="B1151" s="1" t="s">
        <v>1067</v>
      </c>
      <c r="C1151" s="1" t="s">
        <v>8</v>
      </c>
      <c r="D1151" s="1">
        <v>1026255</v>
      </c>
      <c r="E1151" s="1">
        <v>1027664</v>
      </c>
      <c r="F1151" s="1" t="s">
        <v>13</v>
      </c>
      <c r="G1151" s="1" t="s">
        <v>11409</v>
      </c>
    </row>
    <row r="1152" spans="1:7" ht="21" x14ac:dyDescent="0.25">
      <c r="A1152" s="2" t="str">
        <f>HYPERLINK("https://rth.dk/resources/bsgatlas/details.php?id=BSGatlas-gene-1151","BSGatlas-gene-1151")</f>
        <v>BSGatlas-gene-1151</v>
      </c>
      <c r="B1152" s="1" t="s">
        <v>1068</v>
      </c>
      <c r="C1152" s="1" t="s">
        <v>8</v>
      </c>
      <c r="D1152" s="1">
        <v>1027774</v>
      </c>
      <c r="E1152" s="1">
        <v>1028202</v>
      </c>
      <c r="F1152" s="1" t="s">
        <v>9</v>
      </c>
      <c r="G1152" s="1" t="s">
        <v>11409</v>
      </c>
    </row>
    <row r="1153" spans="1:7" ht="21" x14ac:dyDescent="0.25">
      <c r="A1153" s="2" t="str">
        <f>HYPERLINK("https://rth.dk/resources/bsgatlas/details.php?id=BSGatlas-gene-1152","BSGatlas-gene-1152")</f>
        <v>BSGatlas-gene-1152</v>
      </c>
      <c r="B1153" s="1" t="s">
        <v>1069</v>
      </c>
      <c r="C1153" s="1" t="s">
        <v>8</v>
      </c>
      <c r="D1153" s="1">
        <v>1028233</v>
      </c>
      <c r="E1153" s="1">
        <v>1028523</v>
      </c>
      <c r="F1153" s="1" t="s">
        <v>13</v>
      </c>
      <c r="G1153" s="1" t="s">
        <v>11409</v>
      </c>
    </row>
    <row r="1154" spans="1:7" ht="21" x14ac:dyDescent="0.25">
      <c r="A1154" s="2" t="str">
        <f>HYPERLINK("https://rth.dk/resources/bsgatlas/details.php?id=BSGatlas-gene-1153","BSGatlas-gene-1153")</f>
        <v>BSGatlas-gene-1153</v>
      </c>
      <c r="B1154" s="1" t="s">
        <v>1070</v>
      </c>
      <c r="C1154" s="1" t="s">
        <v>8</v>
      </c>
      <c r="D1154" s="1">
        <v>1028511</v>
      </c>
      <c r="E1154" s="1">
        <v>1029587</v>
      </c>
      <c r="F1154" s="1" t="s">
        <v>13</v>
      </c>
      <c r="G1154" s="1" t="s">
        <v>11409</v>
      </c>
    </row>
    <row r="1155" spans="1:7" ht="21" x14ac:dyDescent="0.25">
      <c r="A1155" s="2" t="str">
        <f>HYPERLINK("https://rth.dk/resources/bsgatlas/details.php?id=BSGatlas-gene-1154","BSGatlas-gene-1154")</f>
        <v>BSGatlas-gene-1154</v>
      </c>
      <c r="B1155" s="1" t="s">
        <v>1071</v>
      </c>
      <c r="C1155" s="1" t="s">
        <v>8</v>
      </c>
      <c r="D1155" s="1">
        <v>1029577</v>
      </c>
      <c r="E1155" s="1">
        <v>1030068</v>
      </c>
      <c r="F1155" s="1" t="s">
        <v>13</v>
      </c>
      <c r="G1155" s="1" t="s">
        <v>11409</v>
      </c>
    </row>
    <row r="1156" spans="1:7" ht="21" x14ac:dyDescent="0.25">
      <c r="A1156" s="2" t="str">
        <f>HYPERLINK("https://rth.dk/resources/bsgatlas/details.php?id=BSGatlas-gene-1155","BSGatlas-gene-1155")</f>
        <v>BSGatlas-gene-1155</v>
      </c>
      <c r="B1156" s="1" t="s">
        <v>1072</v>
      </c>
      <c r="C1156" s="1" t="s">
        <v>8</v>
      </c>
      <c r="D1156" s="1">
        <v>1030265</v>
      </c>
      <c r="E1156" s="1">
        <v>1031260</v>
      </c>
      <c r="F1156" s="1" t="s">
        <v>9</v>
      </c>
      <c r="G1156" s="1" t="s">
        <v>11409</v>
      </c>
    </row>
    <row r="1157" spans="1:7" ht="21" x14ac:dyDescent="0.25">
      <c r="A1157" s="2" t="str">
        <f>HYPERLINK("https://rth.dk/resources/bsgatlas/details.php?id=BSGatlas-gene-1156","BSGatlas-gene-1156")</f>
        <v>BSGatlas-gene-1156</v>
      </c>
      <c r="B1157" s="1" t="s">
        <v>1073</v>
      </c>
      <c r="C1157" s="1" t="s">
        <v>8</v>
      </c>
      <c r="D1157" s="1">
        <v>1031395</v>
      </c>
      <c r="E1157" s="1">
        <v>1031994</v>
      </c>
      <c r="F1157" s="1" t="s">
        <v>9</v>
      </c>
      <c r="G1157" s="1" t="s">
        <v>11409</v>
      </c>
    </row>
    <row r="1158" spans="1:7" ht="21" x14ac:dyDescent="0.25">
      <c r="A1158" s="2" t="str">
        <f>HYPERLINK("https://rth.dk/resources/bsgatlas/details.php?id=BSGatlas-gene-1157","BSGatlas-gene-1157")</f>
        <v>BSGatlas-gene-1157</v>
      </c>
      <c r="B1158" s="1" t="s">
        <v>1074</v>
      </c>
      <c r="C1158" s="1" t="s">
        <v>8</v>
      </c>
      <c r="D1158" s="1">
        <v>1032063</v>
      </c>
      <c r="E1158" s="1">
        <v>1033397</v>
      </c>
      <c r="F1158" s="1" t="s">
        <v>13</v>
      </c>
      <c r="G1158" s="1" t="s">
        <v>11409</v>
      </c>
    </row>
    <row r="1159" spans="1:7" ht="21" x14ac:dyDescent="0.25">
      <c r="A1159" s="2" t="str">
        <f>HYPERLINK("https://rth.dk/resources/bsgatlas/details.php?id=BSGatlas-gene-1158","BSGatlas-gene-1158")</f>
        <v>BSGatlas-gene-1158</v>
      </c>
      <c r="B1159" s="1" t="s">
        <v>1075</v>
      </c>
      <c r="C1159" s="1" t="s">
        <v>8</v>
      </c>
      <c r="D1159" s="1">
        <v>1033458</v>
      </c>
      <c r="E1159" s="1">
        <v>1033889</v>
      </c>
      <c r="F1159" s="1" t="s">
        <v>13</v>
      </c>
      <c r="G1159" s="1" t="s">
        <v>11409</v>
      </c>
    </row>
    <row r="1160" spans="1:7" ht="21" x14ac:dyDescent="0.25">
      <c r="A1160" s="2" t="str">
        <f>HYPERLINK("https://rth.dk/resources/bsgatlas/details.php?id=BSGatlas-gene-1159","BSGatlas-gene-1159")</f>
        <v>BSGatlas-gene-1159</v>
      </c>
      <c r="B1160" s="1" t="s">
        <v>1076</v>
      </c>
      <c r="C1160" s="1" t="s">
        <v>8</v>
      </c>
      <c r="D1160" s="1">
        <v>1034046</v>
      </c>
      <c r="E1160" s="1">
        <v>1035227</v>
      </c>
      <c r="F1160" s="1" t="s">
        <v>9</v>
      </c>
      <c r="G1160" s="1" t="s">
        <v>11409</v>
      </c>
    </row>
    <row r="1161" spans="1:7" ht="21" x14ac:dyDescent="0.25">
      <c r="A1161" s="2" t="str">
        <f>HYPERLINK("https://rth.dk/resources/bsgatlas/details.php?id=BSGatlas-gene-1160","BSGatlas-gene-1160")</f>
        <v>BSGatlas-gene-1160</v>
      </c>
      <c r="B1161" s="1" t="s">
        <v>522</v>
      </c>
      <c r="C1161" s="1" t="s">
        <v>34</v>
      </c>
      <c r="D1161" s="1">
        <v>1035409</v>
      </c>
      <c r="E1161" s="1">
        <v>1035538</v>
      </c>
      <c r="F1161" s="1" t="s">
        <v>9</v>
      </c>
      <c r="G1161" s="1" t="s">
        <v>11414</v>
      </c>
    </row>
    <row r="1162" spans="1:7" ht="21" x14ac:dyDescent="0.25">
      <c r="A1162" s="2" t="str">
        <f>HYPERLINK("https://rth.dk/resources/bsgatlas/details.php?id=BSGatlas-gene-1161","BSGatlas-gene-1161")</f>
        <v>BSGatlas-gene-1161</v>
      </c>
      <c r="B1162" s="1" t="s">
        <v>1077</v>
      </c>
      <c r="C1162" s="1" t="s">
        <v>8</v>
      </c>
      <c r="D1162" s="1">
        <v>1035554</v>
      </c>
      <c r="E1162" s="1">
        <v>1036939</v>
      </c>
      <c r="F1162" s="1" t="s">
        <v>9</v>
      </c>
      <c r="G1162" s="1" t="s">
        <v>11409</v>
      </c>
    </row>
    <row r="1163" spans="1:7" ht="21" x14ac:dyDescent="0.25">
      <c r="A1163" s="2" t="str">
        <f>HYPERLINK("https://rth.dk/resources/bsgatlas/details.php?id=BSGatlas-gene-1162","BSGatlas-gene-1162")</f>
        <v>BSGatlas-gene-1162</v>
      </c>
      <c r="B1163" s="1" t="s">
        <v>1078</v>
      </c>
      <c r="C1163" s="1" t="s">
        <v>8</v>
      </c>
      <c r="D1163" s="1">
        <v>1036953</v>
      </c>
      <c r="E1163" s="1">
        <v>1037309</v>
      </c>
      <c r="F1163" s="1" t="s">
        <v>13</v>
      </c>
      <c r="G1163" s="1" t="s">
        <v>11409</v>
      </c>
    </row>
    <row r="1164" spans="1:7" ht="21" x14ac:dyDescent="0.25">
      <c r="A1164" s="2" t="str">
        <f>HYPERLINK("https://rth.dk/resources/bsgatlas/details.php?id=BSGatlas-gene-1163","BSGatlas-gene-1163")</f>
        <v>BSGatlas-gene-1163</v>
      </c>
      <c r="B1164" s="1" t="s">
        <v>1079</v>
      </c>
      <c r="C1164" s="1" t="s">
        <v>8</v>
      </c>
      <c r="D1164" s="1">
        <v>1037306</v>
      </c>
      <c r="E1164" s="1">
        <v>1037701</v>
      </c>
      <c r="F1164" s="1" t="s">
        <v>13</v>
      </c>
      <c r="G1164" s="1" t="s">
        <v>11409</v>
      </c>
    </row>
    <row r="1165" spans="1:7" ht="21" x14ac:dyDescent="0.25">
      <c r="A1165" s="2" t="str">
        <f>HYPERLINK("https://rth.dk/resources/bsgatlas/details.php?id=BSGatlas-gene-1164","BSGatlas-gene-1164")</f>
        <v>BSGatlas-gene-1164</v>
      </c>
      <c r="B1165" s="1" t="s">
        <v>1080</v>
      </c>
      <c r="C1165" s="1" t="s">
        <v>8</v>
      </c>
      <c r="D1165" s="1">
        <v>1037688</v>
      </c>
      <c r="E1165" s="1">
        <v>1038419</v>
      </c>
      <c r="F1165" s="1" t="s">
        <v>13</v>
      </c>
      <c r="G1165" s="1" t="s">
        <v>11409</v>
      </c>
    </row>
    <row r="1166" spans="1:7" ht="21" x14ac:dyDescent="0.25">
      <c r="A1166" s="2" t="str">
        <f>HYPERLINK("https://rth.dk/resources/bsgatlas/details.php?id=BSGatlas-gene-1165","BSGatlas-gene-1165")</f>
        <v>BSGatlas-gene-1165</v>
      </c>
      <c r="B1166" s="1" t="s">
        <v>1081</v>
      </c>
      <c r="C1166" s="1" t="s">
        <v>8</v>
      </c>
      <c r="D1166" s="1">
        <v>1038653</v>
      </c>
      <c r="E1166" s="1">
        <v>1038760</v>
      </c>
      <c r="F1166" s="1" t="s">
        <v>9</v>
      </c>
      <c r="G1166" s="1" t="s">
        <v>11409</v>
      </c>
    </row>
    <row r="1167" spans="1:7" ht="21" x14ac:dyDescent="0.25">
      <c r="A1167" s="2" t="str">
        <f>HYPERLINK("https://rth.dk/resources/bsgatlas/details.php?id=BSGatlas-gene-1166","BSGatlas-gene-1166")</f>
        <v>BSGatlas-gene-1166</v>
      </c>
      <c r="B1167" s="1" t="s">
        <v>1082</v>
      </c>
      <c r="C1167" s="1" t="s">
        <v>8</v>
      </c>
      <c r="D1167" s="1">
        <v>1038909</v>
      </c>
      <c r="E1167" s="1">
        <v>1040024</v>
      </c>
      <c r="F1167" s="1" t="s">
        <v>9</v>
      </c>
      <c r="G1167" s="1" t="s">
        <v>11409</v>
      </c>
    </row>
    <row r="1168" spans="1:7" ht="21" x14ac:dyDescent="0.25">
      <c r="A1168" s="2" t="str">
        <f>HYPERLINK("https://rth.dk/resources/bsgatlas/details.php?id=BSGatlas-gene-1167","BSGatlas-gene-1167")</f>
        <v>BSGatlas-gene-1167</v>
      </c>
      <c r="B1168" s="1" t="s">
        <v>1083</v>
      </c>
      <c r="C1168" s="1" t="s">
        <v>8</v>
      </c>
      <c r="D1168" s="1">
        <v>1040094</v>
      </c>
      <c r="E1168" s="1">
        <v>1040837</v>
      </c>
      <c r="F1168" s="1" t="s">
        <v>9</v>
      </c>
      <c r="G1168" s="1" t="s">
        <v>11409</v>
      </c>
    </row>
    <row r="1169" spans="1:7" ht="21" x14ac:dyDescent="0.25">
      <c r="A1169" s="2" t="str">
        <f>HYPERLINK("https://rth.dk/resources/bsgatlas/details.php?id=BSGatlas-gene-1168","BSGatlas-gene-1168")</f>
        <v>BSGatlas-gene-1168</v>
      </c>
      <c r="B1169" s="1" t="s">
        <v>1084</v>
      </c>
      <c r="C1169" s="1" t="s">
        <v>8</v>
      </c>
      <c r="D1169" s="1">
        <v>1040861</v>
      </c>
      <c r="E1169" s="1">
        <v>1041709</v>
      </c>
      <c r="F1169" s="1" t="s">
        <v>13</v>
      </c>
      <c r="G1169" s="1" t="s">
        <v>11409</v>
      </c>
    </row>
    <row r="1170" spans="1:7" ht="21" x14ac:dyDescent="0.25">
      <c r="A1170" s="2" t="str">
        <f>HYPERLINK("https://rth.dk/resources/bsgatlas/details.php?id=BSGatlas-gene-1169","BSGatlas-gene-1169")</f>
        <v>BSGatlas-gene-1169</v>
      </c>
      <c r="B1170" s="1" t="s">
        <v>1085</v>
      </c>
      <c r="C1170" s="1" t="s">
        <v>8</v>
      </c>
      <c r="D1170" s="1">
        <v>1041994</v>
      </c>
      <c r="E1170" s="1">
        <v>1042842</v>
      </c>
      <c r="F1170" s="1" t="s">
        <v>9</v>
      </c>
      <c r="G1170" s="1" t="s">
        <v>11409</v>
      </c>
    </row>
    <row r="1171" spans="1:7" ht="21" x14ac:dyDescent="0.25">
      <c r="A1171" s="2" t="str">
        <f>HYPERLINK("https://rth.dk/resources/bsgatlas/details.php?id=BSGatlas-gene-1170","BSGatlas-gene-1170")</f>
        <v>BSGatlas-gene-1170</v>
      </c>
      <c r="B1171" s="1" t="s">
        <v>1086</v>
      </c>
      <c r="C1171" s="1" t="s">
        <v>8</v>
      </c>
      <c r="D1171" s="1">
        <v>1042885</v>
      </c>
      <c r="E1171" s="1">
        <v>1044246</v>
      </c>
      <c r="F1171" s="1" t="s">
        <v>13</v>
      </c>
      <c r="G1171" s="1" t="s">
        <v>11409</v>
      </c>
    </row>
    <row r="1172" spans="1:7" ht="21" x14ac:dyDescent="0.25">
      <c r="A1172" s="2" t="str">
        <f>HYPERLINK("https://rth.dk/resources/bsgatlas/details.php?id=BSGatlas-gene-1171","BSGatlas-gene-1171")</f>
        <v>BSGatlas-gene-1171</v>
      </c>
      <c r="B1172" s="1" t="s">
        <v>1087</v>
      </c>
      <c r="C1172" s="1" t="s">
        <v>8</v>
      </c>
      <c r="D1172" s="1">
        <v>1044373</v>
      </c>
      <c r="E1172" s="1">
        <v>1044873</v>
      </c>
      <c r="F1172" s="1" t="s">
        <v>13</v>
      </c>
      <c r="G1172" s="1" t="s">
        <v>11409</v>
      </c>
    </row>
    <row r="1173" spans="1:7" ht="21" x14ac:dyDescent="0.25">
      <c r="A1173" s="2" t="str">
        <f>HYPERLINK("https://rth.dk/resources/bsgatlas/details.php?id=BSGatlas-gene-1172","BSGatlas-gene-1172")</f>
        <v>BSGatlas-gene-1172</v>
      </c>
      <c r="B1173" s="1" t="s">
        <v>1091</v>
      </c>
      <c r="C1173" s="1" t="s">
        <v>34</v>
      </c>
      <c r="D1173" s="1">
        <v>1044986</v>
      </c>
      <c r="E1173" s="1">
        <v>1045185</v>
      </c>
      <c r="F1173" s="1" t="s">
        <v>9</v>
      </c>
      <c r="G1173" s="1" t="s">
        <v>11414</v>
      </c>
    </row>
    <row r="1174" spans="1:7" ht="21" x14ac:dyDescent="0.25">
      <c r="A1174" s="2" t="str">
        <f>HYPERLINK("https://rth.dk/resources/bsgatlas/details.php?id=BSGatlas-gene-1173","BSGatlas-gene-1173")</f>
        <v>BSGatlas-gene-1173</v>
      </c>
      <c r="B1174" s="1" t="s">
        <v>1088</v>
      </c>
      <c r="C1174" s="1" t="s">
        <v>8</v>
      </c>
      <c r="D1174" s="1">
        <v>1045037</v>
      </c>
      <c r="E1174" s="1">
        <v>1045198</v>
      </c>
      <c r="F1174" s="1" t="s">
        <v>9</v>
      </c>
      <c r="G1174" s="1" t="s">
        <v>11409</v>
      </c>
    </row>
    <row r="1175" spans="1:7" ht="21" x14ac:dyDescent="0.25">
      <c r="A1175" s="2" t="str">
        <f>HYPERLINK("https://rth.dk/resources/bsgatlas/details.php?id=BSGatlas-gene-1174","BSGatlas-gene-1174")</f>
        <v>BSGatlas-gene-1174</v>
      </c>
      <c r="B1175" s="1" t="s">
        <v>1089</v>
      </c>
      <c r="C1175" s="1" t="s">
        <v>8</v>
      </c>
      <c r="D1175" s="1">
        <v>1045318</v>
      </c>
      <c r="E1175" s="1">
        <v>1047075</v>
      </c>
      <c r="F1175" s="1" t="s">
        <v>9</v>
      </c>
      <c r="G1175" s="1" t="s">
        <v>11409</v>
      </c>
    </row>
    <row r="1176" spans="1:7" ht="21" x14ac:dyDescent="0.25">
      <c r="A1176" s="2" t="str">
        <f>HYPERLINK("https://rth.dk/resources/bsgatlas/details.php?id=BSGatlas-gene-1175","BSGatlas-gene-1175")</f>
        <v>BSGatlas-gene-1175</v>
      </c>
      <c r="B1176" s="1" t="s">
        <v>1090</v>
      </c>
      <c r="C1176" s="1" t="s">
        <v>8</v>
      </c>
      <c r="D1176" s="1">
        <v>1047072</v>
      </c>
      <c r="E1176" s="1">
        <v>1049093</v>
      </c>
      <c r="F1176" s="1" t="s">
        <v>9</v>
      </c>
      <c r="G1176" s="1" t="s">
        <v>11409</v>
      </c>
    </row>
    <row r="1177" spans="1:7" ht="21" x14ac:dyDescent="0.25">
      <c r="A1177" s="2" t="str">
        <f>HYPERLINK("https://rth.dk/resources/bsgatlas/details.php?id=BSGatlas-gene-1176","BSGatlas-gene-1176")</f>
        <v>BSGatlas-gene-1176</v>
      </c>
      <c r="B1177" s="1" t="s">
        <v>1092</v>
      </c>
      <c r="C1177" s="1" t="s">
        <v>8</v>
      </c>
      <c r="D1177" s="1">
        <v>1049142</v>
      </c>
      <c r="E1177" s="1">
        <v>1049762</v>
      </c>
      <c r="F1177" s="1" t="s">
        <v>13</v>
      </c>
      <c r="G1177" s="1" t="s">
        <v>11409</v>
      </c>
    </row>
    <row r="1178" spans="1:7" ht="21" x14ac:dyDescent="0.25">
      <c r="A1178" s="2" t="str">
        <f>HYPERLINK("https://rth.dk/resources/bsgatlas/details.php?id=BSGatlas-gene-1177","BSGatlas-gene-1177")</f>
        <v>BSGatlas-gene-1177</v>
      </c>
      <c r="B1178" s="1" t="s">
        <v>1093</v>
      </c>
      <c r="C1178" s="1" t="s">
        <v>8</v>
      </c>
      <c r="D1178" s="1">
        <v>1049801</v>
      </c>
      <c r="E1178" s="1">
        <v>1049926</v>
      </c>
      <c r="F1178" s="1" t="s">
        <v>13</v>
      </c>
      <c r="G1178" s="1" t="s">
        <v>11409</v>
      </c>
    </row>
    <row r="1179" spans="1:7" ht="21" x14ac:dyDescent="0.25">
      <c r="A1179" s="2" t="str">
        <f>HYPERLINK("https://rth.dk/resources/bsgatlas/details.php?id=BSGatlas-gene-1178","BSGatlas-gene-1178")</f>
        <v>BSGatlas-gene-1178</v>
      </c>
      <c r="B1179" s="1" t="s">
        <v>1094</v>
      </c>
      <c r="C1179" s="1" t="s">
        <v>8</v>
      </c>
      <c r="D1179" s="1">
        <v>1050031</v>
      </c>
      <c r="E1179" s="1">
        <v>1050234</v>
      </c>
      <c r="F1179" s="1" t="s">
        <v>13</v>
      </c>
      <c r="G1179" s="1" t="s">
        <v>11409</v>
      </c>
    </row>
    <row r="1180" spans="1:7" ht="21" x14ac:dyDescent="0.25">
      <c r="A1180" s="2" t="str">
        <f>HYPERLINK("https://rth.dk/resources/bsgatlas/details.php?id=BSGatlas-gene-1179","BSGatlas-gene-1179")</f>
        <v>BSGatlas-gene-1179</v>
      </c>
      <c r="B1180" s="1" t="s">
        <v>1095</v>
      </c>
      <c r="C1180" s="1" t="s">
        <v>8</v>
      </c>
      <c r="D1180" s="1">
        <v>1050443</v>
      </c>
      <c r="E1180" s="1">
        <v>1050661</v>
      </c>
      <c r="F1180" s="1" t="s">
        <v>13</v>
      </c>
      <c r="G1180" s="1" t="s">
        <v>11409</v>
      </c>
    </row>
    <row r="1181" spans="1:7" ht="21" x14ac:dyDescent="0.25">
      <c r="A1181" s="2" t="str">
        <f>HYPERLINK("https://rth.dk/resources/bsgatlas/details.php?id=BSGatlas-gene-1180","BSGatlas-gene-1180")</f>
        <v>BSGatlas-gene-1180</v>
      </c>
      <c r="B1181" s="1" t="s">
        <v>1096</v>
      </c>
      <c r="C1181" s="1" t="s">
        <v>8</v>
      </c>
      <c r="D1181" s="1">
        <v>1050811</v>
      </c>
      <c r="E1181" s="1">
        <v>1052172</v>
      </c>
      <c r="F1181" s="1" t="s">
        <v>13</v>
      </c>
      <c r="G1181" s="1" t="s">
        <v>11409</v>
      </c>
    </row>
    <row r="1182" spans="1:7" ht="21" x14ac:dyDescent="0.25">
      <c r="A1182" s="2" t="str">
        <f>HYPERLINK("https://rth.dk/resources/bsgatlas/details.php?id=BSGatlas-gene-1181","BSGatlas-gene-1181")</f>
        <v>BSGatlas-gene-1181</v>
      </c>
      <c r="B1182" s="1" t="s">
        <v>1097</v>
      </c>
      <c r="C1182" s="1" t="s">
        <v>8</v>
      </c>
      <c r="D1182" s="1">
        <v>1052162</v>
      </c>
      <c r="E1182" s="1">
        <v>1053253</v>
      </c>
      <c r="F1182" s="1" t="s">
        <v>13</v>
      </c>
      <c r="G1182" s="1" t="s">
        <v>11409</v>
      </c>
    </row>
    <row r="1183" spans="1:7" ht="21" x14ac:dyDescent="0.25">
      <c r="A1183" s="2" t="str">
        <f>HYPERLINK("https://rth.dk/resources/bsgatlas/details.php?id=BSGatlas-gene-1182","BSGatlas-gene-1182")</f>
        <v>BSGatlas-gene-1182</v>
      </c>
      <c r="B1183" s="1" t="s">
        <v>1098</v>
      </c>
      <c r="C1183" s="1" t="s">
        <v>8</v>
      </c>
      <c r="D1183" s="1">
        <v>1053520</v>
      </c>
      <c r="E1183" s="1">
        <v>1054653</v>
      </c>
      <c r="F1183" s="1" t="s">
        <v>9</v>
      </c>
      <c r="G1183" s="1" t="s">
        <v>11409</v>
      </c>
    </row>
    <row r="1184" spans="1:7" ht="21" x14ac:dyDescent="0.25">
      <c r="A1184" s="2" t="str">
        <f>HYPERLINK("https://rth.dk/resources/bsgatlas/details.php?id=BSGatlas-gene-1183","BSGatlas-gene-1183")</f>
        <v>BSGatlas-gene-1183</v>
      </c>
      <c r="B1184" s="1" t="s">
        <v>1099</v>
      </c>
      <c r="C1184" s="1" t="s">
        <v>8</v>
      </c>
      <c r="D1184" s="1">
        <v>1054746</v>
      </c>
      <c r="E1184" s="1">
        <v>1055099</v>
      </c>
      <c r="F1184" s="1" t="s">
        <v>9</v>
      </c>
      <c r="G1184" s="1" t="s">
        <v>11409</v>
      </c>
    </row>
    <row r="1185" spans="1:7" ht="21" x14ac:dyDescent="0.25">
      <c r="A1185" s="2" t="str">
        <f>HYPERLINK("https://rth.dk/resources/bsgatlas/details.php?id=BSGatlas-gene-1184","BSGatlas-gene-1184")</f>
        <v>BSGatlas-gene-1184</v>
      </c>
      <c r="B1185" s="1" t="s">
        <v>1100</v>
      </c>
      <c r="C1185" s="1" t="s">
        <v>8</v>
      </c>
      <c r="D1185" s="1">
        <v>1055143</v>
      </c>
      <c r="E1185" s="1">
        <v>1056216</v>
      </c>
      <c r="F1185" s="1" t="s">
        <v>13</v>
      </c>
      <c r="G1185" s="1" t="s">
        <v>11409</v>
      </c>
    </row>
    <row r="1186" spans="1:7" ht="21" x14ac:dyDescent="0.25">
      <c r="A1186" s="2" t="str">
        <f>HYPERLINK("https://rth.dk/resources/bsgatlas/details.php?id=BSGatlas-gene-1185","BSGatlas-gene-1185")</f>
        <v>BSGatlas-gene-1185</v>
      </c>
      <c r="B1186" s="1" t="s">
        <v>1101</v>
      </c>
      <c r="C1186" s="1" t="s">
        <v>12</v>
      </c>
      <c r="D1186" s="1">
        <v>1056371</v>
      </c>
      <c r="E1186" s="1">
        <v>1056619</v>
      </c>
      <c r="F1186" s="1" t="s">
        <v>9</v>
      </c>
      <c r="G1186" s="1" t="s">
        <v>11442</v>
      </c>
    </row>
    <row r="1187" spans="1:7" ht="21" x14ac:dyDescent="0.25">
      <c r="A1187" s="2" t="str">
        <f>HYPERLINK("https://rth.dk/resources/bsgatlas/details.php?id=BSGatlas-gene-1186","BSGatlas-gene-1186")</f>
        <v>BSGatlas-gene-1186</v>
      </c>
      <c r="B1187" s="1" t="s">
        <v>1102</v>
      </c>
      <c r="C1187" s="1" t="s">
        <v>8</v>
      </c>
      <c r="D1187" s="1">
        <v>1056702</v>
      </c>
      <c r="E1187" s="1">
        <v>1057568</v>
      </c>
      <c r="F1187" s="1" t="s">
        <v>9</v>
      </c>
      <c r="G1187" s="1" t="s">
        <v>11409</v>
      </c>
    </row>
    <row r="1188" spans="1:7" ht="21" x14ac:dyDescent="0.25">
      <c r="A1188" s="2" t="str">
        <f>HYPERLINK("https://rth.dk/resources/bsgatlas/details.php?id=BSGatlas-gene-1187","BSGatlas-gene-1187")</f>
        <v>BSGatlas-gene-1187</v>
      </c>
      <c r="B1188" s="1" t="s">
        <v>1103</v>
      </c>
      <c r="C1188" s="1" t="s">
        <v>8</v>
      </c>
      <c r="D1188" s="1">
        <v>1057680</v>
      </c>
      <c r="E1188" s="1">
        <v>1059185</v>
      </c>
      <c r="F1188" s="1" t="s">
        <v>9</v>
      </c>
      <c r="G1188" s="1" t="s">
        <v>11409</v>
      </c>
    </row>
    <row r="1189" spans="1:7" ht="21" x14ac:dyDescent="0.25">
      <c r="A1189" s="2" t="str">
        <f>HYPERLINK("https://rth.dk/resources/bsgatlas/details.php?id=BSGatlas-gene-1188","BSGatlas-gene-1188")</f>
        <v>BSGatlas-gene-1188</v>
      </c>
      <c r="B1189" s="1" t="s">
        <v>1104</v>
      </c>
      <c r="C1189" s="1" t="s">
        <v>8</v>
      </c>
      <c r="D1189" s="1">
        <v>1059203</v>
      </c>
      <c r="E1189" s="1">
        <v>1060420</v>
      </c>
      <c r="F1189" s="1" t="s">
        <v>13</v>
      </c>
      <c r="G1189" s="1" t="s">
        <v>11409</v>
      </c>
    </row>
    <row r="1190" spans="1:7" ht="21" x14ac:dyDescent="0.25">
      <c r="A1190" s="2" t="str">
        <f>HYPERLINK("https://rth.dk/resources/bsgatlas/details.php?id=BSGatlas-gene-1189","BSGatlas-gene-1189")</f>
        <v>BSGatlas-gene-1189</v>
      </c>
      <c r="B1190" s="1" t="s">
        <v>1105</v>
      </c>
      <c r="C1190" s="1" t="s">
        <v>8</v>
      </c>
      <c r="D1190" s="1">
        <v>1060427</v>
      </c>
      <c r="E1190" s="1">
        <v>1060924</v>
      </c>
      <c r="F1190" s="1" t="s">
        <v>13</v>
      </c>
      <c r="G1190" s="1" t="s">
        <v>11409</v>
      </c>
    </row>
    <row r="1191" spans="1:7" ht="21" x14ac:dyDescent="0.25">
      <c r="A1191" s="2" t="str">
        <f>HYPERLINK("https://rth.dk/resources/bsgatlas/details.php?id=BSGatlas-gene-1190","BSGatlas-gene-1190")</f>
        <v>BSGatlas-gene-1190</v>
      </c>
      <c r="B1191" s="1" t="s">
        <v>1106</v>
      </c>
      <c r="C1191" s="1" t="s">
        <v>8</v>
      </c>
      <c r="D1191" s="1">
        <v>1060988</v>
      </c>
      <c r="E1191" s="1">
        <v>1061326</v>
      </c>
      <c r="F1191" s="1" t="s">
        <v>13</v>
      </c>
      <c r="G1191" s="1" t="s">
        <v>11409</v>
      </c>
    </row>
    <row r="1192" spans="1:7" ht="21" x14ac:dyDescent="0.25">
      <c r="A1192" s="2" t="str">
        <f>HYPERLINK("https://rth.dk/resources/bsgatlas/details.php?id=BSGatlas-gene-1191","BSGatlas-gene-1191")</f>
        <v>BSGatlas-gene-1191</v>
      </c>
      <c r="B1192" s="1" t="s">
        <v>1107</v>
      </c>
      <c r="C1192" s="1" t="s">
        <v>8</v>
      </c>
      <c r="D1192" s="1">
        <v>1061491</v>
      </c>
      <c r="E1192" s="1">
        <v>1062258</v>
      </c>
      <c r="F1192" s="1" t="s">
        <v>9</v>
      </c>
      <c r="G1192" s="1" t="s">
        <v>11409</v>
      </c>
    </row>
    <row r="1193" spans="1:7" ht="21" x14ac:dyDescent="0.25">
      <c r="A1193" s="2" t="str">
        <f>HYPERLINK("https://rth.dk/resources/bsgatlas/details.php?id=BSGatlas-gene-1192","BSGatlas-gene-1192")</f>
        <v>BSGatlas-gene-1192</v>
      </c>
      <c r="B1193" s="1" t="s">
        <v>1108</v>
      </c>
      <c r="C1193" s="1" t="s">
        <v>8</v>
      </c>
      <c r="D1193" s="1">
        <v>1062279</v>
      </c>
      <c r="E1193" s="1">
        <v>1062464</v>
      </c>
      <c r="F1193" s="1" t="s">
        <v>13</v>
      </c>
      <c r="G1193" s="1" t="s">
        <v>11409</v>
      </c>
    </row>
    <row r="1194" spans="1:7" ht="21" x14ac:dyDescent="0.25">
      <c r="A1194" s="2" t="str">
        <f>HYPERLINK("https://rth.dk/resources/bsgatlas/details.php?id=BSGatlas-gene-1193","BSGatlas-gene-1193")</f>
        <v>BSGatlas-gene-1193</v>
      </c>
      <c r="B1194" s="1" t="s">
        <v>1109</v>
      </c>
      <c r="C1194" s="1" t="s">
        <v>8</v>
      </c>
      <c r="D1194" s="1">
        <v>1062591</v>
      </c>
      <c r="E1194" s="1">
        <v>1063487</v>
      </c>
      <c r="F1194" s="1" t="s">
        <v>9</v>
      </c>
      <c r="G1194" s="1" t="s">
        <v>11409</v>
      </c>
    </row>
    <row r="1195" spans="1:7" ht="21" x14ac:dyDescent="0.25">
      <c r="A1195" s="2" t="str">
        <f>HYPERLINK("https://rth.dk/resources/bsgatlas/details.php?id=BSGatlas-gene-1194","BSGatlas-gene-1194")</f>
        <v>BSGatlas-gene-1194</v>
      </c>
      <c r="B1195" s="1" t="s">
        <v>1110</v>
      </c>
      <c r="C1195" s="1" t="s">
        <v>8</v>
      </c>
      <c r="D1195" s="1">
        <v>1063480</v>
      </c>
      <c r="E1195" s="1">
        <v>1064739</v>
      </c>
      <c r="F1195" s="1" t="s">
        <v>9</v>
      </c>
      <c r="G1195" s="1" t="s">
        <v>11409</v>
      </c>
    </row>
    <row r="1196" spans="1:7" ht="21" x14ac:dyDescent="0.25">
      <c r="A1196" s="2" t="str">
        <f>HYPERLINK("https://rth.dk/resources/bsgatlas/details.php?id=BSGatlas-gene-1195","BSGatlas-gene-1195")</f>
        <v>BSGatlas-gene-1195</v>
      </c>
      <c r="B1196" s="1" t="s">
        <v>1111</v>
      </c>
      <c r="C1196" s="1" t="s">
        <v>8</v>
      </c>
      <c r="D1196" s="1">
        <v>1064846</v>
      </c>
      <c r="E1196" s="1">
        <v>1066072</v>
      </c>
      <c r="F1196" s="1" t="s">
        <v>9</v>
      </c>
      <c r="G1196" s="1" t="s">
        <v>11409</v>
      </c>
    </row>
    <row r="1197" spans="1:7" ht="21" x14ac:dyDescent="0.25">
      <c r="A1197" s="2" t="str">
        <f>HYPERLINK("https://rth.dk/resources/bsgatlas/details.php?id=BSGatlas-gene-1196","BSGatlas-gene-1196")</f>
        <v>BSGatlas-gene-1196</v>
      </c>
      <c r="B1197" s="1" t="s">
        <v>1112</v>
      </c>
      <c r="C1197" s="1" t="s">
        <v>8</v>
      </c>
      <c r="D1197" s="1">
        <v>1066077</v>
      </c>
      <c r="E1197" s="1">
        <v>1068968</v>
      </c>
      <c r="F1197" s="1" t="s">
        <v>9</v>
      </c>
      <c r="G1197" s="1" t="s">
        <v>11409</v>
      </c>
    </row>
    <row r="1198" spans="1:7" ht="21" x14ac:dyDescent="0.25">
      <c r="A1198" s="2" t="str">
        <f>HYPERLINK("https://rth.dk/resources/bsgatlas/details.php?id=BSGatlas-gene-1197","BSGatlas-gene-1197")</f>
        <v>BSGatlas-gene-1197</v>
      </c>
      <c r="B1198" s="1" t="s">
        <v>1113</v>
      </c>
      <c r="C1198" s="1" t="s">
        <v>8</v>
      </c>
      <c r="D1198" s="1">
        <v>1069042</v>
      </c>
      <c r="E1198" s="1">
        <v>1069986</v>
      </c>
      <c r="F1198" s="1" t="s">
        <v>9</v>
      </c>
      <c r="G1198" s="1" t="s">
        <v>11409</v>
      </c>
    </row>
    <row r="1199" spans="1:7" ht="21" x14ac:dyDescent="0.25">
      <c r="A1199" s="2" t="str">
        <f>HYPERLINK("https://rth.dk/resources/bsgatlas/details.php?id=BSGatlas-gene-1198","BSGatlas-gene-1198")</f>
        <v>BSGatlas-gene-1198</v>
      </c>
      <c r="B1199" s="1" t="s">
        <v>1114</v>
      </c>
      <c r="C1199" s="1" t="s">
        <v>8</v>
      </c>
      <c r="D1199" s="1">
        <v>1070111</v>
      </c>
      <c r="E1199" s="1">
        <v>1070323</v>
      </c>
      <c r="F1199" s="1" t="s">
        <v>9</v>
      </c>
      <c r="G1199" s="1" t="s">
        <v>11409</v>
      </c>
    </row>
    <row r="1200" spans="1:7" ht="21" x14ac:dyDescent="0.25">
      <c r="A1200" s="2" t="str">
        <f>HYPERLINK("https://rth.dk/resources/bsgatlas/details.php?id=BSGatlas-gene-1199","BSGatlas-gene-1199")</f>
        <v>BSGatlas-gene-1199</v>
      </c>
      <c r="B1200" s="1" t="s">
        <v>1115</v>
      </c>
      <c r="C1200" s="1" t="s">
        <v>8</v>
      </c>
      <c r="D1200" s="1">
        <v>1070364</v>
      </c>
      <c r="E1200" s="1">
        <v>1071242</v>
      </c>
      <c r="F1200" s="1" t="s">
        <v>13</v>
      </c>
      <c r="G1200" s="1" t="s">
        <v>11409</v>
      </c>
    </row>
    <row r="1201" spans="1:7" ht="21" x14ac:dyDescent="0.25">
      <c r="A1201" s="2" t="str">
        <f>HYPERLINK("https://rth.dk/resources/bsgatlas/details.php?id=BSGatlas-gene-1200","BSGatlas-gene-1200")</f>
        <v>BSGatlas-gene-1200</v>
      </c>
      <c r="B1201" s="1" t="s">
        <v>1116</v>
      </c>
      <c r="C1201" s="1" t="s">
        <v>8</v>
      </c>
      <c r="D1201" s="1">
        <v>1071402</v>
      </c>
      <c r="E1201" s="1">
        <v>1071488</v>
      </c>
      <c r="F1201" s="1" t="s">
        <v>9</v>
      </c>
      <c r="G1201" s="1" t="s">
        <v>11409</v>
      </c>
    </row>
    <row r="1202" spans="1:7" ht="21" x14ac:dyDescent="0.25">
      <c r="A1202" s="2" t="str">
        <f>HYPERLINK("https://rth.dk/resources/bsgatlas/details.php?id=BSGatlas-gene-1201","BSGatlas-gene-1201")</f>
        <v>BSGatlas-gene-1201</v>
      </c>
      <c r="B1202" s="1" t="s">
        <v>1117</v>
      </c>
      <c r="C1202" s="1" t="s">
        <v>8</v>
      </c>
      <c r="D1202" s="1">
        <v>1071613</v>
      </c>
      <c r="E1202" s="1">
        <v>1071699</v>
      </c>
      <c r="F1202" s="1" t="s">
        <v>9</v>
      </c>
      <c r="G1202" s="1" t="s">
        <v>11409</v>
      </c>
    </row>
    <row r="1203" spans="1:7" ht="21" x14ac:dyDescent="0.25">
      <c r="A1203" s="2" t="str">
        <f>HYPERLINK("https://rth.dk/resources/bsgatlas/details.php?id=BSGatlas-gene-1202","BSGatlas-gene-1202")</f>
        <v>BSGatlas-gene-1202</v>
      </c>
      <c r="B1203" s="1" t="s">
        <v>1118</v>
      </c>
      <c r="C1203" s="1" t="s">
        <v>12</v>
      </c>
      <c r="D1203" s="1">
        <v>1071709</v>
      </c>
      <c r="E1203" s="1">
        <v>1071971</v>
      </c>
      <c r="F1203" s="1" t="s">
        <v>13</v>
      </c>
      <c r="G1203" s="1" t="s">
        <v>11406</v>
      </c>
    </row>
    <row r="1204" spans="1:7" ht="21" x14ac:dyDescent="0.25">
      <c r="A1204" s="2" t="str">
        <f>HYPERLINK("https://rth.dk/resources/bsgatlas/details.php?id=BSGatlas-gene-1203","BSGatlas-gene-1203")</f>
        <v>BSGatlas-gene-1203</v>
      </c>
      <c r="B1204" s="1" t="s">
        <v>1119</v>
      </c>
      <c r="C1204" s="1" t="s">
        <v>8</v>
      </c>
      <c r="D1204" s="1">
        <v>1072042</v>
      </c>
      <c r="E1204" s="1">
        <v>1072560</v>
      </c>
      <c r="F1204" s="1" t="s">
        <v>13</v>
      </c>
      <c r="G1204" s="1" t="s">
        <v>11409</v>
      </c>
    </row>
    <row r="1205" spans="1:7" ht="21" x14ac:dyDescent="0.25">
      <c r="A1205" s="2" t="str">
        <f>HYPERLINK("https://rth.dk/resources/bsgatlas/details.php?id=BSGatlas-gene-1204","BSGatlas-gene-1204")</f>
        <v>BSGatlas-gene-1204</v>
      </c>
      <c r="B1205" s="1" t="s">
        <v>1120</v>
      </c>
      <c r="C1205" s="1" t="s">
        <v>8</v>
      </c>
      <c r="D1205" s="1">
        <v>1072768</v>
      </c>
      <c r="E1205" s="1">
        <v>1073109</v>
      </c>
      <c r="F1205" s="1" t="s">
        <v>9</v>
      </c>
      <c r="G1205" s="1" t="s">
        <v>11409</v>
      </c>
    </row>
    <row r="1206" spans="1:7" ht="21" x14ac:dyDescent="0.25">
      <c r="A1206" s="2" t="str">
        <f>HYPERLINK("https://rth.dk/resources/bsgatlas/details.php?id=BSGatlas-gene-1205","BSGatlas-gene-1205")</f>
        <v>BSGatlas-gene-1205</v>
      </c>
      <c r="B1206" s="1" t="s">
        <v>1121</v>
      </c>
      <c r="C1206" s="1" t="s">
        <v>8</v>
      </c>
      <c r="D1206" s="1">
        <v>1073106</v>
      </c>
      <c r="E1206" s="1">
        <v>1073717</v>
      </c>
      <c r="F1206" s="1" t="s">
        <v>13</v>
      </c>
      <c r="G1206" s="1" t="s">
        <v>11409</v>
      </c>
    </row>
    <row r="1207" spans="1:7" ht="21" x14ac:dyDescent="0.25">
      <c r="A1207" s="2" t="str">
        <f>HYPERLINK("https://rth.dk/resources/bsgatlas/details.php?id=BSGatlas-gene-1206","BSGatlas-gene-1206")</f>
        <v>BSGatlas-gene-1206</v>
      </c>
      <c r="B1207" s="1" t="s">
        <v>1123</v>
      </c>
      <c r="C1207" s="1" t="s">
        <v>8</v>
      </c>
      <c r="D1207" s="1">
        <v>1073895</v>
      </c>
      <c r="E1207" s="1">
        <v>1074251</v>
      </c>
      <c r="F1207" s="1" t="s">
        <v>13</v>
      </c>
      <c r="G1207" s="1" t="s">
        <v>11409</v>
      </c>
    </row>
    <row r="1208" spans="1:7" ht="21" x14ac:dyDescent="0.25">
      <c r="A1208" s="2" t="str">
        <f>HYPERLINK("https://rth.dk/resources/bsgatlas/details.php?id=BSGatlas-gene-1207","BSGatlas-gene-1207")</f>
        <v>BSGatlas-gene-1207</v>
      </c>
      <c r="B1208" s="1" t="s">
        <v>1122</v>
      </c>
      <c r="C1208" s="1" t="s">
        <v>8</v>
      </c>
      <c r="D1208" s="1">
        <v>1074381</v>
      </c>
      <c r="E1208" s="1">
        <v>1074572</v>
      </c>
      <c r="F1208" s="1" t="s">
        <v>9</v>
      </c>
      <c r="G1208" s="1" t="s">
        <v>11409</v>
      </c>
    </row>
    <row r="1209" spans="1:7" ht="21" x14ac:dyDescent="0.25">
      <c r="A1209" s="2" t="str">
        <f>HYPERLINK("https://rth.dk/resources/bsgatlas/details.php?id=BSGatlas-gene-1208","BSGatlas-gene-1208")</f>
        <v>BSGatlas-gene-1208</v>
      </c>
      <c r="B1209" s="1" t="s">
        <v>1124</v>
      </c>
      <c r="C1209" s="1" t="s">
        <v>8</v>
      </c>
      <c r="D1209" s="1">
        <v>1074646</v>
      </c>
      <c r="E1209" s="1">
        <v>1075164</v>
      </c>
      <c r="F1209" s="1" t="s">
        <v>13</v>
      </c>
      <c r="G1209" s="1" t="s">
        <v>11409</v>
      </c>
    </row>
    <row r="1210" spans="1:7" ht="21" x14ac:dyDescent="0.25">
      <c r="A1210" s="2" t="str">
        <f>HYPERLINK("https://rth.dk/resources/bsgatlas/details.php?id=BSGatlas-gene-1209","BSGatlas-gene-1209")</f>
        <v>BSGatlas-gene-1209</v>
      </c>
      <c r="B1210" s="1" t="s">
        <v>1125</v>
      </c>
      <c r="C1210" s="1" t="s">
        <v>8</v>
      </c>
      <c r="D1210" s="1">
        <v>1075289</v>
      </c>
      <c r="E1210" s="1">
        <v>1076368</v>
      </c>
      <c r="F1210" s="1" t="s">
        <v>13</v>
      </c>
      <c r="G1210" s="1" t="s">
        <v>11409</v>
      </c>
    </row>
    <row r="1211" spans="1:7" ht="21" x14ac:dyDescent="0.25">
      <c r="A1211" s="2" t="str">
        <f>HYPERLINK("https://rth.dk/resources/bsgatlas/details.php?id=BSGatlas-gene-1210","BSGatlas-gene-1210")</f>
        <v>BSGatlas-gene-1210</v>
      </c>
      <c r="B1211" s="1" t="s">
        <v>1126</v>
      </c>
      <c r="C1211" s="1" t="s">
        <v>8</v>
      </c>
      <c r="D1211" s="1">
        <v>1076515</v>
      </c>
      <c r="E1211" s="1">
        <v>1076952</v>
      </c>
      <c r="F1211" s="1" t="s">
        <v>13</v>
      </c>
      <c r="G1211" s="1" t="s">
        <v>11409</v>
      </c>
    </row>
    <row r="1212" spans="1:7" ht="21" x14ac:dyDescent="0.25">
      <c r="A1212" s="2" t="str">
        <f>HYPERLINK("https://rth.dk/resources/bsgatlas/details.php?id=BSGatlas-gene-1211","BSGatlas-gene-1211")</f>
        <v>BSGatlas-gene-1211</v>
      </c>
      <c r="B1212" s="1" t="s">
        <v>1127</v>
      </c>
      <c r="C1212" s="1" t="s">
        <v>12</v>
      </c>
      <c r="D1212" s="1">
        <v>1077246</v>
      </c>
      <c r="E1212" s="1">
        <v>1077313</v>
      </c>
      <c r="F1212" s="1" t="s">
        <v>13</v>
      </c>
      <c r="G1212" s="1" t="s">
        <v>11442</v>
      </c>
    </row>
    <row r="1213" spans="1:7" ht="21" x14ac:dyDescent="0.25">
      <c r="A1213" s="2" t="str">
        <f>HYPERLINK("https://rth.dk/resources/bsgatlas/details.php?id=BSGatlas-gene-1212","BSGatlas-gene-1212")</f>
        <v>BSGatlas-gene-1212</v>
      </c>
      <c r="B1213" s="1" t="s">
        <v>1128</v>
      </c>
      <c r="C1213" s="1" t="s">
        <v>8</v>
      </c>
      <c r="D1213" s="1">
        <v>1077440</v>
      </c>
      <c r="E1213" s="1">
        <v>1078183</v>
      </c>
      <c r="F1213" s="1" t="s">
        <v>9</v>
      </c>
      <c r="G1213" s="1" t="s">
        <v>11409</v>
      </c>
    </row>
    <row r="1214" spans="1:7" ht="21" x14ac:dyDescent="0.25">
      <c r="A1214" s="2" t="str">
        <f>HYPERLINK("https://rth.dk/resources/bsgatlas/details.php?id=BSGatlas-gene-1213","BSGatlas-gene-1213")</f>
        <v>BSGatlas-gene-1213</v>
      </c>
      <c r="B1214" s="1" t="s">
        <v>1129</v>
      </c>
      <c r="C1214" s="1" t="s">
        <v>8</v>
      </c>
      <c r="D1214" s="1">
        <v>1078176</v>
      </c>
      <c r="E1214" s="1">
        <v>1079402</v>
      </c>
      <c r="F1214" s="1" t="s">
        <v>9</v>
      </c>
      <c r="G1214" s="1" t="s">
        <v>11409</v>
      </c>
    </row>
    <row r="1215" spans="1:7" ht="21" x14ac:dyDescent="0.25">
      <c r="A1215" s="2" t="str">
        <f>HYPERLINK("https://rth.dk/resources/bsgatlas/details.php?id=BSGatlas-gene-1214","BSGatlas-gene-1214")</f>
        <v>BSGatlas-gene-1214</v>
      </c>
      <c r="B1215" s="1" t="s">
        <v>1130</v>
      </c>
      <c r="C1215" s="1" t="s">
        <v>8</v>
      </c>
      <c r="D1215" s="1">
        <v>1079422</v>
      </c>
      <c r="E1215" s="1">
        <v>1080132</v>
      </c>
      <c r="F1215" s="1" t="s">
        <v>9</v>
      </c>
      <c r="G1215" s="1" t="s">
        <v>11409</v>
      </c>
    </row>
    <row r="1216" spans="1:7" ht="21" x14ac:dyDescent="0.25">
      <c r="A1216" s="2" t="str">
        <f>HYPERLINK("https://rth.dk/resources/bsgatlas/details.php?id=BSGatlas-gene-1215","BSGatlas-gene-1215")</f>
        <v>BSGatlas-gene-1215</v>
      </c>
      <c r="B1216" s="1" t="s">
        <v>1131</v>
      </c>
      <c r="C1216" s="1" t="s">
        <v>8</v>
      </c>
      <c r="D1216" s="1">
        <v>1080150</v>
      </c>
      <c r="E1216" s="1">
        <v>1081340</v>
      </c>
      <c r="F1216" s="1" t="s">
        <v>13</v>
      </c>
      <c r="G1216" s="1" t="s">
        <v>11409</v>
      </c>
    </row>
    <row r="1217" spans="1:7" ht="21" x14ac:dyDescent="0.25">
      <c r="A1217" s="2" t="str">
        <f>HYPERLINK("https://rth.dk/resources/bsgatlas/details.php?id=BSGatlas-gene-1216","BSGatlas-gene-1216")</f>
        <v>BSGatlas-gene-1216</v>
      </c>
      <c r="B1217" s="1" t="s">
        <v>1132</v>
      </c>
      <c r="C1217" s="1" t="s">
        <v>8</v>
      </c>
      <c r="D1217" s="1">
        <v>1081413</v>
      </c>
      <c r="E1217" s="1">
        <v>1082804</v>
      </c>
      <c r="F1217" s="1" t="s">
        <v>13</v>
      </c>
      <c r="G1217" s="1" t="s">
        <v>11409</v>
      </c>
    </row>
    <row r="1218" spans="1:7" ht="21" x14ac:dyDescent="0.25">
      <c r="A1218" s="2" t="str">
        <f>HYPERLINK("https://rth.dk/resources/bsgatlas/details.php?id=BSGatlas-gene-1217","BSGatlas-gene-1217")</f>
        <v>BSGatlas-gene-1217</v>
      </c>
      <c r="B1218" s="1" t="s">
        <v>11500</v>
      </c>
      <c r="C1218" s="1" t="s">
        <v>8</v>
      </c>
      <c r="D1218" s="1">
        <v>1082870</v>
      </c>
      <c r="E1218" s="1">
        <v>1083184</v>
      </c>
      <c r="F1218" s="1" t="s">
        <v>13</v>
      </c>
      <c r="G1218" s="1" t="s">
        <v>11409</v>
      </c>
    </row>
    <row r="1219" spans="1:7" ht="21" x14ac:dyDescent="0.25">
      <c r="A1219" s="2" t="str">
        <f>HYPERLINK("https://rth.dk/resources/bsgatlas/details.php?id=BSGatlas-gene-1218","BSGatlas-gene-1218")</f>
        <v>BSGatlas-gene-1218</v>
      </c>
      <c r="B1219" s="1" t="s">
        <v>1133</v>
      </c>
      <c r="C1219" s="1" t="s">
        <v>8</v>
      </c>
      <c r="D1219" s="1">
        <v>1083229</v>
      </c>
      <c r="E1219" s="1">
        <v>1083729</v>
      </c>
      <c r="F1219" s="1" t="s">
        <v>13</v>
      </c>
      <c r="G1219" s="1" t="s">
        <v>11409</v>
      </c>
    </row>
    <row r="1220" spans="1:7" ht="21" x14ac:dyDescent="0.25">
      <c r="A1220" s="2" t="str">
        <f>HYPERLINK("https://rth.dk/resources/bsgatlas/details.php?id=BSGatlas-gene-1219","BSGatlas-gene-1219")</f>
        <v>BSGatlas-gene-1219</v>
      </c>
      <c r="B1220" s="1" t="s">
        <v>1134</v>
      </c>
      <c r="C1220" s="1" t="s">
        <v>8</v>
      </c>
      <c r="D1220" s="1">
        <v>1083851</v>
      </c>
      <c r="E1220" s="1">
        <v>1085995</v>
      </c>
      <c r="F1220" s="1" t="s">
        <v>9</v>
      </c>
      <c r="G1220" s="1" t="s">
        <v>11409</v>
      </c>
    </row>
    <row r="1221" spans="1:7" ht="21" x14ac:dyDescent="0.25">
      <c r="A1221" s="2" t="str">
        <f>HYPERLINK("https://rth.dk/resources/bsgatlas/details.php?id=BSGatlas-gene-1220","BSGatlas-gene-1220")</f>
        <v>BSGatlas-gene-1220</v>
      </c>
      <c r="B1221" s="1" t="s">
        <v>1135</v>
      </c>
      <c r="C1221" s="1" t="s">
        <v>8</v>
      </c>
      <c r="D1221" s="1">
        <v>1086117</v>
      </c>
      <c r="E1221" s="1">
        <v>1087178</v>
      </c>
      <c r="F1221" s="1" t="s">
        <v>9</v>
      </c>
      <c r="G1221" s="1" t="s">
        <v>11409</v>
      </c>
    </row>
    <row r="1222" spans="1:7" ht="21" x14ac:dyDescent="0.25">
      <c r="A1222" s="2" t="str">
        <f>HYPERLINK("https://rth.dk/resources/bsgatlas/details.php?id=BSGatlas-gene-1221","BSGatlas-gene-1221")</f>
        <v>BSGatlas-gene-1221</v>
      </c>
      <c r="B1222" s="1" t="s">
        <v>1136</v>
      </c>
      <c r="C1222" s="1" t="s">
        <v>8</v>
      </c>
      <c r="D1222" s="1">
        <v>1087250</v>
      </c>
      <c r="E1222" s="1">
        <v>1088182</v>
      </c>
      <c r="F1222" s="1" t="s">
        <v>9</v>
      </c>
      <c r="G1222" s="1" t="s">
        <v>11409</v>
      </c>
    </row>
    <row r="1223" spans="1:7" ht="21" x14ac:dyDescent="0.25">
      <c r="A1223" s="2" t="str">
        <f>HYPERLINK("https://rth.dk/resources/bsgatlas/details.php?id=BSGatlas-gene-1222","BSGatlas-gene-1222")</f>
        <v>BSGatlas-gene-1222</v>
      </c>
      <c r="B1223" s="1" t="s">
        <v>1137</v>
      </c>
      <c r="C1223" s="1" t="s">
        <v>8</v>
      </c>
      <c r="D1223" s="1">
        <v>1088197</v>
      </c>
      <c r="E1223" s="1">
        <v>1089609</v>
      </c>
      <c r="F1223" s="1" t="s">
        <v>9</v>
      </c>
      <c r="G1223" s="1" t="s">
        <v>11409</v>
      </c>
    </row>
    <row r="1224" spans="1:7" ht="21" x14ac:dyDescent="0.25">
      <c r="A1224" s="2" t="str">
        <f>HYPERLINK("https://rth.dk/resources/bsgatlas/details.php?id=BSGatlas-gene-1223","BSGatlas-gene-1223")</f>
        <v>BSGatlas-gene-1223</v>
      </c>
      <c r="B1224" s="1" t="s">
        <v>1138</v>
      </c>
      <c r="C1224" s="1" t="s">
        <v>8</v>
      </c>
      <c r="D1224" s="1">
        <v>1089755</v>
      </c>
      <c r="E1224" s="1">
        <v>1090330</v>
      </c>
      <c r="F1224" s="1" t="s">
        <v>9</v>
      </c>
      <c r="G1224" s="1" t="s">
        <v>11409</v>
      </c>
    </row>
    <row r="1225" spans="1:7" ht="21" x14ac:dyDescent="0.25">
      <c r="A1225" s="2" t="str">
        <f>HYPERLINK("https://rth.dk/resources/bsgatlas/details.php?id=BSGatlas-gene-1224","BSGatlas-gene-1224")</f>
        <v>BSGatlas-gene-1224</v>
      </c>
      <c r="B1225" s="1" t="s">
        <v>1139</v>
      </c>
      <c r="C1225" s="1" t="s">
        <v>8</v>
      </c>
      <c r="D1225" s="1">
        <v>1090401</v>
      </c>
      <c r="E1225" s="1">
        <v>1092728</v>
      </c>
      <c r="F1225" s="1" t="s">
        <v>9</v>
      </c>
      <c r="G1225" s="1" t="s">
        <v>11409</v>
      </c>
    </row>
    <row r="1226" spans="1:7" ht="21" x14ac:dyDescent="0.25">
      <c r="A1226" s="2" t="str">
        <f>HYPERLINK("https://rth.dk/resources/bsgatlas/details.php?id=BSGatlas-gene-1225","BSGatlas-gene-1225")</f>
        <v>BSGatlas-gene-1225</v>
      </c>
      <c r="B1226" s="1" t="s">
        <v>1140</v>
      </c>
      <c r="C1226" s="1" t="s">
        <v>8</v>
      </c>
      <c r="D1226" s="1">
        <v>1092770</v>
      </c>
      <c r="E1226" s="1">
        <v>1093747</v>
      </c>
      <c r="F1226" s="1" t="s">
        <v>13</v>
      </c>
      <c r="G1226" s="1" t="s">
        <v>11409</v>
      </c>
    </row>
    <row r="1227" spans="1:7" ht="21" x14ac:dyDescent="0.25">
      <c r="A1227" s="2" t="str">
        <f>HYPERLINK("https://rth.dk/resources/bsgatlas/details.php?id=BSGatlas-gene-1226","BSGatlas-gene-1226")</f>
        <v>BSGatlas-gene-1226</v>
      </c>
      <c r="B1227" s="1" t="s">
        <v>1141</v>
      </c>
      <c r="C1227" s="1" t="s">
        <v>8</v>
      </c>
      <c r="D1227" s="1">
        <v>1093874</v>
      </c>
      <c r="E1227" s="1">
        <v>1094650</v>
      </c>
      <c r="F1227" s="1" t="s">
        <v>9</v>
      </c>
      <c r="G1227" s="1" t="s">
        <v>11409</v>
      </c>
    </row>
    <row r="1228" spans="1:7" ht="21" x14ac:dyDescent="0.25">
      <c r="A1228" s="2" t="str">
        <f>HYPERLINK("https://rth.dk/resources/bsgatlas/details.php?id=BSGatlas-gene-1227","BSGatlas-gene-1227")</f>
        <v>BSGatlas-gene-1227</v>
      </c>
      <c r="B1228" s="1" t="s">
        <v>1142</v>
      </c>
      <c r="C1228" s="1" t="s">
        <v>12</v>
      </c>
      <c r="D1228" s="1">
        <v>1094366</v>
      </c>
      <c r="E1228" s="1">
        <v>1094987</v>
      </c>
      <c r="F1228" s="1" t="s">
        <v>13</v>
      </c>
      <c r="G1228" s="1" t="s">
        <v>11406</v>
      </c>
    </row>
    <row r="1229" spans="1:7" ht="21" x14ac:dyDescent="0.25">
      <c r="A1229" s="2" t="str">
        <f>HYPERLINK("https://rth.dk/resources/bsgatlas/details.php?id=BSGatlas-gene-1228","BSGatlas-gene-1228")</f>
        <v>BSGatlas-gene-1228</v>
      </c>
      <c r="B1229" s="1" t="s">
        <v>1143</v>
      </c>
      <c r="C1229" s="1" t="s">
        <v>8</v>
      </c>
      <c r="D1229" s="1">
        <v>1095063</v>
      </c>
      <c r="E1229" s="1">
        <v>1096103</v>
      </c>
      <c r="F1229" s="1" t="s">
        <v>9</v>
      </c>
      <c r="G1229" s="1" t="s">
        <v>11409</v>
      </c>
    </row>
    <row r="1230" spans="1:7" ht="21" x14ac:dyDescent="0.25">
      <c r="A1230" s="2" t="str">
        <f>HYPERLINK("https://rth.dk/resources/bsgatlas/details.php?id=BSGatlas-gene-1229","BSGatlas-gene-1229")</f>
        <v>BSGatlas-gene-1229</v>
      </c>
      <c r="B1230" s="1" t="s">
        <v>1144</v>
      </c>
      <c r="C1230" s="1" t="s">
        <v>8</v>
      </c>
      <c r="D1230" s="1">
        <v>1096116</v>
      </c>
      <c r="E1230" s="1">
        <v>1096523</v>
      </c>
      <c r="F1230" s="1" t="s">
        <v>9</v>
      </c>
      <c r="G1230" s="1" t="s">
        <v>11409</v>
      </c>
    </row>
    <row r="1231" spans="1:7" ht="21" x14ac:dyDescent="0.25">
      <c r="A1231" s="2" t="str">
        <f>HYPERLINK("https://rth.dk/resources/bsgatlas/details.php?id=BSGatlas-gene-1230","BSGatlas-gene-1230")</f>
        <v>BSGatlas-gene-1230</v>
      </c>
      <c r="B1231" s="1" t="s">
        <v>1145</v>
      </c>
      <c r="C1231" s="1" t="s">
        <v>8</v>
      </c>
      <c r="D1231" s="1">
        <v>1096560</v>
      </c>
      <c r="E1231" s="1">
        <v>1097849</v>
      </c>
      <c r="F1231" s="1" t="s">
        <v>13</v>
      </c>
      <c r="G1231" s="1" t="s">
        <v>11409</v>
      </c>
    </row>
    <row r="1232" spans="1:7" ht="21" x14ac:dyDescent="0.25">
      <c r="A1232" s="2" t="str">
        <f>HYPERLINK("https://rth.dk/resources/bsgatlas/details.php?id=BSGatlas-gene-1231","BSGatlas-gene-1231")</f>
        <v>BSGatlas-gene-1231</v>
      </c>
      <c r="B1232" s="1" t="s">
        <v>1146</v>
      </c>
      <c r="C1232" s="1" t="s">
        <v>8</v>
      </c>
      <c r="D1232" s="1">
        <v>1098120</v>
      </c>
      <c r="E1232" s="1">
        <v>1098260</v>
      </c>
      <c r="F1232" s="1" t="s">
        <v>13</v>
      </c>
      <c r="G1232" s="1" t="s">
        <v>11409</v>
      </c>
    </row>
    <row r="1233" spans="1:7" ht="21" x14ac:dyDescent="0.25">
      <c r="A1233" s="2" t="str">
        <f>HYPERLINK("https://rth.dk/resources/bsgatlas/details.php?id=BSGatlas-gene-1232","BSGatlas-gene-1232")</f>
        <v>BSGatlas-gene-1232</v>
      </c>
      <c r="B1233" s="1" t="s">
        <v>1147</v>
      </c>
      <c r="C1233" s="1" t="s">
        <v>8</v>
      </c>
      <c r="D1233" s="1">
        <v>1098412</v>
      </c>
      <c r="E1233" s="1">
        <v>1099146</v>
      </c>
      <c r="F1233" s="1" t="s">
        <v>9</v>
      </c>
      <c r="G1233" s="1" t="s">
        <v>11409</v>
      </c>
    </row>
    <row r="1234" spans="1:7" ht="21" x14ac:dyDescent="0.25">
      <c r="A1234" s="2" t="str">
        <f>HYPERLINK("https://rth.dk/resources/bsgatlas/details.php?id=BSGatlas-gene-1233","BSGatlas-gene-1233")</f>
        <v>BSGatlas-gene-1233</v>
      </c>
      <c r="B1234" s="1" t="s">
        <v>1148</v>
      </c>
      <c r="C1234" s="1" t="s">
        <v>8</v>
      </c>
      <c r="D1234" s="1">
        <v>1099159</v>
      </c>
      <c r="E1234" s="1">
        <v>1100154</v>
      </c>
      <c r="F1234" s="1" t="s">
        <v>9</v>
      </c>
      <c r="G1234" s="1" t="s">
        <v>11409</v>
      </c>
    </row>
    <row r="1235" spans="1:7" ht="21" x14ac:dyDescent="0.25">
      <c r="A1235" s="2" t="str">
        <f>HYPERLINK("https://rth.dk/resources/bsgatlas/details.php?id=BSGatlas-gene-1234","BSGatlas-gene-1234")</f>
        <v>BSGatlas-gene-1234</v>
      </c>
      <c r="B1235" s="1" t="s">
        <v>1149</v>
      </c>
      <c r="C1235" s="1" t="s">
        <v>8</v>
      </c>
      <c r="D1235" s="1">
        <v>1100219</v>
      </c>
      <c r="E1235" s="1">
        <v>1100863</v>
      </c>
      <c r="F1235" s="1" t="s">
        <v>9</v>
      </c>
      <c r="G1235" s="1" t="s">
        <v>11409</v>
      </c>
    </row>
    <row r="1236" spans="1:7" ht="21" x14ac:dyDescent="0.25">
      <c r="A1236" s="2" t="str">
        <f>HYPERLINK("https://rth.dk/resources/bsgatlas/details.php?id=BSGatlas-gene-1235","BSGatlas-gene-1235")</f>
        <v>BSGatlas-gene-1235</v>
      </c>
      <c r="B1236" s="1" t="s">
        <v>1150</v>
      </c>
      <c r="C1236" s="1" t="s">
        <v>8</v>
      </c>
      <c r="D1236" s="1">
        <v>1100980</v>
      </c>
      <c r="E1236" s="1">
        <v>1102521</v>
      </c>
      <c r="F1236" s="1" t="s">
        <v>9</v>
      </c>
      <c r="G1236" s="1" t="s">
        <v>11409</v>
      </c>
    </row>
    <row r="1237" spans="1:7" ht="21" x14ac:dyDescent="0.25">
      <c r="A1237" s="2" t="str">
        <f>HYPERLINK("https://rth.dk/resources/bsgatlas/details.php?id=BSGatlas-gene-1236","BSGatlas-gene-1236")</f>
        <v>BSGatlas-gene-1236</v>
      </c>
      <c r="B1237" s="1" t="s">
        <v>1151</v>
      </c>
      <c r="C1237" s="1" t="s">
        <v>8</v>
      </c>
      <c r="D1237" s="1">
        <v>1102560</v>
      </c>
      <c r="E1237" s="1">
        <v>1102955</v>
      </c>
      <c r="F1237" s="1" t="s">
        <v>13</v>
      </c>
      <c r="G1237" s="1" t="s">
        <v>11409</v>
      </c>
    </row>
    <row r="1238" spans="1:7" ht="21" x14ac:dyDescent="0.25">
      <c r="A1238" s="2" t="str">
        <f>HYPERLINK("https://rth.dk/resources/bsgatlas/details.php?id=BSGatlas-gene-1237","BSGatlas-gene-1237")</f>
        <v>BSGatlas-gene-1237</v>
      </c>
      <c r="B1238" s="1" t="s">
        <v>1152</v>
      </c>
      <c r="C1238" s="1" t="s">
        <v>8</v>
      </c>
      <c r="D1238" s="1">
        <v>1103104</v>
      </c>
      <c r="E1238" s="1">
        <v>1104384</v>
      </c>
      <c r="F1238" s="1" t="s">
        <v>9</v>
      </c>
      <c r="G1238" s="1" t="s">
        <v>11409</v>
      </c>
    </row>
    <row r="1239" spans="1:7" ht="21" x14ac:dyDescent="0.25">
      <c r="A1239" s="2" t="str">
        <f>HYPERLINK("https://rth.dk/resources/bsgatlas/details.php?id=BSGatlas-gene-1238","BSGatlas-gene-1238")</f>
        <v>BSGatlas-gene-1238</v>
      </c>
      <c r="B1239" s="1" t="s">
        <v>1153</v>
      </c>
      <c r="C1239" s="1" t="s">
        <v>8</v>
      </c>
      <c r="D1239" s="1">
        <v>1104423</v>
      </c>
      <c r="E1239" s="1">
        <v>1105568</v>
      </c>
      <c r="F1239" s="1" t="s">
        <v>13</v>
      </c>
      <c r="G1239" s="1" t="s">
        <v>11409</v>
      </c>
    </row>
    <row r="1240" spans="1:7" ht="21" x14ac:dyDescent="0.25">
      <c r="A1240" s="2" t="str">
        <f>HYPERLINK("https://rth.dk/resources/bsgatlas/details.php?id=BSGatlas-gene-1239","BSGatlas-gene-1239")</f>
        <v>BSGatlas-gene-1239</v>
      </c>
      <c r="B1240" s="1" t="s">
        <v>1154</v>
      </c>
      <c r="C1240" s="1" t="s">
        <v>8</v>
      </c>
      <c r="D1240" s="1">
        <v>1106003</v>
      </c>
      <c r="E1240" s="1">
        <v>1106452</v>
      </c>
      <c r="F1240" s="1" t="s">
        <v>9</v>
      </c>
      <c r="G1240" s="1" t="s">
        <v>11409</v>
      </c>
    </row>
    <row r="1241" spans="1:7" ht="21" x14ac:dyDescent="0.25">
      <c r="A1241" s="2" t="str">
        <f>HYPERLINK("https://rth.dk/resources/bsgatlas/details.php?id=BSGatlas-gene-1240","BSGatlas-gene-1240")</f>
        <v>BSGatlas-gene-1240</v>
      </c>
      <c r="B1241" s="1" t="s">
        <v>1155</v>
      </c>
      <c r="C1241" s="1" t="s">
        <v>8</v>
      </c>
      <c r="D1241" s="1">
        <v>1106524</v>
      </c>
      <c r="E1241" s="1">
        <v>1107516</v>
      </c>
      <c r="F1241" s="1" t="s">
        <v>9</v>
      </c>
      <c r="G1241" s="1" t="s">
        <v>11409</v>
      </c>
    </row>
    <row r="1242" spans="1:7" ht="21" x14ac:dyDescent="0.25">
      <c r="A1242" s="2" t="str">
        <f>HYPERLINK("https://rth.dk/resources/bsgatlas/details.php?id=BSGatlas-gene-1241","BSGatlas-gene-1241")</f>
        <v>BSGatlas-gene-1241</v>
      </c>
      <c r="B1242" s="1" t="s">
        <v>1156</v>
      </c>
      <c r="C1242" s="1" t="s">
        <v>8</v>
      </c>
      <c r="D1242" s="1">
        <v>1107733</v>
      </c>
      <c r="E1242" s="1">
        <v>1108704</v>
      </c>
      <c r="F1242" s="1" t="s">
        <v>9</v>
      </c>
      <c r="G1242" s="1" t="s">
        <v>11409</v>
      </c>
    </row>
    <row r="1243" spans="1:7" ht="21" x14ac:dyDescent="0.25">
      <c r="A1243" s="2" t="str">
        <f>HYPERLINK("https://rth.dk/resources/bsgatlas/details.php?id=BSGatlas-gene-1242","BSGatlas-gene-1242")</f>
        <v>BSGatlas-gene-1242</v>
      </c>
      <c r="B1243" s="1" t="s">
        <v>1157</v>
      </c>
      <c r="C1243" s="1" t="s">
        <v>8</v>
      </c>
      <c r="D1243" s="1">
        <v>1108736</v>
      </c>
      <c r="E1243" s="1">
        <v>1109317</v>
      </c>
      <c r="F1243" s="1" t="s">
        <v>13</v>
      </c>
      <c r="G1243" s="1" t="s">
        <v>11409</v>
      </c>
    </row>
    <row r="1244" spans="1:7" ht="21" x14ac:dyDescent="0.25">
      <c r="A1244" s="2" t="str">
        <f>HYPERLINK("https://rth.dk/resources/bsgatlas/details.php?id=BSGatlas-gene-1243","BSGatlas-gene-1243")</f>
        <v>BSGatlas-gene-1243</v>
      </c>
      <c r="B1244" s="1" t="s">
        <v>1158</v>
      </c>
      <c r="C1244" s="1" t="s">
        <v>8</v>
      </c>
      <c r="D1244" s="1">
        <v>1109388</v>
      </c>
      <c r="E1244" s="1">
        <v>1110482</v>
      </c>
      <c r="F1244" s="1" t="s">
        <v>13</v>
      </c>
      <c r="G1244" s="1" t="s">
        <v>11409</v>
      </c>
    </row>
    <row r="1245" spans="1:7" ht="21" x14ac:dyDescent="0.25">
      <c r="A1245" s="2" t="str">
        <f>HYPERLINK("https://rth.dk/resources/bsgatlas/details.php?id=BSGatlas-gene-1244","BSGatlas-gene-1244")</f>
        <v>BSGatlas-gene-1244</v>
      </c>
      <c r="B1245" s="1" t="s">
        <v>1159</v>
      </c>
      <c r="C1245" s="1" t="s">
        <v>8</v>
      </c>
      <c r="D1245" s="1">
        <v>1110479</v>
      </c>
      <c r="E1245" s="1">
        <v>1111918</v>
      </c>
      <c r="F1245" s="1" t="s">
        <v>13</v>
      </c>
      <c r="G1245" s="1" t="s">
        <v>11409</v>
      </c>
    </row>
    <row r="1246" spans="1:7" ht="21" x14ac:dyDescent="0.25">
      <c r="A1246" s="2" t="str">
        <f>HYPERLINK("https://rth.dk/resources/bsgatlas/details.php?id=BSGatlas-gene-1245","BSGatlas-gene-1245")</f>
        <v>BSGatlas-gene-1245</v>
      </c>
      <c r="B1246" s="1" t="s">
        <v>1160</v>
      </c>
      <c r="C1246" s="1" t="s">
        <v>8</v>
      </c>
      <c r="D1246" s="1">
        <v>1111925</v>
      </c>
      <c r="E1246" s="1">
        <v>1112485</v>
      </c>
      <c r="F1246" s="1" t="s">
        <v>13</v>
      </c>
      <c r="G1246" s="1" t="s">
        <v>11409</v>
      </c>
    </row>
    <row r="1247" spans="1:7" ht="21" x14ac:dyDescent="0.25">
      <c r="A1247" s="2" t="str">
        <f>HYPERLINK("https://rth.dk/resources/bsgatlas/details.php?id=BSGatlas-gene-1246","BSGatlas-gene-1246")</f>
        <v>BSGatlas-gene-1246</v>
      </c>
      <c r="B1247" s="1" t="s">
        <v>1161</v>
      </c>
      <c r="C1247" s="1" t="s">
        <v>8</v>
      </c>
      <c r="D1247" s="1">
        <v>1112620</v>
      </c>
      <c r="E1247" s="1">
        <v>1113918</v>
      </c>
      <c r="F1247" s="1" t="s">
        <v>13</v>
      </c>
      <c r="G1247" s="1" t="s">
        <v>11409</v>
      </c>
    </row>
    <row r="1248" spans="1:7" ht="21" x14ac:dyDescent="0.25">
      <c r="A1248" s="2" t="str">
        <f>HYPERLINK("https://rth.dk/resources/bsgatlas/details.php?id=BSGatlas-gene-1247","BSGatlas-gene-1247")</f>
        <v>BSGatlas-gene-1247</v>
      </c>
      <c r="B1248" s="1" t="s">
        <v>1162</v>
      </c>
      <c r="C1248" s="1" t="s">
        <v>8</v>
      </c>
      <c r="D1248" s="1">
        <v>1114057</v>
      </c>
      <c r="E1248" s="1">
        <v>1115586</v>
      </c>
      <c r="F1248" s="1" t="s">
        <v>13</v>
      </c>
      <c r="G1248" s="1" t="s">
        <v>11409</v>
      </c>
    </row>
    <row r="1249" spans="1:7" ht="21" x14ac:dyDescent="0.25">
      <c r="A1249" s="2" t="str">
        <f>HYPERLINK("https://rth.dk/resources/bsgatlas/details.php?id=BSGatlas-gene-1248","BSGatlas-gene-1248")</f>
        <v>BSGatlas-gene-1248</v>
      </c>
      <c r="B1249" s="1" t="s">
        <v>1163</v>
      </c>
      <c r="C1249" s="1" t="s">
        <v>8</v>
      </c>
      <c r="D1249" s="1">
        <v>1115698</v>
      </c>
      <c r="E1249" s="1">
        <v>1116555</v>
      </c>
      <c r="F1249" s="1" t="s">
        <v>9</v>
      </c>
      <c r="G1249" s="1" t="s">
        <v>11409</v>
      </c>
    </row>
    <row r="1250" spans="1:7" ht="21" x14ac:dyDescent="0.25">
      <c r="A1250" s="2" t="str">
        <f>HYPERLINK("https://rth.dk/resources/bsgatlas/details.php?id=BSGatlas-gene-1249","BSGatlas-gene-1249")</f>
        <v>BSGatlas-gene-1249</v>
      </c>
      <c r="B1250" s="1" t="s">
        <v>1164</v>
      </c>
      <c r="C1250" s="1" t="s">
        <v>8</v>
      </c>
      <c r="D1250" s="1">
        <v>1116583</v>
      </c>
      <c r="E1250" s="1">
        <v>1116816</v>
      </c>
      <c r="F1250" s="1" t="s">
        <v>13</v>
      </c>
      <c r="G1250" s="1" t="s">
        <v>11409</v>
      </c>
    </row>
    <row r="1251" spans="1:7" ht="21" x14ac:dyDescent="0.25">
      <c r="A1251" s="2" t="str">
        <f>HYPERLINK("https://rth.dk/resources/bsgatlas/details.php?id=BSGatlas-gene-1250","BSGatlas-gene-1250")</f>
        <v>BSGatlas-gene-1250</v>
      </c>
      <c r="B1251" s="1" t="s">
        <v>1165</v>
      </c>
      <c r="C1251" s="1" t="s">
        <v>8</v>
      </c>
      <c r="D1251" s="1">
        <v>1117109</v>
      </c>
      <c r="E1251" s="1">
        <v>1117687</v>
      </c>
      <c r="F1251" s="1" t="s">
        <v>9</v>
      </c>
      <c r="G1251" s="1" t="s">
        <v>11409</v>
      </c>
    </row>
    <row r="1252" spans="1:7" ht="21" x14ac:dyDescent="0.25">
      <c r="A1252" s="2" t="str">
        <f>HYPERLINK("https://rth.dk/resources/bsgatlas/details.php?id=BSGatlas-gene-1251","BSGatlas-gene-1251")</f>
        <v>BSGatlas-gene-1251</v>
      </c>
      <c r="B1252" s="1" t="s">
        <v>1166</v>
      </c>
      <c r="C1252" s="1" t="s">
        <v>8</v>
      </c>
      <c r="D1252" s="1">
        <v>1117734</v>
      </c>
      <c r="E1252" s="1">
        <v>1118633</v>
      </c>
      <c r="F1252" s="1" t="s">
        <v>13</v>
      </c>
      <c r="G1252" s="1" t="s">
        <v>11409</v>
      </c>
    </row>
    <row r="1253" spans="1:7" ht="21" x14ac:dyDescent="0.25">
      <c r="A1253" s="2" t="str">
        <f>HYPERLINK("https://rth.dk/resources/bsgatlas/details.php?id=BSGatlas-gene-1252","BSGatlas-gene-1252")</f>
        <v>BSGatlas-gene-1252</v>
      </c>
      <c r="B1253" s="1" t="s">
        <v>1167</v>
      </c>
      <c r="C1253" s="1" t="s">
        <v>12</v>
      </c>
      <c r="D1253" s="1">
        <v>1117844</v>
      </c>
      <c r="E1253" s="1">
        <v>1117930</v>
      </c>
      <c r="F1253" s="1" t="s">
        <v>9</v>
      </c>
      <c r="G1253" s="1" t="s">
        <v>11442</v>
      </c>
    </row>
    <row r="1254" spans="1:7" ht="21" x14ac:dyDescent="0.25">
      <c r="A1254" s="2" t="str">
        <f>HYPERLINK("https://rth.dk/resources/bsgatlas/details.php?id=BSGatlas-gene-1253","BSGatlas-gene-1253")</f>
        <v>BSGatlas-gene-1253</v>
      </c>
      <c r="B1254" s="1" t="s">
        <v>1168</v>
      </c>
      <c r="C1254" s="1" t="s">
        <v>8</v>
      </c>
      <c r="D1254" s="1">
        <v>1118850</v>
      </c>
      <c r="E1254" s="1">
        <v>1119119</v>
      </c>
      <c r="F1254" s="1" t="s">
        <v>9</v>
      </c>
      <c r="G1254" s="1" t="s">
        <v>11409</v>
      </c>
    </row>
    <row r="1255" spans="1:7" ht="21" x14ac:dyDescent="0.25">
      <c r="A1255" s="2" t="str">
        <f>HYPERLINK("https://rth.dk/resources/bsgatlas/details.php?id=BSGatlas-gene-1254","BSGatlas-gene-1254")</f>
        <v>BSGatlas-gene-1254</v>
      </c>
      <c r="B1255" s="1" t="s">
        <v>1169</v>
      </c>
      <c r="C1255" s="1" t="s">
        <v>8</v>
      </c>
      <c r="D1255" s="1">
        <v>1119162</v>
      </c>
      <c r="E1255" s="1">
        <v>1120631</v>
      </c>
      <c r="F1255" s="1" t="s">
        <v>13</v>
      </c>
      <c r="G1255" s="1" t="s">
        <v>11409</v>
      </c>
    </row>
    <row r="1256" spans="1:7" ht="21" x14ac:dyDescent="0.25">
      <c r="A1256" s="2" t="str">
        <f>HYPERLINK("https://rth.dk/resources/bsgatlas/details.php?id=BSGatlas-gene-1255","BSGatlas-gene-1255")</f>
        <v>BSGatlas-gene-1255</v>
      </c>
      <c r="B1256" s="1" t="s">
        <v>1170</v>
      </c>
      <c r="C1256" s="1" t="s">
        <v>8</v>
      </c>
      <c r="D1256" s="1">
        <v>1120628</v>
      </c>
      <c r="E1256" s="1">
        <v>1120828</v>
      </c>
      <c r="F1256" s="1" t="s">
        <v>13</v>
      </c>
      <c r="G1256" s="1" t="s">
        <v>11409</v>
      </c>
    </row>
    <row r="1257" spans="1:7" ht="21" x14ac:dyDescent="0.25">
      <c r="A1257" s="2" t="str">
        <f>HYPERLINK("https://rth.dk/resources/bsgatlas/details.php?id=BSGatlas-gene-1256","BSGatlas-gene-1256")</f>
        <v>BSGatlas-gene-1256</v>
      </c>
      <c r="B1257" s="1" t="s">
        <v>1171</v>
      </c>
      <c r="C1257" s="1" t="s">
        <v>8</v>
      </c>
      <c r="D1257" s="1">
        <v>1121036</v>
      </c>
      <c r="E1257" s="1">
        <v>1121398</v>
      </c>
      <c r="F1257" s="1" t="s">
        <v>13</v>
      </c>
      <c r="G1257" s="1" t="s">
        <v>11409</v>
      </c>
    </row>
    <row r="1258" spans="1:7" ht="21" x14ac:dyDescent="0.25">
      <c r="A1258" s="2" t="str">
        <f>HYPERLINK("https://rth.dk/resources/bsgatlas/details.php?id=BSGatlas-gene-1257","BSGatlas-gene-1257")</f>
        <v>BSGatlas-gene-1257</v>
      </c>
      <c r="B1258" s="1" t="s">
        <v>1172</v>
      </c>
      <c r="C1258" s="1" t="s">
        <v>8</v>
      </c>
      <c r="D1258" s="1">
        <v>1121550</v>
      </c>
      <c r="E1258" s="1">
        <v>1122173</v>
      </c>
      <c r="F1258" s="1" t="s">
        <v>9</v>
      </c>
      <c r="G1258" s="1" t="s">
        <v>11409</v>
      </c>
    </row>
    <row r="1259" spans="1:7" ht="21" x14ac:dyDescent="0.25">
      <c r="A1259" s="2" t="str">
        <f>HYPERLINK("https://rth.dk/resources/bsgatlas/details.php?id=BSGatlas-gene-1258","BSGatlas-gene-1258")</f>
        <v>BSGatlas-gene-1258</v>
      </c>
      <c r="B1259" s="1" t="s">
        <v>1173</v>
      </c>
      <c r="C1259" s="1" t="s">
        <v>8</v>
      </c>
      <c r="D1259" s="1">
        <v>1122175</v>
      </c>
      <c r="E1259" s="1">
        <v>1122681</v>
      </c>
      <c r="F1259" s="1" t="s">
        <v>9</v>
      </c>
      <c r="G1259" s="1" t="s">
        <v>11409</v>
      </c>
    </row>
    <row r="1260" spans="1:7" ht="21" x14ac:dyDescent="0.25">
      <c r="A1260" s="2" t="str">
        <f>HYPERLINK("https://rth.dk/resources/bsgatlas/details.php?id=BSGatlas-gene-1259","BSGatlas-gene-1259")</f>
        <v>BSGatlas-gene-1259</v>
      </c>
      <c r="B1260" s="1" t="s">
        <v>1174</v>
      </c>
      <c r="C1260" s="1" t="s">
        <v>8</v>
      </c>
      <c r="D1260" s="1">
        <v>1122862</v>
      </c>
      <c r="E1260" s="1">
        <v>1124361</v>
      </c>
      <c r="F1260" s="1" t="s">
        <v>9</v>
      </c>
      <c r="G1260" s="1" t="s">
        <v>11409</v>
      </c>
    </row>
    <row r="1261" spans="1:7" ht="21" x14ac:dyDescent="0.25">
      <c r="A1261" s="2" t="str">
        <f>HYPERLINK("https://rth.dk/resources/bsgatlas/details.php?id=BSGatlas-gene-1260","BSGatlas-gene-1260")</f>
        <v>BSGatlas-gene-1260</v>
      </c>
      <c r="B1261" s="1" t="s">
        <v>1175</v>
      </c>
      <c r="C1261" s="1" t="s">
        <v>8</v>
      </c>
      <c r="D1261" s="1">
        <v>1124438</v>
      </c>
      <c r="E1261" s="1">
        <v>1124965</v>
      </c>
      <c r="F1261" s="1" t="s">
        <v>9</v>
      </c>
      <c r="G1261" s="1" t="s">
        <v>11409</v>
      </c>
    </row>
    <row r="1262" spans="1:7" ht="21" x14ac:dyDescent="0.25">
      <c r="A1262" s="2" t="str">
        <f>HYPERLINK("https://rth.dk/resources/bsgatlas/details.php?id=BSGatlas-gene-1261","BSGatlas-gene-1261")</f>
        <v>BSGatlas-gene-1261</v>
      </c>
      <c r="B1262" s="1" t="s">
        <v>1176</v>
      </c>
      <c r="C1262" s="1" t="s">
        <v>8</v>
      </c>
      <c r="D1262" s="1">
        <v>1125123</v>
      </c>
      <c r="E1262" s="1">
        <v>1126328</v>
      </c>
      <c r="F1262" s="1" t="s">
        <v>13</v>
      </c>
      <c r="G1262" s="1" t="s">
        <v>11409</v>
      </c>
    </row>
    <row r="1263" spans="1:7" ht="21" x14ac:dyDescent="0.25">
      <c r="A1263" s="2" t="str">
        <f>HYPERLINK("https://rth.dk/resources/bsgatlas/details.php?id=BSGatlas-gene-1262","BSGatlas-gene-1262")</f>
        <v>BSGatlas-gene-1262</v>
      </c>
      <c r="B1263" s="1" t="s">
        <v>1180</v>
      </c>
      <c r="C1263" s="1" t="s">
        <v>12</v>
      </c>
      <c r="D1263" s="1">
        <v>1125843</v>
      </c>
      <c r="E1263" s="1">
        <v>1126369</v>
      </c>
      <c r="F1263" s="1" t="s">
        <v>9</v>
      </c>
      <c r="G1263" s="1" t="s">
        <v>11406</v>
      </c>
    </row>
    <row r="1264" spans="1:7" ht="21" x14ac:dyDescent="0.25">
      <c r="A1264" s="2" t="str">
        <f>HYPERLINK("https://rth.dk/resources/bsgatlas/details.php?id=BSGatlas-gene-1263","BSGatlas-gene-1263")</f>
        <v>BSGatlas-gene-1263</v>
      </c>
      <c r="B1264" s="1" t="s">
        <v>1177</v>
      </c>
      <c r="C1264" s="1" t="s">
        <v>8</v>
      </c>
      <c r="D1264" s="1">
        <v>1126400</v>
      </c>
      <c r="E1264" s="1">
        <v>1127452</v>
      </c>
      <c r="F1264" s="1" t="s">
        <v>13</v>
      </c>
      <c r="G1264" s="1" t="s">
        <v>11409</v>
      </c>
    </row>
    <row r="1265" spans="1:7" ht="21" x14ac:dyDescent="0.25">
      <c r="A1265" s="2" t="str">
        <f>HYPERLINK("https://rth.dk/resources/bsgatlas/details.php?id=BSGatlas-gene-1264","BSGatlas-gene-1264")</f>
        <v>BSGatlas-gene-1264</v>
      </c>
      <c r="B1265" s="1" t="s">
        <v>1178</v>
      </c>
      <c r="C1265" s="1" t="s">
        <v>8</v>
      </c>
      <c r="D1265" s="1">
        <v>1127466</v>
      </c>
      <c r="E1265" s="1">
        <v>1128314</v>
      </c>
      <c r="F1265" s="1" t="s">
        <v>13</v>
      </c>
      <c r="G1265" s="1" t="s">
        <v>11409</v>
      </c>
    </row>
    <row r="1266" spans="1:7" ht="21" x14ac:dyDescent="0.25">
      <c r="A1266" s="2" t="str">
        <f>HYPERLINK("https://rth.dk/resources/bsgatlas/details.php?id=BSGatlas-gene-1265","BSGatlas-gene-1265")</f>
        <v>BSGatlas-gene-1265</v>
      </c>
      <c r="B1266" s="1" t="s">
        <v>1179</v>
      </c>
      <c r="C1266" s="1" t="s">
        <v>8</v>
      </c>
      <c r="D1266" s="1">
        <v>1128286</v>
      </c>
      <c r="E1266" s="1">
        <v>1129611</v>
      </c>
      <c r="F1266" s="1" t="s">
        <v>13</v>
      </c>
      <c r="G1266" s="1" t="s">
        <v>11409</v>
      </c>
    </row>
    <row r="1267" spans="1:7" ht="21" x14ac:dyDescent="0.25">
      <c r="A1267" s="2" t="str">
        <f>HYPERLINK("https://rth.dk/resources/bsgatlas/details.php?id=BSGatlas-gene-1266","BSGatlas-gene-1266")</f>
        <v>BSGatlas-gene-1266</v>
      </c>
      <c r="B1267" s="1" t="s">
        <v>1181</v>
      </c>
      <c r="C1267" s="1" t="s">
        <v>8</v>
      </c>
      <c r="D1267" s="1">
        <v>1129715</v>
      </c>
      <c r="E1267" s="1">
        <v>1130704</v>
      </c>
      <c r="F1267" s="1" t="s">
        <v>9</v>
      </c>
      <c r="G1267" s="1" t="s">
        <v>11409</v>
      </c>
    </row>
    <row r="1268" spans="1:7" ht="21" x14ac:dyDescent="0.25">
      <c r="A1268" s="2" t="str">
        <f>HYPERLINK("https://rth.dk/resources/bsgatlas/details.php?id=BSGatlas-gene-1267","BSGatlas-gene-1267")</f>
        <v>BSGatlas-gene-1267</v>
      </c>
      <c r="B1268" s="1" t="s">
        <v>1182</v>
      </c>
      <c r="C1268" s="1" t="s">
        <v>8</v>
      </c>
      <c r="D1268" s="1">
        <v>1130918</v>
      </c>
      <c r="E1268" s="1">
        <v>1132072</v>
      </c>
      <c r="F1268" s="1" t="s">
        <v>13</v>
      </c>
      <c r="G1268" s="1" t="s">
        <v>11409</v>
      </c>
    </row>
    <row r="1269" spans="1:7" ht="21" x14ac:dyDescent="0.25">
      <c r="A1269" s="2" t="str">
        <f>HYPERLINK("https://rth.dk/resources/bsgatlas/details.php?id=BSGatlas-gene-1268","BSGatlas-gene-1268")</f>
        <v>BSGatlas-gene-1268</v>
      </c>
      <c r="B1269" s="1" t="s">
        <v>11501</v>
      </c>
      <c r="C1269" s="1" t="s">
        <v>8</v>
      </c>
      <c r="D1269" s="1">
        <v>1132179</v>
      </c>
      <c r="E1269" s="1">
        <v>1133384</v>
      </c>
      <c r="F1269" s="1" t="s">
        <v>13</v>
      </c>
      <c r="G1269" s="1" t="s">
        <v>11409</v>
      </c>
    </row>
    <row r="1270" spans="1:7" ht="21" x14ac:dyDescent="0.25">
      <c r="A1270" s="2" t="str">
        <f>HYPERLINK("https://rth.dk/resources/bsgatlas/details.php?id=BSGatlas-gene-1269","BSGatlas-gene-1269")</f>
        <v>BSGatlas-gene-1269</v>
      </c>
      <c r="B1270" s="1" t="s">
        <v>1183</v>
      </c>
      <c r="C1270" s="1" t="s">
        <v>8</v>
      </c>
      <c r="D1270" s="1">
        <v>1133498</v>
      </c>
      <c r="E1270" s="1">
        <v>1135225</v>
      </c>
      <c r="F1270" s="1" t="s">
        <v>9</v>
      </c>
      <c r="G1270" s="1" t="s">
        <v>11409</v>
      </c>
    </row>
    <row r="1271" spans="1:7" ht="21" x14ac:dyDescent="0.25">
      <c r="A1271" s="2" t="str">
        <f>HYPERLINK("https://rth.dk/resources/bsgatlas/details.php?id=BSGatlas-gene-1270","BSGatlas-gene-1270")</f>
        <v>BSGatlas-gene-1270</v>
      </c>
      <c r="B1271" s="1" t="s">
        <v>1184</v>
      </c>
      <c r="C1271" s="1" t="s">
        <v>8</v>
      </c>
      <c r="D1271" s="1">
        <v>1135255</v>
      </c>
      <c r="E1271" s="1">
        <v>1135581</v>
      </c>
      <c r="F1271" s="1" t="s">
        <v>13</v>
      </c>
      <c r="G1271" s="1" t="s">
        <v>11409</v>
      </c>
    </row>
    <row r="1272" spans="1:7" ht="21" x14ac:dyDescent="0.25">
      <c r="A1272" s="2" t="str">
        <f>HYPERLINK("https://rth.dk/resources/bsgatlas/details.php?id=BSGatlas-gene-1271","BSGatlas-gene-1271")</f>
        <v>BSGatlas-gene-1271</v>
      </c>
      <c r="B1272" s="1" t="s">
        <v>1185</v>
      </c>
      <c r="C1272" s="1" t="s">
        <v>8</v>
      </c>
      <c r="D1272" s="1">
        <v>1135699</v>
      </c>
      <c r="E1272" s="1">
        <v>1136136</v>
      </c>
      <c r="F1272" s="1" t="s">
        <v>13</v>
      </c>
      <c r="G1272" s="1" t="s">
        <v>11409</v>
      </c>
    </row>
    <row r="1273" spans="1:7" ht="21" x14ac:dyDescent="0.25">
      <c r="A1273" s="2" t="str">
        <f>HYPERLINK("https://rth.dk/resources/bsgatlas/details.php?id=BSGatlas-gene-1272","BSGatlas-gene-1272")</f>
        <v>BSGatlas-gene-1272</v>
      </c>
      <c r="B1273" s="1" t="s">
        <v>1186</v>
      </c>
      <c r="C1273" s="1" t="s">
        <v>8</v>
      </c>
      <c r="D1273" s="1">
        <v>1136320</v>
      </c>
      <c r="E1273" s="1">
        <v>1139820</v>
      </c>
      <c r="F1273" s="1" t="s">
        <v>9</v>
      </c>
      <c r="G1273" s="1" t="s">
        <v>11409</v>
      </c>
    </row>
    <row r="1274" spans="1:7" ht="21" x14ac:dyDescent="0.25">
      <c r="A1274" s="2" t="str">
        <f>HYPERLINK("https://rth.dk/resources/bsgatlas/details.php?id=BSGatlas-gene-1273","BSGatlas-gene-1273")</f>
        <v>BSGatlas-gene-1273</v>
      </c>
      <c r="B1274" s="1" t="s">
        <v>1187</v>
      </c>
      <c r="C1274" s="1" t="s">
        <v>8</v>
      </c>
      <c r="D1274" s="1">
        <v>1139807</v>
      </c>
      <c r="E1274" s="1">
        <v>1143505</v>
      </c>
      <c r="F1274" s="1" t="s">
        <v>9</v>
      </c>
      <c r="G1274" s="1" t="s">
        <v>11409</v>
      </c>
    </row>
    <row r="1275" spans="1:7" ht="21" x14ac:dyDescent="0.25">
      <c r="A1275" s="2" t="str">
        <f>HYPERLINK("https://rth.dk/resources/bsgatlas/details.php?id=BSGatlas-gene-1274","BSGatlas-gene-1274")</f>
        <v>BSGatlas-gene-1274</v>
      </c>
      <c r="B1275" s="1" t="s">
        <v>1188</v>
      </c>
      <c r="C1275" s="1" t="s">
        <v>8</v>
      </c>
      <c r="D1275" s="1">
        <v>1143577</v>
      </c>
      <c r="E1275" s="1">
        <v>1144752</v>
      </c>
      <c r="F1275" s="1" t="s">
        <v>9</v>
      </c>
      <c r="G1275" s="1" t="s">
        <v>11409</v>
      </c>
    </row>
    <row r="1276" spans="1:7" ht="21" x14ac:dyDescent="0.25">
      <c r="A1276" s="2" t="str">
        <f>HYPERLINK("https://rth.dk/resources/bsgatlas/details.php?id=BSGatlas-gene-1275","BSGatlas-gene-1275")</f>
        <v>BSGatlas-gene-1275</v>
      </c>
      <c r="B1276" s="1" t="s">
        <v>1189</v>
      </c>
      <c r="C1276" s="1" t="s">
        <v>8</v>
      </c>
      <c r="D1276" s="1">
        <v>1144749</v>
      </c>
      <c r="E1276" s="1">
        <v>1148141</v>
      </c>
      <c r="F1276" s="1" t="s">
        <v>9</v>
      </c>
      <c r="G1276" s="1" t="s">
        <v>11409</v>
      </c>
    </row>
    <row r="1277" spans="1:7" ht="21" x14ac:dyDescent="0.25">
      <c r="A1277" s="2" t="str">
        <f>HYPERLINK("https://rth.dk/resources/bsgatlas/details.php?id=BSGatlas-gene-1276","BSGatlas-gene-1276")</f>
        <v>BSGatlas-gene-1276</v>
      </c>
      <c r="B1277" s="1" t="s">
        <v>1190</v>
      </c>
      <c r="C1277" s="1" t="s">
        <v>8</v>
      </c>
      <c r="D1277" s="1">
        <v>1148155</v>
      </c>
      <c r="E1277" s="1">
        <v>1148457</v>
      </c>
      <c r="F1277" s="1" t="s">
        <v>9</v>
      </c>
      <c r="G1277" s="1" t="s">
        <v>11409</v>
      </c>
    </row>
    <row r="1278" spans="1:7" ht="21" x14ac:dyDescent="0.25">
      <c r="A1278" s="2" t="str">
        <f>HYPERLINK("https://rth.dk/resources/bsgatlas/details.php?id=BSGatlas-gene-1277","BSGatlas-gene-1277")</f>
        <v>BSGatlas-gene-1277</v>
      </c>
      <c r="B1278" s="1" t="s">
        <v>1191</v>
      </c>
      <c r="C1278" s="1" t="s">
        <v>8</v>
      </c>
      <c r="D1278" s="1">
        <v>1148494</v>
      </c>
      <c r="E1278" s="1">
        <v>1148712</v>
      </c>
      <c r="F1278" s="1" t="s">
        <v>13</v>
      </c>
      <c r="G1278" s="1" t="s">
        <v>11409</v>
      </c>
    </row>
    <row r="1279" spans="1:7" ht="21" x14ac:dyDescent="0.25">
      <c r="A1279" s="2" t="str">
        <f>HYPERLINK("https://rth.dk/resources/bsgatlas/details.php?id=BSGatlas-gene-1278","BSGatlas-gene-1278")</f>
        <v>BSGatlas-gene-1278</v>
      </c>
      <c r="B1279" s="1" t="s">
        <v>1192</v>
      </c>
      <c r="C1279" s="1" t="s">
        <v>8</v>
      </c>
      <c r="D1279" s="1">
        <v>1148744</v>
      </c>
      <c r="E1279" s="1">
        <v>1149145</v>
      </c>
      <c r="F1279" s="1" t="s">
        <v>13</v>
      </c>
      <c r="G1279" s="1" t="s">
        <v>11409</v>
      </c>
    </row>
    <row r="1280" spans="1:7" ht="21" x14ac:dyDescent="0.25">
      <c r="A1280" s="2" t="str">
        <f>HYPERLINK("https://rth.dk/resources/bsgatlas/details.php?id=BSGatlas-gene-1279","BSGatlas-gene-1279")</f>
        <v>BSGatlas-gene-1279</v>
      </c>
      <c r="B1280" s="1" t="s">
        <v>1193</v>
      </c>
      <c r="C1280" s="1" t="s">
        <v>8</v>
      </c>
      <c r="D1280" s="1">
        <v>1149145</v>
      </c>
      <c r="E1280" s="1">
        <v>1149321</v>
      </c>
      <c r="F1280" s="1" t="s">
        <v>13</v>
      </c>
      <c r="G1280" s="1" t="s">
        <v>11409</v>
      </c>
    </row>
    <row r="1281" spans="1:7" ht="21" x14ac:dyDescent="0.25">
      <c r="A1281" s="2" t="str">
        <f>HYPERLINK("https://rth.dk/resources/bsgatlas/details.php?id=BSGatlas-gene-1280","BSGatlas-gene-1280")</f>
        <v>BSGatlas-gene-1280</v>
      </c>
      <c r="B1281" s="1" t="s">
        <v>1194</v>
      </c>
      <c r="C1281" s="1" t="s">
        <v>8</v>
      </c>
      <c r="D1281" s="1">
        <v>1149318</v>
      </c>
      <c r="E1281" s="1">
        <v>1149935</v>
      </c>
      <c r="F1281" s="1" t="s">
        <v>13</v>
      </c>
      <c r="G1281" s="1" t="s">
        <v>11409</v>
      </c>
    </row>
    <row r="1282" spans="1:7" ht="21" x14ac:dyDescent="0.25">
      <c r="A1282" s="2" t="str">
        <f>HYPERLINK("https://rth.dk/resources/bsgatlas/details.php?id=BSGatlas-gene-1281","BSGatlas-gene-1281")</f>
        <v>BSGatlas-gene-1281</v>
      </c>
      <c r="B1282" s="1" t="s">
        <v>1195</v>
      </c>
      <c r="C1282" s="1" t="s">
        <v>8</v>
      </c>
      <c r="D1282" s="1">
        <v>1149958</v>
      </c>
      <c r="E1282" s="1">
        <v>1150191</v>
      </c>
      <c r="F1282" s="1" t="s">
        <v>13</v>
      </c>
      <c r="G1282" s="1" t="s">
        <v>11409</v>
      </c>
    </row>
    <row r="1283" spans="1:7" ht="21" x14ac:dyDescent="0.25">
      <c r="A1283" s="2" t="str">
        <f>HYPERLINK("https://rth.dk/resources/bsgatlas/details.php?id=BSGatlas-gene-1282","BSGatlas-gene-1282")</f>
        <v>BSGatlas-gene-1282</v>
      </c>
      <c r="B1283" s="1" t="s">
        <v>1196</v>
      </c>
      <c r="C1283" s="1" t="s">
        <v>8</v>
      </c>
      <c r="D1283" s="1">
        <v>1150206</v>
      </c>
      <c r="E1283" s="1">
        <v>1150427</v>
      </c>
      <c r="F1283" s="1" t="s">
        <v>13</v>
      </c>
      <c r="G1283" s="1" t="s">
        <v>11409</v>
      </c>
    </row>
    <row r="1284" spans="1:7" ht="21" x14ac:dyDescent="0.25">
      <c r="A1284" s="2" t="str">
        <f>HYPERLINK("https://rth.dk/resources/bsgatlas/details.php?id=BSGatlas-gene-1283","BSGatlas-gene-1283")</f>
        <v>BSGatlas-gene-1283</v>
      </c>
      <c r="B1284" s="1" t="s">
        <v>1197</v>
      </c>
      <c r="C1284" s="1" t="s">
        <v>12</v>
      </c>
      <c r="D1284" s="1">
        <v>1150469</v>
      </c>
      <c r="E1284" s="1">
        <v>1150678</v>
      </c>
      <c r="F1284" s="1" t="s">
        <v>9</v>
      </c>
      <c r="G1284" s="1" t="s">
        <v>11442</v>
      </c>
    </row>
    <row r="1285" spans="1:7" ht="21" x14ac:dyDescent="0.25">
      <c r="A1285" s="2" t="str">
        <f>HYPERLINK("https://rth.dk/resources/bsgatlas/details.php?id=BSGatlas-gene-1284","BSGatlas-gene-1284")</f>
        <v>BSGatlas-gene-1284</v>
      </c>
      <c r="B1285" s="1" t="s">
        <v>1198</v>
      </c>
      <c r="C1285" s="1" t="s">
        <v>8</v>
      </c>
      <c r="D1285" s="1">
        <v>1150850</v>
      </c>
      <c r="E1285" s="1">
        <v>1151020</v>
      </c>
      <c r="F1285" s="1" t="s">
        <v>13</v>
      </c>
      <c r="G1285" s="1" t="s">
        <v>11409</v>
      </c>
    </row>
    <row r="1286" spans="1:7" ht="21" x14ac:dyDescent="0.25">
      <c r="A1286" s="2" t="str">
        <f>HYPERLINK("https://rth.dk/resources/bsgatlas/details.php?id=BSGatlas-gene-1285","BSGatlas-gene-1285")</f>
        <v>BSGatlas-gene-1285</v>
      </c>
      <c r="B1286" s="1" t="s">
        <v>1199</v>
      </c>
      <c r="C1286" s="1" t="s">
        <v>8</v>
      </c>
      <c r="D1286" s="1">
        <v>1151166</v>
      </c>
      <c r="E1286" s="1">
        <v>1152089</v>
      </c>
      <c r="F1286" s="1" t="s">
        <v>13</v>
      </c>
      <c r="G1286" s="1" t="s">
        <v>11409</v>
      </c>
    </row>
    <row r="1287" spans="1:7" ht="21" x14ac:dyDescent="0.25">
      <c r="A1287" s="2" t="str">
        <f>HYPERLINK("https://rth.dk/resources/bsgatlas/details.php?id=BSGatlas-gene-1286","BSGatlas-gene-1286")</f>
        <v>BSGatlas-gene-1286</v>
      </c>
      <c r="B1287" s="1" t="s">
        <v>1200</v>
      </c>
      <c r="C1287" s="1" t="s">
        <v>8</v>
      </c>
      <c r="D1287" s="1">
        <v>1152244</v>
      </c>
      <c r="E1287" s="1">
        <v>1153149</v>
      </c>
      <c r="F1287" s="1" t="s">
        <v>9</v>
      </c>
      <c r="G1287" s="1" t="s">
        <v>11409</v>
      </c>
    </row>
    <row r="1288" spans="1:7" ht="21" x14ac:dyDescent="0.25">
      <c r="A1288" s="2" t="str">
        <f>HYPERLINK("https://rth.dk/resources/bsgatlas/details.php?id=BSGatlas-gene-1287","BSGatlas-gene-1287")</f>
        <v>BSGatlas-gene-1287</v>
      </c>
      <c r="B1288" s="1" t="s">
        <v>1201</v>
      </c>
      <c r="C1288" s="1" t="s">
        <v>8</v>
      </c>
      <c r="D1288" s="1">
        <v>1153265</v>
      </c>
      <c r="E1288" s="1">
        <v>1153621</v>
      </c>
      <c r="F1288" s="1" t="s">
        <v>9</v>
      </c>
      <c r="G1288" s="1" t="s">
        <v>11409</v>
      </c>
    </row>
    <row r="1289" spans="1:7" ht="21" x14ac:dyDescent="0.25">
      <c r="A1289" s="2" t="str">
        <f>HYPERLINK("https://rth.dk/resources/bsgatlas/details.php?id=BSGatlas-gene-1288","BSGatlas-gene-1288")</f>
        <v>BSGatlas-gene-1288</v>
      </c>
      <c r="B1289" s="1" t="s">
        <v>1202</v>
      </c>
      <c r="C1289" s="1" t="s">
        <v>8</v>
      </c>
      <c r="D1289" s="1">
        <v>1153789</v>
      </c>
      <c r="E1289" s="1">
        <v>1156473</v>
      </c>
      <c r="F1289" s="1" t="s">
        <v>9</v>
      </c>
      <c r="G1289" s="1" t="s">
        <v>11409</v>
      </c>
    </row>
    <row r="1290" spans="1:7" ht="21" x14ac:dyDescent="0.25">
      <c r="A1290" s="2" t="str">
        <f>HYPERLINK("https://rth.dk/resources/bsgatlas/details.php?id=BSGatlas-gene-1289","BSGatlas-gene-1289")</f>
        <v>BSGatlas-gene-1289</v>
      </c>
      <c r="B1290" s="1" t="s">
        <v>1203</v>
      </c>
      <c r="C1290" s="1" t="s">
        <v>8</v>
      </c>
      <c r="D1290" s="1">
        <v>1156504</v>
      </c>
      <c r="E1290" s="1">
        <v>1157091</v>
      </c>
      <c r="F1290" s="1" t="s">
        <v>13</v>
      </c>
      <c r="G1290" s="1" t="s">
        <v>11409</v>
      </c>
    </row>
    <row r="1291" spans="1:7" ht="21" x14ac:dyDescent="0.25">
      <c r="A1291" s="2" t="str">
        <f>HYPERLINK("https://rth.dk/resources/bsgatlas/details.php?id=BSGatlas-gene-1290","BSGatlas-gene-1290")</f>
        <v>BSGatlas-gene-1290</v>
      </c>
      <c r="B1291" s="1" t="s">
        <v>1204</v>
      </c>
      <c r="C1291" s="1" t="s">
        <v>8</v>
      </c>
      <c r="D1291" s="1">
        <v>1157237</v>
      </c>
      <c r="E1291" s="1">
        <v>1159081</v>
      </c>
      <c r="F1291" s="1" t="s">
        <v>9</v>
      </c>
      <c r="G1291" s="1" t="s">
        <v>11409</v>
      </c>
    </row>
    <row r="1292" spans="1:7" ht="21" x14ac:dyDescent="0.25">
      <c r="A1292" s="2" t="str">
        <f>HYPERLINK("https://rth.dk/resources/bsgatlas/details.php?id=BSGatlas-gene-1291","BSGatlas-gene-1291")</f>
        <v>BSGatlas-gene-1291</v>
      </c>
      <c r="B1292" s="1" t="s">
        <v>1205</v>
      </c>
      <c r="C1292" s="1" t="s">
        <v>8</v>
      </c>
      <c r="D1292" s="1">
        <v>1159211</v>
      </c>
      <c r="E1292" s="1">
        <v>1159690</v>
      </c>
      <c r="F1292" s="1" t="s">
        <v>13</v>
      </c>
      <c r="G1292" s="1" t="s">
        <v>11409</v>
      </c>
    </row>
    <row r="1293" spans="1:7" ht="21" x14ac:dyDescent="0.25">
      <c r="A1293" s="2" t="str">
        <f>HYPERLINK("https://rth.dk/resources/bsgatlas/details.php?id=BSGatlas-gene-1292","BSGatlas-gene-1292")</f>
        <v>BSGatlas-gene-1292</v>
      </c>
      <c r="B1293" s="1" t="s">
        <v>1206</v>
      </c>
      <c r="C1293" s="1" t="s">
        <v>8</v>
      </c>
      <c r="D1293" s="1">
        <v>1159922</v>
      </c>
      <c r="E1293" s="1">
        <v>1160746</v>
      </c>
      <c r="F1293" s="1" t="s">
        <v>9</v>
      </c>
      <c r="G1293" s="1" t="s">
        <v>11409</v>
      </c>
    </row>
    <row r="1294" spans="1:7" ht="21" x14ac:dyDescent="0.25">
      <c r="A1294" s="2" t="str">
        <f>HYPERLINK("https://rth.dk/resources/bsgatlas/details.php?id=BSGatlas-gene-1293","BSGatlas-gene-1293")</f>
        <v>BSGatlas-gene-1293</v>
      </c>
      <c r="B1294" s="1" t="s">
        <v>1207</v>
      </c>
      <c r="C1294" s="1" t="s">
        <v>8</v>
      </c>
      <c r="D1294" s="1">
        <v>1160776</v>
      </c>
      <c r="E1294" s="1">
        <v>1162143</v>
      </c>
      <c r="F1294" s="1" t="s">
        <v>13</v>
      </c>
      <c r="G1294" s="1" t="s">
        <v>11409</v>
      </c>
    </row>
    <row r="1295" spans="1:7" ht="21" x14ac:dyDescent="0.25">
      <c r="A1295" s="2" t="str">
        <f>HYPERLINK("https://rth.dk/resources/bsgatlas/details.php?id=BSGatlas-gene-1294","BSGatlas-gene-1294")</f>
        <v>BSGatlas-gene-1294</v>
      </c>
      <c r="B1295" s="1" t="s">
        <v>1208</v>
      </c>
      <c r="C1295" s="1" t="s">
        <v>8</v>
      </c>
      <c r="D1295" s="1">
        <v>1162267</v>
      </c>
      <c r="E1295" s="1">
        <v>1163130</v>
      </c>
      <c r="F1295" s="1" t="s">
        <v>9</v>
      </c>
      <c r="G1295" s="1" t="s">
        <v>11409</v>
      </c>
    </row>
    <row r="1296" spans="1:7" ht="21" x14ac:dyDescent="0.25">
      <c r="A1296" s="2" t="str">
        <f>HYPERLINK("https://rth.dk/resources/bsgatlas/details.php?id=BSGatlas-gene-1295","BSGatlas-gene-1295")</f>
        <v>BSGatlas-gene-1295</v>
      </c>
      <c r="B1296" s="1" t="s">
        <v>1209</v>
      </c>
      <c r="C1296" s="1" t="s">
        <v>8</v>
      </c>
      <c r="D1296" s="1">
        <v>1163148</v>
      </c>
      <c r="E1296" s="1">
        <v>1164161</v>
      </c>
      <c r="F1296" s="1" t="s">
        <v>9</v>
      </c>
      <c r="G1296" s="1" t="s">
        <v>11409</v>
      </c>
    </row>
    <row r="1297" spans="1:7" ht="21" x14ac:dyDescent="0.25">
      <c r="A1297" s="2" t="str">
        <f>HYPERLINK("https://rth.dk/resources/bsgatlas/details.php?id=BSGatlas-gene-1296","BSGatlas-gene-1296")</f>
        <v>BSGatlas-gene-1296</v>
      </c>
      <c r="B1297" s="1" t="s">
        <v>1210</v>
      </c>
      <c r="C1297" s="1" t="s">
        <v>8</v>
      </c>
      <c r="D1297" s="1">
        <v>1164370</v>
      </c>
      <c r="E1297" s="1">
        <v>1165398</v>
      </c>
      <c r="F1297" s="1" t="s">
        <v>9</v>
      </c>
      <c r="G1297" s="1" t="s">
        <v>11409</v>
      </c>
    </row>
    <row r="1298" spans="1:7" ht="21" x14ac:dyDescent="0.25">
      <c r="A1298" s="2" t="str">
        <f>HYPERLINK("https://rth.dk/resources/bsgatlas/details.php?id=BSGatlas-gene-1297","BSGatlas-gene-1297")</f>
        <v>BSGatlas-gene-1297</v>
      </c>
      <c r="B1298" s="1" t="s">
        <v>1211</v>
      </c>
      <c r="C1298" s="1" t="s">
        <v>8</v>
      </c>
      <c r="D1298" s="1">
        <v>1165449</v>
      </c>
      <c r="E1298" s="1">
        <v>1165958</v>
      </c>
      <c r="F1298" s="1" t="s">
        <v>13</v>
      </c>
      <c r="G1298" s="1" t="s">
        <v>11409</v>
      </c>
    </row>
    <row r="1299" spans="1:7" ht="21" x14ac:dyDescent="0.25">
      <c r="A1299" s="2" t="str">
        <f>HYPERLINK("https://rth.dk/resources/bsgatlas/details.php?id=BSGatlas-gene-1298","BSGatlas-gene-1298")</f>
        <v>BSGatlas-gene-1298</v>
      </c>
      <c r="B1299" s="1" t="s">
        <v>11502</v>
      </c>
      <c r="C1299" s="1" t="s">
        <v>8</v>
      </c>
      <c r="D1299" s="1">
        <v>1166008</v>
      </c>
      <c r="E1299" s="1">
        <v>1166670</v>
      </c>
      <c r="F1299" s="1" t="s">
        <v>13</v>
      </c>
      <c r="G1299" s="1" t="s">
        <v>11409</v>
      </c>
    </row>
    <row r="1300" spans="1:7" ht="21" x14ac:dyDescent="0.25">
      <c r="A1300" s="2" t="str">
        <f>HYPERLINK("https://rth.dk/resources/bsgatlas/details.php?id=BSGatlas-gene-1299","BSGatlas-gene-1299")</f>
        <v>BSGatlas-gene-1299</v>
      </c>
      <c r="B1300" s="1" t="s">
        <v>1212</v>
      </c>
      <c r="C1300" s="1" t="s">
        <v>8</v>
      </c>
      <c r="D1300" s="1">
        <v>1166737</v>
      </c>
      <c r="E1300" s="1">
        <v>1168191</v>
      </c>
      <c r="F1300" s="1" t="s">
        <v>9</v>
      </c>
      <c r="G1300" s="1" t="s">
        <v>11409</v>
      </c>
    </row>
    <row r="1301" spans="1:7" ht="21" x14ac:dyDescent="0.25">
      <c r="A1301" s="2" t="str">
        <f>HYPERLINK("https://rth.dk/resources/bsgatlas/details.php?id=BSGatlas-gene-1300","BSGatlas-gene-1300")</f>
        <v>BSGatlas-gene-1300</v>
      </c>
      <c r="B1301" s="1" t="s">
        <v>1213</v>
      </c>
      <c r="C1301" s="1" t="s">
        <v>8</v>
      </c>
      <c r="D1301" s="1">
        <v>1168199</v>
      </c>
      <c r="E1301" s="1">
        <v>1168837</v>
      </c>
      <c r="F1301" s="1" t="s">
        <v>13</v>
      </c>
      <c r="G1301" s="1" t="s">
        <v>11409</v>
      </c>
    </row>
    <row r="1302" spans="1:7" ht="21" x14ac:dyDescent="0.25">
      <c r="A1302" s="2" t="str">
        <f>HYPERLINK("https://rth.dk/resources/bsgatlas/details.php?id=BSGatlas-gene-1301","BSGatlas-gene-1301")</f>
        <v>BSGatlas-gene-1301</v>
      </c>
      <c r="B1302" s="1" t="s">
        <v>1214</v>
      </c>
      <c r="C1302" s="1" t="s">
        <v>8</v>
      </c>
      <c r="D1302" s="1">
        <v>1169043</v>
      </c>
      <c r="E1302" s="1">
        <v>1169849</v>
      </c>
      <c r="F1302" s="1" t="s">
        <v>9</v>
      </c>
      <c r="G1302" s="1" t="s">
        <v>11409</v>
      </c>
    </row>
    <row r="1303" spans="1:7" ht="21" x14ac:dyDescent="0.25">
      <c r="A1303" s="2" t="str">
        <f>HYPERLINK("https://rth.dk/resources/bsgatlas/details.php?id=BSGatlas-gene-1302","BSGatlas-gene-1302")</f>
        <v>BSGatlas-gene-1302</v>
      </c>
      <c r="B1303" s="1" t="s">
        <v>1215</v>
      </c>
      <c r="C1303" s="1" t="s">
        <v>8</v>
      </c>
      <c r="D1303" s="1">
        <v>1169877</v>
      </c>
      <c r="E1303" s="1">
        <v>1170476</v>
      </c>
      <c r="F1303" s="1" t="s">
        <v>13</v>
      </c>
      <c r="G1303" s="1" t="s">
        <v>11409</v>
      </c>
    </row>
    <row r="1304" spans="1:7" ht="21" x14ac:dyDescent="0.25">
      <c r="A1304" s="2" t="str">
        <f>HYPERLINK("https://rth.dk/resources/bsgatlas/details.php?id=BSGatlas-gene-1303","BSGatlas-gene-1303")</f>
        <v>BSGatlas-gene-1303</v>
      </c>
      <c r="B1304" s="1" t="s">
        <v>1216</v>
      </c>
      <c r="C1304" s="1" t="s">
        <v>8</v>
      </c>
      <c r="D1304" s="1">
        <v>1170473</v>
      </c>
      <c r="E1304" s="1">
        <v>1171642</v>
      </c>
      <c r="F1304" s="1" t="s">
        <v>13</v>
      </c>
      <c r="G1304" s="1" t="s">
        <v>11409</v>
      </c>
    </row>
    <row r="1305" spans="1:7" ht="21" x14ac:dyDescent="0.25">
      <c r="A1305" s="2" t="str">
        <f>HYPERLINK("https://rth.dk/resources/bsgatlas/details.php?id=BSGatlas-gene-1304","BSGatlas-gene-1304")</f>
        <v>BSGatlas-gene-1304</v>
      </c>
      <c r="B1305" s="1" t="s">
        <v>1217</v>
      </c>
      <c r="C1305" s="1" t="s">
        <v>8</v>
      </c>
      <c r="D1305" s="1">
        <v>1171755</v>
      </c>
      <c r="E1305" s="1">
        <v>1172465</v>
      </c>
      <c r="F1305" s="1" t="s">
        <v>13</v>
      </c>
      <c r="G1305" s="1" t="s">
        <v>11409</v>
      </c>
    </row>
    <row r="1306" spans="1:7" ht="21" x14ac:dyDescent="0.25">
      <c r="A1306" s="2" t="str">
        <f>HYPERLINK("https://rth.dk/resources/bsgatlas/details.php?id=BSGatlas-gene-1305","BSGatlas-gene-1305")</f>
        <v>BSGatlas-gene-1305</v>
      </c>
      <c r="B1306" s="1" t="s">
        <v>1218</v>
      </c>
      <c r="C1306" s="1" t="s">
        <v>8</v>
      </c>
      <c r="D1306" s="1">
        <v>1172650</v>
      </c>
      <c r="E1306" s="1">
        <v>1173336</v>
      </c>
      <c r="F1306" s="1" t="s">
        <v>9</v>
      </c>
      <c r="G1306" s="1" t="s">
        <v>11409</v>
      </c>
    </row>
    <row r="1307" spans="1:7" ht="21" x14ac:dyDescent="0.25">
      <c r="A1307" s="2" t="str">
        <f>HYPERLINK("https://rth.dk/resources/bsgatlas/details.php?id=BSGatlas-gene-1306","BSGatlas-gene-1306")</f>
        <v>BSGatlas-gene-1306</v>
      </c>
      <c r="B1307" s="1" t="s">
        <v>1219</v>
      </c>
      <c r="C1307" s="1" t="s">
        <v>8</v>
      </c>
      <c r="D1307" s="1">
        <v>1173333</v>
      </c>
      <c r="E1307" s="1">
        <v>1174091</v>
      </c>
      <c r="F1307" s="1" t="s">
        <v>9</v>
      </c>
      <c r="G1307" s="1" t="s">
        <v>11409</v>
      </c>
    </row>
    <row r="1308" spans="1:7" ht="21" x14ac:dyDescent="0.25">
      <c r="A1308" s="2" t="str">
        <f>HYPERLINK("https://rth.dk/resources/bsgatlas/details.php?id=BSGatlas-gene-1307","BSGatlas-gene-1307")</f>
        <v>BSGatlas-gene-1307</v>
      </c>
      <c r="B1308" s="1" t="s">
        <v>1220</v>
      </c>
      <c r="C1308" s="1" t="s">
        <v>8</v>
      </c>
      <c r="D1308" s="1">
        <v>1174136</v>
      </c>
      <c r="E1308" s="1">
        <v>1174765</v>
      </c>
      <c r="F1308" s="1" t="s">
        <v>13</v>
      </c>
      <c r="G1308" s="1" t="s">
        <v>11409</v>
      </c>
    </row>
    <row r="1309" spans="1:7" ht="21" x14ac:dyDescent="0.25">
      <c r="A1309" s="2" t="str">
        <f>HYPERLINK("https://rth.dk/resources/bsgatlas/details.php?id=BSGatlas-gene-1308","BSGatlas-gene-1308")</f>
        <v>BSGatlas-gene-1308</v>
      </c>
      <c r="B1309" s="1" t="s">
        <v>1221</v>
      </c>
      <c r="C1309" s="1" t="s">
        <v>8</v>
      </c>
      <c r="D1309" s="1">
        <v>1174861</v>
      </c>
      <c r="E1309" s="1">
        <v>1175976</v>
      </c>
      <c r="F1309" s="1" t="s">
        <v>13</v>
      </c>
      <c r="G1309" s="1" t="s">
        <v>11409</v>
      </c>
    </row>
    <row r="1310" spans="1:7" ht="21" x14ac:dyDescent="0.25">
      <c r="A1310" s="2" t="str">
        <f>HYPERLINK("https://rth.dk/resources/bsgatlas/details.php?id=BSGatlas-gene-1309","BSGatlas-gene-1309")</f>
        <v>BSGatlas-gene-1309</v>
      </c>
      <c r="B1310" s="1" t="s">
        <v>1222</v>
      </c>
      <c r="C1310" s="1" t="s">
        <v>8</v>
      </c>
      <c r="D1310" s="1">
        <v>1175985</v>
      </c>
      <c r="E1310" s="1">
        <v>1177253</v>
      </c>
      <c r="F1310" s="1" t="s">
        <v>13</v>
      </c>
      <c r="G1310" s="1" t="s">
        <v>11409</v>
      </c>
    </row>
    <row r="1311" spans="1:7" ht="21" x14ac:dyDescent="0.25">
      <c r="A1311" s="2" t="str">
        <f>HYPERLINK("https://rth.dk/resources/bsgatlas/details.php?id=BSGatlas-gene-1310","BSGatlas-gene-1310")</f>
        <v>BSGatlas-gene-1310</v>
      </c>
      <c r="B1311" s="1" t="s">
        <v>1223</v>
      </c>
      <c r="C1311" s="1" t="s">
        <v>8</v>
      </c>
      <c r="D1311" s="1">
        <v>1177365</v>
      </c>
      <c r="E1311" s="1">
        <v>1178213</v>
      </c>
      <c r="F1311" s="1" t="s">
        <v>13</v>
      </c>
      <c r="G1311" s="1" t="s">
        <v>11409</v>
      </c>
    </row>
    <row r="1312" spans="1:7" ht="21" x14ac:dyDescent="0.25">
      <c r="A1312" s="2" t="str">
        <f>HYPERLINK("https://rth.dk/resources/bsgatlas/details.php?id=BSGatlas-gene-1311","BSGatlas-gene-1311")</f>
        <v>BSGatlas-gene-1311</v>
      </c>
      <c r="B1312" s="1" t="s">
        <v>1224</v>
      </c>
      <c r="C1312" s="1" t="s">
        <v>8</v>
      </c>
      <c r="D1312" s="1">
        <v>1178218</v>
      </c>
      <c r="E1312" s="1">
        <v>1178667</v>
      </c>
      <c r="F1312" s="1" t="s">
        <v>13</v>
      </c>
      <c r="G1312" s="1" t="s">
        <v>11409</v>
      </c>
    </row>
    <row r="1313" spans="1:7" ht="21" x14ac:dyDescent="0.25">
      <c r="A1313" s="2" t="str">
        <f>HYPERLINK("https://rth.dk/resources/bsgatlas/details.php?id=BSGatlas-gene-1312","BSGatlas-gene-1312")</f>
        <v>BSGatlas-gene-1312</v>
      </c>
      <c r="B1313" s="1" t="s">
        <v>1225</v>
      </c>
      <c r="C1313" s="1" t="s">
        <v>8</v>
      </c>
      <c r="D1313" s="1">
        <v>1178757</v>
      </c>
      <c r="E1313" s="1">
        <v>1180595</v>
      </c>
      <c r="F1313" s="1" t="s">
        <v>13</v>
      </c>
      <c r="G1313" s="1" t="s">
        <v>11409</v>
      </c>
    </row>
    <row r="1314" spans="1:7" ht="21" x14ac:dyDescent="0.25">
      <c r="A1314" s="2" t="str">
        <f>HYPERLINK("https://rth.dk/resources/bsgatlas/details.php?id=BSGatlas-gene-1313","BSGatlas-gene-1313")</f>
        <v>BSGatlas-gene-1313</v>
      </c>
      <c r="B1314" s="1" t="s">
        <v>1226</v>
      </c>
      <c r="C1314" s="1" t="s">
        <v>34</v>
      </c>
      <c r="D1314" s="1">
        <v>1180684</v>
      </c>
      <c r="E1314" s="1">
        <v>1180802</v>
      </c>
      <c r="F1314" s="1" t="s">
        <v>13</v>
      </c>
      <c r="G1314" s="1" t="s">
        <v>11412</v>
      </c>
    </row>
    <row r="1315" spans="1:7" ht="21" x14ac:dyDescent="0.25">
      <c r="A1315" s="2" t="str">
        <f>HYPERLINK("https://rth.dk/resources/bsgatlas/details.php?id=BSGatlas-gene-1314","BSGatlas-gene-1314")</f>
        <v>BSGatlas-gene-1314</v>
      </c>
      <c r="B1315" s="1" t="s">
        <v>1227</v>
      </c>
      <c r="C1315" s="1" t="s">
        <v>8</v>
      </c>
      <c r="D1315" s="1">
        <v>1180909</v>
      </c>
      <c r="E1315" s="1">
        <v>1181400</v>
      </c>
      <c r="F1315" s="1" t="s">
        <v>13</v>
      </c>
      <c r="G1315" s="1" t="s">
        <v>11409</v>
      </c>
    </row>
    <row r="1316" spans="1:7" ht="21" x14ac:dyDescent="0.25">
      <c r="A1316" s="2" t="str">
        <f>HYPERLINK("https://rth.dk/resources/bsgatlas/details.php?id=BSGatlas-gene-1315","BSGatlas-gene-1315")</f>
        <v>BSGatlas-gene-1315</v>
      </c>
      <c r="B1316" s="1" t="s">
        <v>1228</v>
      </c>
      <c r="C1316" s="1" t="s">
        <v>8</v>
      </c>
      <c r="D1316" s="1">
        <v>1181499</v>
      </c>
      <c r="E1316" s="1">
        <v>1182395</v>
      </c>
      <c r="F1316" s="1" t="s">
        <v>9</v>
      </c>
      <c r="G1316" s="1" t="s">
        <v>11409</v>
      </c>
    </row>
    <row r="1317" spans="1:7" ht="21" x14ac:dyDescent="0.25">
      <c r="A1317" s="2" t="str">
        <f>HYPERLINK("https://rth.dk/resources/bsgatlas/details.php?id=BSGatlas-gene-1316","BSGatlas-gene-1316")</f>
        <v>BSGatlas-gene-1316</v>
      </c>
      <c r="B1317" s="1" t="s">
        <v>1229</v>
      </c>
      <c r="C1317" s="1" t="s">
        <v>8</v>
      </c>
      <c r="D1317" s="1">
        <v>1182448</v>
      </c>
      <c r="E1317" s="1">
        <v>1183032</v>
      </c>
      <c r="F1317" s="1" t="s">
        <v>13</v>
      </c>
      <c r="G1317" s="1" t="s">
        <v>11409</v>
      </c>
    </row>
    <row r="1318" spans="1:7" ht="21" x14ac:dyDescent="0.25">
      <c r="A1318" s="2" t="str">
        <f>HYPERLINK("https://rth.dk/resources/bsgatlas/details.php?id=BSGatlas-gene-1317","BSGatlas-gene-1317")</f>
        <v>BSGatlas-gene-1317</v>
      </c>
      <c r="B1318" s="1" t="s">
        <v>11503</v>
      </c>
      <c r="C1318" s="1" t="s">
        <v>8</v>
      </c>
      <c r="D1318" s="1">
        <v>1183029</v>
      </c>
      <c r="E1318" s="1">
        <v>1183958</v>
      </c>
      <c r="F1318" s="1" t="s">
        <v>13</v>
      </c>
      <c r="G1318" s="1" t="s">
        <v>11409</v>
      </c>
    </row>
    <row r="1319" spans="1:7" ht="21" x14ac:dyDescent="0.25">
      <c r="A1319" s="2" t="str">
        <f>HYPERLINK("https://rth.dk/resources/bsgatlas/details.php?id=BSGatlas-gene-1318","BSGatlas-gene-1318")</f>
        <v>BSGatlas-gene-1318</v>
      </c>
      <c r="B1319" s="1" t="s">
        <v>1230</v>
      </c>
      <c r="C1319" s="1" t="s">
        <v>8</v>
      </c>
      <c r="D1319" s="1">
        <v>1183943</v>
      </c>
      <c r="E1319" s="1">
        <v>1184479</v>
      </c>
      <c r="F1319" s="1" t="s">
        <v>13</v>
      </c>
      <c r="G1319" s="1" t="s">
        <v>11409</v>
      </c>
    </row>
    <row r="1320" spans="1:7" ht="21" x14ac:dyDescent="0.25">
      <c r="A1320" s="2" t="str">
        <f>HYPERLINK("https://rth.dk/resources/bsgatlas/details.php?id=BSGatlas-gene-1319","BSGatlas-gene-1319")</f>
        <v>BSGatlas-gene-1319</v>
      </c>
      <c r="B1320" s="1" t="s">
        <v>1231</v>
      </c>
      <c r="C1320" s="1" t="s">
        <v>8</v>
      </c>
      <c r="D1320" s="1">
        <v>1184657</v>
      </c>
      <c r="E1320" s="1">
        <v>1185004</v>
      </c>
      <c r="F1320" s="1" t="s">
        <v>9</v>
      </c>
      <c r="G1320" s="1" t="s">
        <v>11409</v>
      </c>
    </row>
    <row r="1321" spans="1:7" ht="21" x14ac:dyDescent="0.25">
      <c r="A1321" s="2" t="str">
        <f>HYPERLINK("https://rth.dk/resources/bsgatlas/details.php?id=BSGatlas-gene-1320","BSGatlas-gene-1320")</f>
        <v>BSGatlas-gene-1320</v>
      </c>
      <c r="B1321" s="1" t="s">
        <v>1232</v>
      </c>
      <c r="C1321" s="1" t="s">
        <v>8</v>
      </c>
      <c r="D1321" s="1">
        <v>1185001</v>
      </c>
      <c r="E1321" s="1">
        <v>1185588</v>
      </c>
      <c r="F1321" s="1" t="s">
        <v>9</v>
      </c>
      <c r="G1321" s="1" t="s">
        <v>11409</v>
      </c>
    </row>
    <row r="1322" spans="1:7" ht="21" x14ac:dyDescent="0.25">
      <c r="A1322" s="2" t="str">
        <f>HYPERLINK("https://rth.dk/resources/bsgatlas/details.php?id=BSGatlas-gene-1321","BSGatlas-gene-1321")</f>
        <v>BSGatlas-gene-1321</v>
      </c>
      <c r="B1322" s="1" t="s">
        <v>1233</v>
      </c>
      <c r="C1322" s="1" t="s">
        <v>8</v>
      </c>
      <c r="D1322" s="1">
        <v>1185608</v>
      </c>
      <c r="E1322" s="1">
        <v>1185901</v>
      </c>
      <c r="F1322" s="1" t="s">
        <v>9</v>
      </c>
      <c r="G1322" s="1" t="s">
        <v>11409</v>
      </c>
    </row>
    <row r="1323" spans="1:7" ht="21" x14ac:dyDescent="0.25">
      <c r="A1323" s="2" t="str">
        <f>HYPERLINK("https://rth.dk/resources/bsgatlas/details.php?id=BSGatlas-gene-1322","BSGatlas-gene-1322")</f>
        <v>BSGatlas-gene-1322</v>
      </c>
      <c r="B1323" s="1" t="s">
        <v>1234</v>
      </c>
      <c r="C1323" s="1" t="s">
        <v>8</v>
      </c>
      <c r="D1323" s="1">
        <v>1186037</v>
      </c>
      <c r="E1323" s="1">
        <v>1187653</v>
      </c>
      <c r="F1323" s="1" t="s">
        <v>9</v>
      </c>
      <c r="G1323" s="1" t="s">
        <v>11409</v>
      </c>
    </row>
    <row r="1324" spans="1:7" ht="21" x14ac:dyDescent="0.25">
      <c r="A1324" s="2" t="str">
        <f>HYPERLINK("https://rth.dk/resources/bsgatlas/details.php?id=BSGatlas-gene-1323","BSGatlas-gene-1323")</f>
        <v>BSGatlas-gene-1323</v>
      </c>
      <c r="B1324" s="1" t="s">
        <v>1235</v>
      </c>
      <c r="C1324" s="1" t="s">
        <v>8</v>
      </c>
      <c r="D1324" s="1">
        <v>1187700</v>
      </c>
      <c r="E1324" s="1">
        <v>1188551</v>
      </c>
      <c r="F1324" s="1" t="s">
        <v>13</v>
      </c>
      <c r="G1324" s="1" t="s">
        <v>11409</v>
      </c>
    </row>
    <row r="1325" spans="1:7" ht="21" x14ac:dyDescent="0.25">
      <c r="A1325" s="2" t="str">
        <f>HYPERLINK("https://rth.dk/resources/bsgatlas/details.php?id=BSGatlas-gene-1324","BSGatlas-gene-1324")</f>
        <v>BSGatlas-gene-1324</v>
      </c>
      <c r="B1325" s="1" t="s">
        <v>1236</v>
      </c>
      <c r="C1325" s="1" t="s">
        <v>8</v>
      </c>
      <c r="D1325" s="1">
        <v>1188689</v>
      </c>
      <c r="E1325" s="1">
        <v>1189531</v>
      </c>
      <c r="F1325" s="1" t="s">
        <v>9</v>
      </c>
      <c r="G1325" s="1" t="s">
        <v>11409</v>
      </c>
    </row>
    <row r="1326" spans="1:7" ht="21" x14ac:dyDescent="0.25">
      <c r="A1326" s="2" t="str">
        <f>HYPERLINK("https://rth.dk/resources/bsgatlas/details.php?id=BSGatlas-gene-1325","BSGatlas-gene-1325")</f>
        <v>BSGatlas-gene-1325</v>
      </c>
      <c r="B1326" s="1" t="s">
        <v>1237</v>
      </c>
      <c r="C1326" s="1" t="s">
        <v>8</v>
      </c>
      <c r="D1326" s="1">
        <v>1189646</v>
      </c>
      <c r="E1326" s="1">
        <v>1190005</v>
      </c>
      <c r="F1326" s="1" t="s">
        <v>9</v>
      </c>
      <c r="G1326" s="1" t="s">
        <v>11409</v>
      </c>
    </row>
    <row r="1327" spans="1:7" ht="21" x14ac:dyDescent="0.25">
      <c r="A1327" s="2" t="str">
        <f>HYPERLINK("https://rth.dk/resources/bsgatlas/details.php?id=BSGatlas-gene-1326","BSGatlas-gene-1326")</f>
        <v>BSGatlas-gene-1326</v>
      </c>
      <c r="B1327" s="1" t="s">
        <v>1238</v>
      </c>
      <c r="C1327" s="1" t="s">
        <v>8</v>
      </c>
      <c r="D1327" s="1">
        <v>1190036</v>
      </c>
      <c r="E1327" s="1">
        <v>1190233</v>
      </c>
      <c r="F1327" s="1" t="s">
        <v>13</v>
      </c>
      <c r="G1327" s="1" t="s">
        <v>11409</v>
      </c>
    </row>
    <row r="1328" spans="1:7" ht="21" x14ac:dyDescent="0.25">
      <c r="A1328" s="2" t="str">
        <f>HYPERLINK("https://rth.dk/resources/bsgatlas/details.php?id=BSGatlas-gene-1327","BSGatlas-gene-1327")</f>
        <v>BSGatlas-gene-1327</v>
      </c>
      <c r="B1328" s="1" t="s">
        <v>1239</v>
      </c>
      <c r="C1328" s="1" t="s">
        <v>8</v>
      </c>
      <c r="D1328" s="1">
        <v>1190490</v>
      </c>
      <c r="E1328" s="1">
        <v>1191302</v>
      </c>
      <c r="F1328" s="1" t="s">
        <v>13</v>
      </c>
      <c r="G1328" s="1" t="s">
        <v>11409</v>
      </c>
    </row>
    <row r="1329" spans="1:7" ht="21" x14ac:dyDescent="0.25">
      <c r="A1329" s="2" t="str">
        <f>HYPERLINK("https://rth.dk/resources/bsgatlas/details.php?id=BSGatlas-gene-1328","BSGatlas-gene-1328")</f>
        <v>BSGatlas-gene-1328</v>
      </c>
      <c r="B1329" s="1" t="s">
        <v>1240</v>
      </c>
      <c r="C1329" s="1" t="s">
        <v>8</v>
      </c>
      <c r="D1329" s="1">
        <v>1191423</v>
      </c>
      <c r="E1329" s="1">
        <v>1192190</v>
      </c>
      <c r="F1329" s="1" t="s">
        <v>9</v>
      </c>
      <c r="G1329" s="1" t="s">
        <v>11409</v>
      </c>
    </row>
    <row r="1330" spans="1:7" ht="21" x14ac:dyDescent="0.25">
      <c r="A1330" s="2" t="str">
        <f>HYPERLINK("https://rth.dk/resources/bsgatlas/details.php?id=BSGatlas-gene-1329","BSGatlas-gene-1329")</f>
        <v>BSGatlas-gene-1329</v>
      </c>
      <c r="B1330" s="1" t="s">
        <v>1241</v>
      </c>
      <c r="C1330" s="1" t="s">
        <v>8</v>
      </c>
      <c r="D1330" s="1">
        <v>1192254</v>
      </c>
      <c r="E1330" s="1">
        <v>1192562</v>
      </c>
      <c r="F1330" s="1" t="s">
        <v>9</v>
      </c>
      <c r="G1330" s="1" t="s">
        <v>11409</v>
      </c>
    </row>
    <row r="1331" spans="1:7" ht="21" x14ac:dyDescent="0.25">
      <c r="A1331" s="2" t="str">
        <f>HYPERLINK("https://rth.dk/resources/bsgatlas/details.php?id=BSGatlas-gene-1330","BSGatlas-gene-1330")</f>
        <v>BSGatlas-gene-1330</v>
      </c>
      <c r="B1331" s="1" t="s">
        <v>11504</v>
      </c>
      <c r="C1331" s="1" t="s">
        <v>8</v>
      </c>
      <c r="D1331" s="1">
        <v>1192858</v>
      </c>
      <c r="E1331" s="1">
        <v>1194288</v>
      </c>
      <c r="F1331" s="1" t="s">
        <v>9</v>
      </c>
      <c r="G1331" s="1" t="s">
        <v>11409</v>
      </c>
    </row>
    <row r="1332" spans="1:7" ht="21" x14ac:dyDescent="0.25">
      <c r="A1332" s="2" t="str">
        <f>HYPERLINK("https://rth.dk/resources/bsgatlas/details.php?id=BSGatlas-gene-1331","BSGatlas-gene-1331")</f>
        <v>BSGatlas-gene-1331</v>
      </c>
      <c r="B1332" s="1" t="s">
        <v>1242</v>
      </c>
      <c r="C1332" s="1" t="s">
        <v>8</v>
      </c>
      <c r="D1332" s="1">
        <v>1194333</v>
      </c>
      <c r="E1332" s="1">
        <v>1194827</v>
      </c>
      <c r="F1332" s="1" t="s">
        <v>9</v>
      </c>
      <c r="G1332" s="1" t="s">
        <v>11409</v>
      </c>
    </row>
    <row r="1333" spans="1:7" ht="21" x14ac:dyDescent="0.25">
      <c r="A1333" s="2" t="str">
        <f>HYPERLINK("https://rth.dk/resources/bsgatlas/details.php?id=BSGatlas-gene-1332","BSGatlas-gene-1332")</f>
        <v>BSGatlas-gene-1332</v>
      </c>
      <c r="B1333" s="1" t="s">
        <v>1243</v>
      </c>
      <c r="C1333" s="1" t="s">
        <v>8</v>
      </c>
      <c r="D1333" s="1">
        <v>1195034</v>
      </c>
      <c r="E1333" s="1">
        <v>1196071</v>
      </c>
      <c r="F1333" s="1" t="s">
        <v>9</v>
      </c>
      <c r="G1333" s="1" t="s">
        <v>11409</v>
      </c>
    </row>
    <row r="1334" spans="1:7" ht="21" x14ac:dyDescent="0.25">
      <c r="A1334" s="2" t="str">
        <f>HYPERLINK("https://rth.dk/resources/bsgatlas/details.php?id=BSGatlas-gene-1333","BSGatlas-gene-1333")</f>
        <v>BSGatlas-gene-1333</v>
      </c>
      <c r="B1334" s="1" t="s">
        <v>1244</v>
      </c>
      <c r="C1334" s="1" t="s">
        <v>8</v>
      </c>
      <c r="D1334" s="1">
        <v>1196091</v>
      </c>
      <c r="E1334" s="1">
        <v>1197311</v>
      </c>
      <c r="F1334" s="1" t="s">
        <v>9</v>
      </c>
      <c r="G1334" s="1" t="s">
        <v>11409</v>
      </c>
    </row>
    <row r="1335" spans="1:7" ht="21" x14ac:dyDescent="0.25">
      <c r="A1335" s="2" t="str">
        <f>HYPERLINK("https://rth.dk/resources/bsgatlas/details.php?id=BSGatlas-gene-1334","BSGatlas-gene-1334")</f>
        <v>BSGatlas-gene-1334</v>
      </c>
      <c r="B1335" s="1" t="s">
        <v>1245</v>
      </c>
      <c r="C1335" s="1" t="s">
        <v>8</v>
      </c>
      <c r="D1335" s="1">
        <v>1197326</v>
      </c>
      <c r="E1335" s="1">
        <v>1198102</v>
      </c>
      <c r="F1335" s="1" t="s">
        <v>9</v>
      </c>
      <c r="G1335" s="1" t="s">
        <v>11409</v>
      </c>
    </row>
    <row r="1336" spans="1:7" ht="21" x14ac:dyDescent="0.25">
      <c r="A1336" s="2" t="str">
        <f>HYPERLINK("https://rth.dk/resources/bsgatlas/details.php?id=BSGatlas-gene-1335","BSGatlas-gene-1335")</f>
        <v>BSGatlas-gene-1335</v>
      </c>
      <c r="B1336" s="1" t="s">
        <v>1246</v>
      </c>
      <c r="C1336" s="1" t="s">
        <v>8</v>
      </c>
      <c r="D1336" s="1">
        <v>1198099</v>
      </c>
      <c r="E1336" s="1">
        <v>1199256</v>
      </c>
      <c r="F1336" s="1" t="s">
        <v>9</v>
      </c>
      <c r="G1336" s="1" t="s">
        <v>11409</v>
      </c>
    </row>
    <row r="1337" spans="1:7" ht="21" x14ac:dyDescent="0.25">
      <c r="A1337" s="2" t="str">
        <f>HYPERLINK("https://rth.dk/resources/bsgatlas/details.php?id=BSGatlas-gene-1336","BSGatlas-gene-1336")</f>
        <v>BSGatlas-gene-1336</v>
      </c>
      <c r="B1337" s="1" t="s">
        <v>1247</v>
      </c>
      <c r="C1337" s="1" t="s">
        <v>8</v>
      </c>
      <c r="D1337" s="1">
        <v>1199327</v>
      </c>
      <c r="E1337" s="1">
        <v>1200388</v>
      </c>
      <c r="F1337" s="1" t="s">
        <v>9</v>
      </c>
      <c r="G1337" s="1" t="s">
        <v>11409</v>
      </c>
    </row>
    <row r="1338" spans="1:7" ht="21" x14ac:dyDescent="0.25">
      <c r="A1338" s="2" t="str">
        <f>HYPERLINK("https://rth.dk/resources/bsgatlas/details.php?id=BSGatlas-gene-1337","BSGatlas-gene-1337")</f>
        <v>BSGatlas-gene-1337</v>
      </c>
      <c r="B1338" s="1" t="s">
        <v>1248</v>
      </c>
      <c r="C1338" s="1" t="s">
        <v>8</v>
      </c>
      <c r="D1338" s="1">
        <v>1200381</v>
      </c>
      <c r="E1338" s="1">
        <v>1203473</v>
      </c>
      <c r="F1338" s="1" t="s">
        <v>9</v>
      </c>
      <c r="G1338" s="1" t="s">
        <v>11409</v>
      </c>
    </row>
    <row r="1339" spans="1:7" ht="21" x14ac:dyDescent="0.25">
      <c r="A1339" s="2" t="str">
        <f>HYPERLINK("https://rth.dk/resources/bsgatlas/details.php?id=BSGatlas-gene-1338","BSGatlas-gene-1338")</f>
        <v>BSGatlas-gene-1338</v>
      </c>
      <c r="B1339" s="1" t="s">
        <v>1249</v>
      </c>
      <c r="C1339" s="1" t="s">
        <v>8</v>
      </c>
      <c r="D1339" s="1">
        <v>1203461</v>
      </c>
      <c r="E1339" s="1">
        <v>1204420</v>
      </c>
      <c r="F1339" s="1" t="s">
        <v>9</v>
      </c>
      <c r="G1339" s="1" t="s">
        <v>11409</v>
      </c>
    </row>
    <row r="1340" spans="1:7" ht="21" x14ac:dyDescent="0.25">
      <c r="A1340" s="2" t="str">
        <f>HYPERLINK("https://rth.dk/resources/bsgatlas/details.php?id=BSGatlas-gene-1339","BSGatlas-gene-1339")</f>
        <v>BSGatlas-gene-1339</v>
      </c>
      <c r="B1340" s="1" t="s">
        <v>1251</v>
      </c>
      <c r="C1340" s="1" t="s">
        <v>8</v>
      </c>
      <c r="D1340" s="1">
        <v>1204506</v>
      </c>
      <c r="E1340" s="1">
        <v>1204685</v>
      </c>
      <c r="F1340" s="1" t="s">
        <v>9</v>
      </c>
      <c r="G1340" s="1" t="s">
        <v>11409</v>
      </c>
    </row>
    <row r="1341" spans="1:7" ht="21" x14ac:dyDescent="0.25">
      <c r="A1341" s="2" t="str">
        <f>HYPERLINK("https://rth.dk/resources/bsgatlas/details.php?id=BSGatlas-gene-1340","BSGatlas-gene-1340")</f>
        <v>BSGatlas-gene-1340</v>
      </c>
      <c r="B1341" s="1" t="s">
        <v>1250</v>
      </c>
      <c r="C1341" s="1" t="s">
        <v>8</v>
      </c>
      <c r="D1341" s="1">
        <v>1204731</v>
      </c>
      <c r="E1341" s="1">
        <v>1204916</v>
      </c>
      <c r="F1341" s="1" t="s">
        <v>13</v>
      </c>
      <c r="G1341" s="1" t="s">
        <v>11409</v>
      </c>
    </row>
    <row r="1342" spans="1:7" ht="21" x14ac:dyDescent="0.25">
      <c r="A1342" s="2" t="str">
        <f>HYPERLINK("https://rth.dk/resources/bsgatlas/details.php?id=BSGatlas-gene-1341","BSGatlas-gene-1341")</f>
        <v>BSGatlas-gene-1341</v>
      </c>
      <c r="B1342" s="1" t="s">
        <v>1252</v>
      </c>
      <c r="C1342" s="1" t="s">
        <v>8</v>
      </c>
      <c r="D1342" s="1">
        <v>1205165</v>
      </c>
      <c r="E1342" s="1">
        <v>1205899</v>
      </c>
      <c r="F1342" s="1" t="s">
        <v>9</v>
      </c>
      <c r="G1342" s="1" t="s">
        <v>11409</v>
      </c>
    </row>
    <row r="1343" spans="1:7" ht="21" x14ac:dyDescent="0.25">
      <c r="A1343" s="2" t="str">
        <f>HYPERLINK("https://rth.dk/resources/bsgatlas/details.php?id=BSGatlas-gene-1342","BSGatlas-gene-1342")</f>
        <v>BSGatlas-gene-1342</v>
      </c>
      <c r="B1343" s="1" t="s">
        <v>1256</v>
      </c>
      <c r="C1343" s="1" t="s">
        <v>12</v>
      </c>
      <c r="D1343" s="1">
        <v>1205658</v>
      </c>
      <c r="E1343" s="1">
        <v>1206260</v>
      </c>
      <c r="F1343" s="1" t="s">
        <v>13</v>
      </c>
      <c r="G1343" s="1" t="s">
        <v>11406</v>
      </c>
    </row>
    <row r="1344" spans="1:7" ht="21" x14ac:dyDescent="0.25">
      <c r="A1344" s="2" t="str">
        <f>HYPERLINK("https://rth.dk/resources/bsgatlas/details.php?id=BSGatlas-gene-1343","BSGatlas-gene-1343")</f>
        <v>BSGatlas-gene-1343</v>
      </c>
      <c r="B1344" s="1" t="s">
        <v>1253</v>
      </c>
      <c r="C1344" s="1" t="s">
        <v>8</v>
      </c>
      <c r="D1344" s="1">
        <v>1205981</v>
      </c>
      <c r="E1344" s="1">
        <v>1206538</v>
      </c>
      <c r="F1344" s="1" t="s">
        <v>9</v>
      </c>
      <c r="G1344" s="1" t="s">
        <v>11409</v>
      </c>
    </row>
    <row r="1345" spans="1:7" ht="21" x14ac:dyDescent="0.25">
      <c r="A1345" s="2" t="str">
        <f>HYPERLINK("https://rth.dk/resources/bsgatlas/details.php?id=BSGatlas-gene-1344","BSGatlas-gene-1344")</f>
        <v>BSGatlas-gene-1344</v>
      </c>
      <c r="B1345" s="1" t="s">
        <v>1254</v>
      </c>
      <c r="C1345" s="1" t="s">
        <v>8</v>
      </c>
      <c r="D1345" s="1">
        <v>1206629</v>
      </c>
      <c r="E1345" s="1">
        <v>1207582</v>
      </c>
      <c r="F1345" s="1" t="s">
        <v>9</v>
      </c>
      <c r="G1345" s="1" t="s">
        <v>11409</v>
      </c>
    </row>
    <row r="1346" spans="1:7" ht="21" x14ac:dyDescent="0.25">
      <c r="A1346" s="2" t="str">
        <f>HYPERLINK("https://rth.dk/resources/bsgatlas/details.php?id=BSGatlas-gene-1345","BSGatlas-gene-1345")</f>
        <v>BSGatlas-gene-1345</v>
      </c>
      <c r="B1346" s="1" t="s">
        <v>1255</v>
      </c>
      <c r="C1346" s="1" t="s">
        <v>8</v>
      </c>
      <c r="D1346" s="1">
        <v>1207597</v>
      </c>
      <c r="E1346" s="1">
        <v>1207788</v>
      </c>
      <c r="F1346" s="1" t="s">
        <v>9</v>
      </c>
      <c r="G1346" s="1" t="s">
        <v>11409</v>
      </c>
    </row>
    <row r="1347" spans="1:7" ht="21" x14ac:dyDescent="0.25">
      <c r="A1347" s="2" t="str">
        <f>HYPERLINK("https://rth.dk/resources/bsgatlas/details.php?id=BSGatlas-gene-1346","BSGatlas-gene-1346")</f>
        <v>BSGatlas-gene-1346</v>
      </c>
      <c r="B1347" s="1" t="s">
        <v>1257</v>
      </c>
      <c r="C1347" s="1" t="s">
        <v>8</v>
      </c>
      <c r="D1347" s="1">
        <v>1207818</v>
      </c>
      <c r="E1347" s="1">
        <v>1208057</v>
      </c>
      <c r="F1347" s="1" t="s">
        <v>13</v>
      </c>
      <c r="G1347" s="1" t="s">
        <v>11409</v>
      </c>
    </row>
    <row r="1348" spans="1:7" ht="21" x14ac:dyDescent="0.25">
      <c r="A1348" s="2" t="str">
        <f>HYPERLINK("https://rth.dk/resources/bsgatlas/details.php?id=BSGatlas-gene-1347","BSGatlas-gene-1347")</f>
        <v>BSGatlas-gene-1347</v>
      </c>
      <c r="B1348" s="1" t="s">
        <v>1258</v>
      </c>
      <c r="C1348" s="1" t="s">
        <v>8</v>
      </c>
      <c r="D1348" s="1">
        <v>1208222</v>
      </c>
      <c r="E1348" s="1">
        <v>1209160</v>
      </c>
      <c r="F1348" s="1" t="s">
        <v>9</v>
      </c>
      <c r="G1348" s="1" t="s">
        <v>11409</v>
      </c>
    </row>
    <row r="1349" spans="1:7" ht="21" x14ac:dyDescent="0.25">
      <c r="A1349" s="2" t="str">
        <f>HYPERLINK("https://rth.dk/resources/bsgatlas/details.php?id=BSGatlas-gene-1348","BSGatlas-gene-1348")</f>
        <v>BSGatlas-gene-1348</v>
      </c>
      <c r="B1349" s="1" t="s">
        <v>1259</v>
      </c>
      <c r="C1349" s="1" t="s">
        <v>8</v>
      </c>
      <c r="D1349" s="1">
        <v>1209183</v>
      </c>
      <c r="E1349" s="1">
        <v>1210424</v>
      </c>
      <c r="F1349" s="1" t="s">
        <v>9</v>
      </c>
      <c r="G1349" s="1" t="s">
        <v>11409</v>
      </c>
    </row>
    <row r="1350" spans="1:7" ht="21" x14ac:dyDescent="0.25">
      <c r="A1350" s="2" t="str">
        <f>HYPERLINK("https://rth.dk/resources/bsgatlas/details.php?id=BSGatlas-gene-1349","BSGatlas-gene-1349")</f>
        <v>BSGatlas-gene-1349</v>
      </c>
      <c r="B1350" s="1" t="s">
        <v>1260</v>
      </c>
      <c r="C1350" s="1" t="s">
        <v>8</v>
      </c>
      <c r="D1350" s="1">
        <v>1210500</v>
      </c>
      <c r="E1350" s="1">
        <v>1211285</v>
      </c>
      <c r="F1350" s="1" t="s">
        <v>9</v>
      </c>
      <c r="G1350" s="1" t="s">
        <v>11409</v>
      </c>
    </row>
    <row r="1351" spans="1:7" ht="21" x14ac:dyDescent="0.25">
      <c r="A1351" s="2" t="str">
        <f>HYPERLINK("https://rth.dk/resources/bsgatlas/details.php?id=BSGatlas-gene-1350","BSGatlas-gene-1350")</f>
        <v>BSGatlas-gene-1350</v>
      </c>
      <c r="B1351" s="1" t="s">
        <v>1261</v>
      </c>
      <c r="C1351" s="1" t="s">
        <v>8</v>
      </c>
      <c r="D1351" s="1">
        <v>1211477</v>
      </c>
      <c r="E1351" s="1">
        <v>1212463</v>
      </c>
      <c r="F1351" s="1" t="s">
        <v>9</v>
      </c>
      <c r="G1351" s="1" t="s">
        <v>11409</v>
      </c>
    </row>
    <row r="1352" spans="1:7" ht="21" x14ac:dyDescent="0.25">
      <c r="A1352" s="2" t="str">
        <f>HYPERLINK("https://rth.dk/resources/bsgatlas/details.php?id=BSGatlas-gene-1351","BSGatlas-gene-1351")</f>
        <v>BSGatlas-gene-1351</v>
      </c>
      <c r="B1352" s="1" t="s">
        <v>1262</v>
      </c>
      <c r="C1352" s="1" t="s">
        <v>8</v>
      </c>
      <c r="D1352" s="1">
        <v>1212460</v>
      </c>
      <c r="E1352" s="1">
        <v>1213449</v>
      </c>
      <c r="F1352" s="1" t="s">
        <v>9</v>
      </c>
      <c r="G1352" s="1" t="s">
        <v>11409</v>
      </c>
    </row>
    <row r="1353" spans="1:7" ht="21" x14ac:dyDescent="0.25">
      <c r="A1353" s="2" t="str">
        <f>HYPERLINK("https://rth.dk/resources/bsgatlas/details.php?id=BSGatlas-gene-1352","BSGatlas-gene-1352")</f>
        <v>BSGatlas-gene-1352</v>
      </c>
      <c r="B1353" s="1" t="s">
        <v>1263</v>
      </c>
      <c r="C1353" s="1" t="s">
        <v>276</v>
      </c>
      <c r="D1353" s="1">
        <v>1213537</v>
      </c>
      <c r="E1353" s="1">
        <v>1214001</v>
      </c>
      <c r="F1353" s="1" t="s">
        <v>9</v>
      </c>
      <c r="G1353" s="1" t="s">
        <v>11441</v>
      </c>
    </row>
    <row r="1354" spans="1:7" ht="21" x14ac:dyDescent="0.25">
      <c r="A1354" s="2" t="str">
        <f>HYPERLINK("https://rth.dk/resources/bsgatlas/details.php?id=BSGatlas-gene-1353","BSGatlas-gene-1353")</f>
        <v>BSGatlas-gene-1353</v>
      </c>
      <c r="B1354" s="1" t="s">
        <v>1264</v>
      </c>
      <c r="C1354" s="1" t="s">
        <v>276</v>
      </c>
      <c r="D1354" s="1">
        <v>1214001</v>
      </c>
      <c r="E1354" s="1">
        <v>1215167</v>
      </c>
      <c r="F1354" s="1" t="s">
        <v>9</v>
      </c>
      <c r="G1354" s="1" t="s">
        <v>11441</v>
      </c>
    </row>
    <row r="1355" spans="1:7" ht="21" x14ac:dyDescent="0.25">
      <c r="A1355" s="2" t="str">
        <f>HYPERLINK("https://rth.dk/resources/bsgatlas/details.php?id=BSGatlas-gene-1354","BSGatlas-gene-1354")</f>
        <v>BSGatlas-gene-1354</v>
      </c>
      <c r="B1355" s="1" t="s">
        <v>1265</v>
      </c>
      <c r="C1355" s="1" t="s">
        <v>8</v>
      </c>
      <c r="D1355" s="1">
        <v>1215243</v>
      </c>
      <c r="E1355" s="1">
        <v>1216193</v>
      </c>
      <c r="F1355" s="1" t="s">
        <v>9</v>
      </c>
      <c r="G1355" s="1" t="s">
        <v>11409</v>
      </c>
    </row>
    <row r="1356" spans="1:7" ht="21" x14ac:dyDescent="0.25">
      <c r="A1356" s="2" t="str">
        <f>HYPERLINK("https://rth.dk/resources/bsgatlas/details.php?id=BSGatlas-gene-1355","BSGatlas-gene-1355")</f>
        <v>BSGatlas-gene-1355</v>
      </c>
      <c r="B1356" s="1" t="s">
        <v>1266</v>
      </c>
      <c r="C1356" s="1" t="s">
        <v>8</v>
      </c>
      <c r="D1356" s="1">
        <v>1216210</v>
      </c>
      <c r="E1356" s="1">
        <v>1217121</v>
      </c>
      <c r="F1356" s="1" t="s">
        <v>9</v>
      </c>
      <c r="G1356" s="1" t="s">
        <v>11409</v>
      </c>
    </row>
    <row r="1357" spans="1:7" ht="21" x14ac:dyDescent="0.25">
      <c r="A1357" s="2" t="str">
        <f>HYPERLINK("https://rth.dk/resources/bsgatlas/details.php?id=BSGatlas-gene-1356","BSGatlas-gene-1356")</f>
        <v>BSGatlas-gene-1356</v>
      </c>
      <c r="B1357" s="1" t="s">
        <v>1267</v>
      </c>
      <c r="C1357" s="1" t="s">
        <v>8</v>
      </c>
      <c r="D1357" s="1">
        <v>1217326</v>
      </c>
      <c r="E1357" s="1">
        <v>1218078</v>
      </c>
      <c r="F1357" s="1" t="s">
        <v>9</v>
      </c>
      <c r="G1357" s="1" t="s">
        <v>11409</v>
      </c>
    </row>
    <row r="1358" spans="1:7" ht="21" x14ac:dyDescent="0.25">
      <c r="A1358" s="2" t="str">
        <f>HYPERLINK("https://rth.dk/resources/bsgatlas/details.php?id=BSGatlas-gene-1357","BSGatlas-gene-1357")</f>
        <v>BSGatlas-gene-1357</v>
      </c>
      <c r="B1358" s="1" t="s">
        <v>1268</v>
      </c>
      <c r="C1358" s="1" t="s">
        <v>8</v>
      </c>
      <c r="D1358" s="1">
        <v>1218113</v>
      </c>
      <c r="E1358" s="1">
        <v>1219105</v>
      </c>
      <c r="F1358" s="1" t="s">
        <v>13</v>
      </c>
      <c r="G1358" s="1" t="s">
        <v>11409</v>
      </c>
    </row>
    <row r="1359" spans="1:7" ht="21" x14ac:dyDescent="0.25">
      <c r="A1359" s="2" t="str">
        <f>HYPERLINK("https://rth.dk/resources/bsgatlas/details.php?id=BSGatlas-gene-1358","BSGatlas-gene-1358")</f>
        <v>BSGatlas-gene-1358</v>
      </c>
      <c r="B1359" s="1" t="s">
        <v>1269</v>
      </c>
      <c r="C1359" s="1" t="s">
        <v>34</v>
      </c>
      <c r="D1359" s="1">
        <v>1219163</v>
      </c>
      <c r="E1359" s="1">
        <v>1219378</v>
      </c>
      <c r="F1359" s="1" t="s">
        <v>13</v>
      </c>
      <c r="G1359" s="1" t="s">
        <v>11412</v>
      </c>
    </row>
    <row r="1360" spans="1:7" ht="21" x14ac:dyDescent="0.25">
      <c r="A1360" s="2" t="str">
        <f>HYPERLINK("https://rth.dk/resources/bsgatlas/details.php?id=BSGatlas-gene-1359","BSGatlas-gene-1359")</f>
        <v>BSGatlas-gene-1359</v>
      </c>
      <c r="B1360" s="1" t="s">
        <v>1270</v>
      </c>
      <c r="C1360" s="1" t="s">
        <v>12</v>
      </c>
      <c r="D1360" s="1">
        <v>1219702</v>
      </c>
      <c r="E1360" s="1">
        <v>1219801</v>
      </c>
      <c r="F1360" s="1" t="s">
        <v>9</v>
      </c>
      <c r="G1360" s="1" t="s">
        <v>11442</v>
      </c>
    </row>
    <row r="1361" spans="1:7" ht="21" x14ac:dyDescent="0.25">
      <c r="A1361" s="2" t="str">
        <f>HYPERLINK("https://rth.dk/resources/bsgatlas/details.php?id=BSGatlas-gene-1360","BSGatlas-gene-1360")</f>
        <v>BSGatlas-gene-1360</v>
      </c>
      <c r="B1361" s="1" t="s">
        <v>1271</v>
      </c>
      <c r="C1361" s="1" t="s">
        <v>8</v>
      </c>
      <c r="D1361" s="1">
        <v>1219849</v>
      </c>
      <c r="E1361" s="1">
        <v>1221486</v>
      </c>
      <c r="F1361" s="1" t="s">
        <v>9</v>
      </c>
      <c r="G1361" s="1" t="s">
        <v>11409</v>
      </c>
    </row>
    <row r="1362" spans="1:7" ht="21" x14ac:dyDescent="0.25">
      <c r="A1362" s="2" t="str">
        <f>HYPERLINK("https://rth.dk/resources/bsgatlas/details.php?id=BSGatlas-gene-1361","BSGatlas-gene-1361")</f>
        <v>BSGatlas-gene-1361</v>
      </c>
      <c r="B1362" s="1" t="s">
        <v>1272</v>
      </c>
      <c r="C1362" s="1" t="s">
        <v>8</v>
      </c>
      <c r="D1362" s="1">
        <v>1221594</v>
      </c>
      <c r="E1362" s="1">
        <v>1222529</v>
      </c>
      <c r="F1362" s="1" t="s">
        <v>9</v>
      </c>
      <c r="G1362" s="1" t="s">
        <v>11409</v>
      </c>
    </row>
    <row r="1363" spans="1:7" ht="21" x14ac:dyDescent="0.25">
      <c r="A1363" s="2" t="str">
        <f>HYPERLINK("https://rth.dk/resources/bsgatlas/details.php?id=BSGatlas-gene-1362","BSGatlas-gene-1362")</f>
        <v>BSGatlas-gene-1362</v>
      </c>
      <c r="B1363" s="1" t="s">
        <v>1273</v>
      </c>
      <c r="C1363" s="1" t="s">
        <v>8</v>
      </c>
      <c r="D1363" s="1">
        <v>1222533</v>
      </c>
      <c r="E1363" s="1">
        <v>1223450</v>
      </c>
      <c r="F1363" s="1" t="s">
        <v>9</v>
      </c>
      <c r="G1363" s="1" t="s">
        <v>11409</v>
      </c>
    </row>
    <row r="1364" spans="1:7" ht="21" x14ac:dyDescent="0.25">
      <c r="A1364" s="2" t="str">
        <f>HYPERLINK("https://rth.dk/resources/bsgatlas/details.php?id=BSGatlas-gene-1363","BSGatlas-gene-1363")</f>
        <v>BSGatlas-gene-1363</v>
      </c>
      <c r="B1364" s="1" t="s">
        <v>1274</v>
      </c>
      <c r="C1364" s="1" t="s">
        <v>8</v>
      </c>
      <c r="D1364" s="1">
        <v>1223455</v>
      </c>
      <c r="E1364" s="1">
        <v>1224531</v>
      </c>
      <c r="F1364" s="1" t="s">
        <v>9</v>
      </c>
      <c r="G1364" s="1" t="s">
        <v>11409</v>
      </c>
    </row>
    <row r="1365" spans="1:7" ht="21" x14ac:dyDescent="0.25">
      <c r="A1365" s="2" t="str">
        <f>HYPERLINK("https://rth.dk/resources/bsgatlas/details.php?id=BSGatlas-gene-1364","BSGatlas-gene-1364")</f>
        <v>BSGatlas-gene-1364</v>
      </c>
      <c r="B1365" s="1" t="s">
        <v>1275</v>
      </c>
      <c r="C1365" s="1" t="s">
        <v>8</v>
      </c>
      <c r="D1365" s="1">
        <v>1224533</v>
      </c>
      <c r="E1365" s="1">
        <v>1225450</v>
      </c>
      <c r="F1365" s="1" t="s">
        <v>9</v>
      </c>
      <c r="G1365" s="1" t="s">
        <v>11409</v>
      </c>
    </row>
    <row r="1366" spans="1:7" ht="21" x14ac:dyDescent="0.25">
      <c r="A1366" s="2" t="str">
        <f>HYPERLINK("https://rth.dk/resources/bsgatlas/details.php?id=BSGatlas-gene-1365","BSGatlas-gene-1365")</f>
        <v>BSGatlas-gene-1365</v>
      </c>
      <c r="B1366" s="1" t="s">
        <v>1276</v>
      </c>
      <c r="C1366" s="1" t="s">
        <v>8</v>
      </c>
      <c r="D1366" s="1">
        <v>1225557</v>
      </c>
      <c r="E1366" s="1">
        <v>1226774</v>
      </c>
      <c r="F1366" s="1" t="s">
        <v>9</v>
      </c>
      <c r="G1366" s="1" t="s">
        <v>11409</v>
      </c>
    </row>
    <row r="1367" spans="1:7" ht="21" x14ac:dyDescent="0.25">
      <c r="A1367" s="2" t="str">
        <f>HYPERLINK("https://rth.dk/resources/bsgatlas/details.php?id=BSGatlas-gene-1366","BSGatlas-gene-1366")</f>
        <v>BSGatlas-gene-1366</v>
      </c>
      <c r="B1367" s="1" t="s">
        <v>1277</v>
      </c>
      <c r="C1367" s="1" t="s">
        <v>8</v>
      </c>
      <c r="D1367" s="1">
        <v>1226938</v>
      </c>
      <c r="E1367" s="1">
        <v>1227516</v>
      </c>
      <c r="F1367" s="1" t="s">
        <v>9</v>
      </c>
      <c r="G1367" s="1" t="s">
        <v>11409</v>
      </c>
    </row>
    <row r="1368" spans="1:7" ht="21" x14ac:dyDescent="0.25">
      <c r="A1368" s="2" t="str">
        <f>HYPERLINK("https://rth.dk/resources/bsgatlas/details.php?id=BSGatlas-gene-1367","BSGatlas-gene-1367")</f>
        <v>BSGatlas-gene-1367</v>
      </c>
      <c r="B1368" s="1" t="s">
        <v>1278</v>
      </c>
      <c r="C1368" s="1" t="s">
        <v>8</v>
      </c>
      <c r="D1368" s="1">
        <v>1227697</v>
      </c>
      <c r="E1368" s="1">
        <v>1228092</v>
      </c>
      <c r="F1368" s="1" t="s">
        <v>9</v>
      </c>
      <c r="G1368" s="1" t="s">
        <v>11409</v>
      </c>
    </row>
    <row r="1369" spans="1:7" ht="21" x14ac:dyDescent="0.25">
      <c r="A1369" s="2" t="str">
        <f>HYPERLINK("https://rth.dk/resources/bsgatlas/details.php?id=BSGatlas-gene-1368","BSGatlas-gene-1368")</f>
        <v>BSGatlas-gene-1368</v>
      </c>
      <c r="B1369" s="1" t="s">
        <v>1279</v>
      </c>
      <c r="C1369" s="1" t="s">
        <v>8</v>
      </c>
      <c r="D1369" s="1">
        <v>1228135</v>
      </c>
      <c r="E1369" s="1">
        <v>1228791</v>
      </c>
      <c r="F1369" s="1" t="s">
        <v>13</v>
      </c>
      <c r="G1369" s="1" t="s">
        <v>11409</v>
      </c>
    </row>
    <row r="1370" spans="1:7" ht="21" x14ac:dyDescent="0.25">
      <c r="A1370" s="2" t="str">
        <f>HYPERLINK("https://rth.dk/resources/bsgatlas/details.php?id=BSGatlas-gene-1369","BSGatlas-gene-1369")</f>
        <v>BSGatlas-gene-1369</v>
      </c>
      <c r="B1370" s="1" t="s">
        <v>318</v>
      </c>
      <c r="C1370" s="1" t="s">
        <v>8</v>
      </c>
      <c r="D1370" s="1">
        <v>1228961</v>
      </c>
      <c r="E1370" s="1">
        <v>1229101</v>
      </c>
      <c r="F1370" s="1" t="s">
        <v>9</v>
      </c>
      <c r="G1370" s="1" t="s">
        <v>11441</v>
      </c>
    </row>
    <row r="1371" spans="1:7" ht="21" x14ac:dyDescent="0.25">
      <c r="A1371" s="2" t="str">
        <f>HYPERLINK("https://rth.dk/resources/bsgatlas/details.php?id=BSGatlas-gene-1370","BSGatlas-gene-1370")</f>
        <v>BSGatlas-gene-1370</v>
      </c>
      <c r="B1371" s="1" t="s">
        <v>1280</v>
      </c>
      <c r="C1371" s="1" t="s">
        <v>8</v>
      </c>
      <c r="D1371" s="1">
        <v>1229068</v>
      </c>
      <c r="E1371" s="1">
        <v>1229724</v>
      </c>
      <c r="F1371" s="1" t="s">
        <v>9</v>
      </c>
      <c r="G1371" s="1" t="s">
        <v>11409</v>
      </c>
    </row>
    <row r="1372" spans="1:7" ht="21" x14ac:dyDescent="0.25">
      <c r="A1372" s="2" t="str">
        <f>HYPERLINK("https://rth.dk/resources/bsgatlas/details.php?id=BSGatlas-gene-1371","BSGatlas-gene-1371")</f>
        <v>BSGatlas-gene-1371</v>
      </c>
      <c r="B1372" s="1" t="s">
        <v>318</v>
      </c>
      <c r="C1372" s="1" t="s">
        <v>8</v>
      </c>
      <c r="D1372" s="1">
        <v>1229719</v>
      </c>
      <c r="E1372" s="1">
        <v>1229841</v>
      </c>
      <c r="F1372" s="1" t="s">
        <v>13</v>
      </c>
      <c r="G1372" s="1" t="s">
        <v>11441</v>
      </c>
    </row>
    <row r="1373" spans="1:7" ht="21" x14ac:dyDescent="0.25">
      <c r="A1373" s="2" t="str">
        <f>HYPERLINK("https://rth.dk/resources/bsgatlas/details.php?id=BSGatlas-gene-1372","BSGatlas-gene-1372")</f>
        <v>BSGatlas-gene-1372</v>
      </c>
      <c r="B1373" s="1" t="s">
        <v>1281</v>
      </c>
      <c r="C1373" s="1" t="s">
        <v>8</v>
      </c>
      <c r="D1373" s="1">
        <v>1229915</v>
      </c>
      <c r="E1373" s="1">
        <v>1231036</v>
      </c>
      <c r="F1373" s="1" t="s">
        <v>9</v>
      </c>
      <c r="G1373" s="1" t="s">
        <v>11409</v>
      </c>
    </row>
    <row r="1374" spans="1:7" ht="21" x14ac:dyDescent="0.25">
      <c r="A1374" s="2" t="str">
        <f>HYPERLINK("https://rth.dk/resources/bsgatlas/details.php?id=BSGatlas-gene-1373","BSGatlas-gene-1373")</f>
        <v>BSGatlas-gene-1373</v>
      </c>
      <c r="B1374" s="1" t="s">
        <v>1282</v>
      </c>
      <c r="C1374" s="1" t="s">
        <v>8</v>
      </c>
      <c r="D1374" s="1">
        <v>1231083</v>
      </c>
      <c r="E1374" s="1">
        <v>1233095</v>
      </c>
      <c r="F1374" s="1" t="s">
        <v>9</v>
      </c>
      <c r="G1374" s="1" t="s">
        <v>11409</v>
      </c>
    </row>
    <row r="1375" spans="1:7" ht="21" x14ac:dyDescent="0.25">
      <c r="A1375" s="2" t="str">
        <f>HYPERLINK("https://rth.dk/resources/bsgatlas/details.php?id=BSGatlas-gene-1374","BSGatlas-gene-1374")</f>
        <v>BSGatlas-gene-1374</v>
      </c>
      <c r="B1375" s="1" t="s">
        <v>1283</v>
      </c>
      <c r="C1375" s="1" t="s">
        <v>8</v>
      </c>
      <c r="D1375" s="1">
        <v>1233133</v>
      </c>
      <c r="E1375" s="1">
        <v>1233300</v>
      </c>
      <c r="F1375" s="1" t="s">
        <v>13</v>
      </c>
      <c r="G1375" s="1" t="s">
        <v>11409</v>
      </c>
    </row>
    <row r="1376" spans="1:7" ht="21" x14ac:dyDescent="0.25">
      <c r="A1376" s="2" t="str">
        <f>HYPERLINK("https://rth.dk/resources/bsgatlas/details.php?id=BSGatlas-gene-1375","BSGatlas-gene-1375")</f>
        <v>BSGatlas-gene-1375</v>
      </c>
      <c r="B1376" s="1" t="s">
        <v>1284</v>
      </c>
      <c r="C1376" s="1" t="s">
        <v>55</v>
      </c>
      <c r="D1376" s="1">
        <v>1233405</v>
      </c>
      <c r="E1376" s="1">
        <v>1233545</v>
      </c>
      <c r="F1376" s="1" t="s">
        <v>9</v>
      </c>
      <c r="G1376" s="1" t="s">
        <v>11505</v>
      </c>
    </row>
    <row r="1377" spans="1:7" ht="21" x14ac:dyDescent="0.25">
      <c r="A1377" s="2" t="str">
        <f>HYPERLINK("https://rth.dk/resources/bsgatlas/details.php?id=BSGatlas-gene-1376","BSGatlas-gene-1376")</f>
        <v>BSGatlas-gene-1376</v>
      </c>
      <c r="B1377" s="1" t="s">
        <v>1285</v>
      </c>
      <c r="C1377" s="1" t="s">
        <v>8</v>
      </c>
      <c r="D1377" s="1">
        <v>1233614</v>
      </c>
      <c r="E1377" s="1">
        <v>1234513</v>
      </c>
      <c r="F1377" s="1" t="s">
        <v>13</v>
      </c>
      <c r="G1377" s="1" t="s">
        <v>11409</v>
      </c>
    </row>
    <row r="1378" spans="1:7" ht="21" x14ac:dyDescent="0.25">
      <c r="A1378" s="2" t="str">
        <f>HYPERLINK("https://rth.dk/resources/bsgatlas/details.php?id=BSGatlas-gene-1377","BSGatlas-gene-1377")</f>
        <v>BSGatlas-gene-1377</v>
      </c>
      <c r="B1378" s="1" t="s">
        <v>1287</v>
      </c>
      <c r="C1378" s="1" t="s">
        <v>12</v>
      </c>
      <c r="D1378" s="1">
        <v>1233877</v>
      </c>
      <c r="E1378" s="1">
        <v>1235778</v>
      </c>
      <c r="F1378" s="1" t="s">
        <v>9</v>
      </c>
      <c r="G1378" s="1" t="s">
        <v>11406</v>
      </c>
    </row>
    <row r="1379" spans="1:7" ht="21" x14ac:dyDescent="0.25">
      <c r="A1379" s="2" t="str">
        <f>HYPERLINK("https://rth.dk/resources/bsgatlas/details.php?id=BSGatlas-gene-1378","BSGatlas-gene-1378")</f>
        <v>BSGatlas-gene-1378</v>
      </c>
      <c r="B1379" s="1" t="s">
        <v>1286</v>
      </c>
      <c r="C1379" s="1" t="s">
        <v>8</v>
      </c>
      <c r="D1379" s="1">
        <v>1234510</v>
      </c>
      <c r="E1379" s="1">
        <v>1234908</v>
      </c>
      <c r="F1379" s="1" t="s">
        <v>13</v>
      </c>
      <c r="G1379" s="1" t="s">
        <v>11409</v>
      </c>
    </row>
    <row r="1380" spans="1:7" ht="21" x14ac:dyDescent="0.25">
      <c r="A1380" s="2" t="str">
        <f>HYPERLINK("https://rth.dk/resources/bsgatlas/details.php?id=BSGatlas-gene-1379","BSGatlas-gene-1379")</f>
        <v>BSGatlas-gene-1379</v>
      </c>
      <c r="B1380" s="1" t="s">
        <v>1288</v>
      </c>
      <c r="C1380" s="1" t="s">
        <v>8</v>
      </c>
      <c r="D1380" s="1">
        <v>1235163</v>
      </c>
      <c r="E1380" s="1">
        <v>1235708</v>
      </c>
      <c r="F1380" s="1" t="s">
        <v>13</v>
      </c>
      <c r="G1380" s="1" t="s">
        <v>11409</v>
      </c>
    </row>
    <row r="1381" spans="1:7" ht="21" x14ac:dyDescent="0.25">
      <c r="A1381" s="2" t="str">
        <f>HYPERLINK("https://rth.dk/resources/bsgatlas/details.php?id=BSGatlas-gene-1380","BSGatlas-gene-1380")</f>
        <v>BSGatlas-gene-1380</v>
      </c>
      <c r="B1381" s="1" t="s">
        <v>1289</v>
      </c>
      <c r="C1381" s="1" t="s">
        <v>8</v>
      </c>
      <c r="D1381" s="1">
        <v>1235912</v>
      </c>
      <c r="E1381" s="1">
        <v>1236484</v>
      </c>
      <c r="F1381" s="1" t="s">
        <v>13</v>
      </c>
      <c r="G1381" s="1" t="s">
        <v>11409</v>
      </c>
    </row>
    <row r="1382" spans="1:7" ht="21" x14ac:dyDescent="0.25">
      <c r="A1382" s="2" t="str">
        <f>HYPERLINK("https://rth.dk/resources/bsgatlas/details.php?id=BSGatlas-gene-1381","BSGatlas-gene-1381")</f>
        <v>BSGatlas-gene-1381</v>
      </c>
      <c r="B1382" s="1" t="s">
        <v>1290</v>
      </c>
      <c r="C1382" s="1" t="s">
        <v>8</v>
      </c>
      <c r="D1382" s="1">
        <v>1236609</v>
      </c>
      <c r="E1382" s="1">
        <v>1236977</v>
      </c>
      <c r="F1382" s="1" t="s">
        <v>9</v>
      </c>
      <c r="G1382" s="1" t="s">
        <v>11409</v>
      </c>
    </row>
    <row r="1383" spans="1:7" ht="21" x14ac:dyDescent="0.25">
      <c r="A1383" s="2" t="str">
        <f>HYPERLINK("https://rth.dk/resources/bsgatlas/details.php?id=BSGatlas-gene-1382","BSGatlas-gene-1382")</f>
        <v>BSGatlas-gene-1382</v>
      </c>
      <c r="B1383" s="1" t="s">
        <v>1291</v>
      </c>
      <c r="C1383" s="1" t="s">
        <v>8</v>
      </c>
      <c r="D1383" s="1">
        <v>1237006</v>
      </c>
      <c r="E1383" s="1">
        <v>1237641</v>
      </c>
      <c r="F1383" s="1" t="s">
        <v>9</v>
      </c>
      <c r="G1383" s="1" t="s">
        <v>11409</v>
      </c>
    </row>
    <row r="1384" spans="1:7" ht="21" x14ac:dyDescent="0.25">
      <c r="A1384" s="2" t="str">
        <f>HYPERLINK("https://rth.dk/resources/bsgatlas/details.php?id=BSGatlas-gene-1383","BSGatlas-gene-1383")</f>
        <v>BSGatlas-gene-1383</v>
      </c>
      <c r="B1384" s="1" t="s">
        <v>1292</v>
      </c>
      <c r="C1384" s="1" t="s">
        <v>8</v>
      </c>
      <c r="D1384" s="1">
        <v>1237660</v>
      </c>
      <c r="E1384" s="1">
        <v>1238460</v>
      </c>
      <c r="F1384" s="1" t="s">
        <v>9</v>
      </c>
      <c r="G1384" s="1" t="s">
        <v>11409</v>
      </c>
    </row>
    <row r="1385" spans="1:7" ht="21" x14ac:dyDescent="0.25">
      <c r="A1385" s="2" t="str">
        <f>HYPERLINK("https://rth.dk/resources/bsgatlas/details.php?id=BSGatlas-gene-1384","BSGatlas-gene-1384")</f>
        <v>BSGatlas-gene-1384</v>
      </c>
      <c r="B1385" s="1" t="s">
        <v>1293</v>
      </c>
      <c r="C1385" s="1" t="s">
        <v>8</v>
      </c>
      <c r="D1385" s="1">
        <v>1238523</v>
      </c>
      <c r="E1385" s="1">
        <v>1239374</v>
      </c>
      <c r="F1385" s="1" t="s">
        <v>9</v>
      </c>
      <c r="G1385" s="1" t="s">
        <v>11409</v>
      </c>
    </row>
    <row r="1386" spans="1:7" ht="21" x14ac:dyDescent="0.25">
      <c r="A1386" s="2" t="str">
        <f>HYPERLINK("https://rth.dk/resources/bsgatlas/details.php?id=BSGatlas-gene-1385","BSGatlas-gene-1385")</f>
        <v>BSGatlas-gene-1385</v>
      </c>
      <c r="B1386" s="1" t="s">
        <v>1294</v>
      </c>
      <c r="C1386" s="1" t="s">
        <v>8</v>
      </c>
      <c r="D1386" s="1">
        <v>1239387</v>
      </c>
      <c r="E1386" s="1">
        <v>1240121</v>
      </c>
      <c r="F1386" s="1" t="s">
        <v>13</v>
      </c>
      <c r="G1386" s="1" t="s">
        <v>11409</v>
      </c>
    </row>
    <row r="1387" spans="1:7" ht="21" x14ac:dyDescent="0.25">
      <c r="A1387" s="2" t="str">
        <f>HYPERLINK("https://rth.dk/resources/bsgatlas/details.php?id=BSGatlas-gene-1386","BSGatlas-gene-1386")</f>
        <v>BSGatlas-gene-1386</v>
      </c>
      <c r="B1387" s="1" t="s">
        <v>1295</v>
      </c>
      <c r="C1387" s="1" t="s">
        <v>8</v>
      </c>
      <c r="D1387" s="1">
        <v>1240356</v>
      </c>
      <c r="E1387" s="1">
        <v>1242200</v>
      </c>
      <c r="F1387" s="1" t="s">
        <v>9</v>
      </c>
      <c r="G1387" s="1" t="s">
        <v>11409</v>
      </c>
    </row>
    <row r="1388" spans="1:7" ht="21" x14ac:dyDescent="0.25">
      <c r="A1388" s="2" t="str">
        <f>HYPERLINK("https://rth.dk/resources/bsgatlas/details.php?id=BSGatlas-gene-1387","BSGatlas-gene-1387")</f>
        <v>BSGatlas-gene-1387</v>
      </c>
      <c r="B1388" s="1" t="s">
        <v>1303</v>
      </c>
      <c r="C1388" s="1" t="s">
        <v>34</v>
      </c>
      <c r="D1388" s="1">
        <v>1242261</v>
      </c>
      <c r="E1388" s="1">
        <v>1242370</v>
      </c>
      <c r="F1388" s="1" t="s">
        <v>9</v>
      </c>
      <c r="G1388" s="1" t="s">
        <v>11412</v>
      </c>
    </row>
    <row r="1389" spans="1:7" ht="21" x14ac:dyDescent="0.25">
      <c r="A1389" s="2" t="str">
        <f>HYPERLINK("https://rth.dk/resources/bsgatlas/details.php?id=BSGatlas-gene-1388","BSGatlas-gene-1388")</f>
        <v>BSGatlas-gene-1388</v>
      </c>
      <c r="B1389" s="1" t="s">
        <v>1296</v>
      </c>
      <c r="C1389" s="1" t="s">
        <v>8</v>
      </c>
      <c r="D1389" s="1">
        <v>1242449</v>
      </c>
      <c r="E1389" s="1">
        <v>1243159</v>
      </c>
      <c r="F1389" s="1" t="s">
        <v>9</v>
      </c>
      <c r="G1389" s="1" t="s">
        <v>11409</v>
      </c>
    </row>
    <row r="1390" spans="1:7" ht="21" x14ac:dyDescent="0.25">
      <c r="A1390" s="2" t="str">
        <f>HYPERLINK("https://rth.dk/resources/bsgatlas/details.php?id=BSGatlas-gene-1389","BSGatlas-gene-1389")</f>
        <v>BSGatlas-gene-1389</v>
      </c>
      <c r="B1390" s="1" t="s">
        <v>1297</v>
      </c>
      <c r="C1390" s="1" t="s">
        <v>8</v>
      </c>
      <c r="D1390" s="1">
        <v>1243134</v>
      </c>
      <c r="E1390" s="1">
        <v>1243751</v>
      </c>
      <c r="F1390" s="1" t="s">
        <v>9</v>
      </c>
      <c r="G1390" s="1" t="s">
        <v>11409</v>
      </c>
    </row>
    <row r="1391" spans="1:7" ht="21" x14ac:dyDescent="0.25">
      <c r="A1391" s="2" t="str">
        <f>HYPERLINK("https://rth.dk/resources/bsgatlas/details.php?id=BSGatlas-gene-1390","BSGatlas-gene-1390")</f>
        <v>BSGatlas-gene-1390</v>
      </c>
      <c r="B1391" s="1" t="s">
        <v>1298</v>
      </c>
      <c r="C1391" s="1" t="s">
        <v>8</v>
      </c>
      <c r="D1391" s="1">
        <v>1243735</v>
      </c>
      <c r="E1391" s="1">
        <v>1244844</v>
      </c>
      <c r="F1391" s="1" t="s">
        <v>9</v>
      </c>
      <c r="G1391" s="1" t="s">
        <v>11409</v>
      </c>
    </row>
    <row r="1392" spans="1:7" ht="21" x14ac:dyDescent="0.25">
      <c r="A1392" s="2" t="str">
        <f>HYPERLINK("https://rth.dk/resources/bsgatlas/details.php?id=BSGatlas-gene-1391","BSGatlas-gene-1391")</f>
        <v>BSGatlas-gene-1391</v>
      </c>
      <c r="B1392" s="1" t="s">
        <v>1299</v>
      </c>
      <c r="C1392" s="1" t="s">
        <v>8</v>
      </c>
      <c r="D1392" s="1">
        <v>1244844</v>
      </c>
      <c r="E1392" s="1">
        <v>1245044</v>
      </c>
      <c r="F1392" s="1" t="s">
        <v>9</v>
      </c>
      <c r="G1392" s="1" t="s">
        <v>11409</v>
      </c>
    </row>
    <row r="1393" spans="1:7" ht="21" x14ac:dyDescent="0.25">
      <c r="A1393" s="2" t="str">
        <f>HYPERLINK("https://rth.dk/resources/bsgatlas/details.php?id=BSGatlas-gene-1392","BSGatlas-gene-1392")</f>
        <v>BSGatlas-gene-1392</v>
      </c>
      <c r="B1393" s="1" t="s">
        <v>1300</v>
      </c>
      <c r="C1393" s="1" t="s">
        <v>8</v>
      </c>
      <c r="D1393" s="1">
        <v>1245041</v>
      </c>
      <c r="E1393" s="1">
        <v>1245811</v>
      </c>
      <c r="F1393" s="1" t="s">
        <v>9</v>
      </c>
      <c r="G1393" s="1" t="s">
        <v>11409</v>
      </c>
    </row>
    <row r="1394" spans="1:7" ht="21" x14ac:dyDescent="0.25">
      <c r="A1394" s="2" t="str">
        <f>HYPERLINK("https://rth.dk/resources/bsgatlas/details.php?id=BSGatlas-gene-1393","BSGatlas-gene-1393")</f>
        <v>BSGatlas-gene-1393</v>
      </c>
      <c r="B1394" s="1" t="s">
        <v>1301</v>
      </c>
      <c r="C1394" s="1" t="s">
        <v>8</v>
      </c>
      <c r="D1394" s="1">
        <v>1245808</v>
      </c>
      <c r="E1394" s="1">
        <v>1246818</v>
      </c>
      <c r="F1394" s="1" t="s">
        <v>9</v>
      </c>
      <c r="G1394" s="1" t="s">
        <v>11409</v>
      </c>
    </row>
    <row r="1395" spans="1:7" ht="21" x14ac:dyDescent="0.25">
      <c r="A1395" s="2" t="str">
        <f>HYPERLINK("https://rth.dk/resources/bsgatlas/details.php?id=BSGatlas-gene-1394","BSGatlas-gene-1394")</f>
        <v>BSGatlas-gene-1394</v>
      </c>
      <c r="B1395" s="1" t="s">
        <v>1302</v>
      </c>
      <c r="C1395" s="1" t="s">
        <v>8</v>
      </c>
      <c r="D1395" s="1">
        <v>1246837</v>
      </c>
      <c r="E1395" s="1">
        <v>1247652</v>
      </c>
      <c r="F1395" s="1" t="s">
        <v>9</v>
      </c>
      <c r="G1395" s="1" t="s">
        <v>11409</v>
      </c>
    </row>
    <row r="1396" spans="1:7" ht="21" x14ac:dyDescent="0.25">
      <c r="A1396" s="2" t="str">
        <f>HYPERLINK("https://rth.dk/resources/bsgatlas/details.php?id=BSGatlas-gene-1395","BSGatlas-gene-1395")</f>
        <v>BSGatlas-gene-1395</v>
      </c>
      <c r="B1396" s="1" t="s">
        <v>1304</v>
      </c>
      <c r="C1396" s="1" t="s">
        <v>8</v>
      </c>
      <c r="D1396" s="1">
        <v>1247788</v>
      </c>
      <c r="E1396" s="1">
        <v>1248564</v>
      </c>
      <c r="F1396" s="1" t="s">
        <v>9</v>
      </c>
      <c r="G1396" s="1" t="s">
        <v>11409</v>
      </c>
    </row>
    <row r="1397" spans="1:7" ht="21" x14ac:dyDescent="0.25">
      <c r="A1397" s="2" t="str">
        <f>HYPERLINK("https://rth.dk/resources/bsgatlas/details.php?id=BSGatlas-gene-1396","BSGatlas-gene-1396")</f>
        <v>BSGatlas-gene-1396</v>
      </c>
      <c r="B1397" s="1" t="s">
        <v>1305</v>
      </c>
      <c r="C1397" s="1" t="s">
        <v>8</v>
      </c>
      <c r="D1397" s="1">
        <v>1248665</v>
      </c>
      <c r="E1397" s="1">
        <v>1249348</v>
      </c>
      <c r="F1397" s="1" t="s">
        <v>9</v>
      </c>
      <c r="G1397" s="1" t="s">
        <v>11409</v>
      </c>
    </row>
    <row r="1398" spans="1:7" ht="21" x14ac:dyDescent="0.25">
      <c r="A1398" s="2" t="str">
        <f>HYPERLINK("https://rth.dk/resources/bsgatlas/details.php?id=BSGatlas-gene-1397","BSGatlas-gene-1397")</f>
        <v>BSGatlas-gene-1397</v>
      </c>
      <c r="B1398" s="1" t="s">
        <v>1306</v>
      </c>
      <c r="C1398" s="1" t="s">
        <v>8</v>
      </c>
      <c r="D1398" s="1">
        <v>1249442</v>
      </c>
      <c r="E1398" s="1">
        <v>1249888</v>
      </c>
      <c r="F1398" s="1" t="s">
        <v>13</v>
      </c>
      <c r="G1398" s="1" t="s">
        <v>11409</v>
      </c>
    </row>
    <row r="1399" spans="1:7" ht="21" x14ac:dyDescent="0.25">
      <c r="A1399" s="2" t="str">
        <f>HYPERLINK("https://rth.dk/resources/bsgatlas/details.php?id=BSGatlas-gene-1398","BSGatlas-gene-1398")</f>
        <v>BSGatlas-gene-1398</v>
      </c>
      <c r="B1399" s="1" t="s">
        <v>1307</v>
      </c>
      <c r="C1399" s="1" t="s">
        <v>8</v>
      </c>
      <c r="D1399" s="1">
        <v>1250016</v>
      </c>
      <c r="E1399" s="1">
        <v>1250504</v>
      </c>
      <c r="F1399" s="1" t="s">
        <v>13</v>
      </c>
      <c r="G1399" s="1" t="s">
        <v>11409</v>
      </c>
    </row>
    <row r="1400" spans="1:7" ht="21" x14ac:dyDescent="0.25">
      <c r="A1400" s="2" t="str">
        <f>HYPERLINK("https://rth.dk/resources/bsgatlas/details.php?id=BSGatlas-gene-1399","BSGatlas-gene-1399")</f>
        <v>BSGatlas-gene-1399</v>
      </c>
      <c r="B1400" s="1" t="s">
        <v>1309</v>
      </c>
      <c r="C1400" s="1" t="s">
        <v>8</v>
      </c>
      <c r="D1400" s="1">
        <v>1250656</v>
      </c>
      <c r="E1400" s="1">
        <v>1251174</v>
      </c>
      <c r="F1400" s="1" t="s">
        <v>13</v>
      </c>
      <c r="G1400" s="1" t="s">
        <v>11409</v>
      </c>
    </row>
    <row r="1401" spans="1:7" ht="21" x14ac:dyDescent="0.25">
      <c r="A1401" s="2" t="str">
        <f>HYPERLINK("https://rth.dk/resources/bsgatlas/details.php?id=BSGatlas-gene-1400","BSGatlas-gene-1400")</f>
        <v>BSGatlas-gene-1400</v>
      </c>
      <c r="B1401" s="1" t="s">
        <v>1310</v>
      </c>
      <c r="C1401" s="1" t="s">
        <v>8</v>
      </c>
      <c r="D1401" s="1">
        <v>1251273</v>
      </c>
      <c r="E1401" s="1">
        <v>1251590</v>
      </c>
      <c r="F1401" s="1" t="s">
        <v>13</v>
      </c>
      <c r="G1401" s="1" t="s">
        <v>11409</v>
      </c>
    </row>
    <row r="1402" spans="1:7" ht="21" x14ac:dyDescent="0.25">
      <c r="A1402" s="2" t="str">
        <f>HYPERLINK("https://rth.dk/resources/bsgatlas/details.php?id=BSGatlas-gene-1401","BSGatlas-gene-1401")</f>
        <v>BSGatlas-gene-1401</v>
      </c>
      <c r="B1402" s="1" t="s">
        <v>1311</v>
      </c>
      <c r="C1402" s="1" t="s">
        <v>8</v>
      </c>
      <c r="D1402" s="1">
        <v>1251631</v>
      </c>
      <c r="E1402" s="1">
        <v>1252017</v>
      </c>
      <c r="F1402" s="1" t="s">
        <v>13</v>
      </c>
      <c r="G1402" s="1" t="s">
        <v>11409</v>
      </c>
    </row>
    <row r="1403" spans="1:7" ht="21" x14ac:dyDescent="0.25">
      <c r="A1403" s="2" t="str">
        <f>HYPERLINK("https://rth.dk/resources/bsgatlas/details.php?id=BSGatlas-gene-1402","BSGatlas-gene-1402")</f>
        <v>BSGatlas-gene-1402</v>
      </c>
      <c r="B1403" s="1" t="s">
        <v>1308</v>
      </c>
      <c r="C1403" s="1" t="s">
        <v>8</v>
      </c>
      <c r="D1403" s="1">
        <v>1252177</v>
      </c>
      <c r="E1403" s="1">
        <v>1252533</v>
      </c>
      <c r="F1403" s="1" t="s">
        <v>9</v>
      </c>
      <c r="G1403" s="1" t="s">
        <v>11409</v>
      </c>
    </row>
    <row r="1404" spans="1:7" ht="21" x14ac:dyDescent="0.25">
      <c r="A1404" s="2" t="str">
        <f>HYPERLINK("https://rth.dk/resources/bsgatlas/details.php?id=BSGatlas-gene-1403","BSGatlas-gene-1403")</f>
        <v>BSGatlas-gene-1403</v>
      </c>
      <c r="B1404" s="1" t="s">
        <v>318</v>
      </c>
      <c r="C1404" s="1" t="s">
        <v>276</v>
      </c>
      <c r="D1404" s="1">
        <v>1252558</v>
      </c>
      <c r="E1404" s="1">
        <v>1252791</v>
      </c>
      <c r="F1404" s="1" t="s">
        <v>13</v>
      </c>
      <c r="G1404" s="1" t="s">
        <v>11441</v>
      </c>
    </row>
    <row r="1405" spans="1:7" ht="21" x14ac:dyDescent="0.25">
      <c r="A1405" s="2" t="str">
        <f>HYPERLINK("https://rth.dk/resources/bsgatlas/details.php?id=BSGatlas-gene-1404","BSGatlas-gene-1404")</f>
        <v>BSGatlas-gene-1404</v>
      </c>
      <c r="B1405" s="1" t="s">
        <v>1312</v>
      </c>
      <c r="C1405" s="1" t="s">
        <v>12</v>
      </c>
      <c r="D1405" s="1">
        <v>1252566</v>
      </c>
      <c r="E1405" s="1">
        <v>1252752</v>
      </c>
      <c r="F1405" s="1" t="s">
        <v>9</v>
      </c>
      <c r="G1405" s="1" t="s">
        <v>11406</v>
      </c>
    </row>
    <row r="1406" spans="1:7" ht="21" x14ac:dyDescent="0.25">
      <c r="A1406" s="2" t="str">
        <f>HYPERLINK("https://rth.dk/resources/bsgatlas/details.php?id=BSGatlas-gene-1405","BSGatlas-gene-1405")</f>
        <v>BSGatlas-gene-1405</v>
      </c>
      <c r="B1406" s="1" t="s">
        <v>1313</v>
      </c>
      <c r="C1406" s="1" t="s">
        <v>8</v>
      </c>
      <c r="D1406" s="1">
        <v>1252815</v>
      </c>
      <c r="E1406" s="1">
        <v>1253021</v>
      </c>
      <c r="F1406" s="1" t="s">
        <v>9</v>
      </c>
      <c r="G1406" s="1" t="s">
        <v>11409</v>
      </c>
    </row>
    <row r="1407" spans="1:7" ht="21" x14ac:dyDescent="0.25">
      <c r="A1407" s="2" t="str">
        <f>HYPERLINK("https://rth.dk/resources/bsgatlas/details.php?id=BSGatlas-gene-1406","BSGatlas-gene-1406")</f>
        <v>BSGatlas-gene-1406</v>
      </c>
      <c r="B1407" s="1" t="s">
        <v>1314</v>
      </c>
      <c r="C1407" s="1" t="s">
        <v>8</v>
      </c>
      <c r="D1407" s="1">
        <v>1252858</v>
      </c>
      <c r="E1407" s="1">
        <v>1253073</v>
      </c>
      <c r="F1407" s="1" t="s">
        <v>9</v>
      </c>
      <c r="G1407" s="1" t="s">
        <v>11441</v>
      </c>
    </row>
    <row r="1408" spans="1:7" ht="21" x14ac:dyDescent="0.25">
      <c r="A1408" s="2" t="str">
        <f>HYPERLINK("https://rth.dk/resources/bsgatlas/details.php?id=BSGatlas-gene-1407","BSGatlas-gene-1407")</f>
        <v>BSGatlas-gene-1407</v>
      </c>
      <c r="B1408" s="1" t="s">
        <v>1315</v>
      </c>
      <c r="C1408" s="1" t="s">
        <v>8</v>
      </c>
      <c r="D1408" s="1">
        <v>1253103</v>
      </c>
      <c r="E1408" s="1">
        <v>1253252</v>
      </c>
      <c r="F1408" s="1" t="s">
        <v>9</v>
      </c>
      <c r="G1408" s="1" t="s">
        <v>11409</v>
      </c>
    </row>
    <row r="1409" spans="1:7" ht="21" x14ac:dyDescent="0.25">
      <c r="A1409" s="2" t="str">
        <f>HYPERLINK("https://rth.dk/resources/bsgatlas/details.php?id=BSGatlas-gene-1408","BSGatlas-gene-1408")</f>
        <v>BSGatlas-gene-1408</v>
      </c>
      <c r="B1409" s="1" t="s">
        <v>1316</v>
      </c>
      <c r="C1409" s="1" t="s">
        <v>8</v>
      </c>
      <c r="D1409" s="1">
        <v>1253385</v>
      </c>
      <c r="E1409" s="1">
        <v>1253639</v>
      </c>
      <c r="F1409" s="1" t="s">
        <v>9</v>
      </c>
      <c r="G1409" s="1" t="s">
        <v>11409</v>
      </c>
    </row>
    <row r="1410" spans="1:7" ht="21" x14ac:dyDescent="0.25">
      <c r="A1410" s="2" t="str">
        <f>HYPERLINK("https://rth.dk/resources/bsgatlas/details.php?id=BSGatlas-gene-1409","BSGatlas-gene-1409")</f>
        <v>BSGatlas-gene-1409</v>
      </c>
      <c r="B1410" s="1" t="s">
        <v>1317</v>
      </c>
      <c r="C1410" s="1" t="s">
        <v>8</v>
      </c>
      <c r="D1410" s="1">
        <v>1253713</v>
      </c>
      <c r="E1410" s="1">
        <v>1255992</v>
      </c>
      <c r="F1410" s="1" t="s">
        <v>13</v>
      </c>
      <c r="G1410" s="1" t="s">
        <v>11409</v>
      </c>
    </row>
    <row r="1411" spans="1:7" ht="21" x14ac:dyDescent="0.25">
      <c r="A1411" s="2" t="str">
        <f>HYPERLINK("https://rth.dk/resources/bsgatlas/details.php?id=BSGatlas-gene-1410","BSGatlas-gene-1410")</f>
        <v>BSGatlas-gene-1410</v>
      </c>
      <c r="B1411" s="1" t="s">
        <v>1318</v>
      </c>
      <c r="C1411" s="1" t="s">
        <v>8</v>
      </c>
      <c r="D1411" s="1">
        <v>1256109</v>
      </c>
      <c r="E1411" s="1">
        <v>1256363</v>
      </c>
      <c r="F1411" s="1" t="s">
        <v>9</v>
      </c>
      <c r="G1411" s="1" t="s">
        <v>11409</v>
      </c>
    </row>
    <row r="1412" spans="1:7" ht="21" x14ac:dyDescent="0.25">
      <c r="A1412" s="2" t="str">
        <f>HYPERLINK("https://rth.dk/resources/bsgatlas/details.php?id=BSGatlas-gene-1411","BSGatlas-gene-1411")</f>
        <v>BSGatlas-gene-1411</v>
      </c>
      <c r="B1412" s="1" t="s">
        <v>1319</v>
      </c>
      <c r="C1412" s="1" t="s">
        <v>8</v>
      </c>
      <c r="D1412" s="1">
        <v>1256436</v>
      </c>
      <c r="E1412" s="1">
        <v>1256858</v>
      </c>
      <c r="F1412" s="1" t="s">
        <v>13</v>
      </c>
      <c r="G1412" s="1" t="s">
        <v>11409</v>
      </c>
    </row>
    <row r="1413" spans="1:7" ht="21" x14ac:dyDescent="0.25">
      <c r="A1413" s="2" t="str">
        <f>HYPERLINK("https://rth.dk/resources/bsgatlas/details.php?id=BSGatlas-gene-1412","BSGatlas-gene-1412")</f>
        <v>BSGatlas-gene-1412</v>
      </c>
      <c r="B1413" s="1" t="s">
        <v>1320</v>
      </c>
      <c r="C1413" s="1" t="s">
        <v>8</v>
      </c>
      <c r="D1413" s="1">
        <v>1256862</v>
      </c>
      <c r="E1413" s="1">
        <v>1257377</v>
      </c>
      <c r="F1413" s="1" t="s">
        <v>13</v>
      </c>
      <c r="G1413" s="1" t="s">
        <v>11409</v>
      </c>
    </row>
    <row r="1414" spans="1:7" ht="21" x14ac:dyDescent="0.25">
      <c r="A1414" s="2" t="str">
        <f>HYPERLINK("https://rth.dk/resources/bsgatlas/details.php?id=BSGatlas-gene-1413","BSGatlas-gene-1413")</f>
        <v>BSGatlas-gene-1413</v>
      </c>
      <c r="B1414" s="1" t="s">
        <v>1321</v>
      </c>
      <c r="C1414" s="1" t="s">
        <v>8</v>
      </c>
      <c r="D1414" s="1">
        <v>1257414</v>
      </c>
      <c r="E1414" s="1">
        <v>1258136</v>
      </c>
      <c r="F1414" s="1" t="s">
        <v>13</v>
      </c>
      <c r="G1414" s="1" t="s">
        <v>11409</v>
      </c>
    </row>
    <row r="1415" spans="1:7" ht="21" x14ac:dyDescent="0.25">
      <c r="A1415" s="2" t="str">
        <f>HYPERLINK("https://rth.dk/resources/bsgatlas/details.php?id=BSGatlas-gene-1414","BSGatlas-gene-1414")</f>
        <v>BSGatlas-gene-1414</v>
      </c>
      <c r="B1415" s="1" t="s">
        <v>1324</v>
      </c>
      <c r="C1415" s="1" t="s">
        <v>34</v>
      </c>
      <c r="D1415" s="1">
        <v>1258303</v>
      </c>
      <c r="E1415" s="1">
        <v>1258424</v>
      </c>
      <c r="F1415" s="1" t="s">
        <v>9</v>
      </c>
      <c r="G1415" s="1" t="s">
        <v>11411</v>
      </c>
    </row>
    <row r="1416" spans="1:7" ht="21" x14ac:dyDescent="0.25">
      <c r="A1416" s="2" t="str">
        <f>HYPERLINK("https://rth.dk/resources/bsgatlas/details.php?id=BSGatlas-gene-1415","BSGatlas-gene-1415")</f>
        <v>BSGatlas-gene-1415</v>
      </c>
      <c r="B1416" s="1" t="s">
        <v>1322</v>
      </c>
      <c r="C1416" s="1" t="s">
        <v>8</v>
      </c>
      <c r="D1416" s="1">
        <v>1258492</v>
      </c>
      <c r="E1416" s="1">
        <v>1259613</v>
      </c>
      <c r="F1416" s="1" t="s">
        <v>9</v>
      </c>
      <c r="G1416" s="1" t="s">
        <v>11409</v>
      </c>
    </row>
    <row r="1417" spans="1:7" ht="21" x14ac:dyDescent="0.25">
      <c r="A1417" s="2" t="str">
        <f>HYPERLINK("https://rth.dk/resources/bsgatlas/details.php?id=BSGatlas-gene-1416","BSGatlas-gene-1416")</f>
        <v>BSGatlas-gene-1416</v>
      </c>
      <c r="B1417" s="1" t="s">
        <v>1323</v>
      </c>
      <c r="C1417" s="1" t="s">
        <v>8</v>
      </c>
      <c r="D1417" s="1">
        <v>1259606</v>
      </c>
      <c r="E1417" s="1">
        <v>1260778</v>
      </c>
      <c r="F1417" s="1" t="s">
        <v>9</v>
      </c>
      <c r="G1417" s="1" t="s">
        <v>11409</v>
      </c>
    </row>
    <row r="1418" spans="1:7" ht="21" x14ac:dyDescent="0.25">
      <c r="A1418" s="2" t="str">
        <f>HYPERLINK("https://rth.dk/resources/bsgatlas/details.php?id=BSGatlas-gene-1417","BSGatlas-gene-1417")</f>
        <v>BSGatlas-gene-1417</v>
      </c>
      <c r="B1418" s="1" t="s">
        <v>1326</v>
      </c>
      <c r="C1418" s="1" t="s">
        <v>8</v>
      </c>
      <c r="D1418" s="1">
        <v>1260811</v>
      </c>
      <c r="E1418" s="1">
        <v>1261356</v>
      </c>
      <c r="F1418" s="1" t="s">
        <v>13</v>
      </c>
      <c r="G1418" s="1" t="s">
        <v>11409</v>
      </c>
    </row>
    <row r="1419" spans="1:7" ht="21" x14ac:dyDescent="0.25">
      <c r="A1419" s="2" t="str">
        <f>HYPERLINK("https://rth.dk/resources/bsgatlas/details.php?id=BSGatlas-gene-1418","BSGatlas-gene-1418")</f>
        <v>BSGatlas-gene-1418</v>
      </c>
      <c r="B1419" s="1" t="s">
        <v>1327</v>
      </c>
      <c r="C1419" s="1" t="s">
        <v>8</v>
      </c>
      <c r="D1419" s="1">
        <v>1261426</v>
      </c>
      <c r="E1419" s="1">
        <v>1262616</v>
      </c>
      <c r="F1419" s="1" t="s">
        <v>13</v>
      </c>
      <c r="G1419" s="1" t="s">
        <v>11409</v>
      </c>
    </row>
    <row r="1420" spans="1:7" ht="21" x14ac:dyDescent="0.25">
      <c r="A1420" s="2" t="str">
        <f>HYPERLINK("https://rth.dk/resources/bsgatlas/details.php?id=BSGatlas-gene-1419","BSGatlas-gene-1419")</f>
        <v>BSGatlas-gene-1419</v>
      </c>
      <c r="B1420" s="1" t="s">
        <v>1325</v>
      </c>
      <c r="C1420" s="1" t="s">
        <v>23</v>
      </c>
      <c r="D1420" s="1">
        <v>1262788</v>
      </c>
      <c r="E1420" s="1">
        <v>1262861</v>
      </c>
      <c r="F1420" s="1" t="s">
        <v>9</v>
      </c>
      <c r="G1420" s="1" t="s">
        <v>11411</v>
      </c>
    </row>
    <row r="1421" spans="1:7" ht="21" x14ac:dyDescent="0.25">
      <c r="A1421" s="2" t="str">
        <f>HYPERLINK("https://rth.dk/resources/bsgatlas/details.php?id=BSGatlas-gene-1420","BSGatlas-gene-1420")</f>
        <v>BSGatlas-gene-1420</v>
      </c>
      <c r="B1421" s="1" t="s">
        <v>1328</v>
      </c>
      <c r="C1421" s="1" t="s">
        <v>8</v>
      </c>
      <c r="D1421" s="1">
        <v>1263702</v>
      </c>
      <c r="E1421" s="1">
        <v>1264931</v>
      </c>
      <c r="F1421" s="1" t="s">
        <v>13</v>
      </c>
      <c r="G1421" s="1" t="s">
        <v>11409</v>
      </c>
    </row>
    <row r="1422" spans="1:7" ht="21" x14ac:dyDescent="0.25">
      <c r="A1422" s="2" t="str">
        <f>HYPERLINK("https://rth.dk/resources/bsgatlas/details.php?id=BSGatlas-gene-1421","BSGatlas-gene-1421")</f>
        <v>BSGatlas-gene-1421</v>
      </c>
      <c r="B1422" s="1" t="s">
        <v>1329</v>
      </c>
      <c r="C1422" s="1" t="s">
        <v>8</v>
      </c>
      <c r="D1422" s="1">
        <v>1265057</v>
      </c>
      <c r="E1422" s="1">
        <v>1265377</v>
      </c>
      <c r="F1422" s="1" t="s">
        <v>9</v>
      </c>
      <c r="G1422" s="1" t="s">
        <v>11409</v>
      </c>
    </row>
    <row r="1423" spans="1:7" ht="21" x14ac:dyDescent="0.25">
      <c r="A1423" s="2" t="str">
        <f>HYPERLINK("https://rth.dk/resources/bsgatlas/details.php?id=BSGatlas-gene-1422","BSGatlas-gene-1422")</f>
        <v>BSGatlas-gene-1422</v>
      </c>
      <c r="B1423" s="1" t="s">
        <v>11506</v>
      </c>
      <c r="C1423" s="1" t="s">
        <v>8</v>
      </c>
      <c r="D1423" s="1">
        <v>1265530</v>
      </c>
      <c r="E1423" s="1">
        <v>1265661</v>
      </c>
      <c r="F1423" s="1" t="s">
        <v>9</v>
      </c>
      <c r="G1423" s="1" t="s">
        <v>11409</v>
      </c>
    </row>
    <row r="1424" spans="1:7" ht="21" x14ac:dyDescent="0.25">
      <c r="A1424" s="2" t="str">
        <f>HYPERLINK("https://rth.dk/resources/bsgatlas/details.php?id=BSGatlas-gene-1423","BSGatlas-gene-1423")</f>
        <v>BSGatlas-gene-1423</v>
      </c>
      <c r="B1424" s="1" t="s">
        <v>11507</v>
      </c>
      <c r="C1424" s="1" t="s">
        <v>8</v>
      </c>
      <c r="D1424" s="1">
        <v>1265677</v>
      </c>
      <c r="E1424" s="1">
        <v>1265850</v>
      </c>
      <c r="F1424" s="1" t="s">
        <v>9</v>
      </c>
      <c r="G1424" s="1" t="s">
        <v>11409</v>
      </c>
    </row>
    <row r="1425" spans="1:7" ht="21" x14ac:dyDescent="0.25">
      <c r="A1425" s="2" t="str">
        <f>HYPERLINK("https://rth.dk/resources/bsgatlas/details.php?id=BSGatlas-gene-1424","BSGatlas-gene-1424")</f>
        <v>BSGatlas-gene-1424</v>
      </c>
      <c r="B1425" s="1" t="s">
        <v>11508</v>
      </c>
      <c r="C1425" s="1" t="s">
        <v>8</v>
      </c>
      <c r="D1425" s="1">
        <v>1265887</v>
      </c>
      <c r="E1425" s="1">
        <v>1266348</v>
      </c>
      <c r="F1425" s="1" t="s">
        <v>9</v>
      </c>
      <c r="G1425" s="1" t="s">
        <v>11409</v>
      </c>
    </row>
    <row r="1426" spans="1:7" ht="21" x14ac:dyDescent="0.25">
      <c r="A1426" s="2" t="str">
        <f>HYPERLINK("https://rth.dk/resources/bsgatlas/details.php?id=BSGatlas-gene-1425","BSGatlas-gene-1425")</f>
        <v>BSGatlas-gene-1425</v>
      </c>
      <c r="B1426" s="1" t="s">
        <v>1330</v>
      </c>
      <c r="C1426" s="1" t="s">
        <v>8</v>
      </c>
      <c r="D1426" s="1">
        <v>1266614</v>
      </c>
      <c r="E1426" s="1">
        <v>1267117</v>
      </c>
      <c r="F1426" s="1" t="s">
        <v>9</v>
      </c>
      <c r="G1426" s="1" t="s">
        <v>11409</v>
      </c>
    </row>
    <row r="1427" spans="1:7" ht="21" x14ac:dyDescent="0.25">
      <c r="A1427" s="2" t="str">
        <f>HYPERLINK("https://rth.dk/resources/bsgatlas/details.php?id=BSGatlas-gene-1426","BSGatlas-gene-1426")</f>
        <v>BSGatlas-gene-1426</v>
      </c>
      <c r="B1427" s="1" t="s">
        <v>1331</v>
      </c>
      <c r="C1427" s="1" t="s">
        <v>8</v>
      </c>
      <c r="D1427" s="1">
        <v>1267129</v>
      </c>
      <c r="E1427" s="1">
        <v>1267413</v>
      </c>
      <c r="F1427" s="1" t="s">
        <v>9</v>
      </c>
      <c r="G1427" s="1" t="s">
        <v>11409</v>
      </c>
    </row>
    <row r="1428" spans="1:7" ht="21" x14ac:dyDescent="0.25">
      <c r="A1428" s="2" t="str">
        <f>HYPERLINK("https://rth.dk/resources/bsgatlas/details.php?id=BSGatlas-gene-1427","BSGatlas-gene-1427")</f>
        <v>BSGatlas-gene-1427</v>
      </c>
      <c r="B1428" s="1" t="s">
        <v>11509</v>
      </c>
      <c r="C1428" s="1" t="s">
        <v>8</v>
      </c>
      <c r="D1428" s="1">
        <v>1267574</v>
      </c>
      <c r="E1428" s="1">
        <v>1268101</v>
      </c>
      <c r="F1428" s="1" t="s">
        <v>9</v>
      </c>
      <c r="G1428" s="1" t="s">
        <v>11409</v>
      </c>
    </row>
    <row r="1429" spans="1:7" ht="21" x14ac:dyDescent="0.25">
      <c r="A1429" s="2" t="str">
        <f>HYPERLINK("https://rth.dk/resources/bsgatlas/details.php?id=BSGatlas-gene-1428","BSGatlas-gene-1428")</f>
        <v>BSGatlas-gene-1428</v>
      </c>
      <c r="B1429" s="1" t="s">
        <v>1332</v>
      </c>
      <c r="C1429" s="1" t="s">
        <v>8</v>
      </c>
      <c r="D1429" s="1">
        <v>1268275</v>
      </c>
      <c r="E1429" s="1">
        <v>1268592</v>
      </c>
      <c r="F1429" s="1" t="s">
        <v>9</v>
      </c>
      <c r="G1429" s="1" t="s">
        <v>11409</v>
      </c>
    </row>
    <row r="1430" spans="1:7" ht="21" x14ac:dyDescent="0.25">
      <c r="A1430" s="2" t="str">
        <f>HYPERLINK("https://rth.dk/resources/bsgatlas/details.php?id=BSGatlas-gene-1429","BSGatlas-gene-1429")</f>
        <v>BSGatlas-gene-1429</v>
      </c>
      <c r="B1430" s="1" t="s">
        <v>1333</v>
      </c>
      <c r="C1430" s="1" t="s">
        <v>8</v>
      </c>
      <c r="D1430" s="1">
        <v>1268829</v>
      </c>
      <c r="E1430" s="1">
        <v>1269584</v>
      </c>
      <c r="F1430" s="1" t="s">
        <v>9</v>
      </c>
      <c r="G1430" s="1" t="s">
        <v>11409</v>
      </c>
    </row>
    <row r="1431" spans="1:7" ht="21" x14ac:dyDescent="0.25">
      <c r="A1431" s="2" t="str">
        <f>HYPERLINK("https://rth.dk/resources/bsgatlas/details.php?id=BSGatlas-gene-1430","BSGatlas-gene-1430")</f>
        <v>BSGatlas-gene-1430</v>
      </c>
      <c r="B1431" s="1" t="s">
        <v>1334</v>
      </c>
      <c r="C1431" s="1" t="s">
        <v>8</v>
      </c>
      <c r="D1431" s="1">
        <v>1269733</v>
      </c>
      <c r="E1431" s="1">
        <v>1270080</v>
      </c>
      <c r="F1431" s="1" t="s">
        <v>13</v>
      </c>
      <c r="G1431" s="1" t="s">
        <v>11409</v>
      </c>
    </row>
    <row r="1432" spans="1:7" ht="21" x14ac:dyDescent="0.25">
      <c r="A1432" s="2" t="str">
        <f>HYPERLINK("https://rth.dk/resources/bsgatlas/details.php?id=BSGatlas-gene-1431","BSGatlas-gene-1431")</f>
        <v>BSGatlas-gene-1431</v>
      </c>
      <c r="B1432" s="1" t="s">
        <v>1335</v>
      </c>
      <c r="C1432" s="1" t="s">
        <v>8</v>
      </c>
      <c r="D1432" s="1">
        <v>1270631</v>
      </c>
      <c r="E1432" s="1">
        <v>1272577</v>
      </c>
      <c r="F1432" s="1" t="s">
        <v>9</v>
      </c>
      <c r="G1432" s="1" t="s">
        <v>11409</v>
      </c>
    </row>
    <row r="1433" spans="1:7" ht="21" x14ac:dyDescent="0.25">
      <c r="A1433" s="2" t="str">
        <f>HYPERLINK("https://rth.dk/resources/bsgatlas/details.php?id=BSGatlas-gene-1432","BSGatlas-gene-1432")</f>
        <v>BSGatlas-gene-1432</v>
      </c>
      <c r="B1433" s="1" t="s">
        <v>1336</v>
      </c>
      <c r="C1433" s="1" t="s">
        <v>8</v>
      </c>
      <c r="D1433" s="1">
        <v>1272725</v>
      </c>
      <c r="E1433" s="1">
        <v>1274677</v>
      </c>
      <c r="F1433" s="1" t="s">
        <v>9</v>
      </c>
      <c r="G1433" s="1" t="s">
        <v>11409</v>
      </c>
    </row>
    <row r="1434" spans="1:7" ht="21" x14ac:dyDescent="0.25">
      <c r="A1434" s="2" t="str">
        <f>HYPERLINK("https://rth.dk/resources/bsgatlas/details.php?id=BSGatlas-gene-1433","BSGatlas-gene-1433")</f>
        <v>BSGatlas-gene-1433</v>
      </c>
      <c r="B1434" s="1" t="s">
        <v>1337</v>
      </c>
      <c r="C1434" s="1" t="s">
        <v>8</v>
      </c>
      <c r="D1434" s="1">
        <v>1274692</v>
      </c>
      <c r="E1434" s="1">
        <v>1275639</v>
      </c>
      <c r="F1434" s="1" t="s">
        <v>9</v>
      </c>
      <c r="G1434" s="1" t="s">
        <v>11409</v>
      </c>
    </row>
    <row r="1435" spans="1:7" ht="21" x14ac:dyDescent="0.25">
      <c r="A1435" s="2" t="str">
        <f>HYPERLINK("https://rth.dk/resources/bsgatlas/details.php?id=BSGatlas-gene-1434","BSGatlas-gene-1434")</f>
        <v>BSGatlas-gene-1434</v>
      </c>
      <c r="B1435" s="1" t="s">
        <v>1338</v>
      </c>
      <c r="C1435" s="1" t="s">
        <v>34</v>
      </c>
      <c r="D1435" s="1">
        <v>1275755</v>
      </c>
      <c r="E1435" s="1">
        <v>1275858</v>
      </c>
      <c r="F1435" s="1" t="s">
        <v>9</v>
      </c>
      <c r="G1435" s="1" t="s">
        <v>11410</v>
      </c>
    </row>
    <row r="1436" spans="1:7" ht="21" x14ac:dyDescent="0.25">
      <c r="A1436" s="2" t="str">
        <f>HYPERLINK("https://rth.dk/resources/bsgatlas/details.php?id=BSGatlas-gene-1435","BSGatlas-gene-1435")</f>
        <v>BSGatlas-gene-1435</v>
      </c>
      <c r="B1436" s="1" t="s">
        <v>1338</v>
      </c>
      <c r="C1436" s="1" t="s">
        <v>8</v>
      </c>
      <c r="D1436" s="1">
        <v>1275809</v>
      </c>
      <c r="E1436" s="1">
        <v>1276291</v>
      </c>
      <c r="F1436" s="1" t="s">
        <v>9</v>
      </c>
      <c r="G1436" s="1" t="s">
        <v>11409</v>
      </c>
    </row>
    <row r="1437" spans="1:7" ht="21" x14ac:dyDescent="0.25">
      <c r="A1437" s="2" t="str">
        <f>HYPERLINK("https://rth.dk/resources/bsgatlas/details.php?id=BSGatlas-gene-1436","BSGatlas-gene-1436")</f>
        <v>BSGatlas-gene-1436</v>
      </c>
      <c r="B1437" s="1" t="s">
        <v>1339</v>
      </c>
      <c r="C1437" s="1" t="s">
        <v>8</v>
      </c>
      <c r="D1437" s="1">
        <v>1276337</v>
      </c>
      <c r="E1437" s="1">
        <v>1276843</v>
      </c>
      <c r="F1437" s="1" t="s">
        <v>13</v>
      </c>
      <c r="G1437" s="1" t="s">
        <v>11409</v>
      </c>
    </row>
    <row r="1438" spans="1:7" ht="21" x14ac:dyDescent="0.25">
      <c r="A1438" s="2" t="str">
        <f>HYPERLINK("https://rth.dk/resources/bsgatlas/details.php?id=BSGatlas-gene-1437","BSGatlas-gene-1437")</f>
        <v>BSGatlas-gene-1437</v>
      </c>
      <c r="B1438" s="1" t="s">
        <v>1340</v>
      </c>
      <c r="C1438" s="1" t="s">
        <v>8</v>
      </c>
      <c r="D1438" s="1">
        <v>1277062</v>
      </c>
      <c r="E1438" s="1">
        <v>1277457</v>
      </c>
      <c r="F1438" s="1" t="s">
        <v>13</v>
      </c>
      <c r="G1438" s="1" t="s">
        <v>11409</v>
      </c>
    </row>
    <row r="1439" spans="1:7" ht="21" x14ac:dyDescent="0.25">
      <c r="A1439" s="2" t="str">
        <f>HYPERLINK("https://rth.dk/resources/bsgatlas/details.php?id=BSGatlas-gene-1438","BSGatlas-gene-1438")</f>
        <v>BSGatlas-gene-1438</v>
      </c>
      <c r="B1439" s="1" t="s">
        <v>1341</v>
      </c>
      <c r="C1439" s="1" t="s">
        <v>8</v>
      </c>
      <c r="D1439" s="1">
        <v>1277686</v>
      </c>
      <c r="E1439" s="1">
        <v>1278165</v>
      </c>
      <c r="F1439" s="1" t="s">
        <v>9</v>
      </c>
      <c r="G1439" s="1" t="s">
        <v>11409</v>
      </c>
    </row>
    <row r="1440" spans="1:7" ht="21" x14ac:dyDescent="0.25">
      <c r="A1440" s="2" t="str">
        <f>HYPERLINK("https://rth.dk/resources/bsgatlas/details.php?id=BSGatlas-gene-1439","BSGatlas-gene-1439")</f>
        <v>BSGatlas-gene-1439</v>
      </c>
      <c r="B1440" s="1" t="s">
        <v>1342</v>
      </c>
      <c r="C1440" s="1" t="s">
        <v>8</v>
      </c>
      <c r="D1440" s="1">
        <v>1278205</v>
      </c>
      <c r="E1440" s="1">
        <v>1278399</v>
      </c>
      <c r="F1440" s="1" t="s">
        <v>13</v>
      </c>
      <c r="G1440" s="1" t="s">
        <v>11409</v>
      </c>
    </row>
    <row r="1441" spans="1:7" ht="21" x14ac:dyDescent="0.25">
      <c r="A1441" s="2" t="str">
        <f>HYPERLINK("https://rth.dk/resources/bsgatlas/details.php?id=BSGatlas-gene-1440","BSGatlas-gene-1440")</f>
        <v>BSGatlas-gene-1440</v>
      </c>
      <c r="B1441" s="1" t="s">
        <v>1343</v>
      </c>
      <c r="C1441" s="1" t="s">
        <v>8</v>
      </c>
      <c r="D1441" s="1">
        <v>1278565</v>
      </c>
      <c r="E1441" s="1">
        <v>1278894</v>
      </c>
      <c r="F1441" s="1" t="s">
        <v>13</v>
      </c>
      <c r="G1441" s="1" t="s">
        <v>11409</v>
      </c>
    </row>
    <row r="1442" spans="1:7" ht="21" x14ac:dyDescent="0.25">
      <c r="A1442" s="2" t="str">
        <f>HYPERLINK("https://rth.dk/resources/bsgatlas/details.php?id=BSGatlas-gene-1441","BSGatlas-gene-1441")</f>
        <v>BSGatlas-gene-1441</v>
      </c>
      <c r="B1442" s="1" t="s">
        <v>1344</v>
      </c>
      <c r="C1442" s="1" t="s">
        <v>12</v>
      </c>
      <c r="D1442" s="1">
        <v>1279031</v>
      </c>
      <c r="E1442" s="1">
        <v>1279381</v>
      </c>
      <c r="F1442" s="1" t="s">
        <v>9</v>
      </c>
      <c r="G1442" s="1" t="s">
        <v>11442</v>
      </c>
    </row>
    <row r="1443" spans="1:7" ht="21" x14ac:dyDescent="0.25">
      <c r="A1443" s="2" t="str">
        <f>HYPERLINK("https://rth.dk/resources/bsgatlas/details.php?id=BSGatlas-gene-1442","BSGatlas-gene-1442")</f>
        <v>BSGatlas-gene-1442</v>
      </c>
      <c r="B1443" s="1" t="s">
        <v>1345</v>
      </c>
      <c r="C1443" s="1" t="s">
        <v>8</v>
      </c>
      <c r="D1443" s="1">
        <v>1279514</v>
      </c>
      <c r="E1443" s="1">
        <v>1280503</v>
      </c>
      <c r="F1443" s="1" t="s">
        <v>13</v>
      </c>
      <c r="G1443" s="1" t="s">
        <v>11409</v>
      </c>
    </row>
    <row r="1444" spans="1:7" ht="21" x14ac:dyDescent="0.25">
      <c r="A1444" s="2" t="str">
        <f>HYPERLINK("https://rth.dk/resources/bsgatlas/details.php?id=BSGatlas-gene-1443","BSGatlas-gene-1443")</f>
        <v>BSGatlas-gene-1443</v>
      </c>
      <c r="B1444" s="1" t="s">
        <v>1346</v>
      </c>
      <c r="C1444" s="1" t="s">
        <v>8</v>
      </c>
      <c r="D1444" s="1">
        <v>1280626</v>
      </c>
      <c r="E1444" s="1">
        <v>1280949</v>
      </c>
      <c r="F1444" s="1" t="s">
        <v>13</v>
      </c>
      <c r="G1444" s="1" t="s">
        <v>11496</v>
      </c>
    </row>
    <row r="1445" spans="1:7" ht="21" x14ac:dyDescent="0.25">
      <c r="A1445" s="2" t="str">
        <f>HYPERLINK("https://rth.dk/resources/bsgatlas/details.php?id=BSGatlas-gene-1444","BSGatlas-gene-1444")</f>
        <v>BSGatlas-gene-1444</v>
      </c>
      <c r="B1445" s="1" t="s">
        <v>1346</v>
      </c>
      <c r="C1445" s="1" t="s">
        <v>8</v>
      </c>
      <c r="D1445" s="1">
        <v>1280626</v>
      </c>
      <c r="E1445" s="1">
        <v>1280874</v>
      </c>
      <c r="F1445" s="1" t="s">
        <v>13</v>
      </c>
      <c r="G1445" s="1" t="s">
        <v>11441</v>
      </c>
    </row>
    <row r="1446" spans="1:7" ht="21" x14ac:dyDescent="0.25">
      <c r="A1446" s="2" t="str">
        <f>HYPERLINK("https://rth.dk/resources/bsgatlas/details.php?id=BSGatlas-gene-1445","BSGatlas-gene-1445")</f>
        <v>BSGatlas-gene-1445</v>
      </c>
      <c r="B1446" s="1" t="s">
        <v>1347</v>
      </c>
      <c r="C1446" s="1" t="s">
        <v>8</v>
      </c>
      <c r="D1446" s="1">
        <v>1281128</v>
      </c>
      <c r="E1446" s="1">
        <v>1282531</v>
      </c>
      <c r="F1446" s="1" t="s">
        <v>9</v>
      </c>
      <c r="G1446" s="1" t="s">
        <v>11409</v>
      </c>
    </row>
    <row r="1447" spans="1:7" ht="21" x14ac:dyDescent="0.25">
      <c r="A1447" s="2" t="str">
        <f>HYPERLINK("https://rth.dk/resources/bsgatlas/details.php?id=BSGatlas-gene-1446","BSGatlas-gene-1446")</f>
        <v>BSGatlas-gene-1446</v>
      </c>
      <c r="B1447" s="1" t="s">
        <v>1348</v>
      </c>
      <c r="C1447" s="1" t="s">
        <v>8</v>
      </c>
      <c r="D1447" s="1">
        <v>1282571</v>
      </c>
      <c r="E1447" s="1">
        <v>1283044</v>
      </c>
      <c r="F1447" s="1" t="s">
        <v>13</v>
      </c>
      <c r="G1447" s="1" t="s">
        <v>11409</v>
      </c>
    </row>
    <row r="1448" spans="1:7" ht="21" x14ac:dyDescent="0.25">
      <c r="A1448" s="2" t="str">
        <f>HYPERLINK("https://rth.dk/resources/bsgatlas/details.php?id=BSGatlas-gene-1447","BSGatlas-gene-1447")</f>
        <v>BSGatlas-gene-1447</v>
      </c>
      <c r="B1448" s="1" t="s">
        <v>1349</v>
      </c>
      <c r="C1448" s="1" t="s">
        <v>8</v>
      </c>
      <c r="D1448" s="1">
        <v>1283169</v>
      </c>
      <c r="E1448" s="1">
        <v>1283336</v>
      </c>
      <c r="F1448" s="1" t="s">
        <v>13</v>
      </c>
      <c r="G1448" s="1" t="s">
        <v>11409</v>
      </c>
    </row>
    <row r="1449" spans="1:7" ht="21" x14ac:dyDescent="0.25">
      <c r="A1449" s="2" t="str">
        <f>HYPERLINK("https://rth.dk/resources/bsgatlas/details.php?id=BSGatlas-gene-1448","BSGatlas-gene-1448")</f>
        <v>BSGatlas-gene-1448</v>
      </c>
      <c r="B1449" s="1" t="s">
        <v>1350</v>
      </c>
      <c r="C1449" s="1" t="s">
        <v>8</v>
      </c>
      <c r="D1449" s="1">
        <v>1283463</v>
      </c>
      <c r="E1449" s="1">
        <v>1284362</v>
      </c>
      <c r="F1449" s="1" t="s">
        <v>9</v>
      </c>
      <c r="G1449" s="1" t="s">
        <v>11409</v>
      </c>
    </row>
    <row r="1450" spans="1:7" ht="21" x14ac:dyDescent="0.25">
      <c r="A1450" s="2" t="str">
        <f>HYPERLINK("https://rth.dk/resources/bsgatlas/details.php?id=BSGatlas-gene-1449","BSGatlas-gene-1449")</f>
        <v>BSGatlas-gene-1449</v>
      </c>
      <c r="B1450" s="1" t="s">
        <v>1351</v>
      </c>
      <c r="C1450" s="1" t="s">
        <v>8</v>
      </c>
      <c r="D1450" s="1">
        <v>1284371</v>
      </c>
      <c r="E1450" s="1">
        <v>1284769</v>
      </c>
      <c r="F1450" s="1" t="s">
        <v>13</v>
      </c>
      <c r="G1450" s="1" t="s">
        <v>11409</v>
      </c>
    </row>
    <row r="1451" spans="1:7" ht="21" x14ac:dyDescent="0.25">
      <c r="A1451" s="2" t="str">
        <f>HYPERLINK("https://rth.dk/resources/bsgatlas/details.php?id=BSGatlas-gene-1450","BSGatlas-gene-1450")</f>
        <v>BSGatlas-gene-1450</v>
      </c>
      <c r="B1451" s="1" t="s">
        <v>1352</v>
      </c>
      <c r="C1451" s="1" t="s">
        <v>8</v>
      </c>
      <c r="D1451" s="1">
        <v>1284870</v>
      </c>
      <c r="E1451" s="1">
        <v>1285445</v>
      </c>
      <c r="F1451" s="1" t="s">
        <v>13</v>
      </c>
      <c r="G1451" s="1" t="s">
        <v>11409</v>
      </c>
    </row>
    <row r="1452" spans="1:7" ht="21" x14ac:dyDescent="0.25">
      <c r="A1452" s="2" t="str">
        <f>HYPERLINK("https://rth.dk/resources/bsgatlas/details.php?id=BSGatlas-gene-1451","BSGatlas-gene-1451")</f>
        <v>BSGatlas-gene-1451</v>
      </c>
      <c r="B1452" s="1" t="s">
        <v>1353</v>
      </c>
      <c r="C1452" s="1" t="s">
        <v>8</v>
      </c>
      <c r="D1452" s="1">
        <v>1285591</v>
      </c>
      <c r="E1452" s="1">
        <v>1288548</v>
      </c>
      <c r="F1452" s="1" t="s">
        <v>9</v>
      </c>
      <c r="G1452" s="1" t="s">
        <v>11409</v>
      </c>
    </row>
    <row r="1453" spans="1:7" ht="21" x14ac:dyDescent="0.25">
      <c r="A1453" s="2" t="str">
        <f>HYPERLINK("https://rth.dk/resources/bsgatlas/details.php?id=BSGatlas-gene-1452","BSGatlas-gene-1452")</f>
        <v>BSGatlas-gene-1452</v>
      </c>
      <c r="B1453" s="1" t="s">
        <v>1354</v>
      </c>
      <c r="C1453" s="1" t="s">
        <v>8</v>
      </c>
      <c r="D1453" s="1">
        <v>1288541</v>
      </c>
      <c r="E1453" s="1">
        <v>1289101</v>
      </c>
      <c r="F1453" s="1" t="s">
        <v>9</v>
      </c>
      <c r="G1453" s="1" t="s">
        <v>11409</v>
      </c>
    </row>
    <row r="1454" spans="1:7" ht="21" x14ac:dyDescent="0.25">
      <c r="A1454" s="2" t="str">
        <f>HYPERLINK("https://rth.dk/resources/bsgatlas/details.php?id=BSGatlas-gene-1453","BSGatlas-gene-1453")</f>
        <v>BSGatlas-gene-1453</v>
      </c>
      <c r="B1454" s="1" t="s">
        <v>1355</v>
      </c>
      <c r="C1454" s="1" t="s">
        <v>8</v>
      </c>
      <c r="D1454" s="1">
        <v>1289298</v>
      </c>
      <c r="E1454" s="1">
        <v>1289939</v>
      </c>
      <c r="F1454" s="1" t="s">
        <v>9</v>
      </c>
      <c r="G1454" s="1" t="s">
        <v>11409</v>
      </c>
    </row>
    <row r="1455" spans="1:7" ht="21" x14ac:dyDescent="0.25">
      <c r="A1455" s="2" t="str">
        <f>HYPERLINK("https://rth.dk/resources/bsgatlas/details.php?id=BSGatlas-gene-1454","BSGatlas-gene-1454")</f>
        <v>BSGatlas-gene-1454</v>
      </c>
      <c r="B1455" s="1" t="s">
        <v>1356</v>
      </c>
      <c r="C1455" s="1" t="s">
        <v>8</v>
      </c>
      <c r="D1455" s="1">
        <v>1290018</v>
      </c>
      <c r="E1455" s="1">
        <v>1290644</v>
      </c>
      <c r="F1455" s="1" t="s">
        <v>9</v>
      </c>
      <c r="G1455" s="1" t="s">
        <v>11409</v>
      </c>
    </row>
    <row r="1456" spans="1:7" ht="21" x14ac:dyDescent="0.25">
      <c r="A1456" s="2" t="str">
        <f>HYPERLINK("https://rth.dk/resources/bsgatlas/details.php?id=BSGatlas-gene-1455","BSGatlas-gene-1455")</f>
        <v>BSGatlas-gene-1455</v>
      </c>
      <c r="B1456" s="1" t="s">
        <v>1357</v>
      </c>
      <c r="C1456" s="1" t="s">
        <v>8</v>
      </c>
      <c r="D1456" s="1">
        <v>1290675</v>
      </c>
      <c r="E1456" s="1">
        <v>1290953</v>
      </c>
      <c r="F1456" s="1" t="s">
        <v>13</v>
      </c>
      <c r="G1456" s="1" t="s">
        <v>11409</v>
      </c>
    </row>
    <row r="1457" spans="1:7" ht="21" x14ac:dyDescent="0.25">
      <c r="A1457" s="2" t="str">
        <f>HYPERLINK("https://rth.dk/resources/bsgatlas/details.php?id=BSGatlas-gene-1456","BSGatlas-gene-1456")</f>
        <v>BSGatlas-gene-1456</v>
      </c>
      <c r="B1457" s="1" t="s">
        <v>1358</v>
      </c>
      <c r="C1457" s="1" t="s">
        <v>8</v>
      </c>
      <c r="D1457" s="1">
        <v>1291344</v>
      </c>
      <c r="E1457" s="1">
        <v>1292534</v>
      </c>
      <c r="F1457" s="1" t="s">
        <v>9</v>
      </c>
      <c r="G1457" s="1" t="s">
        <v>11409</v>
      </c>
    </row>
    <row r="1458" spans="1:7" ht="21" x14ac:dyDescent="0.25">
      <c r="A1458" s="2" t="str">
        <f>HYPERLINK("https://rth.dk/resources/bsgatlas/details.php?id=BSGatlas-gene-1457","BSGatlas-gene-1457")</f>
        <v>BSGatlas-gene-1457</v>
      </c>
      <c r="B1458" s="1" t="s">
        <v>1359</v>
      </c>
      <c r="C1458" s="1" t="s">
        <v>8</v>
      </c>
      <c r="D1458" s="1">
        <v>1292557</v>
      </c>
      <c r="E1458" s="1">
        <v>1293735</v>
      </c>
      <c r="F1458" s="1" t="s">
        <v>9</v>
      </c>
      <c r="G1458" s="1" t="s">
        <v>11409</v>
      </c>
    </row>
    <row r="1459" spans="1:7" ht="21" x14ac:dyDescent="0.25">
      <c r="A1459" s="2" t="str">
        <f>HYPERLINK("https://rth.dk/resources/bsgatlas/details.php?id=BSGatlas-gene-1458","BSGatlas-gene-1458")</f>
        <v>BSGatlas-gene-1458</v>
      </c>
      <c r="B1459" s="1" t="s">
        <v>1360</v>
      </c>
      <c r="C1459" s="1" t="s">
        <v>8</v>
      </c>
      <c r="D1459" s="1">
        <v>1293776</v>
      </c>
      <c r="E1459" s="1">
        <v>1293964</v>
      </c>
      <c r="F1459" s="1" t="s">
        <v>13</v>
      </c>
      <c r="G1459" s="1" t="s">
        <v>11409</v>
      </c>
    </row>
    <row r="1460" spans="1:7" ht="21" x14ac:dyDescent="0.25">
      <c r="A1460" s="2" t="str">
        <f>HYPERLINK("https://rth.dk/resources/bsgatlas/details.php?id=BSGatlas-gene-1459","BSGatlas-gene-1459")</f>
        <v>BSGatlas-gene-1459</v>
      </c>
      <c r="B1460" s="1" t="s">
        <v>1361</v>
      </c>
      <c r="C1460" s="1" t="s">
        <v>8</v>
      </c>
      <c r="D1460" s="1">
        <v>1294138</v>
      </c>
      <c r="E1460" s="1">
        <v>1294950</v>
      </c>
      <c r="F1460" s="1" t="s">
        <v>9</v>
      </c>
      <c r="G1460" s="1" t="s">
        <v>11409</v>
      </c>
    </row>
    <row r="1461" spans="1:7" ht="21" x14ac:dyDescent="0.25">
      <c r="A1461" s="2" t="str">
        <f>HYPERLINK("https://rth.dk/resources/bsgatlas/details.php?id=BSGatlas-gene-1460","BSGatlas-gene-1460")</f>
        <v>BSGatlas-gene-1460</v>
      </c>
      <c r="B1461" s="1" t="s">
        <v>1362</v>
      </c>
      <c r="C1461" s="1" t="s">
        <v>8</v>
      </c>
      <c r="D1461" s="1">
        <v>1294996</v>
      </c>
      <c r="E1461" s="1">
        <v>1295748</v>
      </c>
      <c r="F1461" s="1" t="s">
        <v>13</v>
      </c>
      <c r="G1461" s="1" t="s">
        <v>11409</v>
      </c>
    </row>
    <row r="1462" spans="1:7" ht="21" x14ac:dyDescent="0.25">
      <c r="A1462" s="2" t="str">
        <f>HYPERLINK("https://rth.dk/resources/bsgatlas/details.php?id=BSGatlas-gene-1461","BSGatlas-gene-1461")</f>
        <v>BSGatlas-gene-1461</v>
      </c>
      <c r="B1462" s="1" t="s">
        <v>1363</v>
      </c>
      <c r="C1462" s="1" t="s">
        <v>8</v>
      </c>
      <c r="D1462" s="1">
        <v>1295748</v>
      </c>
      <c r="E1462" s="1">
        <v>1296500</v>
      </c>
      <c r="F1462" s="1" t="s">
        <v>13</v>
      </c>
      <c r="G1462" s="1" t="s">
        <v>11409</v>
      </c>
    </row>
    <row r="1463" spans="1:7" ht="21" x14ac:dyDescent="0.25">
      <c r="A1463" s="2" t="str">
        <f>HYPERLINK("https://rth.dk/resources/bsgatlas/details.php?id=BSGatlas-gene-1462","BSGatlas-gene-1462")</f>
        <v>BSGatlas-gene-1462</v>
      </c>
      <c r="B1463" s="1" t="s">
        <v>1364</v>
      </c>
      <c r="C1463" s="1" t="s">
        <v>8</v>
      </c>
      <c r="D1463" s="1">
        <v>1296620</v>
      </c>
      <c r="E1463" s="1">
        <v>1297594</v>
      </c>
      <c r="F1463" s="1" t="s">
        <v>13</v>
      </c>
      <c r="G1463" s="1" t="s">
        <v>11409</v>
      </c>
    </row>
    <row r="1464" spans="1:7" ht="21" x14ac:dyDescent="0.25">
      <c r="A1464" s="2" t="str">
        <f>HYPERLINK("https://rth.dk/resources/bsgatlas/details.php?id=BSGatlas-gene-1463","BSGatlas-gene-1463")</f>
        <v>BSGatlas-gene-1463</v>
      </c>
      <c r="B1464" s="1" t="s">
        <v>1365</v>
      </c>
      <c r="C1464" s="1" t="s">
        <v>8</v>
      </c>
      <c r="D1464" s="1">
        <v>1297726</v>
      </c>
      <c r="E1464" s="1">
        <v>1298223</v>
      </c>
      <c r="F1464" s="1" t="s">
        <v>9</v>
      </c>
      <c r="G1464" s="1" t="s">
        <v>11409</v>
      </c>
    </row>
    <row r="1465" spans="1:7" ht="21" x14ac:dyDescent="0.25">
      <c r="A1465" s="2" t="str">
        <f>HYPERLINK("https://rth.dk/resources/bsgatlas/details.php?id=BSGatlas-gene-1464","BSGatlas-gene-1464")</f>
        <v>BSGatlas-gene-1464</v>
      </c>
      <c r="B1465" s="1" t="s">
        <v>1366</v>
      </c>
      <c r="C1465" s="1" t="s">
        <v>8</v>
      </c>
      <c r="D1465" s="1">
        <v>1298612</v>
      </c>
      <c r="E1465" s="1">
        <v>1299034</v>
      </c>
      <c r="F1465" s="1" t="s">
        <v>9</v>
      </c>
      <c r="G1465" s="1" t="s">
        <v>11409</v>
      </c>
    </row>
    <row r="1466" spans="1:7" ht="21" x14ac:dyDescent="0.25">
      <c r="A1466" s="2" t="str">
        <f>HYPERLINK("https://rth.dk/resources/bsgatlas/details.php?id=BSGatlas-gene-1465","BSGatlas-gene-1465")</f>
        <v>BSGatlas-gene-1465</v>
      </c>
      <c r="B1466" s="1" t="s">
        <v>1367</v>
      </c>
      <c r="C1466" s="1" t="s">
        <v>8</v>
      </c>
      <c r="D1466" s="1">
        <v>1299074</v>
      </c>
      <c r="E1466" s="1">
        <v>1300252</v>
      </c>
      <c r="F1466" s="1" t="s">
        <v>9</v>
      </c>
      <c r="G1466" s="1" t="s">
        <v>11409</v>
      </c>
    </row>
    <row r="1467" spans="1:7" ht="21" x14ac:dyDescent="0.25">
      <c r="A1467" s="2" t="str">
        <f>HYPERLINK("https://rth.dk/resources/bsgatlas/details.php?id=BSGatlas-gene-1466","BSGatlas-gene-1466")</f>
        <v>BSGatlas-gene-1466</v>
      </c>
      <c r="B1467" s="1" t="s">
        <v>1368</v>
      </c>
      <c r="C1467" s="1" t="s">
        <v>8</v>
      </c>
      <c r="D1467" s="1">
        <v>1300450</v>
      </c>
      <c r="E1467" s="1">
        <v>1301871</v>
      </c>
      <c r="F1467" s="1" t="s">
        <v>9</v>
      </c>
      <c r="G1467" s="1" t="s">
        <v>11409</v>
      </c>
    </row>
    <row r="1468" spans="1:7" ht="21" x14ac:dyDescent="0.25">
      <c r="A1468" s="2" t="str">
        <f>HYPERLINK("https://rth.dk/resources/bsgatlas/details.php?id=BSGatlas-gene-1467","BSGatlas-gene-1467")</f>
        <v>BSGatlas-gene-1467</v>
      </c>
      <c r="B1468" s="1" t="s">
        <v>1369</v>
      </c>
      <c r="C1468" s="1" t="s">
        <v>8</v>
      </c>
      <c r="D1468" s="1">
        <v>1301939</v>
      </c>
      <c r="E1468" s="1">
        <v>1303318</v>
      </c>
      <c r="F1468" s="1" t="s">
        <v>9</v>
      </c>
      <c r="G1468" s="1" t="s">
        <v>11409</v>
      </c>
    </row>
    <row r="1469" spans="1:7" ht="21" x14ac:dyDescent="0.25">
      <c r="A1469" s="2" t="str">
        <f>HYPERLINK("https://rth.dk/resources/bsgatlas/details.php?id=BSGatlas-gene-1468","BSGatlas-gene-1468")</f>
        <v>BSGatlas-gene-1468</v>
      </c>
      <c r="B1469" s="1" t="s">
        <v>1370</v>
      </c>
      <c r="C1469" s="1" t="s">
        <v>8</v>
      </c>
      <c r="D1469" s="1">
        <v>1303423</v>
      </c>
      <c r="E1469" s="1">
        <v>1304436</v>
      </c>
      <c r="F1469" s="1" t="s">
        <v>9</v>
      </c>
      <c r="G1469" s="1" t="s">
        <v>11409</v>
      </c>
    </row>
    <row r="1470" spans="1:7" ht="21" x14ac:dyDescent="0.25">
      <c r="A1470" s="2" t="str">
        <f>HYPERLINK("https://rth.dk/resources/bsgatlas/details.php?id=BSGatlas-gene-1469","BSGatlas-gene-1469")</f>
        <v>BSGatlas-gene-1469</v>
      </c>
      <c r="B1470" s="1" t="s">
        <v>1371</v>
      </c>
      <c r="C1470" s="1" t="s">
        <v>8</v>
      </c>
      <c r="D1470" s="1">
        <v>1304442</v>
      </c>
      <c r="E1470" s="1">
        <v>1305461</v>
      </c>
      <c r="F1470" s="1" t="s">
        <v>9</v>
      </c>
      <c r="G1470" s="1" t="s">
        <v>11409</v>
      </c>
    </row>
    <row r="1471" spans="1:7" ht="21" x14ac:dyDescent="0.25">
      <c r="A1471" s="2" t="str">
        <f>HYPERLINK("https://rth.dk/resources/bsgatlas/details.php?id=BSGatlas-gene-1470","BSGatlas-gene-1470")</f>
        <v>BSGatlas-gene-1470</v>
      </c>
      <c r="B1471" s="1" t="s">
        <v>1372</v>
      </c>
      <c r="C1471" s="1" t="s">
        <v>8</v>
      </c>
      <c r="D1471" s="1">
        <v>1305486</v>
      </c>
      <c r="E1471" s="1">
        <v>1306565</v>
      </c>
      <c r="F1471" s="1" t="s">
        <v>9</v>
      </c>
      <c r="G1471" s="1" t="s">
        <v>11409</v>
      </c>
    </row>
    <row r="1472" spans="1:7" ht="21" x14ac:dyDescent="0.25">
      <c r="A1472" s="2" t="str">
        <f>HYPERLINK("https://rth.dk/resources/bsgatlas/details.php?id=BSGatlas-gene-1471","BSGatlas-gene-1471")</f>
        <v>BSGatlas-gene-1471</v>
      </c>
      <c r="B1472" s="1" t="s">
        <v>1373</v>
      </c>
      <c r="C1472" s="1" t="s">
        <v>8</v>
      </c>
      <c r="D1472" s="1">
        <v>1306562</v>
      </c>
      <c r="E1472" s="1">
        <v>1307398</v>
      </c>
      <c r="F1472" s="1" t="s">
        <v>9</v>
      </c>
      <c r="G1472" s="1" t="s">
        <v>11409</v>
      </c>
    </row>
    <row r="1473" spans="1:7" ht="21" x14ac:dyDescent="0.25">
      <c r="A1473" s="2" t="str">
        <f>HYPERLINK("https://rth.dk/resources/bsgatlas/details.php?id=BSGatlas-gene-1472","BSGatlas-gene-1472")</f>
        <v>BSGatlas-gene-1472</v>
      </c>
      <c r="B1473" s="1" t="s">
        <v>1374</v>
      </c>
      <c r="C1473" s="1" t="s">
        <v>8</v>
      </c>
      <c r="D1473" s="1">
        <v>1307446</v>
      </c>
      <c r="E1473" s="1">
        <v>1308714</v>
      </c>
      <c r="F1473" s="1" t="s">
        <v>9</v>
      </c>
      <c r="G1473" s="1" t="s">
        <v>11409</v>
      </c>
    </row>
    <row r="1474" spans="1:7" ht="21" x14ac:dyDescent="0.25">
      <c r="A1474" s="2" t="str">
        <f>HYPERLINK("https://rth.dk/resources/bsgatlas/details.php?id=BSGatlas-gene-1473","BSGatlas-gene-1473")</f>
        <v>BSGatlas-gene-1473</v>
      </c>
      <c r="B1474" s="1" t="s">
        <v>1375</v>
      </c>
      <c r="C1474" s="1" t="s">
        <v>8</v>
      </c>
      <c r="D1474" s="1">
        <v>1308802</v>
      </c>
      <c r="E1474" s="1">
        <v>1309803</v>
      </c>
      <c r="F1474" s="1" t="s">
        <v>9</v>
      </c>
      <c r="G1474" s="1" t="s">
        <v>11409</v>
      </c>
    </row>
    <row r="1475" spans="1:7" ht="21" x14ac:dyDescent="0.25">
      <c r="A1475" s="2" t="str">
        <f>HYPERLINK("https://rth.dk/resources/bsgatlas/details.php?id=BSGatlas-gene-1474","BSGatlas-gene-1474")</f>
        <v>BSGatlas-gene-1474</v>
      </c>
      <c r="B1475" s="1" t="s">
        <v>1376</v>
      </c>
      <c r="C1475" s="1" t="s">
        <v>8</v>
      </c>
      <c r="D1475" s="1">
        <v>1309880</v>
      </c>
      <c r="E1475" s="1">
        <v>1311322</v>
      </c>
      <c r="F1475" s="1" t="s">
        <v>9</v>
      </c>
      <c r="G1475" s="1" t="s">
        <v>11409</v>
      </c>
    </row>
    <row r="1476" spans="1:7" ht="21" x14ac:dyDescent="0.25">
      <c r="A1476" s="2" t="str">
        <f>HYPERLINK("https://rth.dk/resources/bsgatlas/details.php?id=BSGatlas-gene-1475","BSGatlas-gene-1475")</f>
        <v>BSGatlas-gene-1475</v>
      </c>
      <c r="B1476" s="1" t="s">
        <v>1377</v>
      </c>
      <c r="C1476" s="1" t="s">
        <v>8</v>
      </c>
      <c r="D1476" s="1">
        <v>1311319</v>
      </c>
      <c r="E1476" s="1">
        <v>1312812</v>
      </c>
      <c r="F1476" s="1" t="s">
        <v>9</v>
      </c>
      <c r="G1476" s="1" t="s">
        <v>11409</v>
      </c>
    </row>
    <row r="1477" spans="1:7" ht="21" x14ac:dyDescent="0.25">
      <c r="A1477" s="2" t="str">
        <f>HYPERLINK("https://rth.dk/resources/bsgatlas/details.php?id=BSGatlas-gene-1476","BSGatlas-gene-1476")</f>
        <v>BSGatlas-gene-1476</v>
      </c>
      <c r="B1477" s="1" t="s">
        <v>1378</v>
      </c>
      <c r="C1477" s="1" t="s">
        <v>8</v>
      </c>
      <c r="D1477" s="1">
        <v>1312851</v>
      </c>
      <c r="E1477" s="1">
        <v>1313615</v>
      </c>
      <c r="F1477" s="1" t="s">
        <v>13</v>
      </c>
      <c r="G1477" s="1" t="s">
        <v>11409</v>
      </c>
    </row>
    <row r="1478" spans="1:7" ht="21" x14ac:dyDescent="0.25">
      <c r="A1478" s="2" t="str">
        <f>HYPERLINK("https://rth.dk/resources/bsgatlas/details.php?id=BSGatlas-gene-1477","BSGatlas-gene-1477")</f>
        <v>BSGatlas-gene-1477</v>
      </c>
      <c r="B1478" s="1" t="s">
        <v>1379</v>
      </c>
      <c r="C1478" s="1" t="s">
        <v>8</v>
      </c>
      <c r="D1478" s="1">
        <v>1313840</v>
      </c>
      <c r="E1478" s="1">
        <v>1314304</v>
      </c>
      <c r="F1478" s="1" t="s">
        <v>13</v>
      </c>
      <c r="G1478" s="1" t="s">
        <v>11409</v>
      </c>
    </row>
    <row r="1479" spans="1:7" ht="21" x14ac:dyDescent="0.25">
      <c r="A1479" s="2" t="str">
        <f>HYPERLINK("https://rth.dk/resources/bsgatlas/details.php?id=BSGatlas-gene-1478","BSGatlas-gene-1478")</f>
        <v>BSGatlas-gene-1478</v>
      </c>
      <c r="B1479" s="1" t="s">
        <v>1380</v>
      </c>
      <c r="C1479" s="1" t="s">
        <v>8</v>
      </c>
      <c r="D1479" s="1">
        <v>1314453</v>
      </c>
      <c r="E1479" s="1">
        <v>1315724</v>
      </c>
      <c r="F1479" s="1" t="s">
        <v>9</v>
      </c>
      <c r="G1479" s="1" t="s">
        <v>11409</v>
      </c>
    </row>
    <row r="1480" spans="1:7" ht="21" x14ac:dyDescent="0.25">
      <c r="A1480" s="2" t="str">
        <f>HYPERLINK("https://rth.dk/resources/bsgatlas/details.php?id=BSGatlas-gene-1479","BSGatlas-gene-1479")</f>
        <v>BSGatlas-gene-1479</v>
      </c>
      <c r="B1480" s="1" t="s">
        <v>1381</v>
      </c>
      <c r="C1480" s="1" t="s">
        <v>8</v>
      </c>
      <c r="D1480" s="1">
        <v>1315869</v>
      </c>
      <c r="E1480" s="1">
        <v>1317005</v>
      </c>
      <c r="F1480" s="1" t="s">
        <v>9</v>
      </c>
      <c r="G1480" s="1" t="s">
        <v>11409</v>
      </c>
    </row>
    <row r="1481" spans="1:7" ht="21" x14ac:dyDescent="0.25">
      <c r="A1481" s="2" t="str">
        <f>HYPERLINK("https://rth.dk/resources/bsgatlas/details.php?id=BSGatlas-gene-1480","BSGatlas-gene-1480")</f>
        <v>BSGatlas-gene-1480</v>
      </c>
      <c r="B1481" s="1" t="s">
        <v>1382</v>
      </c>
      <c r="C1481" s="1" t="s">
        <v>8</v>
      </c>
      <c r="D1481" s="1">
        <v>1316995</v>
      </c>
      <c r="E1481" s="1">
        <v>1317129</v>
      </c>
      <c r="F1481" s="1" t="s">
        <v>9</v>
      </c>
      <c r="G1481" s="1" t="s">
        <v>11409</v>
      </c>
    </row>
    <row r="1482" spans="1:7" ht="21" x14ac:dyDescent="0.25">
      <c r="A1482" s="2" t="str">
        <f>HYPERLINK("https://rth.dk/resources/bsgatlas/details.php?id=BSGatlas-gene-1481","BSGatlas-gene-1481")</f>
        <v>BSGatlas-gene-1481</v>
      </c>
      <c r="B1482" s="1" t="s">
        <v>1383</v>
      </c>
      <c r="C1482" s="1" t="s">
        <v>8</v>
      </c>
      <c r="D1482" s="1">
        <v>1317157</v>
      </c>
      <c r="E1482" s="1">
        <v>1317414</v>
      </c>
      <c r="F1482" s="1" t="s">
        <v>13</v>
      </c>
      <c r="G1482" s="1" t="s">
        <v>11409</v>
      </c>
    </row>
    <row r="1483" spans="1:7" ht="21" x14ac:dyDescent="0.25">
      <c r="A1483" s="2" t="str">
        <f>HYPERLINK("https://rth.dk/resources/bsgatlas/details.php?id=BSGatlas-gene-1482","BSGatlas-gene-1482")</f>
        <v>BSGatlas-gene-1482</v>
      </c>
      <c r="B1483" s="1" t="s">
        <v>1384</v>
      </c>
      <c r="C1483" s="1" t="s">
        <v>8</v>
      </c>
      <c r="D1483" s="1">
        <v>1317535</v>
      </c>
      <c r="E1483" s="1">
        <v>1318488</v>
      </c>
      <c r="F1483" s="1" t="s">
        <v>9</v>
      </c>
      <c r="G1483" s="1" t="s">
        <v>11409</v>
      </c>
    </row>
    <row r="1484" spans="1:7" ht="21" x14ac:dyDescent="0.25">
      <c r="A1484" s="2" t="str">
        <f>HYPERLINK("https://rth.dk/resources/bsgatlas/details.php?id=BSGatlas-gene-1483","BSGatlas-gene-1483")</f>
        <v>BSGatlas-gene-1483</v>
      </c>
      <c r="B1484" s="1" t="s">
        <v>1387</v>
      </c>
      <c r="C1484" s="1" t="s">
        <v>8</v>
      </c>
      <c r="D1484" s="1">
        <v>1318528</v>
      </c>
      <c r="E1484" s="1">
        <v>1318905</v>
      </c>
      <c r="F1484" s="1" t="s">
        <v>13</v>
      </c>
      <c r="G1484" s="1" t="s">
        <v>11409</v>
      </c>
    </row>
    <row r="1485" spans="1:7" ht="21" x14ac:dyDescent="0.25">
      <c r="A1485" s="2" t="str">
        <f>HYPERLINK("https://rth.dk/resources/bsgatlas/details.php?id=BSGatlas-gene-1484","BSGatlas-gene-1484")</f>
        <v>BSGatlas-gene-1484</v>
      </c>
      <c r="B1485" s="1" t="s">
        <v>1385</v>
      </c>
      <c r="C1485" s="1" t="s">
        <v>8</v>
      </c>
      <c r="D1485" s="1">
        <v>1319011</v>
      </c>
      <c r="E1485" s="1">
        <v>1319613</v>
      </c>
      <c r="F1485" s="1" t="s">
        <v>9</v>
      </c>
      <c r="G1485" s="1" t="s">
        <v>11409</v>
      </c>
    </row>
    <row r="1486" spans="1:7" ht="21" x14ac:dyDescent="0.25">
      <c r="A1486" s="2" t="str">
        <f>HYPERLINK("https://rth.dk/resources/bsgatlas/details.php?id=BSGatlas-gene-1485","BSGatlas-gene-1485")</f>
        <v>BSGatlas-gene-1485</v>
      </c>
      <c r="B1486" s="1" t="s">
        <v>1386</v>
      </c>
      <c r="C1486" s="1" t="s">
        <v>8</v>
      </c>
      <c r="D1486" s="1">
        <v>1319690</v>
      </c>
      <c r="E1486" s="1">
        <v>1320526</v>
      </c>
      <c r="F1486" s="1" t="s">
        <v>9</v>
      </c>
      <c r="G1486" s="1" t="s">
        <v>11409</v>
      </c>
    </row>
    <row r="1487" spans="1:7" ht="21" x14ac:dyDescent="0.25">
      <c r="A1487" s="2" t="str">
        <f>HYPERLINK("https://rth.dk/resources/bsgatlas/details.php?id=BSGatlas-gene-1486","BSGatlas-gene-1486")</f>
        <v>BSGatlas-gene-1486</v>
      </c>
      <c r="B1487" s="1" t="s">
        <v>1388</v>
      </c>
      <c r="C1487" s="1" t="s">
        <v>8</v>
      </c>
      <c r="D1487" s="1">
        <v>1320570</v>
      </c>
      <c r="E1487" s="1">
        <v>1321166</v>
      </c>
      <c r="F1487" s="1" t="s">
        <v>13</v>
      </c>
      <c r="G1487" s="1" t="s">
        <v>11409</v>
      </c>
    </row>
    <row r="1488" spans="1:7" ht="21" x14ac:dyDescent="0.25">
      <c r="A1488" s="2" t="str">
        <f>HYPERLINK("https://rth.dk/resources/bsgatlas/details.php?id=BSGatlas-gene-1487","BSGatlas-gene-1487")</f>
        <v>BSGatlas-gene-1487</v>
      </c>
      <c r="B1488" s="1" t="s">
        <v>1389</v>
      </c>
      <c r="C1488" s="1" t="s">
        <v>8</v>
      </c>
      <c r="D1488" s="1">
        <v>1321329</v>
      </c>
      <c r="E1488" s="1">
        <v>1321670</v>
      </c>
      <c r="F1488" s="1" t="s">
        <v>13</v>
      </c>
      <c r="G1488" s="1" t="s">
        <v>11409</v>
      </c>
    </row>
    <row r="1489" spans="1:7" ht="21" x14ac:dyDescent="0.25">
      <c r="A1489" s="2" t="str">
        <f>HYPERLINK("https://rth.dk/resources/bsgatlas/details.php?id=BSGatlas-gene-1488","BSGatlas-gene-1488")</f>
        <v>BSGatlas-gene-1488</v>
      </c>
      <c r="B1489" s="1" t="s">
        <v>1390</v>
      </c>
      <c r="C1489" s="1" t="s">
        <v>8</v>
      </c>
      <c r="D1489" s="1">
        <v>1321848</v>
      </c>
      <c r="E1489" s="1">
        <v>1322027</v>
      </c>
      <c r="F1489" s="1" t="s">
        <v>9</v>
      </c>
      <c r="G1489" s="1" t="s">
        <v>11409</v>
      </c>
    </row>
    <row r="1490" spans="1:7" ht="21" x14ac:dyDescent="0.25">
      <c r="A1490" s="2" t="str">
        <f>HYPERLINK("https://rth.dk/resources/bsgatlas/details.php?id=BSGatlas-gene-1489","BSGatlas-gene-1489")</f>
        <v>BSGatlas-gene-1489</v>
      </c>
      <c r="B1490" s="1" t="s">
        <v>1391</v>
      </c>
      <c r="C1490" s="1" t="s">
        <v>8</v>
      </c>
      <c r="D1490" s="1">
        <v>1322014</v>
      </c>
      <c r="E1490" s="1">
        <v>1322850</v>
      </c>
      <c r="F1490" s="1" t="s">
        <v>9</v>
      </c>
      <c r="G1490" s="1" t="s">
        <v>11409</v>
      </c>
    </row>
    <row r="1491" spans="1:7" ht="21" x14ac:dyDescent="0.25">
      <c r="A1491" s="2" t="str">
        <f>HYPERLINK("https://rth.dk/resources/bsgatlas/details.php?id=BSGatlas-gene-1490","BSGatlas-gene-1490")</f>
        <v>BSGatlas-gene-1490</v>
      </c>
      <c r="B1491" s="1" t="s">
        <v>1392</v>
      </c>
      <c r="C1491" s="1" t="s">
        <v>8</v>
      </c>
      <c r="D1491" s="1">
        <v>1322750</v>
      </c>
      <c r="E1491" s="1">
        <v>1323550</v>
      </c>
      <c r="F1491" s="1" t="s">
        <v>9</v>
      </c>
      <c r="G1491" s="1" t="s">
        <v>11409</v>
      </c>
    </row>
    <row r="1492" spans="1:7" ht="21" x14ac:dyDescent="0.25">
      <c r="A1492" s="2" t="str">
        <f>HYPERLINK("https://rth.dk/resources/bsgatlas/details.php?id=BSGatlas-gene-1491","BSGatlas-gene-1491")</f>
        <v>BSGatlas-gene-1491</v>
      </c>
      <c r="B1492" s="1" t="s">
        <v>1393</v>
      </c>
      <c r="C1492" s="1" t="s">
        <v>8</v>
      </c>
      <c r="D1492" s="1">
        <v>1323550</v>
      </c>
      <c r="E1492" s="1">
        <v>1323717</v>
      </c>
      <c r="F1492" s="1" t="s">
        <v>9</v>
      </c>
      <c r="G1492" s="1" t="s">
        <v>11409</v>
      </c>
    </row>
    <row r="1493" spans="1:7" ht="21" x14ac:dyDescent="0.25">
      <c r="A1493" s="2" t="str">
        <f>HYPERLINK("https://rth.dk/resources/bsgatlas/details.php?id=BSGatlas-gene-1492","BSGatlas-gene-1492")</f>
        <v>BSGatlas-gene-1492</v>
      </c>
      <c r="B1493" s="1" t="s">
        <v>1394</v>
      </c>
      <c r="C1493" s="1" t="s">
        <v>8</v>
      </c>
      <c r="D1493" s="1">
        <v>1323802</v>
      </c>
      <c r="E1493" s="1">
        <v>1324152</v>
      </c>
      <c r="F1493" s="1" t="s">
        <v>9</v>
      </c>
      <c r="G1493" s="1" t="s">
        <v>11409</v>
      </c>
    </row>
    <row r="1494" spans="1:7" ht="21" x14ac:dyDescent="0.25">
      <c r="A1494" s="2" t="str">
        <f>HYPERLINK("https://rth.dk/resources/bsgatlas/details.php?id=BSGatlas-gene-1493","BSGatlas-gene-1493")</f>
        <v>BSGatlas-gene-1493</v>
      </c>
      <c r="B1494" s="1" t="s">
        <v>1395</v>
      </c>
      <c r="C1494" s="1" t="s">
        <v>8</v>
      </c>
      <c r="D1494" s="1">
        <v>1324149</v>
      </c>
      <c r="E1494" s="1">
        <v>1324355</v>
      </c>
      <c r="F1494" s="1" t="s">
        <v>9</v>
      </c>
      <c r="G1494" s="1" t="s">
        <v>11409</v>
      </c>
    </row>
    <row r="1495" spans="1:7" ht="21" x14ac:dyDescent="0.25">
      <c r="A1495" s="2" t="str">
        <f>HYPERLINK("https://rth.dk/resources/bsgatlas/details.php?id=BSGatlas-gene-1494","BSGatlas-gene-1494")</f>
        <v>BSGatlas-gene-1494</v>
      </c>
      <c r="B1495" s="1" t="s">
        <v>11510</v>
      </c>
      <c r="C1495" s="1" t="s">
        <v>8</v>
      </c>
      <c r="D1495" s="1">
        <v>1324471</v>
      </c>
      <c r="E1495" s="1">
        <v>1324980</v>
      </c>
      <c r="F1495" s="1" t="s">
        <v>9</v>
      </c>
      <c r="G1495" s="1" t="s">
        <v>11409</v>
      </c>
    </row>
    <row r="1496" spans="1:7" ht="21" x14ac:dyDescent="0.25">
      <c r="A1496" s="2" t="str">
        <f>HYPERLINK("https://rth.dk/resources/bsgatlas/details.php?id=BSGatlas-gene-1495","BSGatlas-gene-1495")</f>
        <v>BSGatlas-gene-1495</v>
      </c>
      <c r="B1496" s="1" t="s">
        <v>1396</v>
      </c>
      <c r="C1496" s="1" t="s">
        <v>8</v>
      </c>
      <c r="D1496" s="1">
        <v>1325096</v>
      </c>
      <c r="E1496" s="1">
        <v>1325893</v>
      </c>
      <c r="F1496" s="1" t="s">
        <v>9</v>
      </c>
      <c r="G1496" s="1" t="s">
        <v>11409</v>
      </c>
    </row>
    <row r="1497" spans="1:7" ht="21" x14ac:dyDescent="0.25">
      <c r="A1497" s="2" t="str">
        <f>HYPERLINK("https://rth.dk/resources/bsgatlas/details.php?id=BSGatlas-gene-1496","BSGatlas-gene-1496")</f>
        <v>BSGatlas-gene-1496</v>
      </c>
      <c r="B1497" s="1" t="s">
        <v>1397</v>
      </c>
      <c r="C1497" s="1" t="s">
        <v>8</v>
      </c>
      <c r="D1497" s="1">
        <v>1325890</v>
      </c>
      <c r="E1497" s="1">
        <v>1327191</v>
      </c>
      <c r="F1497" s="1" t="s">
        <v>9</v>
      </c>
      <c r="G1497" s="1" t="s">
        <v>11409</v>
      </c>
    </row>
    <row r="1498" spans="1:7" ht="21" x14ac:dyDescent="0.25">
      <c r="A1498" s="2" t="str">
        <f>HYPERLINK("https://rth.dk/resources/bsgatlas/details.php?id=BSGatlas-gene-1497","BSGatlas-gene-1497")</f>
        <v>BSGatlas-gene-1497</v>
      </c>
      <c r="B1498" s="1" t="s">
        <v>1398</v>
      </c>
      <c r="C1498" s="1" t="s">
        <v>8</v>
      </c>
      <c r="D1498" s="1">
        <v>1327195</v>
      </c>
      <c r="E1498" s="1">
        <v>1328682</v>
      </c>
      <c r="F1498" s="1" t="s">
        <v>9</v>
      </c>
      <c r="G1498" s="1" t="s">
        <v>11409</v>
      </c>
    </row>
    <row r="1499" spans="1:7" ht="21" x14ac:dyDescent="0.25">
      <c r="A1499" s="2" t="str">
        <f>HYPERLINK("https://rth.dk/resources/bsgatlas/details.php?id=BSGatlas-gene-1498","BSGatlas-gene-1498")</f>
        <v>BSGatlas-gene-1498</v>
      </c>
      <c r="B1499" s="1" t="s">
        <v>1399</v>
      </c>
      <c r="C1499" s="1" t="s">
        <v>8</v>
      </c>
      <c r="D1499" s="1">
        <v>1328702</v>
      </c>
      <c r="E1499" s="1">
        <v>1329529</v>
      </c>
      <c r="F1499" s="1" t="s">
        <v>9</v>
      </c>
      <c r="G1499" s="1" t="s">
        <v>11409</v>
      </c>
    </row>
    <row r="1500" spans="1:7" ht="21" x14ac:dyDescent="0.25">
      <c r="A1500" s="2" t="str">
        <f>HYPERLINK("https://rth.dk/resources/bsgatlas/details.php?id=BSGatlas-gene-1499","BSGatlas-gene-1499")</f>
        <v>BSGatlas-gene-1499</v>
      </c>
      <c r="B1500" s="1" t="s">
        <v>1400</v>
      </c>
      <c r="C1500" s="1" t="s">
        <v>8</v>
      </c>
      <c r="D1500" s="1">
        <v>1329555</v>
      </c>
      <c r="E1500" s="1">
        <v>1330490</v>
      </c>
      <c r="F1500" s="1" t="s">
        <v>9</v>
      </c>
      <c r="G1500" s="1" t="s">
        <v>11409</v>
      </c>
    </row>
    <row r="1501" spans="1:7" ht="21" x14ac:dyDescent="0.25">
      <c r="A1501" s="2" t="str">
        <f>HYPERLINK("https://rth.dk/resources/bsgatlas/details.php?id=BSGatlas-gene-1500","BSGatlas-gene-1500")</f>
        <v>BSGatlas-gene-1500</v>
      </c>
      <c r="B1501" s="1" t="s">
        <v>1401</v>
      </c>
      <c r="C1501" s="1" t="s">
        <v>8</v>
      </c>
      <c r="D1501" s="1">
        <v>1330512</v>
      </c>
      <c r="E1501" s="1">
        <v>1330895</v>
      </c>
      <c r="F1501" s="1" t="s">
        <v>9</v>
      </c>
      <c r="G1501" s="1" t="s">
        <v>11409</v>
      </c>
    </row>
    <row r="1502" spans="1:7" ht="21" x14ac:dyDescent="0.25">
      <c r="A1502" s="2" t="str">
        <f>HYPERLINK("https://rth.dk/resources/bsgatlas/details.php?id=BSGatlas-gene-1501","BSGatlas-gene-1501")</f>
        <v>BSGatlas-gene-1501</v>
      </c>
      <c r="B1502" s="1" t="s">
        <v>1402</v>
      </c>
      <c r="C1502" s="1" t="s">
        <v>8</v>
      </c>
      <c r="D1502" s="1">
        <v>1330892</v>
      </c>
      <c r="E1502" s="1">
        <v>1331248</v>
      </c>
      <c r="F1502" s="1" t="s">
        <v>9</v>
      </c>
      <c r="G1502" s="1" t="s">
        <v>11409</v>
      </c>
    </row>
    <row r="1503" spans="1:7" ht="21" x14ac:dyDescent="0.25">
      <c r="A1503" s="2" t="str">
        <f>HYPERLINK("https://rth.dk/resources/bsgatlas/details.php?id=BSGatlas-gene-1502","BSGatlas-gene-1502")</f>
        <v>BSGatlas-gene-1502</v>
      </c>
      <c r="B1503" s="1" t="s">
        <v>1403</v>
      </c>
      <c r="C1503" s="1" t="s">
        <v>8</v>
      </c>
      <c r="D1503" s="1">
        <v>1331245</v>
      </c>
      <c r="E1503" s="1">
        <v>1331730</v>
      </c>
      <c r="F1503" s="1" t="s">
        <v>9</v>
      </c>
      <c r="G1503" s="1" t="s">
        <v>11409</v>
      </c>
    </row>
    <row r="1504" spans="1:7" ht="21" x14ac:dyDescent="0.25">
      <c r="A1504" s="2" t="str">
        <f>HYPERLINK("https://rth.dk/resources/bsgatlas/details.php?id=BSGatlas-gene-1503","BSGatlas-gene-1503")</f>
        <v>BSGatlas-gene-1503</v>
      </c>
      <c r="B1504" s="1" t="s">
        <v>1404</v>
      </c>
      <c r="C1504" s="1" t="s">
        <v>8</v>
      </c>
      <c r="D1504" s="1">
        <v>1331743</v>
      </c>
      <c r="E1504" s="1">
        <v>1332183</v>
      </c>
      <c r="F1504" s="1" t="s">
        <v>9</v>
      </c>
      <c r="G1504" s="1" t="s">
        <v>11409</v>
      </c>
    </row>
    <row r="1505" spans="1:7" ht="21" x14ac:dyDescent="0.25">
      <c r="A1505" s="2" t="str">
        <f>HYPERLINK("https://rth.dk/resources/bsgatlas/details.php?id=BSGatlas-gene-1504","BSGatlas-gene-1504")</f>
        <v>BSGatlas-gene-1504</v>
      </c>
      <c r="B1505" s="1" t="s">
        <v>1405</v>
      </c>
      <c r="C1505" s="1" t="s">
        <v>8</v>
      </c>
      <c r="D1505" s="1">
        <v>1332187</v>
      </c>
      <c r="E1505" s="1">
        <v>1332405</v>
      </c>
      <c r="F1505" s="1" t="s">
        <v>9</v>
      </c>
      <c r="G1505" s="1" t="s">
        <v>11409</v>
      </c>
    </row>
    <row r="1506" spans="1:7" ht="21" x14ac:dyDescent="0.25">
      <c r="A1506" s="2" t="str">
        <f>HYPERLINK("https://rth.dk/resources/bsgatlas/details.php?id=BSGatlas-gene-1505","BSGatlas-gene-1505")</f>
        <v>BSGatlas-gene-1505</v>
      </c>
      <c r="B1506" s="1" t="s">
        <v>1406</v>
      </c>
      <c r="C1506" s="1" t="s">
        <v>8</v>
      </c>
      <c r="D1506" s="1">
        <v>1332402</v>
      </c>
      <c r="E1506" s="1">
        <v>1333802</v>
      </c>
      <c r="F1506" s="1" t="s">
        <v>9</v>
      </c>
      <c r="G1506" s="1" t="s">
        <v>11409</v>
      </c>
    </row>
    <row r="1507" spans="1:7" ht="21" x14ac:dyDescent="0.25">
      <c r="A1507" s="2" t="str">
        <f>HYPERLINK("https://rth.dk/resources/bsgatlas/details.php?id=BSGatlas-gene-1506","BSGatlas-gene-1506")</f>
        <v>BSGatlas-gene-1506</v>
      </c>
      <c r="B1507" s="1" t="s">
        <v>1407</v>
      </c>
      <c r="C1507" s="1" t="s">
        <v>8</v>
      </c>
      <c r="D1507" s="1">
        <v>1333804</v>
      </c>
      <c r="E1507" s="1">
        <v>1334247</v>
      </c>
      <c r="F1507" s="1" t="s">
        <v>9</v>
      </c>
      <c r="G1507" s="1" t="s">
        <v>11409</v>
      </c>
    </row>
    <row r="1508" spans="1:7" ht="21" x14ac:dyDescent="0.25">
      <c r="A1508" s="2" t="str">
        <f>HYPERLINK("https://rth.dk/resources/bsgatlas/details.php?id=BSGatlas-gene-1507","BSGatlas-gene-1507")</f>
        <v>BSGatlas-gene-1507</v>
      </c>
      <c r="B1508" s="1" t="s">
        <v>1408</v>
      </c>
      <c r="C1508" s="1" t="s">
        <v>8</v>
      </c>
      <c r="D1508" s="1">
        <v>1334339</v>
      </c>
      <c r="E1508" s="1">
        <v>1334785</v>
      </c>
      <c r="F1508" s="1" t="s">
        <v>9</v>
      </c>
      <c r="G1508" s="1" t="s">
        <v>11409</v>
      </c>
    </row>
    <row r="1509" spans="1:7" ht="21" x14ac:dyDescent="0.25">
      <c r="A1509" s="2" t="str">
        <f>HYPERLINK("https://rth.dk/resources/bsgatlas/details.php?id=BSGatlas-gene-1508","BSGatlas-gene-1508")</f>
        <v>BSGatlas-gene-1508</v>
      </c>
      <c r="B1509" s="1" t="s">
        <v>1409</v>
      </c>
      <c r="C1509" s="1" t="s">
        <v>8</v>
      </c>
      <c r="D1509" s="1">
        <v>1334815</v>
      </c>
      <c r="E1509" s="1">
        <v>1334964</v>
      </c>
      <c r="F1509" s="1" t="s">
        <v>9</v>
      </c>
      <c r="G1509" s="1" t="s">
        <v>11409</v>
      </c>
    </row>
    <row r="1510" spans="1:7" ht="21" x14ac:dyDescent="0.25">
      <c r="A1510" s="2" t="str">
        <f>HYPERLINK("https://rth.dk/resources/bsgatlas/details.php?id=BSGatlas-gene-1509","BSGatlas-gene-1509")</f>
        <v>BSGatlas-gene-1509</v>
      </c>
      <c r="B1510" s="1" t="s">
        <v>1410</v>
      </c>
      <c r="C1510" s="1" t="s">
        <v>8</v>
      </c>
      <c r="D1510" s="1">
        <v>1334966</v>
      </c>
      <c r="E1510" s="1">
        <v>1338964</v>
      </c>
      <c r="F1510" s="1" t="s">
        <v>9</v>
      </c>
      <c r="G1510" s="1" t="s">
        <v>11409</v>
      </c>
    </row>
    <row r="1511" spans="1:7" ht="21" x14ac:dyDescent="0.25">
      <c r="A1511" s="2" t="str">
        <f>HYPERLINK("https://rth.dk/resources/bsgatlas/details.php?id=BSGatlas-gene-1510","BSGatlas-gene-1510")</f>
        <v>BSGatlas-gene-1510</v>
      </c>
      <c r="B1511" s="1" t="s">
        <v>1411</v>
      </c>
      <c r="C1511" s="1" t="s">
        <v>8</v>
      </c>
      <c r="D1511" s="1">
        <v>1338957</v>
      </c>
      <c r="E1511" s="1">
        <v>1339616</v>
      </c>
      <c r="F1511" s="1" t="s">
        <v>9</v>
      </c>
      <c r="G1511" s="1" t="s">
        <v>11409</v>
      </c>
    </row>
    <row r="1512" spans="1:7" ht="21" x14ac:dyDescent="0.25">
      <c r="A1512" s="2" t="str">
        <f>HYPERLINK("https://rth.dk/resources/bsgatlas/details.php?id=BSGatlas-gene-1511","BSGatlas-gene-1511")</f>
        <v>BSGatlas-gene-1511</v>
      </c>
      <c r="B1512" s="1" t="s">
        <v>1412</v>
      </c>
      <c r="C1512" s="1" t="s">
        <v>8</v>
      </c>
      <c r="D1512" s="1">
        <v>1339632</v>
      </c>
      <c r="E1512" s="1">
        <v>1340609</v>
      </c>
      <c r="F1512" s="1" t="s">
        <v>9</v>
      </c>
      <c r="G1512" s="1" t="s">
        <v>11409</v>
      </c>
    </row>
    <row r="1513" spans="1:7" ht="21" x14ac:dyDescent="0.25">
      <c r="A1513" s="2" t="str">
        <f>HYPERLINK("https://rth.dk/resources/bsgatlas/details.php?id=BSGatlas-gene-1512","BSGatlas-gene-1512")</f>
        <v>BSGatlas-gene-1512</v>
      </c>
      <c r="B1513" s="1" t="s">
        <v>1413</v>
      </c>
      <c r="C1513" s="1" t="s">
        <v>8</v>
      </c>
      <c r="D1513" s="1">
        <v>1340609</v>
      </c>
      <c r="E1513" s="1">
        <v>1340875</v>
      </c>
      <c r="F1513" s="1" t="s">
        <v>9</v>
      </c>
      <c r="G1513" s="1" t="s">
        <v>11409</v>
      </c>
    </row>
    <row r="1514" spans="1:7" ht="21" x14ac:dyDescent="0.25">
      <c r="A1514" s="2" t="str">
        <f>HYPERLINK("https://rth.dk/resources/bsgatlas/details.php?id=BSGatlas-gene-1513","BSGatlas-gene-1513")</f>
        <v>BSGatlas-gene-1513</v>
      </c>
      <c r="B1514" s="1" t="s">
        <v>1414</v>
      </c>
      <c r="C1514" s="1" t="s">
        <v>8</v>
      </c>
      <c r="D1514" s="1">
        <v>1340932</v>
      </c>
      <c r="E1514" s="1">
        <v>1341357</v>
      </c>
      <c r="F1514" s="1" t="s">
        <v>9</v>
      </c>
      <c r="G1514" s="1" t="s">
        <v>11409</v>
      </c>
    </row>
    <row r="1515" spans="1:7" ht="21" x14ac:dyDescent="0.25">
      <c r="A1515" s="2" t="str">
        <f>HYPERLINK("https://rth.dk/resources/bsgatlas/details.php?id=BSGatlas-gene-1514","BSGatlas-gene-1514")</f>
        <v>BSGatlas-gene-1514</v>
      </c>
      <c r="B1515" s="1" t="s">
        <v>1415</v>
      </c>
      <c r="C1515" s="1" t="s">
        <v>8</v>
      </c>
      <c r="D1515" s="1">
        <v>1341350</v>
      </c>
      <c r="E1515" s="1">
        <v>1342396</v>
      </c>
      <c r="F1515" s="1" t="s">
        <v>9</v>
      </c>
      <c r="G1515" s="1" t="s">
        <v>11409</v>
      </c>
    </row>
    <row r="1516" spans="1:7" ht="21" x14ac:dyDescent="0.25">
      <c r="A1516" s="2" t="str">
        <f>HYPERLINK("https://rth.dk/resources/bsgatlas/details.php?id=BSGatlas-gene-1515","BSGatlas-gene-1515")</f>
        <v>BSGatlas-gene-1515</v>
      </c>
      <c r="B1516" s="1" t="s">
        <v>1416</v>
      </c>
      <c r="C1516" s="1" t="s">
        <v>8</v>
      </c>
      <c r="D1516" s="1">
        <v>1342380</v>
      </c>
      <c r="E1516" s="1">
        <v>1342958</v>
      </c>
      <c r="F1516" s="1" t="s">
        <v>9</v>
      </c>
      <c r="G1516" s="1" t="s">
        <v>11409</v>
      </c>
    </row>
    <row r="1517" spans="1:7" ht="21" x14ac:dyDescent="0.25">
      <c r="A1517" s="2" t="str">
        <f>HYPERLINK("https://rth.dk/resources/bsgatlas/details.php?id=BSGatlas-gene-1516","BSGatlas-gene-1516")</f>
        <v>BSGatlas-gene-1516</v>
      </c>
      <c r="B1517" s="1" t="s">
        <v>1417</v>
      </c>
      <c r="C1517" s="1" t="s">
        <v>8</v>
      </c>
      <c r="D1517" s="1">
        <v>1342955</v>
      </c>
      <c r="E1517" s="1">
        <v>1343227</v>
      </c>
      <c r="F1517" s="1" t="s">
        <v>9</v>
      </c>
      <c r="G1517" s="1" t="s">
        <v>11409</v>
      </c>
    </row>
    <row r="1518" spans="1:7" ht="21" x14ac:dyDescent="0.25">
      <c r="A1518" s="2" t="str">
        <f>HYPERLINK("https://rth.dk/resources/bsgatlas/details.php?id=BSGatlas-gene-1517","BSGatlas-gene-1517")</f>
        <v>BSGatlas-gene-1517</v>
      </c>
      <c r="B1518" s="1" t="s">
        <v>1418</v>
      </c>
      <c r="C1518" s="1" t="s">
        <v>8</v>
      </c>
      <c r="D1518" s="1">
        <v>1343230</v>
      </c>
      <c r="E1518" s="1">
        <v>1345293</v>
      </c>
      <c r="F1518" s="1" t="s">
        <v>9</v>
      </c>
      <c r="G1518" s="1" t="s">
        <v>11409</v>
      </c>
    </row>
    <row r="1519" spans="1:7" ht="21" x14ac:dyDescent="0.25">
      <c r="A1519" s="2" t="str">
        <f>HYPERLINK("https://rth.dk/resources/bsgatlas/details.php?id=BSGatlas-gene-1518","BSGatlas-gene-1518")</f>
        <v>BSGatlas-gene-1518</v>
      </c>
      <c r="B1519" s="1" t="s">
        <v>1419</v>
      </c>
      <c r="C1519" s="1" t="s">
        <v>8</v>
      </c>
      <c r="D1519" s="1">
        <v>1345305</v>
      </c>
      <c r="E1519" s="1">
        <v>1345634</v>
      </c>
      <c r="F1519" s="1" t="s">
        <v>9</v>
      </c>
      <c r="G1519" s="1" t="s">
        <v>11409</v>
      </c>
    </row>
    <row r="1520" spans="1:7" ht="21" x14ac:dyDescent="0.25">
      <c r="A1520" s="2" t="str">
        <f>HYPERLINK("https://rth.dk/resources/bsgatlas/details.php?id=BSGatlas-gene-1519","BSGatlas-gene-1519")</f>
        <v>BSGatlas-gene-1519</v>
      </c>
      <c r="B1520" s="1" t="s">
        <v>1420</v>
      </c>
      <c r="C1520" s="1" t="s">
        <v>8</v>
      </c>
      <c r="D1520" s="1">
        <v>1345631</v>
      </c>
      <c r="E1520" s="1">
        <v>1345795</v>
      </c>
      <c r="F1520" s="1" t="s">
        <v>9</v>
      </c>
      <c r="G1520" s="1" t="s">
        <v>11409</v>
      </c>
    </row>
    <row r="1521" spans="1:7" ht="21" x14ac:dyDescent="0.25">
      <c r="A1521" s="2" t="str">
        <f>HYPERLINK("https://rth.dk/resources/bsgatlas/details.php?id=BSGatlas-gene-1520","BSGatlas-gene-1520")</f>
        <v>BSGatlas-gene-1520</v>
      </c>
      <c r="B1521" s="1" t="s">
        <v>1421</v>
      </c>
      <c r="C1521" s="1" t="s">
        <v>8</v>
      </c>
      <c r="D1521" s="1">
        <v>1345839</v>
      </c>
      <c r="E1521" s="1">
        <v>1346678</v>
      </c>
      <c r="F1521" s="1" t="s">
        <v>9</v>
      </c>
      <c r="G1521" s="1" t="s">
        <v>11409</v>
      </c>
    </row>
    <row r="1522" spans="1:7" ht="21" x14ac:dyDescent="0.25">
      <c r="A1522" s="2" t="str">
        <f>HYPERLINK("https://rth.dk/resources/bsgatlas/details.php?id=BSGatlas-gene-1521","BSGatlas-gene-1521")</f>
        <v>BSGatlas-gene-1521</v>
      </c>
      <c r="B1522" s="1" t="s">
        <v>1422</v>
      </c>
      <c r="C1522" s="1" t="s">
        <v>8</v>
      </c>
      <c r="D1522" s="1">
        <v>1346731</v>
      </c>
      <c r="E1522" s="1">
        <v>1347000</v>
      </c>
      <c r="F1522" s="1" t="s">
        <v>9</v>
      </c>
      <c r="G1522" s="1" t="s">
        <v>11409</v>
      </c>
    </row>
    <row r="1523" spans="1:7" ht="21" x14ac:dyDescent="0.25">
      <c r="A1523" s="2" t="str">
        <f>HYPERLINK("https://rth.dk/resources/bsgatlas/details.php?id=BSGatlas-gene-1522","BSGatlas-gene-1522")</f>
        <v>BSGatlas-gene-1522</v>
      </c>
      <c r="B1523" s="1" t="s">
        <v>1423</v>
      </c>
      <c r="C1523" s="1" t="s">
        <v>8</v>
      </c>
      <c r="D1523" s="1">
        <v>1347013</v>
      </c>
      <c r="E1523" s="1">
        <v>1347276</v>
      </c>
      <c r="F1523" s="1" t="s">
        <v>9</v>
      </c>
      <c r="G1523" s="1" t="s">
        <v>11409</v>
      </c>
    </row>
    <row r="1524" spans="1:7" ht="21" x14ac:dyDescent="0.25">
      <c r="A1524" s="2" t="str">
        <f>HYPERLINK("https://rth.dk/resources/bsgatlas/details.php?id=BSGatlas-gene-1523","BSGatlas-gene-1523")</f>
        <v>BSGatlas-gene-1523</v>
      </c>
      <c r="B1524" s="1" t="s">
        <v>1424</v>
      </c>
      <c r="C1524" s="1" t="s">
        <v>8</v>
      </c>
      <c r="D1524" s="1">
        <v>1347289</v>
      </c>
      <c r="E1524" s="1">
        <v>1348182</v>
      </c>
      <c r="F1524" s="1" t="s">
        <v>9</v>
      </c>
      <c r="G1524" s="1" t="s">
        <v>11409</v>
      </c>
    </row>
    <row r="1525" spans="1:7" ht="21" x14ac:dyDescent="0.25">
      <c r="A1525" s="2" t="str">
        <f>HYPERLINK("https://rth.dk/resources/bsgatlas/details.php?id=BSGatlas-gene-1524","BSGatlas-gene-1524")</f>
        <v>BSGatlas-gene-1524</v>
      </c>
      <c r="B1525" s="1" t="s">
        <v>1425</v>
      </c>
      <c r="C1525" s="1" t="s">
        <v>8</v>
      </c>
      <c r="D1525" s="1">
        <v>1348219</v>
      </c>
      <c r="E1525" s="1">
        <v>1348356</v>
      </c>
      <c r="F1525" s="1" t="s">
        <v>13</v>
      </c>
      <c r="G1525" s="1" t="s">
        <v>11511</v>
      </c>
    </row>
    <row r="1526" spans="1:7" ht="21" x14ac:dyDescent="0.25">
      <c r="A1526" s="2" t="str">
        <f>HYPERLINK("https://rth.dk/resources/bsgatlas/details.php?id=BSGatlas-gene-1525","BSGatlas-gene-1525")</f>
        <v>BSGatlas-gene-1525</v>
      </c>
      <c r="B1526" s="1" t="s">
        <v>1426</v>
      </c>
      <c r="C1526" s="1" t="s">
        <v>8</v>
      </c>
      <c r="D1526" s="1">
        <v>1348442</v>
      </c>
      <c r="E1526" s="1">
        <v>1348612</v>
      </c>
      <c r="F1526" s="1" t="s">
        <v>13</v>
      </c>
      <c r="G1526" s="1" t="s">
        <v>11409</v>
      </c>
    </row>
    <row r="1527" spans="1:7" ht="21" x14ac:dyDescent="0.25">
      <c r="A1527" s="2" t="str">
        <f>HYPERLINK("https://rth.dk/resources/bsgatlas/details.php?id=BSGatlas-gene-1526","BSGatlas-gene-1526")</f>
        <v>BSGatlas-gene-1526</v>
      </c>
      <c r="B1527" s="1" t="s">
        <v>1427</v>
      </c>
      <c r="C1527" s="1" t="s">
        <v>8</v>
      </c>
      <c r="D1527" s="1">
        <v>1348612</v>
      </c>
      <c r="E1527" s="1">
        <v>1349358</v>
      </c>
      <c r="F1527" s="1" t="s">
        <v>13</v>
      </c>
      <c r="G1527" s="1" t="s">
        <v>11409</v>
      </c>
    </row>
    <row r="1528" spans="1:7" ht="21" x14ac:dyDescent="0.25">
      <c r="A1528" s="2" t="str">
        <f>HYPERLINK("https://rth.dk/resources/bsgatlas/details.php?id=BSGatlas-gene-1527","BSGatlas-gene-1527")</f>
        <v>BSGatlas-gene-1527</v>
      </c>
      <c r="B1528" s="1" t="s">
        <v>1428</v>
      </c>
      <c r="C1528" s="1" t="s">
        <v>8</v>
      </c>
      <c r="D1528" s="1">
        <v>1349468</v>
      </c>
      <c r="E1528" s="1">
        <v>1350469</v>
      </c>
      <c r="F1528" s="1" t="s">
        <v>13</v>
      </c>
      <c r="G1528" s="1" t="s">
        <v>11409</v>
      </c>
    </row>
    <row r="1529" spans="1:7" ht="21" x14ac:dyDescent="0.25">
      <c r="A1529" s="2" t="str">
        <f>HYPERLINK("https://rth.dk/resources/bsgatlas/details.php?id=BSGatlas-gene-1528","BSGatlas-gene-1528")</f>
        <v>BSGatlas-gene-1528</v>
      </c>
      <c r="B1529" s="1" t="s">
        <v>1429</v>
      </c>
      <c r="C1529" s="1" t="s">
        <v>8</v>
      </c>
      <c r="D1529" s="1">
        <v>1350482</v>
      </c>
      <c r="E1529" s="1">
        <v>1351099</v>
      </c>
      <c r="F1529" s="1" t="s">
        <v>13</v>
      </c>
      <c r="G1529" s="1" t="s">
        <v>11409</v>
      </c>
    </row>
    <row r="1530" spans="1:7" ht="21" x14ac:dyDescent="0.25">
      <c r="A1530" s="2" t="str">
        <f>HYPERLINK("https://rth.dk/resources/bsgatlas/details.php?id=BSGatlas-gene-1529","BSGatlas-gene-1529")</f>
        <v>BSGatlas-gene-1529</v>
      </c>
      <c r="B1530" s="1" t="s">
        <v>1430</v>
      </c>
      <c r="C1530" s="1" t="s">
        <v>8</v>
      </c>
      <c r="D1530" s="1">
        <v>1351375</v>
      </c>
      <c r="E1530" s="1">
        <v>1352691</v>
      </c>
      <c r="F1530" s="1" t="s">
        <v>13</v>
      </c>
      <c r="G1530" s="1" t="s">
        <v>11409</v>
      </c>
    </row>
    <row r="1531" spans="1:7" ht="21" x14ac:dyDescent="0.25">
      <c r="A1531" s="2" t="str">
        <f>HYPERLINK("https://rth.dk/resources/bsgatlas/details.php?id=BSGatlas-gene-1530","BSGatlas-gene-1530")</f>
        <v>BSGatlas-gene-1530</v>
      </c>
      <c r="B1531" s="1" t="s">
        <v>1431</v>
      </c>
      <c r="C1531" s="1" t="s">
        <v>8</v>
      </c>
      <c r="D1531" s="1">
        <v>1353080</v>
      </c>
      <c r="E1531" s="1">
        <v>1354030</v>
      </c>
      <c r="F1531" s="1" t="s">
        <v>9</v>
      </c>
      <c r="G1531" s="1" t="s">
        <v>11409</v>
      </c>
    </row>
    <row r="1532" spans="1:7" ht="21" x14ac:dyDescent="0.25">
      <c r="A1532" s="2" t="str">
        <f>HYPERLINK("https://rth.dk/resources/bsgatlas/details.php?id=BSGatlas-gene-1531","BSGatlas-gene-1531")</f>
        <v>BSGatlas-gene-1531</v>
      </c>
      <c r="B1532" s="1" t="s">
        <v>318</v>
      </c>
      <c r="C1532" s="1" t="s">
        <v>8</v>
      </c>
      <c r="D1532" s="1">
        <v>1354131</v>
      </c>
      <c r="E1532" s="1">
        <v>1354277</v>
      </c>
      <c r="F1532" s="1" t="s">
        <v>9</v>
      </c>
      <c r="G1532" s="1" t="s">
        <v>11441</v>
      </c>
    </row>
    <row r="1533" spans="1:7" ht="21" x14ac:dyDescent="0.25">
      <c r="A1533" s="2" t="str">
        <f>HYPERLINK("https://rth.dk/resources/bsgatlas/details.php?id=BSGatlas-gene-1532","BSGatlas-gene-1532")</f>
        <v>BSGatlas-gene-1532</v>
      </c>
      <c r="B1533" s="1" t="s">
        <v>1432</v>
      </c>
      <c r="C1533" s="1" t="s">
        <v>8</v>
      </c>
      <c r="D1533" s="1">
        <v>1354285</v>
      </c>
      <c r="E1533" s="1">
        <v>1356435</v>
      </c>
      <c r="F1533" s="1" t="s">
        <v>9</v>
      </c>
      <c r="G1533" s="1" t="s">
        <v>11409</v>
      </c>
    </row>
    <row r="1534" spans="1:7" ht="21" x14ac:dyDescent="0.25">
      <c r="A1534" s="2" t="str">
        <f>HYPERLINK("https://rth.dk/resources/bsgatlas/details.php?id=BSGatlas-gene-1533","BSGatlas-gene-1533")</f>
        <v>BSGatlas-gene-1533</v>
      </c>
      <c r="B1534" s="1" t="s">
        <v>1433</v>
      </c>
      <c r="C1534" s="1" t="s">
        <v>8</v>
      </c>
      <c r="D1534" s="1">
        <v>1356447</v>
      </c>
      <c r="E1534" s="1">
        <v>1357418</v>
      </c>
      <c r="F1534" s="1" t="s">
        <v>9</v>
      </c>
      <c r="G1534" s="1" t="s">
        <v>11409</v>
      </c>
    </row>
    <row r="1535" spans="1:7" ht="21" x14ac:dyDescent="0.25">
      <c r="A1535" s="2" t="str">
        <f>HYPERLINK("https://rth.dk/resources/bsgatlas/details.php?id=BSGatlas-gene-1534","BSGatlas-gene-1534")</f>
        <v>BSGatlas-gene-1534</v>
      </c>
      <c r="B1535" s="1" t="s">
        <v>1434</v>
      </c>
      <c r="C1535" s="1" t="s">
        <v>12</v>
      </c>
      <c r="D1535" s="1">
        <v>1357481</v>
      </c>
      <c r="E1535" s="1">
        <v>1357833</v>
      </c>
      <c r="F1535" s="1" t="s">
        <v>13</v>
      </c>
      <c r="G1535" s="1" t="s">
        <v>11442</v>
      </c>
    </row>
    <row r="1536" spans="1:7" ht="21" x14ac:dyDescent="0.25">
      <c r="A1536" s="2" t="str">
        <f>HYPERLINK("https://rth.dk/resources/bsgatlas/details.php?id=BSGatlas-gene-1535","BSGatlas-gene-1535")</f>
        <v>BSGatlas-gene-1535</v>
      </c>
      <c r="B1536" s="1" t="s">
        <v>1435</v>
      </c>
      <c r="C1536" s="1" t="s">
        <v>8</v>
      </c>
      <c r="D1536" s="1">
        <v>1357936</v>
      </c>
      <c r="E1536" s="1">
        <v>1359285</v>
      </c>
      <c r="F1536" s="1" t="s">
        <v>13</v>
      </c>
      <c r="G1536" s="1" t="s">
        <v>11409</v>
      </c>
    </row>
    <row r="1537" spans="1:7" ht="21" x14ac:dyDescent="0.25">
      <c r="A1537" s="2" t="str">
        <f>HYPERLINK("https://rth.dk/resources/bsgatlas/details.php?id=BSGatlas-gene-1536","BSGatlas-gene-1536")</f>
        <v>BSGatlas-gene-1536</v>
      </c>
      <c r="B1537" s="1" t="s">
        <v>1436</v>
      </c>
      <c r="C1537" s="1" t="s">
        <v>8</v>
      </c>
      <c r="D1537" s="1">
        <v>1359454</v>
      </c>
      <c r="E1537" s="1">
        <v>1360272</v>
      </c>
      <c r="F1537" s="1" t="s">
        <v>9</v>
      </c>
      <c r="G1537" s="1" t="s">
        <v>11409</v>
      </c>
    </row>
    <row r="1538" spans="1:7" ht="21" x14ac:dyDescent="0.25">
      <c r="A1538" s="2" t="str">
        <f>HYPERLINK("https://rth.dk/resources/bsgatlas/details.php?id=BSGatlas-gene-1537","BSGatlas-gene-1537")</f>
        <v>BSGatlas-gene-1537</v>
      </c>
      <c r="B1538" s="1" t="s">
        <v>1437</v>
      </c>
      <c r="C1538" s="1" t="s">
        <v>8</v>
      </c>
      <c r="D1538" s="1">
        <v>1360401</v>
      </c>
      <c r="E1538" s="1">
        <v>1361225</v>
      </c>
      <c r="F1538" s="1" t="s">
        <v>9</v>
      </c>
      <c r="G1538" s="1" t="s">
        <v>11409</v>
      </c>
    </row>
    <row r="1539" spans="1:7" ht="21" x14ac:dyDescent="0.25">
      <c r="A1539" s="2" t="str">
        <f>HYPERLINK("https://rth.dk/resources/bsgatlas/details.php?id=BSGatlas-gene-1538","BSGatlas-gene-1538")</f>
        <v>BSGatlas-gene-1538</v>
      </c>
      <c r="B1539" s="1" t="s">
        <v>1438</v>
      </c>
      <c r="C1539" s="1" t="s">
        <v>8</v>
      </c>
      <c r="D1539" s="1">
        <v>1361242</v>
      </c>
      <c r="E1539" s="1">
        <v>1362168</v>
      </c>
      <c r="F1539" s="1" t="s">
        <v>9</v>
      </c>
      <c r="G1539" s="1" t="s">
        <v>11409</v>
      </c>
    </row>
    <row r="1540" spans="1:7" ht="21" x14ac:dyDescent="0.25">
      <c r="A1540" s="2" t="str">
        <f>HYPERLINK("https://rth.dk/resources/bsgatlas/details.php?id=BSGatlas-gene-1539","BSGatlas-gene-1539")</f>
        <v>BSGatlas-gene-1539</v>
      </c>
      <c r="B1540" s="1" t="s">
        <v>1439</v>
      </c>
      <c r="C1540" s="1" t="s">
        <v>8</v>
      </c>
      <c r="D1540" s="1">
        <v>1362174</v>
      </c>
      <c r="E1540" s="1">
        <v>1363136</v>
      </c>
      <c r="F1540" s="1" t="s">
        <v>9</v>
      </c>
      <c r="G1540" s="1" t="s">
        <v>11409</v>
      </c>
    </row>
    <row r="1541" spans="1:7" ht="21" x14ac:dyDescent="0.25">
      <c r="A1541" s="2" t="str">
        <f>HYPERLINK("https://rth.dk/resources/bsgatlas/details.php?id=BSGatlas-gene-1540","BSGatlas-gene-1540")</f>
        <v>BSGatlas-gene-1540</v>
      </c>
      <c r="B1541" s="1" t="s">
        <v>1440</v>
      </c>
      <c r="C1541" s="1" t="s">
        <v>8</v>
      </c>
      <c r="D1541" s="1">
        <v>1363141</v>
      </c>
      <c r="E1541" s="1">
        <v>1364148</v>
      </c>
      <c r="F1541" s="1" t="s">
        <v>9</v>
      </c>
      <c r="G1541" s="1" t="s">
        <v>11409</v>
      </c>
    </row>
    <row r="1542" spans="1:7" ht="21" x14ac:dyDescent="0.25">
      <c r="A1542" s="2" t="str">
        <f>HYPERLINK("https://rth.dk/resources/bsgatlas/details.php?id=BSGatlas-gene-1541","BSGatlas-gene-1541")</f>
        <v>BSGatlas-gene-1541</v>
      </c>
      <c r="B1542" s="1" t="s">
        <v>1441</v>
      </c>
      <c r="C1542" s="1" t="s">
        <v>8</v>
      </c>
      <c r="D1542" s="1">
        <v>1364151</v>
      </c>
      <c r="E1542" s="1">
        <v>1365800</v>
      </c>
      <c r="F1542" s="1" t="s">
        <v>9</v>
      </c>
      <c r="G1542" s="1" t="s">
        <v>11409</v>
      </c>
    </row>
    <row r="1543" spans="1:7" ht="21" x14ac:dyDescent="0.25">
      <c r="A1543" s="2" t="str">
        <f>HYPERLINK("https://rth.dk/resources/bsgatlas/details.php?id=BSGatlas-gene-1542","BSGatlas-gene-1542")</f>
        <v>BSGatlas-gene-1542</v>
      </c>
      <c r="B1543" s="1" t="s">
        <v>1442</v>
      </c>
      <c r="C1543" s="1" t="s">
        <v>8</v>
      </c>
      <c r="D1543" s="1">
        <v>1365888</v>
      </c>
      <c r="E1543" s="1">
        <v>1366847</v>
      </c>
      <c r="F1543" s="1" t="s">
        <v>9</v>
      </c>
      <c r="G1543" s="1" t="s">
        <v>11409</v>
      </c>
    </row>
    <row r="1544" spans="1:7" ht="21" x14ac:dyDescent="0.25">
      <c r="A1544" s="2" t="str">
        <f>HYPERLINK("https://rth.dk/resources/bsgatlas/details.php?id=BSGatlas-gene-1543","BSGatlas-gene-1543")</f>
        <v>BSGatlas-gene-1543</v>
      </c>
      <c r="B1544" s="1" t="s">
        <v>1443</v>
      </c>
      <c r="C1544" s="1" t="s">
        <v>8</v>
      </c>
      <c r="D1544" s="1">
        <v>1366844</v>
      </c>
      <c r="E1544" s="1">
        <v>1367944</v>
      </c>
      <c r="F1544" s="1" t="s">
        <v>9</v>
      </c>
      <c r="G1544" s="1" t="s">
        <v>11409</v>
      </c>
    </row>
    <row r="1545" spans="1:7" ht="21" x14ac:dyDescent="0.25">
      <c r="A1545" s="2" t="str">
        <f>HYPERLINK("https://rth.dk/resources/bsgatlas/details.php?id=BSGatlas-gene-1544","BSGatlas-gene-1544")</f>
        <v>BSGatlas-gene-1544</v>
      </c>
      <c r="B1545" s="1" t="s">
        <v>1444</v>
      </c>
      <c r="C1545" s="1" t="s">
        <v>8</v>
      </c>
      <c r="D1545" s="1">
        <v>1367941</v>
      </c>
      <c r="E1545" s="1">
        <v>1368831</v>
      </c>
      <c r="F1545" s="1" t="s">
        <v>9</v>
      </c>
      <c r="G1545" s="1" t="s">
        <v>11409</v>
      </c>
    </row>
    <row r="1546" spans="1:7" ht="21" x14ac:dyDescent="0.25">
      <c r="A1546" s="2" t="str">
        <f>HYPERLINK("https://rth.dk/resources/bsgatlas/details.php?id=BSGatlas-gene-1545","BSGatlas-gene-1545")</f>
        <v>BSGatlas-gene-1545</v>
      </c>
      <c r="B1546" s="1" t="s">
        <v>1445</v>
      </c>
      <c r="C1546" s="1" t="s">
        <v>8</v>
      </c>
      <c r="D1546" s="1">
        <v>1368844</v>
      </c>
      <c r="E1546" s="1">
        <v>1369833</v>
      </c>
      <c r="F1546" s="1" t="s">
        <v>9</v>
      </c>
      <c r="G1546" s="1" t="s">
        <v>11409</v>
      </c>
    </row>
    <row r="1547" spans="1:7" ht="21" x14ac:dyDescent="0.25">
      <c r="A1547" s="2" t="str">
        <f>HYPERLINK("https://rth.dk/resources/bsgatlas/details.php?id=BSGatlas-gene-1546","BSGatlas-gene-1546")</f>
        <v>BSGatlas-gene-1546</v>
      </c>
      <c r="B1547" s="1" t="s">
        <v>1446</v>
      </c>
      <c r="C1547" s="1" t="s">
        <v>8</v>
      </c>
      <c r="D1547" s="1">
        <v>1369876</v>
      </c>
      <c r="E1547" s="1">
        <v>1370925</v>
      </c>
      <c r="F1547" s="1" t="s">
        <v>13</v>
      </c>
      <c r="G1547" s="1" t="s">
        <v>11409</v>
      </c>
    </row>
    <row r="1548" spans="1:7" ht="21" x14ac:dyDescent="0.25">
      <c r="A1548" s="2" t="str">
        <f>HYPERLINK("https://rth.dk/resources/bsgatlas/details.php?id=BSGatlas-gene-1547","BSGatlas-gene-1547")</f>
        <v>BSGatlas-gene-1547</v>
      </c>
      <c r="B1548" s="1" t="s">
        <v>1447</v>
      </c>
      <c r="C1548" s="1" t="s">
        <v>8</v>
      </c>
      <c r="D1548" s="1">
        <v>1371015</v>
      </c>
      <c r="E1548" s="1">
        <v>1371875</v>
      </c>
      <c r="F1548" s="1" t="s">
        <v>13</v>
      </c>
      <c r="G1548" s="1" t="s">
        <v>11409</v>
      </c>
    </row>
    <row r="1549" spans="1:7" ht="21" x14ac:dyDescent="0.25">
      <c r="A1549" s="2" t="str">
        <f>HYPERLINK("https://rth.dk/resources/bsgatlas/details.php?id=BSGatlas-gene-1548","BSGatlas-gene-1548")</f>
        <v>BSGatlas-gene-1548</v>
      </c>
      <c r="B1549" s="1" t="s">
        <v>1448</v>
      </c>
      <c r="C1549" s="1" t="s">
        <v>8</v>
      </c>
      <c r="D1549" s="1">
        <v>1372035</v>
      </c>
      <c r="E1549" s="1">
        <v>1372553</v>
      </c>
      <c r="F1549" s="1" t="s">
        <v>9</v>
      </c>
      <c r="G1549" s="1" t="s">
        <v>11409</v>
      </c>
    </row>
    <row r="1550" spans="1:7" ht="21" x14ac:dyDescent="0.25">
      <c r="A1550" s="2" t="str">
        <f>HYPERLINK("https://rth.dk/resources/bsgatlas/details.php?id=BSGatlas-gene-1549","BSGatlas-gene-1549")</f>
        <v>BSGatlas-gene-1549</v>
      </c>
      <c r="B1550" s="1" t="s">
        <v>1449</v>
      </c>
      <c r="C1550" s="1" t="s">
        <v>8</v>
      </c>
      <c r="D1550" s="1">
        <v>1372792</v>
      </c>
      <c r="E1550" s="1">
        <v>1373991</v>
      </c>
      <c r="F1550" s="1" t="s">
        <v>9</v>
      </c>
      <c r="G1550" s="1" t="s">
        <v>11409</v>
      </c>
    </row>
    <row r="1551" spans="1:7" ht="21" x14ac:dyDescent="0.25">
      <c r="A1551" s="2" t="str">
        <f>HYPERLINK("https://rth.dk/resources/bsgatlas/details.php?id=BSGatlas-gene-1550","BSGatlas-gene-1550")</f>
        <v>BSGatlas-gene-1550</v>
      </c>
      <c r="B1551" s="1" t="s">
        <v>1451</v>
      </c>
      <c r="C1551" s="1" t="s">
        <v>8</v>
      </c>
      <c r="D1551" s="1">
        <v>1374068</v>
      </c>
      <c r="E1551" s="1">
        <v>1374292</v>
      </c>
      <c r="F1551" s="1" t="s">
        <v>13</v>
      </c>
      <c r="G1551" s="1" t="s">
        <v>11409</v>
      </c>
    </row>
    <row r="1552" spans="1:7" ht="21" x14ac:dyDescent="0.25">
      <c r="A1552" s="2" t="str">
        <f>HYPERLINK("https://rth.dk/resources/bsgatlas/details.php?id=BSGatlas-gene-1551","BSGatlas-gene-1551")</f>
        <v>BSGatlas-gene-1551</v>
      </c>
      <c r="B1552" s="1" t="s">
        <v>1450</v>
      </c>
      <c r="C1552" s="1" t="s">
        <v>8</v>
      </c>
      <c r="D1552" s="1">
        <v>1374437</v>
      </c>
      <c r="E1552" s="1">
        <v>1375168</v>
      </c>
      <c r="F1552" s="1" t="s">
        <v>9</v>
      </c>
      <c r="G1552" s="1" t="s">
        <v>11409</v>
      </c>
    </row>
    <row r="1553" spans="1:7" ht="21" x14ac:dyDescent="0.25">
      <c r="A1553" s="2" t="str">
        <f>HYPERLINK("https://rth.dk/resources/bsgatlas/details.php?id=BSGatlas-gene-1552","BSGatlas-gene-1552")</f>
        <v>BSGatlas-gene-1552</v>
      </c>
      <c r="B1553" s="1" t="s">
        <v>1452</v>
      </c>
      <c r="C1553" s="1" t="s">
        <v>8</v>
      </c>
      <c r="D1553" s="1">
        <v>1375260</v>
      </c>
      <c r="E1553" s="1">
        <v>1375787</v>
      </c>
      <c r="F1553" s="1" t="s">
        <v>9</v>
      </c>
      <c r="G1553" s="1" t="s">
        <v>11409</v>
      </c>
    </row>
    <row r="1554" spans="1:7" ht="21" x14ac:dyDescent="0.25">
      <c r="A1554" s="2" t="str">
        <f>HYPERLINK("https://rth.dk/resources/bsgatlas/details.php?id=BSGatlas-gene-1553","BSGatlas-gene-1553")</f>
        <v>BSGatlas-gene-1553</v>
      </c>
      <c r="B1554" s="1" t="s">
        <v>1453</v>
      </c>
      <c r="C1554" s="1" t="s">
        <v>8</v>
      </c>
      <c r="D1554" s="1">
        <v>1375777</v>
      </c>
      <c r="E1554" s="1">
        <v>1376295</v>
      </c>
      <c r="F1554" s="1" t="s">
        <v>9</v>
      </c>
      <c r="G1554" s="1" t="s">
        <v>11409</v>
      </c>
    </row>
    <row r="1555" spans="1:7" ht="21" x14ac:dyDescent="0.25">
      <c r="A1555" s="2" t="str">
        <f>HYPERLINK("https://rth.dk/resources/bsgatlas/details.php?id=BSGatlas-gene-1554","BSGatlas-gene-1554")</f>
        <v>BSGatlas-gene-1554</v>
      </c>
      <c r="B1555" s="1" t="s">
        <v>1456</v>
      </c>
      <c r="C1555" s="1" t="s">
        <v>34</v>
      </c>
      <c r="D1555" s="1">
        <v>1376327</v>
      </c>
      <c r="E1555" s="1">
        <v>1376439</v>
      </c>
      <c r="F1555" s="1" t="s">
        <v>9</v>
      </c>
      <c r="G1555" s="1" t="s">
        <v>11412</v>
      </c>
    </row>
    <row r="1556" spans="1:7" ht="21" x14ac:dyDescent="0.25">
      <c r="A1556" s="2" t="str">
        <f>HYPERLINK("https://rth.dk/resources/bsgatlas/details.php?id=BSGatlas-gene-1555","BSGatlas-gene-1555")</f>
        <v>BSGatlas-gene-1555</v>
      </c>
      <c r="B1556" s="1" t="s">
        <v>1454</v>
      </c>
      <c r="C1556" s="1" t="s">
        <v>8</v>
      </c>
      <c r="D1556" s="1">
        <v>1376517</v>
      </c>
      <c r="E1556" s="1">
        <v>1376855</v>
      </c>
      <c r="F1556" s="1" t="s">
        <v>9</v>
      </c>
      <c r="G1556" s="1" t="s">
        <v>11409</v>
      </c>
    </row>
    <row r="1557" spans="1:7" ht="21" x14ac:dyDescent="0.25">
      <c r="A1557" s="2" t="str">
        <f>HYPERLINK("https://rth.dk/resources/bsgatlas/details.php?id=BSGatlas-gene-1556","BSGatlas-gene-1556")</f>
        <v>BSGatlas-gene-1556</v>
      </c>
      <c r="B1557" s="1" t="s">
        <v>1455</v>
      </c>
      <c r="C1557" s="1" t="s">
        <v>8</v>
      </c>
      <c r="D1557" s="1">
        <v>1376855</v>
      </c>
      <c r="E1557" s="1">
        <v>1377172</v>
      </c>
      <c r="F1557" s="1" t="s">
        <v>9</v>
      </c>
      <c r="G1557" s="1" t="s">
        <v>11409</v>
      </c>
    </row>
    <row r="1558" spans="1:7" ht="21" x14ac:dyDescent="0.25">
      <c r="A1558" s="2" t="str">
        <f>HYPERLINK("https://rth.dk/resources/bsgatlas/details.php?id=BSGatlas-gene-1557","BSGatlas-gene-1557")</f>
        <v>BSGatlas-gene-1557</v>
      </c>
      <c r="B1558" s="1" t="s">
        <v>1457</v>
      </c>
      <c r="C1558" s="1" t="s">
        <v>8</v>
      </c>
      <c r="D1558" s="1">
        <v>1377243</v>
      </c>
      <c r="E1558" s="1">
        <v>1378145</v>
      </c>
      <c r="F1558" s="1" t="s">
        <v>9</v>
      </c>
      <c r="G1558" s="1" t="s">
        <v>11409</v>
      </c>
    </row>
    <row r="1559" spans="1:7" ht="21" x14ac:dyDescent="0.25">
      <c r="A1559" s="2" t="str">
        <f>HYPERLINK("https://rth.dk/resources/bsgatlas/details.php?id=BSGatlas-gene-1558","BSGatlas-gene-1558")</f>
        <v>BSGatlas-gene-1558</v>
      </c>
      <c r="B1559" s="1" t="s">
        <v>1460</v>
      </c>
      <c r="C1559" s="1" t="s">
        <v>34</v>
      </c>
      <c r="D1559" s="1">
        <v>1378233</v>
      </c>
      <c r="E1559" s="1">
        <v>1378443</v>
      </c>
      <c r="F1559" s="1" t="s">
        <v>9</v>
      </c>
      <c r="G1559" s="1" t="s">
        <v>11512</v>
      </c>
    </row>
    <row r="1560" spans="1:7" ht="21" x14ac:dyDescent="0.25">
      <c r="A1560" s="2" t="str">
        <f>HYPERLINK("https://rth.dk/resources/bsgatlas/details.php?id=BSGatlas-gene-1559","BSGatlas-gene-1559")</f>
        <v>BSGatlas-gene-1559</v>
      </c>
      <c r="B1560" s="1" t="s">
        <v>1458</v>
      </c>
      <c r="C1560" s="1" t="s">
        <v>8</v>
      </c>
      <c r="D1560" s="1">
        <v>1378496</v>
      </c>
      <c r="E1560" s="1">
        <v>1379593</v>
      </c>
      <c r="F1560" s="1" t="s">
        <v>9</v>
      </c>
      <c r="G1560" s="1" t="s">
        <v>11409</v>
      </c>
    </row>
    <row r="1561" spans="1:7" ht="21" x14ac:dyDescent="0.25">
      <c r="A1561" s="2" t="str">
        <f>HYPERLINK("https://rth.dk/resources/bsgatlas/details.php?id=BSGatlas-gene-1560","BSGatlas-gene-1560")</f>
        <v>BSGatlas-gene-1560</v>
      </c>
      <c r="B1561" s="1" t="s">
        <v>1459</v>
      </c>
      <c r="C1561" s="1" t="s">
        <v>8</v>
      </c>
      <c r="D1561" s="1">
        <v>1379605</v>
      </c>
      <c r="E1561" s="1">
        <v>1380852</v>
      </c>
      <c r="F1561" s="1" t="s">
        <v>9</v>
      </c>
      <c r="G1561" s="1" t="s">
        <v>11409</v>
      </c>
    </row>
    <row r="1562" spans="1:7" ht="21" x14ac:dyDescent="0.25">
      <c r="A1562" s="2" t="str">
        <f>HYPERLINK("https://rth.dk/resources/bsgatlas/details.php?id=BSGatlas-gene-1561","BSGatlas-gene-1561")</f>
        <v>BSGatlas-gene-1561</v>
      </c>
      <c r="B1562" s="1" t="s">
        <v>1461</v>
      </c>
      <c r="C1562" s="1" t="s">
        <v>8</v>
      </c>
      <c r="D1562" s="1">
        <v>1380978</v>
      </c>
      <c r="E1562" s="1">
        <v>1381403</v>
      </c>
      <c r="F1562" s="1" t="s">
        <v>9</v>
      </c>
      <c r="G1562" s="1" t="s">
        <v>11409</v>
      </c>
    </row>
    <row r="1563" spans="1:7" ht="21" x14ac:dyDescent="0.25">
      <c r="A1563" s="2" t="str">
        <f>HYPERLINK("https://rth.dk/resources/bsgatlas/details.php?id=BSGatlas-gene-1562","BSGatlas-gene-1562")</f>
        <v>BSGatlas-gene-1562</v>
      </c>
      <c r="B1563" s="1" t="s">
        <v>1462</v>
      </c>
      <c r="C1563" s="1" t="s">
        <v>8</v>
      </c>
      <c r="D1563" s="1">
        <v>1381434</v>
      </c>
      <c r="E1563" s="1">
        <v>1381877</v>
      </c>
      <c r="F1563" s="1" t="s">
        <v>13</v>
      </c>
      <c r="G1563" s="1" t="s">
        <v>11409</v>
      </c>
    </row>
    <row r="1564" spans="1:7" ht="21" x14ac:dyDescent="0.25">
      <c r="A1564" s="2" t="str">
        <f>HYPERLINK("https://rth.dk/resources/bsgatlas/details.php?id=BSGatlas-gene-1563","BSGatlas-gene-1563")</f>
        <v>BSGatlas-gene-1563</v>
      </c>
      <c r="B1564" s="1" t="s">
        <v>1463</v>
      </c>
      <c r="C1564" s="1" t="s">
        <v>8</v>
      </c>
      <c r="D1564" s="1">
        <v>1382020</v>
      </c>
      <c r="E1564" s="1">
        <v>1382430</v>
      </c>
      <c r="F1564" s="1" t="s">
        <v>9</v>
      </c>
      <c r="G1564" s="1" t="s">
        <v>11409</v>
      </c>
    </row>
    <row r="1565" spans="1:7" ht="21" x14ac:dyDescent="0.25">
      <c r="A1565" s="2" t="str">
        <f>HYPERLINK("https://rth.dk/resources/bsgatlas/details.php?id=BSGatlas-gene-1564","BSGatlas-gene-1564")</f>
        <v>BSGatlas-gene-1564</v>
      </c>
      <c r="B1565" s="1" t="s">
        <v>1464</v>
      </c>
      <c r="C1565" s="1" t="s">
        <v>8</v>
      </c>
      <c r="D1565" s="1">
        <v>1382457</v>
      </c>
      <c r="E1565" s="1">
        <v>1382627</v>
      </c>
      <c r="F1565" s="1" t="s">
        <v>9</v>
      </c>
      <c r="G1565" s="1" t="s">
        <v>11409</v>
      </c>
    </row>
    <row r="1566" spans="1:7" ht="21" x14ac:dyDescent="0.25">
      <c r="A1566" s="2" t="str">
        <f>HYPERLINK("https://rth.dk/resources/bsgatlas/details.php?id=BSGatlas-gene-1565","BSGatlas-gene-1565")</f>
        <v>BSGatlas-gene-1565</v>
      </c>
      <c r="B1566" s="1" t="s">
        <v>1465</v>
      </c>
      <c r="C1566" s="1" t="s">
        <v>8</v>
      </c>
      <c r="D1566" s="1">
        <v>1382677</v>
      </c>
      <c r="E1566" s="1">
        <v>1383147</v>
      </c>
      <c r="F1566" s="1" t="s">
        <v>13</v>
      </c>
      <c r="G1566" s="1" t="s">
        <v>11409</v>
      </c>
    </row>
    <row r="1567" spans="1:7" ht="21" x14ac:dyDescent="0.25">
      <c r="A1567" s="2" t="str">
        <f>HYPERLINK("https://rth.dk/resources/bsgatlas/details.php?id=BSGatlas-gene-1566","BSGatlas-gene-1566")</f>
        <v>BSGatlas-gene-1566</v>
      </c>
      <c r="B1567" s="1" t="s">
        <v>1466</v>
      </c>
      <c r="C1567" s="1" t="s">
        <v>8</v>
      </c>
      <c r="D1567" s="1">
        <v>1383320</v>
      </c>
      <c r="E1567" s="1">
        <v>1385608</v>
      </c>
      <c r="F1567" s="1" t="s">
        <v>13</v>
      </c>
      <c r="G1567" s="1" t="s">
        <v>11409</v>
      </c>
    </row>
    <row r="1568" spans="1:7" ht="21" x14ac:dyDescent="0.25">
      <c r="A1568" s="2" t="str">
        <f>HYPERLINK("https://rth.dk/resources/bsgatlas/details.php?id=BSGatlas-gene-1567","BSGatlas-gene-1567")</f>
        <v>BSGatlas-gene-1567</v>
      </c>
      <c r="B1568" s="1" t="s">
        <v>1467</v>
      </c>
      <c r="C1568" s="1" t="s">
        <v>34</v>
      </c>
      <c r="D1568" s="1">
        <v>1385735</v>
      </c>
      <c r="E1568" s="1">
        <v>1385891</v>
      </c>
      <c r="F1568" s="1" t="s">
        <v>13</v>
      </c>
      <c r="G1568" s="1" t="s">
        <v>11412</v>
      </c>
    </row>
    <row r="1569" spans="1:7" ht="21" x14ac:dyDescent="0.25">
      <c r="A1569" s="2" t="str">
        <f>HYPERLINK("https://rth.dk/resources/bsgatlas/details.php?id=BSGatlas-gene-1568","BSGatlas-gene-1568")</f>
        <v>BSGatlas-gene-1568</v>
      </c>
      <c r="B1569" s="1" t="s">
        <v>1468</v>
      </c>
      <c r="C1569" s="1" t="s">
        <v>8</v>
      </c>
      <c r="D1569" s="1">
        <v>1386024</v>
      </c>
      <c r="E1569" s="1">
        <v>1386983</v>
      </c>
      <c r="F1569" s="1" t="s">
        <v>13</v>
      </c>
      <c r="G1569" s="1" t="s">
        <v>11409</v>
      </c>
    </row>
    <row r="1570" spans="1:7" ht="21" x14ac:dyDescent="0.25">
      <c r="A1570" s="2" t="str">
        <f>HYPERLINK("https://rth.dk/resources/bsgatlas/details.php?id=BSGatlas-gene-1569","BSGatlas-gene-1569")</f>
        <v>BSGatlas-gene-1569</v>
      </c>
      <c r="B1570" s="1" t="s">
        <v>1469</v>
      </c>
      <c r="C1570" s="1" t="s">
        <v>8</v>
      </c>
      <c r="D1570" s="1">
        <v>1387206</v>
      </c>
      <c r="E1570" s="1">
        <v>1388039</v>
      </c>
      <c r="F1570" s="1" t="s">
        <v>9</v>
      </c>
      <c r="G1570" s="1" t="s">
        <v>11409</v>
      </c>
    </row>
    <row r="1571" spans="1:7" ht="21" x14ac:dyDescent="0.25">
      <c r="A1571" s="2" t="str">
        <f>HYPERLINK("https://rth.dk/resources/bsgatlas/details.php?id=BSGatlas-gene-1570","BSGatlas-gene-1570")</f>
        <v>BSGatlas-gene-1570</v>
      </c>
      <c r="B1571" s="1" t="s">
        <v>1470</v>
      </c>
      <c r="C1571" s="1" t="s">
        <v>8</v>
      </c>
      <c r="D1571" s="1">
        <v>1388070</v>
      </c>
      <c r="E1571" s="1">
        <v>1388834</v>
      </c>
      <c r="F1571" s="1" t="s">
        <v>13</v>
      </c>
      <c r="G1571" s="1" t="s">
        <v>11409</v>
      </c>
    </row>
    <row r="1572" spans="1:7" ht="21" x14ac:dyDescent="0.25">
      <c r="A1572" s="2" t="str">
        <f>HYPERLINK("https://rth.dk/resources/bsgatlas/details.php?id=BSGatlas-gene-1571","BSGatlas-gene-1571")</f>
        <v>BSGatlas-gene-1571</v>
      </c>
      <c r="B1572" s="1" t="s">
        <v>1471</v>
      </c>
      <c r="C1572" s="1" t="s">
        <v>8</v>
      </c>
      <c r="D1572" s="1">
        <v>1388809</v>
      </c>
      <c r="E1572" s="1">
        <v>1390452</v>
      </c>
      <c r="F1572" s="1" t="s">
        <v>13</v>
      </c>
      <c r="G1572" s="1" t="s">
        <v>11409</v>
      </c>
    </row>
    <row r="1573" spans="1:7" ht="21" x14ac:dyDescent="0.25">
      <c r="A1573" s="2" t="str">
        <f>HYPERLINK("https://rth.dk/resources/bsgatlas/details.php?id=BSGatlas-gene-1572","BSGatlas-gene-1572")</f>
        <v>BSGatlas-gene-1572</v>
      </c>
      <c r="B1573" s="1" t="s">
        <v>1472</v>
      </c>
      <c r="C1573" s="1" t="s">
        <v>8</v>
      </c>
      <c r="D1573" s="1">
        <v>1390439</v>
      </c>
      <c r="E1573" s="1">
        <v>1391038</v>
      </c>
      <c r="F1573" s="1" t="s">
        <v>13</v>
      </c>
      <c r="G1573" s="1" t="s">
        <v>11409</v>
      </c>
    </row>
    <row r="1574" spans="1:7" ht="21" x14ac:dyDescent="0.25">
      <c r="A1574" s="2" t="str">
        <f>HYPERLINK("https://rth.dk/resources/bsgatlas/details.php?id=BSGatlas-gene-1573","BSGatlas-gene-1573")</f>
        <v>BSGatlas-gene-1573</v>
      </c>
      <c r="B1574" s="1" t="s">
        <v>1473</v>
      </c>
      <c r="C1574" s="1" t="s">
        <v>8</v>
      </c>
      <c r="D1574" s="1">
        <v>1391040</v>
      </c>
      <c r="E1574" s="1">
        <v>1391642</v>
      </c>
      <c r="F1574" s="1" t="s">
        <v>13</v>
      </c>
      <c r="G1574" s="1" t="s">
        <v>11409</v>
      </c>
    </row>
    <row r="1575" spans="1:7" ht="21" x14ac:dyDescent="0.25">
      <c r="A1575" s="2" t="str">
        <f>HYPERLINK("https://rth.dk/resources/bsgatlas/details.php?id=BSGatlas-gene-1574","BSGatlas-gene-1574")</f>
        <v>BSGatlas-gene-1574</v>
      </c>
      <c r="B1575" s="1" t="s">
        <v>1474</v>
      </c>
      <c r="C1575" s="1" t="s">
        <v>34</v>
      </c>
      <c r="D1575" s="1">
        <v>1391738</v>
      </c>
      <c r="E1575" s="1">
        <v>1391851</v>
      </c>
      <c r="F1575" s="1" t="s">
        <v>13</v>
      </c>
      <c r="G1575" s="1" t="s">
        <v>11412</v>
      </c>
    </row>
    <row r="1576" spans="1:7" ht="21" x14ac:dyDescent="0.25">
      <c r="A1576" s="2" t="str">
        <f>HYPERLINK("https://rth.dk/resources/bsgatlas/details.php?id=BSGatlas-gene-1575","BSGatlas-gene-1575")</f>
        <v>BSGatlas-gene-1575</v>
      </c>
      <c r="B1576" s="1" t="s">
        <v>1475</v>
      </c>
      <c r="C1576" s="1" t="s">
        <v>8</v>
      </c>
      <c r="D1576" s="1">
        <v>1391953</v>
      </c>
      <c r="E1576" s="1">
        <v>1392639</v>
      </c>
      <c r="F1576" s="1" t="s">
        <v>9</v>
      </c>
      <c r="G1576" s="1" t="s">
        <v>11409</v>
      </c>
    </row>
    <row r="1577" spans="1:7" ht="21" x14ac:dyDescent="0.25">
      <c r="A1577" s="2" t="str">
        <f>HYPERLINK("https://rth.dk/resources/bsgatlas/details.php?id=BSGatlas-gene-1576","BSGatlas-gene-1576")</f>
        <v>BSGatlas-gene-1576</v>
      </c>
      <c r="B1577" s="1" t="s">
        <v>1476</v>
      </c>
      <c r="C1577" s="1" t="s">
        <v>8</v>
      </c>
      <c r="D1577" s="1">
        <v>1392643</v>
      </c>
      <c r="E1577" s="1">
        <v>1394007</v>
      </c>
      <c r="F1577" s="1" t="s">
        <v>9</v>
      </c>
      <c r="G1577" s="1" t="s">
        <v>11409</v>
      </c>
    </row>
    <row r="1578" spans="1:7" ht="21" x14ac:dyDescent="0.25">
      <c r="A1578" s="2" t="str">
        <f>HYPERLINK("https://rth.dk/resources/bsgatlas/details.php?id=BSGatlas-gene-1577","BSGatlas-gene-1577")</f>
        <v>BSGatlas-gene-1577</v>
      </c>
      <c r="B1578" s="1" t="s">
        <v>1477</v>
      </c>
      <c r="C1578" s="1" t="s">
        <v>8</v>
      </c>
      <c r="D1578" s="1">
        <v>1394004</v>
      </c>
      <c r="E1578" s="1">
        <v>1394684</v>
      </c>
      <c r="F1578" s="1" t="s">
        <v>9</v>
      </c>
      <c r="G1578" s="1" t="s">
        <v>11409</v>
      </c>
    </row>
    <row r="1579" spans="1:7" ht="21" x14ac:dyDescent="0.25">
      <c r="A1579" s="2" t="str">
        <f>HYPERLINK("https://rth.dk/resources/bsgatlas/details.php?id=BSGatlas-gene-1578","BSGatlas-gene-1578")</f>
        <v>BSGatlas-gene-1578</v>
      </c>
      <c r="B1579" s="1" t="s">
        <v>1478</v>
      </c>
      <c r="C1579" s="1" t="s">
        <v>8</v>
      </c>
      <c r="D1579" s="1">
        <v>1394776</v>
      </c>
      <c r="E1579" s="1">
        <v>1395288</v>
      </c>
      <c r="F1579" s="1" t="s">
        <v>9</v>
      </c>
      <c r="G1579" s="1" t="s">
        <v>11409</v>
      </c>
    </row>
    <row r="1580" spans="1:7" ht="21" x14ac:dyDescent="0.25">
      <c r="A1580" s="2" t="str">
        <f>HYPERLINK("https://rth.dk/resources/bsgatlas/details.php?id=BSGatlas-gene-1579","BSGatlas-gene-1579")</f>
        <v>BSGatlas-gene-1579</v>
      </c>
      <c r="B1580" s="1" t="s">
        <v>1479</v>
      </c>
      <c r="C1580" s="1" t="s">
        <v>8</v>
      </c>
      <c r="D1580" s="1">
        <v>1395371</v>
      </c>
      <c r="E1580" s="1">
        <v>1395508</v>
      </c>
      <c r="F1580" s="1" t="s">
        <v>9</v>
      </c>
      <c r="G1580" s="1" t="s">
        <v>11409</v>
      </c>
    </row>
    <row r="1581" spans="1:7" ht="21" x14ac:dyDescent="0.25">
      <c r="A1581" s="2" t="str">
        <f>HYPERLINK("https://rth.dk/resources/bsgatlas/details.php?id=BSGatlas-gene-1580","BSGatlas-gene-1580")</f>
        <v>BSGatlas-gene-1580</v>
      </c>
      <c r="B1581" s="1" t="s">
        <v>1481</v>
      </c>
      <c r="C1581" s="1" t="s">
        <v>34</v>
      </c>
      <c r="D1581" s="1">
        <v>1395615</v>
      </c>
      <c r="E1581" s="1">
        <v>1395781</v>
      </c>
      <c r="F1581" s="1" t="s">
        <v>9</v>
      </c>
      <c r="G1581" s="1" t="s">
        <v>11464</v>
      </c>
    </row>
    <row r="1582" spans="1:7" ht="21" x14ac:dyDescent="0.25">
      <c r="A1582" s="2" t="str">
        <f>HYPERLINK("https://rth.dk/resources/bsgatlas/details.php?id=BSGatlas-gene-1581","BSGatlas-gene-1581")</f>
        <v>BSGatlas-gene-1581</v>
      </c>
      <c r="B1582" s="1" t="s">
        <v>1480</v>
      </c>
      <c r="C1582" s="1" t="s">
        <v>8</v>
      </c>
      <c r="D1582" s="1">
        <v>1396013</v>
      </c>
      <c r="E1582" s="1">
        <v>1397368</v>
      </c>
      <c r="F1582" s="1" t="s">
        <v>9</v>
      </c>
      <c r="G1582" s="1" t="s">
        <v>11409</v>
      </c>
    </row>
    <row r="1583" spans="1:7" ht="21" x14ac:dyDescent="0.25">
      <c r="A1583" s="2" t="str">
        <f>HYPERLINK("https://rth.dk/resources/bsgatlas/details.php?id=BSGatlas-gene-1582","BSGatlas-gene-1582")</f>
        <v>BSGatlas-gene-1582</v>
      </c>
      <c r="B1583" s="1" t="s">
        <v>1482</v>
      </c>
      <c r="C1583" s="1" t="s">
        <v>8</v>
      </c>
      <c r="D1583" s="1">
        <v>1397411</v>
      </c>
      <c r="E1583" s="1">
        <v>1397743</v>
      </c>
      <c r="F1583" s="1" t="s">
        <v>13</v>
      </c>
      <c r="G1583" s="1" t="s">
        <v>11409</v>
      </c>
    </row>
    <row r="1584" spans="1:7" ht="21" x14ac:dyDescent="0.25">
      <c r="A1584" s="2" t="str">
        <f>HYPERLINK("https://rth.dk/resources/bsgatlas/details.php?id=BSGatlas-gene-1583","BSGatlas-gene-1583")</f>
        <v>BSGatlas-gene-1583</v>
      </c>
      <c r="B1584" s="1" t="s">
        <v>1483</v>
      </c>
      <c r="C1584" s="1" t="s">
        <v>8</v>
      </c>
      <c r="D1584" s="1">
        <v>1397938</v>
      </c>
      <c r="E1584" s="1">
        <v>1398093</v>
      </c>
      <c r="F1584" s="1" t="s">
        <v>9</v>
      </c>
      <c r="G1584" s="1" t="s">
        <v>11409</v>
      </c>
    </row>
    <row r="1585" spans="1:7" ht="21" x14ac:dyDescent="0.25">
      <c r="A1585" s="2" t="str">
        <f>HYPERLINK("https://rth.dk/resources/bsgatlas/details.php?id=BSGatlas-gene-1584","BSGatlas-gene-1584")</f>
        <v>BSGatlas-gene-1584</v>
      </c>
      <c r="B1585" s="1" t="s">
        <v>1484</v>
      </c>
      <c r="C1585" s="1" t="s">
        <v>8</v>
      </c>
      <c r="D1585" s="1">
        <v>1398181</v>
      </c>
      <c r="E1585" s="1">
        <v>1398363</v>
      </c>
      <c r="F1585" s="1" t="s">
        <v>9</v>
      </c>
      <c r="G1585" s="1" t="s">
        <v>11409</v>
      </c>
    </row>
    <row r="1586" spans="1:7" ht="21" x14ac:dyDescent="0.25">
      <c r="A1586" s="2" t="str">
        <f>HYPERLINK("https://rth.dk/resources/bsgatlas/details.php?id=BSGatlas-gene-1585","BSGatlas-gene-1585")</f>
        <v>BSGatlas-gene-1585</v>
      </c>
      <c r="B1586" s="1" t="s">
        <v>1485</v>
      </c>
      <c r="C1586" s="1" t="s">
        <v>8</v>
      </c>
      <c r="D1586" s="1">
        <v>1398496</v>
      </c>
      <c r="E1586" s="1">
        <v>1398960</v>
      </c>
      <c r="F1586" s="1" t="s">
        <v>9</v>
      </c>
      <c r="G1586" s="1" t="s">
        <v>11409</v>
      </c>
    </row>
    <row r="1587" spans="1:7" ht="21" x14ac:dyDescent="0.25">
      <c r="A1587" s="2" t="str">
        <f>HYPERLINK("https://rth.dk/resources/bsgatlas/details.php?id=BSGatlas-gene-1586","BSGatlas-gene-1586")</f>
        <v>BSGatlas-gene-1586</v>
      </c>
      <c r="B1587" s="1" t="s">
        <v>1486</v>
      </c>
      <c r="C1587" s="1" t="s">
        <v>8</v>
      </c>
      <c r="D1587" s="1">
        <v>1398975</v>
      </c>
      <c r="E1587" s="1">
        <v>1400096</v>
      </c>
      <c r="F1587" s="1" t="s">
        <v>13</v>
      </c>
      <c r="G1587" s="1" t="s">
        <v>11409</v>
      </c>
    </row>
    <row r="1588" spans="1:7" ht="21" x14ac:dyDescent="0.25">
      <c r="A1588" s="2" t="str">
        <f>HYPERLINK("https://rth.dk/resources/bsgatlas/details.php?id=BSGatlas-gene-1587","BSGatlas-gene-1587")</f>
        <v>BSGatlas-gene-1587</v>
      </c>
      <c r="B1588" s="1" t="s">
        <v>1487</v>
      </c>
      <c r="C1588" s="1" t="s">
        <v>8</v>
      </c>
      <c r="D1588" s="1">
        <v>1400188</v>
      </c>
      <c r="E1588" s="1">
        <v>1400739</v>
      </c>
      <c r="F1588" s="1" t="s">
        <v>9</v>
      </c>
      <c r="G1588" s="1" t="s">
        <v>11409</v>
      </c>
    </row>
    <row r="1589" spans="1:7" ht="21" x14ac:dyDescent="0.25">
      <c r="A1589" s="2" t="str">
        <f>HYPERLINK("https://rth.dk/resources/bsgatlas/details.php?id=BSGatlas-gene-1588","BSGatlas-gene-1588")</f>
        <v>BSGatlas-gene-1588</v>
      </c>
      <c r="B1589" s="1" t="s">
        <v>1488</v>
      </c>
      <c r="C1589" s="1" t="s">
        <v>8</v>
      </c>
      <c r="D1589" s="1">
        <v>1400767</v>
      </c>
      <c r="E1589" s="1">
        <v>1401579</v>
      </c>
      <c r="F1589" s="1" t="s">
        <v>13</v>
      </c>
      <c r="G1589" s="1" t="s">
        <v>11409</v>
      </c>
    </row>
    <row r="1590" spans="1:7" ht="21" x14ac:dyDescent="0.25">
      <c r="A1590" s="2" t="str">
        <f>HYPERLINK("https://rth.dk/resources/bsgatlas/details.php?id=BSGatlas-gene-1589","BSGatlas-gene-1589")</f>
        <v>BSGatlas-gene-1589</v>
      </c>
      <c r="B1590" s="1" t="s">
        <v>1489</v>
      </c>
      <c r="C1590" s="1" t="s">
        <v>8</v>
      </c>
      <c r="D1590" s="1">
        <v>1401772</v>
      </c>
      <c r="E1590" s="1">
        <v>1403466</v>
      </c>
      <c r="F1590" s="1" t="s">
        <v>9</v>
      </c>
      <c r="G1590" s="1" t="s">
        <v>11409</v>
      </c>
    </row>
    <row r="1591" spans="1:7" ht="21" x14ac:dyDescent="0.25">
      <c r="A1591" s="2" t="str">
        <f>HYPERLINK("https://rth.dk/resources/bsgatlas/details.php?id=BSGatlas-gene-1590","BSGatlas-gene-1590")</f>
        <v>BSGatlas-gene-1590</v>
      </c>
      <c r="B1591" s="1" t="s">
        <v>1490</v>
      </c>
      <c r="C1591" s="1" t="s">
        <v>8</v>
      </c>
      <c r="D1591" s="1">
        <v>1403479</v>
      </c>
      <c r="E1591" s="1">
        <v>1404492</v>
      </c>
      <c r="F1591" s="1" t="s">
        <v>9</v>
      </c>
      <c r="G1591" s="1" t="s">
        <v>11409</v>
      </c>
    </row>
    <row r="1592" spans="1:7" ht="21" x14ac:dyDescent="0.25">
      <c r="A1592" s="2" t="str">
        <f>HYPERLINK("https://rth.dk/resources/bsgatlas/details.php?id=BSGatlas-gene-1591","BSGatlas-gene-1591")</f>
        <v>BSGatlas-gene-1591</v>
      </c>
      <c r="B1592" s="1" t="s">
        <v>1491</v>
      </c>
      <c r="C1592" s="1" t="s">
        <v>8</v>
      </c>
      <c r="D1592" s="1">
        <v>1404518</v>
      </c>
      <c r="E1592" s="1">
        <v>1406353</v>
      </c>
      <c r="F1592" s="1" t="s">
        <v>13</v>
      </c>
      <c r="G1592" s="1" t="s">
        <v>11409</v>
      </c>
    </row>
    <row r="1593" spans="1:7" ht="21" x14ac:dyDescent="0.25">
      <c r="A1593" s="2" t="str">
        <f>HYPERLINK("https://rth.dk/resources/bsgatlas/details.php?id=BSGatlas-gene-1592","BSGatlas-gene-1592")</f>
        <v>BSGatlas-gene-1592</v>
      </c>
      <c r="B1593" s="1" t="s">
        <v>1492</v>
      </c>
      <c r="C1593" s="1" t="s">
        <v>8</v>
      </c>
      <c r="D1593" s="1">
        <v>1406357</v>
      </c>
      <c r="E1593" s="1">
        <v>1407292</v>
      </c>
      <c r="F1593" s="1" t="s">
        <v>13</v>
      </c>
      <c r="G1593" s="1" t="s">
        <v>11409</v>
      </c>
    </row>
    <row r="1594" spans="1:7" ht="21" x14ac:dyDescent="0.25">
      <c r="A1594" s="2" t="str">
        <f>HYPERLINK("https://rth.dk/resources/bsgatlas/details.php?id=BSGatlas-gene-1593","BSGatlas-gene-1593")</f>
        <v>BSGatlas-gene-1593</v>
      </c>
      <c r="B1594" s="1" t="s">
        <v>1493</v>
      </c>
      <c r="C1594" s="1" t="s">
        <v>8</v>
      </c>
      <c r="D1594" s="1">
        <v>1407329</v>
      </c>
      <c r="E1594" s="1">
        <v>1409731</v>
      </c>
      <c r="F1594" s="1" t="s">
        <v>13</v>
      </c>
      <c r="G1594" s="1" t="s">
        <v>11409</v>
      </c>
    </row>
    <row r="1595" spans="1:7" ht="21" x14ac:dyDescent="0.25">
      <c r="A1595" s="2" t="str">
        <f>HYPERLINK("https://rth.dk/resources/bsgatlas/details.php?id=BSGatlas-gene-1594","BSGatlas-gene-1594")</f>
        <v>BSGatlas-gene-1594</v>
      </c>
      <c r="B1595" s="1" t="s">
        <v>1494</v>
      </c>
      <c r="C1595" s="1" t="s">
        <v>8</v>
      </c>
      <c r="D1595" s="1">
        <v>1409912</v>
      </c>
      <c r="E1595" s="1">
        <v>1410577</v>
      </c>
      <c r="F1595" s="1" t="s">
        <v>9</v>
      </c>
      <c r="G1595" s="1" t="s">
        <v>11409</v>
      </c>
    </row>
    <row r="1596" spans="1:7" ht="21" x14ac:dyDescent="0.25">
      <c r="A1596" s="2" t="str">
        <f>HYPERLINK("https://rth.dk/resources/bsgatlas/details.php?id=BSGatlas-gene-1595","BSGatlas-gene-1595")</f>
        <v>BSGatlas-gene-1595</v>
      </c>
      <c r="B1596" s="1" t="s">
        <v>1495</v>
      </c>
      <c r="C1596" s="1" t="s">
        <v>34</v>
      </c>
      <c r="D1596" s="1">
        <v>1410633</v>
      </c>
      <c r="E1596" s="1">
        <v>1410766</v>
      </c>
      <c r="F1596" s="1" t="s">
        <v>9</v>
      </c>
      <c r="G1596" s="1" t="s">
        <v>11513</v>
      </c>
    </row>
    <row r="1597" spans="1:7" ht="21" x14ac:dyDescent="0.25">
      <c r="A1597" s="2" t="str">
        <f>HYPERLINK("https://rth.dk/resources/bsgatlas/details.php?id=BSGatlas-gene-1596","BSGatlas-gene-1596")</f>
        <v>BSGatlas-gene-1596</v>
      </c>
      <c r="B1597" s="1" t="s">
        <v>1496</v>
      </c>
      <c r="C1597" s="1" t="s">
        <v>8</v>
      </c>
      <c r="D1597" s="1">
        <v>1410654</v>
      </c>
      <c r="E1597" s="1">
        <v>1411628</v>
      </c>
      <c r="F1597" s="1" t="s">
        <v>9</v>
      </c>
      <c r="G1597" s="1" t="s">
        <v>11409</v>
      </c>
    </row>
    <row r="1598" spans="1:7" ht="21" x14ac:dyDescent="0.25">
      <c r="A1598" s="2" t="str">
        <f>HYPERLINK("https://rth.dk/resources/bsgatlas/details.php?id=BSGatlas-gene-1597","BSGatlas-gene-1597")</f>
        <v>BSGatlas-gene-1597</v>
      </c>
      <c r="B1598" s="1" t="s">
        <v>1497</v>
      </c>
      <c r="C1598" s="1" t="s">
        <v>8</v>
      </c>
      <c r="D1598" s="1">
        <v>1411892</v>
      </c>
      <c r="E1598" s="1">
        <v>1412647</v>
      </c>
      <c r="F1598" s="1" t="s">
        <v>9</v>
      </c>
      <c r="G1598" s="1" t="s">
        <v>11409</v>
      </c>
    </row>
    <row r="1599" spans="1:7" ht="21" x14ac:dyDescent="0.25">
      <c r="A1599" s="2" t="str">
        <f>HYPERLINK("https://rth.dk/resources/bsgatlas/details.php?id=BSGatlas-gene-1598","BSGatlas-gene-1598")</f>
        <v>BSGatlas-gene-1598</v>
      </c>
      <c r="B1599" s="1" t="s">
        <v>1498</v>
      </c>
      <c r="C1599" s="1" t="s">
        <v>8</v>
      </c>
      <c r="D1599" s="1">
        <v>1412644</v>
      </c>
      <c r="E1599" s="1">
        <v>1413789</v>
      </c>
      <c r="F1599" s="1" t="s">
        <v>9</v>
      </c>
      <c r="G1599" s="1" t="s">
        <v>11409</v>
      </c>
    </row>
    <row r="1600" spans="1:7" ht="21" x14ac:dyDescent="0.25">
      <c r="A1600" s="2" t="str">
        <f>HYPERLINK("https://rth.dk/resources/bsgatlas/details.php?id=BSGatlas-gene-1599","BSGatlas-gene-1599")</f>
        <v>BSGatlas-gene-1599</v>
      </c>
      <c r="B1600" s="1" t="s">
        <v>1499</v>
      </c>
      <c r="C1600" s="1" t="s">
        <v>8</v>
      </c>
      <c r="D1600" s="1">
        <v>1413800</v>
      </c>
      <c r="E1600" s="1">
        <v>1413994</v>
      </c>
      <c r="F1600" s="1" t="s">
        <v>13</v>
      </c>
      <c r="G1600" s="1" t="s">
        <v>11409</v>
      </c>
    </row>
    <row r="1601" spans="1:7" ht="21" x14ac:dyDescent="0.25">
      <c r="A1601" s="2" t="str">
        <f>HYPERLINK("https://rth.dk/resources/bsgatlas/details.php?id=BSGatlas-gene-1600","BSGatlas-gene-1600")</f>
        <v>BSGatlas-gene-1600</v>
      </c>
      <c r="B1601" s="1" t="s">
        <v>1500</v>
      </c>
      <c r="C1601" s="1" t="s">
        <v>8</v>
      </c>
      <c r="D1601" s="1">
        <v>1414125</v>
      </c>
      <c r="E1601" s="1">
        <v>1414826</v>
      </c>
      <c r="F1601" s="1" t="s">
        <v>13</v>
      </c>
      <c r="G1601" s="1" t="s">
        <v>11409</v>
      </c>
    </row>
    <row r="1602" spans="1:7" ht="21" x14ac:dyDescent="0.25">
      <c r="A1602" s="2" t="str">
        <f>HYPERLINK("https://rth.dk/resources/bsgatlas/details.php?id=BSGatlas-gene-1601","BSGatlas-gene-1601")</f>
        <v>BSGatlas-gene-1601</v>
      </c>
      <c r="B1602" s="1" t="s">
        <v>1501</v>
      </c>
      <c r="C1602" s="1" t="s">
        <v>8</v>
      </c>
      <c r="D1602" s="1">
        <v>1414997</v>
      </c>
      <c r="E1602" s="1">
        <v>1415893</v>
      </c>
      <c r="F1602" s="1" t="s">
        <v>9</v>
      </c>
      <c r="G1602" s="1" t="s">
        <v>11409</v>
      </c>
    </row>
    <row r="1603" spans="1:7" ht="21" x14ac:dyDescent="0.25">
      <c r="A1603" s="2" t="str">
        <f>HYPERLINK("https://rth.dk/resources/bsgatlas/details.php?id=BSGatlas-gene-1602","BSGatlas-gene-1602")</f>
        <v>BSGatlas-gene-1602</v>
      </c>
      <c r="B1603" s="1" t="s">
        <v>1502</v>
      </c>
      <c r="C1603" s="1" t="s">
        <v>8</v>
      </c>
      <c r="D1603" s="1">
        <v>1416067</v>
      </c>
      <c r="E1603" s="1">
        <v>1417416</v>
      </c>
      <c r="F1603" s="1" t="s">
        <v>9</v>
      </c>
      <c r="G1603" s="1" t="s">
        <v>11409</v>
      </c>
    </row>
    <row r="1604" spans="1:7" ht="21" x14ac:dyDescent="0.25">
      <c r="A1604" s="2" t="str">
        <f>HYPERLINK("https://rth.dk/resources/bsgatlas/details.php?id=BSGatlas-gene-1603","BSGatlas-gene-1603")</f>
        <v>BSGatlas-gene-1603</v>
      </c>
      <c r="B1604" s="1" t="s">
        <v>1503</v>
      </c>
      <c r="C1604" s="1" t="s">
        <v>8</v>
      </c>
      <c r="D1604" s="1">
        <v>1417561</v>
      </c>
      <c r="E1604" s="1">
        <v>1417716</v>
      </c>
      <c r="F1604" s="1" t="s">
        <v>9</v>
      </c>
      <c r="G1604" s="1" t="s">
        <v>11409</v>
      </c>
    </row>
    <row r="1605" spans="1:7" ht="21" x14ac:dyDescent="0.25">
      <c r="A1605" s="2" t="str">
        <f>HYPERLINK("https://rth.dk/resources/bsgatlas/details.php?id=BSGatlas-gene-1604","BSGatlas-gene-1604")</f>
        <v>BSGatlas-gene-1604</v>
      </c>
      <c r="B1605" s="1" t="s">
        <v>1504</v>
      </c>
      <c r="C1605" s="1" t="s">
        <v>8</v>
      </c>
      <c r="D1605" s="1">
        <v>1417719</v>
      </c>
      <c r="E1605" s="1">
        <v>1417895</v>
      </c>
      <c r="F1605" s="1" t="s">
        <v>9</v>
      </c>
      <c r="G1605" s="1" t="s">
        <v>11409</v>
      </c>
    </row>
    <row r="1606" spans="1:7" ht="21" x14ac:dyDescent="0.25">
      <c r="A1606" s="2" t="str">
        <f>HYPERLINK("https://rth.dk/resources/bsgatlas/details.php?id=BSGatlas-gene-1605","BSGatlas-gene-1605")</f>
        <v>BSGatlas-gene-1605</v>
      </c>
      <c r="B1606" s="1" t="s">
        <v>1505</v>
      </c>
      <c r="C1606" s="1" t="s">
        <v>8</v>
      </c>
      <c r="D1606" s="1">
        <v>1417938</v>
      </c>
      <c r="E1606" s="1">
        <v>1418960</v>
      </c>
      <c r="F1606" s="1" t="s">
        <v>13</v>
      </c>
      <c r="G1606" s="1" t="s">
        <v>11409</v>
      </c>
    </row>
    <row r="1607" spans="1:7" ht="21" x14ac:dyDescent="0.25">
      <c r="A1607" s="2" t="str">
        <f>HYPERLINK("https://rth.dk/resources/bsgatlas/details.php?id=BSGatlas-gene-1606","BSGatlas-gene-1606")</f>
        <v>BSGatlas-gene-1606</v>
      </c>
      <c r="B1607" s="1" t="s">
        <v>1506</v>
      </c>
      <c r="C1607" s="1" t="s">
        <v>8</v>
      </c>
      <c r="D1607" s="1">
        <v>1419213</v>
      </c>
      <c r="E1607" s="1">
        <v>1421429</v>
      </c>
      <c r="F1607" s="1" t="s">
        <v>9</v>
      </c>
      <c r="G1607" s="1" t="s">
        <v>11409</v>
      </c>
    </row>
    <row r="1608" spans="1:7" ht="21" x14ac:dyDescent="0.25">
      <c r="A1608" s="2" t="str">
        <f>HYPERLINK("https://rth.dk/resources/bsgatlas/details.php?id=BSGatlas-gene-1607","BSGatlas-gene-1607")</f>
        <v>BSGatlas-gene-1607</v>
      </c>
      <c r="B1608" s="1" t="s">
        <v>1507</v>
      </c>
      <c r="C1608" s="1" t="s">
        <v>8</v>
      </c>
      <c r="D1608" s="1">
        <v>1421426</v>
      </c>
      <c r="E1608" s="1">
        <v>1421923</v>
      </c>
      <c r="F1608" s="1" t="s">
        <v>9</v>
      </c>
      <c r="G1608" s="1" t="s">
        <v>11409</v>
      </c>
    </row>
    <row r="1609" spans="1:7" ht="21" x14ac:dyDescent="0.25">
      <c r="A1609" s="2" t="str">
        <f>HYPERLINK("https://rth.dk/resources/bsgatlas/details.php?id=BSGatlas-gene-1608","BSGatlas-gene-1608")</f>
        <v>BSGatlas-gene-1608</v>
      </c>
      <c r="B1609" s="1" t="s">
        <v>318</v>
      </c>
      <c r="C1609" s="1" t="s">
        <v>8</v>
      </c>
      <c r="D1609" s="1">
        <v>1422013</v>
      </c>
      <c r="E1609" s="1">
        <v>1422138</v>
      </c>
      <c r="F1609" s="1" t="s">
        <v>9</v>
      </c>
      <c r="G1609" s="1" t="s">
        <v>11441</v>
      </c>
    </row>
    <row r="1610" spans="1:7" ht="21" x14ac:dyDescent="0.25">
      <c r="A1610" s="2" t="str">
        <f>HYPERLINK("https://rth.dk/resources/bsgatlas/details.php?id=BSGatlas-gene-1609","BSGatlas-gene-1609")</f>
        <v>BSGatlas-gene-1609</v>
      </c>
      <c r="B1610" s="1" t="s">
        <v>1508</v>
      </c>
      <c r="C1610" s="1" t="s">
        <v>8</v>
      </c>
      <c r="D1610" s="1">
        <v>1422172</v>
      </c>
      <c r="E1610" s="1">
        <v>1423233</v>
      </c>
      <c r="F1610" s="1" t="s">
        <v>13</v>
      </c>
      <c r="G1610" s="1" t="s">
        <v>11409</v>
      </c>
    </row>
    <row r="1611" spans="1:7" ht="21" x14ac:dyDescent="0.25">
      <c r="A1611" s="2" t="str">
        <f>HYPERLINK("https://rth.dk/resources/bsgatlas/details.php?id=BSGatlas-gene-1610","BSGatlas-gene-1610")</f>
        <v>BSGatlas-gene-1610</v>
      </c>
      <c r="B1611" s="1" t="s">
        <v>1509</v>
      </c>
      <c r="C1611" s="1" t="s">
        <v>8</v>
      </c>
      <c r="D1611" s="1">
        <v>1423241</v>
      </c>
      <c r="E1611" s="1">
        <v>1424434</v>
      </c>
      <c r="F1611" s="1" t="s">
        <v>13</v>
      </c>
      <c r="G1611" s="1" t="s">
        <v>11409</v>
      </c>
    </row>
    <row r="1612" spans="1:7" ht="21" x14ac:dyDescent="0.25">
      <c r="A1612" s="2" t="str">
        <f>HYPERLINK("https://rth.dk/resources/bsgatlas/details.php?id=BSGatlas-gene-1611","BSGatlas-gene-1611")</f>
        <v>BSGatlas-gene-1611</v>
      </c>
      <c r="B1612" s="1" t="s">
        <v>1510</v>
      </c>
      <c r="C1612" s="1" t="s">
        <v>34</v>
      </c>
      <c r="D1612" s="1">
        <v>1424526</v>
      </c>
      <c r="E1612" s="1">
        <v>1424683</v>
      </c>
      <c r="F1612" s="1" t="s">
        <v>13</v>
      </c>
      <c r="G1612" s="1" t="s">
        <v>11412</v>
      </c>
    </row>
    <row r="1613" spans="1:7" ht="21" x14ac:dyDescent="0.25">
      <c r="A1613" s="2" t="str">
        <f>HYPERLINK("https://rth.dk/resources/bsgatlas/details.php?id=BSGatlas-gene-1612","BSGatlas-gene-1612")</f>
        <v>BSGatlas-gene-1612</v>
      </c>
      <c r="B1613" s="1" t="s">
        <v>1511</v>
      </c>
      <c r="C1613" s="1" t="s">
        <v>8</v>
      </c>
      <c r="D1613" s="1">
        <v>1424767</v>
      </c>
      <c r="E1613" s="1">
        <v>1425546</v>
      </c>
      <c r="F1613" s="1" t="s">
        <v>13</v>
      </c>
      <c r="G1613" s="1" t="s">
        <v>11409</v>
      </c>
    </row>
    <row r="1614" spans="1:7" ht="21" x14ac:dyDescent="0.25">
      <c r="A1614" s="2" t="str">
        <f>HYPERLINK("https://rth.dk/resources/bsgatlas/details.php?id=BSGatlas-gene-1613","BSGatlas-gene-1613")</f>
        <v>BSGatlas-gene-1613</v>
      </c>
      <c r="B1614" s="1" t="s">
        <v>1512</v>
      </c>
      <c r="C1614" s="1" t="s">
        <v>8</v>
      </c>
      <c r="D1614" s="1">
        <v>1425641</v>
      </c>
      <c r="E1614" s="1">
        <v>1426837</v>
      </c>
      <c r="F1614" s="1" t="s">
        <v>9</v>
      </c>
      <c r="G1614" s="1" t="s">
        <v>11409</v>
      </c>
    </row>
    <row r="1615" spans="1:7" ht="21" x14ac:dyDescent="0.25">
      <c r="A1615" s="2" t="str">
        <f>HYPERLINK("https://rth.dk/resources/bsgatlas/details.php?id=BSGatlas-gene-1614","BSGatlas-gene-1614")</f>
        <v>BSGatlas-gene-1614</v>
      </c>
      <c r="B1615" s="1" t="s">
        <v>1517</v>
      </c>
      <c r="C1615" s="1" t="s">
        <v>34</v>
      </c>
      <c r="D1615" s="1">
        <v>1426875</v>
      </c>
      <c r="E1615" s="1">
        <v>1426976</v>
      </c>
      <c r="F1615" s="1" t="s">
        <v>9</v>
      </c>
      <c r="G1615" s="1" t="s">
        <v>11412</v>
      </c>
    </row>
    <row r="1616" spans="1:7" ht="21" x14ac:dyDescent="0.25">
      <c r="A1616" s="2" t="str">
        <f>HYPERLINK("https://rth.dk/resources/bsgatlas/details.php?id=BSGatlas-gene-1615","BSGatlas-gene-1615")</f>
        <v>BSGatlas-gene-1615</v>
      </c>
      <c r="B1616" s="1" t="s">
        <v>1513</v>
      </c>
      <c r="C1616" s="1" t="s">
        <v>8</v>
      </c>
      <c r="D1616" s="1">
        <v>1427061</v>
      </c>
      <c r="E1616" s="1">
        <v>1428278</v>
      </c>
      <c r="F1616" s="1" t="s">
        <v>9</v>
      </c>
      <c r="G1616" s="1" t="s">
        <v>11409</v>
      </c>
    </row>
    <row r="1617" spans="1:7" ht="21" x14ac:dyDescent="0.25">
      <c r="A1617" s="2" t="str">
        <f>HYPERLINK("https://rth.dk/resources/bsgatlas/details.php?id=BSGatlas-gene-1616","BSGatlas-gene-1616")</f>
        <v>BSGatlas-gene-1616</v>
      </c>
      <c r="B1617" s="1" t="s">
        <v>1514</v>
      </c>
      <c r="C1617" s="1" t="s">
        <v>8</v>
      </c>
      <c r="D1617" s="1">
        <v>1428275</v>
      </c>
      <c r="E1617" s="1">
        <v>1428982</v>
      </c>
      <c r="F1617" s="1" t="s">
        <v>9</v>
      </c>
      <c r="G1617" s="1" t="s">
        <v>11409</v>
      </c>
    </row>
    <row r="1618" spans="1:7" ht="21" x14ac:dyDescent="0.25">
      <c r="A1618" s="2" t="str">
        <f>HYPERLINK("https://rth.dk/resources/bsgatlas/details.php?id=BSGatlas-gene-1617","BSGatlas-gene-1617")</f>
        <v>BSGatlas-gene-1617</v>
      </c>
      <c r="B1618" s="1" t="s">
        <v>1515</v>
      </c>
      <c r="C1618" s="1" t="s">
        <v>8</v>
      </c>
      <c r="D1618" s="1">
        <v>1428940</v>
      </c>
      <c r="E1618" s="1">
        <v>1429569</v>
      </c>
      <c r="F1618" s="1" t="s">
        <v>9</v>
      </c>
      <c r="G1618" s="1" t="s">
        <v>11409</v>
      </c>
    </row>
    <row r="1619" spans="1:7" ht="21" x14ac:dyDescent="0.25">
      <c r="A1619" s="2" t="str">
        <f>HYPERLINK("https://rth.dk/resources/bsgatlas/details.php?id=BSGatlas-gene-1618","BSGatlas-gene-1618")</f>
        <v>BSGatlas-gene-1618</v>
      </c>
      <c r="B1619" s="1" t="s">
        <v>1516</v>
      </c>
      <c r="C1619" s="1" t="s">
        <v>8</v>
      </c>
      <c r="D1619" s="1">
        <v>1429584</v>
      </c>
      <c r="E1619" s="1">
        <v>1430120</v>
      </c>
      <c r="F1619" s="1" t="s">
        <v>9</v>
      </c>
      <c r="G1619" s="1" t="s">
        <v>11409</v>
      </c>
    </row>
    <row r="1620" spans="1:7" ht="21" x14ac:dyDescent="0.25">
      <c r="A1620" s="2" t="str">
        <f>HYPERLINK("https://rth.dk/resources/bsgatlas/details.php?id=BSGatlas-gene-1619","BSGatlas-gene-1619")</f>
        <v>BSGatlas-gene-1619</v>
      </c>
      <c r="B1620" s="1" t="s">
        <v>1518</v>
      </c>
      <c r="C1620" s="1" t="s">
        <v>8</v>
      </c>
      <c r="D1620" s="1">
        <v>1430161</v>
      </c>
      <c r="E1620" s="1">
        <v>1430481</v>
      </c>
      <c r="F1620" s="1" t="s">
        <v>13</v>
      </c>
      <c r="G1620" s="1" t="s">
        <v>11409</v>
      </c>
    </row>
    <row r="1621" spans="1:7" ht="21" x14ac:dyDescent="0.25">
      <c r="A1621" s="2" t="str">
        <f>HYPERLINK("https://rth.dk/resources/bsgatlas/details.php?id=BSGatlas-gene-1620","BSGatlas-gene-1620")</f>
        <v>BSGatlas-gene-1620</v>
      </c>
      <c r="B1621" s="1" t="s">
        <v>1519</v>
      </c>
      <c r="C1621" s="1" t="s">
        <v>8</v>
      </c>
      <c r="D1621" s="1">
        <v>1430684</v>
      </c>
      <c r="E1621" s="1">
        <v>1430941</v>
      </c>
      <c r="F1621" s="1" t="s">
        <v>9</v>
      </c>
      <c r="G1621" s="1" t="s">
        <v>11409</v>
      </c>
    </row>
    <row r="1622" spans="1:7" ht="21" x14ac:dyDescent="0.25">
      <c r="A1622" s="2" t="str">
        <f>HYPERLINK("https://rth.dk/resources/bsgatlas/details.php?id=BSGatlas-gene-1621","BSGatlas-gene-1621")</f>
        <v>BSGatlas-gene-1621</v>
      </c>
      <c r="B1622" s="1" t="s">
        <v>1521</v>
      </c>
      <c r="C1622" s="1" t="s">
        <v>8</v>
      </c>
      <c r="D1622" s="1">
        <v>1431027</v>
      </c>
      <c r="E1622" s="1">
        <v>1431458</v>
      </c>
      <c r="F1622" s="1" t="s">
        <v>9</v>
      </c>
      <c r="G1622" s="1" t="s">
        <v>11409</v>
      </c>
    </row>
    <row r="1623" spans="1:7" ht="21" x14ac:dyDescent="0.25">
      <c r="A1623" s="2" t="str">
        <f>HYPERLINK("https://rth.dk/resources/bsgatlas/details.php?id=BSGatlas-gene-1622","BSGatlas-gene-1622")</f>
        <v>BSGatlas-gene-1622</v>
      </c>
      <c r="B1623" s="1" t="s">
        <v>1520</v>
      </c>
      <c r="C1623" s="1" t="s">
        <v>8</v>
      </c>
      <c r="D1623" s="1">
        <v>1431486</v>
      </c>
      <c r="E1623" s="1">
        <v>1433006</v>
      </c>
      <c r="F1623" s="1" t="s">
        <v>13</v>
      </c>
      <c r="G1623" s="1" t="s">
        <v>11409</v>
      </c>
    </row>
    <row r="1624" spans="1:7" ht="21" x14ac:dyDescent="0.25">
      <c r="A1624" s="2" t="str">
        <f>HYPERLINK("https://rth.dk/resources/bsgatlas/details.php?id=BSGatlas-gene-1623","BSGatlas-gene-1623")</f>
        <v>BSGatlas-gene-1623</v>
      </c>
      <c r="B1624" s="1" t="s">
        <v>1522</v>
      </c>
      <c r="C1624" s="1" t="s">
        <v>8</v>
      </c>
      <c r="D1624" s="1">
        <v>1433199</v>
      </c>
      <c r="E1624" s="1">
        <v>1433636</v>
      </c>
      <c r="F1624" s="1" t="s">
        <v>9</v>
      </c>
      <c r="G1624" s="1" t="s">
        <v>11409</v>
      </c>
    </row>
    <row r="1625" spans="1:7" ht="21" x14ac:dyDescent="0.25">
      <c r="A1625" s="2" t="str">
        <f>HYPERLINK("https://rth.dk/resources/bsgatlas/details.php?id=BSGatlas-gene-1624","BSGatlas-gene-1624")</f>
        <v>BSGatlas-gene-1624</v>
      </c>
      <c r="B1625" s="1" t="s">
        <v>1523</v>
      </c>
      <c r="C1625" s="1" t="s">
        <v>8</v>
      </c>
      <c r="D1625" s="1">
        <v>1433676</v>
      </c>
      <c r="E1625" s="1">
        <v>1434461</v>
      </c>
      <c r="F1625" s="1" t="s">
        <v>13</v>
      </c>
      <c r="G1625" s="1" t="s">
        <v>11409</v>
      </c>
    </row>
    <row r="1626" spans="1:7" ht="21" x14ac:dyDescent="0.25">
      <c r="A1626" s="2" t="str">
        <f>HYPERLINK("https://rth.dk/resources/bsgatlas/details.php?id=BSGatlas-gene-1625","BSGatlas-gene-1625")</f>
        <v>BSGatlas-gene-1625</v>
      </c>
      <c r="B1626" s="1" t="s">
        <v>1524</v>
      </c>
      <c r="C1626" s="1" t="s">
        <v>8</v>
      </c>
      <c r="D1626" s="1">
        <v>1434433</v>
      </c>
      <c r="E1626" s="1">
        <v>1435245</v>
      </c>
      <c r="F1626" s="1" t="s">
        <v>13</v>
      </c>
      <c r="G1626" s="1" t="s">
        <v>11409</v>
      </c>
    </row>
    <row r="1627" spans="1:7" ht="21" x14ac:dyDescent="0.25">
      <c r="A1627" s="2" t="str">
        <f>HYPERLINK("https://rth.dk/resources/bsgatlas/details.php?id=BSGatlas-gene-1626","BSGatlas-gene-1626")</f>
        <v>BSGatlas-gene-1626</v>
      </c>
      <c r="B1627" s="1" t="s">
        <v>1525</v>
      </c>
      <c r="C1627" s="1" t="s">
        <v>8</v>
      </c>
      <c r="D1627" s="1">
        <v>1435628</v>
      </c>
      <c r="E1627" s="1">
        <v>1437727</v>
      </c>
      <c r="F1627" s="1" t="s">
        <v>13</v>
      </c>
      <c r="G1627" s="1" t="s">
        <v>11409</v>
      </c>
    </row>
    <row r="1628" spans="1:7" ht="21" x14ac:dyDescent="0.25">
      <c r="A1628" s="2" t="str">
        <f>HYPERLINK("https://rth.dk/resources/bsgatlas/details.php?id=BSGatlas-gene-1627","BSGatlas-gene-1627")</f>
        <v>BSGatlas-gene-1627</v>
      </c>
      <c r="B1628" s="1" t="s">
        <v>1526</v>
      </c>
      <c r="C1628" s="1" t="s">
        <v>8</v>
      </c>
      <c r="D1628" s="1">
        <v>1438092</v>
      </c>
      <c r="E1628" s="1">
        <v>1439135</v>
      </c>
      <c r="F1628" s="1" t="s">
        <v>9</v>
      </c>
      <c r="G1628" s="1" t="s">
        <v>11409</v>
      </c>
    </row>
    <row r="1629" spans="1:7" ht="21" x14ac:dyDescent="0.25">
      <c r="A1629" s="2" t="str">
        <f>HYPERLINK("https://rth.dk/resources/bsgatlas/details.php?id=BSGatlas-gene-1628","BSGatlas-gene-1628")</f>
        <v>BSGatlas-gene-1628</v>
      </c>
      <c r="B1629" s="1" t="s">
        <v>1531</v>
      </c>
      <c r="C1629" s="1" t="s">
        <v>34</v>
      </c>
      <c r="D1629" s="1">
        <v>1439274</v>
      </c>
      <c r="E1629" s="1">
        <v>1439318</v>
      </c>
      <c r="F1629" s="1" t="s">
        <v>9</v>
      </c>
      <c r="G1629" s="1" t="s">
        <v>11514</v>
      </c>
    </row>
    <row r="1630" spans="1:7" ht="21" x14ac:dyDescent="0.25">
      <c r="A1630" s="2" t="str">
        <f>HYPERLINK("https://rth.dk/resources/bsgatlas/details.php?id=BSGatlas-gene-1629","BSGatlas-gene-1629")</f>
        <v>BSGatlas-gene-1629</v>
      </c>
      <c r="B1630" s="1" t="s">
        <v>1527</v>
      </c>
      <c r="C1630" s="1" t="s">
        <v>8</v>
      </c>
      <c r="D1630" s="1">
        <v>1439448</v>
      </c>
      <c r="E1630" s="1">
        <v>1440107</v>
      </c>
      <c r="F1630" s="1" t="s">
        <v>9</v>
      </c>
      <c r="G1630" s="1" t="s">
        <v>11409</v>
      </c>
    </row>
    <row r="1631" spans="1:7" ht="21" x14ac:dyDescent="0.25">
      <c r="A1631" s="2" t="str">
        <f>HYPERLINK("https://rth.dk/resources/bsgatlas/details.php?id=BSGatlas-gene-1630","BSGatlas-gene-1630")</f>
        <v>BSGatlas-gene-1630</v>
      </c>
      <c r="B1631" s="1" t="s">
        <v>1528</v>
      </c>
      <c r="C1631" s="1" t="s">
        <v>8</v>
      </c>
      <c r="D1631" s="1">
        <v>1440100</v>
      </c>
      <c r="E1631" s="1">
        <v>1440549</v>
      </c>
      <c r="F1631" s="1" t="s">
        <v>9</v>
      </c>
      <c r="G1631" s="1" t="s">
        <v>11409</v>
      </c>
    </row>
    <row r="1632" spans="1:7" ht="21" x14ac:dyDescent="0.25">
      <c r="A1632" s="2" t="str">
        <f>HYPERLINK("https://rth.dk/resources/bsgatlas/details.php?id=BSGatlas-gene-1631","BSGatlas-gene-1631")</f>
        <v>BSGatlas-gene-1631</v>
      </c>
      <c r="B1632" s="1" t="s">
        <v>1529</v>
      </c>
      <c r="C1632" s="1" t="s">
        <v>8</v>
      </c>
      <c r="D1632" s="1">
        <v>1440542</v>
      </c>
      <c r="E1632" s="1">
        <v>1441273</v>
      </c>
      <c r="F1632" s="1" t="s">
        <v>9</v>
      </c>
      <c r="G1632" s="1" t="s">
        <v>11409</v>
      </c>
    </row>
    <row r="1633" spans="1:7" ht="21" x14ac:dyDescent="0.25">
      <c r="A1633" s="2" t="str">
        <f>HYPERLINK("https://rth.dk/resources/bsgatlas/details.php?id=BSGatlas-gene-1632","BSGatlas-gene-1632")</f>
        <v>BSGatlas-gene-1632</v>
      </c>
      <c r="B1633" s="1" t="s">
        <v>1530</v>
      </c>
      <c r="C1633" s="1" t="s">
        <v>8</v>
      </c>
      <c r="D1633" s="1">
        <v>1441291</v>
      </c>
      <c r="E1633" s="1">
        <v>1441788</v>
      </c>
      <c r="F1633" s="1" t="s">
        <v>9</v>
      </c>
      <c r="G1633" s="1" t="s">
        <v>11409</v>
      </c>
    </row>
    <row r="1634" spans="1:7" ht="21" x14ac:dyDescent="0.25">
      <c r="A1634" s="2" t="str">
        <f>HYPERLINK("https://rth.dk/resources/bsgatlas/details.php?id=BSGatlas-gene-1633","BSGatlas-gene-1633")</f>
        <v>BSGatlas-gene-1633</v>
      </c>
      <c r="B1634" s="1" t="s">
        <v>1532</v>
      </c>
      <c r="C1634" s="1" t="s">
        <v>8</v>
      </c>
      <c r="D1634" s="1">
        <v>1442347</v>
      </c>
      <c r="E1634" s="1">
        <v>1442703</v>
      </c>
      <c r="F1634" s="1" t="s">
        <v>13</v>
      </c>
      <c r="G1634" s="1" t="s">
        <v>11409</v>
      </c>
    </row>
    <row r="1635" spans="1:7" ht="21" x14ac:dyDescent="0.25">
      <c r="A1635" s="2" t="str">
        <f>HYPERLINK("https://rth.dk/resources/bsgatlas/details.php?id=BSGatlas-gene-1634","BSGatlas-gene-1634")</f>
        <v>BSGatlas-gene-1634</v>
      </c>
      <c r="B1635" s="1" t="s">
        <v>1533</v>
      </c>
      <c r="C1635" s="1" t="s">
        <v>8</v>
      </c>
      <c r="D1635" s="1">
        <v>1442872</v>
      </c>
      <c r="E1635" s="1">
        <v>1443618</v>
      </c>
      <c r="F1635" s="1" t="s">
        <v>9</v>
      </c>
      <c r="G1635" s="1" t="s">
        <v>11409</v>
      </c>
    </row>
    <row r="1636" spans="1:7" ht="21" x14ac:dyDescent="0.25">
      <c r="A1636" s="2" t="str">
        <f>HYPERLINK("https://rth.dk/resources/bsgatlas/details.php?id=BSGatlas-gene-1635","BSGatlas-gene-1635")</f>
        <v>BSGatlas-gene-1635</v>
      </c>
      <c r="B1636" s="1" t="s">
        <v>1534</v>
      </c>
      <c r="C1636" s="1" t="s">
        <v>8</v>
      </c>
      <c r="D1636" s="1">
        <v>1444099</v>
      </c>
      <c r="E1636" s="1">
        <v>1445298</v>
      </c>
      <c r="F1636" s="1" t="s">
        <v>9</v>
      </c>
      <c r="G1636" s="1" t="s">
        <v>11409</v>
      </c>
    </row>
    <row r="1637" spans="1:7" ht="21" x14ac:dyDescent="0.25">
      <c r="A1637" s="2" t="str">
        <f>HYPERLINK("https://rth.dk/resources/bsgatlas/details.php?id=BSGatlas-gene-1636","BSGatlas-gene-1636")</f>
        <v>BSGatlas-gene-1636</v>
      </c>
      <c r="B1637" s="1" t="s">
        <v>1535</v>
      </c>
      <c r="C1637" s="1" t="s">
        <v>8</v>
      </c>
      <c r="D1637" s="1">
        <v>1445314</v>
      </c>
      <c r="E1637" s="1">
        <v>1445541</v>
      </c>
      <c r="F1637" s="1" t="s">
        <v>9</v>
      </c>
      <c r="G1637" s="1" t="s">
        <v>11409</v>
      </c>
    </row>
    <row r="1638" spans="1:7" ht="21" x14ac:dyDescent="0.25">
      <c r="A1638" s="2" t="str">
        <f>HYPERLINK("https://rth.dk/resources/bsgatlas/details.php?id=BSGatlas-gene-1637","BSGatlas-gene-1637")</f>
        <v>BSGatlas-gene-1637</v>
      </c>
      <c r="B1638" s="1" t="s">
        <v>1536</v>
      </c>
      <c r="C1638" s="1" t="s">
        <v>276</v>
      </c>
      <c r="D1638" s="1">
        <v>1445638</v>
      </c>
      <c r="E1638" s="1">
        <v>1446336</v>
      </c>
      <c r="F1638" s="1" t="s">
        <v>9</v>
      </c>
      <c r="G1638" s="1" t="s">
        <v>11409</v>
      </c>
    </row>
    <row r="1639" spans="1:7" ht="21" x14ac:dyDescent="0.25">
      <c r="A1639" s="2" t="str">
        <f>HYPERLINK("https://rth.dk/resources/bsgatlas/details.php?id=BSGatlas-gene-1638","BSGatlas-gene-1638")</f>
        <v>BSGatlas-gene-1638</v>
      </c>
      <c r="B1639" s="1" t="s">
        <v>1537</v>
      </c>
      <c r="C1639" s="1" t="s">
        <v>12</v>
      </c>
      <c r="D1639" s="1">
        <v>1446289</v>
      </c>
      <c r="E1639" s="1">
        <v>1447115</v>
      </c>
      <c r="F1639" s="1" t="s">
        <v>13</v>
      </c>
      <c r="G1639" s="1" t="s">
        <v>11406</v>
      </c>
    </row>
    <row r="1640" spans="1:7" ht="21" x14ac:dyDescent="0.25">
      <c r="A1640" s="2" t="str">
        <f>HYPERLINK("https://rth.dk/resources/bsgatlas/details.php?id=BSGatlas-gene-1639","BSGatlas-gene-1639")</f>
        <v>BSGatlas-gene-1639</v>
      </c>
      <c r="B1640" s="1" t="s">
        <v>11515</v>
      </c>
      <c r="C1640" s="1" t="s">
        <v>276</v>
      </c>
      <c r="D1640" s="1">
        <v>1446317</v>
      </c>
      <c r="E1640" s="1">
        <v>1446568</v>
      </c>
      <c r="F1640" s="1" t="s">
        <v>9</v>
      </c>
      <c r="G1640" s="1" t="s">
        <v>11409</v>
      </c>
    </row>
    <row r="1641" spans="1:7" ht="21" x14ac:dyDescent="0.25">
      <c r="A1641" s="2" t="str">
        <f>HYPERLINK("https://rth.dk/resources/bsgatlas/details.php?id=BSGatlas-gene-1640","BSGatlas-gene-1640")</f>
        <v>BSGatlas-gene-1640</v>
      </c>
      <c r="B1641" s="1" t="s">
        <v>1538</v>
      </c>
      <c r="C1641" s="1" t="s">
        <v>12</v>
      </c>
      <c r="D1641" s="1">
        <v>1446806</v>
      </c>
      <c r="E1641" s="1">
        <v>1447046</v>
      </c>
      <c r="F1641" s="1" t="s">
        <v>9</v>
      </c>
      <c r="G1641" s="1" t="s">
        <v>11442</v>
      </c>
    </row>
    <row r="1642" spans="1:7" ht="21" x14ac:dyDescent="0.25">
      <c r="A1642" s="2" t="str">
        <f>HYPERLINK("https://rth.dk/resources/bsgatlas/details.php?id=BSGatlas-gene-1641","BSGatlas-gene-1641")</f>
        <v>BSGatlas-gene-1641</v>
      </c>
      <c r="B1642" s="1" t="s">
        <v>1539</v>
      </c>
      <c r="C1642" s="1" t="s">
        <v>8</v>
      </c>
      <c r="D1642" s="1">
        <v>1447251</v>
      </c>
      <c r="E1642" s="1">
        <v>1447541</v>
      </c>
      <c r="F1642" s="1" t="s">
        <v>9</v>
      </c>
      <c r="G1642" s="1" t="s">
        <v>11409</v>
      </c>
    </row>
    <row r="1643" spans="1:7" ht="21" x14ac:dyDescent="0.25">
      <c r="A1643" s="2" t="str">
        <f>HYPERLINK("https://rth.dk/resources/bsgatlas/details.php?id=BSGatlas-gene-1642","BSGatlas-gene-1642")</f>
        <v>BSGatlas-gene-1642</v>
      </c>
      <c r="B1643" s="1" t="s">
        <v>1540</v>
      </c>
      <c r="C1643" s="1" t="s">
        <v>8</v>
      </c>
      <c r="D1643" s="1">
        <v>1447662</v>
      </c>
      <c r="E1643" s="1">
        <v>1447847</v>
      </c>
      <c r="F1643" s="1" t="s">
        <v>13</v>
      </c>
      <c r="G1643" s="1" t="s">
        <v>11409</v>
      </c>
    </row>
    <row r="1644" spans="1:7" ht="21" x14ac:dyDescent="0.25">
      <c r="A1644" s="2" t="str">
        <f>HYPERLINK("https://rth.dk/resources/bsgatlas/details.php?id=BSGatlas-gene-1643","BSGatlas-gene-1643")</f>
        <v>BSGatlas-gene-1643</v>
      </c>
      <c r="B1644" s="1" t="s">
        <v>1541</v>
      </c>
      <c r="C1644" s="1" t="s">
        <v>8</v>
      </c>
      <c r="D1644" s="1">
        <v>1448013</v>
      </c>
      <c r="E1644" s="1">
        <v>1448207</v>
      </c>
      <c r="F1644" s="1" t="s">
        <v>9</v>
      </c>
      <c r="G1644" s="1" t="s">
        <v>11409</v>
      </c>
    </row>
    <row r="1645" spans="1:7" ht="21" x14ac:dyDescent="0.25">
      <c r="A1645" s="2" t="str">
        <f>HYPERLINK("https://rth.dk/resources/bsgatlas/details.php?id=BSGatlas-gene-1644","BSGatlas-gene-1644")</f>
        <v>BSGatlas-gene-1644</v>
      </c>
      <c r="B1645" s="1" t="s">
        <v>1542</v>
      </c>
      <c r="C1645" s="1" t="s">
        <v>8</v>
      </c>
      <c r="D1645" s="1">
        <v>1448506</v>
      </c>
      <c r="E1645" s="1">
        <v>1449132</v>
      </c>
      <c r="F1645" s="1" t="s">
        <v>9</v>
      </c>
      <c r="G1645" s="1" t="s">
        <v>11409</v>
      </c>
    </row>
    <row r="1646" spans="1:7" ht="21" x14ac:dyDescent="0.25">
      <c r="A1646" s="2" t="str">
        <f>HYPERLINK("https://rth.dk/resources/bsgatlas/details.php?id=BSGatlas-gene-1645","BSGatlas-gene-1645")</f>
        <v>BSGatlas-gene-1645</v>
      </c>
      <c r="B1646" s="1" t="s">
        <v>1543</v>
      </c>
      <c r="C1646" s="1" t="s">
        <v>8</v>
      </c>
      <c r="D1646" s="1">
        <v>1449250</v>
      </c>
      <c r="E1646" s="1">
        <v>1450587</v>
      </c>
      <c r="F1646" s="1" t="s">
        <v>9</v>
      </c>
      <c r="G1646" s="1" t="s">
        <v>11409</v>
      </c>
    </row>
    <row r="1647" spans="1:7" ht="21" x14ac:dyDescent="0.25">
      <c r="A1647" s="2" t="str">
        <f>HYPERLINK("https://rth.dk/resources/bsgatlas/details.php?id=BSGatlas-gene-1646","BSGatlas-gene-1646")</f>
        <v>BSGatlas-gene-1646</v>
      </c>
      <c r="B1647" s="1" t="s">
        <v>1544</v>
      </c>
      <c r="C1647" s="1" t="s">
        <v>8</v>
      </c>
      <c r="D1647" s="1">
        <v>1450638</v>
      </c>
      <c r="E1647" s="1">
        <v>1451135</v>
      </c>
      <c r="F1647" s="1" t="s">
        <v>9</v>
      </c>
      <c r="G1647" s="1" t="s">
        <v>11409</v>
      </c>
    </row>
    <row r="1648" spans="1:7" ht="21" x14ac:dyDescent="0.25">
      <c r="A1648" s="2" t="str">
        <f>HYPERLINK("https://rth.dk/resources/bsgatlas/details.php?id=BSGatlas-gene-1647","BSGatlas-gene-1647")</f>
        <v>BSGatlas-gene-1647</v>
      </c>
      <c r="B1648" s="1" t="s">
        <v>1545</v>
      </c>
      <c r="C1648" s="1" t="s">
        <v>12</v>
      </c>
      <c r="D1648" s="1">
        <v>1451260</v>
      </c>
      <c r="E1648" s="1">
        <v>1451315</v>
      </c>
      <c r="F1648" s="1" t="s">
        <v>9</v>
      </c>
      <c r="G1648" s="1" t="s">
        <v>11442</v>
      </c>
    </row>
    <row r="1649" spans="1:7" ht="21" x14ac:dyDescent="0.25">
      <c r="A1649" s="2" t="str">
        <f>HYPERLINK("https://rth.dk/resources/bsgatlas/details.php?id=BSGatlas-gene-1648","BSGatlas-gene-1648")</f>
        <v>BSGatlas-gene-1648</v>
      </c>
      <c r="B1649" s="1" t="s">
        <v>1546</v>
      </c>
      <c r="C1649" s="1" t="s">
        <v>8</v>
      </c>
      <c r="D1649" s="1">
        <v>1451371</v>
      </c>
      <c r="E1649" s="1">
        <v>1453284</v>
      </c>
      <c r="F1649" s="1" t="s">
        <v>9</v>
      </c>
      <c r="G1649" s="1" t="s">
        <v>11409</v>
      </c>
    </row>
    <row r="1650" spans="1:7" ht="21" x14ac:dyDescent="0.25">
      <c r="A1650" s="2" t="str">
        <f>HYPERLINK("https://rth.dk/resources/bsgatlas/details.php?id=BSGatlas-gene-1649","BSGatlas-gene-1649")</f>
        <v>BSGatlas-gene-1649</v>
      </c>
      <c r="B1650" s="1" t="s">
        <v>1548</v>
      </c>
      <c r="C1650" s="1" t="s">
        <v>8</v>
      </c>
      <c r="D1650" s="1">
        <v>1453691</v>
      </c>
      <c r="E1650" s="1">
        <v>1454782</v>
      </c>
      <c r="F1650" s="1" t="s">
        <v>9</v>
      </c>
      <c r="G1650" s="1" t="s">
        <v>11409</v>
      </c>
    </row>
    <row r="1651" spans="1:7" ht="21" x14ac:dyDescent="0.25">
      <c r="A1651" s="2" t="str">
        <f>HYPERLINK("https://rth.dk/resources/bsgatlas/details.php?id=BSGatlas-gene-1650","BSGatlas-gene-1650")</f>
        <v>BSGatlas-gene-1650</v>
      </c>
      <c r="B1651" s="1" t="s">
        <v>1547</v>
      </c>
      <c r="C1651" s="1" t="s">
        <v>12</v>
      </c>
      <c r="D1651" s="1">
        <v>1454795</v>
      </c>
      <c r="E1651" s="1">
        <v>1455013</v>
      </c>
      <c r="F1651" s="1" t="s">
        <v>13</v>
      </c>
      <c r="G1651" s="1" t="s">
        <v>11406</v>
      </c>
    </row>
    <row r="1652" spans="1:7" ht="21" x14ac:dyDescent="0.25">
      <c r="A1652" s="2" t="str">
        <f>HYPERLINK("https://rth.dk/resources/bsgatlas/details.php?id=BSGatlas-gene-1651","BSGatlas-gene-1651")</f>
        <v>BSGatlas-gene-1651</v>
      </c>
      <c r="B1652" s="1" t="s">
        <v>1549</v>
      </c>
      <c r="C1652" s="1" t="s">
        <v>8</v>
      </c>
      <c r="D1652" s="1">
        <v>1455064</v>
      </c>
      <c r="E1652" s="1">
        <v>1456029</v>
      </c>
      <c r="F1652" s="1" t="s">
        <v>9</v>
      </c>
      <c r="G1652" s="1" t="s">
        <v>11409</v>
      </c>
    </row>
    <row r="1653" spans="1:7" ht="21" x14ac:dyDescent="0.25">
      <c r="A1653" s="2" t="str">
        <f>HYPERLINK("https://rth.dk/resources/bsgatlas/details.php?id=BSGatlas-gene-1652","BSGatlas-gene-1652")</f>
        <v>BSGatlas-gene-1652</v>
      </c>
      <c r="B1653" s="1" t="s">
        <v>1550</v>
      </c>
      <c r="C1653" s="1" t="s">
        <v>8</v>
      </c>
      <c r="D1653" s="1">
        <v>1456092</v>
      </c>
      <c r="E1653" s="1">
        <v>1456958</v>
      </c>
      <c r="F1653" s="1" t="s">
        <v>9</v>
      </c>
      <c r="G1653" s="1" t="s">
        <v>11409</v>
      </c>
    </row>
    <row r="1654" spans="1:7" ht="21" x14ac:dyDescent="0.25">
      <c r="A1654" s="2" t="str">
        <f>HYPERLINK("https://rth.dk/resources/bsgatlas/details.php?id=BSGatlas-gene-1653","BSGatlas-gene-1653")</f>
        <v>BSGatlas-gene-1653</v>
      </c>
      <c r="B1654" s="1" t="s">
        <v>11516</v>
      </c>
      <c r="C1654" s="1" t="s">
        <v>34</v>
      </c>
      <c r="D1654" s="1">
        <v>1457005</v>
      </c>
      <c r="E1654" s="1">
        <v>1457156</v>
      </c>
      <c r="F1654" s="1" t="s">
        <v>9</v>
      </c>
      <c r="G1654" s="1" t="s">
        <v>11517</v>
      </c>
    </row>
    <row r="1655" spans="1:7" ht="21" x14ac:dyDescent="0.25">
      <c r="A1655" s="2" t="str">
        <f>HYPERLINK("https://rth.dk/resources/bsgatlas/details.php?id=BSGatlas-gene-1654","BSGatlas-gene-1654")</f>
        <v>BSGatlas-gene-1654</v>
      </c>
      <c r="B1655" s="1" t="s">
        <v>1551</v>
      </c>
      <c r="C1655" s="1" t="s">
        <v>8</v>
      </c>
      <c r="D1655" s="1">
        <v>1457187</v>
      </c>
      <c r="E1655" s="1">
        <v>1459286</v>
      </c>
      <c r="F1655" s="1" t="s">
        <v>9</v>
      </c>
      <c r="G1655" s="1" t="s">
        <v>11409</v>
      </c>
    </row>
    <row r="1656" spans="1:7" ht="21" x14ac:dyDescent="0.25">
      <c r="A1656" s="2" t="str">
        <f>HYPERLINK("https://rth.dk/resources/bsgatlas/details.php?id=BSGatlas-gene-1655","BSGatlas-gene-1655")</f>
        <v>BSGatlas-gene-1655</v>
      </c>
      <c r="B1656" s="1" t="s">
        <v>1552</v>
      </c>
      <c r="C1656" s="1" t="s">
        <v>8</v>
      </c>
      <c r="D1656" s="1">
        <v>1459384</v>
      </c>
      <c r="E1656" s="1">
        <v>1459650</v>
      </c>
      <c r="F1656" s="1" t="s">
        <v>9</v>
      </c>
      <c r="G1656" s="1" t="s">
        <v>11409</v>
      </c>
    </row>
    <row r="1657" spans="1:7" ht="21" x14ac:dyDescent="0.25">
      <c r="A1657" s="2" t="str">
        <f>HYPERLINK("https://rth.dk/resources/bsgatlas/details.php?id=BSGatlas-gene-1656","BSGatlas-gene-1656")</f>
        <v>BSGatlas-gene-1656</v>
      </c>
      <c r="B1657" s="1" t="s">
        <v>1553</v>
      </c>
      <c r="C1657" s="1" t="s">
        <v>8</v>
      </c>
      <c r="D1657" s="1">
        <v>1459650</v>
      </c>
      <c r="E1657" s="1">
        <v>1461362</v>
      </c>
      <c r="F1657" s="1" t="s">
        <v>9</v>
      </c>
      <c r="G1657" s="1" t="s">
        <v>11409</v>
      </c>
    </row>
    <row r="1658" spans="1:7" ht="21" x14ac:dyDescent="0.25">
      <c r="A1658" s="2" t="str">
        <f>HYPERLINK("https://rth.dk/resources/bsgatlas/details.php?id=BSGatlas-gene-1657","BSGatlas-gene-1657")</f>
        <v>BSGatlas-gene-1657</v>
      </c>
      <c r="B1658" s="1" t="s">
        <v>1554</v>
      </c>
      <c r="C1658" s="1" t="s">
        <v>8</v>
      </c>
      <c r="D1658" s="1">
        <v>1461453</v>
      </c>
      <c r="E1658" s="1">
        <v>1461692</v>
      </c>
      <c r="F1658" s="1" t="s">
        <v>9</v>
      </c>
      <c r="G1658" s="1" t="s">
        <v>11409</v>
      </c>
    </row>
    <row r="1659" spans="1:7" ht="21" x14ac:dyDescent="0.25">
      <c r="A1659" s="2" t="str">
        <f>HYPERLINK("https://rth.dk/resources/bsgatlas/details.php?id=BSGatlas-gene-1658","BSGatlas-gene-1658")</f>
        <v>BSGatlas-gene-1658</v>
      </c>
      <c r="B1659" s="1" t="s">
        <v>1555</v>
      </c>
      <c r="C1659" s="1" t="s">
        <v>8</v>
      </c>
      <c r="D1659" s="1">
        <v>1461770</v>
      </c>
      <c r="E1659" s="1">
        <v>1462798</v>
      </c>
      <c r="F1659" s="1" t="s">
        <v>9</v>
      </c>
      <c r="G1659" s="1" t="s">
        <v>11409</v>
      </c>
    </row>
    <row r="1660" spans="1:7" ht="21" x14ac:dyDescent="0.25">
      <c r="A1660" s="2" t="str">
        <f>HYPERLINK("https://rth.dk/resources/bsgatlas/details.php?id=BSGatlas-gene-1659","BSGatlas-gene-1659")</f>
        <v>BSGatlas-gene-1659</v>
      </c>
      <c r="B1660" s="1" t="s">
        <v>1556</v>
      </c>
      <c r="C1660" s="1" t="s">
        <v>8</v>
      </c>
      <c r="D1660" s="1">
        <v>1462813</v>
      </c>
      <c r="E1660" s="1">
        <v>1463493</v>
      </c>
      <c r="F1660" s="1" t="s">
        <v>13</v>
      </c>
      <c r="G1660" s="1" t="s">
        <v>11409</v>
      </c>
    </row>
    <row r="1661" spans="1:7" ht="21" x14ac:dyDescent="0.25">
      <c r="A1661" s="2" t="str">
        <f>HYPERLINK("https://rth.dk/resources/bsgatlas/details.php?id=BSGatlas-gene-1660","BSGatlas-gene-1660")</f>
        <v>BSGatlas-gene-1660</v>
      </c>
      <c r="B1661" s="1" t="s">
        <v>1557</v>
      </c>
      <c r="C1661" s="1" t="s">
        <v>8</v>
      </c>
      <c r="D1661" s="1">
        <v>1463628</v>
      </c>
      <c r="E1661" s="1">
        <v>1465595</v>
      </c>
      <c r="F1661" s="1" t="s">
        <v>9</v>
      </c>
      <c r="G1661" s="1" t="s">
        <v>11409</v>
      </c>
    </row>
    <row r="1662" spans="1:7" ht="21" x14ac:dyDescent="0.25">
      <c r="A1662" s="2" t="str">
        <f>HYPERLINK("https://rth.dk/resources/bsgatlas/details.php?id=BSGatlas-gene-1661","BSGatlas-gene-1661")</f>
        <v>BSGatlas-gene-1661</v>
      </c>
      <c r="B1662" s="1" t="s">
        <v>1558</v>
      </c>
      <c r="C1662" s="1" t="s">
        <v>8</v>
      </c>
      <c r="D1662" s="1">
        <v>1465733</v>
      </c>
      <c r="E1662" s="1">
        <v>1466599</v>
      </c>
      <c r="F1662" s="1" t="s">
        <v>9</v>
      </c>
      <c r="G1662" s="1" t="s">
        <v>11409</v>
      </c>
    </row>
    <row r="1663" spans="1:7" ht="21" x14ac:dyDescent="0.25">
      <c r="A1663" s="2" t="str">
        <f>HYPERLINK("https://rth.dk/resources/bsgatlas/details.php?id=BSGatlas-gene-1662","BSGatlas-gene-1662")</f>
        <v>BSGatlas-gene-1662</v>
      </c>
      <c r="B1663" s="1" t="s">
        <v>1559</v>
      </c>
      <c r="C1663" s="1" t="s">
        <v>8</v>
      </c>
      <c r="D1663" s="1">
        <v>1466638</v>
      </c>
      <c r="E1663" s="1">
        <v>1467411</v>
      </c>
      <c r="F1663" s="1" t="s">
        <v>13</v>
      </c>
      <c r="G1663" s="1" t="s">
        <v>11409</v>
      </c>
    </row>
    <row r="1664" spans="1:7" ht="21" x14ac:dyDescent="0.25">
      <c r="A1664" s="2" t="str">
        <f>HYPERLINK("https://rth.dk/resources/bsgatlas/details.php?id=BSGatlas-gene-1663","BSGatlas-gene-1663")</f>
        <v>BSGatlas-gene-1663</v>
      </c>
      <c r="B1664" s="1" t="s">
        <v>1560</v>
      </c>
      <c r="C1664" s="1" t="s">
        <v>12</v>
      </c>
      <c r="D1664" s="1">
        <v>1467704</v>
      </c>
      <c r="E1664" s="1">
        <v>1467761</v>
      </c>
      <c r="F1664" s="1" t="s">
        <v>9</v>
      </c>
      <c r="G1664" s="1" t="s">
        <v>11442</v>
      </c>
    </row>
    <row r="1665" spans="1:7" ht="21" x14ac:dyDescent="0.25">
      <c r="A1665" s="2" t="str">
        <f>HYPERLINK("https://rth.dk/resources/bsgatlas/details.php?id=BSGatlas-gene-1664","BSGatlas-gene-1664")</f>
        <v>BSGatlas-gene-1664</v>
      </c>
      <c r="B1665" s="1" t="s">
        <v>1561</v>
      </c>
      <c r="C1665" s="1" t="s">
        <v>8</v>
      </c>
      <c r="D1665" s="1">
        <v>1467748</v>
      </c>
      <c r="E1665" s="1">
        <v>1469862</v>
      </c>
      <c r="F1665" s="1" t="s">
        <v>9</v>
      </c>
      <c r="G1665" s="1" t="s">
        <v>11409</v>
      </c>
    </row>
    <row r="1666" spans="1:7" ht="21" x14ac:dyDescent="0.25">
      <c r="A1666" s="2" t="str">
        <f>HYPERLINK("https://rth.dk/resources/bsgatlas/details.php?id=BSGatlas-gene-1665","BSGatlas-gene-1665")</f>
        <v>BSGatlas-gene-1665</v>
      </c>
      <c r="B1666" s="1" t="s">
        <v>1562</v>
      </c>
      <c r="C1666" s="1" t="s">
        <v>8</v>
      </c>
      <c r="D1666" s="1">
        <v>1470026</v>
      </c>
      <c r="E1666" s="1">
        <v>1471846</v>
      </c>
      <c r="F1666" s="1" t="s">
        <v>9</v>
      </c>
      <c r="G1666" s="1" t="s">
        <v>11409</v>
      </c>
    </row>
    <row r="1667" spans="1:7" ht="21" x14ac:dyDescent="0.25">
      <c r="A1667" s="2" t="str">
        <f>HYPERLINK("https://rth.dk/resources/bsgatlas/details.php?id=BSGatlas-gene-1666","BSGatlas-gene-1666")</f>
        <v>BSGatlas-gene-1666</v>
      </c>
      <c r="B1667" s="1" t="s">
        <v>1563</v>
      </c>
      <c r="C1667" s="1" t="s">
        <v>8</v>
      </c>
      <c r="D1667" s="1">
        <v>1471857</v>
      </c>
      <c r="E1667" s="1">
        <v>1473038</v>
      </c>
      <c r="F1667" s="1" t="s">
        <v>13</v>
      </c>
      <c r="G1667" s="1" t="s">
        <v>11409</v>
      </c>
    </row>
    <row r="1668" spans="1:7" ht="21" x14ac:dyDescent="0.25">
      <c r="A1668" s="2" t="str">
        <f>HYPERLINK("https://rth.dk/resources/bsgatlas/details.php?id=BSGatlas-gene-1667","BSGatlas-gene-1667")</f>
        <v>BSGatlas-gene-1667</v>
      </c>
      <c r="B1668" s="1" t="s">
        <v>1564</v>
      </c>
      <c r="C1668" s="1" t="s">
        <v>8</v>
      </c>
      <c r="D1668" s="1">
        <v>1473240</v>
      </c>
      <c r="E1668" s="1">
        <v>1473401</v>
      </c>
      <c r="F1668" s="1" t="s">
        <v>13</v>
      </c>
      <c r="G1668" s="1" t="s">
        <v>11409</v>
      </c>
    </row>
    <row r="1669" spans="1:7" ht="21" x14ac:dyDescent="0.25">
      <c r="A1669" s="2" t="str">
        <f>HYPERLINK("https://rth.dk/resources/bsgatlas/details.php?id=BSGatlas-gene-1668","BSGatlas-gene-1668")</f>
        <v>BSGatlas-gene-1668</v>
      </c>
      <c r="B1669" s="1" t="s">
        <v>1565</v>
      </c>
      <c r="C1669" s="1" t="s">
        <v>8</v>
      </c>
      <c r="D1669" s="1">
        <v>1473605</v>
      </c>
      <c r="E1669" s="1">
        <v>1474516</v>
      </c>
      <c r="F1669" s="1" t="s">
        <v>9</v>
      </c>
      <c r="G1669" s="1" t="s">
        <v>11409</v>
      </c>
    </row>
    <row r="1670" spans="1:7" ht="21" x14ac:dyDescent="0.25">
      <c r="A1670" s="2" t="str">
        <f>HYPERLINK("https://rth.dk/resources/bsgatlas/details.php?id=BSGatlas-gene-1669","BSGatlas-gene-1669")</f>
        <v>BSGatlas-gene-1669</v>
      </c>
      <c r="B1670" s="1" t="s">
        <v>1566</v>
      </c>
      <c r="C1670" s="1" t="s">
        <v>8</v>
      </c>
      <c r="D1670" s="1">
        <v>1474560</v>
      </c>
      <c r="E1670" s="1">
        <v>1475024</v>
      </c>
      <c r="F1670" s="1" t="s">
        <v>13</v>
      </c>
      <c r="G1670" s="1" t="s">
        <v>11409</v>
      </c>
    </row>
    <row r="1671" spans="1:7" ht="21" x14ac:dyDescent="0.25">
      <c r="A1671" s="2" t="str">
        <f>HYPERLINK("https://rth.dk/resources/bsgatlas/details.php?id=BSGatlas-gene-1670","BSGatlas-gene-1670")</f>
        <v>BSGatlas-gene-1670</v>
      </c>
      <c r="B1671" s="1" t="s">
        <v>1567</v>
      </c>
      <c r="C1671" s="1" t="s">
        <v>8</v>
      </c>
      <c r="D1671" s="1">
        <v>1475150</v>
      </c>
      <c r="E1671" s="1">
        <v>1476442</v>
      </c>
      <c r="F1671" s="1" t="s">
        <v>13</v>
      </c>
      <c r="G1671" s="1" t="s">
        <v>11409</v>
      </c>
    </row>
    <row r="1672" spans="1:7" ht="21" x14ac:dyDescent="0.25">
      <c r="A1672" s="2" t="str">
        <f>HYPERLINK("https://rth.dk/resources/bsgatlas/details.php?id=BSGatlas-gene-1671","BSGatlas-gene-1671")</f>
        <v>BSGatlas-gene-1671</v>
      </c>
      <c r="B1672" s="1" t="s">
        <v>1568</v>
      </c>
      <c r="C1672" s="1" t="s">
        <v>8</v>
      </c>
      <c r="D1672" s="1">
        <v>1476518</v>
      </c>
      <c r="E1672" s="1">
        <v>1477012</v>
      </c>
      <c r="F1672" s="1" t="s">
        <v>13</v>
      </c>
      <c r="G1672" s="1" t="s">
        <v>11409</v>
      </c>
    </row>
    <row r="1673" spans="1:7" ht="21" x14ac:dyDescent="0.25">
      <c r="A1673" s="2" t="str">
        <f>HYPERLINK("https://rth.dk/resources/bsgatlas/details.php?id=BSGatlas-gene-1672","BSGatlas-gene-1672")</f>
        <v>BSGatlas-gene-1672</v>
      </c>
      <c r="B1673" s="1" t="s">
        <v>1569</v>
      </c>
      <c r="C1673" s="1" t="s">
        <v>8</v>
      </c>
      <c r="D1673" s="1">
        <v>1477069</v>
      </c>
      <c r="E1673" s="1">
        <v>1477929</v>
      </c>
      <c r="F1673" s="1" t="s">
        <v>13</v>
      </c>
      <c r="G1673" s="1" t="s">
        <v>11409</v>
      </c>
    </row>
    <row r="1674" spans="1:7" ht="21" x14ac:dyDescent="0.25">
      <c r="A1674" s="2" t="str">
        <f>HYPERLINK("https://rth.dk/resources/bsgatlas/details.php?id=BSGatlas-gene-1673","BSGatlas-gene-1673")</f>
        <v>BSGatlas-gene-1673</v>
      </c>
      <c r="B1674" s="1" t="s">
        <v>1570</v>
      </c>
      <c r="C1674" s="1" t="s">
        <v>8</v>
      </c>
      <c r="D1674" s="1">
        <v>1478072</v>
      </c>
      <c r="E1674" s="1">
        <v>1478836</v>
      </c>
      <c r="F1674" s="1" t="s">
        <v>9</v>
      </c>
      <c r="G1674" s="1" t="s">
        <v>11409</v>
      </c>
    </row>
    <row r="1675" spans="1:7" ht="21" x14ac:dyDescent="0.25">
      <c r="A1675" s="2" t="str">
        <f>HYPERLINK("https://rth.dk/resources/bsgatlas/details.php?id=BSGatlas-gene-1674","BSGatlas-gene-1674")</f>
        <v>BSGatlas-gene-1674</v>
      </c>
      <c r="B1675" s="1" t="s">
        <v>1571</v>
      </c>
      <c r="C1675" s="1" t="s">
        <v>8</v>
      </c>
      <c r="D1675" s="1">
        <v>1479137</v>
      </c>
      <c r="E1675" s="1">
        <v>1480867</v>
      </c>
      <c r="F1675" s="1" t="s">
        <v>9</v>
      </c>
      <c r="G1675" s="1" t="s">
        <v>11409</v>
      </c>
    </row>
    <row r="1676" spans="1:7" ht="21" x14ac:dyDescent="0.25">
      <c r="A1676" s="2" t="str">
        <f>HYPERLINK("https://rth.dk/resources/bsgatlas/details.php?id=BSGatlas-gene-1675","BSGatlas-gene-1675")</f>
        <v>BSGatlas-gene-1675</v>
      </c>
      <c r="B1676" s="1" t="s">
        <v>1572</v>
      </c>
      <c r="C1676" s="1" t="s">
        <v>8</v>
      </c>
      <c r="D1676" s="1">
        <v>1480933</v>
      </c>
      <c r="E1676" s="1">
        <v>1481451</v>
      </c>
      <c r="F1676" s="1" t="s">
        <v>9</v>
      </c>
      <c r="G1676" s="1" t="s">
        <v>11409</v>
      </c>
    </row>
    <row r="1677" spans="1:7" ht="21" x14ac:dyDescent="0.25">
      <c r="A1677" s="2" t="str">
        <f>HYPERLINK("https://rth.dk/resources/bsgatlas/details.php?id=BSGatlas-gene-1676","BSGatlas-gene-1676")</f>
        <v>BSGatlas-gene-1676</v>
      </c>
      <c r="B1677" s="1" t="s">
        <v>1573</v>
      </c>
      <c r="C1677" s="1" t="s">
        <v>8</v>
      </c>
      <c r="D1677" s="1">
        <v>1481547</v>
      </c>
      <c r="E1677" s="1">
        <v>1482095</v>
      </c>
      <c r="F1677" s="1" t="s">
        <v>9</v>
      </c>
      <c r="G1677" s="1" t="s">
        <v>11409</v>
      </c>
    </row>
    <row r="1678" spans="1:7" ht="21" x14ac:dyDescent="0.25">
      <c r="A1678" s="2" t="str">
        <f>HYPERLINK("https://rth.dk/resources/bsgatlas/details.php?id=BSGatlas-gene-1677","BSGatlas-gene-1677")</f>
        <v>BSGatlas-gene-1677</v>
      </c>
      <c r="B1678" s="1" t="s">
        <v>1574</v>
      </c>
      <c r="C1678" s="1" t="s">
        <v>8</v>
      </c>
      <c r="D1678" s="1">
        <v>1482248</v>
      </c>
      <c r="E1678" s="1">
        <v>1483471</v>
      </c>
      <c r="F1678" s="1" t="s">
        <v>9</v>
      </c>
      <c r="G1678" s="1" t="s">
        <v>11409</v>
      </c>
    </row>
    <row r="1679" spans="1:7" ht="21" x14ac:dyDescent="0.25">
      <c r="A1679" s="2" t="str">
        <f>HYPERLINK("https://rth.dk/resources/bsgatlas/details.php?id=BSGatlas-gene-1678","BSGatlas-gene-1678")</f>
        <v>BSGatlas-gene-1678</v>
      </c>
      <c r="B1679" s="1" t="s">
        <v>1575</v>
      </c>
      <c r="C1679" s="1" t="s">
        <v>55</v>
      </c>
      <c r="D1679" s="1">
        <v>1483548</v>
      </c>
      <c r="E1679" s="1">
        <v>1483656</v>
      </c>
      <c r="F1679" s="1" t="s">
        <v>9</v>
      </c>
      <c r="G1679" s="1" t="s">
        <v>11518</v>
      </c>
    </row>
    <row r="1680" spans="1:7" ht="21" x14ac:dyDescent="0.25">
      <c r="A1680" s="2" t="str">
        <f>HYPERLINK("https://rth.dk/resources/bsgatlas/details.php?id=BSGatlas-gene-1679","BSGatlas-gene-1679")</f>
        <v>BSGatlas-gene-1679</v>
      </c>
      <c r="B1680" s="1" t="s">
        <v>1576</v>
      </c>
      <c r="C1680" s="1" t="s">
        <v>8</v>
      </c>
      <c r="D1680" s="1">
        <v>1484117</v>
      </c>
      <c r="E1680" s="1">
        <v>1484356</v>
      </c>
      <c r="F1680" s="1" t="s">
        <v>9</v>
      </c>
      <c r="G1680" s="1" t="s">
        <v>11409</v>
      </c>
    </row>
    <row r="1681" spans="1:7" ht="21" x14ac:dyDescent="0.25">
      <c r="A1681" s="2" t="str">
        <f>HYPERLINK("https://rth.dk/resources/bsgatlas/details.php?id=BSGatlas-gene-1680","BSGatlas-gene-1680")</f>
        <v>BSGatlas-gene-1680</v>
      </c>
      <c r="B1681" s="1" t="s">
        <v>1577</v>
      </c>
      <c r="C1681" s="1" t="s">
        <v>8</v>
      </c>
      <c r="D1681" s="1">
        <v>1484466</v>
      </c>
      <c r="E1681" s="1">
        <v>1484984</v>
      </c>
      <c r="F1681" s="1" t="s">
        <v>9</v>
      </c>
      <c r="G1681" s="1" t="s">
        <v>11409</v>
      </c>
    </row>
    <row r="1682" spans="1:7" ht="21" x14ac:dyDescent="0.25">
      <c r="A1682" s="2" t="str">
        <f>HYPERLINK("https://rth.dk/resources/bsgatlas/details.php?id=BSGatlas-gene-1681","BSGatlas-gene-1681")</f>
        <v>BSGatlas-gene-1681</v>
      </c>
      <c r="B1682" s="1" t="s">
        <v>1578</v>
      </c>
      <c r="C1682" s="1" t="s">
        <v>8</v>
      </c>
      <c r="D1682" s="1">
        <v>1485118</v>
      </c>
      <c r="E1682" s="1">
        <v>1485315</v>
      </c>
      <c r="F1682" s="1" t="s">
        <v>9</v>
      </c>
      <c r="G1682" s="1" t="s">
        <v>11409</v>
      </c>
    </row>
    <row r="1683" spans="1:7" ht="21" x14ac:dyDescent="0.25">
      <c r="A1683" s="2" t="str">
        <f>HYPERLINK("https://rth.dk/resources/bsgatlas/details.php?id=BSGatlas-gene-1682","BSGatlas-gene-1682")</f>
        <v>BSGatlas-gene-1682</v>
      </c>
      <c r="B1683" s="1" t="s">
        <v>1579</v>
      </c>
      <c r="C1683" s="1" t="s">
        <v>8</v>
      </c>
      <c r="D1683" s="1">
        <v>1485453</v>
      </c>
      <c r="E1683" s="1">
        <v>1485896</v>
      </c>
      <c r="F1683" s="1" t="s">
        <v>9</v>
      </c>
      <c r="G1683" s="1" t="s">
        <v>11409</v>
      </c>
    </row>
    <row r="1684" spans="1:7" ht="21" x14ac:dyDescent="0.25">
      <c r="A1684" s="2" t="str">
        <f>HYPERLINK("https://rth.dk/resources/bsgatlas/details.php?id=BSGatlas-gene-1683","BSGatlas-gene-1683")</f>
        <v>BSGatlas-gene-1683</v>
      </c>
      <c r="B1684" s="1" t="s">
        <v>1580</v>
      </c>
      <c r="C1684" s="1" t="s">
        <v>8</v>
      </c>
      <c r="D1684" s="1">
        <v>1486045</v>
      </c>
      <c r="E1684" s="1">
        <v>1486926</v>
      </c>
      <c r="F1684" s="1" t="s">
        <v>9</v>
      </c>
      <c r="G1684" s="1" t="s">
        <v>11409</v>
      </c>
    </row>
    <row r="1685" spans="1:7" ht="21" x14ac:dyDescent="0.25">
      <c r="A1685" s="2" t="str">
        <f>HYPERLINK("https://rth.dk/resources/bsgatlas/details.php?id=BSGatlas-gene-1684","BSGatlas-gene-1684")</f>
        <v>BSGatlas-gene-1684</v>
      </c>
      <c r="B1685" s="1" t="s">
        <v>1581</v>
      </c>
      <c r="C1685" s="1" t="s">
        <v>8</v>
      </c>
      <c r="D1685" s="1">
        <v>1487038</v>
      </c>
      <c r="E1685" s="1">
        <v>1487514</v>
      </c>
      <c r="F1685" s="1" t="s">
        <v>9</v>
      </c>
      <c r="G1685" s="1" t="s">
        <v>11409</v>
      </c>
    </row>
    <row r="1686" spans="1:7" ht="21" x14ac:dyDescent="0.25">
      <c r="A1686" s="2" t="str">
        <f>HYPERLINK("https://rth.dk/resources/bsgatlas/details.php?id=BSGatlas-gene-1685","BSGatlas-gene-1685")</f>
        <v>BSGatlas-gene-1685</v>
      </c>
      <c r="B1686" s="1" t="s">
        <v>1582</v>
      </c>
      <c r="C1686" s="1" t="s">
        <v>8</v>
      </c>
      <c r="D1686" s="1">
        <v>1487504</v>
      </c>
      <c r="E1686" s="1">
        <v>1488397</v>
      </c>
      <c r="F1686" s="1" t="s">
        <v>9</v>
      </c>
      <c r="G1686" s="1" t="s">
        <v>11409</v>
      </c>
    </row>
    <row r="1687" spans="1:7" ht="21" x14ac:dyDescent="0.25">
      <c r="A1687" s="2" t="str">
        <f>HYPERLINK("https://rth.dk/resources/bsgatlas/details.php?id=BSGatlas-gene-1686","BSGatlas-gene-1686")</f>
        <v>BSGatlas-gene-1686</v>
      </c>
      <c r="B1687" s="1" t="s">
        <v>1583</v>
      </c>
      <c r="C1687" s="1" t="s">
        <v>8</v>
      </c>
      <c r="D1687" s="1">
        <v>1488413</v>
      </c>
      <c r="E1687" s="1">
        <v>1488868</v>
      </c>
      <c r="F1687" s="1" t="s">
        <v>9</v>
      </c>
      <c r="G1687" s="1" t="s">
        <v>11409</v>
      </c>
    </row>
    <row r="1688" spans="1:7" ht="21" x14ac:dyDescent="0.25">
      <c r="A1688" s="2" t="str">
        <f>HYPERLINK("https://rth.dk/resources/bsgatlas/details.php?id=BSGatlas-gene-1687","BSGatlas-gene-1687")</f>
        <v>BSGatlas-gene-1687</v>
      </c>
      <c r="B1688" s="1" t="s">
        <v>1584</v>
      </c>
      <c r="C1688" s="1" t="s">
        <v>8</v>
      </c>
      <c r="D1688" s="1">
        <v>1488973</v>
      </c>
      <c r="E1688" s="1">
        <v>1489683</v>
      </c>
      <c r="F1688" s="1" t="s">
        <v>9</v>
      </c>
      <c r="G1688" s="1" t="s">
        <v>11409</v>
      </c>
    </row>
    <row r="1689" spans="1:7" ht="21" x14ac:dyDescent="0.25">
      <c r="A1689" s="2" t="str">
        <f>HYPERLINK("https://rth.dk/resources/bsgatlas/details.php?id=BSGatlas-gene-1688","BSGatlas-gene-1688")</f>
        <v>BSGatlas-gene-1688</v>
      </c>
      <c r="B1689" s="1" t="s">
        <v>1585</v>
      </c>
      <c r="C1689" s="1" t="s">
        <v>8</v>
      </c>
      <c r="D1689" s="1">
        <v>1489753</v>
      </c>
      <c r="E1689" s="1">
        <v>1490877</v>
      </c>
      <c r="F1689" s="1" t="s">
        <v>9</v>
      </c>
      <c r="G1689" s="1" t="s">
        <v>11409</v>
      </c>
    </row>
    <row r="1690" spans="1:7" ht="21" x14ac:dyDescent="0.25">
      <c r="A1690" s="2" t="str">
        <f>HYPERLINK("https://rth.dk/resources/bsgatlas/details.php?id=BSGatlas-gene-1689","BSGatlas-gene-1689")</f>
        <v>BSGatlas-gene-1689</v>
      </c>
      <c r="B1690" s="1" t="s">
        <v>1586</v>
      </c>
      <c r="C1690" s="1" t="s">
        <v>8</v>
      </c>
      <c r="D1690" s="1">
        <v>1490939</v>
      </c>
      <c r="E1690" s="1">
        <v>1491184</v>
      </c>
      <c r="F1690" s="1" t="s">
        <v>9</v>
      </c>
      <c r="G1690" s="1" t="s">
        <v>11409</v>
      </c>
    </row>
    <row r="1691" spans="1:7" ht="21" x14ac:dyDescent="0.25">
      <c r="A1691" s="2" t="str">
        <f>HYPERLINK("https://rth.dk/resources/bsgatlas/details.php?id=BSGatlas-gene-1690","BSGatlas-gene-1690")</f>
        <v>BSGatlas-gene-1690</v>
      </c>
      <c r="B1691" s="1" t="s">
        <v>1587</v>
      </c>
      <c r="C1691" s="1" t="s">
        <v>8</v>
      </c>
      <c r="D1691" s="1">
        <v>1491221</v>
      </c>
      <c r="E1691" s="1">
        <v>1492024</v>
      </c>
      <c r="F1691" s="1" t="s">
        <v>13</v>
      </c>
      <c r="G1691" s="1" t="s">
        <v>11409</v>
      </c>
    </row>
    <row r="1692" spans="1:7" ht="21" x14ac:dyDescent="0.25">
      <c r="A1692" s="2" t="str">
        <f>HYPERLINK("https://rth.dk/resources/bsgatlas/details.php?id=BSGatlas-gene-1691","BSGatlas-gene-1691")</f>
        <v>BSGatlas-gene-1691</v>
      </c>
      <c r="B1692" s="1" t="s">
        <v>1588</v>
      </c>
      <c r="C1692" s="1" t="s">
        <v>8</v>
      </c>
      <c r="D1692" s="1">
        <v>1492261</v>
      </c>
      <c r="E1692" s="1">
        <v>1492803</v>
      </c>
      <c r="F1692" s="1" t="s">
        <v>9</v>
      </c>
      <c r="G1692" s="1" t="s">
        <v>11409</v>
      </c>
    </row>
    <row r="1693" spans="1:7" ht="21" x14ac:dyDescent="0.25">
      <c r="A1693" s="2" t="str">
        <f>HYPERLINK("https://rth.dk/resources/bsgatlas/details.php?id=BSGatlas-gene-1692","BSGatlas-gene-1692")</f>
        <v>BSGatlas-gene-1692</v>
      </c>
      <c r="B1693" s="1" t="s">
        <v>1589</v>
      </c>
      <c r="C1693" s="1" t="s">
        <v>8</v>
      </c>
      <c r="D1693" s="1">
        <v>1492875</v>
      </c>
      <c r="E1693" s="1">
        <v>1493321</v>
      </c>
      <c r="F1693" s="1" t="s">
        <v>9</v>
      </c>
      <c r="G1693" s="1" t="s">
        <v>11409</v>
      </c>
    </row>
    <row r="1694" spans="1:7" ht="21" x14ac:dyDescent="0.25">
      <c r="A1694" s="2" t="str">
        <f>HYPERLINK("https://rth.dk/resources/bsgatlas/details.php?id=BSGatlas-gene-1693","BSGatlas-gene-1693")</f>
        <v>BSGatlas-gene-1693</v>
      </c>
      <c r="B1694" s="1" t="s">
        <v>1590</v>
      </c>
      <c r="C1694" s="1" t="s">
        <v>8</v>
      </c>
      <c r="D1694" s="1">
        <v>1493787</v>
      </c>
      <c r="E1694" s="1">
        <v>1494362</v>
      </c>
      <c r="F1694" s="1" t="s">
        <v>9</v>
      </c>
      <c r="G1694" s="1" t="s">
        <v>11409</v>
      </c>
    </row>
    <row r="1695" spans="1:7" ht="21" x14ac:dyDescent="0.25">
      <c r="A1695" s="2" t="str">
        <f>HYPERLINK("https://rth.dk/resources/bsgatlas/details.php?id=BSGatlas-gene-1694","BSGatlas-gene-1694")</f>
        <v>BSGatlas-gene-1694</v>
      </c>
      <c r="B1695" s="1" t="s">
        <v>1591</v>
      </c>
      <c r="C1695" s="1" t="s">
        <v>8</v>
      </c>
      <c r="D1695" s="1">
        <v>1494403</v>
      </c>
      <c r="E1695" s="1">
        <v>1495368</v>
      </c>
      <c r="F1695" s="1" t="s">
        <v>13</v>
      </c>
      <c r="G1695" s="1" t="s">
        <v>11409</v>
      </c>
    </row>
    <row r="1696" spans="1:7" ht="21" x14ac:dyDescent="0.25">
      <c r="A1696" s="2" t="str">
        <f>HYPERLINK("https://rth.dk/resources/bsgatlas/details.php?id=BSGatlas-gene-1695","BSGatlas-gene-1695")</f>
        <v>BSGatlas-gene-1695</v>
      </c>
      <c r="B1696" s="1" t="s">
        <v>1592</v>
      </c>
      <c r="C1696" s="1" t="s">
        <v>8</v>
      </c>
      <c r="D1696" s="1">
        <v>1495505</v>
      </c>
      <c r="E1696" s="1">
        <v>1496104</v>
      </c>
      <c r="F1696" s="1" t="s">
        <v>9</v>
      </c>
      <c r="G1696" s="1" t="s">
        <v>11409</v>
      </c>
    </row>
    <row r="1697" spans="1:7" ht="21" x14ac:dyDescent="0.25">
      <c r="A1697" s="2" t="str">
        <f>HYPERLINK("https://rth.dk/resources/bsgatlas/details.php?id=BSGatlas-gene-1696","BSGatlas-gene-1696")</f>
        <v>BSGatlas-gene-1696</v>
      </c>
      <c r="B1697" s="1" t="s">
        <v>1593</v>
      </c>
      <c r="C1697" s="1" t="s">
        <v>8</v>
      </c>
      <c r="D1697" s="1">
        <v>1496155</v>
      </c>
      <c r="E1697" s="1">
        <v>1497174</v>
      </c>
      <c r="F1697" s="1" t="s">
        <v>9</v>
      </c>
      <c r="G1697" s="1" t="s">
        <v>11409</v>
      </c>
    </row>
    <row r="1698" spans="1:7" ht="21" x14ac:dyDescent="0.25">
      <c r="A1698" s="2" t="str">
        <f>HYPERLINK("https://rth.dk/resources/bsgatlas/details.php?id=BSGatlas-gene-1697","BSGatlas-gene-1697")</f>
        <v>BSGatlas-gene-1697</v>
      </c>
      <c r="B1698" s="1" t="s">
        <v>1594</v>
      </c>
      <c r="C1698" s="1" t="s">
        <v>8</v>
      </c>
      <c r="D1698" s="1">
        <v>1497192</v>
      </c>
      <c r="E1698" s="1">
        <v>1498484</v>
      </c>
      <c r="F1698" s="1" t="s">
        <v>9</v>
      </c>
      <c r="G1698" s="1" t="s">
        <v>11409</v>
      </c>
    </row>
    <row r="1699" spans="1:7" ht="21" x14ac:dyDescent="0.25">
      <c r="A1699" s="2" t="str">
        <f>HYPERLINK("https://rth.dk/resources/bsgatlas/details.php?id=BSGatlas-gene-1698","BSGatlas-gene-1698")</f>
        <v>BSGatlas-gene-1698</v>
      </c>
      <c r="B1699" s="1" t="s">
        <v>1595</v>
      </c>
      <c r="C1699" s="1" t="s">
        <v>8</v>
      </c>
      <c r="D1699" s="1">
        <v>1498445</v>
      </c>
      <c r="E1699" s="1">
        <v>1498966</v>
      </c>
      <c r="F1699" s="1" t="s">
        <v>9</v>
      </c>
      <c r="G1699" s="1" t="s">
        <v>11409</v>
      </c>
    </row>
    <row r="1700" spans="1:7" ht="21" x14ac:dyDescent="0.25">
      <c r="A1700" s="2" t="str">
        <f>HYPERLINK("https://rth.dk/resources/bsgatlas/details.php?id=BSGatlas-gene-1699","BSGatlas-gene-1699")</f>
        <v>BSGatlas-gene-1699</v>
      </c>
      <c r="B1700" s="1" t="s">
        <v>1596</v>
      </c>
      <c r="C1700" s="1" t="s">
        <v>8</v>
      </c>
      <c r="D1700" s="1">
        <v>1498966</v>
      </c>
      <c r="E1700" s="1">
        <v>1499439</v>
      </c>
      <c r="F1700" s="1" t="s">
        <v>9</v>
      </c>
      <c r="G1700" s="1" t="s">
        <v>11409</v>
      </c>
    </row>
    <row r="1701" spans="1:7" ht="21" x14ac:dyDescent="0.25">
      <c r="A1701" s="2" t="str">
        <f>HYPERLINK("https://rth.dk/resources/bsgatlas/details.php?id=BSGatlas-gene-1700","BSGatlas-gene-1700")</f>
        <v>BSGatlas-gene-1700</v>
      </c>
      <c r="B1701" s="1" t="s">
        <v>1597</v>
      </c>
      <c r="C1701" s="1" t="s">
        <v>8</v>
      </c>
      <c r="D1701" s="1">
        <v>1499432</v>
      </c>
      <c r="E1701" s="1">
        <v>1499665</v>
      </c>
      <c r="F1701" s="1" t="s">
        <v>9</v>
      </c>
      <c r="G1701" s="1" t="s">
        <v>11409</v>
      </c>
    </row>
    <row r="1702" spans="1:7" ht="21" x14ac:dyDescent="0.25">
      <c r="A1702" s="2" t="str">
        <f>HYPERLINK("https://rth.dk/resources/bsgatlas/details.php?id=BSGatlas-gene-1701","BSGatlas-gene-1701")</f>
        <v>BSGatlas-gene-1701</v>
      </c>
      <c r="B1702" s="1" t="s">
        <v>1598</v>
      </c>
      <c r="C1702" s="1" t="s">
        <v>8</v>
      </c>
      <c r="D1702" s="1">
        <v>1499889</v>
      </c>
      <c r="E1702" s="1">
        <v>1501646</v>
      </c>
      <c r="F1702" s="1" t="s">
        <v>9</v>
      </c>
      <c r="G1702" s="1" t="s">
        <v>11409</v>
      </c>
    </row>
    <row r="1703" spans="1:7" ht="21" x14ac:dyDescent="0.25">
      <c r="A1703" s="2" t="str">
        <f>HYPERLINK("https://rth.dk/resources/bsgatlas/details.php?id=BSGatlas-gene-1702","BSGatlas-gene-1702")</f>
        <v>BSGatlas-gene-1702</v>
      </c>
      <c r="B1703" s="1" t="s">
        <v>1599</v>
      </c>
      <c r="C1703" s="1" t="s">
        <v>8</v>
      </c>
      <c r="D1703" s="1">
        <v>1501658</v>
      </c>
      <c r="E1703" s="1">
        <v>1503472</v>
      </c>
      <c r="F1703" s="1" t="s">
        <v>9</v>
      </c>
      <c r="G1703" s="1" t="s">
        <v>11409</v>
      </c>
    </row>
    <row r="1704" spans="1:7" ht="21" x14ac:dyDescent="0.25">
      <c r="A1704" s="2" t="str">
        <f>HYPERLINK("https://rth.dk/resources/bsgatlas/details.php?id=BSGatlas-gene-1703","BSGatlas-gene-1703")</f>
        <v>BSGatlas-gene-1703</v>
      </c>
      <c r="B1704" s="1" t="s">
        <v>1600</v>
      </c>
      <c r="C1704" s="1" t="s">
        <v>8</v>
      </c>
      <c r="D1704" s="1">
        <v>1503582</v>
      </c>
      <c r="E1704" s="1">
        <v>1504277</v>
      </c>
      <c r="F1704" s="1" t="s">
        <v>9</v>
      </c>
      <c r="G1704" s="1" t="s">
        <v>11409</v>
      </c>
    </row>
    <row r="1705" spans="1:7" ht="21" x14ac:dyDescent="0.25">
      <c r="A1705" s="2" t="str">
        <f>HYPERLINK("https://rth.dk/resources/bsgatlas/details.php?id=BSGatlas-gene-1704","BSGatlas-gene-1704")</f>
        <v>BSGatlas-gene-1704</v>
      </c>
      <c r="B1705" s="1" t="s">
        <v>1601</v>
      </c>
      <c r="C1705" s="1" t="s">
        <v>8</v>
      </c>
      <c r="D1705" s="1">
        <v>1504282</v>
      </c>
      <c r="E1705" s="1">
        <v>1505415</v>
      </c>
      <c r="F1705" s="1" t="s">
        <v>9</v>
      </c>
      <c r="G1705" s="1" t="s">
        <v>11409</v>
      </c>
    </row>
    <row r="1706" spans="1:7" ht="21" x14ac:dyDescent="0.25">
      <c r="A1706" s="2" t="str">
        <f>HYPERLINK("https://rth.dk/resources/bsgatlas/details.php?id=BSGatlas-gene-1705","BSGatlas-gene-1705")</f>
        <v>BSGatlas-gene-1705</v>
      </c>
      <c r="B1706" s="1" t="s">
        <v>1602</v>
      </c>
      <c r="C1706" s="1" t="s">
        <v>8</v>
      </c>
      <c r="D1706" s="1">
        <v>1505416</v>
      </c>
      <c r="E1706" s="1">
        <v>1506108</v>
      </c>
      <c r="F1706" s="1" t="s">
        <v>9</v>
      </c>
      <c r="G1706" s="1" t="s">
        <v>11409</v>
      </c>
    </row>
    <row r="1707" spans="1:7" ht="21" x14ac:dyDescent="0.25">
      <c r="A1707" s="2" t="str">
        <f>HYPERLINK("https://rth.dk/resources/bsgatlas/details.php?id=BSGatlas-gene-1706","BSGatlas-gene-1706")</f>
        <v>BSGatlas-gene-1706</v>
      </c>
      <c r="B1707" s="1" t="s">
        <v>1603</v>
      </c>
      <c r="C1707" s="1" t="s">
        <v>8</v>
      </c>
      <c r="D1707" s="1">
        <v>1506105</v>
      </c>
      <c r="E1707" s="1">
        <v>1507298</v>
      </c>
      <c r="F1707" s="1" t="s">
        <v>9</v>
      </c>
      <c r="G1707" s="1" t="s">
        <v>11409</v>
      </c>
    </row>
    <row r="1708" spans="1:7" ht="21" x14ac:dyDescent="0.25">
      <c r="A1708" s="2" t="str">
        <f>HYPERLINK("https://rth.dk/resources/bsgatlas/details.php?id=BSGatlas-gene-1707","BSGatlas-gene-1707")</f>
        <v>BSGatlas-gene-1707</v>
      </c>
      <c r="B1708" s="1" t="s">
        <v>1604</v>
      </c>
      <c r="C1708" s="1" t="s">
        <v>8</v>
      </c>
      <c r="D1708" s="1">
        <v>1507578</v>
      </c>
      <c r="E1708" s="1">
        <v>1508333</v>
      </c>
      <c r="F1708" s="1" t="s">
        <v>9</v>
      </c>
      <c r="G1708" s="1" t="s">
        <v>11409</v>
      </c>
    </row>
    <row r="1709" spans="1:7" ht="21" x14ac:dyDescent="0.25">
      <c r="A1709" s="2" t="str">
        <f>HYPERLINK("https://rth.dk/resources/bsgatlas/details.php?id=BSGatlas-gene-1708","BSGatlas-gene-1708")</f>
        <v>BSGatlas-gene-1708</v>
      </c>
      <c r="B1709" s="1" t="s">
        <v>1605</v>
      </c>
      <c r="C1709" s="1" t="s">
        <v>8</v>
      </c>
      <c r="D1709" s="1">
        <v>1508330</v>
      </c>
      <c r="E1709" s="1">
        <v>1509241</v>
      </c>
      <c r="F1709" s="1" t="s">
        <v>9</v>
      </c>
      <c r="G1709" s="1" t="s">
        <v>11409</v>
      </c>
    </row>
    <row r="1710" spans="1:7" ht="21" x14ac:dyDescent="0.25">
      <c r="A1710" s="2" t="str">
        <f>HYPERLINK("https://rth.dk/resources/bsgatlas/details.php?id=BSGatlas-gene-1709","BSGatlas-gene-1709")</f>
        <v>BSGatlas-gene-1709</v>
      </c>
      <c r="B1710" s="1" t="s">
        <v>1606</v>
      </c>
      <c r="C1710" s="1" t="s">
        <v>8</v>
      </c>
      <c r="D1710" s="1">
        <v>1509256</v>
      </c>
      <c r="E1710" s="1">
        <v>1511163</v>
      </c>
      <c r="F1710" s="1" t="s">
        <v>9</v>
      </c>
      <c r="G1710" s="1" t="s">
        <v>11409</v>
      </c>
    </row>
    <row r="1711" spans="1:7" ht="21" x14ac:dyDescent="0.25">
      <c r="A1711" s="2" t="str">
        <f>HYPERLINK("https://rth.dk/resources/bsgatlas/details.php?id=BSGatlas-gene-1710","BSGatlas-gene-1710")</f>
        <v>BSGatlas-gene-1710</v>
      </c>
      <c r="B1711" s="1" t="s">
        <v>1607</v>
      </c>
      <c r="C1711" s="1" t="s">
        <v>8</v>
      </c>
      <c r="D1711" s="1">
        <v>1511308</v>
      </c>
      <c r="E1711" s="1">
        <v>1511889</v>
      </c>
      <c r="F1711" s="1" t="s">
        <v>9</v>
      </c>
      <c r="G1711" s="1" t="s">
        <v>11409</v>
      </c>
    </row>
    <row r="1712" spans="1:7" ht="21" x14ac:dyDescent="0.25">
      <c r="A1712" s="2" t="str">
        <f>HYPERLINK("https://rth.dk/resources/bsgatlas/details.php?id=BSGatlas-gene-1711","BSGatlas-gene-1711")</f>
        <v>BSGatlas-gene-1711</v>
      </c>
      <c r="B1712" s="1" t="s">
        <v>1608</v>
      </c>
      <c r="C1712" s="1" t="s">
        <v>8</v>
      </c>
      <c r="D1712" s="1">
        <v>1511923</v>
      </c>
      <c r="E1712" s="1">
        <v>1512192</v>
      </c>
      <c r="F1712" s="1" t="s">
        <v>13</v>
      </c>
      <c r="G1712" s="1" t="s">
        <v>11409</v>
      </c>
    </row>
    <row r="1713" spans="1:7" ht="21" x14ac:dyDescent="0.25">
      <c r="A1713" s="2" t="str">
        <f>HYPERLINK("https://rth.dk/resources/bsgatlas/details.php?id=BSGatlas-gene-1712","BSGatlas-gene-1712")</f>
        <v>BSGatlas-gene-1712</v>
      </c>
      <c r="B1713" s="1" t="s">
        <v>1609</v>
      </c>
      <c r="C1713" s="1" t="s">
        <v>8</v>
      </c>
      <c r="D1713" s="1">
        <v>1512373</v>
      </c>
      <c r="E1713" s="1">
        <v>1513995</v>
      </c>
      <c r="F1713" s="1" t="s">
        <v>9</v>
      </c>
      <c r="G1713" s="1" t="s">
        <v>11409</v>
      </c>
    </row>
    <row r="1714" spans="1:7" ht="21" x14ac:dyDescent="0.25">
      <c r="A1714" s="2" t="str">
        <f>HYPERLINK("https://rth.dk/resources/bsgatlas/details.php?id=BSGatlas-gene-1713","BSGatlas-gene-1713")</f>
        <v>BSGatlas-gene-1713</v>
      </c>
      <c r="B1714" s="1" t="s">
        <v>1610</v>
      </c>
      <c r="C1714" s="1" t="s">
        <v>8</v>
      </c>
      <c r="D1714" s="1">
        <v>1514052</v>
      </c>
      <c r="E1714" s="1">
        <v>1514963</v>
      </c>
      <c r="F1714" s="1" t="s">
        <v>9</v>
      </c>
      <c r="G1714" s="1" t="s">
        <v>11409</v>
      </c>
    </row>
    <row r="1715" spans="1:7" ht="21" x14ac:dyDescent="0.25">
      <c r="A1715" s="2" t="str">
        <f>HYPERLINK("https://rth.dk/resources/bsgatlas/details.php?id=BSGatlas-gene-1714","BSGatlas-gene-1714")</f>
        <v>BSGatlas-gene-1714</v>
      </c>
      <c r="B1715" s="1" t="s">
        <v>1611</v>
      </c>
      <c r="C1715" s="1" t="s">
        <v>8</v>
      </c>
      <c r="D1715" s="1">
        <v>1514997</v>
      </c>
      <c r="E1715" s="1">
        <v>1516229</v>
      </c>
      <c r="F1715" s="1" t="s">
        <v>13</v>
      </c>
      <c r="G1715" s="1" t="s">
        <v>11409</v>
      </c>
    </row>
    <row r="1716" spans="1:7" ht="21" x14ac:dyDescent="0.25">
      <c r="A1716" s="2" t="str">
        <f>HYPERLINK("https://rth.dk/resources/bsgatlas/details.php?id=BSGatlas-gene-1715","BSGatlas-gene-1715")</f>
        <v>BSGatlas-gene-1715</v>
      </c>
      <c r="B1716" s="1" t="s">
        <v>1612</v>
      </c>
      <c r="C1716" s="1" t="s">
        <v>8</v>
      </c>
      <c r="D1716" s="1">
        <v>1516339</v>
      </c>
      <c r="E1716" s="1">
        <v>1516473</v>
      </c>
      <c r="F1716" s="1" t="s">
        <v>13</v>
      </c>
      <c r="G1716" s="1" t="s">
        <v>11409</v>
      </c>
    </row>
    <row r="1717" spans="1:7" ht="21" x14ac:dyDescent="0.25">
      <c r="A1717" s="2" t="str">
        <f>HYPERLINK("https://rth.dk/resources/bsgatlas/details.php?id=BSGatlas-gene-1716","BSGatlas-gene-1716")</f>
        <v>BSGatlas-gene-1716</v>
      </c>
      <c r="B1717" s="1" t="s">
        <v>1613</v>
      </c>
      <c r="C1717" s="1" t="s">
        <v>8</v>
      </c>
      <c r="D1717" s="1">
        <v>1516574</v>
      </c>
      <c r="E1717" s="1">
        <v>1517581</v>
      </c>
      <c r="F1717" s="1" t="s">
        <v>13</v>
      </c>
      <c r="G1717" s="1" t="s">
        <v>11409</v>
      </c>
    </row>
    <row r="1718" spans="1:7" ht="21" x14ac:dyDescent="0.25">
      <c r="A1718" s="2" t="str">
        <f>HYPERLINK("https://rth.dk/resources/bsgatlas/details.php?id=BSGatlas-gene-1717","BSGatlas-gene-1717")</f>
        <v>BSGatlas-gene-1717</v>
      </c>
      <c r="B1718" s="1" t="s">
        <v>1614</v>
      </c>
      <c r="C1718" s="1" t="s">
        <v>8</v>
      </c>
      <c r="D1718" s="1">
        <v>1517865</v>
      </c>
      <c r="E1718" s="1">
        <v>1518143</v>
      </c>
      <c r="F1718" s="1" t="s">
        <v>9</v>
      </c>
      <c r="G1718" s="1" t="s">
        <v>11409</v>
      </c>
    </row>
    <row r="1719" spans="1:7" ht="21" x14ac:dyDescent="0.25">
      <c r="A1719" s="2" t="str">
        <f>HYPERLINK("https://rth.dk/resources/bsgatlas/details.php?id=BSGatlas-gene-1718","BSGatlas-gene-1718")</f>
        <v>BSGatlas-gene-1718</v>
      </c>
      <c r="B1719" s="1" t="s">
        <v>1615</v>
      </c>
      <c r="C1719" s="1" t="s">
        <v>12</v>
      </c>
      <c r="D1719" s="1">
        <v>1518175</v>
      </c>
      <c r="E1719" s="1">
        <v>1519804</v>
      </c>
      <c r="F1719" s="1" t="s">
        <v>13</v>
      </c>
      <c r="G1719" s="1" t="s">
        <v>11406</v>
      </c>
    </row>
    <row r="1720" spans="1:7" ht="21" x14ac:dyDescent="0.25">
      <c r="A1720" s="2" t="str">
        <f>HYPERLINK("https://rth.dk/resources/bsgatlas/details.php?id=BSGatlas-gene-1719","BSGatlas-gene-1719")</f>
        <v>BSGatlas-gene-1719</v>
      </c>
      <c r="B1720" s="1" t="s">
        <v>1616</v>
      </c>
      <c r="C1720" s="1" t="s">
        <v>8</v>
      </c>
      <c r="D1720" s="1">
        <v>1518333</v>
      </c>
      <c r="E1720" s="1">
        <v>1519619</v>
      </c>
      <c r="F1720" s="1" t="s">
        <v>9</v>
      </c>
      <c r="G1720" s="1" t="s">
        <v>11409</v>
      </c>
    </row>
    <row r="1721" spans="1:7" ht="21" x14ac:dyDescent="0.25">
      <c r="A1721" s="2" t="str">
        <f>HYPERLINK("https://rth.dk/resources/bsgatlas/details.php?id=BSGatlas-gene-1720","BSGatlas-gene-1720")</f>
        <v>BSGatlas-gene-1720</v>
      </c>
      <c r="B1721" s="1" t="s">
        <v>1617</v>
      </c>
      <c r="C1721" s="1" t="s">
        <v>8</v>
      </c>
      <c r="D1721" s="1">
        <v>1519635</v>
      </c>
      <c r="E1721" s="1">
        <v>1520468</v>
      </c>
      <c r="F1721" s="1" t="s">
        <v>9</v>
      </c>
      <c r="G1721" s="1" t="s">
        <v>11409</v>
      </c>
    </row>
    <row r="1722" spans="1:7" ht="21" x14ac:dyDescent="0.25">
      <c r="A1722" s="2" t="str">
        <f>HYPERLINK("https://rth.dk/resources/bsgatlas/details.php?id=BSGatlas-gene-1721","BSGatlas-gene-1721")</f>
        <v>BSGatlas-gene-1721</v>
      </c>
      <c r="B1722" s="1" t="s">
        <v>1618</v>
      </c>
      <c r="C1722" s="1" t="s">
        <v>8</v>
      </c>
      <c r="D1722" s="1">
        <v>1520531</v>
      </c>
      <c r="E1722" s="1">
        <v>1521196</v>
      </c>
      <c r="F1722" s="1" t="s">
        <v>9</v>
      </c>
      <c r="G1722" s="1" t="s">
        <v>11409</v>
      </c>
    </row>
    <row r="1723" spans="1:7" ht="21" x14ac:dyDescent="0.25">
      <c r="A1723" s="2" t="str">
        <f>HYPERLINK("https://rth.dk/resources/bsgatlas/details.php?id=BSGatlas-gene-1722","BSGatlas-gene-1722")</f>
        <v>BSGatlas-gene-1722</v>
      </c>
      <c r="B1723" s="1" t="s">
        <v>1619</v>
      </c>
      <c r="C1723" s="1" t="s">
        <v>8</v>
      </c>
      <c r="D1723" s="1">
        <v>1521351</v>
      </c>
      <c r="E1723" s="1">
        <v>1523084</v>
      </c>
      <c r="F1723" s="1" t="s">
        <v>9</v>
      </c>
      <c r="G1723" s="1" t="s">
        <v>11409</v>
      </c>
    </row>
    <row r="1724" spans="1:7" ht="21" x14ac:dyDescent="0.25">
      <c r="A1724" s="2" t="str">
        <f>HYPERLINK("https://rth.dk/resources/bsgatlas/details.php?id=BSGatlas-gene-1723","BSGatlas-gene-1723")</f>
        <v>BSGatlas-gene-1723</v>
      </c>
      <c r="B1724" s="1" t="s">
        <v>1620</v>
      </c>
      <c r="C1724" s="1" t="s">
        <v>8</v>
      </c>
      <c r="D1724" s="1">
        <v>1523118</v>
      </c>
      <c r="E1724" s="1">
        <v>1524785</v>
      </c>
      <c r="F1724" s="1" t="s">
        <v>13</v>
      </c>
      <c r="G1724" s="1" t="s">
        <v>11409</v>
      </c>
    </row>
    <row r="1725" spans="1:7" ht="21" x14ac:dyDescent="0.25">
      <c r="A1725" s="2" t="str">
        <f>HYPERLINK("https://rth.dk/resources/bsgatlas/details.php?id=BSGatlas-gene-1724","BSGatlas-gene-1724")</f>
        <v>BSGatlas-gene-1724</v>
      </c>
      <c r="B1725" s="1" t="s">
        <v>1621</v>
      </c>
      <c r="C1725" s="1" t="s">
        <v>8</v>
      </c>
      <c r="D1725" s="1">
        <v>1524791</v>
      </c>
      <c r="E1725" s="1">
        <v>1525000</v>
      </c>
      <c r="F1725" s="1" t="s">
        <v>13</v>
      </c>
      <c r="G1725" s="1" t="s">
        <v>11409</v>
      </c>
    </row>
    <row r="1726" spans="1:7" ht="21" x14ac:dyDescent="0.25">
      <c r="A1726" s="2" t="str">
        <f>HYPERLINK("https://rth.dk/resources/bsgatlas/details.php?id=BSGatlas-gene-1725","BSGatlas-gene-1725")</f>
        <v>BSGatlas-gene-1725</v>
      </c>
      <c r="B1726" s="1" t="s">
        <v>1622</v>
      </c>
      <c r="C1726" s="1" t="s">
        <v>8</v>
      </c>
      <c r="D1726" s="1">
        <v>1525386</v>
      </c>
      <c r="E1726" s="1">
        <v>1526159</v>
      </c>
      <c r="F1726" s="1" t="s">
        <v>9</v>
      </c>
      <c r="G1726" s="1" t="s">
        <v>11409</v>
      </c>
    </row>
    <row r="1727" spans="1:7" ht="21" x14ac:dyDescent="0.25">
      <c r="A1727" s="2" t="str">
        <f>HYPERLINK("https://rth.dk/resources/bsgatlas/details.php?id=BSGatlas-gene-1726","BSGatlas-gene-1726")</f>
        <v>BSGatlas-gene-1726</v>
      </c>
      <c r="B1727" s="1" t="s">
        <v>1623</v>
      </c>
      <c r="C1727" s="1" t="s">
        <v>8</v>
      </c>
      <c r="D1727" s="1">
        <v>1526195</v>
      </c>
      <c r="E1727" s="1">
        <v>1526749</v>
      </c>
      <c r="F1727" s="1" t="s">
        <v>13</v>
      </c>
      <c r="G1727" s="1" t="s">
        <v>11409</v>
      </c>
    </row>
    <row r="1728" spans="1:7" ht="21" x14ac:dyDescent="0.25">
      <c r="A1728" s="2" t="str">
        <f>HYPERLINK("https://rth.dk/resources/bsgatlas/details.php?id=BSGatlas-gene-1727","BSGatlas-gene-1727")</f>
        <v>BSGatlas-gene-1727</v>
      </c>
      <c r="B1728" s="1" t="s">
        <v>1624</v>
      </c>
      <c r="C1728" s="1" t="s">
        <v>8</v>
      </c>
      <c r="D1728" s="1">
        <v>1526859</v>
      </c>
      <c r="E1728" s="1">
        <v>1527017</v>
      </c>
      <c r="F1728" s="1" t="s">
        <v>13</v>
      </c>
      <c r="G1728" s="1" t="s">
        <v>11409</v>
      </c>
    </row>
    <row r="1729" spans="1:7" ht="21" x14ac:dyDescent="0.25">
      <c r="A1729" s="2" t="str">
        <f>HYPERLINK("https://rth.dk/resources/bsgatlas/details.php?id=BSGatlas-gene-1728","BSGatlas-gene-1728")</f>
        <v>BSGatlas-gene-1728</v>
      </c>
      <c r="B1729" s="1" t="s">
        <v>318</v>
      </c>
      <c r="C1729" s="1" t="s">
        <v>8</v>
      </c>
      <c r="D1729" s="1">
        <v>1526924</v>
      </c>
      <c r="E1729" s="1">
        <v>1527067</v>
      </c>
      <c r="F1729" s="1" t="s">
        <v>13</v>
      </c>
      <c r="G1729" s="1" t="s">
        <v>11441</v>
      </c>
    </row>
    <row r="1730" spans="1:7" ht="21" x14ac:dyDescent="0.25">
      <c r="A1730" s="2" t="str">
        <f>HYPERLINK("https://rth.dk/resources/bsgatlas/details.php?id=BSGatlas-gene-1729","BSGatlas-gene-1729")</f>
        <v>BSGatlas-gene-1729</v>
      </c>
      <c r="B1730" s="1" t="s">
        <v>1625</v>
      </c>
      <c r="C1730" s="1" t="s">
        <v>8</v>
      </c>
      <c r="D1730" s="1">
        <v>1527231</v>
      </c>
      <c r="E1730" s="1">
        <v>1527902</v>
      </c>
      <c r="F1730" s="1" t="s">
        <v>9</v>
      </c>
      <c r="G1730" s="1" t="s">
        <v>11409</v>
      </c>
    </row>
    <row r="1731" spans="1:7" ht="21" x14ac:dyDescent="0.25">
      <c r="A1731" s="2" t="str">
        <f>HYPERLINK("https://rth.dk/resources/bsgatlas/details.php?id=BSGatlas-gene-1730","BSGatlas-gene-1730")</f>
        <v>BSGatlas-gene-1730</v>
      </c>
      <c r="B1731" s="1" t="s">
        <v>1626</v>
      </c>
      <c r="C1731" s="1" t="s">
        <v>8</v>
      </c>
      <c r="D1731" s="1">
        <v>1528326</v>
      </c>
      <c r="E1731" s="1">
        <v>1529441</v>
      </c>
      <c r="F1731" s="1" t="s">
        <v>9</v>
      </c>
      <c r="G1731" s="1" t="s">
        <v>11409</v>
      </c>
    </row>
    <row r="1732" spans="1:7" ht="21" x14ac:dyDescent="0.25">
      <c r="A1732" s="2" t="str">
        <f>HYPERLINK("https://rth.dk/resources/bsgatlas/details.php?id=BSGatlas-gene-1731","BSGatlas-gene-1731")</f>
        <v>BSGatlas-gene-1731</v>
      </c>
      <c r="B1732" s="1" t="s">
        <v>1627</v>
      </c>
      <c r="C1732" s="1" t="s">
        <v>8</v>
      </c>
      <c r="D1732" s="1">
        <v>1529445</v>
      </c>
      <c r="E1732" s="1">
        <v>1530422</v>
      </c>
      <c r="F1732" s="1" t="s">
        <v>9</v>
      </c>
      <c r="G1732" s="1" t="s">
        <v>11409</v>
      </c>
    </row>
    <row r="1733" spans="1:7" ht="21" x14ac:dyDescent="0.25">
      <c r="A1733" s="2" t="str">
        <f>HYPERLINK("https://rth.dk/resources/bsgatlas/details.php?id=BSGatlas-gene-1732","BSGatlas-gene-1732")</f>
        <v>BSGatlas-gene-1732</v>
      </c>
      <c r="B1733" s="1" t="s">
        <v>1628</v>
      </c>
      <c r="C1733" s="1" t="s">
        <v>8</v>
      </c>
      <c r="D1733" s="1">
        <v>1530537</v>
      </c>
      <c r="E1733" s="1">
        <v>1531865</v>
      </c>
      <c r="F1733" s="1" t="s">
        <v>9</v>
      </c>
      <c r="G1733" s="1" t="s">
        <v>11409</v>
      </c>
    </row>
    <row r="1734" spans="1:7" ht="21" x14ac:dyDescent="0.25">
      <c r="A1734" s="2" t="str">
        <f>HYPERLINK("https://rth.dk/resources/bsgatlas/details.php?id=BSGatlas-gene-1733","BSGatlas-gene-1733")</f>
        <v>BSGatlas-gene-1733</v>
      </c>
      <c r="B1734" s="1" t="s">
        <v>1629</v>
      </c>
      <c r="C1734" s="1" t="s">
        <v>8</v>
      </c>
      <c r="D1734" s="1">
        <v>1531870</v>
      </c>
      <c r="E1734" s="1">
        <v>1533282</v>
      </c>
      <c r="F1734" s="1" t="s">
        <v>9</v>
      </c>
      <c r="G1734" s="1" t="s">
        <v>11409</v>
      </c>
    </row>
    <row r="1735" spans="1:7" ht="21" x14ac:dyDescent="0.25">
      <c r="A1735" s="2" t="str">
        <f>HYPERLINK("https://rth.dk/resources/bsgatlas/details.php?id=BSGatlas-gene-1734","BSGatlas-gene-1734")</f>
        <v>BSGatlas-gene-1734</v>
      </c>
      <c r="B1735" s="1" t="s">
        <v>1630</v>
      </c>
      <c r="C1735" s="1" t="s">
        <v>8</v>
      </c>
      <c r="D1735" s="1">
        <v>1533327</v>
      </c>
      <c r="E1735" s="1">
        <v>1533701</v>
      </c>
      <c r="F1735" s="1" t="s">
        <v>13</v>
      </c>
      <c r="G1735" s="1" t="s">
        <v>11409</v>
      </c>
    </row>
    <row r="1736" spans="1:7" ht="21" x14ac:dyDescent="0.25">
      <c r="A1736" s="2" t="str">
        <f>HYPERLINK("https://rth.dk/resources/bsgatlas/details.php?id=BSGatlas-gene-1735","BSGatlas-gene-1735")</f>
        <v>BSGatlas-gene-1735</v>
      </c>
      <c r="B1736" s="1" t="s">
        <v>1631</v>
      </c>
      <c r="C1736" s="1" t="s">
        <v>55</v>
      </c>
      <c r="D1736" s="1">
        <v>1534069</v>
      </c>
      <c r="E1736" s="1">
        <v>1534280</v>
      </c>
      <c r="F1736" s="1" t="s">
        <v>9</v>
      </c>
      <c r="G1736" s="1" t="s">
        <v>11411</v>
      </c>
    </row>
    <row r="1737" spans="1:7" ht="21" x14ac:dyDescent="0.25">
      <c r="A1737" s="2" t="str">
        <f>HYPERLINK("https://rth.dk/resources/bsgatlas/details.php?id=BSGatlas-gene-1736","BSGatlas-gene-1736")</f>
        <v>BSGatlas-gene-1736</v>
      </c>
      <c r="B1737" s="1" t="s">
        <v>1632</v>
      </c>
      <c r="C1737" s="1" t="s">
        <v>8</v>
      </c>
      <c r="D1737" s="1">
        <v>1534120</v>
      </c>
      <c r="E1737" s="1">
        <v>1534239</v>
      </c>
      <c r="F1737" s="1" t="s">
        <v>9</v>
      </c>
      <c r="G1737" s="1" t="s">
        <v>11409</v>
      </c>
    </row>
    <row r="1738" spans="1:7" ht="21" x14ac:dyDescent="0.25">
      <c r="A1738" s="2" t="str">
        <f>HYPERLINK("https://rth.dk/resources/bsgatlas/details.php?id=BSGatlas-gene-1737","BSGatlas-gene-1737")</f>
        <v>BSGatlas-gene-1737</v>
      </c>
      <c r="B1738" s="1" t="s">
        <v>1633</v>
      </c>
      <c r="C1738" s="1" t="s">
        <v>8</v>
      </c>
      <c r="D1738" s="1">
        <v>1534279</v>
      </c>
      <c r="E1738" s="1">
        <v>1535751</v>
      </c>
      <c r="F1738" s="1" t="s">
        <v>13</v>
      </c>
      <c r="G1738" s="1" t="s">
        <v>11409</v>
      </c>
    </row>
    <row r="1739" spans="1:7" ht="21" x14ac:dyDescent="0.25">
      <c r="A1739" s="2" t="str">
        <f>HYPERLINK("https://rth.dk/resources/bsgatlas/details.php?id=BSGatlas-gene-1738","BSGatlas-gene-1738")</f>
        <v>BSGatlas-gene-1738</v>
      </c>
      <c r="B1739" s="1" t="s">
        <v>1634</v>
      </c>
      <c r="C1739" s="1" t="s">
        <v>8</v>
      </c>
      <c r="D1739" s="1">
        <v>1535936</v>
      </c>
      <c r="E1739" s="1">
        <v>1536202</v>
      </c>
      <c r="F1739" s="1" t="s">
        <v>9</v>
      </c>
      <c r="G1739" s="1" t="s">
        <v>11409</v>
      </c>
    </row>
    <row r="1740" spans="1:7" ht="21" x14ac:dyDescent="0.25">
      <c r="A1740" s="2" t="str">
        <f>HYPERLINK("https://rth.dk/resources/bsgatlas/details.php?id=BSGatlas-gene-1739","BSGatlas-gene-1739")</f>
        <v>BSGatlas-gene-1739</v>
      </c>
      <c r="B1740" s="1" t="s">
        <v>1635</v>
      </c>
      <c r="C1740" s="1" t="s">
        <v>8</v>
      </c>
      <c r="D1740" s="1">
        <v>1536235</v>
      </c>
      <c r="E1740" s="1">
        <v>1536873</v>
      </c>
      <c r="F1740" s="1" t="s">
        <v>13</v>
      </c>
      <c r="G1740" s="1" t="s">
        <v>11409</v>
      </c>
    </row>
    <row r="1741" spans="1:7" ht="21" x14ac:dyDescent="0.25">
      <c r="A1741" s="2" t="str">
        <f>HYPERLINK("https://rth.dk/resources/bsgatlas/details.php?id=BSGatlas-gene-1740","BSGatlas-gene-1740")</f>
        <v>BSGatlas-gene-1740</v>
      </c>
      <c r="B1741" s="1" t="s">
        <v>1636</v>
      </c>
      <c r="C1741" s="1" t="s">
        <v>8</v>
      </c>
      <c r="D1741" s="1">
        <v>1537113</v>
      </c>
      <c r="E1741" s="1">
        <v>1537301</v>
      </c>
      <c r="F1741" s="1" t="s">
        <v>9</v>
      </c>
      <c r="G1741" s="1" t="s">
        <v>11409</v>
      </c>
    </row>
    <row r="1742" spans="1:7" ht="21" x14ac:dyDescent="0.25">
      <c r="A1742" s="2" t="str">
        <f>HYPERLINK("https://rth.dk/resources/bsgatlas/details.php?id=BSGatlas-gene-1741","BSGatlas-gene-1741")</f>
        <v>BSGatlas-gene-1741</v>
      </c>
      <c r="B1742" s="1" t="s">
        <v>1638</v>
      </c>
      <c r="C1742" s="1" t="s">
        <v>8</v>
      </c>
      <c r="D1742" s="1">
        <v>1537441</v>
      </c>
      <c r="E1742" s="1">
        <v>1538238</v>
      </c>
      <c r="F1742" s="1" t="s">
        <v>9</v>
      </c>
      <c r="G1742" s="1" t="s">
        <v>11409</v>
      </c>
    </row>
    <row r="1743" spans="1:7" ht="21" x14ac:dyDescent="0.25">
      <c r="A1743" s="2" t="str">
        <f>HYPERLINK("https://rth.dk/resources/bsgatlas/details.php?id=BSGatlas-gene-1742","BSGatlas-gene-1742")</f>
        <v>BSGatlas-gene-1742</v>
      </c>
      <c r="B1743" s="1" t="s">
        <v>1639</v>
      </c>
      <c r="C1743" s="1" t="s">
        <v>8</v>
      </c>
      <c r="D1743" s="1">
        <v>1538264</v>
      </c>
      <c r="E1743" s="1">
        <v>1538692</v>
      </c>
      <c r="F1743" s="1" t="s">
        <v>9</v>
      </c>
      <c r="G1743" s="1" t="s">
        <v>11409</v>
      </c>
    </row>
    <row r="1744" spans="1:7" ht="21" x14ac:dyDescent="0.25">
      <c r="A1744" s="2" t="str">
        <f>HYPERLINK("https://rth.dk/resources/bsgatlas/details.php?id=BSGatlas-gene-1743","BSGatlas-gene-1743")</f>
        <v>BSGatlas-gene-1743</v>
      </c>
      <c r="B1744" s="1" t="s">
        <v>1637</v>
      </c>
      <c r="C1744" s="1" t="s">
        <v>8</v>
      </c>
      <c r="D1744" s="1">
        <v>1538770</v>
      </c>
      <c r="E1744" s="1">
        <v>1539684</v>
      </c>
      <c r="F1744" s="1" t="s">
        <v>13</v>
      </c>
      <c r="G1744" s="1" t="s">
        <v>11409</v>
      </c>
    </row>
    <row r="1745" spans="1:7" ht="21" x14ac:dyDescent="0.25">
      <c r="A1745" s="2" t="str">
        <f>HYPERLINK("https://rth.dk/resources/bsgatlas/details.php?id=BSGatlas-gene-1744","BSGatlas-gene-1744")</f>
        <v>BSGatlas-gene-1744</v>
      </c>
      <c r="B1745" s="1" t="s">
        <v>1640</v>
      </c>
      <c r="C1745" s="1" t="s">
        <v>8</v>
      </c>
      <c r="D1745" s="1">
        <v>1540036</v>
      </c>
      <c r="E1745" s="1">
        <v>1541601</v>
      </c>
      <c r="F1745" s="1" t="s">
        <v>13</v>
      </c>
      <c r="G1745" s="1" t="s">
        <v>11409</v>
      </c>
    </row>
    <row r="1746" spans="1:7" ht="21" x14ac:dyDescent="0.25">
      <c r="A1746" s="2" t="str">
        <f>HYPERLINK("https://rth.dk/resources/bsgatlas/details.php?id=BSGatlas-gene-1745","BSGatlas-gene-1745")</f>
        <v>BSGatlas-gene-1745</v>
      </c>
      <c r="B1746" s="1" t="s">
        <v>1641</v>
      </c>
      <c r="C1746" s="1" t="s">
        <v>8</v>
      </c>
      <c r="D1746" s="1">
        <v>1541886</v>
      </c>
      <c r="E1746" s="1">
        <v>1543826</v>
      </c>
      <c r="F1746" s="1" t="s">
        <v>9</v>
      </c>
      <c r="G1746" s="1" t="s">
        <v>11409</v>
      </c>
    </row>
    <row r="1747" spans="1:7" ht="21" x14ac:dyDescent="0.25">
      <c r="A1747" s="2" t="str">
        <f>HYPERLINK("https://rth.dk/resources/bsgatlas/details.php?id=BSGatlas-gene-1746","BSGatlas-gene-1746")</f>
        <v>BSGatlas-gene-1746</v>
      </c>
      <c r="B1747" s="1" t="s">
        <v>1642</v>
      </c>
      <c r="C1747" s="1" t="s">
        <v>8</v>
      </c>
      <c r="D1747" s="1">
        <v>1543816</v>
      </c>
      <c r="E1747" s="1">
        <v>1544085</v>
      </c>
      <c r="F1747" s="1" t="s">
        <v>9</v>
      </c>
      <c r="G1747" s="1" t="s">
        <v>11409</v>
      </c>
    </row>
    <row r="1748" spans="1:7" ht="21" x14ac:dyDescent="0.25">
      <c r="A1748" s="2" t="str">
        <f>HYPERLINK("https://rth.dk/resources/bsgatlas/details.php?id=BSGatlas-gene-1747","BSGatlas-gene-1747")</f>
        <v>BSGatlas-gene-1747</v>
      </c>
      <c r="B1748" s="1" t="s">
        <v>1643</v>
      </c>
      <c r="C1748" s="1" t="s">
        <v>8</v>
      </c>
      <c r="D1748" s="1">
        <v>1544085</v>
      </c>
      <c r="E1748" s="1">
        <v>1544606</v>
      </c>
      <c r="F1748" s="1" t="s">
        <v>9</v>
      </c>
      <c r="G1748" s="1" t="s">
        <v>11409</v>
      </c>
    </row>
    <row r="1749" spans="1:7" ht="21" x14ac:dyDescent="0.25">
      <c r="A1749" s="2" t="str">
        <f>HYPERLINK("https://rth.dk/resources/bsgatlas/details.php?id=BSGatlas-gene-1748","BSGatlas-gene-1748")</f>
        <v>BSGatlas-gene-1748</v>
      </c>
      <c r="B1749" s="1" t="s">
        <v>1644</v>
      </c>
      <c r="C1749" s="1" t="s">
        <v>8</v>
      </c>
      <c r="D1749" s="1">
        <v>1544603</v>
      </c>
      <c r="E1749" s="1">
        <v>1544896</v>
      </c>
      <c r="F1749" s="1" t="s">
        <v>9</v>
      </c>
      <c r="G1749" s="1" t="s">
        <v>11409</v>
      </c>
    </row>
    <row r="1750" spans="1:7" ht="21" x14ac:dyDescent="0.25">
      <c r="A1750" s="2" t="str">
        <f>HYPERLINK("https://rth.dk/resources/bsgatlas/details.php?id=BSGatlas-gene-1749","BSGatlas-gene-1749")</f>
        <v>BSGatlas-gene-1749</v>
      </c>
      <c r="B1750" s="1" t="s">
        <v>1645</v>
      </c>
      <c r="C1750" s="1" t="s">
        <v>8</v>
      </c>
      <c r="D1750" s="1">
        <v>1544936</v>
      </c>
      <c r="E1750" s="1">
        <v>1545547</v>
      </c>
      <c r="F1750" s="1" t="s">
        <v>13</v>
      </c>
      <c r="G1750" s="1" t="s">
        <v>11409</v>
      </c>
    </row>
    <row r="1751" spans="1:7" ht="21" x14ac:dyDescent="0.25">
      <c r="A1751" s="2" t="str">
        <f>HYPERLINK("https://rth.dk/resources/bsgatlas/details.php?id=BSGatlas-gene-1750","BSGatlas-gene-1750")</f>
        <v>BSGatlas-gene-1750</v>
      </c>
      <c r="B1751" s="1" t="s">
        <v>1646</v>
      </c>
      <c r="C1751" s="1" t="s">
        <v>8</v>
      </c>
      <c r="D1751" s="1">
        <v>1545820</v>
      </c>
      <c r="E1751" s="1">
        <v>1546008</v>
      </c>
      <c r="F1751" s="1" t="s">
        <v>13</v>
      </c>
      <c r="G1751" s="1" t="s">
        <v>11409</v>
      </c>
    </row>
    <row r="1752" spans="1:7" ht="21" x14ac:dyDescent="0.25">
      <c r="A1752" s="2" t="str">
        <f>HYPERLINK("https://rth.dk/resources/bsgatlas/details.php?id=BSGatlas-gene-1751","BSGatlas-gene-1751")</f>
        <v>BSGatlas-gene-1751</v>
      </c>
      <c r="B1752" s="1" t="s">
        <v>1647</v>
      </c>
      <c r="C1752" s="1" t="s">
        <v>8</v>
      </c>
      <c r="D1752" s="1">
        <v>1546121</v>
      </c>
      <c r="E1752" s="1">
        <v>1547959</v>
      </c>
      <c r="F1752" s="1" t="s">
        <v>9</v>
      </c>
      <c r="G1752" s="1" t="s">
        <v>11409</v>
      </c>
    </row>
    <row r="1753" spans="1:7" ht="21" x14ac:dyDescent="0.25">
      <c r="A1753" s="2" t="str">
        <f>HYPERLINK("https://rth.dk/resources/bsgatlas/details.php?id=BSGatlas-gene-1752","BSGatlas-gene-1752")</f>
        <v>BSGatlas-gene-1752</v>
      </c>
      <c r="B1753" s="1" t="s">
        <v>1648</v>
      </c>
      <c r="C1753" s="1" t="s">
        <v>8</v>
      </c>
      <c r="D1753" s="1">
        <v>1548016</v>
      </c>
      <c r="E1753" s="1">
        <v>1548333</v>
      </c>
      <c r="F1753" s="1" t="s">
        <v>9</v>
      </c>
      <c r="G1753" s="1" t="s">
        <v>11409</v>
      </c>
    </row>
    <row r="1754" spans="1:7" ht="21" x14ac:dyDescent="0.25">
      <c r="A1754" s="2" t="str">
        <f>HYPERLINK("https://rth.dk/resources/bsgatlas/details.php?id=BSGatlas-gene-1753","BSGatlas-gene-1753")</f>
        <v>BSGatlas-gene-1753</v>
      </c>
      <c r="B1754" s="1" t="s">
        <v>1649</v>
      </c>
      <c r="C1754" s="1" t="s">
        <v>8</v>
      </c>
      <c r="D1754" s="1">
        <v>1548389</v>
      </c>
      <c r="E1754" s="1">
        <v>1548598</v>
      </c>
      <c r="F1754" s="1" t="s">
        <v>13</v>
      </c>
      <c r="G1754" s="1" t="s">
        <v>11409</v>
      </c>
    </row>
    <row r="1755" spans="1:7" ht="21" x14ac:dyDescent="0.25">
      <c r="A1755" s="2" t="str">
        <f>HYPERLINK("https://rth.dk/resources/bsgatlas/details.php?id=BSGatlas-gene-1754","BSGatlas-gene-1754")</f>
        <v>BSGatlas-gene-1754</v>
      </c>
      <c r="B1755" s="1" t="s">
        <v>1650</v>
      </c>
      <c r="C1755" s="1" t="s">
        <v>8</v>
      </c>
      <c r="D1755" s="1">
        <v>1548681</v>
      </c>
      <c r="E1755" s="1">
        <v>1549310</v>
      </c>
      <c r="F1755" s="1" t="s">
        <v>13</v>
      </c>
      <c r="G1755" s="1" t="s">
        <v>11409</v>
      </c>
    </row>
    <row r="1756" spans="1:7" ht="21" x14ac:dyDescent="0.25">
      <c r="A1756" s="2" t="str">
        <f>HYPERLINK("https://rth.dk/resources/bsgatlas/details.php?id=BSGatlas-gene-1755","BSGatlas-gene-1755")</f>
        <v>BSGatlas-gene-1755</v>
      </c>
      <c r="B1756" s="1" t="s">
        <v>1651</v>
      </c>
      <c r="C1756" s="1" t="s">
        <v>8</v>
      </c>
      <c r="D1756" s="1">
        <v>1549465</v>
      </c>
      <c r="E1756" s="1">
        <v>1550793</v>
      </c>
      <c r="F1756" s="1" t="s">
        <v>9</v>
      </c>
      <c r="G1756" s="1" t="s">
        <v>11409</v>
      </c>
    </row>
    <row r="1757" spans="1:7" ht="21" x14ac:dyDescent="0.25">
      <c r="A1757" s="2" t="str">
        <f>HYPERLINK("https://rth.dk/resources/bsgatlas/details.php?id=BSGatlas-gene-1756","BSGatlas-gene-1756")</f>
        <v>BSGatlas-gene-1756</v>
      </c>
      <c r="B1757" s="1" t="s">
        <v>1653</v>
      </c>
      <c r="C1757" s="1" t="s">
        <v>8</v>
      </c>
      <c r="D1757" s="1">
        <v>1550797</v>
      </c>
      <c r="E1757" s="1">
        <v>1551282</v>
      </c>
      <c r="F1757" s="1" t="s">
        <v>13</v>
      </c>
      <c r="G1757" s="1" t="s">
        <v>11409</v>
      </c>
    </row>
    <row r="1758" spans="1:7" ht="21" x14ac:dyDescent="0.25">
      <c r="A1758" s="2" t="str">
        <f>HYPERLINK("https://rth.dk/resources/bsgatlas/details.php?id=BSGatlas-gene-1757","BSGatlas-gene-1757")</f>
        <v>BSGatlas-gene-1757</v>
      </c>
      <c r="B1758" s="1" t="s">
        <v>1652</v>
      </c>
      <c r="C1758" s="1" t="s">
        <v>8</v>
      </c>
      <c r="D1758" s="1">
        <v>1551385</v>
      </c>
      <c r="E1758" s="1">
        <v>1552314</v>
      </c>
      <c r="F1758" s="1" t="s">
        <v>9</v>
      </c>
      <c r="G1758" s="1" t="s">
        <v>11409</v>
      </c>
    </row>
    <row r="1759" spans="1:7" ht="21" x14ac:dyDescent="0.25">
      <c r="A1759" s="2" t="str">
        <f>HYPERLINK("https://rth.dk/resources/bsgatlas/details.php?id=BSGatlas-gene-1758","BSGatlas-gene-1758")</f>
        <v>BSGatlas-gene-1758</v>
      </c>
      <c r="B1759" s="1" t="s">
        <v>1654</v>
      </c>
      <c r="C1759" s="1" t="s">
        <v>8</v>
      </c>
      <c r="D1759" s="1">
        <v>1552412</v>
      </c>
      <c r="E1759" s="1">
        <v>1552693</v>
      </c>
      <c r="F1759" s="1" t="s">
        <v>9</v>
      </c>
      <c r="G1759" s="1" t="s">
        <v>11409</v>
      </c>
    </row>
    <row r="1760" spans="1:7" ht="21" x14ac:dyDescent="0.25">
      <c r="A1760" s="2" t="str">
        <f>HYPERLINK("https://rth.dk/resources/bsgatlas/details.php?id=BSGatlas-gene-1759","BSGatlas-gene-1759")</f>
        <v>BSGatlas-gene-1759</v>
      </c>
      <c r="B1760" s="1" t="s">
        <v>1655</v>
      </c>
      <c r="C1760" s="1" t="s">
        <v>8</v>
      </c>
      <c r="D1760" s="1">
        <v>1552899</v>
      </c>
      <c r="E1760" s="1">
        <v>1554110</v>
      </c>
      <c r="F1760" s="1" t="s">
        <v>9</v>
      </c>
      <c r="G1760" s="1" t="s">
        <v>11409</v>
      </c>
    </row>
    <row r="1761" spans="1:7" ht="21" x14ac:dyDescent="0.25">
      <c r="A1761" s="2" t="str">
        <f>HYPERLINK("https://rth.dk/resources/bsgatlas/details.php?id=BSGatlas-gene-1760","BSGatlas-gene-1760")</f>
        <v>BSGatlas-gene-1760</v>
      </c>
      <c r="B1761" s="1" t="s">
        <v>1656</v>
      </c>
      <c r="C1761" s="1" t="s">
        <v>8</v>
      </c>
      <c r="D1761" s="1">
        <v>1554185</v>
      </c>
      <c r="E1761" s="1">
        <v>1557631</v>
      </c>
      <c r="F1761" s="1" t="s">
        <v>9</v>
      </c>
      <c r="G1761" s="1" t="s">
        <v>11409</v>
      </c>
    </row>
    <row r="1762" spans="1:7" ht="21" x14ac:dyDescent="0.25">
      <c r="A1762" s="2" t="str">
        <f>HYPERLINK("https://rth.dk/resources/bsgatlas/details.php?id=BSGatlas-gene-1761","BSGatlas-gene-1761")</f>
        <v>BSGatlas-gene-1761</v>
      </c>
      <c r="B1762" s="1" t="s">
        <v>1657</v>
      </c>
      <c r="C1762" s="1" t="s">
        <v>8</v>
      </c>
      <c r="D1762" s="1">
        <v>1558034</v>
      </c>
      <c r="E1762" s="1">
        <v>1558954</v>
      </c>
      <c r="F1762" s="1" t="s">
        <v>13</v>
      </c>
      <c r="G1762" s="1" t="s">
        <v>11409</v>
      </c>
    </row>
    <row r="1763" spans="1:7" ht="21" x14ac:dyDescent="0.25">
      <c r="A1763" s="2" t="str">
        <f>HYPERLINK("https://rth.dk/resources/bsgatlas/details.php?id=BSGatlas-gene-1762","BSGatlas-gene-1762")</f>
        <v>BSGatlas-gene-1762</v>
      </c>
      <c r="B1763" s="1" t="s">
        <v>1658</v>
      </c>
      <c r="C1763" s="1" t="s">
        <v>8</v>
      </c>
      <c r="D1763" s="1">
        <v>1559309</v>
      </c>
      <c r="E1763" s="1">
        <v>1560226</v>
      </c>
      <c r="F1763" s="1" t="s">
        <v>9</v>
      </c>
      <c r="G1763" s="1" t="s">
        <v>11409</v>
      </c>
    </row>
    <row r="1764" spans="1:7" ht="21" x14ac:dyDescent="0.25">
      <c r="A1764" s="2" t="str">
        <f>HYPERLINK("https://rth.dk/resources/bsgatlas/details.php?id=BSGatlas-gene-1763","BSGatlas-gene-1763")</f>
        <v>BSGatlas-gene-1763</v>
      </c>
      <c r="B1764" s="1" t="s">
        <v>1659</v>
      </c>
      <c r="C1764" s="1" t="s">
        <v>8</v>
      </c>
      <c r="D1764" s="1">
        <v>1560466</v>
      </c>
      <c r="E1764" s="1">
        <v>1561536</v>
      </c>
      <c r="F1764" s="1" t="s">
        <v>9</v>
      </c>
      <c r="G1764" s="1" t="s">
        <v>11409</v>
      </c>
    </row>
    <row r="1765" spans="1:7" ht="21" x14ac:dyDescent="0.25">
      <c r="A1765" s="2" t="str">
        <f>HYPERLINK("https://rth.dk/resources/bsgatlas/details.php?id=BSGatlas-gene-1764","BSGatlas-gene-1764")</f>
        <v>BSGatlas-gene-1764</v>
      </c>
      <c r="B1765" s="1" t="s">
        <v>1660</v>
      </c>
      <c r="C1765" s="1" t="s">
        <v>8</v>
      </c>
      <c r="D1765" s="1">
        <v>1561569</v>
      </c>
      <c r="E1765" s="1">
        <v>1563437</v>
      </c>
      <c r="F1765" s="1" t="s">
        <v>9</v>
      </c>
      <c r="G1765" s="1" t="s">
        <v>11409</v>
      </c>
    </row>
    <row r="1766" spans="1:7" ht="21" x14ac:dyDescent="0.25">
      <c r="A1766" s="2" t="str">
        <f>HYPERLINK("https://rth.dk/resources/bsgatlas/details.php?id=BSGatlas-gene-1765","BSGatlas-gene-1765")</f>
        <v>BSGatlas-gene-1765</v>
      </c>
      <c r="B1766" s="1" t="s">
        <v>1661</v>
      </c>
      <c r="C1766" s="1" t="s">
        <v>8</v>
      </c>
      <c r="D1766" s="1">
        <v>1563437</v>
      </c>
      <c r="E1766" s="1">
        <v>1564060</v>
      </c>
      <c r="F1766" s="1" t="s">
        <v>9</v>
      </c>
      <c r="G1766" s="1" t="s">
        <v>11409</v>
      </c>
    </row>
    <row r="1767" spans="1:7" ht="21" x14ac:dyDescent="0.25">
      <c r="A1767" s="2" t="str">
        <f>HYPERLINK("https://rth.dk/resources/bsgatlas/details.php?id=BSGatlas-gene-1766","BSGatlas-gene-1766")</f>
        <v>BSGatlas-gene-1766</v>
      </c>
      <c r="B1767" s="1" t="s">
        <v>1662</v>
      </c>
      <c r="C1767" s="1" t="s">
        <v>8</v>
      </c>
      <c r="D1767" s="1">
        <v>1564063</v>
      </c>
      <c r="E1767" s="1">
        <v>1564395</v>
      </c>
      <c r="F1767" s="1" t="s">
        <v>9</v>
      </c>
      <c r="G1767" s="1" t="s">
        <v>11409</v>
      </c>
    </row>
    <row r="1768" spans="1:7" ht="21" x14ac:dyDescent="0.25">
      <c r="A1768" s="2" t="str">
        <f>HYPERLINK("https://rth.dk/resources/bsgatlas/details.php?id=BSGatlas-gene-1767","BSGatlas-gene-1767")</f>
        <v>BSGatlas-gene-1767</v>
      </c>
      <c r="B1768" s="1" t="s">
        <v>1663</v>
      </c>
      <c r="C1768" s="1" t="s">
        <v>8</v>
      </c>
      <c r="D1768" s="1">
        <v>1564422</v>
      </c>
      <c r="E1768" s="1">
        <v>1565315</v>
      </c>
      <c r="F1768" s="1" t="s">
        <v>9</v>
      </c>
      <c r="G1768" s="1" t="s">
        <v>11409</v>
      </c>
    </row>
    <row r="1769" spans="1:7" ht="21" x14ac:dyDescent="0.25">
      <c r="A1769" s="2" t="str">
        <f>HYPERLINK("https://rth.dk/resources/bsgatlas/details.php?id=BSGatlas-gene-1768","BSGatlas-gene-1768")</f>
        <v>BSGatlas-gene-1768</v>
      </c>
      <c r="B1769" s="1" t="s">
        <v>1664</v>
      </c>
      <c r="C1769" s="1" t="s">
        <v>8</v>
      </c>
      <c r="D1769" s="1">
        <v>1565347</v>
      </c>
      <c r="E1769" s="1">
        <v>1565709</v>
      </c>
      <c r="F1769" s="1" t="s">
        <v>13</v>
      </c>
      <c r="G1769" s="1" t="s">
        <v>11409</v>
      </c>
    </row>
    <row r="1770" spans="1:7" ht="21" x14ac:dyDescent="0.25">
      <c r="A1770" s="2" t="str">
        <f>HYPERLINK("https://rth.dk/resources/bsgatlas/details.php?id=BSGatlas-gene-1769","BSGatlas-gene-1769")</f>
        <v>BSGatlas-gene-1769</v>
      </c>
      <c r="B1770" s="1" t="s">
        <v>1665</v>
      </c>
      <c r="C1770" s="1" t="s">
        <v>8</v>
      </c>
      <c r="D1770" s="1">
        <v>1565849</v>
      </c>
      <c r="E1770" s="1">
        <v>1566295</v>
      </c>
      <c r="F1770" s="1" t="s">
        <v>9</v>
      </c>
      <c r="G1770" s="1" t="s">
        <v>11409</v>
      </c>
    </row>
    <row r="1771" spans="1:7" ht="21" x14ac:dyDescent="0.25">
      <c r="A1771" s="2" t="str">
        <f>HYPERLINK("https://rth.dk/resources/bsgatlas/details.php?id=BSGatlas-gene-1770","BSGatlas-gene-1770")</f>
        <v>BSGatlas-gene-1770</v>
      </c>
      <c r="B1771" s="1" t="s">
        <v>1666</v>
      </c>
      <c r="C1771" s="1" t="s">
        <v>8</v>
      </c>
      <c r="D1771" s="1">
        <v>1566379</v>
      </c>
      <c r="E1771" s="1">
        <v>1567419</v>
      </c>
      <c r="F1771" s="1" t="s">
        <v>9</v>
      </c>
      <c r="G1771" s="1" t="s">
        <v>11409</v>
      </c>
    </row>
    <row r="1772" spans="1:7" ht="21" x14ac:dyDescent="0.25">
      <c r="A1772" s="2" t="str">
        <f>HYPERLINK("https://rth.dk/resources/bsgatlas/details.php?id=BSGatlas-gene-1771","BSGatlas-gene-1771")</f>
        <v>BSGatlas-gene-1771</v>
      </c>
      <c r="B1772" s="1" t="s">
        <v>1667</v>
      </c>
      <c r="C1772" s="1" t="s">
        <v>8</v>
      </c>
      <c r="D1772" s="1">
        <v>1567651</v>
      </c>
      <c r="E1772" s="1">
        <v>1568049</v>
      </c>
      <c r="F1772" s="1" t="s">
        <v>9</v>
      </c>
      <c r="G1772" s="1" t="s">
        <v>11409</v>
      </c>
    </row>
    <row r="1773" spans="1:7" ht="21" x14ac:dyDescent="0.25">
      <c r="A1773" s="2" t="str">
        <f>HYPERLINK("https://rth.dk/resources/bsgatlas/details.php?id=BSGatlas-gene-1772","BSGatlas-gene-1772")</f>
        <v>BSGatlas-gene-1772</v>
      </c>
      <c r="B1773" s="1" t="s">
        <v>1668</v>
      </c>
      <c r="C1773" s="1" t="s">
        <v>8</v>
      </c>
      <c r="D1773" s="1">
        <v>1568065</v>
      </c>
      <c r="E1773" s="1">
        <v>1568304</v>
      </c>
      <c r="F1773" s="1" t="s">
        <v>9</v>
      </c>
      <c r="G1773" s="1" t="s">
        <v>11409</v>
      </c>
    </row>
    <row r="1774" spans="1:7" ht="21" x14ac:dyDescent="0.25">
      <c r="A1774" s="2" t="str">
        <f>HYPERLINK("https://rth.dk/resources/bsgatlas/details.php?id=BSGatlas-gene-1773","BSGatlas-gene-1773")</f>
        <v>BSGatlas-gene-1773</v>
      </c>
      <c r="B1774" s="1" t="s">
        <v>1670</v>
      </c>
      <c r="C1774" s="1" t="s">
        <v>8</v>
      </c>
      <c r="D1774" s="1">
        <v>1568420</v>
      </c>
      <c r="E1774" s="1">
        <v>1568869</v>
      </c>
      <c r="F1774" s="1" t="s">
        <v>9</v>
      </c>
      <c r="G1774" s="1" t="s">
        <v>11409</v>
      </c>
    </row>
    <row r="1775" spans="1:7" ht="21" x14ac:dyDescent="0.25">
      <c r="A1775" s="2" t="str">
        <f>HYPERLINK("https://rth.dk/resources/bsgatlas/details.php?id=BSGatlas-gene-1774","BSGatlas-gene-1774")</f>
        <v>BSGatlas-gene-1774</v>
      </c>
      <c r="B1775" s="1" t="s">
        <v>1671</v>
      </c>
      <c r="C1775" s="1" t="s">
        <v>8</v>
      </c>
      <c r="D1775" s="1">
        <v>1568924</v>
      </c>
      <c r="E1775" s="1">
        <v>1569196</v>
      </c>
      <c r="F1775" s="1" t="s">
        <v>9</v>
      </c>
      <c r="G1775" s="1" t="s">
        <v>11409</v>
      </c>
    </row>
    <row r="1776" spans="1:7" ht="21" x14ac:dyDescent="0.25">
      <c r="A1776" s="2" t="str">
        <f>HYPERLINK("https://rth.dk/resources/bsgatlas/details.php?id=BSGatlas-gene-1775","BSGatlas-gene-1775")</f>
        <v>BSGatlas-gene-1775</v>
      </c>
      <c r="B1776" s="1" t="s">
        <v>1672</v>
      </c>
      <c r="C1776" s="1" t="s">
        <v>34</v>
      </c>
      <c r="D1776" s="1">
        <v>1569198</v>
      </c>
      <c r="E1776" s="1">
        <v>1569319</v>
      </c>
      <c r="F1776" s="1" t="s">
        <v>9</v>
      </c>
      <c r="G1776" s="1" t="s">
        <v>11411</v>
      </c>
    </row>
    <row r="1777" spans="1:7" ht="21" x14ac:dyDescent="0.25">
      <c r="A1777" s="2" t="str">
        <f>HYPERLINK("https://rth.dk/resources/bsgatlas/details.php?id=BSGatlas-gene-1776","BSGatlas-gene-1776")</f>
        <v>BSGatlas-gene-1776</v>
      </c>
      <c r="B1777" s="1" t="s">
        <v>1669</v>
      </c>
      <c r="C1777" s="1" t="s">
        <v>12</v>
      </c>
      <c r="D1777" s="1">
        <v>1569226</v>
      </c>
      <c r="E1777" s="1">
        <v>1569349</v>
      </c>
      <c r="F1777" s="1" t="s">
        <v>13</v>
      </c>
      <c r="G1777" s="1" t="s">
        <v>11406</v>
      </c>
    </row>
    <row r="1778" spans="1:7" ht="21" x14ac:dyDescent="0.25">
      <c r="A1778" s="2" t="str">
        <f>HYPERLINK("https://rth.dk/resources/bsgatlas/details.php?id=BSGatlas-gene-1777","BSGatlas-gene-1777")</f>
        <v>BSGatlas-gene-1777</v>
      </c>
      <c r="B1778" s="1" t="s">
        <v>1673</v>
      </c>
      <c r="C1778" s="1" t="s">
        <v>8</v>
      </c>
      <c r="D1778" s="1">
        <v>1569519</v>
      </c>
      <c r="E1778" s="1">
        <v>1570073</v>
      </c>
      <c r="F1778" s="1" t="s">
        <v>9</v>
      </c>
      <c r="G1778" s="1" t="s">
        <v>11409</v>
      </c>
    </row>
    <row r="1779" spans="1:7" ht="21" x14ac:dyDescent="0.25">
      <c r="A1779" s="2" t="str">
        <f>HYPERLINK("https://rth.dk/resources/bsgatlas/details.php?id=BSGatlas-gene-1778","BSGatlas-gene-1778")</f>
        <v>BSGatlas-gene-1778</v>
      </c>
      <c r="B1779" s="1" t="s">
        <v>1674</v>
      </c>
      <c r="C1779" s="1" t="s">
        <v>8</v>
      </c>
      <c r="D1779" s="1">
        <v>1570078</v>
      </c>
      <c r="E1779" s="1">
        <v>1570563</v>
      </c>
      <c r="F1779" s="1" t="s">
        <v>9</v>
      </c>
      <c r="G1779" s="1" t="s">
        <v>11409</v>
      </c>
    </row>
    <row r="1780" spans="1:7" ht="21" x14ac:dyDescent="0.25">
      <c r="A1780" s="2" t="str">
        <f>HYPERLINK("https://rth.dk/resources/bsgatlas/details.php?id=BSGatlas-gene-1779","BSGatlas-gene-1779")</f>
        <v>BSGatlas-gene-1779</v>
      </c>
      <c r="B1780" s="1" t="s">
        <v>1675</v>
      </c>
      <c r="C1780" s="1" t="s">
        <v>8</v>
      </c>
      <c r="D1780" s="1">
        <v>1570574</v>
      </c>
      <c r="E1780" s="1">
        <v>1571800</v>
      </c>
      <c r="F1780" s="1" t="s">
        <v>13</v>
      </c>
      <c r="G1780" s="1" t="s">
        <v>11409</v>
      </c>
    </row>
    <row r="1781" spans="1:7" ht="21" x14ac:dyDescent="0.25">
      <c r="A1781" s="2" t="str">
        <f>HYPERLINK("https://rth.dk/resources/bsgatlas/details.php?id=BSGatlas-gene-1780","BSGatlas-gene-1780")</f>
        <v>BSGatlas-gene-1780</v>
      </c>
      <c r="B1781" s="1" t="s">
        <v>1676</v>
      </c>
      <c r="C1781" s="1" t="s">
        <v>8</v>
      </c>
      <c r="D1781" s="1">
        <v>1571981</v>
      </c>
      <c r="E1781" s="1">
        <v>1572763</v>
      </c>
      <c r="F1781" s="1" t="s">
        <v>9</v>
      </c>
      <c r="G1781" s="1" t="s">
        <v>11409</v>
      </c>
    </row>
    <row r="1782" spans="1:7" ht="21" x14ac:dyDescent="0.25">
      <c r="A1782" s="2" t="str">
        <f>HYPERLINK("https://rth.dk/resources/bsgatlas/details.php?id=BSGatlas-gene-1781","BSGatlas-gene-1781")</f>
        <v>BSGatlas-gene-1781</v>
      </c>
      <c r="B1782" s="1" t="s">
        <v>1677</v>
      </c>
      <c r="C1782" s="1" t="s">
        <v>8</v>
      </c>
      <c r="D1782" s="1">
        <v>1572765</v>
      </c>
      <c r="E1782" s="1">
        <v>1573790</v>
      </c>
      <c r="F1782" s="1" t="s">
        <v>9</v>
      </c>
      <c r="G1782" s="1" t="s">
        <v>11409</v>
      </c>
    </row>
    <row r="1783" spans="1:7" ht="21" x14ac:dyDescent="0.25">
      <c r="A1783" s="2" t="str">
        <f>HYPERLINK("https://rth.dk/resources/bsgatlas/details.php?id=BSGatlas-gene-1782","BSGatlas-gene-1782")</f>
        <v>BSGatlas-gene-1782</v>
      </c>
      <c r="B1783" s="1" t="s">
        <v>1678</v>
      </c>
      <c r="C1783" s="1" t="s">
        <v>8</v>
      </c>
      <c r="D1783" s="1">
        <v>1573807</v>
      </c>
      <c r="E1783" s="1">
        <v>1575054</v>
      </c>
      <c r="F1783" s="1" t="s">
        <v>13</v>
      </c>
      <c r="G1783" s="1" t="s">
        <v>11409</v>
      </c>
    </row>
    <row r="1784" spans="1:7" ht="21" x14ac:dyDescent="0.25">
      <c r="A1784" s="2" t="str">
        <f>HYPERLINK("https://rth.dk/resources/bsgatlas/details.php?id=BSGatlas-gene-1783","BSGatlas-gene-1783")</f>
        <v>BSGatlas-gene-1783</v>
      </c>
      <c r="B1784" s="1" t="s">
        <v>1679</v>
      </c>
      <c r="C1784" s="1" t="s">
        <v>8</v>
      </c>
      <c r="D1784" s="1">
        <v>1575051</v>
      </c>
      <c r="E1784" s="1">
        <v>1575236</v>
      </c>
      <c r="F1784" s="1" t="s">
        <v>13</v>
      </c>
      <c r="G1784" s="1" t="s">
        <v>11409</v>
      </c>
    </row>
    <row r="1785" spans="1:7" ht="21" x14ac:dyDescent="0.25">
      <c r="A1785" s="2" t="str">
        <f>HYPERLINK("https://rth.dk/resources/bsgatlas/details.php?id=BSGatlas-gene-1784","BSGatlas-gene-1784")</f>
        <v>BSGatlas-gene-1784</v>
      </c>
      <c r="B1785" s="1" t="s">
        <v>1680</v>
      </c>
      <c r="C1785" s="1" t="s">
        <v>8</v>
      </c>
      <c r="D1785" s="1">
        <v>1575264</v>
      </c>
      <c r="E1785" s="1">
        <v>1575782</v>
      </c>
      <c r="F1785" s="1" t="s">
        <v>9</v>
      </c>
      <c r="G1785" s="1" t="s">
        <v>11409</v>
      </c>
    </row>
    <row r="1786" spans="1:7" ht="21" x14ac:dyDescent="0.25">
      <c r="A1786" s="2" t="str">
        <f>HYPERLINK("https://rth.dk/resources/bsgatlas/details.php?id=BSGatlas-gene-1785","BSGatlas-gene-1785")</f>
        <v>BSGatlas-gene-1785</v>
      </c>
      <c r="B1786" s="1" t="s">
        <v>1681</v>
      </c>
      <c r="C1786" s="1" t="s">
        <v>8</v>
      </c>
      <c r="D1786" s="1">
        <v>1575804</v>
      </c>
      <c r="E1786" s="1">
        <v>1575983</v>
      </c>
      <c r="F1786" s="1" t="s">
        <v>9</v>
      </c>
      <c r="G1786" s="1" t="s">
        <v>11409</v>
      </c>
    </row>
    <row r="1787" spans="1:7" ht="21" x14ac:dyDescent="0.25">
      <c r="A1787" s="2" t="str">
        <f>HYPERLINK("https://rth.dk/resources/bsgatlas/details.php?id=BSGatlas-gene-1786","BSGatlas-gene-1786")</f>
        <v>BSGatlas-gene-1786</v>
      </c>
      <c r="B1787" s="1" t="s">
        <v>1682</v>
      </c>
      <c r="C1787" s="1" t="s">
        <v>8</v>
      </c>
      <c r="D1787" s="1">
        <v>1576129</v>
      </c>
      <c r="E1787" s="1">
        <v>1576710</v>
      </c>
      <c r="F1787" s="1" t="s">
        <v>9</v>
      </c>
      <c r="G1787" s="1" t="s">
        <v>11409</v>
      </c>
    </row>
    <row r="1788" spans="1:7" ht="21" x14ac:dyDescent="0.25">
      <c r="A1788" s="2" t="str">
        <f>HYPERLINK("https://rth.dk/resources/bsgatlas/details.php?id=BSGatlas-gene-1787","BSGatlas-gene-1787")</f>
        <v>BSGatlas-gene-1787</v>
      </c>
      <c r="B1788" s="1" t="s">
        <v>1683</v>
      </c>
      <c r="C1788" s="1" t="s">
        <v>8</v>
      </c>
      <c r="D1788" s="1">
        <v>1576767</v>
      </c>
      <c r="E1788" s="1">
        <v>1577249</v>
      </c>
      <c r="F1788" s="1" t="s">
        <v>13</v>
      </c>
      <c r="G1788" s="1" t="s">
        <v>11409</v>
      </c>
    </row>
    <row r="1789" spans="1:7" ht="21" x14ac:dyDescent="0.25">
      <c r="A1789" s="2" t="str">
        <f>HYPERLINK("https://rth.dk/resources/bsgatlas/details.php?id=BSGatlas-gene-1788","BSGatlas-gene-1788")</f>
        <v>BSGatlas-gene-1788</v>
      </c>
      <c r="B1789" s="1" t="s">
        <v>1610</v>
      </c>
      <c r="C1789" s="1" t="s">
        <v>8</v>
      </c>
      <c r="D1789" s="1">
        <v>1577409</v>
      </c>
      <c r="E1789" s="1">
        <v>1578305</v>
      </c>
      <c r="F1789" s="1" t="s">
        <v>9</v>
      </c>
      <c r="G1789" s="1" t="s">
        <v>11409</v>
      </c>
    </row>
    <row r="1790" spans="1:7" ht="21" x14ac:dyDescent="0.25">
      <c r="A1790" s="2" t="str">
        <f>HYPERLINK("https://rth.dk/resources/bsgatlas/details.php?id=BSGatlas-gene-1789","BSGatlas-gene-1789")</f>
        <v>BSGatlas-gene-1789</v>
      </c>
      <c r="B1790" s="1" t="s">
        <v>1684</v>
      </c>
      <c r="C1790" s="1" t="s">
        <v>8</v>
      </c>
      <c r="D1790" s="1">
        <v>1578376</v>
      </c>
      <c r="E1790" s="1">
        <v>1579995</v>
      </c>
      <c r="F1790" s="1" t="s">
        <v>9</v>
      </c>
      <c r="G1790" s="1" t="s">
        <v>11409</v>
      </c>
    </row>
    <row r="1791" spans="1:7" ht="21" x14ac:dyDescent="0.25">
      <c r="A1791" s="2" t="str">
        <f>HYPERLINK("https://rth.dk/resources/bsgatlas/details.php?id=BSGatlas-gene-1790","BSGatlas-gene-1790")</f>
        <v>BSGatlas-gene-1790</v>
      </c>
      <c r="B1791" s="1" t="s">
        <v>1685</v>
      </c>
      <c r="C1791" s="1" t="s">
        <v>8</v>
      </c>
      <c r="D1791" s="1">
        <v>1580121</v>
      </c>
      <c r="E1791" s="1">
        <v>1580552</v>
      </c>
      <c r="F1791" s="1" t="s">
        <v>9</v>
      </c>
      <c r="G1791" s="1" t="s">
        <v>11409</v>
      </c>
    </row>
    <row r="1792" spans="1:7" ht="21" x14ac:dyDescent="0.25">
      <c r="A1792" s="2" t="str">
        <f>HYPERLINK("https://rth.dk/resources/bsgatlas/details.php?id=BSGatlas-gene-1791","BSGatlas-gene-1791")</f>
        <v>BSGatlas-gene-1791</v>
      </c>
      <c r="B1792" s="1" t="s">
        <v>1686</v>
      </c>
      <c r="C1792" s="1" t="s">
        <v>8</v>
      </c>
      <c r="D1792" s="1">
        <v>1580622</v>
      </c>
      <c r="E1792" s="1">
        <v>1581557</v>
      </c>
      <c r="F1792" s="1" t="s">
        <v>9</v>
      </c>
      <c r="G1792" s="1" t="s">
        <v>11409</v>
      </c>
    </row>
    <row r="1793" spans="1:7" ht="21" x14ac:dyDescent="0.25">
      <c r="A1793" s="2" t="str">
        <f>HYPERLINK("https://rth.dk/resources/bsgatlas/details.php?id=BSGatlas-gene-1792","BSGatlas-gene-1792")</f>
        <v>BSGatlas-gene-1792</v>
      </c>
      <c r="B1793" s="1" t="s">
        <v>1689</v>
      </c>
      <c r="C1793" s="1" t="s">
        <v>12</v>
      </c>
      <c r="D1793" s="1">
        <v>1581224</v>
      </c>
      <c r="E1793" s="1">
        <v>1582676</v>
      </c>
      <c r="F1793" s="1" t="s">
        <v>13</v>
      </c>
      <c r="G1793" s="1" t="s">
        <v>11406</v>
      </c>
    </row>
    <row r="1794" spans="1:7" ht="21" x14ac:dyDescent="0.25">
      <c r="A1794" s="2" t="str">
        <f>HYPERLINK("https://rth.dk/resources/bsgatlas/details.php?id=BSGatlas-gene-1793","BSGatlas-gene-1793")</f>
        <v>BSGatlas-gene-1793</v>
      </c>
      <c r="B1794" s="1" t="s">
        <v>1687</v>
      </c>
      <c r="C1794" s="1" t="s">
        <v>8</v>
      </c>
      <c r="D1794" s="1">
        <v>1581597</v>
      </c>
      <c r="E1794" s="1">
        <v>1581950</v>
      </c>
      <c r="F1794" s="1" t="s">
        <v>9</v>
      </c>
      <c r="G1794" s="1" t="s">
        <v>11409</v>
      </c>
    </row>
    <row r="1795" spans="1:7" ht="21" x14ac:dyDescent="0.25">
      <c r="A1795" s="2" t="str">
        <f>HYPERLINK("https://rth.dk/resources/bsgatlas/details.php?id=BSGatlas-gene-1794","BSGatlas-gene-1794")</f>
        <v>BSGatlas-gene-1794</v>
      </c>
      <c r="B1795" s="1" t="s">
        <v>1688</v>
      </c>
      <c r="C1795" s="1" t="s">
        <v>8</v>
      </c>
      <c r="D1795" s="1">
        <v>1581947</v>
      </c>
      <c r="E1795" s="1">
        <v>1584097</v>
      </c>
      <c r="F1795" s="1" t="s">
        <v>9</v>
      </c>
      <c r="G1795" s="1" t="s">
        <v>11409</v>
      </c>
    </row>
    <row r="1796" spans="1:7" ht="21" x14ac:dyDescent="0.25">
      <c r="A1796" s="2" t="str">
        <f>HYPERLINK("https://rth.dk/resources/bsgatlas/details.php?id=BSGatlas-gene-1795","BSGatlas-gene-1795")</f>
        <v>BSGatlas-gene-1795</v>
      </c>
      <c r="B1796" s="1" t="s">
        <v>1690</v>
      </c>
      <c r="C1796" s="1" t="s">
        <v>8</v>
      </c>
      <c r="D1796" s="1">
        <v>1584214</v>
      </c>
      <c r="E1796" s="1">
        <v>1586154</v>
      </c>
      <c r="F1796" s="1" t="s">
        <v>9</v>
      </c>
      <c r="G1796" s="1" t="s">
        <v>11409</v>
      </c>
    </row>
    <row r="1797" spans="1:7" ht="21" x14ac:dyDescent="0.25">
      <c r="A1797" s="2" t="str">
        <f>HYPERLINK("https://rth.dk/resources/bsgatlas/details.php?id=BSGatlas-gene-1796","BSGatlas-gene-1796")</f>
        <v>BSGatlas-gene-1796</v>
      </c>
      <c r="B1797" s="1" t="s">
        <v>1691</v>
      </c>
      <c r="C1797" s="1" t="s">
        <v>8</v>
      </c>
      <c r="D1797" s="1">
        <v>1586330</v>
      </c>
      <c r="E1797" s="1">
        <v>1587814</v>
      </c>
      <c r="F1797" s="1" t="s">
        <v>9</v>
      </c>
      <c r="G1797" s="1" t="s">
        <v>11409</v>
      </c>
    </row>
    <row r="1798" spans="1:7" ht="21" x14ac:dyDescent="0.25">
      <c r="A1798" s="2" t="str">
        <f>HYPERLINK("https://rth.dk/resources/bsgatlas/details.php?id=BSGatlas-gene-1797","BSGatlas-gene-1797")</f>
        <v>BSGatlas-gene-1797</v>
      </c>
      <c r="B1798" s="1" t="s">
        <v>1692</v>
      </c>
      <c r="C1798" s="1" t="s">
        <v>8</v>
      </c>
      <c r="D1798" s="1">
        <v>1587926</v>
      </c>
      <c r="E1798" s="1">
        <v>1588900</v>
      </c>
      <c r="F1798" s="1" t="s">
        <v>9</v>
      </c>
      <c r="G1798" s="1" t="s">
        <v>11409</v>
      </c>
    </row>
    <row r="1799" spans="1:7" ht="21" x14ac:dyDescent="0.25">
      <c r="A1799" s="2" t="str">
        <f>HYPERLINK("https://rth.dk/resources/bsgatlas/details.php?id=BSGatlas-gene-1798","BSGatlas-gene-1798")</f>
        <v>BSGatlas-gene-1798</v>
      </c>
      <c r="B1799" s="1" t="s">
        <v>1693</v>
      </c>
      <c r="C1799" s="1" t="s">
        <v>8</v>
      </c>
      <c r="D1799" s="1">
        <v>1588901</v>
      </c>
      <c r="E1799" s="1">
        <v>1590256</v>
      </c>
      <c r="F1799" s="1" t="s">
        <v>9</v>
      </c>
      <c r="G1799" s="1" t="s">
        <v>11409</v>
      </c>
    </row>
    <row r="1800" spans="1:7" ht="21" x14ac:dyDescent="0.25">
      <c r="A1800" s="2" t="str">
        <f>HYPERLINK("https://rth.dk/resources/bsgatlas/details.php?id=BSGatlas-gene-1799","BSGatlas-gene-1799")</f>
        <v>BSGatlas-gene-1799</v>
      </c>
      <c r="B1800" s="1" t="s">
        <v>1694</v>
      </c>
      <c r="C1800" s="1" t="s">
        <v>8</v>
      </c>
      <c r="D1800" s="1">
        <v>1590317</v>
      </c>
      <c r="E1800" s="1">
        <v>1591417</v>
      </c>
      <c r="F1800" s="1" t="s">
        <v>9</v>
      </c>
      <c r="G1800" s="1" t="s">
        <v>11409</v>
      </c>
    </row>
    <row r="1801" spans="1:7" ht="21" x14ac:dyDescent="0.25">
      <c r="A1801" s="2" t="str">
        <f>HYPERLINK("https://rth.dk/resources/bsgatlas/details.php?id=BSGatlas-gene-1800","BSGatlas-gene-1800")</f>
        <v>BSGatlas-gene-1800</v>
      </c>
      <c r="B1801" s="1" t="s">
        <v>1695</v>
      </c>
      <c r="C1801" s="1" t="s">
        <v>8</v>
      </c>
      <c r="D1801" s="1">
        <v>1591540</v>
      </c>
      <c r="E1801" s="1">
        <v>1592631</v>
      </c>
      <c r="F1801" s="1" t="s">
        <v>9</v>
      </c>
      <c r="G1801" s="1" t="s">
        <v>11409</v>
      </c>
    </row>
    <row r="1802" spans="1:7" ht="21" x14ac:dyDescent="0.25">
      <c r="A1802" s="2" t="str">
        <f>HYPERLINK("https://rth.dk/resources/bsgatlas/details.php?id=BSGatlas-gene-1801","BSGatlas-gene-1801")</f>
        <v>BSGatlas-gene-1801</v>
      </c>
      <c r="B1802" s="1" t="s">
        <v>1696</v>
      </c>
      <c r="C1802" s="1" t="s">
        <v>8</v>
      </c>
      <c r="D1802" s="1">
        <v>1592663</v>
      </c>
      <c r="E1802" s="1">
        <v>1593574</v>
      </c>
      <c r="F1802" s="1" t="s">
        <v>9</v>
      </c>
      <c r="G1802" s="1" t="s">
        <v>11409</v>
      </c>
    </row>
    <row r="1803" spans="1:7" ht="21" x14ac:dyDescent="0.25">
      <c r="A1803" s="2" t="str">
        <f>HYPERLINK("https://rth.dk/resources/bsgatlas/details.php?id=BSGatlas-gene-1802","BSGatlas-gene-1802")</f>
        <v>BSGatlas-gene-1802</v>
      </c>
      <c r="B1803" s="1" t="s">
        <v>1697</v>
      </c>
      <c r="C1803" s="1" t="s">
        <v>8</v>
      </c>
      <c r="D1803" s="1">
        <v>1593704</v>
      </c>
      <c r="E1803" s="1">
        <v>1594495</v>
      </c>
      <c r="F1803" s="1" t="s">
        <v>9</v>
      </c>
      <c r="G1803" s="1" t="s">
        <v>11409</v>
      </c>
    </row>
    <row r="1804" spans="1:7" ht="21" x14ac:dyDescent="0.25">
      <c r="A1804" s="2" t="str">
        <f>HYPERLINK("https://rth.dk/resources/bsgatlas/details.php?id=BSGatlas-gene-1803","BSGatlas-gene-1803")</f>
        <v>BSGatlas-gene-1803</v>
      </c>
      <c r="B1804" s="1" t="s">
        <v>1698</v>
      </c>
      <c r="C1804" s="1" t="s">
        <v>8</v>
      </c>
      <c r="D1804" s="1">
        <v>1594492</v>
      </c>
      <c r="E1804" s="1">
        <v>1595187</v>
      </c>
      <c r="F1804" s="1" t="s">
        <v>9</v>
      </c>
      <c r="G1804" s="1" t="s">
        <v>11409</v>
      </c>
    </row>
    <row r="1805" spans="1:7" ht="21" x14ac:dyDescent="0.25">
      <c r="A1805" s="2" t="str">
        <f>HYPERLINK("https://rth.dk/resources/bsgatlas/details.php?id=BSGatlas-gene-1804","BSGatlas-gene-1804")</f>
        <v>BSGatlas-gene-1804</v>
      </c>
      <c r="B1805" s="1" t="s">
        <v>1699</v>
      </c>
      <c r="C1805" s="1" t="s">
        <v>8</v>
      </c>
      <c r="D1805" s="1">
        <v>1595210</v>
      </c>
      <c r="E1805" s="1">
        <v>1595917</v>
      </c>
      <c r="F1805" s="1" t="s">
        <v>9</v>
      </c>
      <c r="G1805" s="1" t="s">
        <v>11409</v>
      </c>
    </row>
    <row r="1806" spans="1:7" ht="21" x14ac:dyDescent="0.25">
      <c r="A1806" s="2" t="str">
        <f>HYPERLINK("https://rth.dk/resources/bsgatlas/details.php?id=BSGatlas-gene-1805","BSGatlas-gene-1805")</f>
        <v>BSGatlas-gene-1805</v>
      </c>
      <c r="B1806" s="1" t="s">
        <v>1700</v>
      </c>
      <c r="C1806" s="1" t="s">
        <v>8</v>
      </c>
      <c r="D1806" s="1">
        <v>1595935</v>
      </c>
      <c r="E1806" s="1">
        <v>1596300</v>
      </c>
      <c r="F1806" s="1" t="s">
        <v>9</v>
      </c>
      <c r="G1806" s="1" t="s">
        <v>11409</v>
      </c>
    </row>
    <row r="1807" spans="1:7" ht="21" x14ac:dyDescent="0.25">
      <c r="A1807" s="2" t="str">
        <f>HYPERLINK("https://rth.dk/resources/bsgatlas/details.php?id=BSGatlas-gene-1806","BSGatlas-gene-1806")</f>
        <v>BSGatlas-gene-1806</v>
      </c>
      <c r="B1807" s="1" t="s">
        <v>1701</v>
      </c>
      <c r="C1807" s="1" t="s">
        <v>12</v>
      </c>
      <c r="D1807" s="1">
        <v>1596338</v>
      </c>
      <c r="E1807" s="1">
        <v>1596409</v>
      </c>
      <c r="F1807" s="1" t="s">
        <v>9</v>
      </c>
      <c r="G1807" s="1" t="s">
        <v>11442</v>
      </c>
    </row>
    <row r="1808" spans="1:7" ht="21" x14ac:dyDescent="0.25">
      <c r="A1808" s="2" t="str">
        <f>HYPERLINK("https://rth.dk/resources/bsgatlas/details.php?id=BSGatlas-gene-1807","BSGatlas-gene-1807")</f>
        <v>BSGatlas-gene-1807</v>
      </c>
      <c r="B1808" s="1" t="s">
        <v>1702</v>
      </c>
      <c r="C1808" s="1" t="s">
        <v>8</v>
      </c>
      <c r="D1808" s="1">
        <v>1596474</v>
      </c>
      <c r="E1808" s="1">
        <v>1597796</v>
      </c>
      <c r="F1808" s="1" t="s">
        <v>9</v>
      </c>
      <c r="G1808" s="1" t="s">
        <v>11409</v>
      </c>
    </row>
    <row r="1809" spans="1:7" ht="21" x14ac:dyDescent="0.25">
      <c r="A1809" s="2" t="str">
        <f>HYPERLINK("https://rth.dk/resources/bsgatlas/details.php?id=BSGatlas-gene-1808","BSGatlas-gene-1808")</f>
        <v>BSGatlas-gene-1808</v>
      </c>
      <c r="B1809" s="1" t="s">
        <v>1703</v>
      </c>
      <c r="C1809" s="1" t="s">
        <v>8</v>
      </c>
      <c r="D1809" s="1">
        <v>1597832</v>
      </c>
      <c r="E1809" s="1">
        <v>1598980</v>
      </c>
      <c r="F1809" s="1" t="s">
        <v>9</v>
      </c>
      <c r="G1809" s="1" t="s">
        <v>11409</v>
      </c>
    </row>
    <row r="1810" spans="1:7" ht="21" x14ac:dyDescent="0.25">
      <c r="A1810" s="2" t="str">
        <f>HYPERLINK("https://rth.dk/resources/bsgatlas/details.php?id=BSGatlas-gene-1809","BSGatlas-gene-1809")</f>
        <v>BSGatlas-gene-1809</v>
      </c>
      <c r="B1810" s="1" t="s">
        <v>1704</v>
      </c>
      <c r="C1810" s="1" t="s">
        <v>8</v>
      </c>
      <c r="D1810" s="1">
        <v>1599283</v>
      </c>
      <c r="E1810" s="1">
        <v>1603584</v>
      </c>
      <c r="F1810" s="1" t="s">
        <v>9</v>
      </c>
      <c r="G1810" s="1" t="s">
        <v>11409</v>
      </c>
    </row>
    <row r="1811" spans="1:7" ht="21" x14ac:dyDescent="0.25">
      <c r="A1811" s="2" t="str">
        <f>HYPERLINK("https://rth.dk/resources/bsgatlas/details.php?id=BSGatlas-gene-1810","BSGatlas-gene-1810")</f>
        <v>BSGatlas-gene-1810</v>
      </c>
      <c r="B1811" s="1" t="s">
        <v>1705</v>
      </c>
      <c r="C1811" s="1" t="s">
        <v>12</v>
      </c>
      <c r="D1811" s="1">
        <v>1603592</v>
      </c>
      <c r="E1811" s="1">
        <v>1604734</v>
      </c>
      <c r="F1811" s="1" t="s">
        <v>13</v>
      </c>
      <c r="G1811" s="1" t="s">
        <v>11406</v>
      </c>
    </row>
    <row r="1812" spans="1:7" ht="21" x14ac:dyDescent="0.25">
      <c r="A1812" s="2" t="str">
        <f>HYPERLINK("https://rth.dk/resources/bsgatlas/details.php?id=BSGatlas-gene-1811","BSGatlas-gene-1811")</f>
        <v>BSGatlas-gene-1811</v>
      </c>
      <c r="B1812" s="1" t="s">
        <v>1706</v>
      </c>
      <c r="C1812" s="1" t="s">
        <v>8</v>
      </c>
      <c r="D1812" s="1">
        <v>1603779</v>
      </c>
      <c r="E1812" s="1">
        <v>1604708</v>
      </c>
      <c r="F1812" s="1" t="s">
        <v>9</v>
      </c>
      <c r="G1812" s="1" t="s">
        <v>11409</v>
      </c>
    </row>
    <row r="1813" spans="1:7" ht="21" x14ac:dyDescent="0.25">
      <c r="A1813" s="2" t="str">
        <f>HYPERLINK("https://rth.dk/resources/bsgatlas/details.php?id=BSGatlas-gene-1812","BSGatlas-gene-1812")</f>
        <v>BSGatlas-gene-1812</v>
      </c>
      <c r="B1813" s="1" t="s">
        <v>1707</v>
      </c>
      <c r="C1813" s="1" t="s">
        <v>8</v>
      </c>
      <c r="D1813" s="1">
        <v>1604771</v>
      </c>
      <c r="E1813" s="1">
        <v>1605490</v>
      </c>
      <c r="F1813" s="1" t="s">
        <v>9</v>
      </c>
      <c r="G1813" s="1" t="s">
        <v>11409</v>
      </c>
    </row>
    <row r="1814" spans="1:7" ht="21" x14ac:dyDescent="0.25">
      <c r="A1814" s="2" t="str">
        <f>HYPERLINK("https://rth.dk/resources/bsgatlas/details.php?id=BSGatlas-gene-1813","BSGatlas-gene-1813")</f>
        <v>BSGatlas-gene-1813</v>
      </c>
      <c r="B1814" s="1" t="s">
        <v>1708</v>
      </c>
      <c r="C1814" s="1" t="s">
        <v>8</v>
      </c>
      <c r="D1814" s="1">
        <v>1605630</v>
      </c>
      <c r="E1814" s="1">
        <v>1606412</v>
      </c>
      <c r="F1814" s="1" t="s">
        <v>9</v>
      </c>
      <c r="G1814" s="1" t="s">
        <v>11409</v>
      </c>
    </row>
    <row r="1815" spans="1:7" ht="21" x14ac:dyDescent="0.25">
      <c r="A1815" s="2" t="str">
        <f>HYPERLINK("https://rth.dk/resources/bsgatlas/details.php?id=BSGatlas-gene-1814","BSGatlas-gene-1814")</f>
        <v>BSGatlas-gene-1814</v>
      </c>
      <c r="B1815" s="1" t="s">
        <v>1709</v>
      </c>
      <c r="C1815" s="1" t="s">
        <v>8</v>
      </c>
      <c r="D1815" s="1">
        <v>1606560</v>
      </c>
      <c r="E1815" s="1">
        <v>1607354</v>
      </c>
      <c r="F1815" s="1" t="s">
        <v>9</v>
      </c>
      <c r="G1815" s="1" t="s">
        <v>11409</v>
      </c>
    </row>
    <row r="1816" spans="1:7" ht="21" x14ac:dyDescent="0.25">
      <c r="A1816" s="2" t="str">
        <f>HYPERLINK("https://rth.dk/resources/bsgatlas/details.php?id=BSGatlas-gene-1815","BSGatlas-gene-1815")</f>
        <v>BSGatlas-gene-1815</v>
      </c>
      <c r="B1816" s="1" t="s">
        <v>1711</v>
      </c>
      <c r="C1816" s="1" t="s">
        <v>34</v>
      </c>
      <c r="D1816" s="1">
        <v>1607366</v>
      </c>
      <c r="E1816" s="1">
        <v>1607468</v>
      </c>
      <c r="F1816" s="1" t="s">
        <v>9</v>
      </c>
      <c r="G1816" s="1" t="s">
        <v>11412</v>
      </c>
    </row>
    <row r="1817" spans="1:7" ht="21" x14ac:dyDescent="0.25">
      <c r="A1817" s="2" t="str">
        <f>HYPERLINK("https://rth.dk/resources/bsgatlas/details.php?id=BSGatlas-gene-1816","BSGatlas-gene-1816")</f>
        <v>BSGatlas-gene-1816</v>
      </c>
      <c r="B1817" s="1" t="s">
        <v>1710</v>
      </c>
      <c r="C1817" s="1" t="s">
        <v>8</v>
      </c>
      <c r="D1817" s="1">
        <v>1607556</v>
      </c>
      <c r="E1817" s="1">
        <v>1608836</v>
      </c>
      <c r="F1817" s="1" t="s">
        <v>9</v>
      </c>
      <c r="G1817" s="1" t="s">
        <v>11409</v>
      </c>
    </row>
    <row r="1818" spans="1:7" ht="21" x14ac:dyDescent="0.25">
      <c r="A1818" s="2" t="str">
        <f>HYPERLINK("https://rth.dk/resources/bsgatlas/details.php?id=BSGatlas-gene-1817","BSGatlas-gene-1817")</f>
        <v>BSGatlas-gene-1817</v>
      </c>
      <c r="B1818" s="1" t="s">
        <v>1712</v>
      </c>
      <c r="C1818" s="1" t="s">
        <v>8</v>
      </c>
      <c r="D1818" s="1">
        <v>1608919</v>
      </c>
      <c r="E1818" s="1">
        <v>1609164</v>
      </c>
      <c r="F1818" s="1" t="s">
        <v>9</v>
      </c>
      <c r="G1818" s="1" t="s">
        <v>11409</v>
      </c>
    </row>
    <row r="1819" spans="1:7" ht="21" x14ac:dyDescent="0.25">
      <c r="A1819" s="2" t="str">
        <f>HYPERLINK("https://rth.dk/resources/bsgatlas/details.php?id=BSGatlas-gene-1818","BSGatlas-gene-1818")</f>
        <v>BSGatlas-gene-1818</v>
      </c>
      <c r="B1819" s="1" t="s">
        <v>1713</v>
      </c>
      <c r="C1819" s="1" t="s">
        <v>8</v>
      </c>
      <c r="D1819" s="1">
        <v>1609327</v>
      </c>
      <c r="E1819" s="1">
        <v>1610163</v>
      </c>
      <c r="F1819" s="1" t="s">
        <v>9</v>
      </c>
      <c r="G1819" s="1" t="s">
        <v>11409</v>
      </c>
    </row>
    <row r="1820" spans="1:7" ht="21" x14ac:dyDescent="0.25">
      <c r="A1820" s="2" t="str">
        <f>HYPERLINK("https://rth.dk/resources/bsgatlas/details.php?id=BSGatlas-gene-1819","BSGatlas-gene-1819")</f>
        <v>BSGatlas-gene-1819</v>
      </c>
      <c r="B1820" s="1" t="s">
        <v>1714</v>
      </c>
      <c r="C1820" s="1" t="s">
        <v>8</v>
      </c>
      <c r="D1820" s="1">
        <v>1610170</v>
      </c>
      <c r="E1820" s="1">
        <v>1610862</v>
      </c>
      <c r="F1820" s="1" t="s">
        <v>9</v>
      </c>
      <c r="G1820" s="1" t="s">
        <v>11409</v>
      </c>
    </row>
    <row r="1821" spans="1:7" ht="21" x14ac:dyDescent="0.25">
      <c r="A1821" s="2" t="str">
        <f>HYPERLINK("https://rth.dk/resources/bsgatlas/details.php?id=BSGatlas-gene-1820","BSGatlas-gene-1820")</f>
        <v>BSGatlas-gene-1820</v>
      </c>
      <c r="B1821" s="1" t="s">
        <v>1715</v>
      </c>
      <c r="C1821" s="1" t="s">
        <v>8</v>
      </c>
      <c r="D1821" s="1">
        <v>1610859</v>
      </c>
      <c r="E1821" s="1">
        <v>1611314</v>
      </c>
      <c r="F1821" s="1" t="s">
        <v>9</v>
      </c>
      <c r="G1821" s="1" t="s">
        <v>11409</v>
      </c>
    </row>
    <row r="1822" spans="1:7" ht="21" x14ac:dyDescent="0.25">
      <c r="A1822" s="2" t="str">
        <f>HYPERLINK("https://rth.dk/resources/bsgatlas/details.php?id=BSGatlas-gene-1821","BSGatlas-gene-1821")</f>
        <v>BSGatlas-gene-1821</v>
      </c>
      <c r="B1822" s="1" t="s">
        <v>1716</v>
      </c>
      <c r="C1822" s="1" t="s">
        <v>8</v>
      </c>
      <c r="D1822" s="1">
        <v>1611321</v>
      </c>
      <c r="E1822" s="1">
        <v>1611593</v>
      </c>
      <c r="F1822" s="1" t="s">
        <v>9</v>
      </c>
      <c r="G1822" s="1" t="s">
        <v>11409</v>
      </c>
    </row>
    <row r="1823" spans="1:7" ht="21" x14ac:dyDescent="0.25">
      <c r="A1823" s="2" t="str">
        <f>HYPERLINK("https://rth.dk/resources/bsgatlas/details.php?id=BSGatlas-gene-1822","BSGatlas-gene-1822")</f>
        <v>BSGatlas-gene-1822</v>
      </c>
      <c r="B1823" s="1" t="s">
        <v>1717</v>
      </c>
      <c r="C1823" s="1" t="s">
        <v>8</v>
      </c>
      <c r="D1823" s="1">
        <v>1611654</v>
      </c>
      <c r="E1823" s="1">
        <v>1612427</v>
      </c>
      <c r="F1823" s="1" t="s">
        <v>9</v>
      </c>
      <c r="G1823" s="1" t="s">
        <v>11409</v>
      </c>
    </row>
    <row r="1824" spans="1:7" ht="21" x14ac:dyDescent="0.25">
      <c r="A1824" s="2" t="str">
        <f>HYPERLINK("https://rth.dk/resources/bsgatlas/details.php?id=BSGatlas-gene-1823","BSGatlas-gene-1823")</f>
        <v>BSGatlas-gene-1823</v>
      </c>
      <c r="B1824" s="1" t="s">
        <v>1718</v>
      </c>
      <c r="C1824" s="1" t="s">
        <v>8</v>
      </c>
      <c r="D1824" s="1">
        <v>1612521</v>
      </c>
      <c r="E1824" s="1">
        <v>1613015</v>
      </c>
      <c r="F1824" s="1" t="s">
        <v>9</v>
      </c>
      <c r="G1824" s="1" t="s">
        <v>11409</v>
      </c>
    </row>
    <row r="1825" spans="1:7" ht="21" x14ac:dyDescent="0.25">
      <c r="A1825" s="2" t="str">
        <f>HYPERLINK("https://rth.dk/resources/bsgatlas/details.php?id=BSGatlas-gene-1824","BSGatlas-gene-1824")</f>
        <v>BSGatlas-gene-1824</v>
      </c>
      <c r="B1825" s="1" t="s">
        <v>1720</v>
      </c>
      <c r="C1825" s="1" t="s">
        <v>34</v>
      </c>
      <c r="D1825" s="1">
        <v>1613077</v>
      </c>
      <c r="E1825" s="1">
        <v>1613304</v>
      </c>
      <c r="F1825" s="1" t="s">
        <v>9</v>
      </c>
      <c r="G1825" s="1" t="s">
        <v>11412</v>
      </c>
    </row>
    <row r="1826" spans="1:7" ht="21" x14ac:dyDescent="0.25">
      <c r="A1826" s="2" t="str">
        <f>HYPERLINK("https://rth.dk/resources/bsgatlas/details.php?id=BSGatlas-gene-1825","BSGatlas-gene-1825")</f>
        <v>BSGatlas-gene-1825</v>
      </c>
      <c r="B1826" s="1" t="s">
        <v>1719</v>
      </c>
      <c r="C1826" s="1" t="s">
        <v>8</v>
      </c>
      <c r="D1826" s="1">
        <v>1613357</v>
      </c>
      <c r="E1826" s="1">
        <v>1616122</v>
      </c>
      <c r="F1826" s="1" t="s">
        <v>9</v>
      </c>
      <c r="G1826" s="1" t="s">
        <v>11409</v>
      </c>
    </row>
    <row r="1827" spans="1:7" ht="21" x14ac:dyDescent="0.25">
      <c r="A1827" s="2" t="str">
        <f>HYPERLINK("https://rth.dk/resources/bsgatlas/details.php?id=BSGatlas-gene-1826","BSGatlas-gene-1826")</f>
        <v>BSGatlas-gene-1826</v>
      </c>
      <c r="B1827" s="1" t="s">
        <v>1721</v>
      </c>
      <c r="C1827" s="1" t="s">
        <v>8</v>
      </c>
      <c r="D1827" s="1">
        <v>1616267</v>
      </c>
      <c r="E1827" s="1">
        <v>1616641</v>
      </c>
      <c r="F1827" s="1" t="s">
        <v>9</v>
      </c>
      <c r="G1827" s="1" t="s">
        <v>11409</v>
      </c>
    </row>
    <row r="1828" spans="1:7" ht="21" x14ac:dyDescent="0.25">
      <c r="A1828" s="2" t="str">
        <f>HYPERLINK("https://rth.dk/resources/bsgatlas/details.php?id=BSGatlas-gene-1827","BSGatlas-gene-1827")</f>
        <v>BSGatlas-gene-1827</v>
      </c>
      <c r="B1828" s="1" t="s">
        <v>1722</v>
      </c>
      <c r="C1828" s="1" t="s">
        <v>8</v>
      </c>
      <c r="D1828" s="1">
        <v>1616744</v>
      </c>
      <c r="E1828" s="1">
        <v>1617208</v>
      </c>
      <c r="F1828" s="1" t="s">
        <v>9</v>
      </c>
      <c r="G1828" s="1" t="s">
        <v>11409</v>
      </c>
    </row>
    <row r="1829" spans="1:7" ht="21" x14ac:dyDescent="0.25">
      <c r="A1829" s="2" t="str">
        <f>HYPERLINK("https://rth.dk/resources/bsgatlas/details.php?id=BSGatlas-gene-1828","BSGatlas-gene-1828")</f>
        <v>BSGatlas-gene-1828</v>
      </c>
      <c r="B1829" s="1" t="s">
        <v>1723</v>
      </c>
      <c r="C1829" s="1" t="s">
        <v>8</v>
      </c>
      <c r="D1829" s="1">
        <v>1617210</v>
      </c>
      <c r="E1829" s="1">
        <v>1618121</v>
      </c>
      <c r="F1829" s="1" t="s">
        <v>9</v>
      </c>
      <c r="G1829" s="1" t="s">
        <v>11409</v>
      </c>
    </row>
    <row r="1830" spans="1:7" ht="21" x14ac:dyDescent="0.25">
      <c r="A1830" s="2" t="str">
        <f>HYPERLINK("https://rth.dk/resources/bsgatlas/details.php?id=BSGatlas-gene-1829","BSGatlas-gene-1829")</f>
        <v>BSGatlas-gene-1829</v>
      </c>
      <c r="B1830" s="1" t="s">
        <v>1724</v>
      </c>
      <c r="C1830" s="1" t="s">
        <v>34</v>
      </c>
      <c r="D1830" s="1">
        <v>1618160</v>
      </c>
      <c r="E1830" s="1">
        <v>1618277</v>
      </c>
      <c r="F1830" s="1" t="s">
        <v>9</v>
      </c>
      <c r="G1830" s="1" t="s">
        <v>11412</v>
      </c>
    </row>
    <row r="1831" spans="1:7" ht="21" x14ac:dyDescent="0.25">
      <c r="A1831" s="2" t="str">
        <f>HYPERLINK("https://rth.dk/resources/bsgatlas/details.php?id=BSGatlas-gene-1830","BSGatlas-gene-1830")</f>
        <v>BSGatlas-gene-1830</v>
      </c>
      <c r="B1831" s="1" t="s">
        <v>1725</v>
      </c>
      <c r="C1831" s="1" t="s">
        <v>8</v>
      </c>
      <c r="D1831" s="1">
        <v>1618304</v>
      </c>
      <c r="E1831" s="1">
        <v>1618849</v>
      </c>
      <c r="F1831" s="1" t="s">
        <v>9</v>
      </c>
      <c r="G1831" s="1" t="s">
        <v>11409</v>
      </c>
    </row>
    <row r="1832" spans="1:7" ht="21" x14ac:dyDescent="0.25">
      <c r="A1832" s="2" t="str">
        <f>HYPERLINK("https://rth.dk/resources/bsgatlas/details.php?id=BSGatlas-gene-1831","BSGatlas-gene-1831")</f>
        <v>BSGatlas-gene-1831</v>
      </c>
      <c r="B1832" s="1" t="s">
        <v>1726</v>
      </c>
      <c r="C1832" s="1" t="s">
        <v>34</v>
      </c>
      <c r="D1832" s="1">
        <v>1618852</v>
      </c>
      <c r="E1832" s="1">
        <v>1618971</v>
      </c>
      <c r="F1832" s="1" t="s">
        <v>9</v>
      </c>
      <c r="G1832" s="1" t="s">
        <v>11411</v>
      </c>
    </row>
    <row r="1833" spans="1:7" ht="21" x14ac:dyDescent="0.25">
      <c r="A1833" s="2" t="str">
        <f>HYPERLINK("https://rth.dk/resources/bsgatlas/details.php?id=BSGatlas-gene-1832","BSGatlas-gene-1832")</f>
        <v>BSGatlas-gene-1832</v>
      </c>
      <c r="B1833" s="1" t="s">
        <v>1727</v>
      </c>
      <c r="C1833" s="1" t="s">
        <v>8</v>
      </c>
      <c r="D1833" s="1">
        <v>1619023</v>
      </c>
      <c r="E1833" s="1">
        <v>1620330</v>
      </c>
      <c r="F1833" s="1" t="s">
        <v>9</v>
      </c>
      <c r="G1833" s="1" t="s">
        <v>11409</v>
      </c>
    </row>
    <row r="1834" spans="1:7" ht="21" x14ac:dyDescent="0.25">
      <c r="A1834" s="2" t="str">
        <f>HYPERLINK("https://rth.dk/resources/bsgatlas/details.php?id=BSGatlas-gene-1833","BSGatlas-gene-1833")</f>
        <v>BSGatlas-gene-1833</v>
      </c>
      <c r="B1834" s="1" t="s">
        <v>1728</v>
      </c>
      <c r="C1834" s="1" t="s">
        <v>34</v>
      </c>
      <c r="D1834" s="1">
        <v>1620328</v>
      </c>
      <c r="E1834" s="1">
        <v>1620445</v>
      </c>
      <c r="F1834" s="1" t="s">
        <v>9</v>
      </c>
      <c r="G1834" s="1" t="s">
        <v>11411</v>
      </c>
    </row>
    <row r="1835" spans="1:7" ht="21" x14ac:dyDescent="0.25">
      <c r="A1835" s="2" t="str">
        <f>HYPERLINK("https://rth.dk/resources/bsgatlas/details.php?id=BSGatlas-gene-1834","BSGatlas-gene-1834")</f>
        <v>BSGatlas-gene-1834</v>
      </c>
      <c r="B1835" s="1" t="s">
        <v>1729</v>
      </c>
      <c r="C1835" s="1" t="s">
        <v>8</v>
      </c>
      <c r="D1835" s="1">
        <v>1620476</v>
      </c>
      <c r="E1835" s="1">
        <v>1621390</v>
      </c>
      <c r="F1835" s="1" t="s">
        <v>9</v>
      </c>
      <c r="G1835" s="1" t="s">
        <v>11409</v>
      </c>
    </row>
    <row r="1836" spans="1:7" ht="21" x14ac:dyDescent="0.25">
      <c r="A1836" s="2" t="str">
        <f>HYPERLINK("https://rth.dk/resources/bsgatlas/details.php?id=BSGatlas-gene-1835","BSGatlas-gene-1835")</f>
        <v>BSGatlas-gene-1835</v>
      </c>
      <c r="B1836" s="1" t="s">
        <v>1730</v>
      </c>
      <c r="C1836" s="1" t="s">
        <v>8</v>
      </c>
      <c r="D1836" s="1">
        <v>1621374</v>
      </c>
      <c r="E1836" s="1">
        <v>1622660</v>
      </c>
      <c r="F1836" s="1" t="s">
        <v>9</v>
      </c>
      <c r="G1836" s="1" t="s">
        <v>11409</v>
      </c>
    </row>
    <row r="1837" spans="1:7" ht="21" x14ac:dyDescent="0.25">
      <c r="A1837" s="2" t="str">
        <f>HYPERLINK("https://rth.dk/resources/bsgatlas/details.php?id=BSGatlas-gene-1836","BSGatlas-gene-1836")</f>
        <v>BSGatlas-gene-1836</v>
      </c>
      <c r="B1837" s="1" t="s">
        <v>1731</v>
      </c>
      <c r="C1837" s="1" t="s">
        <v>8</v>
      </c>
      <c r="D1837" s="1">
        <v>1622657</v>
      </c>
      <c r="E1837" s="1">
        <v>1623751</v>
      </c>
      <c r="F1837" s="1" t="s">
        <v>9</v>
      </c>
      <c r="G1837" s="1" t="s">
        <v>11409</v>
      </c>
    </row>
    <row r="1838" spans="1:7" ht="21" x14ac:dyDescent="0.25">
      <c r="A1838" s="2" t="str">
        <f>HYPERLINK("https://rth.dk/resources/bsgatlas/details.php?id=BSGatlas-gene-1837","BSGatlas-gene-1837")</f>
        <v>BSGatlas-gene-1837</v>
      </c>
      <c r="B1838" s="1" t="s">
        <v>1732</v>
      </c>
      <c r="C1838" s="1" t="s">
        <v>8</v>
      </c>
      <c r="D1838" s="1">
        <v>1623736</v>
      </c>
      <c r="E1838" s="1">
        <v>1626951</v>
      </c>
      <c r="F1838" s="1" t="s">
        <v>9</v>
      </c>
      <c r="G1838" s="1" t="s">
        <v>11409</v>
      </c>
    </row>
    <row r="1839" spans="1:7" ht="21" x14ac:dyDescent="0.25">
      <c r="A1839" s="2" t="str">
        <f>HYPERLINK("https://rth.dk/resources/bsgatlas/details.php?id=BSGatlas-gene-1838","BSGatlas-gene-1838")</f>
        <v>BSGatlas-gene-1838</v>
      </c>
      <c r="B1839" s="1" t="s">
        <v>1733</v>
      </c>
      <c r="C1839" s="1" t="s">
        <v>8</v>
      </c>
      <c r="D1839" s="1">
        <v>1626948</v>
      </c>
      <c r="E1839" s="1">
        <v>1627718</v>
      </c>
      <c r="F1839" s="1" t="s">
        <v>9</v>
      </c>
      <c r="G1839" s="1" t="s">
        <v>11409</v>
      </c>
    </row>
    <row r="1840" spans="1:7" ht="21" x14ac:dyDescent="0.25">
      <c r="A1840" s="2" t="str">
        <f>HYPERLINK("https://rth.dk/resources/bsgatlas/details.php?id=BSGatlas-gene-1839","BSGatlas-gene-1839")</f>
        <v>BSGatlas-gene-1839</v>
      </c>
      <c r="B1840" s="1" t="s">
        <v>1734</v>
      </c>
      <c r="C1840" s="1" t="s">
        <v>8</v>
      </c>
      <c r="D1840" s="1">
        <v>1627718</v>
      </c>
      <c r="E1840" s="1">
        <v>1628653</v>
      </c>
      <c r="F1840" s="1" t="s">
        <v>9</v>
      </c>
      <c r="G1840" s="1" t="s">
        <v>11409</v>
      </c>
    </row>
    <row r="1841" spans="1:7" ht="21" x14ac:dyDescent="0.25">
      <c r="A1841" s="2" t="str">
        <f>HYPERLINK("https://rth.dk/resources/bsgatlas/details.php?id=BSGatlas-gene-1840","BSGatlas-gene-1840")</f>
        <v>BSGatlas-gene-1840</v>
      </c>
      <c r="B1841" s="1" t="s">
        <v>1735</v>
      </c>
      <c r="C1841" s="1" t="s">
        <v>8</v>
      </c>
      <c r="D1841" s="1">
        <v>1628622</v>
      </c>
      <c r="E1841" s="1">
        <v>1629341</v>
      </c>
      <c r="F1841" s="1" t="s">
        <v>9</v>
      </c>
      <c r="G1841" s="1" t="s">
        <v>11409</v>
      </c>
    </row>
    <row r="1842" spans="1:7" ht="21" x14ac:dyDescent="0.25">
      <c r="A1842" s="2" t="str">
        <f>HYPERLINK("https://rth.dk/resources/bsgatlas/details.php?id=BSGatlas-gene-1841","BSGatlas-gene-1841")</f>
        <v>BSGatlas-gene-1841</v>
      </c>
      <c r="B1842" s="1" t="s">
        <v>1736</v>
      </c>
      <c r="C1842" s="1" t="s">
        <v>8</v>
      </c>
      <c r="D1842" s="1">
        <v>1629320</v>
      </c>
      <c r="E1842" s="1">
        <v>1629970</v>
      </c>
      <c r="F1842" s="1" t="s">
        <v>9</v>
      </c>
      <c r="G1842" s="1" t="s">
        <v>11409</v>
      </c>
    </row>
    <row r="1843" spans="1:7" ht="21" x14ac:dyDescent="0.25">
      <c r="A1843" s="2" t="str">
        <f>HYPERLINK("https://rth.dk/resources/bsgatlas/details.php?id=BSGatlas-gene-1842","BSGatlas-gene-1842")</f>
        <v>BSGatlas-gene-1842</v>
      </c>
      <c r="B1843" s="1" t="s">
        <v>11519</v>
      </c>
      <c r="C1843" s="1" t="s">
        <v>34</v>
      </c>
      <c r="D1843" s="1">
        <v>1630114</v>
      </c>
      <c r="E1843" s="1">
        <v>1630220</v>
      </c>
      <c r="F1843" s="1" t="s">
        <v>9</v>
      </c>
      <c r="G1843" s="1" t="s">
        <v>11412</v>
      </c>
    </row>
    <row r="1844" spans="1:7" ht="21" x14ac:dyDescent="0.25">
      <c r="A1844" s="2" t="str">
        <f>HYPERLINK("https://rth.dk/resources/bsgatlas/details.php?id=BSGatlas-gene-1843","BSGatlas-gene-1843")</f>
        <v>BSGatlas-gene-1843</v>
      </c>
      <c r="B1844" s="1" t="s">
        <v>1737</v>
      </c>
      <c r="C1844" s="1" t="s">
        <v>8</v>
      </c>
      <c r="D1844" s="1">
        <v>1630382</v>
      </c>
      <c r="E1844" s="1">
        <v>1631083</v>
      </c>
      <c r="F1844" s="1" t="s">
        <v>9</v>
      </c>
      <c r="G1844" s="1" t="s">
        <v>11409</v>
      </c>
    </row>
    <row r="1845" spans="1:7" ht="21" x14ac:dyDescent="0.25">
      <c r="A1845" s="2" t="str">
        <f>HYPERLINK("https://rth.dk/resources/bsgatlas/details.php?id=BSGatlas-gene-1844","BSGatlas-gene-1844")</f>
        <v>BSGatlas-gene-1844</v>
      </c>
      <c r="B1845" s="1" t="s">
        <v>1738</v>
      </c>
      <c r="C1845" s="1" t="s">
        <v>8</v>
      </c>
      <c r="D1845" s="1">
        <v>1631095</v>
      </c>
      <c r="E1845" s="1">
        <v>1632159</v>
      </c>
      <c r="F1845" s="1" t="s">
        <v>9</v>
      </c>
      <c r="G1845" s="1" t="s">
        <v>11409</v>
      </c>
    </row>
    <row r="1846" spans="1:7" ht="21" x14ac:dyDescent="0.25">
      <c r="A1846" s="2" t="str">
        <f>HYPERLINK("https://rth.dk/resources/bsgatlas/details.php?id=BSGatlas-gene-1845","BSGatlas-gene-1845")</f>
        <v>BSGatlas-gene-1845</v>
      </c>
      <c r="B1846" s="1" t="s">
        <v>1739</v>
      </c>
      <c r="C1846" s="1" t="s">
        <v>8</v>
      </c>
      <c r="D1846" s="1">
        <v>1632208</v>
      </c>
      <c r="E1846" s="1">
        <v>1633356</v>
      </c>
      <c r="F1846" s="1" t="s">
        <v>9</v>
      </c>
      <c r="G1846" s="1" t="s">
        <v>11409</v>
      </c>
    </row>
    <row r="1847" spans="1:7" ht="21" x14ac:dyDescent="0.25">
      <c r="A1847" s="2" t="str">
        <f>HYPERLINK("https://rth.dk/resources/bsgatlas/details.php?id=BSGatlas-gene-1846","BSGatlas-gene-1846")</f>
        <v>BSGatlas-gene-1846</v>
      </c>
      <c r="B1847" s="1" t="s">
        <v>1740</v>
      </c>
      <c r="C1847" s="1" t="s">
        <v>8</v>
      </c>
      <c r="D1847" s="1">
        <v>1633369</v>
      </c>
      <c r="E1847" s="1">
        <v>1633962</v>
      </c>
      <c r="F1847" s="1" t="s">
        <v>9</v>
      </c>
      <c r="G1847" s="1" t="s">
        <v>11409</v>
      </c>
    </row>
    <row r="1848" spans="1:7" ht="21" x14ac:dyDescent="0.25">
      <c r="A1848" s="2" t="str">
        <f>HYPERLINK("https://rth.dk/resources/bsgatlas/details.php?id=BSGatlas-gene-1847","BSGatlas-gene-1847")</f>
        <v>BSGatlas-gene-1847</v>
      </c>
      <c r="B1848" s="1" t="s">
        <v>1741</v>
      </c>
      <c r="C1848" s="1" t="s">
        <v>8</v>
      </c>
      <c r="D1848" s="1">
        <v>1634061</v>
      </c>
      <c r="E1848" s="1">
        <v>1634834</v>
      </c>
      <c r="F1848" s="1" t="s">
        <v>9</v>
      </c>
      <c r="G1848" s="1" t="s">
        <v>11409</v>
      </c>
    </row>
    <row r="1849" spans="1:7" ht="21" x14ac:dyDescent="0.25">
      <c r="A1849" s="2" t="str">
        <f>HYPERLINK("https://rth.dk/resources/bsgatlas/details.php?id=BSGatlas-gene-1848","BSGatlas-gene-1848")</f>
        <v>BSGatlas-gene-1848</v>
      </c>
      <c r="B1849" s="1" t="s">
        <v>1742</v>
      </c>
      <c r="C1849" s="1" t="s">
        <v>8</v>
      </c>
      <c r="D1849" s="1">
        <v>1634837</v>
      </c>
      <c r="E1849" s="1">
        <v>1635622</v>
      </c>
      <c r="F1849" s="1" t="s">
        <v>9</v>
      </c>
      <c r="G1849" s="1" t="s">
        <v>11409</v>
      </c>
    </row>
    <row r="1850" spans="1:7" ht="21" x14ac:dyDescent="0.25">
      <c r="A1850" s="2" t="str">
        <f>HYPERLINK("https://rth.dk/resources/bsgatlas/details.php?id=BSGatlas-gene-1849","BSGatlas-gene-1849")</f>
        <v>BSGatlas-gene-1849</v>
      </c>
      <c r="B1850" s="1" t="s">
        <v>1743</v>
      </c>
      <c r="C1850" s="1" t="s">
        <v>8</v>
      </c>
      <c r="D1850" s="1">
        <v>1635603</v>
      </c>
      <c r="E1850" s="1">
        <v>1636091</v>
      </c>
      <c r="F1850" s="1" t="s">
        <v>9</v>
      </c>
      <c r="G1850" s="1" t="s">
        <v>11409</v>
      </c>
    </row>
    <row r="1851" spans="1:7" ht="21" x14ac:dyDescent="0.25">
      <c r="A1851" s="2" t="str">
        <f>HYPERLINK("https://rth.dk/resources/bsgatlas/details.php?id=BSGatlas-gene-1850","BSGatlas-gene-1850")</f>
        <v>BSGatlas-gene-1850</v>
      </c>
      <c r="B1851" s="1" t="s">
        <v>1744</v>
      </c>
      <c r="C1851" s="1" t="s">
        <v>8</v>
      </c>
      <c r="D1851" s="1">
        <v>1636131</v>
      </c>
      <c r="E1851" s="1">
        <v>1637849</v>
      </c>
      <c r="F1851" s="1" t="s">
        <v>13</v>
      </c>
      <c r="G1851" s="1" t="s">
        <v>11409</v>
      </c>
    </row>
    <row r="1852" spans="1:7" ht="21" x14ac:dyDescent="0.25">
      <c r="A1852" s="2" t="str">
        <f>HYPERLINK("https://rth.dk/resources/bsgatlas/details.php?id=BSGatlas-gene-1851","BSGatlas-gene-1851")</f>
        <v>BSGatlas-gene-1851</v>
      </c>
      <c r="B1852" s="1" t="s">
        <v>1745</v>
      </c>
      <c r="C1852" s="1" t="s">
        <v>8</v>
      </c>
      <c r="D1852" s="1">
        <v>1637965</v>
      </c>
      <c r="E1852" s="1">
        <v>1640637</v>
      </c>
      <c r="F1852" s="1" t="s">
        <v>9</v>
      </c>
      <c r="G1852" s="1" t="s">
        <v>11409</v>
      </c>
    </row>
    <row r="1853" spans="1:7" ht="21" x14ac:dyDescent="0.25">
      <c r="A1853" s="2" t="str">
        <f>HYPERLINK("https://rth.dk/resources/bsgatlas/details.php?id=BSGatlas-gene-1852","BSGatlas-gene-1852")</f>
        <v>BSGatlas-gene-1852</v>
      </c>
      <c r="B1853" s="1" t="s">
        <v>1746</v>
      </c>
      <c r="C1853" s="1" t="s">
        <v>8</v>
      </c>
      <c r="D1853" s="1">
        <v>1640720</v>
      </c>
      <c r="E1853" s="1">
        <v>1641595</v>
      </c>
      <c r="F1853" s="1" t="s">
        <v>9</v>
      </c>
      <c r="G1853" s="1" t="s">
        <v>11409</v>
      </c>
    </row>
    <row r="1854" spans="1:7" ht="21" x14ac:dyDescent="0.25">
      <c r="A1854" s="2" t="str">
        <f>HYPERLINK("https://rth.dk/resources/bsgatlas/details.php?id=BSGatlas-gene-1853","BSGatlas-gene-1853")</f>
        <v>BSGatlas-gene-1853</v>
      </c>
      <c r="B1854" s="1" t="s">
        <v>1747</v>
      </c>
      <c r="C1854" s="1" t="s">
        <v>8</v>
      </c>
      <c r="D1854" s="1">
        <v>1641672</v>
      </c>
      <c r="E1854" s="1">
        <v>1641941</v>
      </c>
      <c r="F1854" s="1" t="s">
        <v>9</v>
      </c>
      <c r="G1854" s="1" t="s">
        <v>11409</v>
      </c>
    </row>
    <row r="1855" spans="1:7" ht="21" x14ac:dyDescent="0.25">
      <c r="A1855" s="2" t="str">
        <f>HYPERLINK("https://rth.dk/resources/bsgatlas/details.php?id=BSGatlas-gene-1854","BSGatlas-gene-1854")</f>
        <v>BSGatlas-gene-1854</v>
      </c>
      <c r="B1855" s="1" t="s">
        <v>1748</v>
      </c>
      <c r="C1855" s="1" t="s">
        <v>8</v>
      </c>
      <c r="D1855" s="1">
        <v>1641949</v>
      </c>
      <c r="E1855" s="1">
        <v>1642563</v>
      </c>
      <c r="F1855" s="1" t="s">
        <v>9</v>
      </c>
      <c r="G1855" s="1" t="s">
        <v>11409</v>
      </c>
    </row>
    <row r="1856" spans="1:7" ht="21" x14ac:dyDescent="0.25">
      <c r="A1856" s="2" t="str">
        <f>HYPERLINK("https://rth.dk/resources/bsgatlas/details.php?id=BSGatlas-gene-1855","BSGatlas-gene-1855")</f>
        <v>BSGatlas-gene-1855</v>
      </c>
      <c r="B1856" s="1" t="s">
        <v>1749</v>
      </c>
      <c r="C1856" s="1" t="s">
        <v>8</v>
      </c>
      <c r="D1856" s="1">
        <v>1642567</v>
      </c>
      <c r="E1856" s="1">
        <v>1642770</v>
      </c>
      <c r="F1856" s="1" t="s">
        <v>9</v>
      </c>
      <c r="G1856" s="1" t="s">
        <v>11409</v>
      </c>
    </row>
    <row r="1857" spans="1:7" ht="21" x14ac:dyDescent="0.25">
      <c r="A1857" s="2" t="str">
        <f>HYPERLINK("https://rth.dk/resources/bsgatlas/details.php?id=BSGatlas-gene-1856","BSGatlas-gene-1856")</f>
        <v>BSGatlas-gene-1856</v>
      </c>
      <c r="B1857" s="1" t="s">
        <v>1750</v>
      </c>
      <c r="C1857" s="1" t="s">
        <v>8</v>
      </c>
      <c r="D1857" s="1">
        <v>1642851</v>
      </c>
      <c r="E1857" s="1">
        <v>1644071</v>
      </c>
      <c r="F1857" s="1" t="s">
        <v>9</v>
      </c>
      <c r="G1857" s="1" t="s">
        <v>11409</v>
      </c>
    </row>
    <row r="1858" spans="1:7" ht="21" x14ac:dyDescent="0.25">
      <c r="A1858" s="2" t="str">
        <f>HYPERLINK("https://rth.dk/resources/bsgatlas/details.php?id=BSGatlas-gene-1857","BSGatlas-gene-1857")</f>
        <v>BSGatlas-gene-1857</v>
      </c>
      <c r="B1858" s="1" t="s">
        <v>1756</v>
      </c>
      <c r="C1858" s="1" t="s">
        <v>12</v>
      </c>
      <c r="D1858" s="1">
        <v>1643910</v>
      </c>
      <c r="E1858" s="1">
        <v>1644485</v>
      </c>
      <c r="F1858" s="1" t="s">
        <v>13</v>
      </c>
      <c r="G1858" s="1" t="s">
        <v>11406</v>
      </c>
    </row>
    <row r="1859" spans="1:7" ht="21" x14ac:dyDescent="0.25">
      <c r="A1859" s="2" t="str">
        <f>HYPERLINK("https://rth.dk/resources/bsgatlas/details.php?id=BSGatlas-gene-1858","BSGatlas-gene-1858")</f>
        <v>BSGatlas-gene-1858</v>
      </c>
      <c r="B1859" s="1" t="s">
        <v>1751</v>
      </c>
      <c r="C1859" s="1" t="s">
        <v>8</v>
      </c>
      <c r="D1859" s="1">
        <v>1644068</v>
      </c>
      <c r="E1859" s="1">
        <v>1646485</v>
      </c>
      <c r="F1859" s="1" t="s">
        <v>9</v>
      </c>
      <c r="G1859" s="1" t="s">
        <v>11409</v>
      </c>
    </row>
    <row r="1860" spans="1:7" ht="21" x14ac:dyDescent="0.25">
      <c r="A1860" s="2" t="str">
        <f>HYPERLINK("https://rth.dk/resources/bsgatlas/details.php?id=BSGatlas-gene-1859","BSGatlas-gene-1859")</f>
        <v>BSGatlas-gene-1859</v>
      </c>
      <c r="B1860" s="1" t="s">
        <v>1752</v>
      </c>
      <c r="C1860" s="1" t="s">
        <v>8</v>
      </c>
      <c r="D1860" s="1">
        <v>1646512</v>
      </c>
      <c r="E1860" s="1">
        <v>1646994</v>
      </c>
      <c r="F1860" s="1" t="s">
        <v>9</v>
      </c>
      <c r="G1860" s="1" t="s">
        <v>11409</v>
      </c>
    </row>
    <row r="1861" spans="1:7" ht="21" x14ac:dyDescent="0.25">
      <c r="A1861" s="2" t="str">
        <f>HYPERLINK("https://rth.dk/resources/bsgatlas/details.php?id=BSGatlas-gene-1860","BSGatlas-gene-1860")</f>
        <v>BSGatlas-gene-1860</v>
      </c>
      <c r="B1861" s="1" t="s">
        <v>1753</v>
      </c>
      <c r="C1861" s="1" t="s">
        <v>8</v>
      </c>
      <c r="D1861" s="1">
        <v>1646999</v>
      </c>
      <c r="E1861" s="1">
        <v>1647952</v>
      </c>
      <c r="F1861" s="1" t="s">
        <v>9</v>
      </c>
      <c r="G1861" s="1" t="s">
        <v>11409</v>
      </c>
    </row>
    <row r="1862" spans="1:7" ht="21" x14ac:dyDescent="0.25">
      <c r="A1862" s="2" t="str">
        <f>HYPERLINK("https://rth.dk/resources/bsgatlas/details.php?id=BSGatlas-gene-1861","BSGatlas-gene-1861")</f>
        <v>BSGatlas-gene-1861</v>
      </c>
      <c r="B1862" s="1" t="s">
        <v>1754</v>
      </c>
      <c r="C1862" s="1" t="s">
        <v>8</v>
      </c>
      <c r="D1862" s="1">
        <v>1647939</v>
      </c>
      <c r="E1862" s="1">
        <v>1649282</v>
      </c>
      <c r="F1862" s="1" t="s">
        <v>9</v>
      </c>
      <c r="G1862" s="1" t="s">
        <v>11409</v>
      </c>
    </row>
    <row r="1863" spans="1:7" ht="21" x14ac:dyDescent="0.25">
      <c r="A1863" s="2" t="str">
        <f>HYPERLINK("https://rth.dk/resources/bsgatlas/details.php?id=BSGatlas-gene-1862","BSGatlas-gene-1862")</f>
        <v>BSGatlas-gene-1862</v>
      </c>
      <c r="B1863" s="1" t="s">
        <v>1755</v>
      </c>
      <c r="C1863" s="1" t="s">
        <v>8</v>
      </c>
      <c r="D1863" s="1">
        <v>1649286</v>
      </c>
      <c r="E1863" s="1">
        <v>1650377</v>
      </c>
      <c r="F1863" s="1" t="s">
        <v>9</v>
      </c>
      <c r="G1863" s="1" t="s">
        <v>11409</v>
      </c>
    </row>
    <row r="1864" spans="1:7" ht="21" x14ac:dyDescent="0.25">
      <c r="A1864" s="2" t="str">
        <f>HYPERLINK("https://rth.dk/resources/bsgatlas/details.php?id=BSGatlas-gene-1863","BSGatlas-gene-1863")</f>
        <v>BSGatlas-gene-1863</v>
      </c>
      <c r="B1864" s="1" t="s">
        <v>1757</v>
      </c>
      <c r="C1864" s="1" t="s">
        <v>8</v>
      </c>
      <c r="D1864" s="1">
        <v>1650384</v>
      </c>
      <c r="E1864" s="1">
        <v>1651148</v>
      </c>
      <c r="F1864" s="1" t="s">
        <v>9</v>
      </c>
      <c r="G1864" s="1" t="s">
        <v>11409</v>
      </c>
    </row>
    <row r="1865" spans="1:7" ht="21" x14ac:dyDescent="0.25">
      <c r="A1865" s="2" t="str">
        <f>HYPERLINK("https://rth.dk/resources/bsgatlas/details.php?id=BSGatlas-gene-1864","BSGatlas-gene-1864")</f>
        <v>BSGatlas-gene-1864</v>
      </c>
      <c r="B1865" s="1" t="s">
        <v>1758</v>
      </c>
      <c r="C1865" s="1" t="s">
        <v>8</v>
      </c>
      <c r="D1865" s="1">
        <v>1651142</v>
      </c>
      <c r="E1865" s="1">
        <v>1653088</v>
      </c>
      <c r="F1865" s="1" t="s">
        <v>9</v>
      </c>
      <c r="G1865" s="1" t="s">
        <v>11409</v>
      </c>
    </row>
    <row r="1866" spans="1:7" ht="21" x14ac:dyDescent="0.25">
      <c r="A1866" s="2" t="str">
        <f>HYPERLINK("https://rth.dk/resources/bsgatlas/details.php?id=BSGatlas-gene-1865","BSGatlas-gene-1865")</f>
        <v>BSGatlas-gene-1865</v>
      </c>
      <c r="B1866" s="1" t="s">
        <v>1759</v>
      </c>
      <c r="C1866" s="1" t="s">
        <v>8</v>
      </c>
      <c r="D1866" s="1">
        <v>1653103</v>
      </c>
      <c r="E1866" s="1">
        <v>1653999</v>
      </c>
      <c r="F1866" s="1" t="s">
        <v>9</v>
      </c>
      <c r="G1866" s="1" t="s">
        <v>11409</v>
      </c>
    </row>
    <row r="1867" spans="1:7" ht="21" x14ac:dyDescent="0.25">
      <c r="A1867" s="2" t="str">
        <f>HYPERLINK("https://rth.dk/resources/bsgatlas/details.php?id=BSGatlas-gene-1866","BSGatlas-gene-1866")</f>
        <v>BSGatlas-gene-1866</v>
      </c>
      <c r="B1867" s="1" t="s">
        <v>1760</v>
      </c>
      <c r="C1867" s="1" t="s">
        <v>8</v>
      </c>
      <c r="D1867" s="1">
        <v>1654004</v>
      </c>
      <c r="E1867" s="1">
        <v>1654657</v>
      </c>
      <c r="F1867" s="1" t="s">
        <v>9</v>
      </c>
      <c r="G1867" s="1" t="s">
        <v>11409</v>
      </c>
    </row>
    <row r="1868" spans="1:7" ht="21" x14ac:dyDescent="0.25">
      <c r="A1868" s="2" t="str">
        <f>HYPERLINK("https://rth.dk/resources/bsgatlas/details.php?id=BSGatlas-gene-1867","BSGatlas-gene-1867")</f>
        <v>BSGatlas-gene-1867</v>
      </c>
      <c r="B1868" s="1" t="s">
        <v>1761</v>
      </c>
      <c r="C1868" s="1" t="s">
        <v>8</v>
      </c>
      <c r="D1868" s="1">
        <v>1654730</v>
      </c>
      <c r="E1868" s="1">
        <v>1655374</v>
      </c>
      <c r="F1868" s="1" t="s">
        <v>9</v>
      </c>
      <c r="G1868" s="1" t="s">
        <v>11409</v>
      </c>
    </row>
    <row r="1869" spans="1:7" ht="21" x14ac:dyDescent="0.25">
      <c r="A1869" s="2" t="str">
        <f>HYPERLINK("https://rth.dk/resources/bsgatlas/details.php?id=BSGatlas-gene-1868","BSGatlas-gene-1868")</f>
        <v>BSGatlas-gene-1868</v>
      </c>
      <c r="B1869" s="1" t="s">
        <v>1762</v>
      </c>
      <c r="C1869" s="1" t="s">
        <v>8</v>
      </c>
      <c r="D1869" s="1">
        <v>1655446</v>
      </c>
      <c r="E1869" s="1">
        <v>1655526</v>
      </c>
      <c r="F1869" s="1" t="s">
        <v>9</v>
      </c>
      <c r="G1869" s="1" t="s">
        <v>11409</v>
      </c>
    </row>
    <row r="1870" spans="1:7" ht="21" x14ac:dyDescent="0.25">
      <c r="A1870" s="2" t="str">
        <f>HYPERLINK("https://rth.dk/resources/bsgatlas/details.php?id=BSGatlas-gene-1869","BSGatlas-gene-1869")</f>
        <v>BSGatlas-gene-1869</v>
      </c>
      <c r="B1870" s="1" t="s">
        <v>1763</v>
      </c>
      <c r="C1870" s="1" t="s">
        <v>8</v>
      </c>
      <c r="D1870" s="1">
        <v>1655599</v>
      </c>
      <c r="E1870" s="1">
        <v>1655787</v>
      </c>
      <c r="F1870" s="1" t="s">
        <v>13</v>
      </c>
      <c r="G1870" s="1" t="s">
        <v>11409</v>
      </c>
    </row>
    <row r="1871" spans="1:7" ht="21" x14ac:dyDescent="0.25">
      <c r="A1871" s="2" t="str">
        <f>HYPERLINK("https://rth.dk/resources/bsgatlas/details.php?id=BSGatlas-gene-1870","BSGatlas-gene-1870")</f>
        <v>BSGatlas-gene-1870</v>
      </c>
      <c r="B1871" s="1" t="s">
        <v>1764</v>
      </c>
      <c r="C1871" s="1" t="s">
        <v>8</v>
      </c>
      <c r="D1871" s="1">
        <v>1656064</v>
      </c>
      <c r="E1871" s="1">
        <v>1656426</v>
      </c>
      <c r="F1871" s="1" t="s">
        <v>9</v>
      </c>
      <c r="G1871" s="1" t="s">
        <v>11409</v>
      </c>
    </row>
    <row r="1872" spans="1:7" ht="21" x14ac:dyDescent="0.25">
      <c r="A1872" s="2" t="str">
        <f>HYPERLINK("https://rth.dk/resources/bsgatlas/details.php?id=BSGatlas-gene-1871","BSGatlas-gene-1871")</f>
        <v>BSGatlas-gene-1871</v>
      </c>
      <c r="B1872" s="1" t="s">
        <v>1765</v>
      </c>
      <c r="C1872" s="1" t="s">
        <v>8</v>
      </c>
      <c r="D1872" s="1">
        <v>1656442</v>
      </c>
      <c r="E1872" s="1">
        <v>1658103</v>
      </c>
      <c r="F1872" s="1" t="s">
        <v>9</v>
      </c>
      <c r="G1872" s="1" t="s">
        <v>11409</v>
      </c>
    </row>
    <row r="1873" spans="1:7" ht="21" x14ac:dyDescent="0.25">
      <c r="A1873" s="2" t="str">
        <f>HYPERLINK("https://rth.dk/resources/bsgatlas/details.php?id=BSGatlas-gene-1872","BSGatlas-gene-1872")</f>
        <v>BSGatlas-gene-1872</v>
      </c>
      <c r="B1873" s="1" t="s">
        <v>1766</v>
      </c>
      <c r="C1873" s="1" t="s">
        <v>8</v>
      </c>
      <c r="D1873" s="1">
        <v>1658242</v>
      </c>
      <c r="E1873" s="1">
        <v>1658904</v>
      </c>
      <c r="F1873" s="1" t="s">
        <v>9</v>
      </c>
      <c r="G1873" s="1" t="s">
        <v>11409</v>
      </c>
    </row>
    <row r="1874" spans="1:7" ht="21" x14ac:dyDescent="0.25">
      <c r="A1874" s="2" t="str">
        <f>HYPERLINK("https://rth.dk/resources/bsgatlas/details.php?id=BSGatlas-gene-1873","BSGatlas-gene-1873")</f>
        <v>BSGatlas-gene-1873</v>
      </c>
      <c r="B1874" s="1" t="s">
        <v>1767</v>
      </c>
      <c r="C1874" s="1" t="s">
        <v>8</v>
      </c>
      <c r="D1874" s="1">
        <v>1658930</v>
      </c>
      <c r="E1874" s="1">
        <v>1659832</v>
      </c>
      <c r="F1874" s="1" t="s">
        <v>9</v>
      </c>
      <c r="G1874" s="1" t="s">
        <v>11409</v>
      </c>
    </row>
    <row r="1875" spans="1:7" ht="21" x14ac:dyDescent="0.25">
      <c r="A1875" s="2" t="str">
        <f>HYPERLINK("https://rth.dk/resources/bsgatlas/details.php?id=BSGatlas-gene-1874","BSGatlas-gene-1874")</f>
        <v>BSGatlas-gene-1874</v>
      </c>
      <c r="B1875" s="1" t="s">
        <v>1768</v>
      </c>
      <c r="C1875" s="1" t="s">
        <v>8</v>
      </c>
      <c r="D1875" s="1">
        <v>1659810</v>
      </c>
      <c r="E1875" s="1">
        <v>1661858</v>
      </c>
      <c r="F1875" s="1" t="s">
        <v>9</v>
      </c>
      <c r="G1875" s="1" t="s">
        <v>11409</v>
      </c>
    </row>
    <row r="1876" spans="1:7" ht="21" x14ac:dyDescent="0.25">
      <c r="A1876" s="2" t="str">
        <f>HYPERLINK("https://rth.dk/resources/bsgatlas/details.php?id=BSGatlas-gene-1875","BSGatlas-gene-1875")</f>
        <v>BSGatlas-gene-1875</v>
      </c>
      <c r="B1876" s="1" t="s">
        <v>1769</v>
      </c>
      <c r="C1876" s="1" t="s">
        <v>8</v>
      </c>
      <c r="D1876" s="1">
        <v>1661967</v>
      </c>
      <c r="E1876" s="1">
        <v>1662533</v>
      </c>
      <c r="F1876" s="1" t="s">
        <v>9</v>
      </c>
      <c r="G1876" s="1" t="s">
        <v>11409</v>
      </c>
    </row>
    <row r="1877" spans="1:7" ht="21" x14ac:dyDescent="0.25">
      <c r="A1877" s="2" t="str">
        <f>HYPERLINK("https://rth.dk/resources/bsgatlas/details.php?id=BSGatlas-gene-1876","BSGatlas-gene-1876")</f>
        <v>BSGatlas-gene-1876</v>
      </c>
      <c r="B1877" s="1" t="s">
        <v>1770</v>
      </c>
      <c r="C1877" s="1" t="s">
        <v>8</v>
      </c>
      <c r="D1877" s="1">
        <v>1662547</v>
      </c>
      <c r="E1877" s="1">
        <v>1663548</v>
      </c>
      <c r="F1877" s="1" t="s">
        <v>9</v>
      </c>
      <c r="G1877" s="1" t="s">
        <v>11409</v>
      </c>
    </row>
    <row r="1878" spans="1:7" ht="21" x14ac:dyDescent="0.25">
      <c r="A1878" s="2" t="str">
        <f>HYPERLINK("https://rth.dk/resources/bsgatlas/details.php?id=BSGatlas-gene-1877","BSGatlas-gene-1877")</f>
        <v>BSGatlas-gene-1877</v>
      </c>
      <c r="B1878" s="1" t="s">
        <v>1771</v>
      </c>
      <c r="C1878" s="1" t="s">
        <v>8</v>
      </c>
      <c r="D1878" s="1">
        <v>1663567</v>
      </c>
      <c r="E1878" s="1">
        <v>1664520</v>
      </c>
      <c r="F1878" s="1" t="s">
        <v>9</v>
      </c>
      <c r="G1878" s="1" t="s">
        <v>11409</v>
      </c>
    </row>
    <row r="1879" spans="1:7" ht="21" x14ac:dyDescent="0.25">
      <c r="A1879" s="2" t="str">
        <f>HYPERLINK("https://rth.dk/resources/bsgatlas/details.php?id=BSGatlas-gene-1878","BSGatlas-gene-1878")</f>
        <v>BSGatlas-gene-1878</v>
      </c>
      <c r="B1879" s="1" t="s">
        <v>1772</v>
      </c>
      <c r="C1879" s="1" t="s">
        <v>8</v>
      </c>
      <c r="D1879" s="1">
        <v>1664513</v>
      </c>
      <c r="E1879" s="1">
        <v>1665253</v>
      </c>
      <c r="F1879" s="1" t="s">
        <v>9</v>
      </c>
      <c r="G1879" s="1" t="s">
        <v>11409</v>
      </c>
    </row>
    <row r="1880" spans="1:7" ht="21" x14ac:dyDescent="0.25">
      <c r="A1880" s="2" t="str">
        <f>HYPERLINK("https://rth.dk/resources/bsgatlas/details.php?id=BSGatlas-gene-1879","BSGatlas-gene-1879")</f>
        <v>BSGatlas-gene-1879</v>
      </c>
      <c r="B1880" s="1" t="s">
        <v>1773</v>
      </c>
      <c r="C1880" s="1" t="s">
        <v>8</v>
      </c>
      <c r="D1880" s="1">
        <v>1665337</v>
      </c>
      <c r="E1880" s="1">
        <v>1665570</v>
      </c>
      <c r="F1880" s="1" t="s">
        <v>9</v>
      </c>
      <c r="G1880" s="1" t="s">
        <v>11409</v>
      </c>
    </row>
    <row r="1881" spans="1:7" ht="21" x14ac:dyDescent="0.25">
      <c r="A1881" s="2" t="str">
        <f>HYPERLINK("https://rth.dk/resources/bsgatlas/details.php?id=BSGatlas-gene-1880","BSGatlas-gene-1880")</f>
        <v>BSGatlas-gene-1880</v>
      </c>
      <c r="B1881" s="1" t="s">
        <v>1774</v>
      </c>
      <c r="C1881" s="1" t="s">
        <v>8</v>
      </c>
      <c r="D1881" s="1">
        <v>1665710</v>
      </c>
      <c r="E1881" s="1">
        <v>1666459</v>
      </c>
      <c r="F1881" s="1" t="s">
        <v>9</v>
      </c>
      <c r="G1881" s="1" t="s">
        <v>11409</v>
      </c>
    </row>
    <row r="1882" spans="1:7" ht="21" x14ac:dyDescent="0.25">
      <c r="A1882" s="2" t="str">
        <f>HYPERLINK("https://rth.dk/resources/bsgatlas/details.php?id=BSGatlas-gene-1881","BSGatlas-gene-1881")</f>
        <v>BSGatlas-gene-1881</v>
      </c>
      <c r="B1882" s="1" t="s">
        <v>1775</v>
      </c>
      <c r="C1882" s="1" t="s">
        <v>8</v>
      </c>
      <c r="D1882" s="1">
        <v>1666560</v>
      </c>
      <c r="E1882" s="1">
        <v>1670120</v>
      </c>
      <c r="F1882" s="1" t="s">
        <v>9</v>
      </c>
      <c r="G1882" s="1" t="s">
        <v>11409</v>
      </c>
    </row>
    <row r="1883" spans="1:7" ht="21" x14ac:dyDescent="0.25">
      <c r="A1883" s="2" t="str">
        <f>HYPERLINK("https://rth.dk/resources/bsgatlas/details.php?id=BSGatlas-gene-1882","BSGatlas-gene-1882")</f>
        <v>BSGatlas-gene-1882</v>
      </c>
      <c r="B1883" s="1" t="s">
        <v>1776</v>
      </c>
      <c r="C1883" s="1" t="s">
        <v>8</v>
      </c>
      <c r="D1883" s="1">
        <v>1670140</v>
      </c>
      <c r="E1883" s="1">
        <v>1671129</v>
      </c>
      <c r="F1883" s="1" t="s">
        <v>9</v>
      </c>
      <c r="G1883" s="1" t="s">
        <v>11409</v>
      </c>
    </row>
    <row r="1884" spans="1:7" ht="21" x14ac:dyDescent="0.25">
      <c r="A1884" s="2" t="str">
        <f>HYPERLINK("https://rth.dk/resources/bsgatlas/details.php?id=BSGatlas-gene-1883","BSGatlas-gene-1883")</f>
        <v>BSGatlas-gene-1883</v>
      </c>
      <c r="B1884" s="1" t="s">
        <v>1777</v>
      </c>
      <c r="C1884" s="1" t="s">
        <v>8</v>
      </c>
      <c r="D1884" s="1">
        <v>1671166</v>
      </c>
      <c r="E1884" s="1">
        <v>1671651</v>
      </c>
      <c r="F1884" s="1" t="s">
        <v>13</v>
      </c>
      <c r="G1884" s="1" t="s">
        <v>11409</v>
      </c>
    </row>
    <row r="1885" spans="1:7" ht="21" x14ac:dyDescent="0.25">
      <c r="A1885" s="2" t="str">
        <f>HYPERLINK("https://rth.dk/resources/bsgatlas/details.php?id=BSGatlas-gene-1884","BSGatlas-gene-1884")</f>
        <v>BSGatlas-gene-1884</v>
      </c>
      <c r="B1885" s="1" t="s">
        <v>1778</v>
      </c>
      <c r="C1885" s="1" t="s">
        <v>8</v>
      </c>
      <c r="D1885" s="1">
        <v>1671828</v>
      </c>
      <c r="E1885" s="1">
        <v>1672160</v>
      </c>
      <c r="F1885" s="1" t="s">
        <v>9</v>
      </c>
      <c r="G1885" s="1" t="s">
        <v>11409</v>
      </c>
    </row>
    <row r="1886" spans="1:7" ht="21" x14ac:dyDescent="0.25">
      <c r="A1886" s="2" t="str">
        <f>HYPERLINK("https://rth.dk/resources/bsgatlas/details.php?id=BSGatlas-gene-1885","BSGatlas-gene-1885")</f>
        <v>BSGatlas-gene-1885</v>
      </c>
      <c r="B1886" s="1" t="s">
        <v>1779</v>
      </c>
      <c r="C1886" s="1" t="s">
        <v>8</v>
      </c>
      <c r="D1886" s="1">
        <v>1672174</v>
      </c>
      <c r="E1886" s="1">
        <v>1673514</v>
      </c>
      <c r="F1886" s="1" t="s">
        <v>9</v>
      </c>
      <c r="G1886" s="1" t="s">
        <v>11409</v>
      </c>
    </row>
    <row r="1887" spans="1:7" ht="21" x14ac:dyDescent="0.25">
      <c r="A1887" s="2" t="str">
        <f>HYPERLINK("https://rth.dk/resources/bsgatlas/details.php?id=BSGatlas-gene-1886","BSGatlas-gene-1886")</f>
        <v>BSGatlas-gene-1886</v>
      </c>
      <c r="B1887" s="1" t="s">
        <v>1780</v>
      </c>
      <c r="C1887" s="1" t="s">
        <v>8</v>
      </c>
      <c r="D1887" s="1">
        <v>1673620</v>
      </c>
      <c r="E1887" s="1">
        <v>1673892</v>
      </c>
      <c r="F1887" s="1" t="s">
        <v>9</v>
      </c>
      <c r="G1887" s="1" t="s">
        <v>11409</v>
      </c>
    </row>
    <row r="1888" spans="1:7" ht="21" x14ac:dyDescent="0.25">
      <c r="A1888" s="2" t="str">
        <f>HYPERLINK("https://rth.dk/resources/bsgatlas/details.php?id=BSGatlas-gene-1887","BSGatlas-gene-1887")</f>
        <v>BSGatlas-gene-1887</v>
      </c>
      <c r="B1888" s="1" t="s">
        <v>1781</v>
      </c>
      <c r="C1888" s="1" t="s">
        <v>8</v>
      </c>
      <c r="D1888" s="1">
        <v>1673892</v>
      </c>
      <c r="E1888" s="1">
        <v>1674137</v>
      </c>
      <c r="F1888" s="1" t="s">
        <v>9</v>
      </c>
      <c r="G1888" s="1" t="s">
        <v>11409</v>
      </c>
    </row>
    <row r="1889" spans="1:7" ht="21" x14ac:dyDescent="0.25">
      <c r="A1889" s="2" t="str">
        <f>HYPERLINK("https://rth.dk/resources/bsgatlas/details.php?id=BSGatlas-gene-1888","BSGatlas-gene-1888")</f>
        <v>BSGatlas-gene-1888</v>
      </c>
      <c r="B1889" s="1" t="s">
        <v>1782</v>
      </c>
      <c r="C1889" s="1" t="s">
        <v>8</v>
      </c>
      <c r="D1889" s="1">
        <v>1674259</v>
      </c>
      <c r="E1889" s="1">
        <v>1674645</v>
      </c>
      <c r="F1889" s="1" t="s">
        <v>9</v>
      </c>
      <c r="G1889" s="1" t="s">
        <v>11409</v>
      </c>
    </row>
    <row r="1890" spans="1:7" ht="21" x14ac:dyDescent="0.25">
      <c r="A1890" s="2" t="str">
        <f>HYPERLINK("https://rth.dk/resources/bsgatlas/details.php?id=BSGatlas-gene-1889","BSGatlas-gene-1889")</f>
        <v>BSGatlas-gene-1889</v>
      </c>
      <c r="B1890" s="1" t="s">
        <v>1783</v>
      </c>
      <c r="C1890" s="1" t="s">
        <v>8</v>
      </c>
      <c r="D1890" s="1">
        <v>1674650</v>
      </c>
      <c r="E1890" s="1">
        <v>1675174</v>
      </c>
      <c r="F1890" s="1" t="s">
        <v>9</v>
      </c>
      <c r="G1890" s="1" t="s">
        <v>11409</v>
      </c>
    </row>
    <row r="1891" spans="1:7" ht="21" x14ac:dyDescent="0.25">
      <c r="A1891" s="2" t="str">
        <f>HYPERLINK("https://rth.dk/resources/bsgatlas/details.php?id=BSGatlas-gene-1890","BSGatlas-gene-1890")</f>
        <v>BSGatlas-gene-1890</v>
      </c>
      <c r="B1891" s="1" t="s">
        <v>1784</v>
      </c>
      <c r="C1891" s="1" t="s">
        <v>8</v>
      </c>
      <c r="D1891" s="1">
        <v>1675171</v>
      </c>
      <c r="E1891" s="1">
        <v>1675902</v>
      </c>
      <c r="F1891" s="1" t="s">
        <v>9</v>
      </c>
      <c r="G1891" s="1" t="s">
        <v>11409</v>
      </c>
    </row>
    <row r="1892" spans="1:7" ht="21" x14ac:dyDescent="0.25">
      <c r="A1892" s="2" t="str">
        <f>HYPERLINK("https://rth.dk/resources/bsgatlas/details.php?id=BSGatlas-gene-1891","BSGatlas-gene-1891")</f>
        <v>BSGatlas-gene-1891</v>
      </c>
      <c r="B1892" s="1" t="s">
        <v>318</v>
      </c>
      <c r="C1892" s="1" t="s">
        <v>34</v>
      </c>
      <c r="D1892" s="1">
        <v>1675980</v>
      </c>
      <c r="E1892" s="1">
        <v>1676022</v>
      </c>
      <c r="F1892" s="1" t="s">
        <v>9</v>
      </c>
      <c r="G1892" s="1" t="s">
        <v>11411</v>
      </c>
    </row>
    <row r="1893" spans="1:7" ht="21" x14ac:dyDescent="0.25">
      <c r="A1893" s="2" t="str">
        <f>HYPERLINK("https://rth.dk/resources/bsgatlas/details.php?id=BSGatlas-gene-1892","BSGatlas-gene-1892")</f>
        <v>BSGatlas-gene-1892</v>
      </c>
      <c r="B1893" s="1" t="s">
        <v>1785</v>
      </c>
      <c r="C1893" s="1" t="s">
        <v>8</v>
      </c>
      <c r="D1893" s="1">
        <v>1676042</v>
      </c>
      <c r="E1893" s="1">
        <v>1676389</v>
      </c>
      <c r="F1893" s="1" t="s">
        <v>9</v>
      </c>
      <c r="G1893" s="1" t="s">
        <v>11409</v>
      </c>
    </row>
    <row r="1894" spans="1:7" ht="21" x14ac:dyDescent="0.25">
      <c r="A1894" s="2" t="str">
        <f>HYPERLINK("https://rth.dk/resources/bsgatlas/details.php?id=BSGatlas-gene-1893","BSGatlas-gene-1893")</f>
        <v>BSGatlas-gene-1893</v>
      </c>
      <c r="B1894" s="1" t="s">
        <v>1786</v>
      </c>
      <c r="C1894" s="1" t="s">
        <v>8</v>
      </c>
      <c r="D1894" s="1">
        <v>1676532</v>
      </c>
      <c r="E1894" s="1">
        <v>1677380</v>
      </c>
      <c r="F1894" s="1" t="s">
        <v>9</v>
      </c>
      <c r="G1894" s="1" t="s">
        <v>11409</v>
      </c>
    </row>
    <row r="1895" spans="1:7" ht="21" x14ac:dyDescent="0.25">
      <c r="A1895" s="2" t="str">
        <f>HYPERLINK("https://rth.dk/resources/bsgatlas/details.php?id=BSGatlas-gene-1894","BSGatlas-gene-1894")</f>
        <v>BSGatlas-gene-1894</v>
      </c>
      <c r="B1895" s="1" t="s">
        <v>1787</v>
      </c>
      <c r="C1895" s="1" t="s">
        <v>8</v>
      </c>
      <c r="D1895" s="1">
        <v>1677451</v>
      </c>
      <c r="E1895" s="1">
        <v>1678218</v>
      </c>
      <c r="F1895" s="1" t="s">
        <v>9</v>
      </c>
      <c r="G1895" s="1" t="s">
        <v>11409</v>
      </c>
    </row>
    <row r="1896" spans="1:7" ht="21" x14ac:dyDescent="0.25">
      <c r="A1896" s="2" t="str">
        <f>HYPERLINK("https://rth.dk/resources/bsgatlas/details.php?id=BSGatlas-gene-1895","BSGatlas-gene-1895")</f>
        <v>BSGatlas-gene-1895</v>
      </c>
      <c r="B1896" s="1" t="s">
        <v>1788</v>
      </c>
      <c r="C1896" s="1" t="s">
        <v>8</v>
      </c>
      <c r="D1896" s="1">
        <v>1678250</v>
      </c>
      <c r="E1896" s="1">
        <v>1679980</v>
      </c>
      <c r="F1896" s="1" t="s">
        <v>9</v>
      </c>
      <c r="G1896" s="1" t="s">
        <v>11409</v>
      </c>
    </row>
    <row r="1897" spans="1:7" ht="21" x14ac:dyDescent="0.25">
      <c r="A1897" s="2" t="str">
        <f>HYPERLINK("https://rth.dk/resources/bsgatlas/details.php?id=BSGatlas-gene-1896","BSGatlas-gene-1896")</f>
        <v>BSGatlas-gene-1896</v>
      </c>
      <c r="B1897" s="1" t="s">
        <v>1789</v>
      </c>
      <c r="C1897" s="1" t="s">
        <v>8</v>
      </c>
      <c r="D1897" s="1">
        <v>1679977</v>
      </c>
      <c r="E1897" s="1">
        <v>1680258</v>
      </c>
      <c r="F1897" s="1" t="s">
        <v>9</v>
      </c>
      <c r="G1897" s="1" t="s">
        <v>11409</v>
      </c>
    </row>
    <row r="1898" spans="1:7" ht="21" x14ac:dyDescent="0.25">
      <c r="A1898" s="2" t="str">
        <f>HYPERLINK("https://rth.dk/resources/bsgatlas/details.php?id=BSGatlas-gene-1897","BSGatlas-gene-1897")</f>
        <v>BSGatlas-gene-1897</v>
      </c>
      <c r="B1898" s="1" t="s">
        <v>1790</v>
      </c>
      <c r="C1898" s="1" t="s">
        <v>8</v>
      </c>
      <c r="D1898" s="1">
        <v>1680431</v>
      </c>
      <c r="E1898" s="1">
        <v>1681588</v>
      </c>
      <c r="F1898" s="1" t="s">
        <v>9</v>
      </c>
      <c r="G1898" s="1" t="s">
        <v>11409</v>
      </c>
    </row>
    <row r="1899" spans="1:7" ht="21" x14ac:dyDescent="0.25">
      <c r="A1899" s="2" t="str">
        <f>HYPERLINK("https://rth.dk/resources/bsgatlas/details.php?id=BSGatlas-gene-1898","BSGatlas-gene-1898")</f>
        <v>BSGatlas-gene-1898</v>
      </c>
      <c r="B1899" s="1" t="s">
        <v>1791</v>
      </c>
      <c r="C1899" s="1" t="s">
        <v>8</v>
      </c>
      <c r="D1899" s="1">
        <v>1681617</v>
      </c>
      <c r="E1899" s="1">
        <v>1682519</v>
      </c>
      <c r="F1899" s="1" t="s">
        <v>9</v>
      </c>
      <c r="G1899" s="1" t="s">
        <v>11409</v>
      </c>
    </row>
    <row r="1900" spans="1:7" ht="21" x14ac:dyDescent="0.25">
      <c r="A1900" s="2" t="str">
        <f>HYPERLINK("https://rth.dk/resources/bsgatlas/details.php?id=BSGatlas-gene-1899","BSGatlas-gene-1899")</f>
        <v>BSGatlas-gene-1899</v>
      </c>
      <c r="B1900" s="1" t="s">
        <v>1792</v>
      </c>
      <c r="C1900" s="1" t="s">
        <v>8</v>
      </c>
      <c r="D1900" s="1">
        <v>1682580</v>
      </c>
      <c r="E1900" s="1">
        <v>1683473</v>
      </c>
      <c r="F1900" s="1" t="s">
        <v>9</v>
      </c>
      <c r="G1900" s="1" t="s">
        <v>11409</v>
      </c>
    </row>
    <row r="1901" spans="1:7" ht="21" x14ac:dyDescent="0.25">
      <c r="A1901" s="2" t="str">
        <f>HYPERLINK("https://rth.dk/resources/bsgatlas/details.php?id=BSGatlas-gene-1900","BSGatlas-gene-1900")</f>
        <v>BSGatlas-gene-1900</v>
      </c>
      <c r="B1901" s="1" t="s">
        <v>1793</v>
      </c>
      <c r="C1901" s="1" t="s">
        <v>8</v>
      </c>
      <c r="D1901" s="1">
        <v>1683661</v>
      </c>
      <c r="E1901" s="1">
        <v>1685736</v>
      </c>
      <c r="F1901" s="1" t="s">
        <v>9</v>
      </c>
      <c r="G1901" s="1" t="s">
        <v>11409</v>
      </c>
    </row>
    <row r="1902" spans="1:7" ht="21" x14ac:dyDescent="0.25">
      <c r="A1902" s="2" t="str">
        <f>HYPERLINK("https://rth.dk/resources/bsgatlas/details.php?id=BSGatlas-gene-1901","BSGatlas-gene-1901")</f>
        <v>BSGatlas-gene-1901</v>
      </c>
      <c r="B1902" s="1" t="s">
        <v>1794</v>
      </c>
      <c r="C1902" s="1" t="s">
        <v>8</v>
      </c>
      <c r="D1902" s="1">
        <v>1685812</v>
      </c>
      <c r="E1902" s="1">
        <v>1687119</v>
      </c>
      <c r="F1902" s="1" t="s">
        <v>9</v>
      </c>
      <c r="G1902" s="1" t="s">
        <v>11409</v>
      </c>
    </row>
    <row r="1903" spans="1:7" ht="21" x14ac:dyDescent="0.25">
      <c r="A1903" s="2" t="str">
        <f>HYPERLINK("https://rth.dk/resources/bsgatlas/details.php?id=BSGatlas-gene-1902","BSGatlas-gene-1902")</f>
        <v>BSGatlas-gene-1902</v>
      </c>
      <c r="B1903" s="1" t="s">
        <v>1795</v>
      </c>
      <c r="C1903" s="1" t="s">
        <v>8</v>
      </c>
      <c r="D1903" s="1">
        <v>1687187</v>
      </c>
      <c r="E1903" s="1">
        <v>1688101</v>
      </c>
      <c r="F1903" s="1" t="s">
        <v>9</v>
      </c>
      <c r="G1903" s="1" t="s">
        <v>11409</v>
      </c>
    </row>
    <row r="1904" spans="1:7" ht="21" x14ac:dyDescent="0.25">
      <c r="A1904" s="2" t="str">
        <f>HYPERLINK("https://rth.dk/resources/bsgatlas/details.php?id=BSGatlas-gene-1903","BSGatlas-gene-1903")</f>
        <v>BSGatlas-gene-1903</v>
      </c>
      <c r="B1904" s="1" t="s">
        <v>1796</v>
      </c>
      <c r="C1904" s="1" t="s">
        <v>8</v>
      </c>
      <c r="D1904" s="1">
        <v>1688114</v>
      </c>
      <c r="E1904" s="1">
        <v>1688659</v>
      </c>
      <c r="F1904" s="1" t="s">
        <v>9</v>
      </c>
      <c r="G1904" s="1" t="s">
        <v>11409</v>
      </c>
    </row>
    <row r="1905" spans="1:7" ht="21" x14ac:dyDescent="0.25">
      <c r="A1905" s="2" t="str">
        <f>HYPERLINK("https://rth.dk/resources/bsgatlas/details.php?id=BSGatlas-gene-1904","BSGatlas-gene-1904")</f>
        <v>BSGatlas-gene-1904</v>
      </c>
      <c r="B1905" s="1" t="s">
        <v>1797</v>
      </c>
      <c r="C1905" s="1" t="s">
        <v>8</v>
      </c>
      <c r="D1905" s="1">
        <v>1688676</v>
      </c>
      <c r="E1905" s="1">
        <v>1690079</v>
      </c>
      <c r="F1905" s="1" t="s">
        <v>9</v>
      </c>
      <c r="G1905" s="1" t="s">
        <v>11409</v>
      </c>
    </row>
    <row r="1906" spans="1:7" ht="21" x14ac:dyDescent="0.25">
      <c r="A1906" s="2" t="str">
        <f>HYPERLINK("https://rth.dk/resources/bsgatlas/details.php?id=BSGatlas-gene-1905","BSGatlas-gene-1905")</f>
        <v>BSGatlas-gene-1905</v>
      </c>
      <c r="B1906" s="1" t="s">
        <v>1798</v>
      </c>
      <c r="C1906" s="1" t="s">
        <v>8</v>
      </c>
      <c r="D1906" s="1">
        <v>1690119</v>
      </c>
      <c r="E1906" s="1">
        <v>1690898</v>
      </c>
      <c r="F1906" s="1" t="s">
        <v>9</v>
      </c>
      <c r="G1906" s="1" t="s">
        <v>11409</v>
      </c>
    </row>
    <row r="1907" spans="1:7" ht="21" x14ac:dyDescent="0.25">
      <c r="A1907" s="2" t="str">
        <f>HYPERLINK("https://rth.dk/resources/bsgatlas/details.php?id=BSGatlas-gene-1906","BSGatlas-gene-1906")</f>
        <v>BSGatlas-gene-1906</v>
      </c>
      <c r="B1907" s="1" t="s">
        <v>1799</v>
      </c>
      <c r="C1907" s="1" t="s">
        <v>8</v>
      </c>
      <c r="D1907" s="1">
        <v>1691278</v>
      </c>
      <c r="E1907" s="1">
        <v>1691667</v>
      </c>
      <c r="F1907" s="1" t="s">
        <v>9</v>
      </c>
      <c r="G1907" s="1" t="s">
        <v>11409</v>
      </c>
    </row>
    <row r="1908" spans="1:7" ht="21" x14ac:dyDescent="0.25">
      <c r="A1908" s="2" t="str">
        <f>HYPERLINK("https://rth.dk/resources/bsgatlas/details.php?id=BSGatlas-gene-1907","BSGatlas-gene-1907")</f>
        <v>BSGatlas-gene-1907</v>
      </c>
      <c r="B1908" s="1" t="s">
        <v>1800</v>
      </c>
      <c r="C1908" s="1" t="s">
        <v>8</v>
      </c>
      <c r="D1908" s="1">
        <v>1691667</v>
      </c>
      <c r="E1908" s="1">
        <v>1692119</v>
      </c>
      <c r="F1908" s="1" t="s">
        <v>9</v>
      </c>
      <c r="G1908" s="1" t="s">
        <v>11409</v>
      </c>
    </row>
    <row r="1909" spans="1:7" ht="21" x14ac:dyDescent="0.25">
      <c r="A1909" s="2" t="str">
        <f>HYPERLINK("https://rth.dk/resources/bsgatlas/details.php?id=BSGatlas-gene-1908","BSGatlas-gene-1908")</f>
        <v>BSGatlas-gene-1908</v>
      </c>
      <c r="B1909" s="1" t="s">
        <v>1801</v>
      </c>
      <c r="C1909" s="1" t="s">
        <v>8</v>
      </c>
      <c r="D1909" s="1">
        <v>1692130</v>
      </c>
      <c r="E1909" s="1">
        <v>1692450</v>
      </c>
      <c r="F1909" s="1" t="s">
        <v>9</v>
      </c>
      <c r="G1909" s="1" t="s">
        <v>11409</v>
      </c>
    </row>
    <row r="1910" spans="1:7" ht="21" x14ac:dyDescent="0.25">
      <c r="A1910" s="2" t="str">
        <f>HYPERLINK("https://rth.dk/resources/bsgatlas/details.php?id=BSGatlas-gene-1909","BSGatlas-gene-1909")</f>
        <v>BSGatlas-gene-1909</v>
      </c>
      <c r="B1910" s="1" t="s">
        <v>1802</v>
      </c>
      <c r="C1910" s="1" t="s">
        <v>8</v>
      </c>
      <c r="D1910" s="1">
        <v>1692496</v>
      </c>
      <c r="E1910" s="1">
        <v>1694106</v>
      </c>
      <c r="F1910" s="1" t="s">
        <v>9</v>
      </c>
      <c r="G1910" s="1" t="s">
        <v>11409</v>
      </c>
    </row>
    <row r="1911" spans="1:7" ht="21" x14ac:dyDescent="0.25">
      <c r="A1911" s="2" t="str">
        <f>HYPERLINK("https://rth.dk/resources/bsgatlas/details.php?id=BSGatlas-gene-1910","BSGatlas-gene-1910")</f>
        <v>BSGatlas-gene-1910</v>
      </c>
      <c r="B1911" s="1" t="s">
        <v>1803</v>
      </c>
      <c r="C1911" s="1" t="s">
        <v>8</v>
      </c>
      <c r="D1911" s="1">
        <v>1694119</v>
      </c>
      <c r="E1911" s="1">
        <v>1695135</v>
      </c>
      <c r="F1911" s="1" t="s">
        <v>9</v>
      </c>
      <c r="G1911" s="1" t="s">
        <v>11409</v>
      </c>
    </row>
    <row r="1912" spans="1:7" ht="21" x14ac:dyDescent="0.25">
      <c r="A1912" s="2" t="str">
        <f>HYPERLINK("https://rth.dk/resources/bsgatlas/details.php?id=BSGatlas-gene-1911","BSGatlas-gene-1911")</f>
        <v>BSGatlas-gene-1911</v>
      </c>
      <c r="B1912" s="1" t="s">
        <v>1804</v>
      </c>
      <c r="C1912" s="1" t="s">
        <v>8</v>
      </c>
      <c r="D1912" s="1">
        <v>1695254</v>
      </c>
      <c r="E1912" s="1">
        <v>1695880</v>
      </c>
      <c r="F1912" s="1" t="s">
        <v>9</v>
      </c>
      <c r="G1912" s="1" t="s">
        <v>11409</v>
      </c>
    </row>
    <row r="1913" spans="1:7" ht="21" x14ac:dyDescent="0.25">
      <c r="A1913" s="2" t="str">
        <f>HYPERLINK("https://rth.dk/resources/bsgatlas/details.php?id=BSGatlas-gene-1912","BSGatlas-gene-1912")</f>
        <v>BSGatlas-gene-1912</v>
      </c>
      <c r="B1913" s="1" t="s">
        <v>1805</v>
      </c>
      <c r="C1913" s="1" t="s">
        <v>8</v>
      </c>
      <c r="D1913" s="1">
        <v>1695877</v>
      </c>
      <c r="E1913" s="1">
        <v>1697193</v>
      </c>
      <c r="F1913" s="1" t="s">
        <v>9</v>
      </c>
      <c r="G1913" s="1" t="s">
        <v>11409</v>
      </c>
    </row>
    <row r="1914" spans="1:7" ht="21" x14ac:dyDescent="0.25">
      <c r="A1914" s="2" t="str">
        <f>HYPERLINK("https://rth.dk/resources/bsgatlas/details.php?id=BSGatlas-gene-1913","BSGatlas-gene-1913")</f>
        <v>BSGatlas-gene-1913</v>
      </c>
      <c r="B1914" s="1" t="s">
        <v>1806</v>
      </c>
      <c r="C1914" s="1" t="s">
        <v>8</v>
      </c>
      <c r="D1914" s="1">
        <v>1697196</v>
      </c>
      <c r="E1914" s="1">
        <v>1697639</v>
      </c>
      <c r="F1914" s="1" t="s">
        <v>9</v>
      </c>
      <c r="G1914" s="1" t="s">
        <v>11409</v>
      </c>
    </row>
    <row r="1915" spans="1:7" ht="21" x14ac:dyDescent="0.25">
      <c r="A1915" s="2" t="str">
        <f>HYPERLINK("https://rth.dk/resources/bsgatlas/details.php?id=BSGatlas-gene-1914","BSGatlas-gene-1914")</f>
        <v>BSGatlas-gene-1914</v>
      </c>
      <c r="B1915" s="1" t="s">
        <v>1807</v>
      </c>
      <c r="C1915" s="1" t="s">
        <v>8</v>
      </c>
      <c r="D1915" s="1">
        <v>1697651</v>
      </c>
      <c r="E1915" s="1">
        <v>1698265</v>
      </c>
      <c r="F1915" s="1" t="s">
        <v>9</v>
      </c>
      <c r="G1915" s="1" t="s">
        <v>11409</v>
      </c>
    </row>
    <row r="1916" spans="1:7" ht="21" x14ac:dyDescent="0.25">
      <c r="A1916" s="2" t="str">
        <f>HYPERLINK("https://rth.dk/resources/bsgatlas/details.php?id=BSGatlas-gene-1915","BSGatlas-gene-1915")</f>
        <v>BSGatlas-gene-1915</v>
      </c>
      <c r="B1916" s="1" t="s">
        <v>1808</v>
      </c>
      <c r="C1916" s="1" t="s">
        <v>8</v>
      </c>
      <c r="D1916" s="1">
        <v>1698278</v>
      </c>
      <c r="E1916" s="1">
        <v>1699741</v>
      </c>
      <c r="F1916" s="1" t="s">
        <v>9</v>
      </c>
      <c r="G1916" s="1" t="s">
        <v>11409</v>
      </c>
    </row>
    <row r="1917" spans="1:7" ht="21" x14ac:dyDescent="0.25">
      <c r="A1917" s="2" t="str">
        <f>HYPERLINK("https://rth.dk/resources/bsgatlas/details.php?id=BSGatlas-gene-1916","BSGatlas-gene-1916")</f>
        <v>BSGatlas-gene-1916</v>
      </c>
      <c r="B1917" s="1" t="s">
        <v>1809</v>
      </c>
      <c r="C1917" s="1" t="s">
        <v>8</v>
      </c>
      <c r="D1917" s="1">
        <v>1699738</v>
      </c>
      <c r="E1917" s="1">
        <v>1700160</v>
      </c>
      <c r="F1917" s="1" t="s">
        <v>9</v>
      </c>
      <c r="G1917" s="1" t="s">
        <v>11409</v>
      </c>
    </row>
    <row r="1918" spans="1:7" ht="21" x14ac:dyDescent="0.25">
      <c r="A1918" s="2" t="str">
        <f>HYPERLINK("https://rth.dk/resources/bsgatlas/details.php?id=BSGatlas-gene-1917","BSGatlas-gene-1917")</f>
        <v>BSGatlas-gene-1917</v>
      </c>
      <c r="B1918" s="1" t="s">
        <v>1810</v>
      </c>
      <c r="C1918" s="1" t="s">
        <v>8</v>
      </c>
      <c r="D1918" s="1">
        <v>1700182</v>
      </c>
      <c r="E1918" s="1">
        <v>1700976</v>
      </c>
      <c r="F1918" s="1" t="s">
        <v>9</v>
      </c>
      <c r="G1918" s="1" t="s">
        <v>11409</v>
      </c>
    </row>
    <row r="1919" spans="1:7" ht="21" x14ac:dyDescent="0.25">
      <c r="A1919" s="2" t="str">
        <f>HYPERLINK("https://rth.dk/resources/bsgatlas/details.php?id=BSGatlas-gene-1918","BSGatlas-gene-1918")</f>
        <v>BSGatlas-gene-1918</v>
      </c>
      <c r="B1919" s="1" t="s">
        <v>1811</v>
      </c>
      <c r="C1919" s="1" t="s">
        <v>8</v>
      </c>
      <c r="D1919" s="1">
        <v>1701016</v>
      </c>
      <c r="E1919" s="1">
        <v>1701231</v>
      </c>
      <c r="F1919" s="1" t="s">
        <v>9</v>
      </c>
      <c r="G1919" s="1" t="s">
        <v>11409</v>
      </c>
    </row>
    <row r="1920" spans="1:7" ht="21" x14ac:dyDescent="0.25">
      <c r="A1920" s="2" t="str">
        <f>HYPERLINK("https://rth.dk/resources/bsgatlas/details.php?id=BSGatlas-gene-1919","BSGatlas-gene-1919")</f>
        <v>BSGatlas-gene-1919</v>
      </c>
      <c r="B1920" s="1" t="s">
        <v>1812</v>
      </c>
      <c r="C1920" s="1" t="s">
        <v>8</v>
      </c>
      <c r="D1920" s="1">
        <v>1701228</v>
      </c>
      <c r="E1920" s="1">
        <v>1701650</v>
      </c>
      <c r="F1920" s="1" t="s">
        <v>9</v>
      </c>
      <c r="G1920" s="1" t="s">
        <v>11409</v>
      </c>
    </row>
    <row r="1921" spans="1:7" ht="21" x14ac:dyDescent="0.25">
      <c r="A1921" s="2" t="str">
        <f>HYPERLINK("https://rth.dk/resources/bsgatlas/details.php?id=BSGatlas-gene-1920","BSGatlas-gene-1920")</f>
        <v>BSGatlas-gene-1920</v>
      </c>
      <c r="B1921" s="1" t="s">
        <v>1813</v>
      </c>
      <c r="C1921" s="1" t="s">
        <v>8</v>
      </c>
      <c r="D1921" s="1">
        <v>1701684</v>
      </c>
      <c r="E1921" s="1">
        <v>1702682</v>
      </c>
      <c r="F1921" s="1" t="s">
        <v>9</v>
      </c>
      <c r="G1921" s="1" t="s">
        <v>11409</v>
      </c>
    </row>
    <row r="1922" spans="1:7" ht="21" x14ac:dyDescent="0.25">
      <c r="A1922" s="2" t="str">
        <f>HYPERLINK("https://rth.dk/resources/bsgatlas/details.php?id=BSGatlas-gene-1921","BSGatlas-gene-1921")</f>
        <v>BSGatlas-gene-1921</v>
      </c>
      <c r="B1922" s="1" t="s">
        <v>1814</v>
      </c>
      <c r="C1922" s="1" t="s">
        <v>8</v>
      </c>
      <c r="D1922" s="1">
        <v>1702672</v>
      </c>
      <c r="E1922" s="1">
        <v>1703808</v>
      </c>
      <c r="F1922" s="1" t="s">
        <v>9</v>
      </c>
      <c r="G1922" s="1" t="s">
        <v>11409</v>
      </c>
    </row>
    <row r="1923" spans="1:7" ht="21" x14ac:dyDescent="0.25">
      <c r="A1923" s="2" t="str">
        <f>HYPERLINK("https://rth.dk/resources/bsgatlas/details.php?id=BSGatlas-gene-1922","BSGatlas-gene-1922")</f>
        <v>BSGatlas-gene-1922</v>
      </c>
      <c r="B1923" s="1" t="s">
        <v>1815</v>
      </c>
      <c r="C1923" s="1" t="s">
        <v>8</v>
      </c>
      <c r="D1923" s="1">
        <v>1703834</v>
      </c>
      <c r="E1923" s="1">
        <v>1704196</v>
      </c>
      <c r="F1923" s="1" t="s">
        <v>9</v>
      </c>
      <c r="G1923" s="1" t="s">
        <v>11409</v>
      </c>
    </row>
    <row r="1924" spans="1:7" ht="21" x14ac:dyDescent="0.25">
      <c r="A1924" s="2" t="str">
        <f>HYPERLINK("https://rth.dk/resources/bsgatlas/details.php?id=BSGatlas-gene-1923","BSGatlas-gene-1923")</f>
        <v>BSGatlas-gene-1923</v>
      </c>
      <c r="B1924" s="1" t="s">
        <v>1816</v>
      </c>
      <c r="C1924" s="1" t="s">
        <v>8</v>
      </c>
      <c r="D1924" s="1">
        <v>1704211</v>
      </c>
      <c r="E1924" s="1">
        <v>1704870</v>
      </c>
      <c r="F1924" s="1" t="s">
        <v>9</v>
      </c>
      <c r="G1924" s="1" t="s">
        <v>11409</v>
      </c>
    </row>
    <row r="1925" spans="1:7" ht="21" x14ac:dyDescent="0.25">
      <c r="A1925" s="2" t="str">
        <f>HYPERLINK("https://rth.dk/resources/bsgatlas/details.php?id=BSGatlas-gene-1924","BSGatlas-gene-1924")</f>
        <v>BSGatlas-gene-1924</v>
      </c>
      <c r="B1925" s="1" t="s">
        <v>1817</v>
      </c>
      <c r="C1925" s="1" t="s">
        <v>8</v>
      </c>
      <c r="D1925" s="1">
        <v>1704863</v>
      </c>
      <c r="E1925" s="1">
        <v>1705528</v>
      </c>
      <c r="F1925" s="1" t="s">
        <v>9</v>
      </c>
      <c r="G1925" s="1" t="s">
        <v>11409</v>
      </c>
    </row>
    <row r="1926" spans="1:7" ht="21" x14ac:dyDescent="0.25">
      <c r="A1926" s="2" t="str">
        <f>HYPERLINK("https://rth.dk/resources/bsgatlas/details.php?id=BSGatlas-gene-1925","BSGatlas-gene-1925")</f>
        <v>BSGatlas-gene-1925</v>
      </c>
      <c r="B1926" s="1" t="s">
        <v>1818</v>
      </c>
      <c r="C1926" s="1" t="s">
        <v>8</v>
      </c>
      <c r="D1926" s="1">
        <v>1705543</v>
      </c>
      <c r="E1926" s="1">
        <v>1705812</v>
      </c>
      <c r="F1926" s="1" t="s">
        <v>9</v>
      </c>
      <c r="G1926" s="1" t="s">
        <v>11409</v>
      </c>
    </row>
    <row r="1927" spans="1:7" ht="21" x14ac:dyDescent="0.25">
      <c r="A1927" s="2" t="str">
        <f>HYPERLINK("https://rth.dk/resources/bsgatlas/details.php?id=BSGatlas-gene-1926","BSGatlas-gene-1926")</f>
        <v>BSGatlas-gene-1926</v>
      </c>
      <c r="B1927" s="1" t="s">
        <v>1819</v>
      </c>
      <c r="C1927" s="1" t="s">
        <v>8</v>
      </c>
      <c r="D1927" s="1">
        <v>1705820</v>
      </c>
      <c r="E1927" s="1">
        <v>1706599</v>
      </c>
      <c r="F1927" s="1" t="s">
        <v>9</v>
      </c>
      <c r="G1927" s="1" t="s">
        <v>11409</v>
      </c>
    </row>
    <row r="1928" spans="1:7" ht="21" x14ac:dyDescent="0.25">
      <c r="A1928" s="2" t="str">
        <f>HYPERLINK("https://rth.dk/resources/bsgatlas/details.php?id=BSGatlas-gene-1927","BSGatlas-gene-1927")</f>
        <v>BSGatlas-gene-1927</v>
      </c>
      <c r="B1928" s="1" t="s">
        <v>1820</v>
      </c>
      <c r="C1928" s="1" t="s">
        <v>8</v>
      </c>
      <c r="D1928" s="1">
        <v>1706599</v>
      </c>
      <c r="E1928" s="1">
        <v>1707681</v>
      </c>
      <c r="F1928" s="1" t="s">
        <v>9</v>
      </c>
      <c r="G1928" s="1" t="s">
        <v>11409</v>
      </c>
    </row>
    <row r="1929" spans="1:7" ht="21" x14ac:dyDescent="0.25">
      <c r="A1929" s="2" t="str">
        <f>HYPERLINK("https://rth.dk/resources/bsgatlas/details.php?id=BSGatlas-gene-1928","BSGatlas-gene-1928")</f>
        <v>BSGatlas-gene-1928</v>
      </c>
      <c r="B1929" s="1" t="s">
        <v>1821</v>
      </c>
      <c r="C1929" s="1" t="s">
        <v>8</v>
      </c>
      <c r="D1929" s="1">
        <v>1707714</v>
      </c>
      <c r="E1929" s="1">
        <v>1709747</v>
      </c>
      <c r="F1929" s="1" t="s">
        <v>9</v>
      </c>
      <c r="G1929" s="1" t="s">
        <v>11409</v>
      </c>
    </row>
    <row r="1930" spans="1:7" ht="21" x14ac:dyDescent="0.25">
      <c r="A1930" s="2" t="str">
        <f>HYPERLINK("https://rth.dk/resources/bsgatlas/details.php?id=BSGatlas-gene-1929","BSGatlas-gene-1929")</f>
        <v>BSGatlas-gene-1929</v>
      </c>
      <c r="B1930" s="1" t="s">
        <v>1822</v>
      </c>
      <c r="C1930" s="1" t="s">
        <v>8</v>
      </c>
      <c r="D1930" s="1">
        <v>1709747</v>
      </c>
      <c r="E1930" s="1">
        <v>1710847</v>
      </c>
      <c r="F1930" s="1" t="s">
        <v>9</v>
      </c>
      <c r="G1930" s="1" t="s">
        <v>11409</v>
      </c>
    </row>
    <row r="1931" spans="1:7" ht="21" x14ac:dyDescent="0.25">
      <c r="A1931" s="2" t="str">
        <f>HYPERLINK("https://rth.dk/resources/bsgatlas/details.php?id=BSGatlas-gene-1930","BSGatlas-gene-1930")</f>
        <v>BSGatlas-gene-1930</v>
      </c>
      <c r="B1931" s="1" t="s">
        <v>1823</v>
      </c>
      <c r="C1931" s="1" t="s">
        <v>8</v>
      </c>
      <c r="D1931" s="1">
        <v>1710838</v>
      </c>
      <c r="E1931" s="1">
        <v>1711734</v>
      </c>
      <c r="F1931" s="1" t="s">
        <v>9</v>
      </c>
      <c r="G1931" s="1" t="s">
        <v>11409</v>
      </c>
    </row>
    <row r="1932" spans="1:7" ht="21" x14ac:dyDescent="0.25">
      <c r="A1932" s="2" t="str">
        <f>HYPERLINK("https://rth.dk/resources/bsgatlas/details.php?id=BSGatlas-gene-1931","BSGatlas-gene-1931")</f>
        <v>BSGatlas-gene-1931</v>
      </c>
      <c r="B1932" s="1" t="s">
        <v>1824</v>
      </c>
      <c r="C1932" s="1" t="s">
        <v>8</v>
      </c>
      <c r="D1932" s="1">
        <v>1711736</v>
      </c>
      <c r="E1932" s="1">
        <v>1712809</v>
      </c>
      <c r="F1932" s="1" t="s">
        <v>9</v>
      </c>
      <c r="G1932" s="1" t="s">
        <v>11409</v>
      </c>
    </row>
    <row r="1933" spans="1:7" ht="21" x14ac:dyDescent="0.25">
      <c r="A1933" s="2" t="str">
        <f>HYPERLINK("https://rth.dk/resources/bsgatlas/details.php?id=BSGatlas-gene-1932","BSGatlas-gene-1932")</f>
        <v>BSGatlas-gene-1932</v>
      </c>
      <c r="B1933" s="1" t="s">
        <v>1825</v>
      </c>
      <c r="C1933" s="1" t="s">
        <v>8</v>
      </c>
      <c r="D1933" s="1">
        <v>1712815</v>
      </c>
      <c r="E1933" s="1">
        <v>1714833</v>
      </c>
      <c r="F1933" s="1" t="s">
        <v>9</v>
      </c>
      <c r="G1933" s="1" t="s">
        <v>11409</v>
      </c>
    </row>
    <row r="1934" spans="1:7" ht="21" x14ac:dyDescent="0.25">
      <c r="A1934" s="2" t="str">
        <f>HYPERLINK("https://rth.dk/resources/bsgatlas/details.php?id=BSGatlas-gene-1933","BSGatlas-gene-1933")</f>
        <v>BSGatlas-gene-1933</v>
      </c>
      <c r="B1934" s="1" t="s">
        <v>1826</v>
      </c>
      <c r="C1934" s="1" t="s">
        <v>8</v>
      </c>
      <c r="D1934" s="1">
        <v>1714855</v>
      </c>
      <c r="E1934" s="1">
        <v>1715325</v>
      </c>
      <c r="F1934" s="1" t="s">
        <v>9</v>
      </c>
      <c r="G1934" s="1" t="s">
        <v>11409</v>
      </c>
    </row>
    <row r="1935" spans="1:7" ht="21" x14ac:dyDescent="0.25">
      <c r="A1935" s="2" t="str">
        <f>HYPERLINK("https://rth.dk/resources/bsgatlas/details.php?id=BSGatlas-gene-1934","BSGatlas-gene-1934")</f>
        <v>BSGatlas-gene-1934</v>
      </c>
      <c r="B1935" s="1" t="s">
        <v>1827</v>
      </c>
      <c r="C1935" s="1" t="s">
        <v>8</v>
      </c>
      <c r="D1935" s="1">
        <v>1715344</v>
      </c>
      <c r="E1935" s="1">
        <v>1715973</v>
      </c>
      <c r="F1935" s="1" t="s">
        <v>9</v>
      </c>
      <c r="G1935" s="1" t="s">
        <v>11409</v>
      </c>
    </row>
    <row r="1936" spans="1:7" ht="21" x14ac:dyDescent="0.25">
      <c r="A1936" s="2" t="str">
        <f>HYPERLINK("https://rth.dk/resources/bsgatlas/details.php?id=BSGatlas-gene-1935","BSGatlas-gene-1935")</f>
        <v>BSGatlas-gene-1935</v>
      </c>
      <c r="B1936" s="1" t="s">
        <v>1828</v>
      </c>
      <c r="C1936" s="1" t="s">
        <v>8</v>
      </c>
      <c r="D1936" s="1">
        <v>1715970</v>
      </c>
      <c r="E1936" s="1">
        <v>1716470</v>
      </c>
      <c r="F1936" s="1" t="s">
        <v>9</v>
      </c>
      <c r="G1936" s="1" t="s">
        <v>11409</v>
      </c>
    </row>
    <row r="1937" spans="1:7" ht="21" x14ac:dyDescent="0.25">
      <c r="A1937" s="2" t="str">
        <f>HYPERLINK("https://rth.dk/resources/bsgatlas/details.php?id=BSGatlas-gene-1936","BSGatlas-gene-1936")</f>
        <v>BSGatlas-gene-1936</v>
      </c>
      <c r="B1937" s="1" t="s">
        <v>1829</v>
      </c>
      <c r="C1937" s="1" t="s">
        <v>8</v>
      </c>
      <c r="D1937" s="1">
        <v>1716493</v>
      </c>
      <c r="E1937" s="1">
        <v>1717257</v>
      </c>
      <c r="F1937" s="1" t="s">
        <v>9</v>
      </c>
      <c r="G1937" s="1" t="s">
        <v>11409</v>
      </c>
    </row>
    <row r="1938" spans="1:7" ht="21" x14ac:dyDescent="0.25">
      <c r="A1938" s="2" t="str">
        <f>HYPERLINK("https://rth.dk/resources/bsgatlas/details.php?id=BSGatlas-gene-1937","BSGatlas-gene-1937")</f>
        <v>BSGatlas-gene-1937</v>
      </c>
      <c r="B1938" s="1" t="s">
        <v>1830</v>
      </c>
      <c r="C1938" s="1" t="s">
        <v>8</v>
      </c>
      <c r="D1938" s="1">
        <v>1717286</v>
      </c>
      <c r="E1938" s="1">
        <v>1717789</v>
      </c>
      <c r="F1938" s="1" t="s">
        <v>9</v>
      </c>
      <c r="G1938" s="1" t="s">
        <v>11409</v>
      </c>
    </row>
    <row r="1939" spans="1:7" ht="21" x14ac:dyDescent="0.25">
      <c r="A1939" s="2" t="str">
        <f>HYPERLINK("https://rth.dk/resources/bsgatlas/details.php?id=BSGatlas-gene-1938","BSGatlas-gene-1938")</f>
        <v>BSGatlas-gene-1938</v>
      </c>
      <c r="B1939" s="1" t="s">
        <v>522</v>
      </c>
      <c r="C1939" s="1" t="s">
        <v>34</v>
      </c>
      <c r="D1939" s="1">
        <v>1717822</v>
      </c>
      <c r="E1939" s="1">
        <v>1717919</v>
      </c>
      <c r="F1939" s="1" t="s">
        <v>9</v>
      </c>
      <c r="G1939" s="1" t="s">
        <v>11414</v>
      </c>
    </row>
    <row r="1940" spans="1:7" ht="21" x14ac:dyDescent="0.25">
      <c r="A1940" s="2" t="str">
        <f>HYPERLINK("https://rth.dk/resources/bsgatlas/details.php?id=BSGatlas-gene-1939","BSGatlas-gene-1939")</f>
        <v>BSGatlas-gene-1939</v>
      </c>
      <c r="B1940" s="1" t="s">
        <v>1831</v>
      </c>
      <c r="C1940" s="1" t="s">
        <v>8</v>
      </c>
      <c r="D1940" s="1">
        <v>1717933</v>
      </c>
      <c r="E1940" s="1">
        <v>1718673</v>
      </c>
      <c r="F1940" s="1" t="s">
        <v>9</v>
      </c>
      <c r="G1940" s="1" t="s">
        <v>11409</v>
      </c>
    </row>
    <row r="1941" spans="1:7" ht="21" x14ac:dyDescent="0.25">
      <c r="A1941" s="2" t="str">
        <f>HYPERLINK("https://rth.dk/resources/bsgatlas/details.php?id=BSGatlas-gene-1940","BSGatlas-gene-1940")</f>
        <v>BSGatlas-gene-1940</v>
      </c>
      <c r="B1941" s="1" t="s">
        <v>1832</v>
      </c>
      <c r="C1941" s="1" t="s">
        <v>8</v>
      </c>
      <c r="D1941" s="1">
        <v>1718775</v>
      </c>
      <c r="E1941" s="1">
        <v>1719656</v>
      </c>
      <c r="F1941" s="1" t="s">
        <v>9</v>
      </c>
      <c r="G1941" s="1" t="s">
        <v>11409</v>
      </c>
    </row>
    <row r="1942" spans="1:7" ht="21" x14ac:dyDescent="0.25">
      <c r="A1942" s="2" t="str">
        <f>HYPERLINK("https://rth.dk/resources/bsgatlas/details.php?id=BSGatlas-gene-1941","BSGatlas-gene-1941")</f>
        <v>BSGatlas-gene-1941</v>
      </c>
      <c r="B1942" s="1" t="s">
        <v>1833</v>
      </c>
      <c r="C1942" s="1" t="s">
        <v>8</v>
      </c>
      <c r="D1942" s="1">
        <v>1719802</v>
      </c>
      <c r="E1942" s="1">
        <v>1720524</v>
      </c>
      <c r="F1942" s="1" t="s">
        <v>9</v>
      </c>
      <c r="G1942" s="1" t="s">
        <v>11409</v>
      </c>
    </row>
    <row r="1943" spans="1:7" ht="21" x14ac:dyDescent="0.25">
      <c r="A1943" s="2" t="str">
        <f>HYPERLINK("https://rth.dk/resources/bsgatlas/details.php?id=BSGatlas-gene-1942","BSGatlas-gene-1942")</f>
        <v>BSGatlas-gene-1942</v>
      </c>
      <c r="B1943" s="1" t="s">
        <v>1834</v>
      </c>
      <c r="C1943" s="1" t="s">
        <v>8</v>
      </c>
      <c r="D1943" s="1">
        <v>1720526</v>
      </c>
      <c r="E1943" s="1">
        <v>1721083</v>
      </c>
      <c r="F1943" s="1" t="s">
        <v>9</v>
      </c>
      <c r="G1943" s="1" t="s">
        <v>11409</v>
      </c>
    </row>
    <row r="1944" spans="1:7" ht="21" x14ac:dyDescent="0.25">
      <c r="A1944" s="2" t="str">
        <f>HYPERLINK("https://rth.dk/resources/bsgatlas/details.php?id=BSGatlas-gene-1943","BSGatlas-gene-1943")</f>
        <v>BSGatlas-gene-1943</v>
      </c>
      <c r="B1944" s="1" t="s">
        <v>1835</v>
      </c>
      <c r="C1944" s="1" t="s">
        <v>8</v>
      </c>
      <c r="D1944" s="1">
        <v>1721214</v>
      </c>
      <c r="E1944" s="1">
        <v>1721996</v>
      </c>
      <c r="F1944" s="1" t="s">
        <v>9</v>
      </c>
      <c r="G1944" s="1" t="s">
        <v>11409</v>
      </c>
    </row>
    <row r="1945" spans="1:7" ht="21" x14ac:dyDescent="0.25">
      <c r="A1945" s="2" t="str">
        <f>HYPERLINK("https://rth.dk/resources/bsgatlas/details.php?id=BSGatlas-gene-1944","BSGatlas-gene-1944")</f>
        <v>BSGatlas-gene-1944</v>
      </c>
      <c r="B1945" s="1" t="s">
        <v>1836</v>
      </c>
      <c r="C1945" s="1" t="s">
        <v>8</v>
      </c>
      <c r="D1945" s="1">
        <v>1722000</v>
      </c>
      <c r="E1945" s="1">
        <v>1722809</v>
      </c>
      <c r="F1945" s="1" t="s">
        <v>9</v>
      </c>
      <c r="G1945" s="1" t="s">
        <v>11409</v>
      </c>
    </row>
    <row r="1946" spans="1:7" ht="21" x14ac:dyDescent="0.25">
      <c r="A1946" s="2" t="str">
        <f>HYPERLINK("https://rth.dk/resources/bsgatlas/details.php?id=BSGatlas-gene-1945","BSGatlas-gene-1945")</f>
        <v>BSGatlas-gene-1945</v>
      </c>
      <c r="B1946" s="1" t="s">
        <v>1837</v>
      </c>
      <c r="C1946" s="1" t="s">
        <v>8</v>
      </c>
      <c r="D1946" s="1">
        <v>1722871</v>
      </c>
      <c r="E1946" s="1">
        <v>1724022</v>
      </c>
      <c r="F1946" s="1" t="s">
        <v>9</v>
      </c>
      <c r="G1946" s="1" t="s">
        <v>11409</v>
      </c>
    </row>
    <row r="1947" spans="1:7" ht="21" x14ac:dyDescent="0.25">
      <c r="A1947" s="2" t="str">
        <f>HYPERLINK("https://rth.dk/resources/bsgatlas/details.php?id=BSGatlas-gene-1946","BSGatlas-gene-1946")</f>
        <v>BSGatlas-gene-1946</v>
      </c>
      <c r="B1947" s="1" t="s">
        <v>1838</v>
      </c>
      <c r="C1947" s="1" t="s">
        <v>8</v>
      </c>
      <c r="D1947" s="1">
        <v>1724029</v>
      </c>
      <c r="E1947" s="1">
        <v>1725297</v>
      </c>
      <c r="F1947" s="1" t="s">
        <v>9</v>
      </c>
      <c r="G1947" s="1" t="s">
        <v>11409</v>
      </c>
    </row>
    <row r="1948" spans="1:7" ht="21" x14ac:dyDescent="0.25">
      <c r="A1948" s="2" t="str">
        <f>HYPERLINK("https://rth.dk/resources/bsgatlas/details.php?id=BSGatlas-gene-1947","BSGatlas-gene-1947")</f>
        <v>BSGatlas-gene-1947</v>
      </c>
      <c r="B1948" s="1" t="s">
        <v>1839</v>
      </c>
      <c r="C1948" s="1" t="s">
        <v>8</v>
      </c>
      <c r="D1948" s="1">
        <v>1725330</v>
      </c>
      <c r="E1948" s="1">
        <v>1727024</v>
      </c>
      <c r="F1948" s="1" t="s">
        <v>9</v>
      </c>
      <c r="G1948" s="1" t="s">
        <v>11409</v>
      </c>
    </row>
    <row r="1949" spans="1:7" ht="21" x14ac:dyDescent="0.25">
      <c r="A1949" s="2" t="str">
        <f>HYPERLINK("https://rth.dk/resources/bsgatlas/details.php?id=BSGatlas-gene-1948","BSGatlas-gene-1948")</f>
        <v>BSGatlas-gene-1948</v>
      </c>
      <c r="B1949" s="1" t="s">
        <v>1840</v>
      </c>
      <c r="C1949" s="1" t="s">
        <v>8</v>
      </c>
      <c r="D1949" s="1">
        <v>1727133</v>
      </c>
      <c r="E1949" s="1">
        <v>1731446</v>
      </c>
      <c r="F1949" s="1" t="s">
        <v>9</v>
      </c>
      <c r="G1949" s="1" t="s">
        <v>11409</v>
      </c>
    </row>
    <row r="1950" spans="1:7" ht="21" x14ac:dyDescent="0.25">
      <c r="A1950" s="2" t="str">
        <f>HYPERLINK("https://rth.dk/resources/bsgatlas/details.php?id=BSGatlas-gene-1949","BSGatlas-gene-1949")</f>
        <v>BSGatlas-gene-1949</v>
      </c>
      <c r="B1950" s="1" t="s">
        <v>1841</v>
      </c>
      <c r="C1950" s="1" t="s">
        <v>55</v>
      </c>
      <c r="D1950" s="1">
        <v>1731457</v>
      </c>
      <c r="E1950" s="1">
        <v>1731674</v>
      </c>
      <c r="F1950" s="1" t="s">
        <v>9</v>
      </c>
      <c r="G1950" s="1" t="s">
        <v>11517</v>
      </c>
    </row>
    <row r="1951" spans="1:7" ht="21" x14ac:dyDescent="0.25">
      <c r="A1951" s="2" t="str">
        <f>HYPERLINK("https://rth.dk/resources/bsgatlas/details.php?id=BSGatlas-gene-1950","BSGatlas-gene-1950")</f>
        <v>BSGatlas-gene-1950</v>
      </c>
      <c r="B1951" s="1" t="s">
        <v>11520</v>
      </c>
      <c r="C1951" s="1" t="s">
        <v>34</v>
      </c>
      <c r="D1951" s="1">
        <v>1731600</v>
      </c>
      <c r="E1951" s="1">
        <v>1731725</v>
      </c>
      <c r="F1951" s="1" t="s">
        <v>9</v>
      </c>
      <c r="G1951" s="1" t="s">
        <v>11414</v>
      </c>
    </row>
    <row r="1952" spans="1:7" ht="21" x14ac:dyDescent="0.25">
      <c r="A1952" s="2" t="str">
        <f>HYPERLINK("https://rth.dk/resources/bsgatlas/details.php?id=BSGatlas-gene-1951","BSGatlas-gene-1951")</f>
        <v>BSGatlas-gene-1951</v>
      </c>
      <c r="B1952" s="1" t="s">
        <v>1842</v>
      </c>
      <c r="C1952" s="1" t="s">
        <v>8</v>
      </c>
      <c r="D1952" s="1">
        <v>1731776</v>
      </c>
      <c r="E1952" s="1">
        <v>1732246</v>
      </c>
      <c r="F1952" s="1" t="s">
        <v>9</v>
      </c>
      <c r="G1952" s="1" t="s">
        <v>11409</v>
      </c>
    </row>
    <row r="1953" spans="1:7" ht="21" x14ac:dyDescent="0.25">
      <c r="A1953" s="2" t="str">
        <f>HYPERLINK("https://rth.dk/resources/bsgatlas/details.php?id=BSGatlas-gene-1952","BSGatlas-gene-1952")</f>
        <v>BSGatlas-gene-1952</v>
      </c>
      <c r="B1953" s="1" t="s">
        <v>1843</v>
      </c>
      <c r="C1953" s="1" t="s">
        <v>8</v>
      </c>
      <c r="D1953" s="1">
        <v>1732281</v>
      </c>
      <c r="E1953" s="1">
        <v>1733396</v>
      </c>
      <c r="F1953" s="1" t="s">
        <v>9</v>
      </c>
      <c r="G1953" s="1" t="s">
        <v>11409</v>
      </c>
    </row>
    <row r="1954" spans="1:7" ht="21" x14ac:dyDescent="0.25">
      <c r="A1954" s="2" t="str">
        <f>HYPERLINK("https://rth.dk/resources/bsgatlas/details.php?id=BSGatlas-gene-1953","BSGatlas-gene-1953")</f>
        <v>BSGatlas-gene-1953</v>
      </c>
      <c r="B1954" s="1" t="s">
        <v>1844</v>
      </c>
      <c r="C1954" s="1" t="s">
        <v>8</v>
      </c>
      <c r="D1954" s="1">
        <v>1733410</v>
      </c>
      <c r="E1954" s="1">
        <v>1733685</v>
      </c>
      <c r="F1954" s="1" t="s">
        <v>9</v>
      </c>
      <c r="G1954" s="1" t="s">
        <v>11409</v>
      </c>
    </row>
    <row r="1955" spans="1:7" ht="21" x14ac:dyDescent="0.25">
      <c r="A1955" s="2" t="str">
        <f>HYPERLINK("https://rth.dk/resources/bsgatlas/details.php?id=BSGatlas-gene-1954","BSGatlas-gene-1954")</f>
        <v>BSGatlas-gene-1954</v>
      </c>
      <c r="B1955" s="1" t="s">
        <v>1845</v>
      </c>
      <c r="C1955" s="1" t="s">
        <v>8</v>
      </c>
      <c r="D1955" s="1">
        <v>1733687</v>
      </c>
      <c r="E1955" s="1">
        <v>1733989</v>
      </c>
      <c r="F1955" s="1" t="s">
        <v>9</v>
      </c>
      <c r="G1955" s="1" t="s">
        <v>11409</v>
      </c>
    </row>
    <row r="1956" spans="1:7" ht="21" x14ac:dyDescent="0.25">
      <c r="A1956" s="2" t="str">
        <f>HYPERLINK("https://rth.dk/resources/bsgatlas/details.php?id=BSGatlas-gene-1955","BSGatlas-gene-1955")</f>
        <v>BSGatlas-gene-1955</v>
      </c>
      <c r="B1956" s="1" t="s">
        <v>1846</v>
      </c>
      <c r="C1956" s="1" t="s">
        <v>8</v>
      </c>
      <c r="D1956" s="1">
        <v>1734009</v>
      </c>
      <c r="E1956" s="1">
        <v>1736159</v>
      </c>
      <c r="F1956" s="1" t="s">
        <v>9</v>
      </c>
      <c r="G1956" s="1" t="s">
        <v>11409</v>
      </c>
    </row>
    <row r="1957" spans="1:7" ht="21" x14ac:dyDescent="0.25">
      <c r="A1957" s="2" t="str">
        <f>HYPERLINK("https://rth.dk/resources/bsgatlas/details.php?id=BSGatlas-gene-1956","BSGatlas-gene-1956")</f>
        <v>BSGatlas-gene-1956</v>
      </c>
      <c r="B1957" s="1" t="s">
        <v>1847</v>
      </c>
      <c r="C1957" s="1" t="s">
        <v>8</v>
      </c>
      <c r="D1957" s="1">
        <v>1736156</v>
      </c>
      <c r="E1957" s="1">
        <v>1736434</v>
      </c>
      <c r="F1957" s="1" t="s">
        <v>9</v>
      </c>
      <c r="G1957" s="1" t="s">
        <v>11409</v>
      </c>
    </row>
    <row r="1958" spans="1:7" ht="21" x14ac:dyDescent="0.25">
      <c r="A1958" s="2" t="str">
        <f>HYPERLINK("https://rth.dk/resources/bsgatlas/details.php?id=BSGatlas-gene-1957","BSGatlas-gene-1957")</f>
        <v>BSGatlas-gene-1957</v>
      </c>
      <c r="B1958" s="1" t="s">
        <v>1848</v>
      </c>
      <c r="C1958" s="1" t="s">
        <v>8</v>
      </c>
      <c r="D1958" s="1">
        <v>1736451</v>
      </c>
      <c r="E1958" s="1">
        <v>1736804</v>
      </c>
      <c r="F1958" s="1" t="s">
        <v>9</v>
      </c>
      <c r="G1958" s="1" t="s">
        <v>11409</v>
      </c>
    </row>
    <row r="1959" spans="1:7" ht="21" x14ac:dyDescent="0.25">
      <c r="A1959" s="2" t="str">
        <f>HYPERLINK("https://rth.dk/resources/bsgatlas/details.php?id=BSGatlas-gene-1958","BSGatlas-gene-1958")</f>
        <v>BSGatlas-gene-1958</v>
      </c>
      <c r="B1959" s="1" t="s">
        <v>11521</v>
      </c>
      <c r="C1959" s="1" t="s">
        <v>8</v>
      </c>
      <c r="D1959" s="1">
        <v>1736886</v>
      </c>
      <c r="E1959" s="1">
        <v>1737815</v>
      </c>
      <c r="F1959" s="1" t="s">
        <v>9</v>
      </c>
      <c r="G1959" s="1" t="s">
        <v>11409</v>
      </c>
    </row>
    <row r="1960" spans="1:7" ht="21" x14ac:dyDescent="0.25">
      <c r="A1960" s="2" t="str">
        <f>HYPERLINK("https://rth.dk/resources/bsgatlas/details.php?id=BSGatlas-gene-1959","BSGatlas-gene-1959")</f>
        <v>BSGatlas-gene-1959</v>
      </c>
      <c r="B1960" s="1" t="s">
        <v>1849</v>
      </c>
      <c r="C1960" s="1" t="s">
        <v>8</v>
      </c>
      <c r="D1960" s="1">
        <v>1737834</v>
      </c>
      <c r="E1960" s="1">
        <v>1738784</v>
      </c>
      <c r="F1960" s="1" t="s">
        <v>9</v>
      </c>
      <c r="G1960" s="1" t="s">
        <v>11409</v>
      </c>
    </row>
    <row r="1961" spans="1:7" ht="21" x14ac:dyDescent="0.25">
      <c r="A1961" s="2" t="str">
        <f>HYPERLINK("https://rth.dk/resources/bsgatlas/details.php?id=BSGatlas-gene-1960","BSGatlas-gene-1960")</f>
        <v>BSGatlas-gene-1960</v>
      </c>
      <c r="B1961" s="1" t="s">
        <v>1850</v>
      </c>
      <c r="C1961" s="1" t="s">
        <v>8</v>
      </c>
      <c r="D1961" s="1">
        <v>1738941</v>
      </c>
      <c r="E1961" s="1">
        <v>1739210</v>
      </c>
      <c r="F1961" s="1" t="s">
        <v>9</v>
      </c>
      <c r="G1961" s="1" t="s">
        <v>11409</v>
      </c>
    </row>
    <row r="1962" spans="1:7" ht="21" x14ac:dyDescent="0.25">
      <c r="A1962" s="2" t="str">
        <f>HYPERLINK("https://rth.dk/resources/bsgatlas/details.php?id=BSGatlas-gene-1961","BSGatlas-gene-1961")</f>
        <v>BSGatlas-gene-1961</v>
      </c>
      <c r="B1962" s="1" t="s">
        <v>11522</v>
      </c>
      <c r="C1962" s="1" t="s">
        <v>2098</v>
      </c>
      <c r="D1962" s="1">
        <v>1739213</v>
      </c>
      <c r="E1962" s="1">
        <v>1739563</v>
      </c>
      <c r="F1962" s="1" t="s">
        <v>13</v>
      </c>
      <c r="G1962" s="1" t="s">
        <v>11498</v>
      </c>
    </row>
    <row r="1963" spans="1:7" ht="21" x14ac:dyDescent="0.25">
      <c r="A1963" s="2" t="str">
        <f>HYPERLINK("https://rth.dk/resources/bsgatlas/details.php?id=BSGatlas-gene-1962","BSGatlas-gene-1962")</f>
        <v>BSGatlas-gene-1962</v>
      </c>
      <c r="B1963" s="1" t="s">
        <v>1851</v>
      </c>
      <c r="C1963" s="1" t="s">
        <v>8</v>
      </c>
      <c r="D1963" s="1">
        <v>1739383</v>
      </c>
      <c r="E1963" s="1">
        <v>1741500</v>
      </c>
      <c r="F1963" s="1" t="s">
        <v>9</v>
      </c>
      <c r="G1963" s="1" t="s">
        <v>11409</v>
      </c>
    </row>
    <row r="1964" spans="1:7" ht="21" x14ac:dyDescent="0.25">
      <c r="A1964" s="2" t="str">
        <f>HYPERLINK("https://rth.dk/resources/bsgatlas/details.php?id=BSGatlas-gene-1963","BSGatlas-gene-1963")</f>
        <v>BSGatlas-gene-1963</v>
      </c>
      <c r="B1964" s="1" t="s">
        <v>11523</v>
      </c>
      <c r="C1964" s="1" t="s">
        <v>8</v>
      </c>
      <c r="D1964" s="1">
        <v>1741618</v>
      </c>
      <c r="E1964" s="1">
        <v>1742577</v>
      </c>
      <c r="F1964" s="1" t="s">
        <v>9</v>
      </c>
      <c r="G1964" s="1" t="s">
        <v>11409</v>
      </c>
    </row>
    <row r="1965" spans="1:7" ht="21" x14ac:dyDescent="0.25">
      <c r="A1965" s="2" t="str">
        <f>HYPERLINK("https://rth.dk/resources/bsgatlas/details.php?id=BSGatlas-gene-1964","BSGatlas-gene-1964")</f>
        <v>BSGatlas-gene-1964</v>
      </c>
      <c r="B1965" s="1" t="s">
        <v>1852</v>
      </c>
      <c r="C1965" s="1" t="s">
        <v>8</v>
      </c>
      <c r="D1965" s="1">
        <v>1742617</v>
      </c>
      <c r="E1965" s="1">
        <v>1743846</v>
      </c>
      <c r="F1965" s="1" t="s">
        <v>9</v>
      </c>
      <c r="G1965" s="1" t="s">
        <v>11409</v>
      </c>
    </row>
    <row r="1966" spans="1:7" ht="21" x14ac:dyDescent="0.25">
      <c r="A1966" s="2" t="str">
        <f>HYPERLINK("https://rth.dk/resources/bsgatlas/details.php?id=BSGatlas-gene-1965","BSGatlas-gene-1965")</f>
        <v>BSGatlas-gene-1965</v>
      </c>
      <c r="B1966" s="1" t="s">
        <v>1853</v>
      </c>
      <c r="C1966" s="1" t="s">
        <v>8</v>
      </c>
      <c r="D1966" s="1">
        <v>1743924</v>
      </c>
      <c r="E1966" s="1">
        <v>1744181</v>
      </c>
      <c r="F1966" s="1" t="s">
        <v>9</v>
      </c>
      <c r="G1966" s="1" t="s">
        <v>11409</v>
      </c>
    </row>
    <row r="1967" spans="1:7" ht="21" x14ac:dyDescent="0.25">
      <c r="A1967" s="2" t="str">
        <f>HYPERLINK("https://rth.dk/resources/bsgatlas/details.php?id=BSGatlas-gene-1966","BSGatlas-gene-1966")</f>
        <v>BSGatlas-gene-1966</v>
      </c>
      <c r="B1967" s="1" t="s">
        <v>1854</v>
      </c>
      <c r="C1967" s="1" t="s">
        <v>8</v>
      </c>
      <c r="D1967" s="1">
        <v>1744367</v>
      </c>
      <c r="E1967" s="1">
        <v>1745260</v>
      </c>
      <c r="F1967" s="1" t="s">
        <v>9</v>
      </c>
      <c r="G1967" s="1" t="s">
        <v>11409</v>
      </c>
    </row>
    <row r="1968" spans="1:7" ht="21" x14ac:dyDescent="0.25">
      <c r="A1968" s="2" t="str">
        <f>HYPERLINK("https://rth.dk/resources/bsgatlas/details.php?id=BSGatlas-gene-1967","BSGatlas-gene-1967")</f>
        <v>BSGatlas-gene-1967</v>
      </c>
      <c r="B1968" s="1" t="s">
        <v>1855</v>
      </c>
      <c r="C1968" s="1" t="s">
        <v>8</v>
      </c>
      <c r="D1968" s="1">
        <v>1745263</v>
      </c>
      <c r="E1968" s="1">
        <v>1745865</v>
      </c>
      <c r="F1968" s="1" t="s">
        <v>9</v>
      </c>
      <c r="G1968" s="1" t="s">
        <v>11409</v>
      </c>
    </row>
    <row r="1969" spans="1:7" ht="21" x14ac:dyDescent="0.25">
      <c r="A1969" s="2" t="str">
        <f>HYPERLINK("https://rth.dk/resources/bsgatlas/details.php?id=BSGatlas-gene-1968","BSGatlas-gene-1968")</f>
        <v>BSGatlas-gene-1968</v>
      </c>
      <c r="B1969" s="1" t="s">
        <v>1856</v>
      </c>
      <c r="C1969" s="1" t="s">
        <v>8</v>
      </c>
      <c r="D1969" s="1">
        <v>1745991</v>
      </c>
      <c r="E1969" s="1">
        <v>1747031</v>
      </c>
      <c r="F1969" s="1" t="s">
        <v>9</v>
      </c>
      <c r="G1969" s="1" t="s">
        <v>11409</v>
      </c>
    </row>
    <row r="1970" spans="1:7" ht="21" x14ac:dyDescent="0.25">
      <c r="A1970" s="2" t="str">
        <f>HYPERLINK("https://rth.dk/resources/bsgatlas/details.php?id=BSGatlas-gene-1969","BSGatlas-gene-1969")</f>
        <v>BSGatlas-gene-1969</v>
      </c>
      <c r="B1970" s="1" t="s">
        <v>1857</v>
      </c>
      <c r="C1970" s="1" t="s">
        <v>8</v>
      </c>
      <c r="D1970" s="1">
        <v>1747123</v>
      </c>
      <c r="E1970" s="1">
        <v>1748337</v>
      </c>
      <c r="F1970" s="1" t="s">
        <v>9</v>
      </c>
      <c r="G1970" s="1" t="s">
        <v>11409</v>
      </c>
    </row>
    <row r="1971" spans="1:7" ht="21" x14ac:dyDescent="0.25">
      <c r="A1971" s="2" t="str">
        <f>HYPERLINK("https://rth.dk/resources/bsgatlas/details.php?id=BSGatlas-gene-1970","BSGatlas-gene-1970")</f>
        <v>BSGatlas-gene-1970</v>
      </c>
      <c r="B1971" s="1" t="s">
        <v>1858</v>
      </c>
      <c r="C1971" s="1" t="s">
        <v>8</v>
      </c>
      <c r="D1971" s="1">
        <v>1748368</v>
      </c>
      <c r="E1971" s="1">
        <v>1749240</v>
      </c>
      <c r="F1971" s="1" t="s">
        <v>9</v>
      </c>
      <c r="G1971" s="1" t="s">
        <v>11409</v>
      </c>
    </row>
    <row r="1972" spans="1:7" ht="21" x14ac:dyDescent="0.25">
      <c r="A1972" s="2" t="str">
        <f>HYPERLINK("https://rth.dk/resources/bsgatlas/details.php?id=BSGatlas-gene-1971","BSGatlas-gene-1971")</f>
        <v>BSGatlas-gene-1971</v>
      </c>
      <c r="B1972" s="1" t="s">
        <v>1859</v>
      </c>
      <c r="C1972" s="1" t="s">
        <v>12</v>
      </c>
      <c r="D1972" s="1">
        <v>1748711</v>
      </c>
      <c r="E1972" s="1">
        <v>1749895</v>
      </c>
      <c r="F1972" s="1" t="s">
        <v>13</v>
      </c>
      <c r="G1972" s="1" t="s">
        <v>11406</v>
      </c>
    </row>
    <row r="1973" spans="1:7" ht="21" x14ac:dyDescent="0.25">
      <c r="A1973" s="2" t="str">
        <f>HYPERLINK("https://rth.dk/resources/bsgatlas/details.php?id=BSGatlas-gene-1972","BSGatlas-gene-1972")</f>
        <v>BSGatlas-gene-1972</v>
      </c>
      <c r="B1973" s="1" t="s">
        <v>1860</v>
      </c>
      <c r="C1973" s="1" t="s">
        <v>8</v>
      </c>
      <c r="D1973" s="1">
        <v>1749418</v>
      </c>
      <c r="E1973" s="1">
        <v>1751085</v>
      </c>
      <c r="F1973" s="1" t="s">
        <v>9</v>
      </c>
      <c r="G1973" s="1" t="s">
        <v>11409</v>
      </c>
    </row>
    <row r="1974" spans="1:7" ht="21" x14ac:dyDescent="0.25">
      <c r="A1974" s="2" t="str">
        <f>HYPERLINK("https://rth.dk/resources/bsgatlas/details.php?id=BSGatlas-gene-1973","BSGatlas-gene-1973")</f>
        <v>BSGatlas-gene-1973</v>
      </c>
      <c r="B1974" s="1" t="s">
        <v>1861</v>
      </c>
      <c r="C1974" s="1" t="s">
        <v>8</v>
      </c>
      <c r="D1974" s="1">
        <v>1751201</v>
      </c>
      <c r="E1974" s="1">
        <v>1751938</v>
      </c>
      <c r="F1974" s="1" t="s">
        <v>9</v>
      </c>
      <c r="G1974" s="1" t="s">
        <v>11409</v>
      </c>
    </row>
    <row r="1975" spans="1:7" ht="21" x14ac:dyDescent="0.25">
      <c r="A1975" s="2" t="str">
        <f>HYPERLINK("https://rth.dk/resources/bsgatlas/details.php?id=BSGatlas-gene-1974","BSGatlas-gene-1974")</f>
        <v>BSGatlas-gene-1974</v>
      </c>
      <c r="B1975" s="1" t="s">
        <v>1862</v>
      </c>
      <c r="C1975" s="1" t="s">
        <v>8</v>
      </c>
      <c r="D1975" s="1">
        <v>1751935</v>
      </c>
      <c r="E1975" s="1">
        <v>1752147</v>
      </c>
      <c r="F1975" s="1" t="s">
        <v>9</v>
      </c>
      <c r="G1975" s="1" t="s">
        <v>11409</v>
      </c>
    </row>
    <row r="1976" spans="1:7" ht="21" x14ac:dyDescent="0.25">
      <c r="A1976" s="2" t="str">
        <f>HYPERLINK("https://rth.dk/resources/bsgatlas/details.php?id=BSGatlas-gene-1975","BSGatlas-gene-1975")</f>
        <v>BSGatlas-gene-1975</v>
      </c>
      <c r="B1976" s="1" t="s">
        <v>1863</v>
      </c>
      <c r="C1976" s="1" t="s">
        <v>8</v>
      </c>
      <c r="D1976" s="1">
        <v>1752278</v>
      </c>
      <c r="E1976" s="1">
        <v>1754641</v>
      </c>
      <c r="F1976" s="1" t="s">
        <v>9</v>
      </c>
      <c r="G1976" s="1" t="s">
        <v>11409</v>
      </c>
    </row>
    <row r="1977" spans="1:7" ht="21" x14ac:dyDescent="0.25">
      <c r="A1977" s="2" t="str">
        <f>HYPERLINK("https://rth.dk/resources/bsgatlas/details.php?id=BSGatlas-gene-1976","BSGatlas-gene-1976")</f>
        <v>BSGatlas-gene-1976</v>
      </c>
      <c r="B1977" s="1" t="s">
        <v>1864</v>
      </c>
      <c r="C1977" s="1" t="s">
        <v>8</v>
      </c>
      <c r="D1977" s="1">
        <v>1754785</v>
      </c>
      <c r="E1977" s="1">
        <v>1755510</v>
      </c>
      <c r="F1977" s="1" t="s">
        <v>9</v>
      </c>
      <c r="G1977" s="1" t="s">
        <v>11409</v>
      </c>
    </row>
    <row r="1978" spans="1:7" ht="21" x14ac:dyDescent="0.25">
      <c r="A1978" s="2" t="str">
        <f>HYPERLINK("https://rth.dk/resources/bsgatlas/details.php?id=BSGatlas-gene-1977","BSGatlas-gene-1977")</f>
        <v>BSGatlas-gene-1977</v>
      </c>
      <c r="B1978" s="1" t="s">
        <v>1865</v>
      </c>
      <c r="C1978" s="1" t="s">
        <v>8</v>
      </c>
      <c r="D1978" s="1">
        <v>1755649</v>
      </c>
      <c r="E1978" s="1">
        <v>1756857</v>
      </c>
      <c r="F1978" s="1" t="s">
        <v>9</v>
      </c>
      <c r="G1978" s="1" t="s">
        <v>11409</v>
      </c>
    </row>
    <row r="1979" spans="1:7" ht="21" x14ac:dyDescent="0.25">
      <c r="A1979" s="2" t="str">
        <f>HYPERLINK("https://rth.dk/resources/bsgatlas/details.php?id=BSGatlas-gene-1978","BSGatlas-gene-1978")</f>
        <v>BSGatlas-gene-1978</v>
      </c>
      <c r="B1979" s="1" t="s">
        <v>1866</v>
      </c>
      <c r="C1979" s="1" t="s">
        <v>8</v>
      </c>
      <c r="D1979" s="1">
        <v>1757037</v>
      </c>
      <c r="E1979" s="1">
        <v>1758317</v>
      </c>
      <c r="F1979" s="1" t="s">
        <v>9</v>
      </c>
      <c r="G1979" s="1" t="s">
        <v>11409</v>
      </c>
    </row>
    <row r="1980" spans="1:7" ht="21" x14ac:dyDescent="0.25">
      <c r="A1980" s="2" t="str">
        <f>HYPERLINK("https://rth.dk/resources/bsgatlas/details.php?id=BSGatlas-gene-1979","BSGatlas-gene-1979")</f>
        <v>BSGatlas-gene-1979</v>
      </c>
      <c r="B1980" s="1" t="s">
        <v>1867</v>
      </c>
      <c r="C1980" s="1" t="s">
        <v>8</v>
      </c>
      <c r="D1980" s="1">
        <v>1758314</v>
      </c>
      <c r="E1980" s="1">
        <v>1759600</v>
      </c>
      <c r="F1980" s="1" t="s">
        <v>9</v>
      </c>
      <c r="G1980" s="1" t="s">
        <v>11409</v>
      </c>
    </row>
    <row r="1981" spans="1:7" ht="21" x14ac:dyDescent="0.25">
      <c r="A1981" s="2" t="str">
        <f>HYPERLINK("https://rth.dk/resources/bsgatlas/details.php?id=BSGatlas-gene-1980","BSGatlas-gene-1980")</f>
        <v>BSGatlas-gene-1980</v>
      </c>
      <c r="B1981" s="1" t="s">
        <v>11524</v>
      </c>
      <c r="C1981" s="1" t="s">
        <v>8</v>
      </c>
      <c r="D1981" s="1">
        <v>1759655</v>
      </c>
      <c r="E1981" s="1">
        <v>1760383</v>
      </c>
      <c r="F1981" s="1" t="s">
        <v>9</v>
      </c>
      <c r="G1981" s="1" t="s">
        <v>11409</v>
      </c>
    </row>
    <row r="1982" spans="1:7" ht="21" x14ac:dyDescent="0.25">
      <c r="A1982" s="2" t="str">
        <f>HYPERLINK("https://rth.dk/resources/bsgatlas/details.php?id=BSGatlas-gene-1981","BSGatlas-gene-1981")</f>
        <v>BSGatlas-gene-1981</v>
      </c>
      <c r="B1982" s="1" t="s">
        <v>1868</v>
      </c>
      <c r="C1982" s="1" t="s">
        <v>8</v>
      </c>
      <c r="D1982" s="1">
        <v>1760464</v>
      </c>
      <c r="E1982" s="1">
        <v>1760721</v>
      </c>
      <c r="F1982" s="1" t="s">
        <v>9</v>
      </c>
      <c r="G1982" s="1" t="s">
        <v>11409</v>
      </c>
    </row>
    <row r="1983" spans="1:7" ht="21" x14ac:dyDescent="0.25">
      <c r="A1983" s="2" t="str">
        <f>HYPERLINK("https://rth.dk/resources/bsgatlas/details.php?id=BSGatlas-gene-1982","BSGatlas-gene-1982")</f>
        <v>BSGatlas-gene-1982</v>
      </c>
      <c r="B1983" s="1" t="s">
        <v>1869</v>
      </c>
      <c r="C1983" s="1" t="s">
        <v>276</v>
      </c>
      <c r="D1983" s="1">
        <v>1760851</v>
      </c>
      <c r="E1983" s="1">
        <v>1761303</v>
      </c>
      <c r="F1983" s="1" t="s">
        <v>9</v>
      </c>
      <c r="G1983" s="1" t="s">
        <v>11441</v>
      </c>
    </row>
    <row r="1984" spans="1:7" ht="21" x14ac:dyDescent="0.25">
      <c r="A1984" s="2" t="str">
        <f>HYPERLINK("https://rth.dk/resources/bsgatlas/details.php?id=BSGatlas-gene-1983","BSGatlas-gene-1983")</f>
        <v>BSGatlas-gene-1983</v>
      </c>
      <c r="B1984" s="1" t="s">
        <v>1870</v>
      </c>
      <c r="C1984" s="1" t="s">
        <v>276</v>
      </c>
      <c r="D1984" s="1">
        <v>1761302</v>
      </c>
      <c r="E1984" s="1">
        <v>1761640</v>
      </c>
      <c r="F1984" s="1" t="s">
        <v>9</v>
      </c>
      <c r="G1984" s="1" t="s">
        <v>11441</v>
      </c>
    </row>
    <row r="1985" spans="1:7" ht="21" x14ac:dyDescent="0.25">
      <c r="A1985" s="2" t="str">
        <f>HYPERLINK("https://rth.dk/resources/bsgatlas/details.php?id=BSGatlas-gene-1984","BSGatlas-gene-1984")</f>
        <v>BSGatlas-gene-1984</v>
      </c>
      <c r="B1985" s="1" t="s">
        <v>1871</v>
      </c>
      <c r="C1985" s="1" t="s">
        <v>8</v>
      </c>
      <c r="D1985" s="1">
        <v>1761707</v>
      </c>
      <c r="E1985" s="1">
        <v>1762573</v>
      </c>
      <c r="F1985" s="1" t="s">
        <v>9</v>
      </c>
      <c r="G1985" s="1" t="s">
        <v>11409</v>
      </c>
    </row>
    <row r="1986" spans="1:7" ht="21" x14ac:dyDescent="0.25">
      <c r="A1986" s="2" t="str">
        <f>HYPERLINK("https://rth.dk/resources/bsgatlas/details.php?id=BSGatlas-gene-1985","BSGatlas-gene-1985")</f>
        <v>BSGatlas-gene-1985</v>
      </c>
      <c r="B1986" s="1" t="s">
        <v>1872</v>
      </c>
      <c r="C1986" s="1" t="s">
        <v>8</v>
      </c>
      <c r="D1986" s="1">
        <v>1762623</v>
      </c>
      <c r="E1986" s="1">
        <v>1763204</v>
      </c>
      <c r="F1986" s="1" t="s">
        <v>9</v>
      </c>
      <c r="G1986" s="1" t="s">
        <v>11409</v>
      </c>
    </row>
    <row r="1987" spans="1:7" ht="21" x14ac:dyDescent="0.25">
      <c r="A1987" s="2" t="str">
        <f>HYPERLINK("https://rth.dk/resources/bsgatlas/details.php?id=BSGatlas-gene-1986","BSGatlas-gene-1986")</f>
        <v>BSGatlas-gene-1986</v>
      </c>
      <c r="B1987" s="1" t="s">
        <v>11525</v>
      </c>
      <c r="C1987" s="1" t="s">
        <v>8</v>
      </c>
      <c r="D1987" s="1">
        <v>1763222</v>
      </c>
      <c r="E1987" s="1">
        <v>1764472</v>
      </c>
      <c r="F1987" s="1" t="s">
        <v>9</v>
      </c>
      <c r="G1987" s="1" t="s">
        <v>11409</v>
      </c>
    </row>
    <row r="1988" spans="1:7" ht="21" x14ac:dyDescent="0.25">
      <c r="A1988" s="2" t="str">
        <f>HYPERLINK("https://rth.dk/resources/bsgatlas/details.php?id=BSGatlas-gene-1987","BSGatlas-gene-1987")</f>
        <v>BSGatlas-gene-1987</v>
      </c>
      <c r="B1988" s="1" t="s">
        <v>1873</v>
      </c>
      <c r="C1988" s="1" t="s">
        <v>8</v>
      </c>
      <c r="D1988" s="1">
        <v>1764645</v>
      </c>
      <c r="E1988" s="1">
        <v>1765691</v>
      </c>
      <c r="F1988" s="1" t="s">
        <v>9</v>
      </c>
      <c r="G1988" s="1" t="s">
        <v>11409</v>
      </c>
    </row>
    <row r="1989" spans="1:7" ht="21" x14ac:dyDescent="0.25">
      <c r="A1989" s="2" t="str">
        <f>HYPERLINK("https://rth.dk/resources/bsgatlas/details.php?id=BSGatlas-gene-1988","BSGatlas-gene-1988")</f>
        <v>BSGatlas-gene-1988</v>
      </c>
      <c r="B1989" s="1" t="s">
        <v>1874</v>
      </c>
      <c r="C1989" s="1" t="s">
        <v>8</v>
      </c>
      <c r="D1989" s="1">
        <v>1765859</v>
      </c>
      <c r="E1989" s="1">
        <v>1767034</v>
      </c>
      <c r="F1989" s="1" t="s">
        <v>9</v>
      </c>
      <c r="G1989" s="1" t="s">
        <v>11409</v>
      </c>
    </row>
    <row r="1990" spans="1:7" ht="21" x14ac:dyDescent="0.25">
      <c r="A1990" s="2" t="str">
        <f>HYPERLINK("https://rth.dk/resources/bsgatlas/details.php?id=BSGatlas-gene-1989","BSGatlas-gene-1989")</f>
        <v>BSGatlas-gene-1989</v>
      </c>
      <c r="B1990" s="1" t="s">
        <v>1875</v>
      </c>
      <c r="C1990" s="1" t="s">
        <v>8</v>
      </c>
      <c r="D1990" s="1">
        <v>1767310</v>
      </c>
      <c r="E1990" s="1">
        <v>1768872</v>
      </c>
      <c r="F1990" s="1" t="s">
        <v>9</v>
      </c>
      <c r="G1990" s="1" t="s">
        <v>11409</v>
      </c>
    </row>
    <row r="1991" spans="1:7" ht="21" x14ac:dyDescent="0.25">
      <c r="A1991" s="2" t="str">
        <f>HYPERLINK("https://rth.dk/resources/bsgatlas/details.php?id=BSGatlas-gene-1990","BSGatlas-gene-1990")</f>
        <v>BSGatlas-gene-1990</v>
      </c>
      <c r="B1991" s="1" t="s">
        <v>1876</v>
      </c>
      <c r="C1991" s="1" t="s">
        <v>8</v>
      </c>
      <c r="D1991" s="1">
        <v>1768941</v>
      </c>
      <c r="E1991" s="1">
        <v>1769735</v>
      </c>
      <c r="F1991" s="1" t="s">
        <v>9</v>
      </c>
      <c r="G1991" s="1" t="s">
        <v>11409</v>
      </c>
    </row>
    <row r="1992" spans="1:7" ht="21" x14ac:dyDescent="0.25">
      <c r="A1992" s="2" t="str">
        <f>HYPERLINK("https://rth.dk/resources/bsgatlas/details.php?id=BSGatlas-gene-1991","BSGatlas-gene-1991")</f>
        <v>BSGatlas-gene-1991</v>
      </c>
      <c r="B1992" s="1" t="s">
        <v>1877</v>
      </c>
      <c r="C1992" s="1" t="s">
        <v>8</v>
      </c>
      <c r="D1992" s="1">
        <v>1769935</v>
      </c>
      <c r="E1992" s="1">
        <v>1770195</v>
      </c>
      <c r="F1992" s="1" t="s">
        <v>9</v>
      </c>
      <c r="G1992" s="1" t="s">
        <v>11409</v>
      </c>
    </row>
    <row r="1993" spans="1:7" ht="21" x14ac:dyDescent="0.25">
      <c r="A1993" s="2" t="str">
        <f>HYPERLINK("https://rth.dk/resources/bsgatlas/details.php?id=BSGatlas-gene-1992","BSGatlas-gene-1992")</f>
        <v>BSGatlas-gene-1992</v>
      </c>
      <c r="B1993" s="1" t="s">
        <v>1878</v>
      </c>
      <c r="C1993" s="1" t="s">
        <v>8</v>
      </c>
      <c r="D1993" s="1">
        <v>1770461</v>
      </c>
      <c r="E1993" s="1">
        <v>1771504</v>
      </c>
      <c r="F1993" s="1" t="s">
        <v>9</v>
      </c>
      <c r="G1993" s="1" t="s">
        <v>11409</v>
      </c>
    </row>
    <row r="1994" spans="1:7" ht="21" x14ac:dyDescent="0.25">
      <c r="A1994" s="2" t="str">
        <f>HYPERLINK("https://rth.dk/resources/bsgatlas/details.php?id=BSGatlas-gene-1993","BSGatlas-gene-1993")</f>
        <v>BSGatlas-gene-1993</v>
      </c>
      <c r="B1994" s="1" t="s">
        <v>1879</v>
      </c>
      <c r="C1994" s="1" t="s">
        <v>8</v>
      </c>
      <c r="D1994" s="1">
        <v>1771517</v>
      </c>
      <c r="E1994" s="1">
        <v>1772695</v>
      </c>
      <c r="F1994" s="1" t="s">
        <v>9</v>
      </c>
      <c r="G1994" s="1" t="s">
        <v>11409</v>
      </c>
    </row>
    <row r="1995" spans="1:7" ht="21" x14ac:dyDescent="0.25">
      <c r="A1995" s="2" t="str">
        <f>HYPERLINK("https://rth.dk/resources/bsgatlas/details.php?id=BSGatlas-gene-1994","BSGatlas-gene-1994")</f>
        <v>BSGatlas-gene-1994</v>
      </c>
      <c r="B1995" s="1" t="s">
        <v>1880</v>
      </c>
      <c r="C1995" s="1" t="s">
        <v>8</v>
      </c>
      <c r="D1995" s="1">
        <v>1772843</v>
      </c>
      <c r="E1995" s="1">
        <v>1774372</v>
      </c>
      <c r="F1995" s="1" t="s">
        <v>9</v>
      </c>
      <c r="G1995" s="1" t="s">
        <v>11409</v>
      </c>
    </row>
    <row r="1996" spans="1:7" ht="21" x14ac:dyDescent="0.25">
      <c r="A1996" s="2" t="str">
        <f>HYPERLINK("https://rth.dk/resources/bsgatlas/details.php?id=BSGatlas-gene-1995","BSGatlas-gene-1995")</f>
        <v>BSGatlas-gene-1995</v>
      </c>
      <c r="B1996" s="1" t="s">
        <v>1881</v>
      </c>
      <c r="C1996" s="1" t="s">
        <v>8</v>
      </c>
      <c r="D1996" s="1">
        <v>1774374</v>
      </c>
      <c r="E1996" s="1">
        <v>1774805</v>
      </c>
      <c r="F1996" s="1" t="s">
        <v>9</v>
      </c>
      <c r="G1996" s="1" t="s">
        <v>11409</v>
      </c>
    </row>
    <row r="1997" spans="1:7" ht="21" x14ac:dyDescent="0.25">
      <c r="A1997" s="2" t="str">
        <f>HYPERLINK("https://rth.dk/resources/bsgatlas/details.php?id=BSGatlas-gene-1996","BSGatlas-gene-1996")</f>
        <v>BSGatlas-gene-1996</v>
      </c>
      <c r="B1997" s="1" t="s">
        <v>1882</v>
      </c>
      <c r="C1997" s="1" t="s">
        <v>8</v>
      </c>
      <c r="D1997" s="1">
        <v>1775067</v>
      </c>
      <c r="E1997" s="1">
        <v>1775612</v>
      </c>
      <c r="F1997" s="1" t="s">
        <v>9</v>
      </c>
      <c r="G1997" s="1" t="s">
        <v>11409</v>
      </c>
    </row>
    <row r="1998" spans="1:7" ht="21" x14ac:dyDescent="0.25">
      <c r="A1998" s="2" t="str">
        <f>HYPERLINK("https://rth.dk/resources/bsgatlas/details.php?id=BSGatlas-gene-1997","BSGatlas-gene-1997")</f>
        <v>BSGatlas-gene-1997</v>
      </c>
      <c r="B1998" s="1" t="s">
        <v>1883</v>
      </c>
      <c r="C1998" s="1" t="s">
        <v>8</v>
      </c>
      <c r="D1998" s="1">
        <v>1775745</v>
      </c>
      <c r="E1998" s="1">
        <v>1778321</v>
      </c>
      <c r="F1998" s="1" t="s">
        <v>9</v>
      </c>
      <c r="G1998" s="1" t="s">
        <v>11409</v>
      </c>
    </row>
    <row r="1999" spans="1:7" ht="21" x14ac:dyDescent="0.25">
      <c r="A1999" s="2" t="str">
        <f>HYPERLINK("https://rth.dk/resources/bsgatlas/details.php?id=BSGatlas-gene-1998","BSGatlas-gene-1998")</f>
        <v>BSGatlas-gene-1998</v>
      </c>
      <c r="B1999" s="1" t="s">
        <v>1884</v>
      </c>
      <c r="C1999" s="1" t="s">
        <v>8</v>
      </c>
      <c r="D1999" s="1">
        <v>1778337</v>
      </c>
      <c r="E1999" s="1">
        <v>1780220</v>
      </c>
      <c r="F1999" s="1" t="s">
        <v>9</v>
      </c>
      <c r="G1999" s="1" t="s">
        <v>11409</v>
      </c>
    </row>
    <row r="2000" spans="1:7" ht="21" x14ac:dyDescent="0.25">
      <c r="A2000" s="2" t="str">
        <f>HYPERLINK("https://rth.dk/resources/bsgatlas/details.php?id=BSGatlas-gene-1999","BSGatlas-gene-1999")</f>
        <v>BSGatlas-gene-1999</v>
      </c>
      <c r="B2000" s="1" t="s">
        <v>1886</v>
      </c>
      <c r="C2000" s="1" t="s">
        <v>55</v>
      </c>
      <c r="D2000" s="1">
        <v>1780404</v>
      </c>
      <c r="E2000" s="1">
        <v>1780554</v>
      </c>
      <c r="F2000" s="1" t="s">
        <v>9</v>
      </c>
      <c r="G2000" s="1" t="s">
        <v>11526</v>
      </c>
    </row>
    <row r="2001" spans="1:7" ht="21" x14ac:dyDescent="0.25">
      <c r="A2001" s="2" t="str">
        <f>HYPERLINK("https://rth.dk/resources/bsgatlas/details.php?id=BSGatlas-gene-2000","BSGatlas-gene-2000")</f>
        <v>BSGatlas-gene-2000</v>
      </c>
      <c r="B2001" s="1" t="s">
        <v>1885</v>
      </c>
      <c r="C2001" s="1" t="s">
        <v>55</v>
      </c>
      <c r="D2001" s="1">
        <v>1780404</v>
      </c>
      <c r="E2001" s="1">
        <v>1780554</v>
      </c>
      <c r="F2001" s="1" t="s">
        <v>13</v>
      </c>
      <c r="G2001" s="1" t="s">
        <v>11517</v>
      </c>
    </row>
    <row r="2002" spans="1:7" ht="21" x14ac:dyDescent="0.25">
      <c r="A2002" s="2" t="str">
        <f>HYPERLINK("https://rth.dk/resources/bsgatlas/details.php?id=BSGatlas-gene-2001","BSGatlas-gene-2001")</f>
        <v>BSGatlas-gene-2001</v>
      </c>
      <c r="B2002" s="1" t="s">
        <v>1887</v>
      </c>
      <c r="C2002" s="1" t="s">
        <v>8</v>
      </c>
      <c r="D2002" s="1">
        <v>1780618</v>
      </c>
      <c r="E2002" s="1">
        <v>1781073</v>
      </c>
      <c r="F2002" s="1" t="s">
        <v>13</v>
      </c>
      <c r="G2002" s="1" t="s">
        <v>11409</v>
      </c>
    </row>
    <row r="2003" spans="1:7" ht="21" x14ac:dyDescent="0.25">
      <c r="A2003" s="2" t="str">
        <f>HYPERLINK("https://rth.dk/resources/bsgatlas/details.php?id=BSGatlas-gene-2002","BSGatlas-gene-2002")</f>
        <v>BSGatlas-gene-2002</v>
      </c>
      <c r="B2003" s="1" t="s">
        <v>1888</v>
      </c>
      <c r="C2003" s="1" t="s">
        <v>8</v>
      </c>
      <c r="D2003" s="1">
        <v>1781228</v>
      </c>
      <c r="E2003" s="1">
        <v>1781785</v>
      </c>
      <c r="F2003" s="1" t="s">
        <v>13</v>
      </c>
      <c r="G2003" s="1" t="s">
        <v>11409</v>
      </c>
    </row>
    <row r="2004" spans="1:7" ht="21" x14ac:dyDescent="0.25">
      <c r="A2004" s="2" t="str">
        <f>HYPERLINK("https://rth.dk/resources/bsgatlas/details.php?id=BSGatlas-gene-2003","BSGatlas-gene-2003")</f>
        <v>BSGatlas-gene-2003</v>
      </c>
      <c r="B2004" s="1" t="s">
        <v>1889</v>
      </c>
      <c r="C2004" s="1" t="s">
        <v>8</v>
      </c>
      <c r="D2004" s="1">
        <v>1781906</v>
      </c>
      <c r="E2004" s="1">
        <v>1782523</v>
      </c>
      <c r="F2004" s="1" t="s">
        <v>9</v>
      </c>
      <c r="G2004" s="1" t="s">
        <v>11409</v>
      </c>
    </row>
    <row r="2005" spans="1:7" ht="21" x14ac:dyDescent="0.25">
      <c r="A2005" s="2" t="str">
        <f>HYPERLINK("https://rth.dk/resources/bsgatlas/details.php?id=BSGatlas-gene-2004","BSGatlas-gene-2004")</f>
        <v>BSGatlas-gene-2004</v>
      </c>
      <c r="B2005" s="1" t="s">
        <v>1890</v>
      </c>
      <c r="C2005" s="1" t="s">
        <v>8</v>
      </c>
      <c r="D2005" s="1">
        <v>1782713</v>
      </c>
      <c r="E2005" s="1">
        <v>1783390</v>
      </c>
      <c r="F2005" s="1" t="s">
        <v>9</v>
      </c>
      <c r="G2005" s="1" t="s">
        <v>11409</v>
      </c>
    </row>
    <row r="2006" spans="1:7" ht="21" x14ac:dyDescent="0.25">
      <c r="A2006" s="2" t="str">
        <f>HYPERLINK("https://rth.dk/resources/bsgatlas/details.php?id=BSGatlas-gene-2005","BSGatlas-gene-2005")</f>
        <v>BSGatlas-gene-2005</v>
      </c>
      <c r="B2006" s="1" t="s">
        <v>318</v>
      </c>
      <c r="C2006" s="1" t="s">
        <v>8</v>
      </c>
      <c r="D2006" s="1">
        <v>1783500</v>
      </c>
      <c r="E2006" s="1">
        <v>1783766</v>
      </c>
      <c r="F2006" s="1" t="s">
        <v>9</v>
      </c>
      <c r="G2006" s="1" t="s">
        <v>11441</v>
      </c>
    </row>
    <row r="2007" spans="1:7" ht="21" x14ac:dyDescent="0.25">
      <c r="A2007" s="2" t="str">
        <f>HYPERLINK("https://rth.dk/resources/bsgatlas/details.php?id=BSGatlas-gene-2006","BSGatlas-gene-2006")</f>
        <v>BSGatlas-gene-2006</v>
      </c>
      <c r="B2007" s="1" t="s">
        <v>1891</v>
      </c>
      <c r="C2007" s="1" t="s">
        <v>8</v>
      </c>
      <c r="D2007" s="1">
        <v>1783763</v>
      </c>
      <c r="E2007" s="1">
        <v>1784629</v>
      </c>
      <c r="F2007" s="1" t="s">
        <v>9</v>
      </c>
      <c r="G2007" s="1" t="s">
        <v>11409</v>
      </c>
    </row>
    <row r="2008" spans="1:7" ht="21" x14ac:dyDescent="0.25">
      <c r="A2008" s="2" t="str">
        <f>HYPERLINK("https://rth.dk/resources/bsgatlas/details.php?id=BSGatlas-gene-2007","BSGatlas-gene-2007")</f>
        <v>BSGatlas-gene-2007</v>
      </c>
      <c r="B2008" s="1" t="s">
        <v>1892</v>
      </c>
      <c r="C2008" s="1" t="s">
        <v>8</v>
      </c>
      <c r="D2008" s="1">
        <v>1785133</v>
      </c>
      <c r="E2008" s="1">
        <v>1786107</v>
      </c>
      <c r="F2008" s="1" t="s">
        <v>9</v>
      </c>
      <c r="G2008" s="1" t="s">
        <v>11409</v>
      </c>
    </row>
    <row r="2009" spans="1:7" ht="21" x14ac:dyDescent="0.25">
      <c r="A2009" s="2" t="str">
        <f>HYPERLINK("https://rth.dk/resources/bsgatlas/details.php?id=BSGatlas-gene-2008","BSGatlas-gene-2008")</f>
        <v>BSGatlas-gene-2008</v>
      </c>
      <c r="B2009" s="1" t="s">
        <v>1893</v>
      </c>
      <c r="C2009" s="1" t="s">
        <v>8</v>
      </c>
      <c r="D2009" s="1">
        <v>1786104</v>
      </c>
      <c r="E2009" s="1">
        <v>1788407</v>
      </c>
      <c r="F2009" s="1" t="s">
        <v>9</v>
      </c>
      <c r="G2009" s="1" t="s">
        <v>11409</v>
      </c>
    </row>
    <row r="2010" spans="1:7" ht="21" x14ac:dyDescent="0.25">
      <c r="A2010" s="2" t="str">
        <f>HYPERLINK("https://rth.dk/resources/bsgatlas/details.php?id=BSGatlas-gene-2009","BSGatlas-gene-2009")</f>
        <v>BSGatlas-gene-2009</v>
      </c>
      <c r="B2010" s="1" t="s">
        <v>1894</v>
      </c>
      <c r="C2010" s="1" t="s">
        <v>8</v>
      </c>
      <c r="D2010" s="1">
        <v>1788469</v>
      </c>
      <c r="E2010" s="1">
        <v>1788717</v>
      </c>
      <c r="F2010" s="1" t="s">
        <v>9</v>
      </c>
      <c r="G2010" s="1" t="s">
        <v>11409</v>
      </c>
    </row>
    <row r="2011" spans="1:7" ht="21" x14ac:dyDescent="0.25">
      <c r="A2011" s="2" t="str">
        <f>HYPERLINK("https://rth.dk/resources/bsgatlas/details.php?id=BSGatlas-gene-2010","BSGatlas-gene-2010")</f>
        <v>BSGatlas-gene-2010</v>
      </c>
      <c r="B2011" s="1" t="s">
        <v>1895</v>
      </c>
      <c r="C2011" s="1" t="s">
        <v>8</v>
      </c>
      <c r="D2011" s="1">
        <v>1788695</v>
      </c>
      <c r="E2011" s="1">
        <v>1789942</v>
      </c>
      <c r="F2011" s="1" t="s">
        <v>9</v>
      </c>
      <c r="G2011" s="1" t="s">
        <v>11409</v>
      </c>
    </row>
    <row r="2012" spans="1:7" ht="21" x14ac:dyDescent="0.25">
      <c r="A2012" s="2" t="str">
        <f>HYPERLINK("https://rth.dk/resources/bsgatlas/details.php?id=BSGatlas-gene-2011","BSGatlas-gene-2011")</f>
        <v>BSGatlas-gene-2011</v>
      </c>
      <c r="B2012" s="1" t="s">
        <v>1896</v>
      </c>
      <c r="C2012" s="1" t="s">
        <v>8</v>
      </c>
      <c r="D2012" s="1">
        <v>1789943</v>
      </c>
      <c r="E2012" s="1">
        <v>1791205</v>
      </c>
      <c r="F2012" s="1" t="s">
        <v>9</v>
      </c>
      <c r="G2012" s="1" t="s">
        <v>11409</v>
      </c>
    </row>
    <row r="2013" spans="1:7" ht="21" x14ac:dyDescent="0.25">
      <c r="A2013" s="2" t="str">
        <f>HYPERLINK("https://rth.dk/resources/bsgatlas/details.php?id=BSGatlas-gene-2012","BSGatlas-gene-2012")</f>
        <v>BSGatlas-gene-2012</v>
      </c>
      <c r="B2013" s="1" t="s">
        <v>1897</v>
      </c>
      <c r="C2013" s="1" t="s">
        <v>8</v>
      </c>
      <c r="D2013" s="1">
        <v>1791193</v>
      </c>
      <c r="E2013" s="1">
        <v>1791972</v>
      </c>
      <c r="F2013" s="1" t="s">
        <v>9</v>
      </c>
      <c r="G2013" s="1" t="s">
        <v>11409</v>
      </c>
    </row>
    <row r="2014" spans="1:7" ht="21" x14ac:dyDescent="0.25">
      <c r="A2014" s="2" t="str">
        <f>HYPERLINK("https://rth.dk/resources/bsgatlas/details.php?id=BSGatlas-gene-2013","BSGatlas-gene-2013")</f>
        <v>BSGatlas-gene-2013</v>
      </c>
      <c r="B2014" s="1" t="s">
        <v>1898</v>
      </c>
      <c r="C2014" s="1" t="s">
        <v>8</v>
      </c>
      <c r="D2014" s="1">
        <v>1792012</v>
      </c>
      <c r="E2014" s="1">
        <v>1792761</v>
      </c>
      <c r="F2014" s="1" t="s">
        <v>9</v>
      </c>
      <c r="G2014" s="1" t="s">
        <v>11409</v>
      </c>
    </row>
    <row r="2015" spans="1:7" ht="21" x14ac:dyDescent="0.25">
      <c r="A2015" s="2" t="str">
        <f>HYPERLINK("https://rth.dk/resources/bsgatlas/details.php?id=BSGatlas-gene-2014","BSGatlas-gene-2014")</f>
        <v>BSGatlas-gene-2014</v>
      </c>
      <c r="B2015" s="1" t="s">
        <v>1899</v>
      </c>
      <c r="C2015" s="1" t="s">
        <v>8</v>
      </c>
      <c r="D2015" s="1">
        <v>1792806</v>
      </c>
      <c r="E2015" s="1">
        <v>1807937</v>
      </c>
      <c r="F2015" s="1" t="s">
        <v>9</v>
      </c>
      <c r="G2015" s="1" t="s">
        <v>11409</v>
      </c>
    </row>
    <row r="2016" spans="1:7" ht="21" x14ac:dyDescent="0.25">
      <c r="A2016" s="2" t="str">
        <f>HYPERLINK("https://rth.dk/resources/bsgatlas/details.php?id=BSGatlas-gene-2015","BSGatlas-gene-2015")</f>
        <v>BSGatlas-gene-2015</v>
      </c>
      <c r="B2016" s="1" t="s">
        <v>1900</v>
      </c>
      <c r="C2016" s="1" t="s">
        <v>8</v>
      </c>
      <c r="D2016" s="1">
        <v>1807921</v>
      </c>
      <c r="E2016" s="1">
        <v>1821537</v>
      </c>
      <c r="F2016" s="1" t="s">
        <v>9</v>
      </c>
      <c r="G2016" s="1" t="s">
        <v>11409</v>
      </c>
    </row>
    <row r="2017" spans="1:7" ht="21" x14ac:dyDescent="0.25">
      <c r="A2017" s="2" t="str">
        <f>HYPERLINK("https://rth.dk/resources/bsgatlas/details.php?id=BSGatlas-gene-2016","BSGatlas-gene-2016")</f>
        <v>BSGatlas-gene-2016</v>
      </c>
      <c r="B2017" s="1" t="s">
        <v>1901</v>
      </c>
      <c r="C2017" s="1" t="s">
        <v>8</v>
      </c>
      <c r="D2017" s="1">
        <v>1821553</v>
      </c>
      <c r="E2017" s="1">
        <v>1834341</v>
      </c>
      <c r="F2017" s="1" t="s">
        <v>9</v>
      </c>
      <c r="G2017" s="1" t="s">
        <v>11409</v>
      </c>
    </row>
    <row r="2018" spans="1:7" ht="21" x14ac:dyDescent="0.25">
      <c r="A2018" s="2" t="str">
        <f>HYPERLINK("https://rth.dk/resources/bsgatlas/details.php?id=BSGatlas-gene-2017","BSGatlas-gene-2017")</f>
        <v>BSGatlas-gene-2017</v>
      </c>
      <c r="B2018" s="1" t="s">
        <v>1902</v>
      </c>
      <c r="C2018" s="1" t="s">
        <v>8</v>
      </c>
      <c r="D2018" s="1">
        <v>1834409</v>
      </c>
      <c r="E2018" s="1">
        <v>1850875</v>
      </c>
      <c r="F2018" s="1" t="s">
        <v>9</v>
      </c>
      <c r="G2018" s="1" t="s">
        <v>11409</v>
      </c>
    </row>
    <row r="2019" spans="1:7" ht="21" x14ac:dyDescent="0.25">
      <c r="A2019" s="2" t="str">
        <f>HYPERLINK("https://rth.dk/resources/bsgatlas/details.php?id=BSGatlas-gene-2018","BSGatlas-gene-2018")</f>
        <v>BSGatlas-gene-2018</v>
      </c>
      <c r="B2019" s="1" t="s">
        <v>1903</v>
      </c>
      <c r="C2019" s="1" t="s">
        <v>8</v>
      </c>
      <c r="D2019" s="1">
        <v>1850890</v>
      </c>
      <c r="E2019" s="1">
        <v>1858521</v>
      </c>
      <c r="F2019" s="1" t="s">
        <v>9</v>
      </c>
      <c r="G2019" s="1" t="s">
        <v>11409</v>
      </c>
    </row>
    <row r="2020" spans="1:7" ht="21" x14ac:dyDescent="0.25">
      <c r="A2020" s="2" t="str">
        <f>HYPERLINK("https://rth.dk/resources/bsgatlas/details.php?id=BSGatlas-gene-2019","BSGatlas-gene-2019")</f>
        <v>BSGatlas-gene-2019</v>
      </c>
      <c r="B2020" s="1" t="s">
        <v>1904</v>
      </c>
      <c r="C2020" s="1" t="s">
        <v>8</v>
      </c>
      <c r="D2020" s="1">
        <v>1858566</v>
      </c>
      <c r="E2020" s="1">
        <v>1859783</v>
      </c>
      <c r="F2020" s="1" t="s">
        <v>13</v>
      </c>
      <c r="G2020" s="1" t="s">
        <v>11409</v>
      </c>
    </row>
    <row r="2021" spans="1:7" ht="21" x14ac:dyDescent="0.25">
      <c r="A2021" s="2" t="str">
        <f>HYPERLINK("https://rth.dk/resources/bsgatlas/details.php?id=BSGatlas-gene-2020","BSGatlas-gene-2020")</f>
        <v>BSGatlas-gene-2020</v>
      </c>
      <c r="B2021" s="1" t="s">
        <v>1905</v>
      </c>
      <c r="C2021" s="1" t="s">
        <v>8</v>
      </c>
      <c r="D2021" s="1">
        <v>1860014</v>
      </c>
      <c r="E2021" s="1">
        <v>1860370</v>
      </c>
      <c r="F2021" s="1" t="s">
        <v>13</v>
      </c>
      <c r="G2021" s="1" t="s">
        <v>11409</v>
      </c>
    </row>
    <row r="2022" spans="1:7" ht="21" x14ac:dyDescent="0.25">
      <c r="A2022" s="2" t="str">
        <f>HYPERLINK("https://rth.dk/resources/bsgatlas/details.php?id=BSGatlas-gene-2021","BSGatlas-gene-2021")</f>
        <v>BSGatlas-gene-2021</v>
      </c>
      <c r="B2022" s="1" t="s">
        <v>1906</v>
      </c>
      <c r="C2022" s="1" t="s">
        <v>8</v>
      </c>
      <c r="D2022" s="1">
        <v>1860449</v>
      </c>
      <c r="E2022" s="1">
        <v>1861273</v>
      </c>
      <c r="F2022" s="1" t="s">
        <v>13</v>
      </c>
      <c r="G2022" s="1" t="s">
        <v>11409</v>
      </c>
    </row>
    <row r="2023" spans="1:7" ht="21" x14ac:dyDescent="0.25">
      <c r="A2023" s="2" t="str">
        <f>HYPERLINK("https://rth.dk/resources/bsgatlas/details.php?id=BSGatlas-gene-2022","BSGatlas-gene-2022")</f>
        <v>BSGatlas-gene-2022</v>
      </c>
      <c r="B2023" s="1" t="s">
        <v>1907</v>
      </c>
      <c r="C2023" s="1" t="s">
        <v>8</v>
      </c>
      <c r="D2023" s="1">
        <v>1861384</v>
      </c>
      <c r="E2023" s="1">
        <v>1862712</v>
      </c>
      <c r="F2023" s="1" t="s">
        <v>13</v>
      </c>
      <c r="G2023" s="1" t="s">
        <v>11409</v>
      </c>
    </row>
    <row r="2024" spans="1:7" ht="21" x14ac:dyDescent="0.25">
      <c r="A2024" s="2" t="str">
        <f>HYPERLINK("https://rth.dk/resources/bsgatlas/details.php?id=BSGatlas-gene-2023","BSGatlas-gene-2023")</f>
        <v>BSGatlas-gene-2023</v>
      </c>
      <c r="B2024" s="1" t="s">
        <v>1908</v>
      </c>
      <c r="C2024" s="1" t="s">
        <v>276</v>
      </c>
      <c r="D2024" s="1">
        <v>1862937</v>
      </c>
      <c r="E2024" s="1">
        <v>1862993</v>
      </c>
      <c r="F2024" s="1" t="s">
        <v>9</v>
      </c>
      <c r="G2024" s="1" t="s">
        <v>11441</v>
      </c>
    </row>
    <row r="2025" spans="1:7" ht="21" x14ac:dyDescent="0.25">
      <c r="A2025" s="2" t="str">
        <f>HYPERLINK("https://rth.dk/resources/bsgatlas/details.php?id=BSGatlas-gene-2024","BSGatlas-gene-2024")</f>
        <v>BSGatlas-gene-2024</v>
      </c>
      <c r="B2025" s="1" t="s">
        <v>1911</v>
      </c>
      <c r="C2025" s="1" t="s">
        <v>276</v>
      </c>
      <c r="D2025" s="1">
        <v>1862992</v>
      </c>
      <c r="E2025" s="1">
        <v>1863168</v>
      </c>
      <c r="F2025" s="1" t="s">
        <v>9</v>
      </c>
      <c r="G2025" s="1" t="s">
        <v>11441</v>
      </c>
    </row>
    <row r="2026" spans="1:7" ht="21" x14ac:dyDescent="0.25">
      <c r="A2026" s="2" t="str">
        <f>HYPERLINK("https://rth.dk/resources/bsgatlas/details.php?id=BSGatlas-gene-2025","BSGatlas-gene-2025")</f>
        <v>BSGatlas-gene-2025</v>
      </c>
      <c r="B2026" s="1" t="s">
        <v>1912</v>
      </c>
      <c r="C2026" s="1" t="s">
        <v>8</v>
      </c>
      <c r="D2026" s="1">
        <v>1863448</v>
      </c>
      <c r="E2026" s="1">
        <v>1864155</v>
      </c>
      <c r="F2026" s="1" t="s">
        <v>9</v>
      </c>
      <c r="G2026" s="1" t="s">
        <v>11409</v>
      </c>
    </row>
    <row r="2027" spans="1:7" ht="21" x14ac:dyDescent="0.25">
      <c r="A2027" s="2" t="str">
        <f>HYPERLINK("https://rth.dk/resources/bsgatlas/details.php?id=BSGatlas-gene-2026","BSGatlas-gene-2026")</f>
        <v>BSGatlas-gene-2026</v>
      </c>
      <c r="B2027" s="1" t="s">
        <v>1913</v>
      </c>
      <c r="C2027" s="1" t="s">
        <v>8</v>
      </c>
      <c r="D2027" s="1">
        <v>1864225</v>
      </c>
      <c r="E2027" s="1">
        <v>1864677</v>
      </c>
      <c r="F2027" s="1" t="s">
        <v>9</v>
      </c>
      <c r="G2027" s="1" t="s">
        <v>11409</v>
      </c>
    </row>
    <row r="2028" spans="1:7" ht="21" x14ac:dyDescent="0.25">
      <c r="A2028" s="2" t="str">
        <f>HYPERLINK("https://rth.dk/resources/bsgatlas/details.php?id=BSGatlas-gene-2027","BSGatlas-gene-2027")</f>
        <v>BSGatlas-gene-2027</v>
      </c>
      <c r="B2028" s="1" t="s">
        <v>1909</v>
      </c>
      <c r="C2028" s="1" t="s">
        <v>8</v>
      </c>
      <c r="D2028" s="1">
        <v>1864691</v>
      </c>
      <c r="E2028" s="1">
        <v>1865044</v>
      </c>
      <c r="F2028" s="1" t="s">
        <v>13</v>
      </c>
      <c r="G2028" s="1" t="s">
        <v>11409</v>
      </c>
    </row>
    <row r="2029" spans="1:7" ht="21" x14ac:dyDescent="0.25">
      <c r="A2029" s="2" t="str">
        <f>HYPERLINK("https://rth.dk/resources/bsgatlas/details.php?id=BSGatlas-gene-2028","BSGatlas-gene-2028")</f>
        <v>BSGatlas-gene-2028</v>
      </c>
      <c r="B2029" s="1" t="s">
        <v>1910</v>
      </c>
      <c r="C2029" s="1" t="s">
        <v>8</v>
      </c>
      <c r="D2029" s="1">
        <v>1865058</v>
      </c>
      <c r="E2029" s="1">
        <v>1865375</v>
      </c>
      <c r="F2029" s="1" t="s">
        <v>13</v>
      </c>
      <c r="G2029" s="1" t="s">
        <v>11409</v>
      </c>
    </row>
    <row r="2030" spans="1:7" ht="21" x14ac:dyDescent="0.25">
      <c r="A2030" s="2" t="str">
        <f>HYPERLINK("https://rth.dk/resources/bsgatlas/details.php?id=BSGatlas-gene-2029","BSGatlas-gene-2029")</f>
        <v>BSGatlas-gene-2029</v>
      </c>
      <c r="B2030" s="1" t="s">
        <v>1914</v>
      </c>
      <c r="C2030" s="1" t="s">
        <v>8</v>
      </c>
      <c r="D2030" s="1">
        <v>1865512</v>
      </c>
      <c r="E2030" s="1">
        <v>1865787</v>
      </c>
      <c r="F2030" s="1" t="s">
        <v>13</v>
      </c>
      <c r="G2030" s="1" t="s">
        <v>11409</v>
      </c>
    </row>
    <row r="2031" spans="1:7" ht="21" x14ac:dyDescent="0.25">
      <c r="A2031" s="2" t="str">
        <f>HYPERLINK("https://rth.dk/resources/bsgatlas/details.php?id=BSGatlas-gene-2030","BSGatlas-gene-2030")</f>
        <v>BSGatlas-gene-2030</v>
      </c>
      <c r="B2031" s="1" t="s">
        <v>1915</v>
      </c>
      <c r="C2031" s="1" t="s">
        <v>8</v>
      </c>
      <c r="D2031" s="1">
        <v>1865876</v>
      </c>
      <c r="E2031" s="1">
        <v>1866289</v>
      </c>
      <c r="F2031" s="1" t="s">
        <v>9</v>
      </c>
      <c r="G2031" s="1" t="s">
        <v>11409</v>
      </c>
    </row>
    <row r="2032" spans="1:7" ht="21" x14ac:dyDescent="0.25">
      <c r="A2032" s="2" t="str">
        <f>HYPERLINK("https://rth.dk/resources/bsgatlas/details.php?id=BSGatlas-gene-2031","BSGatlas-gene-2031")</f>
        <v>BSGatlas-gene-2031</v>
      </c>
      <c r="B2032" s="1" t="s">
        <v>1916</v>
      </c>
      <c r="C2032" s="1" t="s">
        <v>8</v>
      </c>
      <c r="D2032" s="1">
        <v>1866389</v>
      </c>
      <c r="E2032" s="1">
        <v>1867333</v>
      </c>
      <c r="F2032" s="1" t="s">
        <v>9</v>
      </c>
      <c r="G2032" s="1" t="s">
        <v>11409</v>
      </c>
    </row>
    <row r="2033" spans="1:7" ht="21" x14ac:dyDescent="0.25">
      <c r="A2033" s="2" t="str">
        <f>HYPERLINK("https://rth.dk/resources/bsgatlas/details.php?id=BSGatlas-gene-2032","BSGatlas-gene-2032")</f>
        <v>BSGatlas-gene-2032</v>
      </c>
      <c r="B2033" s="1" t="s">
        <v>1917</v>
      </c>
      <c r="C2033" s="1" t="s">
        <v>8</v>
      </c>
      <c r="D2033" s="1">
        <v>1867373</v>
      </c>
      <c r="E2033" s="1">
        <v>1867594</v>
      </c>
      <c r="F2033" s="1" t="s">
        <v>9</v>
      </c>
      <c r="G2033" s="1" t="s">
        <v>11409</v>
      </c>
    </row>
    <row r="2034" spans="1:7" ht="21" x14ac:dyDescent="0.25">
      <c r="A2034" s="2" t="str">
        <f>HYPERLINK("https://rth.dk/resources/bsgatlas/details.php?id=BSGatlas-gene-2033","BSGatlas-gene-2033")</f>
        <v>BSGatlas-gene-2033</v>
      </c>
      <c r="B2034" s="1" t="s">
        <v>11527</v>
      </c>
      <c r="C2034" s="1" t="s">
        <v>8</v>
      </c>
      <c r="D2034" s="1">
        <v>1867790</v>
      </c>
      <c r="E2034" s="1">
        <v>1868062</v>
      </c>
      <c r="F2034" s="1" t="s">
        <v>9</v>
      </c>
      <c r="G2034" s="1" t="s">
        <v>11409</v>
      </c>
    </row>
    <row r="2035" spans="1:7" ht="21" x14ac:dyDescent="0.25">
      <c r="A2035" s="2" t="str">
        <f>HYPERLINK("https://rth.dk/resources/bsgatlas/details.php?id=BSGatlas-gene-2034","BSGatlas-gene-2034")</f>
        <v>BSGatlas-gene-2034</v>
      </c>
      <c r="B2035" s="1" t="s">
        <v>1918</v>
      </c>
      <c r="C2035" s="1" t="s">
        <v>8</v>
      </c>
      <c r="D2035" s="1">
        <v>1868144</v>
      </c>
      <c r="E2035" s="1">
        <v>1868374</v>
      </c>
      <c r="F2035" s="1" t="s">
        <v>9</v>
      </c>
      <c r="G2035" s="1" t="s">
        <v>11409</v>
      </c>
    </row>
    <row r="2036" spans="1:7" ht="21" x14ac:dyDescent="0.25">
      <c r="A2036" s="2" t="str">
        <f>HYPERLINK("https://rth.dk/resources/bsgatlas/details.php?id=BSGatlas-gene-2035","BSGatlas-gene-2035")</f>
        <v>BSGatlas-gene-2035</v>
      </c>
      <c r="B2036" s="1" t="s">
        <v>1919</v>
      </c>
      <c r="C2036" s="1" t="s">
        <v>12</v>
      </c>
      <c r="D2036" s="1">
        <v>1868404</v>
      </c>
      <c r="E2036" s="1">
        <v>1868461</v>
      </c>
      <c r="F2036" s="1" t="s">
        <v>9</v>
      </c>
      <c r="G2036" s="1" t="s">
        <v>11442</v>
      </c>
    </row>
    <row r="2037" spans="1:7" ht="21" x14ac:dyDescent="0.25">
      <c r="A2037" s="2" t="str">
        <f>HYPERLINK("https://rth.dk/resources/bsgatlas/details.php?id=BSGatlas-gene-2036","BSGatlas-gene-2036")</f>
        <v>BSGatlas-gene-2036</v>
      </c>
      <c r="B2037" s="1" t="s">
        <v>1920</v>
      </c>
      <c r="C2037" s="1" t="s">
        <v>8</v>
      </c>
      <c r="D2037" s="1">
        <v>1868617</v>
      </c>
      <c r="E2037" s="1">
        <v>1869009</v>
      </c>
      <c r="F2037" s="1" t="s">
        <v>9</v>
      </c>
      <c r="G2037" s="1" t="s">
        <v>11409</v>
      </c>
    </row>
    <row r="2038" spans="1:7" ht="21" x14ac:dyDescent="0.25">
      <c r="A2038" s="2" t="str">
        <f>HYPERLINK("https://rth.dk/resources/bsgatlas/details.php?id=BSGatlas-gene-2037","BSGatlas-gene-2037")</f>
        <v>BSGatlas-gene-2037</v>
      </c>
      <c r="B2038" s="1" t="s">
        <v>1921</v>
      </c>
      <c r="C2038" s="1" t="s">
        <v>8</v>
      </c>
      <c r="D2038" s="1">
        <v>1868969</v>
      </c>
      <c r="E2038" s="1">
        <v>1871071</v>
      </c>
      <c r="F2038" s="1" t="s">
        <v>9</v>
      </c>
      <c r="G2038" s="1" t="s">
        <v>11409</v>
      </c>
    </row>
    <row r="2039" spans="1:7" ht="21" x14ac:dyDescent="0.25">
      <c r="A2039" s="2" t="str">
        <f>HYPERLINK("https://rth.dk/resources/bsgatlas/details.php?id=BSGatlas-gene-2038","BSGatlas-gene-2038")</f>
        <v>BSGatlas-gene-2038</v>
      </c>
      <c r="B2039" s="1" t="s">
        <v>1922</v>
      </c>
      <c r="C2039" s="1" t="s">
        <v>8</v>
      </c>
      <c r="D2039" s="1">
        <v>1871089</v>
      </c>
      <c r="E2039" s="1">
        <v>1872078</v>
      </c>
      <c r="F2039" s="1" t="s">
        <v>9</v>
      </c>
      <c r="G2039" s="1" t="s">
        <v>11409</v>
      </c>
    </row>
    <row r="2040" spans="1:7" ht="21" x14ac:dyDescent="0.25">
      <c r="A2040" s="2" t="str">
        <f>HYPERLINK("https://rth.dk/resources/bsgatlas/details.php?id=BSGatlas-gene-2039","BSGatlas-gene-2039")</f>
        <v>BSGatlas-gene-2039</v>
      </c>
      <c r="B2040" s="1" t="s">
        <v>1923</v>
      </c>
      <c r="C2040" s="1" t="s">
        <v>8</v>
      </c>
      <c r="D2040" s="1">
        <v>1872128</v>
      </c>
      <c r="E2040" s="1">
        <v>1872748</v>
      </c>
      <c r="F2040" s="1" t="s">
        <v>9</v>
      </c>
      <c r="G2040" s="1" t="s">
        <v>11409</v>
      </c>
    </row>
    <row r="2041" spans="1:7" ht="21" x14ac:dyDescent="0.25">
      <c r="A2041" s="2" t="str">
        <f>HYPERLINK("https://rth.dk/resources/bsgatlas/details.php?id=BSGatlas-gene-2040","BSGatlas-gene-2040")</f>
        <v>BSGatlas-gene-2040</v>
      </c>
      <c r="B2041" s="1" t="s">
        <v>1925</v>
      </c>
      <c r="C2041" s="1" t="s">
        <v>12</v>
      </c>
      <c r="D2041" s="1">
        <v>1872786</v>
      </c>
      <c r="E2041" s="1">
        <v>1873153</v>
      </c>
      <c r="F2041" s="1" t="s">
        <v>9</v>
      </c>
      <c r="G2041" s="1" t="s">
        <v>11406</v>
      </c>
    </row>
    <row r="2042" spans="1:7" ht="21" x14ac:dyDescent="0.25">
      <c r="A2042" s="2" t="str">
        <f>HYPERLINK("https://rth.dk/resources/bsgatlas/details.php?id=BSGatlas-gene-2041","BSGatlas-gene-2041")</f>
        <v>BSGatlas-gene-2041</v>
      </c>
      <c r="B2042" s="1" t="s">
        <v>1924</v>
      </c>
      <c r="C2042" s="1" t="s">
        <v>8</v>
      </c>
      <c r="D2042" s="1">
        <v>1872812</v>
      </c>
      <c r="E2042" s="1">
        <v>1873579</v>
      </c>
      <c r="F2042" s="1" t="s">
        <v>13</v>
      </c>
      <c r="G2042" s="1" t="s">
        <v>11409</v>
      </c>
    </row>
    <row r="2043" spans="1:7" ht="21" x14ac:dyDescent="0.25">
      <c r="A2043" s="2" t="str">
        <f>HYPERLINK("https://rth.dk/resources/bsgatlas/details.php?id=BSGatlas-gene-2042","BSGatlas-gene-2042")</f>
        <v>BSGatlas-gene-2042</v>
      </c>
      <c r="B2043" s="1" t="s">
        <v>1926</v>
      </c>
      <c r="C2043" s="1" t="s">
        <v>8</v>
      </c>
      <c r="D2043" s="1">
        <v>1874203</v>
      </c>
      <c r="E2043" s="1">
        <v>1875171</v>
      </c>
      <c r="F2043" s="1" t="s">
        <v>9</v>
      </c>
      <c r="G2043" s="1" t="s">
        <v>11409</v>
      </c>
    </row>
    <row r="2044" spans="1:7" ht="21" x14ac:dyDescent="0.25">
      <c r="A2044" s="2" t="str">
        <f>HYPERLINK("https://rth.dk/resources/bsgatlas/details.php?id=BSGatlas-gene-2043","BSGatlas-gene-2043")</f>
        <v>BSGatlas-gene-2043</v>
      </c>
      <c r="B2044" s="1" t="s">
        <v>1927</v>
      </c>
      <c r="C2044" s="1" t="s">
        <v>8</v>
      </c>
      <c r="D2044" s="1">
        <v>1875304</v>
      </c>
      <c r="E2044" s="1">
        <v>1876566</v>
      </c>
      <c r="F2044" s="1" t="s">
        <v>9</v>
      </c>
      <c r="G2044" s="1" t="s">
        <v>11409</v>
      </c>
    </row>
    <row r="2045" spans="1:7" ht="21" x14ac:dyDescent="0.25">
      <c r="A2045" s="2" t="str">
        <f>HYPERLINK("https://rth.dk/resources/bsgatlas/details.php?id=BSGatlas-gene-2044","BSGatlas-gene-2044")</f>
        <v>BSGatlas-gene-2044</v>
      </c>
      <c r="B2045" s="1" t="s">
        <v>1928</v>
      </c>
      <c r="C2045" s="1" t="s">
        <v>8</v>
      </c>
      <c r="D2045" s="1">
        <v>1876584</v>
      </c>
      <c r="E2045" s="1">
        <v>1877849</v>
      </c>
      <c r="F2045" s="1" t="s">
        <v>9</v>
      </c>
      <c r="G2045" s="1" t="s">
        <v>11409</v>
      </c>
    </row>
    <row r="2046" spans="1:7" ht="21" x14ac:dyDescent="0.25">
      <c r="A2046" s="2" t="str">
        <f>HYPERLINK("https://rth.dk/resources/bsgatlas/details.php?id=BSGatlas-gene-2045","BSGatlas-gene-2045")</f>
        <v>BSGatlas-gene-2045</v>
      </c>
      <c r="B2046" s="1" t="s">
        <v>1929</v>
      </c>
      <c r="C2046" s="1" t="s">
        <v>8</v>
      </c>
      <c r="D2046" s="1">
        <v>1877959</v>
      </c>
      <c r="E2046" s="1">
        <v>1878366</v>
      </c>
      <c r="F2046" s="1" t="s">
        <v>9</v>
      </c>
      <c r="G2046" s="1" t="s">
        <v>11409</v>
      </c>
    </row>
    <row r="2047" spans="1:7" ht="21" x14ac:dyDescent="0.25">
      <c r="A2047" s="2" t="str">
        <f>HYPERLINK("https://rth.dk/resources/bsgatlas/details.php?id=BSGatlas-gene-2046","BSGatlas-gene-2046")</f>
        <v>BSGatlas-gene-2046</v>
      </c>
      <c r="B2047" s="1" t="s">
        <v>1930</v>
      </c>
      <c r="C2047" s="1" t="s">
        <v>8</v>
      </c>
      <c r="D2047" s="1">
        <v>1878425</v>
      </c>
      <c r="E2047" s="1">
        <v>1879759</v>
      </c>
      <c r="F2047" s="1" t="s">
        <v>9</v>
      </c>
      <c r="G2047" s="1" t="s">
        <v>11409</v>
      </c>
    </row>
    <row r="2048" spans="1:7" ht="21" x14ac:dyDescent="0.25">
      <c r="A2048" s="2" t="str">
        <f>HYPERLINK("https://rth.dk/resources/bsgatlas/details.php?id=BSGatlas-gene-2047","BSGatlas-gene-2047")</f>
        <v>BSGatlas-gene-2047</v>
      </c>
      <c r="B2048" s="1" t="s">
        <v>1931</v>
      </c>
      <c r="C2048" s="1" t="s">
        <v>8</v>
      </c>
      <c r="D2048" s="1">
        <v>1880087</v>
      </c>
      <c r="E2048" s="1">
        <v>1880377</v>
      </c>
      <c r="F2048" s="1" t="s">
        <v>9</v>
      </c>
      <c r="G2048" s="1" t="s">
        <v>11409</v>
      </c>
    </row>
    <row r="2049" spans="1:7" ht="21" x14ac:dyDescent="0.25">
      <c r="A2049" s="2" t="str">
        <f>HYPERLINK("https://rth.dk/resources/bsgatlas/details.php?id=BSGatlas-gene-2048","BSGatlas-gene-2048")</f>
        <v>BSGatlas-gene-2048</v>
      </c>
      <c r="B2049" s="1" t="s">
        <v>1932</v>
      </c>
      <c r="C2049" s="1" t="s">
        <v>8</v>
      </c>
      <c r="D2049" s="1">
        <v>1880623</v>
      </c>
      <c r="E2049" s="1">
        <v>1880967</v>
      </c>
      <c r="F2049" s="1" t="s">
        <v>9</v>
      </c>
      <c r="G2049" s="1" t="s">
        <v>11409</v>
      </c>
    </row>
    <row r="2050" spans="1:7" ht="21" x14ac:dyDescent="0.25">
      <c r="A2050" s="2" t="str">
        <f>HYPERLINK("https://rth.dk/resources/bsgatlas/details.php?id=BSGatlas-gene-2049","BSGatlas-gene-2049")</f>
        <v>BSGatlas-gene-2049</v>
      </c>
      <c r="B2050" s="1" t="s">
        <v>11528</v>
      </c>
      <c r="C2050" s="1" t="s">
        <v>8</v>
      </c>
      <c r="D2050" s="1">
        <v>1881098</v>
      </c>
      <c r="E2050" s="1">
        <v>1881349</v>
      </c>
      <c r="F2050" s="1" t="s">
        <v>9</v>
      </c>
      <c r="G2050" s="1" t="s">
        <v>11409</v>
      </c>
    </row>
    <row r="2051" spans="1:7" ht="21" x14ac:dyDescent="0.25">
      <c r="A2051" s="2" t="str">
        <f>HYPERLINK("https://rth.dk/resources/bsgatlas/details.php?id=BSGatlas-gene-2050","BSGatlas-gene-2050")</f>
        <v>BSGatlas-gene-2050</v>
      </c>
      <c r="B2051" s="1" t="s">
        <v>1933</v>
      </c>
      <c r="C2051" s="1" t="s">
        <v>8</v>
      </c>
      <c r="D2051" s="1">
        <v>1881536</v>
      </c>
      <c r="E2051" s="1">
        <v>1881970</v>
      </c>
      <c r="F2051" s="1" t="s">
        <v>9</v>
      </c>
      <c r="G2051" s="1" t="s">
        <v>11409</v>
      </c>
    </row>
    <row r="2052" spans="1:7" ht="21" x14ac:dyDescent="0.25">
      <c r="A2052" s="2" t="str">
        <f>HYPERLINK("https://rth.dk/resources/bsgatlas/details.php?id=BSGatlas-gene-2051","BSGatlas-gene-2051")</f>
        <v>BSGatlas-gene-2051</v>
      </c>
      <c r="B2052" s="1" t="s">
        <v>1934</v>
      </c>
      <c r="C2052" s="1" t="s">
        <v>8</v>
      </c>
      <c r="D2052" s="1">
        <v>1882040</v>
      </c>
      <c r="E2052" s="1">
        <v>1882831</v>
      </c>
      <c r="F2052" s="1" t="s">
        <v>9</v>
      </c>
      <c r="G2052" s="1" t="s">
        <v>11409</v>
      </c>
    </row>
    <row r="2053" spans="1:7" ht="21" x14ac:dyDescent="0.25">
      <c r="A2053" s="2" t="str">
        <f>HYPERLINK("https://rth.dk/resources/bsgatlas/details.php?id=BSGatlas-gene-2052","BSGatlas-gene-2052")</f>
        <v>BSGatlas-gene-2052</v>
      </c>
      <c r="B2053" s="1" t="s">
        <v>1935</v>
      </c>
      <c r="C2053" s="1" t="s">
        <v>8</v>
      </c>
      <c r="D2053" s="1">
        <v>1883166</v>
      </c>
      <c r="E2053" s="1">
        <v>1883678</v>
      </c>
      <c r="F2053" s="1" t="s">
        <v>9</v>
      </c>
      <c r="G2053" s="1" t="s">
        <v>11409</v>
      </c>
    </row>
    <row r="2054" spans="1:7" ht="21" x14ac:dyDescent="0.25">
      <c r="A2054" s="2" t="str">
        <f>HYPERLINK("https://rth.dk/resources/bsgatlas/details.php?id=BSGatlas-gene-2053","BSGatlas-gene-2053")</f>
        <v>BSGatlas-gene-2053</v>
      </c>
      <c r="B2054" s="1" t="s">
        <v>1936</v>
      </c>
      <c r="C2054" s="1" t="s">
        <v>8</v>
      </c>
      <c r="D2054" s="1">
        <v>1884238</v>
      </c>
      <c r="E2054" s="1">
        <v>1884879</v>
      </c>
      <c r="F2054" s="1" t="s">
        <v>9</v>
      </c>
      <c r="G2054" s="1" t="s">
        <v>11409</v>
      </c>
    </row>
    <row r="2055" spans="1:7" ht="21" x14ac:dyDescent="0.25">
      <c r="A2055" s="2" t="str">
        <f>HYPERLINK("https://rth.dk/resources/bsgatlas/details.php?id=BSGatlas-gene-2054","BSGatlas-gene-2054")</f>
        <v>BSGatlas-gene-2054</v>
      </c>
      <c r="B2055" s="1" t="s">
        <v>11529</v>
      </c>
      <c r="C2055" s="1" t="s">
        <v>8</v>
      </c>
      <c r="D2055" s="1">
        <v>1884968</v>
      </c>
      <c r="E2055" s="1">
        <v>1885321</v>
      </c>
      <c r="F2055" s="1" t="s">
        <v>9</v>
      </c>
      <c r="G2055" s="1" t="s">
        <v>11409</v>
      </c>
    </row>
    <row r="2056" spans="1:7" ht="21" x14ac:dyDescent="0.25">
      <c r="A2056" s="2" t="str">
        <f>HYPERLINK("https://rth.dk/resources/bsgatlas/details.php?id=BSGatlas-gene-2055","BSGatlas-gene-2055")</f>
        <v>BSGatlas-gene-2055</v>
      </c>
      <c r="B2056" s="1" t="s">
        <v>11530</v>
      </c>
      <c r="C2056" s="1" t="s">
        <v>8</v>
      </c>
      <c r="D2056" s="1">
        <v>1885365</v>
      </c>
      <c r="E2056" s="1">
        <v>1885640</v>
      </c>
      <c r="F2056" s="1" t="s">
        <v>9</v>
      </c>
      <c r="G2056" s="1" t="s">
        <v>11409</v>
      </c>
    </row>
    <row r="2057" spans="1:7" ht="21" x14ac:dyDescent="0.25">
      <c r="A2057" s="2" t="str">
        <f>HYPERLINK("https://rth.dk/resources/bsgatlas/details.php?id=BSGatlas-gene-2056","BSGatlas-gene-2056")</f>
        <v>BSGatlas-gene-2056</v>
      </c>
      <c r="B2057" s="1" t="s">
        <v>11531</v>
      </c>
      <c r="C2057" s="1" t="s">
        <v>8</v>
      </c>
      <c r="D2057" s="1">
        <v>1885753</v>
      </c>
      <c r="E2057" s="1">
        <v>1885917</v>
      </c>
      <c r="F2057" s="1" t="s">
        <v>9</v>
      </c>
      <c r="G2057" s="1" t="s">
        <v>11409</v>
      </c>
    </row>
    <row r="2058" spans="1:7" ht="21" x14ac:dyDescent="0.25">
      <c r="A2058" s="2" t="str">
        <f>HYPERLINK("https://rth.dk/resources/bsgatlas/details.php?id=BSGatlas-gene-2057","BSGatlas-gene-2057")</f>
        <v>BSGatlas-gene-2057</v>
      </c>
      <c r="B2058" s="1" t="s">
        <v>11532</v>
      </c>
      <c r="C2058" s="1" t="s">
        <v>8</v>
      </c>
      <c r="D2058" s="1">
        <v>1886057</v>
      </c>
      <c r="E2058" s="1">
        <v>1886527</v>
      </c>
      <c r="F2058" s="1" t="s">
        <v>9</v>
      </c>
      <c r="G2058" s="1" t="s">
        <v>11409</v>
      </c>
    </row>
    <row r="2059" spans="1:7" ht="21" x14ac:dyDescent="0.25">
      <c r="A2059" s="2" t="str">
        <f>HYPERLINK("https://rth.dk/resources/bsgatlas/details.php?id=BSGatlas-gene-2058","BSGatlas-gene-2058")</f>
        <v>BSGatlas-gene-2058</v>
      </c>
      <c r="B2059" s="1" t="s">
        <v>1937</v>
      </c>
      <c r="C2059" s="1" t="s">
        <v>8</v>
      </c>
      <c r="D2059" s="1">
        <v>1887352</v>
      </c>
      <c r="E2059" s="1">
        <v>1888743</v>
      </c>
      <c r="F2059" s="1" t="s">
        <v>9</v>
      </c>
      <c r="G2059" s="1" t="s">
        <v>11409</v>
      </c>
    </row>
    <row r="2060" spans="1:7" ht="21" x14ac:dyDescent="0.25">
      <c r="A2060" s="2" t="str">
        <f>HYPERLINK("https://rth.dk/resources/bsgatlas/details.php?id=BSGatlas-gene-2059","BSGatlas-gene-2059")</f>
        <v>BSGatlas-gene-2059</v>
      </c>
      <c r="B2060" s="1" t="s">
        <v>1938</v>
      </c>
      <c r="C2060" s="1" t="s">
        <v>8</v>
      </c>
      <c r="D2060" s="1">
        <v>1888774</v>
      </c>
      <c r="E2060" s="1">
        <v>1890375</v>
      </c>
      <c r="F2060" s="1" t="s">
        <v>9</v>
      </c>
      <c r="G2060" s="1" t="s">
        <v>11409</v>
      </c>
    </row>
    <row r="2061" spans="1:7" ht="21" x14ac:dyDescent="0.25">
      <c r="A2061" s="2" t="str">
        <f>HYPERLINK("https://rth.dk/resources/bsgatlas/details.php?id=BSGatlas-gene-2060","BSGatlas-gene-2060")</f>
        <v>BSGatlas-gene-2060</v>
      </c>
      <c r="B2061" s="1" t="s">
        <v>1939</v>
      </c>
      <c r="C2061" s="1" t="s">
        <v>12</v>
      </c>
      <c r="D2061" s="1">
        <v>1888890</v>
      </c>
      <c r="E2061" s="1">
        <v>1889195</v>
      </c>
      <c r="F2061" s="1" t="s">
        <v>13</v>
      </c>
      <c r="G2061" s="1" t="s">
        <v>11406</v>
      </c>
    </row>
    <row r="2062" spans="1:7" ht="21" x14ac:dyDescent="0.25">
      <c r="A2062" s="2" t="str">
        <f>HYPERLINK("https://rth.dk/resources/bsgatlas/details.php?id=BSGatlas-gene-2061","BSGatlas-gene-2061")</f>
        <v>BSGatlas-gene-2061</v>
      </c>
      <c r="B2062" s="1" t="s">
        <v>1940</v>
      </c>
      <c r="C2062" s="1" t="s">
        <v>8</v>
      </c>
      <c r="D2062" s="1">
        <v>1890512</v>
      </c>
      <c r="E2062" s="1">
        <v>1891666</v>
      </c>
      <c r="F2062" s="1" t="s">
        <v>13</v>
      </c>
      <c r="G2062" s="1" t="s">
        <v>11409</v>
      </c>
    </row>
    <row r="2063" spans="1:7" ht="21" x14ac:dyDescent="0.25">
      <c r="A2063" s="2" t="str">
        <f>HYPERLINK("https://rth.dk/resources/bsgatlas/details.php?id=BSGatlas-gene-2062","BSGatlas-gene-2062")</f>
        <v>BSGatlas-gene-2062</v>
      </c>
      <c r="B2063" s="1" t="s">
        <v>1941</v>
      </c>
      <c r="C2063" s="1" t="s">
        <v>8</v>
      </c>
      <c r="D2063" s="1">
        <v>1891908</v>
      </c>
      <c r="E2063" s="1">
        <v>1893245</v>
      </c>
      <c r="F2063" s="1" t="s">
        <v>9</v>
      </c>
      <c r="G2063" s="1" t="s">
        <v>11409</v>
      </c>
    </row>
    <row r="2064" spans="1:7" ht="21" x14ac:dyDescent="0.25">
      <c r="A2064" s="2" t="str">
        <f>HYPERLINK("https://rth.dk/resources/bsgatlas/details.php?id=BSGatlas-gene-2063","BSGatlas-gene-2063")</f>
        <v>BSGatlas-gene-2063</v>
      </c>
      <c r="B2064" s="1" t="s">
        <v>1942</v>
      </c>
      <c r="C2064" s="1" t="s">
        <v>8</v>
      </c>
      <c r="D2064" s="1">
        <v>1893396</v>
      </c>
      <c r="E2064" s="1">
        <v>1894895</v>
      </c>
      <c r="F2064" s="1" t="s">
        <v>9</v>
      </c>
      <c r="G2064" s="1" t="s">
        <v>11409</v>
      </c>
    </row>
    <row r="2065" spans="1:7" ht="21" x14ac:dyDescent="0.25">
      <c r="A2065" s="2" t="str">
        <f>HYPERLINK("https://rth.dk/resources/bsgatlas/details.php?id=BSGatlas-gene-2064","BSGatlas-gene-2064")</f>
        <v>BSGatlas-gene-2064</v>
      </c>
      <c r="B2065" s="1" t="s">
        <v>1943</v>
      </c>
      <c r="C2065" s="1" t="s">
        <v>8</v>
      </c>
      <c r="D2065" s="1">
        <v>1895378</v>
      </c>
      <c r="E2065" s="1">
        <v>1896013</v>
      </c>
      <c r="F2065" s="1" t="s">
        <v>13</v>
      </c>
      <c r="G2065" s="1" t="s">
        <v>11409</v>
      </c>
    </row>
    <row r="2066" spans="1:7" ht="21" x14ac:dyDescent="0.25">
      <c r="A2066" s="2" t="str">
        <f>HYPERLINK("https://rth.dk/resources/bsgatlas/details.php?id=BSGatlas-gene-2065","BSGatlas-gene-2065")</f>
        <v>BSGatlas-gene-2065</v>
      </c>
      <c r="B2066" s="1" t="s">
        <v>1944</v>
      </c>
      <c r="C2066" s="1" t="s">
        <v>8</v>
      </c>
      <c r="D2066" s="1">
        <v>1896424</v>
      </c>
      <c r="E2066" s="1">
        <v>1897839</v>
      </c>
      <c r="F2066" s="1" t="s">
        <v>9</v>
      </c>
      <c r="G2066" s="1" t="s">
        <v>11409</v>
      </c>
    </row>
    <row r="2067" spans="1:7" ht="21" x14ac:dyDescent="0.25">
      <c r="A2067" s="2" t="str">
        <f>HYPERLINK("https://rth.dk/resources/bsgatlas/details.php?id=BSGatlas-gene-2066","BSGatlas-gene-2066")</f>
        <v>BSGatlas-gene-2066</v>
      </c>
      <c r="B2067" s="1" t="s">
        <v>1945</v>
      </c>
      <c r="C2067" s="1" t="s">
        <v>8</v>
      </c>
      <c r="D2067" s="1">
        <v>1897941</v>
      </c>
      <c r="E2067" s="1">
        <v>1899125</v>
      </c>
      <c r="F2067" s="1" t="s">
        <v>13</v>
      </c>
      <c r="G2067" s="1" t="s">
        <v>11409</v>
      </c>
    </row>
    <row r="2068" spans="1:7" ht="21" x14ac:dyDescent="0.25">
      <c r="A2068" s="2" t="str">
        <f>HYPERLINK("https://rth.dk/resources/bsgatlas/details.php?id=BSGatlas-gene-2067","BSGatlas-gene-2067")</f>
        <v>BSGatlas-gene-2067</v>
      </c>
      <c r="B2068" s="1" t="s">
        <v>1946</v>
      </c>
      <c r="C2068" s="1" t="s">
        <v>8</v>
      </c>
      <c r="D2068" s="1">
        <v>1899589</v>
      </c>
      <c r="E2068" s="1">
        <v>1900050</v>
      </c>
      <c r="F2068" s="1" t="s">
        <v>9</v>
      </c>
      <c r="G2068" s="1" t="s">
        <v>11409</v>
      </c>
    </row>
    <row r="2069" spans="1:7" ht="21" x14ac:dyDescent="0.25">
      <c r="A2069" s="2" t="str">
        <f>HYPERLINK("https://rth.dk/resources/bsgatlas/details.php?id=BSGatlas-gene-2068","BSGatlas-gene-2068")</f>
        <v>BSGatlas-gene-2068</v>
      </c>
      <c r="B2069" s="1" t="s">
        <v>1947</v>
      </c>
      <c r="C2069" s="1" t="s">
        <v>8</v>
      </c>
      <c r="D2069" s="1">
        <v>1900080</v>
      </c>
      <c r="E2069" s="1">
        <v>1900514</v>
      </c>
      <c r="F2069" s="1" t="s">
        <v>9</v>
      </c>
      <c r="G2069" s="1" t="s">
        <v>11409</v>
      </c>
    </row>
    <row r="2070" spans="1:7" ht="21" x14ac:dyDescent="0.25">
      <c r="A2070" s="2" t="str">
        <f>HYPERLINK("https://rth.dk/resources/bsgatlas/details.php?id=BSGatlas-gene-2069","BSGatlas-gene-2069")</f>
        <v>BSGatlas-gene-2069</v>
      </c>
      <c r="B2070" s="1" t="s">
        <v>11533</v>
      </c>
      <c r="C2070" s="1" t="s">
        <v>12</v>
      </c>
      <c r="D2070" s="1">
        <v>1900528</v>
      </c>
      <c r="E2070" s="1">
        <v>1900579</v>
      </c>
      <c r="F2070" s="1" t="s">
        <v>9</v>
      </c>
      <c r="G2070" s="1" t="s">
        <v>11442</v>
      </c>
    </row>
    <row r="2071" spans="1:7" ht="21" x14ac:dyDescent="0.25">
      <c r="A2071" s="2" t="str">
        <f>HYPERLINK("https://rth.dk/resources/bsgatlas/details.php?id=BSGatlas-gene-2070","BSGatlas-gene-2070")</f>
        <v>BSGatlas-gene-2070</v>
      </c>
      <c r="B2071" s="1" t="s">
        <v>1948</v>
      </c>
      <c r="C2071" s="1" t="s">
        <v>12</v>
      </c>
      <c r="D2071" s="1">
        <v>1900570</v>
      </c>
      <c r="E2071" s="1">
        <v>1900855</v>
      </c>
      <c r="F2071" s="1" t="s">
        <v>13</v>
      </c>
      <c r="G2071" s="1" t="s">
        <v>11406</v>
      </c>
    </row>
    <row r="2072" spans="1:7" ht="21" x14ac:dyDescent="0.25">
      <c r="A2072" s="2" t="str">
        <f>HYPERLINK("https://rth.dk/resources/bsgatlas/details.php?id=BSGatlas-gene-2071","BSGatlas-gene-2071")</f>
        <v>BSGatlas-gene-2071</v>
      </c>
      <c r="B2072" s="1" t="s">
        <v>1949</v>
      </c>
      <c r="C2072" s="1" t="s">
        <v>8</v>
      </c>
      <c r="D2072" s="1">
        <v>1901117</v>
      </c>
      <c r="E2072" s="1">
        <v>1901377</v>
      </c>
      <c r="F2072" s="1" t="s">
        <v>13</v>
      </c>
      <c r="G2072" s="1" t="s">
        <v>11409</v>
      </c>
    </row>
    <row r="2073" spans="1:7" ht="21" x14ac:dyDescent="0.25">
      <c r="A2073" s="2" t="str">
        <f>HYPERLINK("https://rth.dk/resources/bsgatlas/details.php?id=BSGatlas-gene-2072","BSGatlas-gene-2072")</f>
        <v>BSGatlas-gene-2072</v>
      </c>
      <c r="B2073" s="1" t="s">
        <v>11534</v>
      </c>
      <c r="C2073" s="1" t="s">
        <v>276</v>
      </c>
      <c r="D2073" s="1">
        <v>1901612</v>
      </c>
      <c r="E2073" s="1">
        <v>1901737</v>
      </c>
      <c r="F2073" s="1" t="s">
        <v>9</v>
      </c>
      <c r="G2073" s="1" t="s">
        <v>11441</v>
      </c>
    </row>
    <row r="2074" spans="1:7" ht="21" x14ac:dyDescent="0.25">
      <c r="A2074" s="2" t="str">
        <f>HYPERLINK("https://rth.dk/resources/bsgatlas/details.php?id=BSGatlas-gene-2073","BSGatlas-gene-2073")</f>
        <v>BSGatlas-gene-2073</v>
      </c>
      <c r="B2074" s="1" t="s">
        <v>318</v>
      </c>
      <c r="C2074" s="1" t="s">
        <v>8</v>
      </c>
      <c r="D2074" s="1">
        <v>1901781</v>
      </c>
      <c r="E2074" s="1">
        <v>1901945</v>
      </c>
      <c r="F2074" s="1" t="s">
        <v>9</v>
      </c>
      <c r="G2074" s="1" t="s">
        <v>11441</v>
      </c>
    </row>
    <row r="2075" spans="1:7" ht="21" x14ac:dyDescent="0.25">
      <c r="A2075" s="2" t="str">
        <f>HYPERLINK("https://rth.dk/resources/bsgatlas/details.php?id=BSGatlas-gene-2074","BSGatlas-gene-2074")</f>
        <v>BSGatlas-gene-2074</v>
      </c>
      <c r="B2075" s="1" t="s">
        <v>11535</v>
      </c>
      <c r="C2075" s="1" t="s">
        <v>12</v>
      </c>
      <c r="D2075" s="1">
        <v>1901991</v>
      </c>
      <c r="E2075" s="1">
        <v>1902096</v>
      </c>
      <c r="F2075" s="1" t="s">
        <v>9</v>
      </c>
      <c r="G2075" s="1" t="s">
        <v>11442</v>
      </c>
    </row>
    <row r="2076" spans="1:7" ht="21" x14ac:dyDescent="0.25">
      <c r="A2076" s="2" t="str">
        <f>HYPERLINK("https://rth.dk/resources/bsgatlas/details.php?id=BSGatlas-gene-2075","BSGatlas-gene-2075")</f>
        <v>BSGatlas-gene-2075</v>
      </c>
      <c r="B2076" s="1" t="s">
        <v>1950</v>
      </c>
      <c r="C2076" s="1" t="s">
        <v>8</v>
      </c>
      <c r="D2076" s="1">
        <v>1902219</v>
      </c>
      <c r="E2076" s="1">
        <v>1903058</v>
      </c>
      <c r="F2076" s="1" t="s">
        <v>9</v>
      </c>
      <c r="G2076" s="1" t="s">
        <v>11409</v>
      </c>
    </row>
    <row r="2077" spans="1:7" ht="21" x14ac:dyDescent="0.25">
      <c r="A2077" s="2" t="str">
        <f>HYPERLINK("https://rth.dk/resources/bsgatlas/details.php?id=BSGatlas-gene-2076","BSGatlas-gene-2076")</f>
        <v>BSGatlas-gene-2076</v>
      </c>
      <c r="B2077" s="1" t="s">
        <v>318</v>
      </c>
      <c r="C2077" s="1" t="s">
        <v>8</v>
      </c>
      <c r="D2077" s="1">
        <v>1903181</v>
      </c>
      <c r="E2077" s="1">
        <v>1903468</v>
      </c>
      <c r="F2077" s="1" t="s">
        <v>13</v>
      </c>
      <c r="G2077" s="1" t="s">
        <v>11441</v>
      </c>
    </row>
    <row r="2078" spans="1:7" ht="21" x14ac:dyDescent="0.25">
      <c r="A2078" s="2" t="str">
        <f>HYPERLINK("https://rth.dk/resources/bsgatlas/details.php?id=BSGatlas-gene-2077","BSGatlas-gene-2077")</f>
        <v>BSGatlas-gene-2077</v>
      </c>
      <c r="B2078" s="1" t="s">
        <v>1951</v>
      </c>
      <c r="C2078" s="1" t="s">
        <v>12</v>
      </c>
      <c r="D2078" s="1">
        <v>1903330</v>
      </c>
      <c r="E2078" s="1">
        <v>1903490</v>
      </c>
      <c r="F2078" s="1" t="s">
        <v>9</v>
      </c>
      <c r="G2078" s="1" t="s">
        <v>11406</v>
      </c>
    </row>
    <row r="2079" spans="1:7" ht="21" x14ac:dyDescent="0.25">
      <c r="A2079" s="2" t="str">
        <f>HYPERLINK("https://rth.dk/resources/bsgatlas/details.php?id=BSGatlas-gene-2078","BSGatlas-gene-2078")</f>
        <v>BSGatlas-gene-2078</v>
      </c>
      <c r="B2079" s="1" t="s">
        <v>1952</v>
      </c>
      <c r="C2079" s="1" t="s">
        <v>8</v>
      </c>
      <c r="D2079" s="1">
        <v>1903511</v>
      </c>
      <c r="E2079" s="1">
        <v>1904233</v>
      </c>
      <c r="F2079" s="1" t="s">
        <v>13</v>
      </c>
      <c r="G2079" s="1" t="s">
        <v>11409</v>
      </c>
    </row>
    <row r="2080" spans="1:7" ht="21" x14ac:dyDescent="0.25">
      <c r="A2080" s="2" t="str">
        <f>HYPERLINK("https://rth.dk/resources/bsgatlas/details.php?id=BSGatlas-gene-2079","BSGatlas-gene-2079")</f>
        <v>BSGatlas-gene-2079</v>
      </c>
      <c r="B2080" s="1" t="s">
        <v>1953</v>
      </c>
      <c r="C2080" s="1" t="s">
        <v>8</v>
      </c>
      <c r="D2080" s="1">
        <v>1904393</v>
      </c>
      <c r="E2080" s="1">
        <v>1904749</v>
      </c>
      <c r="F2080" s="1" t="s">
        <v>13</v>
      </c>
      <c r="G2080" s="1" t="s">
        <v>11409</v>
      </c>
    </row>
    <row r="2081" spans="1:7" ht="21" x14ac:dyDescent="0.25">
      <c r="A2081" s="2" t="str">
        <f>HYPERLINK("https://rth.dk/resources/bsgatlas/details.php?id=BSGatlas-gene-2080","BSGatlas-gene-2080")</f>
        <v>BSGatlas-gene-2080</v>
      </c>
      <c r="B2081" s="1" t="s">
        <v>1954</v>
      </c>
      <c r="C2081" s="1" t="s">
        <v>8</v>
      </c>
      <c r="D2081" s="1">
        <v>1904995</v>
      </c>
      <c r="E2081" s="1">
        <v>1905195</v>
      </c>
      <c r="F2081" s="1" t="s">
        <v>13</v>
      </c>
      <c r="G2081" s="1" t="s">
        <v>11409</v>
      </c>
    </row>
    <row r="2082" spans="1:7" ht="21" x14ac:dyDescent="0.25">
      <c r="A2082" s="2" t="str">
        <f>HYPERLINK("https://rth.dk/resources/bsgatlas/details.php?id=BSGatlas-gene-2081","BSGatlas-gene-2081")</f>
        <v>BSGatlas-gene-2081</v>
      </c>
      <c r="B2082" s="1" t="s">
        <v>1955</v>
      </c>
      <c r="C2082" s="1" t="s">
        <v>8</v>
      </c>
      <c r="D2082" s="1">
        <v>1905370</v>
      </c>
      <c r="E2082" s="1">
        <v>1905558</v>
      </c>
      <c r="F2082" s="1" t="s">
        <v>13</v>
      </c>
      <c r="G2082" s="1" t="s">
        <v>11409</v>
      </c>
    </row>
    <row r="2083" spans="1:7" ht="21" x14ac:dyDescent="0.25">
      <c r="A2083" s="2" t="str">
        <f>HYPERLINK("https://rth.dk/resources/bsgatlas/details.php?id=BSGatlas-gene-2082","BSGatlas-gene-2082")</f>
        <v>BSGatlas-gene-2082</v>
      </c>
      <c r="B2083" s="1" t="s">
        <v>318</v>
      </c>
      <c r="C2083" s="1" t="s">
        <v>8</v>
      </c>
      <c r="D2083" s="1">
        <v>1905637</v>
      </c>
      <c r="E2083" s="1">
        <v>1905774</v>
      </c>
      <c r="F2083" s="1" t="s">
        <v>9</v>
      </c>
      <c r="G2083" s="1" t="s">
        <v>11441</v>
      </c>
    </row>
    <row r="2084" spans="1:7" ht="21" x14ac:dyDescent="0.25">
      <c r="A2084" s="2" t="str">
        <f>HYPERLINK("https://rth.dk/resources/bsgatlas/details.php?id=BSGatlas-gene-2083","BSGatlas-gene-2083")</f>
        <v>BSGatlas-gene-2083</v>
      </c>
      <c r="B2084" s="1" t="s">
        <v>1956</v>
      </c>
      <c r="C2084" s="1" t="s">
        <v>8</v>
      </c>
      <c r="D2084" s="1">
        <v>1905809</v>
      </c>
      <c r="E2084" s="1">
        <v>1906207</v>
      </c>
      <c r="F2084" s="1" t="s">
        <v>9</v>
      </c>
      <c r="G2084" s="1" t="s">
        <v>11409</v>
      </c>
    </row>
    <row r="2085" spans="1:7" ht="21" x14ac:dyDescent="0.25">
      <c r="A2085" s="2" t="str">
        <f>HYPERLINK("https://rth.dk/resources/bsgatlas/details.php?id=BSGatlas-gene-2084","BSGatlas-gene-2084")</f>
        <v>BSGatlas-gene-2084</v>
      </c>
      <c r="B2085" s="1" t="s">
        <v>1958</v>
      </c>
      <c r="C2085" s="1" t="s">
        <v>8</v>
      </c>
      <c r="D2085" s="1">
        <v>1906272</v>
      </c>
      <c r="E2085" s="1">
        <v>1906706</v>
      </c>
      <c r="F2085" s="1" t="s">
        <v>13</v>
      </c>
      <c r="G2085" s="1" t="s">
        <v>11409</v>
      </c>
    </row>
    <row r="2086" spans="1:7" ht="21" x14ac:dyDescent="0.25">
      <c r="A2086" s="2" t="str">
        <f>HYPERLINK("https://rth.dk/resources/bsgatlas/details.php?id=BSGatlas-gene-2085","BSGatlas-gene-2085")</f>
        <v>BSGatlas-gene-2085</v>
      </c>
      <c r="B2086" s="1" t="s">
        <v>1957</v>
      </c>
      <c r="C2086" s="1" t="s">
        <v>8</v>
      </c>
      <c r="D2086" s="1">
        <v>1907013</v>
      </c>
      <c r="E2086" s="1">
        <v>1907201</v>
      </c>
      <c r="F2086" s="1" t="s">
        <v>9</v>
      </c>
      <c r="G2086" s="1" t="s">
        <v>11409</v>
      </c>
    </row>
    <row r="2087" spans="1:7" ht="21" x14ac:dyDescent="0.25">
      <c r="A2087" s="2" t="str">
        <f>HYPERLINK("https://rth.dk/resources/bsgatlas/details.php?id=BSGatlas-gene-2086","BSGatlas-gene-2086")</f>
        <v>BSGatlas-gene-2086</v>
      </c>
      <c r="B2087" s="1" t="s">
        <v>1959</v>
      </c>
      <c r="C2087" s="1" t="s">
        <v>8</v>
      </c>
      <c r="D2087" s="1">
        <v>1907494</v>
      </c>
      <c r="E2087" s="1">
        <v>1909056</v>
      </c>
      <c r="F2087" s="1" t="s">
        <v>9</v>
      </c>
      <c r="G2087" s="1" t="s">
        <v>11409</v>
      </c>
    </row>
    <row r="2088" spans="1:7" ht="21" x14ac:dyDescent="0.25">
      <c r="A2088" s="2" t="str">
        <f>HYPERLINK("https://rth.dk/resources/bsgatlas/details.php?id=BSGatlas-gene-2087","BSGatlas-gene-2087")</f>
        <v>BSGatlas-gene-2087</v>
      </c>
      <c r="B2088" s="1" t="s">
        <v>1960</v>
      </c>
      <c r="C2088" s="1" t="s">
        <v>8</v>
      </c>
      <c r="D2088" s="1">
        <v>1909086</v>
      </c>
      <c r="E2088" s="1">
        <v>1910177</v>
      </c>
      <c r="F2088" s="1" t="s">
        <v>9</v>
      </c>
      <c r="G2088" s="1" t="s">
        <v>11409</v>
      </c>
    </row>
    <row r="2089" spans="1:7" ht="21" x14ac:dyDescent="0.25">
      <c r="A2089" s="2" t="str">
        <f>HYPERLINK("https://rth.dk/resources/bsgatlas/details.php?id=BSGatlas-gene-2088","BSGatlas-gene-2088")</f>
        <v>BSGatlas-gene-2088</v>
      </c>
      <c r="B2089" s="1" t="s">
        <v>1961</v>
      </c>
      <c r="C2089" s="1" t="s">
        <v>8</v>
      </c>
      <c r="D2089" s="1">
        <v>1910167</v>
      </c>
      <c r="E2089" s="1">
        <v>1911381</v>
      </c>
      <c r="F2089" s="1" t="s">
        <v>9</v>
      </c>
      <c r="G2089" s="1" t="s">
        <v>11409</v>
      </c>
    </row>
    <row r="2090" spans="1:7" ht="21" x14ac:dyDescent="0.25">
      <c r="A2090" s="2" t="str">
        <f>HYPERLINK("https://rth.dk/resources/bsgatlas/details.php?id=BSGatlas-gene-2089","BSGatlas-gene-2089")</f>
        <v>BSGatlas-gene-2089</v>
      </c>
      <c r="B2090" s="1" t="s">
        <v>1962</v>
      </c>
      <c r="C2090" s="1" t="s">
        <v>8</v>
      </c>
      <c r="D2090" s="1">
        <v>1911528</v>
      </c>
      <c r="E2090" s="1">
        <v>1912334</v>
      </c>
      <c r="F2090" s="1" t="s">
        <v>9</v>
      </c>
      <c r="G2090" s="1" t="s">
        <v>11409</v>
      </c>
    </row>
    <row r="2091" spans="1:7" ht="21" x14ac:dyDescent="0.25">
      <c r="A2091" s="2" t="str">
        <f>HYPERLINK("https://rth.dk/resources/bsgatlas/details.php?id=BSGatlas-gene-2090","BSGatlas-gene-2090")</f>
        <v>BSGatlas-gene-2090</v>
      </c>
      <c r="B2091" s="1" t="s">
        <v>1966</v>
      </c>
      <c r="C2091" s="1" t="s">
        <v>12</v>
      </c>
      <c r="D2091" s="1">
        <v>1912142</v>
      </c>
      <c r="E2091" s="1">
        <v>1913240</v>
      </c>
      <c r="F2091" s="1" t="s">
        <v>13</v>
      </c>
      <c r="G2091" s="1" t="s">
        <v>11406</v>
      </c>
    </row>
    <row r="2092" spans="1:7" ht="21" x14ac:dyDescent="0.25">
      <c r="A2092" s="2" t="str">
        <f>HYPERLINK("https://rth.dk/resources/bsgatlas/details.php?id=BSGatlas-gene-2091","BSGatlas-gene-2091")</f>
        <v>BSGatlas-gene-2091</v>
      </c>
      <c r="B2092" s="1" t="s">
        <v>1963</v>
      </c>
      <c r="C2092" s="1" t="s">
        <v>8</v>
      </c>
      <c r="D2092" s="1">
        <v>1912339</v>
      </c>
      <c r="E2092" s="1">
        <v>1912956</v>
      </c>
      <c r="F2092" s="1" t="s">
        <v>9</v>
      </c>
      <c r="G2092" s="1" t="s">
        <v>11409</v>
      </c>
    </row>
    <row r="2093" spans="1:7" ht="21" x14ac:dyDescent="0.25">
      <c r="A2093" s="2" t="str">
        <f>HYPERLINK("https://rth.dk/resources/bsgatlas/details.php?id=BSGatlas-gene-2092","BSGatlas-gene-2092")</f>
        <v>BSGatlas-gene-2092</v>
      </c>
      <c r="B2093" s="1" t="s">
        <v>1964</v>
      </c>
      <c r="C2093" s="1" t="s">
        <v>8</v>
      </c>
      <c r="D2093" s="1">
        <v>1912953</v>
      </c>
      <c r="E2093" s="1">
        <v>1914593</v>
      </c>
      <c r="F2093" s="1" t="s">
        <v>9</v>
      </c>
      <c r="G2093" s="1" t="s">
        <v>11409</v>
      </c>
    </row>
    <row r="2094" spans="1:7" ht="21" x14ac:dyDescent="0.25">
      <c r="A2094" s="2" t="str">
        <f>HYPERLINK("https://rth.dk/resources/bsgatlas/details.php?id=BSGatlas-gene-2093","BSGatlas-gene-2093")</f>
        <v>BSGatlas-gene-2093</v>
      </c>
      <c r="B2094" s="1" t="s">
        <v>1965</v>
      </c>
      <c r="C2094" s="1" t="s">
        <v>8</v>
      </c>
      <c r="D2094" s="1">
        <v>1914630</v>
      </c>
      <c r="E2094" s="1">
        <v>1914995</v>
      </c>
      <c r="F2094" s="1" t="s">
        <v>9</v>
      </c>
      <c r="G2094" s="1" t="s">
        <v>11409</v>
      </c>
    </row>
    <row r="2095" spans="1:7" ht="21" x14ac:dyDescent="0.25">
      <c r="A2095" s="2" t="str">
        <f>HYPERLINK("https://rth.dk/resources/bsgatlas/details.php?id=BSGatlas-gene-2094","BSGatlas-gene-2094")</f>
        <v>BSGatlas-gene-2094</v>
      </c>
      <c r="B2095" s="1" t="s">
        <v>1967</v>
      </c>
      <c r="C2095" s="1" t="s">
        <v>55</v>
      </c>
      <c r="D2095" s="1">
        <v>1914991</v>
      </c>
      <c r="E2095" s="1">
        <v>1915272</v>
      </c>
      <c r="F2095" s="1" t="s">
        <v>13</v>
      </c>
      <c r="G2095" s="1" t="s">
        <v>11518</v>
      </c>
    </row>
    <row r="2096" spans="1:7" ht="21" x14ac:dyDescent="0.25">
      <c r="A2096" s="2" t="str">
        <f>HYPERLINK("https://rth.dk/resources/bsgatlas/details.php?id=BSGatlas-gene-2095","BSGatlas-gene-2095")</f>
        <v>BSGatlas-gene-2095</v>
      </c>
      <c r="B2096" s="1" t="s">
        <v>1968</v>
      </c>
      <c r="C2096" s="1" t="s">
        <v>8</v>
      </c>
      <c r="D2096" s="1">
        <v>1915221</v>
      </c>
      <c r="E2096" s="1">
        <v>1915979</v>
      </c>
      <c r="F2096" s="1" t="s">
        <v>9</v>
      </c>
      <c r="G2096" s="1" t="s">
        <v>11409</v>
      </c>
    </row>
    <row r="2097" spans="1:7" ht="21" x14ac:dyDescent="0.25">
      <c r="A2097" s="2" t="str">
        <f>HYPERLINK("https://rth.dk/resources/bsgatlas/details.php?id=BSGatlas-gene-2096","BSGatlas-gene-2096")</f>
        <v>BSGatlas-gene-2096</v>
      </c>
      <c r="B2097" s="1" t="s">
        <v>1969</v>
      </c>
      <c r="C2097" s="1" t="s">
        <v>8</v>
      </c>
      <c r="D2097" s="1">
        <v>1916006</v>
      </c>
      <c r="E2097" s="1">
        <v>1916545</v>
      </c>
      <c r="F2097" s="1" t="s">
        <v>13</v>
      </c>
      <c r="G2097" s="1" t="s">
        <v>11409</v>
      </c>
    </row>
    <row r="2098" spans="1:7" ht="21" x14ac:dyDescent="0.25">
      <c r="A2098" s="2" t="str">
        <f>HYPERLINK("https://rth.dk/resources/bsgatlas/details.php?id=BSGatlas-gene-2097","BSGatlas-gene-2097")</f>
        <v>BSGatlas-gene-2097</v>
      </c>
      <c r="B2098" s="1" t="s">
        <v>1970</v>
      </c>
      <c r="C2098" s="1" t="s">
        <v>8</v>
      </c>
      <c r="D2098" s="1">
        <v>1916663</v>
      </c>
      <c r="E2098" s="1">
        <v>1917097</v>
      </c>
      <c r="F2098" s="1" t="s">
        <v>9</v>
      </c>
      <c r="G2098" s="1" t="s">
        <v>11409</v>
      </c>
    </row>
    <row r="2099" spans="1:7" ht="21" x14ac:dyDescent="0.25">
      <c r="A2099" s="2" t="str">
        <f>HYPERLINK("https://rth.dk/resources/bsgatlas/details.php?id=BSGatlas-gene-2098","BSGatlas-gene-2098")</f>
        <v>BSGatlas-gene-2098</v>
      </c>
      <c r="B2099" s="1" t="s">
        <v>11536</v>
      </c>
      <c r="C2099" s="1" t="s">
        <v>8</v>
      </c>
      <c r="D2099" s="1">
        <v>1916955</v>
      </c>
      <c r="E2099" s="1">
        <v>1917302</v>
      </c>
      <c r="F2099" s="1" t="s">
        <v>9</v>
      </c>
      <c r="G2099" s="1" t="s">
        <v>11441</v>
      </c>
    </row>
    <row r="2100" spans="1:7" ht="21" x14ac:dyDescent="0.25">
      <c r="A2100" s="2" t="str">
        <f>HYPERLINK("https://rth.dk/resources/bsgatlas/details.php?id=BSGatlas-gene-2099","BSGatlas-gene-2099")</f>
        <v>BSGatlas-gene-2099</v>
      </c>
      <c r="B2100" s="1" t="s">
        <v>1971</v>
      </c>
      <c r="C2100" s="1" t="s">
        <v>55</v>
      </c>
      <c r="D2100" s="1">
        <v>1917501</v>
      </c>
      <c r="E2100" s="1">
        <v>1917581</v>
      </c>
      <c r="F2100" s="1" t="s">
        <v>9</v>
      </c>
      <c r="G2100" s="1" t="s">
        <v>11537</v>
      </c>
    </row>
    <row r="2101" spans="1:7" ht="21" x14ac:dyDescent="0.25">
      <c r="A2101" s="2" t="str">
        <f>HYPERLINK("https://rth.dk/resources/bsgatlas/details.php?id=BSGatlas-gene-2100","BSGatlas-gene-2100")</f>
        <v>BSGatlas-gene-2100</v>
      </c>
      <c r="B2101" s="1" t="s">
        <v>1972</v>
      </c>
      <c r="C2101" s="1" t="s">
        <v>8</v>
      </c>
      <c r="D2101" s="1">
        <v>1917639</v>
      </c>
      <c r="E2101" s="1">
        <v>1918256</v>
      </c>
      <c r="F2101" s="1" t="s">
        <v>13</v>
      </c>
      <c r="G2101" s="1" t="s">
        <v>11409</v>
      </c>
    </row>
    <row r="2102" spans="1:7" ht="21" x14ac:dyDescent="0.25">
      <c r="A2102" s="2" t="str">
        <f>HYPERLINK("https://rth.dk/resources/bsgatlas/details.php?id=BSGatlas-gene-2101","BSGatlas-gene-2101")</f>
        <v>BSGatlas-gene-2101</v>
      </c>
      <c r="B2102" s="1" t="s">
        <v>1973</v>
      </c>
      <c r="C2102" s="1" t="s">
        <v>8</v>
      </c>
      <c r="D2102" s="1">
        <v>1918406</v>
      </c>
      <c r="E2102" s="1">
        <v>1918723</v>
      </c>
      <c r="F2102" s="1" t="s">
        <v>9</v>
      </c>
      <c r="G2102" s="1" t="s">
        <v>11409</v>
      </c>
    </row>
    <row r="2103" spans="1:7" ht="21" x14ac:dyDescent="0.25">
      <c r="A2103" s="2" t="str">
        <f>HYPERLINK("https://rth.dk/resources/bsgatlas/details.php?id=BSGatlas-gene-2102","BSGatlas-gene-2102")</f>
        <v>BSGatlas-gene-2102</v>
      </c>
      <c r="B2103" s="1" t="s">
        <v>1974</v>
      </c>
      <c r="C2103" s="1" t="s">
        <v>8</v>
      </c>
      <c r="D2103" s="1">
        <v>1918742</v>
      </c>
      <c r="E2103" s="1">
        <v>1919395</v>
      </c>
      <c r="F2103" s="1" t="s">
        <v>9</v>
      </c>
      <c r="G2103" s="1" t="s">
        <v>11409</v>
      </c>
    </row>
    <row r="2104" spans="1:7" ht="21" x14ac:dyDescent="0.25">
      <c r="A2104" s="2" t="str">
        <f>HYPERLINK("https://rth.dk/resources/bsgatlas/details.php?id=BSGatlas-gene-2103","BSGatlas-gene-2103")</f>
        <v>BSGatlas-gene-2103</v>
      </c>
      <c r="B2104" s="1" t="s">
        <v>1975</v>
      </c>
      <c r="C2104" s="1" t="s">
        <v>8</v>
      </c>
      <c r="D2104" s="1">
        <v>1919459</v>
      </c>
      <c r="E2104" s="1">
        <v>1919692</v>
      </c>
      <c r="F2104" s="1" t="s">
        <v>9</v>
      </c>
      <c r="G2104" s="1" t="s">
        <v>11409</v>
      </c>
    </row>
    <row r="2105" spans="1:7" ht="21" x14ac:dyDescent="0.25">
      <c r="A2105" s="2" t="str">
        <f>HYPERLINK("https://rth.dk/resources/bsgatlas/details.php?id=BSGatlas-gene-2104","BSGatlas-gene-2104")</f>
        <v>BSGatlas-gene-2104</v>
      </c>
      <c r="B2105" s="1" t="s">
        <v>1976</v>
      </c>
      <c r="C2105" s="1" t="s">
        <v>8</v>
      </c>
      <c r="D2105" s="1">
        <v>1919861</v>
      </c>
      <c r="E2105" s="1">
        <v>1921864</v>
      </c>
      <c r="F2105" s="1" t="s">
        <v>9</v>
      </c>
      <c r="G2105" s="1" t="s">
        <v>11409</v>
      </c>
    </row>
    <row r="2106" spans="1:7" ht="21" x14ac:dyDescent="0.25">
      <c r="A2106" s="2" t="str">
        <f>HYPERLINK("https://rth.dk/resources/bsgatlas/details.php?id=BSGatlas-gene-2105","BSGatlas-gene-2105")</f>
        <v>BSGatlas-gene-2105</v>
      </c>
      <c r="B2106" s="1" t="s">
        <v>1977</v>
      </c>
      <c r="C2106" s="1" t="s">
        <v>12</v>
      </c>
      <c r="D2106" s="1">
        <v>1921866</v>
      </c>
      <c r="E2106" s="1">
        <v>1922524</v>
      </c>
      <c r="F2106" s="1" t="s">
        <v>13</v>
      </c>
      <c r="G2106" s="1" t="s">
        <v>11406</v>
      </c>
    </row>
    <row r="2107" spans="1:7" ht="21" x14ac:dyDescent="0.25">
      <c r="A2107" s="2" t="str">
        <f>HYPERLINK("https://rth.dk/resources/bsgatlas/details.php?id=BSGatlas-gene-2106","BSGatlas-gene-2106")</f>
        <v>BSGatlas-gene-2106</v>
      </c>
      <c r="B2107" s="1" t="s">
        <v>1978</v>
      </c>
      <c r="C2107" s="1" t="s">
        <v>8</v>
      </c>
      <c r="D2107" s="1">
        <v>1922017</v>
      </c>
      <c r="E2107" s="1">
        <v>1922463</v>
      </c>
      <c r="F2107" s="1" t="s">
        <v>9</v>
      </c>
      <c r="G2107" s="1" t="s">
        <v>11409</v>
      </c>
    </row>
    <row r="2108" spans="1:7" ht="21" x14ac:dyDescent="0.25">
      <c r="A2108" s="2" t="str">
        <f>HYPERLINK("https://rth.dk/resources/bsgatlas/details.php?id=BSGatlas-gene-2107","BSGatlas-gene-2107")</f>
        <v>BSGatlas-gene-2107</v>
      </c>
      <c r="B2108" s="1" t="s">
        <v>1979</v>
      </c>
      <c r="C2108" s="1" t="s">
        <v>8</v>
      </c>
      <c r="D2108" s="1">
        <v>1922549</v>
      </c>
      <c r="E2108" s="1">
        <v>1922767</v>
      </c>
      <c r="F2108" s="1" t="s">
        <v>9</v>
      </c>
      <c r="G2108" s="1" t="s">
        <v>11409</v>
      </c>
    </row>
    <row r="2109" spans="1:7" ht="21" x14ac:dyDescent="0.25">
      <c r="A2109" s="2" t="str">
        <f>HYPERLINK("https://rth.dk/resources/bsgatlas/details.php?id=BSGatlas-gene-2108","BSGatlas-gene-2108")</f>
        <v>BSGatlas-gene-2108</v>
      </c>
      <c r="B2109" s="1" t="s">
        <v>1980</v>
      </c>
      <c r="C2109" s="1" t="s">
        <v>8</v>
      </c>
      <c r="D2109" s="1">
        <v>1922841</v>
      </c>
      <c r="E2109" s="1">
        <v>1923014</v>
      </c>
      <c r="F2109" s="1" t="s">
        <v>13</v>
      </c>
      <c r="G2109" s="1" t="s">
        <v>11409</v>
      </c>
    </row>
    <row r="2110" spans="1:7" ht="21" x14ac:dyDescent="0.25">
      <c r="A2110" s="2" t="str">
        <f>HYPERLINK("https://rth.dk/resources/bsgatlas/details.php?id=BSGatlas-gene-2109","BSGatlas-gene-2109")</f>
        <v>BSGatlas-gene-2109</v>
      </c>
      <c r="B2110" s="1" t="s">
        <v>1981</v>
      </c>
      <c r="C2110" s="1" t="s">
        <v>8</v>
      </c>
      <c r="D2110" s="1">
        <v>1923234</v>
      </c>
      <c r="E2110" s="1">
        <v>1923941</v>
      </c>
      <c r="F2110" s="1" t="s">
        <v>9</v>
      </c>
      <c r="G2110" s="1" t="s">
        <v>11409</v>
      </c>
    </row>
    <row r="2111" spans="1:7" ht="21" x14ac:dyDescent="0.25">
      <c r="A2111" s="2" t="str">
        <f>HYPERLINK("https://rth.dk/resources/bsgatlas/details.php?id=BSGatlas-gene-2110","BSGatlas-gene-2110")</f>
        <v>BSGatlas-gene-2110</v>
      </c>
      <c r="B2111" s="1" t="s">
        <v>1982</v>
      </c>
      <c r="C2111" s="1" t="s">
        <v>8</v>
      </c>
      <c r="D2111" s="1">
        <v>1924030</v>
      </c>
      <c r="E2111" s="1">
        <v>1924392</v>
      </c>
      <c r="F2111" s="1" t="s">
        <v>9</v>
      </c>
      <c r="G2111" s="1" t="s">
        <v>11409</v>
      </c>
    </row>
    <row r="2112" spans="1:7" ht="21" x14ac:dyDescent="0.25">
      <c r="A2112" s="2" t="str">
        <f>HYPERLINK("https://rth.dk/resources/bsgatlas/details.php?id=BSGatlas-gene-2111","BSGatlas-gene-2111")</f>
        <v>BSGatlas-gene-2111</v>
      </c>
      <c r="B2112" s="1" t="s">
        <v>1983</v>
      </c>
      <c r="C2112" s="1" t="s">
        <v>8</v>
      </c>
      <c r="D2112" s="1">
        <v>1924471</v>
      </c>
      <c r="E2112" s="1">
        <v>1924962</v>
      </c>
      <c r="F2112" s="1" t="s">
        <v>9</v>
      </c>
      <c r="G2112" s="1" t="s">
        <v>11409</v>
      </c>
    </row>
    <row r="2113" spans="1:7" ht="21" x14ac:dyDescent="0.25">
      <c r="A2113" s="2" t="str">
        <f>HYPERLINK("https://rth.dk/resources/bsgatlas/details.php?id=BSGatlas-gene-2112","BSGatlas-gene-2112")</f>
        <v>BSGatlas-gene-2112</v>
      </c>
      <c r="B2113" s="1" t="s">
        <v>1984</v>
      </c>
      <c r="C2113" s="1" t="s">
        <v>8</v>
      </c>
      <c r="D2113" s="1">
        <v>1924993</v>
      </c>
      <c r="E2113" s="1">
        <v>1925421</v>
      </c>
      <c r="F2113" s="1" t="s">
        <v>13</v>
      </c>
      <c r="G2113" s="1" t="s">
        <v>11409</v>
      </c>
    </row>
    <row r="2114" spans="1:7" ht="21" x14ac:dyDescent="0.25">
      <c r="A2114" s="2" t="str">
        <f>HYPERLINK("https://rth.dk/resources/bsgatlas/details.php?id=BSGatlas-gene-2113","BSGatlas-gene-2113")</f>
        <v>BSGatlas-gene-2113</v>
      </c>
      <c r="B2114" s="1" t="s">
        <v>1985</v>
      </c>
      <c r="C2114" s="1" t="s">
        <v>12</v>
      </c>
      <c r="D2114" s="1">
        <v>1925548</v>
      </c>
      <c r="E2114" s="1">
        <v>1925619</v>
      </c>
      <c r="F2114" s="1" t="s">
        <v>9</v>
      </c>
      <c r="G2114" s="1" t="s">
        <v>11442</v>
      </c>
    </row>
    <row r="2115" spans="1:7" ht="21" x14ac:dyDescent="0.25">
      <c r="A2115" s="2" t="str">
        <f>HYPERLINK("https://rth.dk/resources/bsgatlas/details.php?id=BSGatlas-gene-2114","BSGatlas-gene-2114")</f>
        <v>BSGatlas-gene-2114</v>
      </c>
      <c r="B2115" s="1" t="s">
        <v>1986</v>
      </c>
      <c r="C2115" s="1" t="s">
        <v>8</v>
      </c>
      <c r="D2115" s="1">
        <v>1925655</v>
      </c>
      <c r="E2115" s="1">
        <v>1926047</v>
      </c>
      <c r="F2115" s="1" t="s">
        <v>13</v>
      </c>
      <c r="G2115" s="1" t="s">
        <v>11409</v>
      </c>
    </row>
    <row r="2116" spans="1:7" ht="21" x14ac:dyDescent="0.25">
      <c r="A2116" s="2" t="str">
        <f>HYPERLINK("https://rth.dk/resources/bsgatlas/details.php?id=BSGatlas-gene-2115","BSGatlas-gene-2115")</f>
        <v>BSGatlas-gene-2115</v>
      </c>
      <c r="B2116" s="1" t="s">
        <v>1989</v>
      </c>
      <c r="C2116" s="1" t="s">
        <v>8</v>
      </c>
      <c r="D2116" s="1">
        <v>1926128</v>
      </c>
      <c r="E2116" s="1">
        <v>1926274</v>
      </c>
      <c r="F2116" s="1" t="s">
        <v>13</v>
      </c>
      <c r="G2116" s="1" t="s">
        <v>11409</v>
      </c>
    </row>
    <row r="2117" spans="1:7" ht="21" x14ac:dyDescent="0.25">
      <c r="A2117" s="2" t="str">
        <f>HYPERLINK("https://rth.dk/resources/bsgatlas/details.php?id=BSGatlas-gene-2116","BSGatlas-gene-2116")</f>
        <v>BSGatlas-gene-2116</v>
      </c>
      <c r="B2117" s="1" t="s">
        <v>1990</v>
      </c>
      <c r="C2117" s="1" t="s">
        <v>8</v>
      </c>
      <c r="D2117" s="1">
        <v>1926306</v>
      </c>
      <c r="E2117" s="1">
        <v>1926452</v>
      </c>
      <c r="F2117" s="1" t="s">
        <v>13</v>
      </c>
      <c r="G2117" s="1" t="s">
        <v>11409</v>
      </c>
    </row>
    <row r="2118" spans="1:7" ht="21" x14ac:dyDescent="0.25">
      <c r="A2118" s="2" t="str">
        <f>HYPERLINK("https://rth.dk/resources/bsgatlas/details.php?id=BSGatlas-gene-2117","BSGatlas-gene-2117")</f>
        <v>BSGatlas-gene-2117</v>
      </c>
      <c r="B2118" s="1" t="s">
        <v>1987</v>
      </c>
      <c r="C2118" s="1" t="s">
        <v>8</v>
      </c>
      <c r="D2118" s="1">
        <v>1926680</v>
      </c>
      <c r="E2118" s="1">
        <v>1929409</v>
      </c>
      <c r="F2118" s="1" t="s">
        <v>9</v>
      </c>
      <c r="G2118" s="1" t="s">
        <v>11409</v>
      </c>
    </row>
    <row r="2119" spans="1:7" ht="21" x14ac:dyDescent="0.25">
      <c r="A2119" s="2" t="str">
        <f>HYPERLINK("https://rth.dk/resources/bsgatlas/details.php?id=BSGatlas-gene-2118","BSGatlas-gene-2118")</f>
        <v>BSGatlas-gene-2118</v>
      </c>
      <c r="B2119" s="1" t="s">
        <v>1988</v>
      </c>
      <c r="C2119" s="1" t="s">
        <v>8</v>
      </c>
      <c r="D2119" s="1">
        <v>1929481</v>
      </c>
      <c r="E2119" s="1">
        <v>1929993</v>
      </c>
      <c r="F2119" s="1" t="s">
        <v>9</v>
      </c>
      <c r="G2119" s="1" t="s">
        <v>11409</v>
      </c>
    </row>
    <row r="2120" spans="1:7" ht="21" x14ac:dyDescent="0.25">
      <c r="A2120" s="2" t="str">
        <f>HYPERLINK("https://rth.dk/resources/bsgatlas/details.php?id=BSGatlas-gene-2119","BSGatlas-gene-2119")</f>
        <v>BSGatlas-gene-2119</v>
      </c>
      <c r="B2120" s="1" t="s">
        <v>1991</v>
      </c>
      <c r="C2120" s="1" t="s">
        <v>8</v>
      </c>
      <c r="D2120" s="1">
        <v>1930074</v>
      </c>
      <c r="E2120" s="1">
        <v>1930199</v>
      </c>
      <c r="F2120" s="1" t="s">
        <v>9</v>
      </c>
      <c r="G2120" s="1" t="s">
        <v>11409</v>
      </c>
    </row>
    <row r="2121" spans="1:7" ht="21" x14ac:dyDescent="0.25">
      <c r="A2121" s="2" t="str">
        <f>HYPERLINK("https://rth.dk/resources/bsgatlas/details.php?id=BSGatlas-gene-2120","BSGatlas-gene-2120")</f>
        <v>BSGatlas-gene-2120</v>
      </c>
      <c r="B2121" s="1" t="s">
        <v>1994</v>
      </c>
      <c r="C2121" s="1" t="s">
        <v>8</v>
      </c>
      <c r="D2121" s="1">
        <v>1930264</v>
      </c>
      <c r="E2121" s="1">
        <v>1930410</v>
      </c>
      <c r="F2121" s="1" t="s">
        <v>9</v>
      </c>
      <c r="G2121" s="1" t="s">
        <v>11409</v>
      </c>
    </row>
    <row r="2122" spans="1:7" ht="21" x14ac:dyDescent="0.25">
      <c r="A2122" s="2" t="str">
        <f>HYPERLINK("https://rth.dk/resources/bsgatlas/details.php?id=BSGatlas-gene-2121","BSGatlas-gene-2121")</f>
        <v>BSGatlas-gene-2121</v>
      </c>
      <c r="B2122" s="1" t="s">
        <v>1995</v>
      </c>
      <c r="C2122" s="1" t="s">
        <v>8</v>
      </c>
      <c r="D2122" s="1">
        <v>1930447</v>
      </c>
      <c r="E2122" s="1">
        <v>1930698</v>
      </c>
      <c r="F2122" s="1" t="s">
        <v>9</v>
      </c>
      <c r="G2122" s="1" t="s">
        <v>11409</v>
      </c>
    </row>
    <row r="2123" spans="1:7" ht="21" x14ac:dyDescent="0.25">
      <c r="A2123" s="2" t="str">
        <f>HYPERLINK("https://rth.dk/resources/bsgatlas/details.php?id=BSGatlas-gene-2122","BSGatlas-gene-2122")</f>
        <v>BSGatlas-gene-2122</v>
      </c>
      <c r="B2123" s="1" t="s">
        <v>1996</v>
      </c>
      <c r="C2123" s="1" t="s">
        <v>8</v>
      </c>
      <c r="D2123" s="1">
        <v>1930834</v>
      </c>
      <c r="E2123" s="1">
        <v>1931199</v>
      </c>
      <c r="F2123" s="1" t="s">
        <v>9</v>
      </c>
      <c r="G2123" s="1" t="s">
        <v>11409</v>
      </c>
    </row>
    <row r="2124" spans="1:7" ht="21" x14ac:dyDescent="0.25">
      <c r="A2124" s="2" t="str">
        <f>HYPERLINK("https://rth.dk/resources/bsgatlas/details.php?id=BSGatlas-gene-2123","BSGatlas-gene-2123")</f>
        <v>BSGatlas-gene-2123</v>
      </c>
      <c r="B2124" s="1" t="s">
        <v>1997</v>
      </c>
      <c r="C2124" s="1" t="s">
        <v>8</v>
      </c>
      <c r="D2124" s="1">
        <v>1931215</v>
      </c>
      <c r="E2124" s="1">
        <v>1931514</v>
      </c>
      <c r="F2124" s="1" t="s">
        <v>9</v>
      </c>
      <c r="G2124" s="1" t="s">
        <v>11409</v>
      </c>
    </row>
    <row r="2125" spans="1:7" ht="21" x14ac:dyDescent="0.25">
      <c r="A2125" s="2" t="str">
        <f>HYPERLINK("https://rth.dk/resources/bsgatlas/details.php?id=BSGatlas-gene-2124","BSGatlas-gene-2124")</f>
        <v>BSGatlas-gene-2124</v>
      </c>
      <c r="B2125" s="1" t="s">
        <v>1992</v>
      </c>
      <c r="C2125" s="1" t="s">
        <v>8</v>
      </c>
      <c r="D2125" s="1">
        <v>1931545</v>
      </c>
      <c r="E2125" s="1">
        <v>1931832</v>
      </c>
      <c r="F2125" s="1" t="s">
        <v>13</v>
      </c>
      <c r="G2125" s="1" t="s">
        <v>11409</v>
      </c>
    </row>
    <row r="2126" spans="1:7" ht="21" x14ac:dyDescent="0.25">
      <c r="A2126" s="2" t="str">
        <f>HYPERLINK("https://rth.dk/resources/bsgatlas/details.php?id=BSGatlas-gene-2125","BSGatlas-gene-2125")</f>
        <v>BSGatlas-gene-2125</v>
      </c>
      <c r="B2126" s="1" t="s">
        <v>1993</v>
      </c>
      <c r="C2126" s="1" t="s">
        <v>8</v>
      </c>
      <c r="D2126" s="1">
        <v>1931920</v>
      </c>
      <c r="E2126" s="1">
        <v>1932501</v>
      </c>
      <c r="F2126" s="1" t="s">
        <v>13</v>
      </c>
      <c r="G2126" s="1" t="s">
        <v>11409</v>
      </c>
    </row>
    <row r="2127" spans="1:7" ht="21" x14ac:dyDescent="0.25">
      <c r="A2127" s="2" t="str">
        <f>HYPERLINK("https://rth.dk/resources/bsgatlas/details.php?id=BSGatlas-gene-2126","BSGatlas-gene-2126")</f>
        <v>BSGatlas-gene-2126</v>
      </c>
      <c r="B2127" s="1" t="s">
        <v>1998</v>
      </c>
      <c r="C2127" s="1" t="s">
        <v>8</v>
      </c>
      <c r="D2127" s="1">
        <v>1932671</v>
      </c>
      <c r="E2127" s="1">
        <v>1933078</v>
      </c>
      <c r="F2127" s="1" t="s">
        <v>9</v>
      </c>
      <c r="G2127" s="1" t="s">
        <v>11409</v>
      </c>
    </row>
    <row r="2128" spans="1:7" ht="21" x14ac:dyDescent="0.25">
      <c r="A2128" s="2" t="str">
        <f>HYPERLINK("https://rth.dk/resources/bsgatlas/details.php?id=BSGatlas-gene-2127","BSGatlas-gene-2127")</f>
        <v>BSGatlas-gene-2127</v>
      </c>
      <c r="B2128" s="1" t="s">
        <v>522</v>
      </c>
      <c r="C2128" s="1" t="s">
        <v>34</v>
      </c>
      <c r="D2128" s="1">
        <v>1933177</v>
      </c>
      <c r="E2128" s="1">
        <v>1933398</v>
      </c>
      <c r="F2128" s="1" t="s">
        <v>9</v>
      </c>
      <c r="G2128" s="1" t="s">
        <v>11414</v>
      </c>
    </row>
    <row r="2129" spans="1:7" ht="21" x14ac:dyDescent="0.25">
      <c r="A2129" s="2" t="str">
        <f>HYPERLINK("https://rth.dk/resources/bsgatlas/details.php?id=BSGatlas-gene-2128","BSGatlas-gene-2128")</f>
        <v>BSGatlas-gene-2128</v>
      </c>
      <c r="B2129" s="1" t="s">
        <v>1999</v>
      </c>
      <c r="C2129" s="1" t="s">
        <v>8</v>
      </c>
      <c r="D2129" s="1">
        <v>1933477</v>
      </c>
      <c r="E2129" s="1">
        <v>1935444</v>
      </c>
      <c r="F2129" s="1" t="s">
        <v>9</v>
      </c>
      <c r="G2129" s="1" t="s">
        <v>11409</v>
      </c>
    </row>
    <row r="2130" spans="1:7" ht="21" x14ac:dyDescent="0.25">
      <c r="A2130" s="2" t="str">
        <f>HYPERLINK("https://rth.dk/resources/bsgatlas/details.php?id=BSGatlas-gene-2129","BSGatlas-gene-2129")</f>
        <v>BSGatlas-gene-2129</v>
      </c>
      <c r="B2130" s="1" t="s">
        <v>2000</v>
      </c>
      <c r="C2130" s="1" t="s">
        <v>8</v>
      </c>
      <c r="D2130" s="1">
        <v>1935448</v>
      </c>
      <c r="E2130" s="1">
        <v>1937868</v>
      </c>
      <c r="F2130" s="1" t="s">
        <v>9</v>
      </c>
      <c r="G2130" s="1" t="s">
        <v>11409</v>
      </c>
    </row>
    <row r="2131" spans="1:7" ht="21" x14ac:dyDescent="0.25">
      <c r="A2131" s="2" t="str">
        <f>HYPERLINK("https://rth.dk/resources/bsgatlas/details.php?id=BSGatlas-gene-2130","BSGatlas-gene-2130")</f>
        <v>BSGatlas-gene-2130</v>
      </c>
      <c r="B2131" s="1" t="s">
        <v>2001</v>
      </c>
      <c r="C2131" s="1" t="s">
        <v>276</v>
      </c>
      <c r="D2131" s="1">
        <v>1937915</v>
      </c>
      <c r="E2131" s="1">
        <v>1938091</v>
      </c>
      <c r="F2131" s="1" t="s">
        <v>13</v>
      </c>
      <c r="G2131" s="1" t="s">
        <v>11441</v>
      </c>
    </row>
    <row r="2132" spans="1:7" ht="21" x14ac:dyDescent="0.25">
      <c r="A2132" s="2" t="str">
        <f>HYPERLINK("https://rth.dk/resources/bsgatlas/details.php?id=BSGatlas-gene-2131","BSGatlas-gene-2131")</f>
        <v>BSGatlas-gene-2131</v>
      </c>
      <c r="B2132" s="1" t="s">
        <v>2002</v>
      </c>
      <c r="C2132" s="1" t="s">
        <v>8</v>
      </c>
      <c r="D2132" s="1">
        <v>1938066</v>
      </c>
      <c r="E2132" s="1">
        <v>1938476</v>
      </c>
      <c r="F2132" s="1" t="s">
        <v>13</v>
      </c>
      <c r="G2132" s="1" t="s">
        <v>11409</v>
      </c>
    </row>
    <row r="2133" spans="1:7" ht="21" x14ac:dyDescent="0.25">
      <c r="A2133" s="2" t="str">
        <f>HYPERLINK("https://rth.dk/resources/bsgatlas/details.php?id=BSGatlas-gene-2132","BSGatlas-gene-2132")</f>
        <v>BSGatlas-gene-2132</v>
      </c>
      <c r="B2133" s="1" t="s">
        <v>2003</v>
      </c>
      <c r="C2133" s="1" t="s">
        <v>8</v>
      </c>
      <c r="D2133" s="1">
        <v>1938925</v>
      </c>
      <c r="E2133" s="1">
        <v>1940322</v>
      </c>
      <c r="F2133" s="1" t="s">
        <v>9</v>
      </c>
      <c r="G2133" s="1" t="s">
        <v>11409</v>
      </c>
    </row>
    <row r="2134" spans="1:7" ht="21" x14ac:dyDescent="0.25">
      <c r="A2134" s="2" t="str">
        <f>HYPERLINK("https://rth.dk/resources/bsgatlas/details.php?id=BSGatlas-gene-2133","BSGatlas-gene-2133")</f>
        <v>BSGatlas-gene-2133</v>
      </c>
      <c r="B2134" s="1" t="s">
        <v>2004</v>
      </c>
      <c r="C2134" s="1" t="s">
        <v>12</v>
      </c>
      <c r="D2134" s="1">
        <v>1940412</v>
      </c>
      <c r="E2134" s="1">
        <v>1941158</v>
      </c>
      <c r="F2134" s="1" t="s">
        <v>13</v>
      </c>
      <c r="G2134" s="1" t="s">
        <v>11406</v>
      </c>
    </row>
    <row r="2135" spans="1:7" ht="21" x14ac:dyDescent="0.25">
      <c r="A2135" s="2" t="str">
        <f>HYPERLINK("https://rth.dk/resources/bsgatlas/details.php?id=BSGatlas-gene-2134","BSGatlas-gene-2134")</f>
        <v>BSGatlas-gene-2134</v>
      </c>
      <c r="B2135" s="1" t="s">
        <v>2005</v>
      </c>
      <c r="C2135" s="1" t="s">
        <v>8</v>
      </c>
      <c r="D2135" s="1">
        <v>1940625</v>
      </c>
      <c r="E2135" s="1">
        <v>1942124</v>
      </c>
      <c r="F2135" s="1" t="s">
        <v>9</v>
      </c>
      <c r="G2135" s="1" t="s">
        <v>11409</v>
      </c>
    </row>
    <row r="2136" spans="1:7" ht="21" x14ac:dyDescent="0.25">
      <c r="A2136" s="2" t="str">
        <f>HYPERLINK("https://rth.dk/resources/bsgatlas/details.php?id=BSGatlas-gene-2135","BSGatlas-gene-2135")</f>
        <v>BSGatlas-gene-2135</v>
      </c>
      <c r="B2136" s="1" t="s">
        <v>11538</v>
      </c>
      <c r="C2136" s="1" t="s">
        <v>8</v>
      </c>
      <c r="D2136" s="1">
        <v>1942192</v>
      </c>
      <c r="E2136" s="1">
        <v>1942455</v>
      </c>
      <c r="F2136" s="1" t="s">
        <v>9</v>
      </c>
      <c r="G2136" s="1" t="s">
        <v>11409</v>
      </c>
    </row>
    <row r="2137" spans="1:7" ht="21" x14ac:dyDescent="0.25">
      <c r="A2137" s="2" t="str">
        <f>HYPERLINK("https://rth.dk/resources/bsgatlas/details.php?id=BSGatlas-gene-2136","BSGatlas-gene-2136")</f>
        <v>BSGatlas-gene-2136</v>
      </c>
      <c r="B2137" s="1" t="s">
        <v>2006</v>
      </c>
      <c r="C2137" s="1" t="s">
        <v>8</v>
      </c>
      <c r="D2137" s="1">
        <v>1942714</v>
      </c>
      <c r="E2137" s="1">
        <v>1943982</v>
      </c>
      <c r="F2137" s="1" t="s">
        <v>13</v>
      </c>
      <c r="G2137" s="1" t="s">
        <v>11409</v>
      </c>
    </row>
    <row r="2138" spans="1:7" ht="21" x14ac:dyDescent="0.25">
      <c r="A2138" s="2" t="str">
        <f>HYPERLINK("https://rth.dk/resources/bsgatlas/details.php?id=BSGatlas-gene-2137","BSGatlas-gene-2137")</f>
        <v>BSGatlas-gene-2137</v>
      </c>
      <c r="B2138" s="1" t="s">
        <v>2007</v>
      </c>
      <c r="C2138" s="1" t="s">
        <v>8</v>
      </c>
      <c r="D2138" s="1">
        <v>1944113</v>
      </c>
      <c r="E2138" s="1">
        <v>1945654</v>
      </c>
      <c r="F2138" s="1" t="s">
        <v>13</v>
      </c>
      <c r="G2138" s="1" t="s">
        <v>11409</v>
      </c>
    </row>
    <row r="2139" spans="1:7" ht="21" x14ac:dyDescent="0.25">
      <c r="A2139" s="2" t="str">
        <f>HYPERLINK("https://rth.dk/resources/bsgatlas/details.php?id=BSGatlas-gene-2138","BSGatlas-gene-2138")</f>
        <v>BSGatlas-gene-2138</v>
      </c>
      <c r="B2139" s="1" t="s">
        <v>2008</v>
      </c>
      <c r="C2139" s="1" t="s">
        <v>8</v>
      </c>
      <c r="D2139" s="1">
        <v>1946249</v>
      </c>
      <c r="E2139" s="1">
        <v>1946695</v>
      </c>
      <c r="F2139" s="1" t="s">
        <v>9</v>
      </c>
      <c r="G2139" s="1" t="s">
        <v>11409</v>
      </c>
    </row>
    <row r="2140" spans="1:7" ht="21" x14ac:dyDescent="0.25">
      <c r="A2140" s="2" t="str">
        <f>HYPERLINK("https://rth.dk/resources/bsgatlas/details.php?id=BSGatlas-gene-2139","BSGatlas-gene-2139")</f>
        <v>BSGatlas-gene-2139</v>
      </c>
      <c r="B2140" s="1" t="s">
        <v>2009</v>
      </c>
      <c r="C2140" s="1" t="s">
        <v>8</v>
      </c>
      <c r="D2140" s="1">
        <v>1946702</v>
      </c>
      <c r="E2140" s="1">
        <v>1947595</v>
      </c>
      <c r="F2140" s="1" t="s">
        <v>9</v>
      </c>
      <c r="G2140" s="1" t="s">
        <v>11409</v>
      </c>
    </row>
    <row r="2141" spans="1:7" ht="21" x14ac:dyDescent="0.25">
      <c r="A2141" s="2" t="str">
        <f>HYPERLINK("https://rth.dk/resources/bsgatlas/details.php?id=BSGatlas-gene-2140","BSGatlas-gene-2140")</f>
        <v>BSGatlas-gene-2140</v>
      </c>
      <c r="B2141" s="1" t="s">
        <v>2010</v>
      </c>
      <c r="C2141" s="1" t="s">
        <v>8</v>
      </c>
      <c r="D2141" s="1">
        <v>1947668</v>
      </c>
      <c r="E2141" s="1">
        <v>1948264</v>
      </c>
      <c r="F2141" s="1" t="s">
        <v>9</v>
      </c>
      <c r="G2141" s="1" t="s">
        <v>11409</v>
      </c>
    </row>
    <row r="2142" spans="1:7" ht="21" x14ac:dyDescent="0.25">
      <c r="A2142" s="2" t="str">
        <f>HYPERLINK("https://rth.dk/resources/bsgatlas/details.php?id=BSGatlas-gene-2141","BSGatlas-gene-2141")</f>
        <v>BSGatlas-gene-2141</v>
      </c>
      <c r="B2142" s="1" t="s">
        <v>2011</v>
      </c>
      <c r="C2142" s="1" t="s">
        <v>8</v>
      </c>
      <c r="D2142" s="1">
        <v>1948313</v>
      </c>
      <c r="E2142" s="1">
        <v>1949512</v>
      </c>
      <c r="F2142" s="1" t="s">
        <v>13</v>
      </c>
      <c r="G2142" s="1" t="s">
        <v>11409</v>
      </c>
    </row>
    <row r="2143" spans="1:7" ht="21" x14ac:dyDescent="0.25">
      <c r="A2143" s="2" t="str">
        <f>HYPERLINK("https://rth.dk/resources/bsgatlas/details.php?id=BSGatlas-gene-2142","BSGatlas-gene-2142")</f>
        <v>BSGatlas-gene-2142</v>
      </c>
      <c r="B2143" s="1" t="s">
        <v>2012</v>
      </c>
      <c r="C2143" s="1" t="s">
        <v>8</v>
      </c>
      <c r="D2143" s="1">
        <v>1949682</v>
      </c>
      <c r="E2143" s="1">
        <v>1951217</v>
      </c>
      <c r="F2143" s="1" t="s">
        <v>13</v>
      </c>
      <c r="G2143" s="1" t="s">
        <v>11409</v>
      </c>
    </row>
    <row r="2144" spans="1:7" ht="21" x14ac:dyDescent="0.25">
      <c r="A2144" s="2" t="str">
        <f>HYPERLINK("https://rth.dk/resources/bsgatlas/details.php?id=BSGatlas-gene-2143","BSGatlas-gene-2143")</f>
        <v>BSGatlas-gene-2143</v>
      </c>
      <c r="B2144" s="1" t="s">
        <v>2013</v>
      </c>
      <c r="C2144" s="1" t="s">
        <v>8</v>
      </c>
      <c r="D2144" s="1">
        <v>1951228</v>
      </c>
      <c r="E2144" s="1">
        <v>1952010</v>
      </c>
      <c r="F2144" s="1" t="s">
        <v>13</v>
      </c>
      <c r="G2144" s="1" t="s">
        <v>11409</v>
      </c>
    </row>
    <row r="2145" spans="1:7" ht="21" x14ac:dyDescent="0.25">
      <c r="A2145" s="2" t="str">
        <f>HYPERLINK("https://rth.dk/resources/bsgatlas/details.php?id=BSGatlas-gene-2144","BSGatlas-gene-2144")</f>
        <v>BSGatlas-gene-2144</v>
      </c>
      <c r="B2145" s="1" t="s">
        <v>2014</v>
      </c>
      <c r="C2145" s="1" t="s">
        <v>8</v>
      </c>
      <c r="D2145" s="1">
        <v>1952031</v>
      </c>
      <c r="E2145" s="1">
        <v>1952930</v>
      </c>
      <c r="F2145" s="1" t="s">
        <v>13</v>
      </c>
      <c r="G2145" s="1" t="s">
        <v>11409</v>
      </c>
    </row>
    <row r="2146" spans="1:7" ht="21" x14ac:dyDescent="0.25">
      <c r="A2146" s="2" t="str">
        <f>HYPERLINK("https://rth.dk/resources/bsgatlas/details.php?id=BSGatlas-gene-2145","BSGatlas-gene-2145")</f>
        <v>BSGatlas-gene-2145</v>
      </c>
      <c r="B2146" s="1" t="s">
        <v>2015</v>
      </c>
      <c r="C2146" s="1" t="s">
        <v>8</v>
      </c>
      <c r="D2146" s="1">
        <v>1952945</v>
      </c>
      <c r="E2146" s="1">
        <v>1953166</v>
      </c>
      <c r="F2146" s="1" t="s">
        <v>13</v>
      </c>
      <c r="G2146" s="1" t="s">
        <v>11409</v>
      </c>
    </row>
    <row r="2147" spans="1:7" ht="21" x14ac:dyDescent="0.25">
      <c r="A2147" s="2" t="str">
        <f>HYPERLINK("https://rth.dk/resources/bsgatlas/details.php?id=BSGatlas-gene-2146","BSGatlas-gene-2146")</f>
        <v>BSGatlas-gene-2146</v>
      </c>
      <c r="B2147" s="1" t="s">
        <v>2016</v>
      </c>
      <c r="C2147" s="1" t="s">
        <v>8</v>
      </c>
      <c r="D2147" s="1">
        <v>1953181</v>
      </c>
      <c r="E2147" s="1">
        <v>1954515</v>
      </c>
      <c r="F2147" s="1" t="s">
        <v>13</v>
      </c>
      <c r="G2147" s="1" t="s">
        <v>11409</v>
      </c>
    </row>
    <row r="2148" spans="1:7" ht="21" x14ac:dyDescent="0.25">
      <c r="A2148" s="2" t="str">
        <f>HYPERLINK("https://rth.dk/resources/bsgatlas/details.php?id=BSGatlas-gene-2147","BSGatlas-gene-2147")</f>
        <v>BSGatlas-gene-2147</v>
      </c>
      <c r="B2148" s="1" t="s">
        <v>2017</v>
      </c>
      <c r="C2148" s="1" t="s">
        <v>8</v>
      </c>
      <c r="D2148" s="1">
        <v>1954525</v>
      </c>
      <c r="E2148" s="1">
        <v>1956174</v>
      </c>
      <c r="F2148" s="1" t="s">
        <v>13</v>
      </c>
      <c r="G2148" s="1" t="s">
        <v>11409</v>
      </c>
    </row>
    <row r="2149" spans="1:7" ht="21" x14ac:dyDescent="0.25">
      <c r="A2149" s="2" t="str">
        <f>HYPERLINK("https://rth.dk/resources/bsgatlas/details.php?id=BSGatlas-gene-2148","BSGatlas-gene-2148")</f>
        <v>BSGatlas-gene-2148</v>
      </c>
      <c r="B2149" s="1" t="s">
        <v>2018</v>
      </c>
      <c r="C2149" s="1" t="s">
        <v>8</v>
      </c>
      <c r="D2149" s="1">
        <v>1956218</v>
      </c>
      <c r="E2149" s="1">
        <v>1957360</v>
      </c>
      <c r="F2149" s="1" t="s">
        <v>13</v>
      </c>
      <c r="G2149" s="1" t="s">
        <v>11409</v>
      </c>
    </row>
    <row r="2150" spans="1:7" ht="21" x14ac:dyDescent="0.25">
      <c r="A2150" s="2" t="str">
        <f>HYPERLINK("https://rth.dk/resources/bsgatlas/details.php?id=BSGatlas-gene-2149","BSGatlas-gene-2149")</f>
        <v>BSGatlas-gene-2149</v>
      </c>
      <c r="B2150" s="1" t="s">
        <v>11539</v>
      </c>
      <c r="C2150" s="1" t="s">
        <v>8</v>
      </c>
      <c r="D2150" s="1">
        <v>1957451</v>
      </c>
      <c r="E2150" s="1">
        <v>1957756</v>
      </c>
      <c r="F2150" s="1" t="s">
        <v>13</v>
      </c>
      <c r="G2150" s="1" t="s">
        <v>11409</v>
      </c>
    </row>
    <row r="2151" spans="1:7" ht="21" x14ac:dyDescent="0.25">
      <c r="A2151" s="2" t="str">
        <f>HYPERLINK("https://rth.dk/resources/bsgatlas/details.php?id=BSGatlas-gene-2150","BSGatlas-gene-2150")</f>
        <v>BSGatlas-gene-2150</v>
      </c>
      <c r="B2151" s="1" t="s">
        <v>318</v>
      </c>
      <c r="C2151" s="1" t="s">
        <v>8</v>
      </c>
      <c r="D2151" s="1">
        <v>1957746</v>
      </c>
      <c r="E2151" s="1">
        <v>1957919</v>
      </c>
      <c r="F2151" s="1" t="s">
        <v>13</v>
      </c>
      <c r="G2151" s="1" t="s">
        <v>11441</v>
      </c>
    </row>
    <row r="2152" spans="1:7" ht="21" x14ac:dyDescent="0.25">
      <c r="A2152" s="2" t="str">
        <f>HYPERLINK("https://rth.dk/resources/bsgatlas/details.php?id=BSGatlas-gene-2151","BSGatlas-gene-2151")</f>
        <v>BSGatlas-gene-2151</v>
      </c>
      <c r="B2152" s="1" t="s">
        <v>2019</v>
      </c>
      <c r="C2152" s="1" t="s">
        <v>8</v>
      </c>
      <c r="D2152" s="1">
        <v>1958027</v>
      </c>
      <c r="E2152" s="1">
        <v>1959559</v>
      </c>
      <c r="F2152" s="1" t="s">
        <v>13</v>
      </c>
      <c r="G2152" s="1" t="s">
        <v>11409</v>
      </c>
    </row>
    <row r="2153" spans="1:7" ht="21" x14ac:dyDescent="0.25">
      <c r="A2153" s="2" t="str">
        <f>HYPERLINK("https://rth.dk/resources/bsgatlas/details.php?id=BSGatlas-gene-2152","BSGatlas-gene-2152")</f>
        <v>BSGatlas-gene-2152</v>
      </c>
      <c r="B2153" s="1" t="s">
        <v>2020</v>
      </c>
      <c r="C2153" s="1" t="s">
        <v>8</v>
      </c>
      <c r="D2153" s="1">
        <v>1959695</v>
      </c>
      <c r="E2153" s="1">
        <v>1960087</v>
      </c>
      <c r="F2153" s="1" t="s">
        <v>13</v>
      </c>
      <c r="G2153" s="1" t="s">
        <v>11409</v>
      </c>
    </row>
    <row r="2154" spans="1:7" ht="21" x14ac:dyDescent="0.25">
      <c r="A2154" s="2" t="str">
        <f>HYPERLINK("https://rth.dk/resources/bsgatlas/details.php?id=BSGatlas-gene-2153","BSGatlas-gene-2153")</f>
        <v>BSGatlas-gene-2153</v>
      </c>
      <c r="B2154" s="1" t="s">
        <v>2021</v>
      </c>
      <c r="C2154" s="1" t="s">
        <v>8</v>
      </c>
      <c r="D2154" s="1">
        <v>1960198</v>
      </c>
      <c r="E2154" s="1">
        <v>1964037</v>
      </c>
      <c r="F2154" s="1" t="s">
        <v>13</v>
      </c>
      <c r="G2154" s="1" t="s">
        <v>11409</v>
      </c>
    </row>
    <row r="2155" spans="1:7" ht="21" x14ac:dyDescent="0.25">
      <c r="A2155" s="2" t="str">
        <f>HYPERLINK("https://rth.dk/resources/bsgatlas/details.php?id=BSGatlas-gene-2154","BSGatlas-gene-2154")</f>
        <v>BSGatlas-gene-2154</v>
      </c>
      <c r="B2155" s="1" t="s">
        <v>2022</v>
      </c>
      <c r="C2155" s="1" t="s">
        <v>8</v>
      </c>
      <c r="D2155" s="1">
        <v>1964045</v>
      </c>
      <c r="E2155" s="1">
        <v>1974856</v>
      </c>
      <c r="F2155" s="1" t="s">
        <v>13</v>
      </c>
      <c r="G2155" s="1" t="s">
        <v>11409</v>
      </c>
    </row>
    <row r="2156" spans="1:7" ht="21" x14ac:dyDescent="0.25">
      <c r="A2156" s="2" t="str">
        <f>HYPERLINK("https://rth.dk/resources/bsgatlas/details.php?id=BSGatlas-gene-2155","BSGatlas-gene-2155")</f>
        <v>BSGatlas-gene-2155</v>
      </c>
      <c r="B2156" s="1" t="s">
        <v>2023</v>
      </c>
      <c r="C2156" s="1" t="s">
        <v>8</v>
      </c>
      <c r="D2156" s="1">
        <v>1974881</v>
      </c>
      <c r="E2156" s="1">
        <v>1982548</v>
      </c>
      <c r="F2156" s="1" t="s">
        <v>13</v>
      </c>
      <c r="G2156" s="1" t="s">
        <v>11409</v>
      </c>
    </row>
    <row r="2157" spans="1:7" ht="21" x14ac:dyDescent="0.25">
      <c r="A2157" s="2" t="str">
        <f>HYPERLINK("https://rth.dk/resources/bsgatlas/details.php?id=BSGatlas-gene-2156","BSGatlas-gene-2156")</f>
        <v>BSGatlas-gene-2156</v>
      </c>
      <c r="B2157" s="1" t="s">
        <v>2024</v>
      </c>
      <c r="C2157" s="1" t="s">
        <v>8</v>
      </c>
      <c r="D2157" s="1">
        <v>1982565</v>
      </c>
      <c r="E2157" s="1">
        <v>1990247</v>
      </c>
      <c r="F2157" s="1" t="s">
        <v>13</v>
      </c>
      <c r="G2157" s="1" t="s">
        <v>11409</v>
      </c>
    </row>
    <row r="2158" spans="1:7" ht="21" x14ac:dyDescent="0.25">
      <c r="A2158" s="2" t="str">
        <f>HYPERLINK("https://rth.dk/resources/bsgatlas/details.php?id=BSGatlas-gene-2157","BSGatlas-gene-2157")</f>
        <v>BSGatlas-gene-2157</v>
      </c>
      <c r="B2158" s="1" t="s">
        <v>2025</v>
      </c>
      <c r="C2158" s="1" t="s">
        <v>8</v>
      </c>
      <c r="D2158" s="1">
        <v>1990272</v>
      </c>
      <c r="E2158" s="1">
        <v>1997957</v>
      </c>
      <c r="F2158" s="1" t="s">
        <v>13</v>
      </c>
      <c r="G2158" s="1" t="s">
        <v>11409</v>
      </c>
    </row>
    <row r="2159" spans="1:7" ht="21" x14ac:dyDescent="0.25">
      <c r="A2159" s="2" t="str">
        <f>HYPERLINK("https://rth.dk/resources/bsgatlas/details.php?id=BSGatlas-gene-2158","BSGatlas-gene-2158")</f>
        <v>BSGatlas-gene-2158</v>
      </c>
      <c r="B2159" s="1" t="s">
        <v>2026</v>
      </c>
      <c r="C2159" s="1" t="s">
        <v>8</v>
      </c>
      <c r="D2159" s="1">
        <v>1998340</v>
      </c>
      <c r="E2159" s="1">
        <v>1999815</v>
      </c>
      <c r="F2159" s="1" t="s">
        <v>13</v>
      </c>
      <c r="G2159" s="1" t="s">
        <v>11409</v>
      </c>
    </row>
    <row r="2160" spans="1:7" ht="21" x14ac:dyDescent="0.25">
      <c r="A2160" s="2" t="str">
        <f>HYPERLINK("https://rth.dk/resources/bsgatlas/details.php?id=BSGatlas-gene-2159","BSGatlas-gene-2159")</f>
        <v>BSGatlas-gene-2159</v>
      </c>
      <c r="B2160" s="1" t="s">
        <v>2027</v>
      </c>
      <c r="C2160" s="1" t="s">
        <v>8</v>
      </c>
      <c r="D2160" s="1">
        <v>1999849</v>
      </c>
      <c r="E2160" s="1">
        <v>2000826</v>
      </c>
      <c r="F2160" s="1" t="s">
        <v>13</v>
      </c>
      <c r="G2160" s="1" t="s">
        <v>11409</v>
      </c>
    </row>
    <row r="2161" spans="1:7" ht="21" x14ac:dyDescent="0.25">
      <c r="A2161" s="2" t="str">
        <f>HYPERLINK("https://rth.dk/resources/bsgatlas/details.php?id=BSGatlas-gene-2160","BSGatlas-gene-2160")</f>
        <v>BSGatlas-gene-2160</v>
      </c>
      <c r="B2161" s="1" t="s">
        <v>2028</v>
      </c>
      <c r="C2161" s="1" t="s">
        <v>8</v>
      </c>
      <c r="D2161" s="1">
        <v>2000960</v>
      </c>
      <c r="E2161" s="1">
        <v>2002351</v>
      </c>
      <c r="F2161" s="1" t="s">
        <v>13</v>
      </c>
      <c r="G2161" s="1" t="s">
        <v>11409</v>
      </c>
    </row>
    <row r="2162" spans="1:7" ht="21" x14ac:dyDescent="0.25">
      <c r="A2162" s="2" t="str">
        <f>HYPERLINK("https://rth.dk/resources/bsgatlas/details.php?id=BSGatlas-gene-2161","BSGatlas-gene-2161")</f>
        <v>BSGatlas-gene-2161</v>
      </c>
      <c r="B2162" s="1" t="s">
        <v>2029</v>
      </c>
      <c r="C2162" s="1" t="s">
        <v>8</v>
      </c>
      <c r="D2162" s="1">
        <v>2002637</v>
      </c>
      <c r="E2162" s="1">
        <v>2003182</v>
      </c>
      <c r="F2162" s="1" t="s">
        <v>9</v>
      </c>
      <c r="G2162" s="1" t="s">
        <v>11409</v>
      </c>
    </row>
    <row r="2163" spans="1:7" ht="21" x14ac:dyDescent="0.25">
      <c r="A2163" s="2" t="str">
        <f>HYPERLINK("https://rth.dk/resources/bsgatlas/details.php?id=BSGatlas-gene-2162","BSGatlas-gene-2162")</f>
        <v>BSGatlas-gene-2162</v>
      </c>
      <c r="B2163" s="1" t="s">
        <v>11540</v>
      </c>
      <c r="C2163" s="1" t="s">
        <v>23</v>
      </c>
      <c r="D2163" s="1">
        <v>2003275</v>
      </c>
      <c r="E2163" s="1">
        <v>2003348</v>
      </c>
      <c r="F2163" s="1" t="s">
        <v>13</v>
      </c>
      <c r="G2163" s="1" t="s">
        <v>11411</v>
      </c>
    </row>
    <row r="2164" spans="1:7" ht="21" x14ac:dyDescent="0.25">
      <c r="A2164" s="2" t="str">
        <f>HYPERLINK("https://rth.dk/resources/bsgatlas/details.php?id=BSGatlas-gene-2163","BSGatlas-gene-2163")</f>
        <v>BSGatlas-gene-2163</v>
      </c>
      <c r="B2164" s="1" t="s">
        <v>2030</v>
      </c>
      <c r="C2164" s="1" t="s">
        <v>8</v>
      </c>
      <c r="D2164" s="1">
        <v>2003401</v>
      </c>
      <c r="E2164" s="1">
        <v>2003946</v>
      </c>
      <c r="F2164" s="1" t="s">
        <v>13</v>
      </c>
      <c r="G2164" s="1" t="s">
        <v>11409</v>
      </c>
    </row>
    <row r="2165" spans="1:7" ht="21" x14ac:dyDescent="0.25">
      <c r="A2165" s="2" t="str">
        <f>HYPERLINK("https://rth.dk/resources/bsgatlas/details.php?id=BSGatlas-gene-2164","BSGatlas-gene-2164")</f>
        <v>BSGatlas-gene-2164</v>
      </c>
      <c r="B2165" s="1" t="s">
        <v>2031</v>
      </c>
      <c r="C2165" s="1" t="s">
        <v>8</v>
      </c>
      <c r="D2165" s="1">
        <v>2004262</v>
      </c>
      <c r="E2165" s="1">
        <v>2004492</v>
      </c>
      <c r="F2165" s="1" t="s">
        <v>13</v>
      </c>
      <c r="G2165" s="1" t="s">
        <v>11409</v>
      </c>
    </row>
    <row r="2166" spans="1:7" ht="21" x14ac:dyDescent="0.25">
      <c r="A2166" s="2" t="str">
        <f>HYPERLINK("https://rth.dk/resources/bsgatlas/details.php?id=BSGatlas-gene-2165","BSGatlas-gene-2165")</f>
        <v>BSGatlas-gene-2165</v>
      </c>
      <c r="B2166" s="1" t="s">
        <v>2032</v>
      </c>
      <c r="C2166" s="1" t="s">
        <v>8</v>
      </c>
      <c r="D2166" s="1">
        <v>2004677</v>
      </c>
      <c r="E2166" s="1">
        <v>2006440</v>
      </c>
      <c r="F2166" s="1" t="s">
        <v>9</v>
      </c>
      <c r="G2166" s="1" t="s">
        <v>11409</v>
      </c>
    </row>
    <row r="2167" spans="1:7" ht="21" x14ac:dyDescent="0.25">
      <c r="A2167" s="2" t="str">
        <f>HYPERLINK("https://rth.dk/resources/bsgatlas/details.php?id=BSGatlas-gene-2166","BSGatlas-gene-2166")</f>
        <v>BSGatlas-gene-2166</v>
      </c>
      <c r="B2167" s="1" t="s">
        <v>2033</v>
      </c>
      <c r="C2167" s="1" t="s">
        <v>8</v>
      </c>
      <c r="D2167" s="1">
        <v>2006541</v>
      </c>
      <c r="E2167" s="1">
        <v>2007398</v>
      </c>
      <c r="F2167" s="1" t="s">
        <v>13</v>
      </c>
      <c r="G2167" s="1" t="s">
        <v>11409</v>
      </c>
    </row>
    <row r="2168" spans="1:7" ht="21" x14ac:dyDescent="0.25">
      <c r="A2168" s="2" t="str">
        <f>HYPERLINK("https://rth.dk/resources/bsgatlas/details.php?id=BSGatlas-gene-2167","BSGatlas-gene-2167")</f>
        <v>BSGatlas-gene-2167</v>
      </c>
      <c r="B2168" s="1" t="s">
        <v>2034</v>
      </c>
      <c r="C2168" s="1" t="s">
        <v>8</v>
      </c>
      <c r="D2168" s="1">
        <v>2007526</v>
      </c>
      <c r="E2168" s="1">
        <v>2008515</v>
      </c>
      <c r="F2168" s="1" t="s">
        <v>9</v>
      </c>
      <c r="G2168" s="1" t="s">
        <v>11409</v>
      </c>
    </row>
    <row r="2169" spans="1:7" ht="21" x14ac:dyDescent="0.25">
      <c r="A2169" s="2" t="str">
        <f>HYPERLINK("https://rth.dk/resources/bsgatlas/details.php?id=BSGatlas-gene-2168","BSGatlas-gene-2168")</f>
        <v>BSGatlas-gene-2168</v>
      </c>
      <c r="B2169" s="1" t="s">
        <v>2035</v>
      </c>
      <c r="C2169" s="1" t="s">
        <v>8</v>
      </c>
      <c r="D2169" s="1">
        <v>2008572</v>
      </c>
      <c r="E2169" s="1">
        <v>2010053</v>
      </c>
      <c r="F2169" s="1" t="s">
        <v>13</v>
      </c>
      <c r="G2169" s="1" t="s">
        <v>11409</v>
      </c>
    </row>
    <row r="2170" spans="1:7" ht="21" x14ac:dyDescent="0.25">
      <c r="A2170" s="2" t="str">
        <f>HYPERLINK("https://rth.dk/resources/bsgatlas/details.php?id=BSGatlas-gene-2169","BSGatlas-gene-2169")</f>
        <v>BSGatlas-gene-2169</v>
      </c>
      <c r="B2170" s="1" t="s">
        <v>2036</v>
      </c>
      <c r="C2170" s="1" t="s">
        <v>8</v>
      </c>
      <c r="D2170" s="1">
        <v>2010070</v>
      </c>
      <c r="E2170" s="1">
        <v>2014632</v>
      </c>
      <c r="F2170" s="1" t="s">
        <v>13</v>
      </c>
      <c r="G2170" s="1" t="s">
        <v>11409</v>
      </c>
    </row>
    <row r="2171" spans="1:7" ht="21" x14ac:dyDescent="0.25">
      <c r="A2171" s="2" t="str">
        <f>HYPERLINK("https://rth.dk/resources/bsgatlas/details.php?id=BSGatlas-gene-2170","BSGatlas-gene-2170")</f>
        <v>BSGatlas-gene-2170</v>
      </c>
      <c r="B2171" s="1" t="s">
        <v>2037</v>
      </c>
      <c r="C2171" s="1" t="s">
        <v>8</v>
      </c>
      <c r="D2171" s="1">
        <v>2014779</v>
      </c>
      <c r="E2171" s="1">
        <v>2015681</v>
      </c>
      <c r="F2171" s="1" t="s">
        <v>9</v>
      </c>
      <c r="G2171" s="1" t="s">
        <v>11409</v>
      </c>
    </row>
    <row r="2172" spans="1:7" ht="21" x14ac:dyDescent="0.25">
      <c r="A2172" s="2" t="str">
        <f>HYPERLINK("https://rth.dk/resources/bsgatlas/details.php?id=BSGatlas-gene-2171","BSGatlas-gene-2171")</f>
        <v>BSGatlas-gene-2171</v>
      </c>
      <c r="B2172" s="1" t="s">
        <v>2038</v>
      </c>
      <c r="C2172" s="1" t="s">
        <v>8</v>
      </c>
      <c r="D2172" s="1">
        <v>2015733</v>
      </c>
      <c r="E2172" s="1">
        <v>2016848</v>
      </c>
      <c r="F2172" s="1" t="s">
        <v>13</v>
      </c>
      <c r="G2172" s="1" t="s">
        <v>11409</v>
      </c>
    </row>
    <row r="2173" spans="1:7" ht="21" x14ac:dyDescent="0.25">
      <c r="A2173" s="2" t="str">
        <f>HYPERLINK("https://rth.dk/resources/bsgatlas/details.php?id=BSGatlas-gene-2172","BSGatlas-gene-2172")</f>
        <v>BSGatlas-gene-2172</v>
      </c>
      <c r="B2173" s="1" t="s">
        <v>2039</v>
      </c>
      <c r="C2173" s="1" t="s">
        <v>8</v>
      </c>
      <c r="D2173" s="1">
        <v>2016845</v>
      </c>
      <c r="E2173" s="1">
        <v>2017738</v>
      </c>
      <c r="F2173" s="1" t="s">
        <v>13</v>
      </c>
      <c r="G2173" s="1" t="s">
        <v>11409</v>
      </c>
    </row>
    <row r="2174" spans="1:7" ht="21" x14ac:dyDescent="0.25">
      <c r="A2174" s="2" t="str">
        <f>HYPERLINK("https://rth.dk/resources/bsgatlas/details.php?id=BSGatlas-gene-2173","BSGatlas-gene-2173")</f>
        <v>BSGatlas-gene-2173</v>
      </c>
      <c r="B2174" s="1" t="s">
        <v>2040</v>
      </c>
      <c r="C2174" s="1" t="s">
        <v>8</v>
      </c>
      <c r="D2174" s="1">
        <v>2017886</v>
      </c>
      <c r="E2174" s="1">
        <v>2018254</v>
      </c>
      <c r="F2174" s="1" t="s">
        <v>13</v>
      </c>
      <c r="G2174" s="1" t="s">
        <v>11409</v>
      </c>
    </row>
    <row r="2175" spans="1:7" ht="21" x14ac:dyDescent="0.25">
      <c r="A2175" s="2" t="str">
        <f>HYPERLINK("https://rth.dk/resources/bsgatlas/details.php?id=BSGatlas-gene-2174","BSGatlas-gene-2174")</f>
        <v>BSGatlas-gene-2174</v>
      </c>
      <c r="B2175" s="1" t="s">
        <v>2041</v>
      </c>
      <c r="C2175" s="1" t="s">
        <v>8</v>
      </c>
      <c r="D2175" s="1">
        <v>2018554</v>
      </c>
      <c r="E2175" s="1">
        <v>2019270</v>
      </c>
      <c r="F2175" s="1" t="s">
        <v>13</v>
      </c>
      <c r="G2175" s="1" t="s">
        <v>11409</v>
      </c>
    </row>
    <row r="2176" spans="1:7" ht="21" x14ac:dyDescent="0.25">
      <c r="A2176" s="2" t="str">
        <f>HYPERLINK("https://rth.dk/resources/bsgatlas/details.php?id=BSGatlas-gene-2175","BSGatlas-gene-2175")</f>
        <v>BSGatlas-gene-2175</v>
      </c>
      <c r="B2176" s="1" t="s">
        <v>2042</v>
      </c>
      <c r="C2176" s="1" t="s">
        <v>8</v>
      </c>
      <c r="D2176" s="1">
        <v>2019421</v>
      </c>
      <c r="E2176" s="1">
        <v>2019726</v>
      </c>
      <c r="F2176" s="1" t="s">
        <v>9</v>
      </c>
      <c r="G2176" s="1" t="s">
        <v>11409</v>
      </c>
    </row>
    <row r="2177" spans="1:7" ht="21" x14ac:dyDescent="0.25">
      <c r="A2177" s="2" t="str">
        <f>HYPERLINK("https://rth.dk/resources/bsgatlas/details.php?id=BSGatlas-gene-2176","BSGatlas-gene-2176")</f>
        <v>BSGatlas-gene-2176</v>
      </c>
      <c r="B2177" s="1" t="s">
        <v>2043</v>
      </c>
      <c r="C2177" s="1" t="s">
        <v>8</v>
      </c>
      <c r="D2177" s="1">
        <v>2019797</v>
      </c>
      <c r="E2177" s="1">
        <v>2020567</v>
      </c>
      <c r="F2177" s="1" t="s">
        <v>9</v>
      </c>
      <c r="G2177" s="1" t="s">
        <v>11409</v>
      </c>
    </row>
    <row r="2178" spans="1:7" ht="21" x14ac:dyDescent="0.25">
      <c r="A2178" s="2" t="str">
        <f>HYPERLINK("https://rth.dk/resources/bsgatlas/details.php?id=BSGatlas-gene-2177","BSGatlas-gene-2177")</f>
        <v>BSGatlas-gene-2177</v>
      </c>
      <c r="B2178" s="1" t="s">
        <v>2044</v>
      </c>
      <c r="C2178" s="1" t="s">
        <v>8</v>
      </c>
      <c r="D2178" s="1">
        <v>2020611</v>
      </c>
      <c r="E2178" s="1">
        <v>2021144</v>
      </c>
      <c r="F2178" s="1" t="s">
        <v>9</v>
      </c>
      <c r="G2178" s="1" t="s">
        <v>11409</v>
      </c>
    </row>
    <row r="2179" spans="1:7" ht="21" x14ac:dyDescent="0.25">
      <c r="A2179" s="2" t="str">
        <f>HYPERLINK("https://rth.dk/resources/bsgatlas/details.php?id=BSGatlas-gene-2178","BSGatlas-gene-2178")</f>
        <v>BSGatlas-gene-2178</v>
      </c>
      <c r="B2179" s="1" t="s">
        <v>2045</v>
      </c>
      <c r="C2179" s="1" t="s">
        <v>8</v>
      </c>
      <c r="D2179" s="1">
        <v>2021223</v>
      </c>
      <c r="E2179" s="1">
        <v>2022467</v>
      </c>
      <c r="F2179" s="1" t="s">
        <v>13</v>
      </c>
      <c r="G2179" s="1" t="s">
        <v>11409</v>
      </c>
    </row>
    <row r="2180" spans="1:7" ht="21" x14ac:dyDescent="0.25">
      <c r="A2180" s="2" t="str">
        <f>HYPERLINK("https://rth.dk/resources/bsgatlas/details.php?id=BSGatlas-gene-2179","BSGatlas-gene-2179")</f>
        <v>BSGatlas-gene-2179</v>
      </c>
      <c r="B2180" s="1" t="s">
        <v>2046</v>
      </c>
      <c r="C2180" s="1" t="s">
        <v>8</v>
      </c>
      <c r="D2180" s="1">
        <v>2022561</v>
      </c>
      <c r="E2180" s="1">
        <v>2024024</v>
      </c>
      <c r="F2180" s="1" t="s">
        <v>13</v>
      </c>
      <c r="G2180" s="1" t="s">
        <v>11409</v>
      </c>
    </row>
    <row r="2181" spans="1:7" ht="21" x14ac:dyDescent="0.25">
      <c r="A2181" s="2" t="str">
        <f>HYPERLINK("https://rth.dk/resources/bsgatlas/details.php?id=BSGatlas-gene-2180","BSGatlas-gene-2180")</f>
        <v>BSGatlas-gene-2180</v>
      </c>
      <c r="B2181" s="1" t="s">
        <v>2047</v>
      </c>
      <c r="C2181" s="1" t="s">
        <v>8</v>
      </c>
      <c r="D2181" s="1">
        <v>2024042</v>
      </c>
      <c r="E2181" s="1">
        <v>2025076</v>
      </c>
      <c r="F2181" s="1" t="s">
        <v>13</v>
      </c>
      <c r="G2181" s="1" t="s">
        <v>11409</v>
      </c>
    </row>
    <row r="2182" spans="1:7" ht="21" x14ac:dyDescent="0.25">
      <c r="A2182" s="2" t="str">
        <f>HYPERLINK("https://rth.dk/resources/bsgatlas/details.php?id=BSGatlas-gene-2181","BSGatlas-gene-2181")</f>
        <v>BSGatlas-gene-2181</v>
      </c>
      <c r="B2182" s="1" t="s">
        <v>2048</v>
      </c>
      <c r="C2182" s="1" t="s">
        <v>34</v>
      </c>
      <c r="D2182" s="1">
        <v>2025159</v>
      </c>
      <c r="E2182" s="1">
        <v>2025251</v>
      </c>
      <c r="F2182" s="1" t="s">
        <v>13</v>
      </c>
      <c r="G2182" s="1" t="s">
        <v>11412</v>
      </c>
    </row>
    <row r="2183" spans="1:7" ht="21" x14ac:dyDescent="0.25">
      <c r="A2183" s="2" t="str">
        <f>HYPERLINK("https://rth.dk/resources/bsgatlas/details.php?id=BSGatlas-gene-2182","BSGatlas-gene-2182")</f>
        <v>BSGatlas-gene-2182</v>
      </c>
      <c r="B2183" s="1" t="s">
        <v>2049</v>
      </c>
      <c r="C2183" s="1" t="s">
        <v>8</v>
      </c>
      <c r="D2183" s="1">
        <v>2025400</v>
      </c>
      <c r="E2183" s="1">
        <v>2027442</v>
      </c>
      <c r="F2183" s="1" t="s">
        <v>9</v>
      </c>
      <c r="G2183" s="1" t="s">
        <v>11409</v>
      </c>
    </row>
    <row r="2184" spans="1:7" ht="21" x14ac:dyDescent="0.25">
      <c r="A2184" s="2" t="str">
        <f>HYPERLINK("https://rth.dk/resources/bsgatlas/details.php?id=BSGatlas-gene-2183","BSGatlas-gene-2183")</f>
        <v>BSGatlas-gene-2183</v>
      </c>
      <c r="B2184" s="1" t="s">
        <v>2050</v>
      </c>
      <c r="C2184" s="1" t="s">
        <v>8</v>
      </c>
      <c r="D2184" s="1">
        <v>2027509</v>
      </c>
      <c r="E2184" s="1">
        <v>2027802</v>
      </c>
      <c r="F2184" s="1" t="s">
        <v>9</v>
      </c>
      <c r="G2184" s="1" t="s">
        <v>11409</v>
      </c>
    </row>
    <row r="2185" spans="1:7" ht="21" x14ac:dyDescent="0.25">
      <c r="A2185" s="2" t="str">
        <f>HYPERLINK("https://rth.dk/resources/bsgatlas/details.php?id=BSGatlas-gene-2184","BSGatlas-gene-2184")</f>
        <v>BSGatlas-gene-2184</v>
      </c>
      <c r="B2185" s="1" t="s">
        <v>2051</v>
      </c>
      <c r="C2185" s="1" t="s">
        <v>8</v>
      </c>
      <c r="D2185" s="1">
        <v>2028175</v>
      </c>
      <c r="E2185" s="1">
        <v>2028579</v>
      </c>
      <c r="F2185" s="1" t="s">
        <v>13</v>
      </c>
      <c r="G2185" s="1" t="s">
        <v>11409</v>
      </c>
    </row>
    <row r="2186" spans="1:7" ht="21" x14ac:dyDescent="0.25">
      <c r="A2186" s="2" t="str">
        <f>HYPERLINK("https://rth.dk/resources/bsgatlas/details.php?id=BSGatlas-gene-2185","BSGatlas-gene-2185")</f>
        <v>BSGatlas-gene-2185</v>
      </c>
      <c r="B2186" s="1" t="s">
        <v>318</v>
      </c>
      <c r="C2186" s="1" t="s">
        <v>8</v>
      </c>
      <c r="D2186" s="1">
        <v>2028665</v>
      </c>
      <c r="E2186" s="1">
        <v>2028784</v>
      </c>
      <c r="F2186" s="1" t="s">
        <v>13</v>
      </c>
      <c r="G2186" s="1" t="s">
        <v>11441</v>
      </c>
    </row>
    <row r="2187" spans="1:7" ht="21" x14ac:dyDescent="0.25">
      <c r="A2187" s="2" t="str">
        <f>HYPERLINK("https://rth.dk/resources/bsgatlas/details.php?id=BSGatlas-gene-2186","BSGatlas-gene-2186")</f>
        <v>BSGatlas-gene-2186</v>
      </c>
      <c r="B2187" s="1" t="s">
        <v>318</v>
      </c>
      <c r="C2187" s="1" t="s">
        <v>8</v>
      </c>
      <c r="D2187" s="1">
        <v>2028854</v>
      </c>
      <c r="E2187" s="1">
        <v>2028976</v>
      </c>
      <c r="F2187" s="1" t="s">
        <v>9</v>
      </c>
      <c r="G2187" s="1" t="s">
        <v>11441</v>
      </c>
    </row>
    <row r="2188" spans="1:7" ht="21" x14ac:dyDescent="0.25">
      <c r="A2188" s="2" t="str">
        <f>HYPERLINK("https://rth.dk/resources/bsgatlas/details.php?id=BSGatlas-gene-2187","BSGatlas-gene-2187")</f>
        <v>BSGatlas-gene-2187</v>
      </c>
      <c r="B2188" s="1" t="s">
        <v>2052</v>
      </c>
      <c r="C2188" s="1" t="s">
        <v>8</v>
      </c>
      <c r="D2188" s="1">
        <v>2029020</v>
      </c>
      <c r="E2188" s="1">
        <v>2029313</v>
      </c>
      <c r="F2188" s="1" t="s">
        <v>9</v>
      </c>
      <c r="G2188" s="1" t="s">
        <v>11409</v>
      </c>
    </row>
    <row r="2189" spans="1:7" ht="21" x14ac:dyDescent="0.25">
      <c r="A2189" s="2" t="str">
        <f>HYPERLINK("https://rth.dk/resources/bsgatlas/details.php?id=BSGatlas-gene-2188","BSGatlas-gene-2188")</f>
        <v>BSGatlas-gene-2188</v>
      </c>
      <c r="B2189" s="1" t="s">
        <v>2053</v>
      </c>
      <c r="C2189" s="1" t="s">
        <v>8</v>
      </c>
      <c r="D2189" s="1">
        <v>2029429</v>
      </c>
      <c r="E2189" s="1">
        <v>2031114</v>
      </c>
      <c r="F2189" s="1" t="s">
        <v>13</v>
      </c>
      <c r="G2189" s="1" t="s">
        <v>11409</v>
      </c>
    </row>
    <row r="2190" spans="1:7" ht="21" x14ac:dyDescent="0.25">
      <c r="A2190" s="2" t="str">
        <f>HYPERLINK("https://rth.dk/resources/bsgatlas/details.php?id=BSGatlas-gene-2189","BSGatlas-gene-2189")</f>
        <v>BSGatlas-gene-2189</v>
      </c>
      <c r="B2190" s="1" t="s">
        <v>2054</v>
      </c>
      <c r="C2190" s="1" t="s">
        <v>8</v>
      </c>
      <c r="D2190" s="1">
        <v>2031439</v>
      </c>
      <c r="E2190" s="1">
        <v>2032890</v>
      </c>
      <c r="F2190" s="1" t="s">
        <v>9</v>
      </c>
      <c r="G2190" s="1" t="s">
        <v>11409</v>
      </c>
    </row>
    <row r="2191" spans="1:7" ht="21" x14ac:dyDescent="0.25">
      <c r="A2191" s="2" t="str">
        <f>HYPERLINK("https://rth.dk/resources/bsgatlas/details.php?id=BSGatlas-gene-2190","BSGatlas-gene-2190")</f>
        <v>BSGatlas-gene-2190</v>
      </c>
      <c r="B2191" s="1" t="s">
        <v>2055</v>
      </c>
      <c r="C2191" s="1" t="s">
        <v>8</v>
      </c>
      <c r="D2191" s="1">
        <v>2032927</v>
      </c>
      <c r="E2191" s="1">
        <v>2033625</v>
      </c>
      <c r="F2191" s="1" t="s">
        <v>13</v>
      </c>
      <c r="G2191" s="1" t="s">
        <v>11409</v>
      </c>
    </row>
    <row r="2192" spans="1:7" ht="21" x14ac:dyDescent="0.25">
      <c r="A2192" s="2" t="str">
        <f>HYPERLINK("https://rth.dk/resources/bsgatlas/details.php?id=BSGatlas-gene-2191","BSGatlas-gene-2191")</f>
        <v>BSGatlas-gene-2191</v>
      </c>
      <c r="B2192" s="1" t="s">
        <v>11541</v>
      </c>
      <c r="C2192" s="1" t="s">
        <v>8</v>
      </c>
      <c r="D2192" s="1">
        <v>2033895</v>
      </c>
      <c r="E2192" s="1">
        <v>2034572</v>
      </c>
      <c r="F2192" s="1" t="s">
        <v>13</v>
      </c>
      <c r="G2192" s="1" t="s">
        <v>11409</v>
      </c>
    </row>
    <row r="2193" spans="1:7" ht="21" x14ac:dyDescent="0.25">
      <c r="A2193" s="2" t="str">
        <f>HYPERLINK("https://rth.dk/resources/bsgatlas/details.php?id=BSGatlas-gene-2192","BSGatlas-gene-2192")</f>
        <v>BSGatlas-gene-2192</v>
      </c>
      <c r="B2193" s="1" t="s">
        <v>11542</v>
      </c>
      <c r="C2193" s="1" t="s">
        <v>8</v>
      </c>
      <c r="D2193" s="1">
        <v>2034745</v>
      </c>
      <c r="E2193" s="1">
        <v>2035782</v>
      </c>
      <c r="F2193" s="1" t="s">
        <v>9</v>
      </c>
      <c r="G2193" s="1" t="s">
        <v>11409</v>
      </c>
    </row>
    <row r="2194" spans="1:7" ht="21" x14ac:dyDescent="0.25">
      <c r="A2194" s="2" t="str">
        <f>HYPERLINK("https://rth.dk/resources/bsgatlas/details.php?id=BSGatlas-gene-2193","BSGatlas-gene-2193")</f>
        <v>BSGatlas-gene-2193</v>
      </c>
      <c r="B2194" s="1" t="s">
        <v>2056</v>
      </c>
      <c r="C2194" s="1" t="s">
        <v>8</v>
      </c>
      <c r="D2194" s="1">
        <v>2036039</v>
      </c>
      <c r="E2194" s="1">
        <v>2036722</v>
      </c>
      <c r="F2194" s="1" t="s">
        <v>9</v>
      </c>
      <c r="G2194" s="1" t="s">
        <v>11409</v>
      </c>
    </row>
    <row r="2195" spans="1:7" ht="21" x14ac:dyDescent="0.25">
      <c r="A2195" s="2" t="str">
        <f>HYPERLINK("https://rth.dk/resources/bsgatlas/details.php?id=BSGatlas-gene-2194","BSGatlas-gene-2194")</f>
        <v>BSGatlas-gene-2194</v>
      </c>
      <c r="B2195" s="1" t="s">
        <v>2057</v>
      </c>
      <c r="C2195" s="1" t="s">
        <v>8</v>
      </c>
      <c r="D2195" s="1">
        <v>2037063</v>
      </c>
      <c r="E2195" s="1">
        <v>2037368</v>
      </c>
      <c r="F2195" s="1" t="s">
        <v>13</v>
      </c>
      <c r="G2195" s="1" t="s">
        <v>11409</v>
      </c>
    </row>
    <row r="2196" spans="1:7" ht="21" x14ac:dyDescent="0.25">
      <c r="A2196" s="2" t="str">
        <f>HYPERLINK("https://rth.dk/resources/bsgatlas/details.php?id=BSGatlas-gene-2195","BSGatlas-gene-2195")</f>
        <v>BSGatlas-gene-2195</v>
      </c>
      <c r="B2196" s="1" t="s">
        <v>2058</v>
      </c>
      <c r="C2196" s="1" t="s">
        <v>8</v>
      </c>
      <c r="D2196" s="1">
        <v>2037601</v>
      </c>
      <c r="E2196" s="1">
        <v>2038779</v>
      </c>
      <c r="F2196" s="1" t="s">
        <v>13</v>
      </c>
      <c r="G2196" s="1" t="s">
        <v>11409</v>
      </c>
    </row>
    <row r="2197" spans="1:7" ht="21" x14ac:dyDescent="0.25">
      <c r="A2197" s="2" t="str">
        <f>HYPERLINK("https://rth.dk/resources/bsgatlas/details.php?id=BSGatlas-gene-2196","BSGatlas-gene-2196")</f>
        <v>BSGatlas-gene-2196</v>
      </c>
      <c r="B2197" s="1" t="s">
        <v>2059</v>
      </c>
      <c r="C2197" s="1" t="s">
        <v>8</v>
      </c>
      <c r="D2197" s="1">
        <v>2038902</v>
      </c>
      <c r="E2197" s="1">
        <v>2039390</v>
      </c>
      <c r="F2197" s="1" t="s">
        <v>13</v>
      </c>
      <c r="G2197" s="1" t="s">
        <v>11409</v>
      </c>
    </row>
    <row r="2198" spans="1:7" ht="21" x14ac:dyDescent="0.25">
      <c r="A2198" s="2" t="str">
        <f>HYPERLINK("https://rth.dk/resources/bsgatlas/details.php?id=BSGatlas-gene-2197","BSGatlas-gene-2197")</f>
        <v>BSGatlas-gene-2197</v>
      </c>
      <c r="B2198" s="1" t="s">
        <v>318</v>
      </c>
      <c r="C2198" s="1" t="s">
        <v>8</v>
      </c>
      <c r="D2198" s="1">
        <v>2039415</v>
      </c>
      <c r="E2198" s="1">
        <v>2039570</v>
      </c>
      <c r="F2198" s="1" t="s">
        <v>13</v>
      </c>
      <c r="G2198" s="1" t="s">
        <v>11441</v>
      </c>
    </row>
    <row r="2199" spans="1:7" ht="21" x14ac:dyDescent="0.25">
      <c r="A2199" s="2" t="str">
        <f>HYPERLINK("https://rth.dk/resources/bsgatlas/details.php?id=BSGatlas-gene-2198","BSGatlas-gene-2198")</f>
        <v>BSGatlas-gene-2198</v>
      </c>
      <c r="B2199" s="1" t="s">
        <v>11543</v>
      </c>
      <c r="C2199" s="1" t="s">
        <v>8</v>
      </c>
      <c r="D2199" s="1">
        <v>2039610</v>
      </c>
      <c r="E2199" s="1">
        <v>2040365</v>
      </c>
      <c r="F2199" s="1" t="s">
        <v>13</v>
      </c>
      <c r="G2199" s="1" t="s">
        <v>11409</v>
      </c>
    </row>
    <row r="2200" spans="1:7" ht="21" x14ac:dyDescent="0.25">
      <c r="A2200" s="2" t="str">
        <f>HYPERLINK("https://rth.dk/resources/bsgatlas/details.php?id=BSGatlas-gene-2199","BSGatlas-gene-2199")</f>
        <v>BSGatlas-gene-2199</v>
      </c>
      <c r="B2200" s="1" t="s">
        <v>2060</v>
      </c>
      <c r="C2200" s="1" t="s">
        <v>8</v>
      </c>
      <c r="D2200" s="1">
        <v>2040673</v>
      </c>
      <c r="E2200" s="1">
        <v>2041029</v>
      </c>
      <c r="F2200" s="1" t="s">
        <v>9</v>
      </c>
      <c r="G2200" s="1" t="s">
        <v>11409</v>
      </c>
    </row>
    <row r="2201" spans="1:7" ht="21" x14ac:dyDescent="0.25">
      <c r="A2201" s="2" t="str">
        <f>HYPERLINK("https://rth.dk/resources/bsgatlas/details.php?id=BSGatlas-gene-2200","BSGatlas-gene-2200")</f>
        <v>BSGatlas-gene-2200</v>
      </c>
      <c r="B2201" s="1" t="s">
        <v>2061</v>
      </c>
      <c r="C2201" s="1" t="s">
        <v>8</v>
      </c>
      <c r="D2201" s="1">
        <v>2040988</v>
      </c>
      <c r="E2201" s="1">
        <v>2041227</v>
      </c>
      <c r="F2201" s="1" t="s">
        <v>13</v>
      </c>
      <c r="G2201" s="1" t="s">
        <v>11409</v>
      </c>
    </row>
    <row r="2202" spans="1:7" ht="21" x14ac:dyDescent="0.25">
      <c r="A2202" s="2" t="str">
        <f>HYPERLINK("https://rth.dk/resources/bsgatlas/details.php?id=BSGatlas-gene-2201","BSGatlas-gene-2201")</f>
        <v>BSGatlas-gene-2201</v>
      </c>
      <c r="B2202" s="1" t="s">
        <v>2062</v>
      </c>
      <c r="C2202" s="1" t="s">
        <v>8</v>
      </c>
      <c r="D2202" s="1">
        <v>2041330</v>
      </c>
      <c r="E2202" s="1">
        <v>2041827</v>
      </c>
      <c r="F2202" s="1" t="s">
        <v>13</v>
      </c>
      <c r="G2202" s="1" t="s">
        <v>11409</v>
      </c>
    </row>
    <row r="2203" spans="1:7" ht="21" x14ac:dyDescent="0.25">
      <c r="A2203" s="2" t="str">
        <f>HYPERLINK("https://rth.dk/resources/bsgatlas/details.php?id=BSGatlas-gene-2202","BSGatlas-gene-2202")</f>
        <v>BSGatlas-gene-2202</v>
      </c>
      <c r="B2203" s="1" t="s">
        <v>2063</v>
      </c>
      <c r="C2203" s="1" t="s">
        <v>8</v>
      </c>
      <c r="D2203" s="1">
        <v>2041928</v>
      </c>
      <c r="E2203" s="1">
        <v>2042839</v>
      </c>
      <c r="F2203" s="1" t="s">
        <v>13</v>
      </c>
      <c r="G2203" s="1" t="s">
        <v>11409</v>
      </c>
    </row>
    <row r="2204" spans="1:7" ht="21" x14ac:dyDescent="0.25">
      <c r="A2204" s="2" t="str">
        <f>HYPERLINK("https://rth.dk/resources/bsgatlas/details.php?id=BSGatlas-gene-2203","BSGatlas-gene-2203")</f>
        <v>BSGatlas-gene-2203</v>
      </c>
      <c r="B2204" s="1" t="s">
        <v>2064</v>
      </c>
      <c r="C2204" s="1" t="s">
        <v>8</v>
      </c>
      <c r="D2204" s="1">
        <v>2043186</v>
      </c>
      <c r="E2204" s="1">
        <v>2043668</v>
      </c>
      <c r="F2204" s="1" t="s">
        <v>9</v>
      </c>
      <c r="G2204" s="1" t="s">
        <v>11409</v>
      </c>
    </row>
    <row r="2205" spans="1:7" ht="21" x14ac:dyDescent="0.25">
      <c r="A2205" s="2" t="str">
        <f>HYPERLINK("https://rth.dk/resources/bsgatlas/details.php?id=BSGatlas-gene-2204","BSGatlas-gene-2204")</f>
        <v>BSGatlas-gene-2204</v>
      </c>
      <c r="B2205" s="1" t="s">
        <v>2065</v>
      </c>
      <c r="C2205" s="1" t="s">
        <v>8</v>
      </c>
      <c r="D2205" s="1">
        <v>2043678</v>
      </c>
      <c r="E2205" s="1">
        <v>2043932</v>
      </c>
      <c r="F2205" s="1" t="s">
        <v>9</v>
      </c>
      <c r="G2205" s="1" t="s">
        <v>11409</v>
      </c>
    </row>
    <row r="2206" spans="1:7" ht="21" x14ac:dyDescent="0.25">
      <c r="A2206" s="2" t="str">
        <f>HYPERLINK("https://rth.dk/resources/bsgatlas/details.php?id=BSGatlas-gene-2205","BSGatlas-gene-2205")</f>
        <v>BSGatlas-gene-2205</v>
      </c>
      <c r="B2206" s="1" t="s">
        <v>2066</v>
      </c>
      <c r="C2206" s="1" t="s">
        <v>8</v>
      </c>
      <c r="D2206" s="1">
        <v>2044038</v>
      </c>
      <c r="E2206" s="1">
        <v>2044832</v>
      </c>
      <c r="F2206" s="1" t="s">
        <v>9</v>
      </c>
      <c r="G2206" s="1" t="s">
        <v>11409</v>
      </c>
    </row>
    <row r="2207" spans="1:7" ht="21" x14ac:dyDescent="0.25">
      <c r="A2207" s="2" t="str">
        <f>HYPERLINK("https://rth.dk/resources/bsgatlas/details.php?id=BSGatlas-gene-2206","BSGatlas-gene-2206")</f>
        <v>BSGatlas-gene-2206</v>
      </c>
      <c r="B2207" s="1" t="s">
        <v>2068</v>
      </c>
      <c r="C2207" s="1" t="s">
        <v>8</v>
      </c>
      <c r="D2207" s="1">
        <v>2044956</v>
      </c>
      <c r="E2207" s="1">
        <v>2045828</v>
      </c>
      <c r="F2207" s="1" t="s">
        <v>13</v>
      </c>
      <c r="G2207" s="1" t="s">
        <v>11409</v>
      </c>
    </row>
    <row r="2208" spans="1:7" ht="21" x14ac:dyDescent="0.25">
      <c r="A2208" s="2" t="str">
        <f>HYPERLINK("https://rth.dk/resources/bsgatlas/details.php?id=BSGatlas-gene-2207","BSGatlas-gene-2207")</f>
        <v>BSGatlas-gene-2207</v>
      </c>
      <c r="B2208" s="1" t="s">
        <v>2067</v>
      </c>
      <c r="C2208" s="1" t="s">
        <v>8</v>
      </c>
      <c r="D2208" s="1">
        <v>2045929</v>
      </c>
      <c r="E2208" s="1">
        <v>2046807</v>
      </c>
      <c r="F2208" s="1" t="s">
        <v>9</v>
      </c>
      <c r="G2208" s="1" t="s">
        <v>11409</v>
      </c>
    </row>
    <row r="2209" spans="1:7" ht="21" x14ac:dyDescent="0.25">
      <c r="A2209" s="2" t="str">
        <f>HYPERLINK("https://rth.dk/resources/bsgatlas/details.php?id=BSGatlas-gene-2208","BSGatlas-gene-2208")</f>
        <v>BSGatlas-gene-2208</v>
      </c>
      <c r="B2209" s="1" t="s">
        <v>2069</v>
      </c>
      <c r="C2209" s="1" t="s">
        <v>8</v>
      </c>
      <c r="D2209" s="1">
        <v>2046980</v>
      </c>
      <c r="E2209" s="1">
        <v>2047411</v>
      </c>
      <c r="F2209" s="1" t="s">
        <v>13</v>
      </c>
      <c r="G2209" s="1" t="s">
        <v>11409</v>
      </c>
    </row>
    <row r="2210" spans="1:7" ht="21" x14ac:dyDescent="0.25">
      <c r="A2210" s="2" t="str">
        <f>HYPERLINK("https://rth.dk/resources/bsgatlas/details.php?id=BSGatlas-gene-2209","BSGatlas-gene-2209")</f>
        <v>BSGatlas-gene-2209</v>
      </c>
      <c r="B2210" s="1" t="s">
        <v>2070</v>
      </c>
      <c r="C2210" s="1" t="s">
        <v>8</v>
      </c>
      <c r="D2210" s="1">
        <v>2047675</v>
      </c>
      <c r="E2210" s="1">
        <v>2048307</v>
      </c>
      <c r="F2210" s="1" t="s">
        <v>13</v>
      </c>
      <c r="G2210" s="1" t="s">
        <v>11409</v>
      </c>
    </row>
    <row r="2211" spans="1:7" ht="21" x14ac:dyDescent="0.25">
      <c r="A2211" s="2" t="str">
        <f>HYPERLINK("https://rth.dk/resources/bsgatlas/details.php?id=BSGatlas-gene-2210","BSGatlas-gene-2210")</f>
        <v>BSGatlas-gene-2210</v>
      </c>
      <c r="B2211" s="1" t="s">
        <v>2071</v>
      </c>
      <c r="C2211" s="1" t="s">
        <v>8</v>
      </c>
      <c r="D2211" s="1">
        <v>2048533</v>
      </c>
      <c r="E2211" s="1">
        <v>2049453</v>
      </c>
      <c r="F2211" s="1" t="s">
        <v>9</v>
      </c>
      <c r="G2211" s="1" t="s">
        <v>11409</v>
      </c>
    </row>
    <row r="2212" spans="1:7" ht="21" x14ac:dyDescent="0.25">
      <c r="A2212" s="2" t="str">
        <f>HYPERLINK("https://rth.dk/resources/bsgatlas/details.php?id=BSGatlas-gene-2211","BSGatlas-gene-2211")</f>
        <v>BSGatlas-gene-2211</v>
      </c>
      <c r="B2212" s="1" t="s">
        <v>11544</v>
      </c>
      <c r="C2212" s="1" t="s">
        <v>8</v>
      </c>
      <c r="D2212" s="1">
        <v>2049950</v>
      </c>
      <c r="E2212" s="1">
        <v>2050312</v>
      </c>
      <c r="F2212" s="1" t="s">
        <v>13</v>
      </c>
      <c r="G2212" s="1" t="s">
        <v>11409</v>
      </c>
    </row>
    <row r="2213" spans="1:7" ht="21" x14ac:dyDescent="0.25">
      <c r="A2213" s="2" t="str">
        <f>HYPERLINK("https://rth.dk/resources/bsgatlas/details.php?id=BSGatlas-gene-2212","BSGatlas-gene-2212")</f>
        <v>BSGatlas-gene-2212</v>
      </c>
      <c r="B2213" s="1" t="s">
        <v>11545</v>
      </c>
      <c r="C2213" s="1" t="s">
        <v>276</v>
      </c>
      <c r="D2213" s="1">
        <v>2050373</v>
      </c>
      <c r="E2213" s="1">
        <v>2050585</v>
      </c>
      <c r="F2213" s="1" t="s">
        <v>13</v>
      </c>
      <c r="G2213" s="1" t="s">
        <v>11441</v>
      </c>
    </row>
    <row r="2214" spans="1:7" ht="21" x14ac:dyDescent="0.25">
      <c r="A2214" s="2" t="str">
        <f>HYPERLINK("https://rth.dk/resources/bsgatlas/details.php?id=BSGatlas-gene-2213","BSGatlas-gene-2213")</f>
        <v>BSGatlas-gene-2213</v>
      </c>
      <c r="B2214" s="1" t="s">
        <v>2072</v>
      </c>
      <c r="C2214" s="1" t="s">
        <v>8</v>
      </c>
      <c r="D2214" s="1">
        <v>2050689</v>
      </c>
      <c r="E2214" s="1">
        <v>2050952</v>
      </c>
      <c r="F2214" s="1" t="s">
        <v>9</v>
      </c>
      <c r="G2214" s="1" t="s">
        <v>11409</v>
      </c>
    </row>
    <row r="2215" spans="1:7" ht="21" x14ac:dyDescent="0.25">
      <c r="A2215" s="2" t="str">
        <f>HYPERLINK("https://rth.dk/resources/bsgatlas/details.php?id=BSGatlas-gene-2214","BSGatlas-gene-2214")</f>
        <v>BSGatlas-gene-2214</v>
      </c>
      <c r="B2215" s="1" t="s">
        <v>2073</v>
      </c>
      <c r="C2215" s="1" t="s">
        <v>8</v>
      </c>
      <c r="D2215" s="1">
        <v>2051329</v>
      </c>
      <c r="E2215" s="1">
        <v>2053929</v>
      </c>
      <c r="F2215" s="1" t="s">
        <v>13</v>
      </c>
      <c r="G2215" s="1" t="s">
        <v>11409</v>
      </c>
    </row>
    <row r="2216" spans="1:7" ht="21" x14ac:dyDescent="0.25">
      <c r="A2216" s="2" t="str">
        <f>HYPERLINK("https://rth.dk/resources/bsgatlas/details.php?id=BSGatlas-gene-2215","BSGatlas-gene-2215")</f>
        <v>BSGatlas-gene-2215</v>
      </c>
      <c r="B2216" s="1" t="s">
        <v>2074</v>
      </c>
      <c r="C2216" s="1" t="s">
        <v>55</v>
      </c>
      <c r="D2216" s="1">
        <v>2053989</v>
      </c>
      <c r="E2216" s="1">
        <v>2054109</v>
      </c>
      <c r="F2216" s="1" t="s">
        <v>9</v>
      </c>
      <c r="G2216" s="1" t="s">
        <v>11526</v>
      </c>
    </row>
    <row r="2217" spans="1:7" ht="21" x14ac:dyDescent="0.25">
      <c r="A2217" s="2" t="str">
        <f>HYPERLINK("https://rth.dk/resources/bsgatlas/details.php?id=BSGatlas-gene-2216","BSGatlas-gene-2216")</f>
        <v>BSGatlas-gene-2216</v>
      </c>
      <c r="B2217" s="1" t="s">
        <v>2075</v>
      </c>
      <c r="C2217" s="1" t="s">
        <v>8</v>
      </c>
      <c r="D2217" s="1">
        <v>2054599</v>
      </c>
      <c r="E2217" s="1">
        <v>2055240</v>
      </c>
      <c r="F2217" s="1" t="s">
        <v>13</v>
      </c>
      <c r="G2217" s="1" t="s">
        <v>11409</v>
      </c>
    </row>
    <row r="2218" spans="1:7" ht="21" x14ac:dyDescent="0.25">
      <c r="A2218" s="2" t="str">
        <f>HYPERLINK("https://rth.dk/resources/bsgatlas/details.php?id=BSGatlas-gene-2217","BSGatlas-gene-2217")</f>
        <v>BSGatlas-gene-2217</v>
      </c>
      <c r="B2218" s="1" t="s">
        <v>2076</v>
      </c>
      <c r="C2218" s="1" t="s">
        <v>8</v>
      </c>
      <c r="D2218" s="1">
        <v>2055868</v>
      </c>
      <c r="E2218" s="1">
        <v>2056107</v>
      </c>
      <c r="F2218" s="1" t="s">
        <v>13</v>
      </c>
      <c r="G2218" s="1" t="s">
        <v>11409</v>
      </c>
    </row>
    <row r="2219" spans="1:7" ht="21" x14ac:dyDescent="0.25">
      <c r="A2219" s="2" t="str">
        <f>HYPERLINK("https://rth.dk/resources/bsgatlas/details.php?id=BSGatlas-gene-2218","BSGatlas-gene-2218")</f>
        <v>BSGatlas-gene-2218</v>
      </c>
      <c r="B2219" s="1" t="s">
        <v>2077</v>
      </c>
      <c r="C2219" s="1" t="s">
        <v>8</v>
      </c>
      <c r="D2219" s="1">
        <v>2056278</v>
      </c>
      <c r="E2219" s="1">
        <v>2056616</v>
      </c>
      <c r="F2219" s="1" t="s">
        <v>9</v>
      </c>
      <c r="G2219" s="1" t="s">
        <v>11409</v>
      </c>
    </row>
    <row r="2220" spans="1:7" ht="21" x14ac:dyDescent="0.25">
      <c r="A2220" s="2" t="str">
        <f>HYPERLINK("https://rth.dk/resources/bsgatlas/details.php?id=BSGatlas-gene-2219","BSGatlas-gene-2219")</f>
        <v>BSGatlas-gene-2219</v>
      </c>
      <c r="B2220" s="1" t="s">
        <v>2078</v>
      </c>
      <c r="C2220" s="1" t="s">
        <v>8</v>
      </c>
      <c r="D2220" s="1">
        <v>2056650</v>
      </c>
      <c r="E2220" s="1">
        <v>2057006</v>
      </c>
      <c r="F2220" s="1" t="s">
        <v>13</v>
      </c>
      <c r="G2220" s="1" t="s">
        <v>11409</v>
      </c>
    </row>
    <row r="2221" spans="1:7" ht="21" x14ac:dyDescent="0.25">
      <c r="A2221" s="2" t="str">
        <f>HYPERLINK("https://rth.dk/resources/bsgatlas/details.php?id=BSGatlas-gene-2220","BSGatlas-gene-2220")</f>
        <v>BSGatlas-gene-2220</v>
      </c>
      <c r="B2221" s="1" t="s">
        <v>11546</v>
      </c>
      <c r="C2221" s="1" t="s">
        <v>8</v>
      </c>
      <c r="D2221" s="1">
        <v>2057214</v>
      </c>
      <c r="E2221" s="1">
        <v>2057579</v>
      </c>
      <c r="F2221" s="1" t="s">
        <v>9</v>
      </c>
      <c r="G2221" s="1" t="s">
        <v>11409</v>
      </c>
    </row>
    <row r="2222" spans="1:7" ht="21" x14ac:dyDescent="0.25">
      <c r="A2222" s="2" t="str">
        <f>HYPERLINK("https://rth.dk/resources/bsgatlas/details.php?id=BSGatlas-gene-2221","BSGatlas-gene-2221")</f>
        <v>BSGatlas-gene-2221</v>
      </c>
      <c r="B2222" s="1" t="s">
        <v>2080</v>
      </c>
      <c r="C2222" s="1" t="s">
        <v>8</v>
      </c>
      <c r="D2222" s="1">
        <v>2057801</v>
      </c>
      <c r="E2222" s="1">
        <v>2058460</v>
      </c>
      <c r="F2222" s="1" t="s">
        <v>9</v>
      </c>
      <c r="G2222" s="1" t="s">
        <v>11409</v>
      </c>
    </row>
    <row r="2223" spans="1:7" ht="21" x14ac:dyDescent="0.25">
      <c r="A2223" s="2" t="str">
        <f>HYPERLINK("https://rth.dk/resources/bsgatlas/details.php?id=BSGatlas-gene-2222","BSGatlas-gene-2222")</f>
        <v>BSGatlas-gene-2222</v>
      </c>
      <c r="B2223" s="1" t="s">
        <v>2079</v>
      </c>
      <c r="C2223" s="1" t="s">
        <v>8</v>
      </c>
      <c r="D2223" s="1">
        <v>2058715</v>
      </c>
      <c r="E2223" s="1">
        <v>2059638</v>
      </c>
      <c r="F2223" s="1" t="s">
        <v>13</v>
      </c>
      <c r="G2223" s="1" t="s">
        <v>11409</v>
      </c>
    </row>
    <row r="2224" spans="1:7" ht="21" x14ac:dyDescent="0.25">
      <c r="A2224" s="2" t="str">
        <f>HYPERLINK("https://rth.dk/resources/bsgatlas/details.php?id=BSGatlas-gene-2223","BSGatlas-gene-2223")</f>
        <v>BSGatlas-gene-2223</v>
      </c>
      <c r="B2224" s="1" t="s">
        <v>11547</v>
      </c>
      <c r="C2224" s="1" t="s">
        <v>8</v>
      </c>
      <c r="D2224" s="1">
        <v>2059691</v>
      </c>
      <c r="E2224" s="1">
        <v>2059864</v>
      </c>
      <c r="F2224" s="1" t="s">
        <v>13</v>
      </c>
      <c r="G2224" s="1" t="s">
        <v>11409</v>
      </c>
    </row>
    <row r="2225" spans="1:7" ht="21" x14ac:dyDescent="0.25">
      <c r="A2225" s="2" t="str">
        <f>HYPERLINK("https://rth.dk/resources/bsgatlas/details.php?id=BSGatlas-gene-2224","BSGatlas-gene-2224")</f>
        <v>BSGatlas-gene-2224</v>
      </c>
      <c r="B2225" s="1" t="s">
        <v>2081</v>
      </c>
      <c r="C2225" s="1" t="s">
        <v>8</v>
      </c>
      <c r="D2225" s="1">
        <v>2060009</v>
      </c>
      <c r="E2225" s="1">
        <v>2060233</v>
      </c>
      <c r="F2225" s="1" t="s">
        <v>9</v>
      </c>
      <c r="G2225" s="1" t="s">
        <v>11409</v>
      </c>
    </row>
    <row r="2226" spans="1:7" ht="21" x14ac:dyDescent="0.25">
      <c r="A2226" s="2" t="str">
        <f>HYPERLINK("https://rth.dk/resources/bsgatlas/details.php?id=BSGatlas-gene-2225","BSGatlas-gene-2225")</f>
        <v>BSGatlas-gene-2225</v>
      </c>
      <c r="B2226" s="1" t="s">
        <v>2082</v>
      </c>
      <c r="C2226" s="1" t="s">
        <v>8</v>
      </c>
      <c r="D2226" s="1">
        <v>2060237</v>
      </c>
      <c r="E2226" s="1">
        <v>2060692</v>
      </c>
      <c r="F2226" s="1" t="s">
        <v>13</v>
      </c>
      <c r="G2226" s="1" t="s">
        <v>11409</v>
      </c>
    </row>
    <row r="2227" spans="1:7" ht="21" x14ac:dyDescent="0.25">
      <c r="A2227" s="2" t="str">
        <f>HYPERLINK("https://rth.dk/resources/bsgatlas/details.php?id=BSGatlas-gene-2226","BSGatlas-gene-2226")</f>
        <v>BSGatlas-gene-2226</v>
      </c>
      <c r="B2227" s="1" t="s">
        <v>2083</v>
      </c>
      <c r="C2227" s="1" t="s">
        <v>8</v>
      </c>
      <c r="D2227" s="1">
        <v>2060817</v>
      </c>
      <c r="E2227" s="1">
        <v>2061077</v>
      </c>
      <c r="F2227" s="1" t="s">
        <v>9</v>
      </c>
      <c r="G2227" s="1" t="s">
        <v>11409</v>
      </c>
    </row>
    <row r="2228" spans="1:7" ht="21" x14ac:dyDescent="0.25">
      <c r="A2228" s="2" t="str">
        <f>HYPERLINK("https://rth.dk/resources/bsgatlas/details.php?id=BSGatlas-gene-2227","BSGatlas-gene-2227")</f>
        <v>BSGatlas-gene-2227</v>
      </c>
      <c r="B2228" s="1" t="s">
        <v>2084</v>
      </c>
      <c r="C2228" s="1" t="s">
        <v>276</v>
      </c>
      <c r="D2228" s="1">
        <v>2061855</v>
      </c>
      <c r="E2228" s="1">
        <v>2061995</v>
      </c>
      <c r="F2228" s="1" t="s">
        <v>9</v>
      </c>
      <c r="G2228" s="1" t="s">
        <v>11441</v>
      </c>
    </row>
    <row r="2229" spans="1:7" ht="21" x14ac:dyDescent="0.25">
      <c r="A2229" s="2" t="str">
        <f>HYPERLINK("https://rth.dk/resources/bsgatlas/details.php?id=BSGatlas-gene-2228","BSGatlas-gene-2228")</f>
        <v>BSGatlas-gene-2228</v>
      </c>
      <c r="B2229" s="1" t="s">
        <v>2085</v>
      </c>
      <c r="C2229" s="1" t="s">
        <v>8</v>
      </c>
      <c r="D2229" s="1">
        <v>2062150</v>
      </c>
      <c r="E2229" s="1">
        <v>2063265</v>
      </c>
      <c r="F2229" s="1" t="s">
        <v>9</v>
      </c>
      <c r="G2229" s="1" t="s">
        <v>11409</v>
      </c>
    </row>
    <row r="2230" spans="1:7" ht="21" x14ac:dyDescent="0.25">
      <c r="A2230" s="2" t="str">
        <f>HYPERLINK("https://rth.dk/resources/bsgatlas/details.php?id=BSGatlas-gene-2229","BSGatlas-gene-2229")</f>
        <v>BSGatlas-gene-2229</v>
      </c>
      <c r="B2230" s="1" t="s">
        <v>2086</v>
      </c>
      <c r="C2230" s="1" t="s">
        <v>8</v>
      </c>
      <c r="D2230" s="1">
        <v>2063262</v>
      </c>
      <c r="E2230" s="1">
        <v>2063384</v>
      </c>
      <c r="F2230" s="1" t="s">
        <v>9</v>
      </c>
      <c r="G2230" s="1" t="s">
        <v>11409</v>
      </c>
    </row>
    <row r="2231" spans="1:7" ht="21" x14ac:dyDescent="0.25">
      <c r="A2231" s="2" t="str">
        <f>HYPERLINK("https://rth.dk/resources/bsgatlas/details.php?id=BSGatlas-gene-2230","BSGatlas-gene-2230")</f>
        <v>BSGatlas-gene-2230</v>
      </c>
      <c r="B2231" s="1" t="s">
        <v>2087</v>
      </c>
      <c r="C2231" s="1" t="s">
        <v>276</v>
      </c>
      <c r="D2231" s="1">
        <v>2063510</v>
      </c>
      <c r="E2231" s="1">
        <v>2064163</v>
      </c>
      <c r="F2231" s="1" t="s">
        <v>13</v>
      </c>
      <c r="G2231" s="1" t="s">
        <v>11409</v>
      </c>
    </row>
    <row r="2232" spans="1:7" ht="21" x14ac:dyDescent="0.25">
      <c r="A2232" s="2" t="str">
        <f>HYPERLINK("https://rth.dk/resources/bsgatlas/details.php?id=BSGatlas-gene-2231","BSGatlas-gene-2231")</f>
        <v>BSGatlas-gene-2231</v>
      </c>
      <c r="B2232" s="1" t="s">
        <v>2088</v>
      </c>
      <c r="C2232" s="1" t="s">
        <v>276</v>
      </c>
      <c r="D2232" s="1">
        <v>2064200</v>
      </c>
      <c r="E2232" s="1">
        <v>2064547</v>
      </c>
      <c r="F2232" s="1" t="s">
        <v>13</v>
      </c>
      <c r="G2232" s="1" t="s">
        <v>11409</v>
      </c>
    </row>
    <row r="2233" spans="1:7" ht="21" x14ac:dyDescent="0.25">
      <c r="A2233" s="2" t="str">
        <f>HYPERLINK("https://rth.dk/resources/bsgatlas/details.php?id=BSGatlas-gene-2232","BSGatlas-gene-2232")</f>
        <v>BSGatlas-gene-2232</v>
      </c>
      <c r="B2233" s="1" t="s">
        <v>2089</v>
      </c>
      <c r="C2233" s="1" t="s">
        <v>8</v>
      </c>
      <c r="D2233" s="1">
        <v>2064540</v>
      </c>
      <c r="E2233" s="1">
        <v>2064833</v>
      </c>
      <c r="F2233" s="1" t="s">
        <v>13</v>
      </c>
      <c r="G2233" s="1" t="s">
        <v>11409</v>
      </c>
    </row>
    <row r="2234" spans="1:7" ht="21" x14ac:dyDescent="0.25">
      <c r="A2234" s="2" t="str">
        <f>HYPERLINK("https://rth.dk/resources/bsgatlas/details.php?id=BSGatlas-gene-2233","BSGatlas-gene-2233")</f>
        <v>BSGatlas-gene-2233</v>
      </c>
      <c r="B2234" s="1" t="s">
        <v>2090</v>
      </c>
      <c r="C2234" s="1" t="s">
        <v>8</v>
      </c>
      <c r="D2234" s="1">
        <v>2065042</v>
      </c>
      <c r="E2234" s="1">
        <v>2065377</v>
      </c>
      <c r="F2234" s="1" t="s">
        <v>9</v>
      </c>
      <c r="G2234" s="1" t="s">
        <v>11409</v>
      </c>
    </row>
    <row r="2235" spans="1:7" ht="21" x14ac:dyDescent="0.25">
      <c r="A2235" s="2" t="str">
        <f>HYPERLINK("https://rth.dk/resources/bsgatlas/details.php?id=BSGatlas-gene-2234","BSGatlas-gene-2234")</f>
        <v>BSGatlas-gene-2234</v>
      </c>
      <c r="B2235" s="1" t="s">
        <v>2091</v>
      </c>
      <c r="C2235" s="1" t="s">
        <v>8</v>
      </c>
      <c r="D2235" s="1">
        <v>2065424</v>
      </c>
      <c r="E2235" s="1">
        <v>2069029</v>
      </c>
      <c r="F2235" s="1" t="s">
        <v>13</v>
      </c>
      <c r="G2235" s="1" t="s">
        <v>11409</v>
      </c>
    </row>
    <row r="2236" spans="1:7" ht="21" x14ac:dyDescent="0.25">
      <c r="A2236" s="2" t="str">
        <f>HYPERLINK("https://rth.dk/resources/bsgatlas/details.php?id=BSGatlas-gene-2235","BSGatlas-gene-2235")</f>
        <v>BSGatlas-gene-2235</v>
      </c>
      <c r="B2236" s="1" t="s">
        <v>2092</v>
      </c>
      <c r="C2236" s="1" t="s">
        <v>34</v>
      </c>
      <c r="D2236" s="1">
        <v>2069075</v>
      </c>
      <c r="E2236" s="1">
        <v>2069168</v>
      </c>
      <c r="F2236" s="1" t="s">
        <v>13</v>
      </c>
      <c r="G2236" s="1" t="s">
        <v>11408</v>
      </c>
    </row>
    <row r="2237" spans="1:7" ht="21" x14ac:dyDescent="0.25">
      <c r="A2237" s="2" t="str">
        <f>HYPERLINK("https://rth.dk/resources/bsgatlas/details.php?id=BSGatlas-gene-2236","BSGatlas-gene-2236")</f>
        <v>BSGatlas-gene-2236</v>
      </c>
      <c r="B2237" s="1" t="s">
        <v>2093</v>
      </c>
      <c r="C2237" s="1" t="s">
        <v>276</v>
      </c>
      <c r="D2237" s="1">
        <v>2069262</v>
      </c>
      <c r="E2237" s="1">
        <v>2069561</v>
      </c>
      <c r="F2237" s="1" t="s">
        <v>13</v>
      </c>
      <c r="G2237" s="1" t="s">
        <v>11441</v>
      </c>
    </row>
    <row r="2238" spans="1:7" ht="21" x14ac:dyDescent="0.25">
      <c r="A2238" s="2" t="str">
        <f>HYPERLINK("https://rth.dk/resources/bsgatlas/details.php?id=BSGatlas-gene-2237","BSGatlas-gene-2237")</f>
        <v>BSGatlas-gene-2237</v>
      </c>
      <c r="B2238" s="1" t="s">
        <v>2094</v>
      </c>
      <c r="C2238" s="1" t="s">
        <v>55</v>
      </c>
      <c r="D2238" s="1">
        <v>2069732</v>
      </c>
      <c r="E2238" s="1">
        <v>2070118</v>
      </c>
      <c r="F2238" s="1" t="s">
        <v>13</v>
      </c>
      <c r="G2238" s="1" t="s">
        <v>11455</v>
      </c>
    </row>
    <row r="2239" spans="1:7" ht="21" x14ac:dyDescent="0.25">
      <c r="A2239" s="2" t="str">
        <f>HYPERLINK("https://rth.dk/resources/bsgatlas/details.php?id=BSGatlas-gene-2238","BSGatlas-gene-2238")</f>
        <v>BSGatlas-gene-2238</v>
      </c>
      <c r="B2239" s="1" t="s">
        <v>2095</v>
      </c>
      <c r="C2239" s="1" t="s">
        <v>55</v>
      </c>
      <c r="D2239" s="1">
        <v>2069811</v>
      </c>
      <c r="E2239" s="1">
        <v>2070075</v>
      </c>
      <c r="F2239" s="1" t="s">
        <v>9</v>
      </c>
      <c r="G2239" s="1" t="s">
        <v>11526</v>
      </c>
    </row>
    <row r="2240" spans="1:7" ht="21" x14ac:dyDescent="0.25">
      <c r="A2240" s="2" t="str">
        <f>HYPERLINK("https://rth.dk/resources/bsgatlas/details.php?id=BSGatlas-gene-2239","BSGatlas-gene-2239")</f>
        <v>BSGatlas-gene-2239</v>
      </c>
      <c r="B2240" s="1" t="s">
        <v>2096</v>
      </c>
      <c r="C2240" s="1" t="s">
        <v>8</v>
      </c>
      <c r="D2240" s="1">
        <v>2069883</v>
      </c>
      <c r="E2240" s="1">
        <v>2069975</v>
      </c>
      <c r="F2240" s="1" t="s">
        <v>9</v>
      </c>
      <c r="G2240" s="1" t="s">
        <v>11409</v>
      </c>
    </row>
    <row r="2241" spans="1:7" ht="21" x14ac:dyDescent="0.25">
      <c r="A2241" s="2" t="str">
        <f>HYPERLINK("https://rth.dk/resources/bsgatlas/details.php?id=BSGatlas-gene-2240","BSGatlas-gene-2240")</f>
        <v>BSGatlas-gene-2240</v>
      </c>
      <c r="B2241" s="1" t="s">
        <v>2097</v>
      </c>
      <c r="C2241" s="1" t="s">
        <v>2098</v>
      </c>
      <c r="D2241" s="1">
        <v>2069964</v>
      </c>
      <c r="E2241" s="1">
        <v>2070126</v>
      </c>
      <c r="F2241" s="1" t="s">
        <v>13</v>
      </c>
      <c r="G2241" s="1" t="s">
        <v>11548</v>
      </c>
    </row>
    <row r="2242" spans="1:7" ht="21" x14ac:dyDescent="0.25">
      <c r="A2242" s="2" t="str">
        <f>HYPERLINK("https://rth.dk/resources/bsgatlas/details.php?id=BSGatlas-gene-2241","BSGatlas-gene-2241")</f>
        <v>BSGatlas-gene-2241</v>
      </c>
      <c r="B2242" s="1" t="s">
        <v>2099</v>
      </c>
      <c r="C2242" s="1" t="s">
        <v>8</v>
      </c>
      <c r="D2242" s="1">
        <v>2070244</v>
      </c>
      <c r="E2242" s="1">
        <v>2071086</v>
      </c>
      <c r="F2242" s="1" t="s">
        <v>13</v>
      </c>
      <c r="G2242" s="1" t="s">
        <v>11409</v>
      </c>
    </row>
    <row r="2243" spans="1:7" ht="21" x14ac:dyDescent="0.25">
      <c r="A2243" s="2" t="str">
        <f>HYPERLINK("https://rth.dk/resources/bsgatlas/details.php?id=BSGatlas-gene-2242","BSGatlas-gene-2242")</f>
        <v>BSGatlas-gene-2242</v>
      </c>
      <c r="B2243" s="1" t="s">
        <v>2100</v>
      </c>
      <c r="C2243" s="1" t="s">
        <v>8</v>
      </c>
      <c r="D2243" s="1">
        <v>2071286</v>
      </c>
      <c r="E2243" s="1">
        <v>2071744</v>
      </c>
      <c r="F2243" s="1" t="s">
        <v>13</v>
      </c>
      <c r="G2243" s="1" t="s">
        <v>11409</v>
      </c>
    </row>
    <row r="2244" spans="1:7" ht="21" x14ac:dyDescent="0.25">
      <c r="A2244" s="2" t="str">
        <f>HYPERLINK("https://rth.dk/resources/bsgatlas/details.php?id=BSGatlas-gene-2243","BSGatlas-gene-2243")</f>
        <v>BSGatlas-gene-2243</v>
      </c>
      <c r="B2244" s="1" t="s">
        <v>2101</v>
      </c>
      <c r="C2244" s="1" t="s">
        <v>8</v>
      </c>
      <c r="D2244" s="1">
        <v>2071754</v>
      </c>
      <c r="E2244" s="1">
        <v>2073556</v>
      </c>
      <c r="F2244" s="1" t="s">
        <v>13</v>
      </c>
      <c r="G2244" s="1" t="s">
        <v>11409</v>
      </c>
    </row>
    <row r="2245" spans="1:7" ht="21" x14ac:dyDescent="0.25">
      <c r="A2245" s="2" t="str">
        <f>HYPERLINK("https://rth.dk/resources/bsgatlas/details.php?id=BSGatlas-gene-2244","BSGatlas-gene-2244")</f>
        <v>BSGatlas-gene-2244</v>
      </c>
      <c r="B2245" s="1" t="s">
        <v>2102</v>
      </c>
      <c r="C2245" s="1" t="s">
        <v>8</v>
      </c>
      <c r="D2245" s="1">
        <v>2073658</v>
      </c>
      <c r="E2245" s="1">
        <v>2074215</v>
      </c>
      <c r="F2245" s="1" t="s">
        <v>13</v>
      </c>
      <c r="G2245" s="1" t="s">
        <v>11409</v>
      </c>
    </row>
    <row r="2246" spans="1:7" ht="21" x14ac:dyDescent="0.25">
      <c r="A2246" s="2" t="str">
        <f>HYPERLINK("https://rth.dk/resources/bsgatlas/details.php?id=BSGatlas-gene-2245","BSGatlas-gene-2245")</f>
        <v>BSGatlas-gene-2245</v>
      </c>
      <c r="B2246" s="1" t="s">
        <v>2103</v>
      </c>
      <c r="C2246" s="1" t="s">
        <v>8</v>
      </c>
      <c r="D2246" s="1">
        <v>2074343</v>
      </c>
      <c r="E2246" s="1">
        <v>2075779</v>
      </c>
      <c r="F2246" s="1" t="s">
        <v>9</v>
      </c>
      <c r="G2246" s="1" t="s">
        <v>11409</v>
      </c>
    </row>
    <row r="2247" spans="1:7" ht="21" x14ac:dyDescent="0.25">
      <c r="A2247" s="2" t="str">
        <f>HYPERLINK("https://rth.dk/resources/bsgatlas/details.php?id=BSGatlas-gene-2246","BSGatlas-gene-2246")</f>
        <v>BSGatlas-gene-2246</v>
      </c>
      <c r="B2247" s="1" t="s">
        <v>2104</v>
      </c>
      <c r="C2247" s="1" t="s">
        <v>8</v>
      </c>
      <c r="D2247" s="1">
        <v>2076206</v>
      </c>
      <c r="E2247" s="1">
        <v>2078626</v>
      </c>
      <c r="F2247" s="1" t="s">
        <v>9</v>
      </c>
      <c r="G2247" s="1" t="s">
        <v>11409</v>
      </c>
    </row>
    <row r="2248" spans="1:7" ht="21" x14ac:dyDescent="0.25">
      <c r="A2248" s="2" t="str">
        <f>HYPERLINK("https://rth.dk/resources/bsgatlas/details.php?id=BSGatlas-gene-2247","BSGatlas-gene-2247")</f>
        <v>BSGatlas-gene-2247</v>
      </c>
      <c r="B2248" s="1" t="s">
        <v>2110</v>
      </c>
      <c r="C2248" s="1" t="s">
        <v>55</v>
      </c>
      <c r="D2248" s="1">
        <v>2079094</v>
      </c>
      <c r="E2248" s="1">
        <v>2079225</v>
      </c>
      <c r="F2248" s="1" t="s">
        <v>9</v>
      </c>
      <c r="G2248" s="1" t="s">
        <v>11518</v>
      </c>
    </row>
    <row r="2249" spans="1:7" ht="21" x14ac:dyDescent="0.25">
      <c r="A2249" s="2" t="str">
        <f>HYPERLINK("https://rth.dk/resources/bsgatlas/details.php?id=BSGatlas-gene-2248","BSGatlas-gene-2248")</f>
        <v>BSGatlas-gene-2248</v>
      </c>
      <c r="B2249" s="1" t="s">
        <v>2105</v>
      </c>
      <c r="C2249" s="1" t="s">
        <v>8</v>
      </c>
      <c r="D2249" s="1">
        <v>2079214</v>
      </c>
      <c r="E2249" s="1">
        <v>2079546</v>
      </c>
      <c r="F2249" s="1" t="s">
        <v>13</v>
      </c>
      <c r="G2249" s="1" t="s">
        <v>11409</v>
      </c>
    </row>
    <row r="2250" spans="1:7" ht="21" x14ac:dyDescent="0.25">
      <c r="A2250" s="2" t="str">
        <f>HYPERLINK("https://rth.dk/resources/bsgatlas/details.php?id=BSGatlas-gene-2249","BSGatlas-gene-2249")</f>
        <v>BSGatlas-gene-2249</v>
      </c>
      <c r="B2250" s="1" t="s">
        <v>2106</v>
      </c>
      <c r="C2250" s="1" t="s">
        <v>8</v>
      </c>
      <c r="D2250" s="1">
        <v>2079611</v>
      </c>
      <c r="E2250" s="1">
        <v>2080336</v>
      </c>
      <c r="F2250" s="1" t="s">
        <v>13</v>
      </c>
      <c r="G2250" s="1" t="s">
        <v>11409</v>
      </c>
    </row>
    <row r="2251" spans="1:7" ht="21" x14ac:dyDescent="0.25">
      <c r="A2251" s="2" t="str">
        <f>HYPERLINK("https://rth.dk/resources/bsgatlas/details.php?id=BSGatlas-gene-2250","BSGatlas-gene-2250")</f>
        <v>BSGatlas-gene-2250</v>
      </c>
      <c r="B2251" s="1" t="s">
        <v>2107</v>
      </c>
      <c r="C2251" s="1" t="s">
        <v>8</v>
      </c>
      <c r="D2251" s="1">
        <v>2080351</v>
      </c>
      <c r="E2251" s="1">
        <v>2081094</v>
      </c>
      <c r="F2251" s="1" t="s">
        <v>13</v>
      </c>
      <c r="G2251" s="1" t="s">
        <v>11409</v>
      </c>
    </row>
    <row r="2252" spans="1:7" ht="21" x14ac:dyDescent="0.25">
      <c r="A2252" s="2" t="str">
        <f>HYPERLINK("https://rth.dk/resources/bsgatlas/details.php?id=BSGatlas-gene-2251","BSGatlas-gene-2251")</f>
        <v>BSGatlas-gene-2251</v>
      </c>
      <c r="B2252" s="1" t="s">
        <v>2108</v>
      </c>
      <c r="C2252" s="1" t="s">
        <v>8</v>
      </c>
      <c r="D2252" s="1">
        <v>2081172</v>
      </c>
      <c r="E2252" s="1">
        <v>2081747</v>
      </c>
      <c r="F2252" s="1" t="s">
        <v>13</v>
      </c>
      <c r="G2252" s="1" t="s">
        <v>11409</v>
      </c>
    </row>
    <row r="2253" spans="1:7" ht="21" x14ac:dyDescent="0.25">
      <c r="A2253" s="2" t="str">
        <f>HYPERLINK("https://rth.dk/resources/bsgatlas/details.php?id=BSGatlas-gene-2252","BSGatlas-gene-2252")</f>
        <v>BSGatlas-gene-2252</v>
      </c>
      <c r="B2253" s="1" t="s">
        <v>2109</v>
      </c>
      <c r="C2253" s="1" t="s">
        <v>8</v>
      </c>
      <c r="D2253" s="1">
        <v>2081753</v>
      </c>
      <c r="E2253" s="1">
        <v>2082454</v>
      </c>
      <c r="F2253" s="1" t="s">
        <v>13</v>
      </c>
      <c r="G2253" s="1" t="s">
        <v>11409</v>
      </c>
    </row>
    <row r="2254" spans="1:7" ht="21" x14ac:dyDescent="0.25">
      <c r="A2254" s="2" t="str">
        <f>HYPERLINK("https://rth.dk/resources/bsgatlas/details.php?id=BSGatlas-gene-2253","BSGatlas-gene-2253")</f>
        <v>BSGatlas-gene-2253</v>
      </c>
      <c r="B2254" s="1" t="s">
        <v>2111</v>
      </c>
      <c r="C2254" s="1" t="s">
        <v>8</v>
      </c>
      <c r="D2254" s="1">
        <v>2082531</v>
      </c>
      <c r="E2254" s="1">
        <v>2083013</v>
      </c>
      <c r="F2254" s="1" t="s">
        <v>13</v>
      </c>
      <c r="G2254" s="1" t="s">
        <v>11409</v>
      </c>
    </row>
    <row r="2255" spans="1:7" ht="21" x14ac:dyDescent="0.25">
      <c r="A2255" s="2" t="str">
        <f>HYPERLINK("https://rth.dk/resources/bsgatlas/details.php?id=BSGatlas-gene-2254","BSGatlas-gene-2254")</f>
        <v>BSGatlas-gene-2254</v>
      </c>
      <c r="B2255" s="1" t="s">
        <v>2112</v>
      </c>
      <c r="C2255" s="1" t="s">
        <v>8</v>
      </c>
      <c r="D2255" s="1">
        <v>2083067</v>
      </c>
      <c r="E2255" s="1">
        <v>2084008</v>
      </c>
      <c r="F2255" s="1" t="s">
        <v>13</v>
      </c>
      <c r="G2255" s="1" t="s">
        <v>11409</v>
      </c>
    </row>
    <row r="2256" spans="1:7" ht="21" x14ac:dyDescent="0.25">
      <c r="A2256" s="2" t="str">
        <f>HYPERLINK("https://rth.dk/resources/bsgatlas/details.php?id=BSGatlas-gene-2255","BSGatlas-gene-2255")</f>
        <v>BSGatlas-gene-2255</v>
      </c>
      <c r="B2256" s="1" t="s">
        <v>2113</v>
      </c>
      <c r="C2256" s="1" t="s">
        <v>8</v>
      </c>
      <c r="D2256" s="1">
        <v>2084214</v>
      </c>
      <c r="E2256" s="1">
        <v>2084759</v>
      </c>
      <c r="F2256" s="1" t="s">
        <v>9</v>
      </c>
      <c r="G2256" s="1" t="s">
        <v>11409</v>
      </c>
    </row>
    <row r="2257" spans="1:7" ht="21" x14ac:dyDescent="0.25">
      <c r="A2257" s="2" t="str">
        <f>HYPERLINK("https://rth.dk/resources/bsgatlas/details.php?id=BSGatlas-gene-2256","BSGatlas-gene-2256")</f>
        <v>BSGatlas-gene-2256</v>
      </c>
      <c r="B2257" s="1" t="s">
        <v>2114</v>
      </c>
      <c r="C2257" s="1" t="s">
        <v>8</v>
      </c>
      <c r="D2257" s="1">
        <v>2084786</v>
      </c>
      <c r="E2257" s="1">
        <v>2085109</v>
      </c>
      <c r="F2257" s="1" t="s">
        <v>13</v>
      </c>
      <c r="G2257" s="1" t="s">
        <v>11409</v>
      </c>
    </row>
    <row r="2258" spans="1:7" ht="21" x14ac:dyDescent="0.25">
      <c r="A2258" s="2" t="str">
        <f>HYPERLINK("https://rth.dk/resources/bsgatlas/details.php?id=BSGatlas-gene-2257","BSGatlas-gene-2257")</f>
        <v>BSGatlas-gene-2257</v>
      </c>
      <c r="B2258" s="1" t="s">
        <v>2115</v>
      </c>
      <c r="C2258" s="1" t="s">
        <v>8</v>
      </c>
      <c r="D2258" s="1">
        <v>2085303</v>
      </c>
      <c r="E2258" s="1">
        <v>2085980</v>
      </c>
      <c r="F2258" s="1" t="s">
        <v>9</v>
      </c>
      <c r="G2258" s="1" t="s">
        <v>11409</v>
      </c>
    </row>
    <row r="2259" spans="1:7" ht="21" x14ac:dyDescent="0.25">
      <c r="A2259" s="2" t="str">
        <f>HYPERLINK("https://rth.dk/resources/bsgatlas/details.php?id=BSGatlas-gene-2258","BSGatlas-gene-2258")</f>
        <v>BSGatlas-gene-2258</v>
      </c>
      <c r="B2259" s="1" t="s">
        <v>2116</v>
      </c>
      <c r="C2259" s="1" t="s">
        <v>8</v>
      </c>
      <c r="D2259" s="1">
        <v>2086070</v>
      </c>
      <c r="E2259" s="1">
        <v>2086606</v>
      </c>
      <c r="F2259" s="1" t="s">
        <v>13</v>
      </c>
      <c r="G2259" s="1" t="s">
        <v>11409</v>
      </c>
    </row>
    <row r="2260" spans="1:7" ht="21" x14ac:dyDescent="0.25">
      <c r="A2260" s="2" t="str">
        <f>HYPERLINK("https://rth.dk/resources/bsgatlas/details.php?id=BSGatlas-gene-2259","BSGatlas-gene-2259")</f>
        <v>BSGatlas-gene-2259</v>
      </c>
      <c r="B2260" s="1" t="s">
        <v>2117</v>
      </c>
      <c r="C2260" s="1" t="s">
        <v>8</v>
      </c>
      <c r="D2260" s="1">
        <v>2086743</v>
      </c>
      <c r="E2260" s="1">
        <v>2087525</v>
      </c>
      <c r="F2260" s="1" t="s">
        <v>13</v>
      </c>
      <c r="G2260" s="1" t="s">
        <v>11409</v>
      </c>
    </row>
    <row r="2261" spans="1:7" ht="21" x14ac:dyDescent="0.25">
      <c r="A2261" s="2" t="str">
        <f>HYPERLINK("https://rth.dk/resources/bsgatlas/details.php?id=BSGatlas-gene-2260","BSGatlas-gene-2260")</f>
        <v>BSGatlas-gene-2260</v>
      </c>
      <c r="B2261" s="1" t="s">
        <v>2118</v>
      </c>
      <c r="C2261" s="1" t="s">
        <v>8</v>
      </c>
      <c r="D2261" s="1">
        <v>2087696</v>
      </c>
      <c r="E2261" s="1">
        <v>2088193</v>
      </c>
      <c r="F2261" s="1" t="s">
        <v>9</v>
      </c>
      <c r="G2261" s="1" t="s">
        <v>11409</v>
      </c>
    </row>
    <row r="2262" spans="1:7" ht="21" x14ac:dyDescent="0.25">
      <c r="A2262" s="2" t="str">
        <f>HYPERLINK("https://rth.dk/resources/bsgatlas/details.php?id=BSGatlas-gene-2261","BSGatlas-gene-2261")</f>
        <v>BSGatlas-gene-2261</v>
      </c>
      <c r="B2262" s="1" t="s">
        <v>2119</v>
      </c>
      <c r="C2262" s="1" t="s">
        <v>8</v>
      </c>
      <c r="D2262" s="1">
        <v>2088257</v>
      </c>
      <c r="E2262" s="1">
        <v>2089234</v>
      </c>
      <c r="F2262" s="1" t="s">
        <v>9</v>
      </c>
      <c r="G2262" s="1" t="s">
        <v>11409</v>
      </c>
    </row>
    <row r="2263" spans="1:7" ht="21" x14ac:dyDescent="0.25">
      <c r="A2263" s="2" t="str">
        <f>HYPERLINK("https://rth.dk/resources/bsgatlas/details.php?id=BSGatlas-gene-2262","BSGatlas-gene-2262")</f>
        <v>BSGatlas-gene-2262</v>
      </c>
      <c r="B2263" s="1" t="s">
        <v>2120</v>
      </c>
      <c r="C2263" s="1" t="s">
        <v>8</v>
      </c>
      <c r="D2263" s="1">
        <v>2089396</v>
      </c>
      <c r="E2263" s="1">
        <v>2090454</v>
      </c>
      <c r="F2263" s="1" t="s">
        <v>9</v>
      </c>
      <c r="G2263" s="1" t="s">
        <v>11409</v>
      </c>
    </row>
    <row r="2264" spans="1:7" ht="21" x14ac:dyDescent="0.25">
      <c r="A2264" s="2" t="str">
        <f>HYPERLINK("https://rth.dk/resources/bsgatlas/details.php?id=BSGatlas-gene-2263","BSGatlas-gene-2263")</f>
        <v>BSGatlas-gene-2263</v>
      </c>
      <c r="B2264" s="1" t="s">
        <v>2121</v>
      </c>
      <c r="C2264" s="1" t="s">
        <v>8</v>
      </c>
      <c r="D2264" s="1">
        <v>2090574</v>
      </c>
      <c r="E2264" s="1">
        <v>2091686</v>
      </c>
      <c r="F2264" s="1" t="s">
        <v>9</v>
      </c>
      <c r="G2264" s="1" t="s">
        <v>11409</v>
      </c>
    </row>
    <row r="2265" spans="1:7" ht="21" x14ac:dyDescent="0.25">
      <c r="A2265" s="2" t="str">
        <f>HYPERLINK("https://rth.dk/resources/bsgatlas/details.php?id=BSGatlas-gene-2264","BSGatlas-gene-2264")</f>
        <v>BSGatlas-gene-2264</v>
      </c>
      <c r="B2265" s="1" t="s">
        <v>2122</v>
      </c>
      <c r="C2265" s="1" t="s">
        <v>8</v>
      </c>
      <c r="D2265" s="1">
        <v>2091705</v>
      </c>
      <c r="E2265" s="1">
        <v>2092304</v>
      </c>
      <c r="F2265" s="1" t="s">
        <v>9</v>
      </c>
      <c r="G2265" s="1" t="s">
        <v>11409</v>
      </c>
    </row>
    <row r="2266" spans="1:7" ht="21" x14ac:dyDescent="0.25">
      <c r="A2266" s="2" t="str">
        <f>HYPERLINK("https://rth.dk/resources/bsgatlas/details.php?id=BSGatlas-gene-2265","BSGatlas-gene-2265")</f>
        <v>BSGatlas-gene-2265</v>
      </c>
      <c r="B2266" s="1" t="s">
        <v>2123</v>
      </c>
      <c r="C2266" s="1" t="s">
        <v>12</v>
      </c>
      <c r="D2266" s="1">
        <v>2092326</v>
      </c>
      <c r="E2266" s="1">
        <v>2092824</v>
      </c>
      <c r="F2266" s="1" t="s">
        <v>13</v>
      </c>
      <c r="G2266" s="1" t="s">
        <v>11406</v>
      </c>
    </row>
    <row r="2267" spans="1:7" ht="21" x14ac:dyDescent="0.25">
      <c r="A2267" s="2" t="str">
        <f>HYPERLINK("https://rth.dk/resources/bsgatlas/details.php?id=BSGatlas-gene-2266","BSGatlas-gene-2266")</f>
        <v>BSGatlas-gene-2266</v>
      </c>
      <c r="B2267" s="1" t="s">
        <v>2124</v>
      </c>
      <c r="C2267" s="1" t="s">
        <v>12</v>
      </c>
      <c r="D2267" s="1">
        <v>2092817</v>
      </c>
      <c r="E2267" s="1">
        <v>2093011</v>
      </c>
      <c r="F2267" s="1" t="s">
        <v>9</v>
      </c>
      <c r="G2267" s="1" t="s">
        <v>11406</v>
      </c>
    </row>
    <row r="2268" spans="1:7" ht="21" x14ac:dyDescent="0.25">
      <c r="A2268" s="2" t="str">
        <f>HYPERLINK("https://rth.dk/resources/bsgatlas/details.php?id=BSGatlas-gene-2267","BSGatlas-gene-2267")</f>
        <v>BSGatlas-gene-2267</v>
      </c>
      <c r="B2268" s="1" t="s">
        <v>2125</v>
      </c>
      <c r="C2268" s="1" t="s">
        <v>8</v>
      </c>
      <c r="D2268" s="1">
        <v>2092899</v>
      </c>
      <c r="E2268" s="1">
        <v>2093762</v>
      </c>
      <c r="F2268" s="1" t="s">
        <v>13</v>
      </c>
      <c r="G2268" s="1" t="s">
        <v>11409</v>
      </c>
    </row>
    <row r="2269" spans="1:7" ht="21" x14ac:dyDescent="0.25">
      <c r="A2269" s="2" t="str">
        <f>HYPERLINK("https://rth.dk/resources/bsgatlas/details.php?id=BSGatlas-gene-2268","BSGatlas-gene-2268")</f>
        <v>BSGatlas-gene-2268</v>
      </c>
      <c r="B2269" s="1" t="s">
        <v>11549</v>
      </c>
      <c r="C2269" s="1" t="s">
        <v>12</v>
      </c>
      <c r="D2269" s="1">
        <v>2093013</v>
      </c>
      <c r="E2269" s="1">
        <v>2093780</v>
      </c>
      <c r="F2269" s="1" t="s">
        <v>9</v>
      </c>
      <c r="G2269" s="1" t="s">
        <v>11406</v>
      </c>
    </row>
    <row r="2270" spans="1:7" ht="21" x14ac:dyDescent="0.25">
      <c r="A2270" s="2" t="str">
        <f>HYPERLINK("https://rth.dk/resources/bsgatlas/details.php?id=BSGatlas-gene-2269","BSGatlas-gene-2269")</f>
        <v>BSGatlas-gene-2269</v>
      </c>
      <c r="B2270" s="1" t="s">
        <v>2126</v>
      </c>
      <c r="C2270" s="1" t="s">
        <v>8</v>
      </c>
      <c r="D2270" s="1">
        <v>2094010</v>
      </c>
      <c r="E2270" s="1">
        <v>2095785</v>
      </c>
      <c r="F2270" s="1" t="s">
        <v>13</v>
      </c>
      <c r="G2270" s="1" t="s">
        <v>11409</v>
      </c>
    </row>
    <row r="2271" spans="1:7" ht="21" x14ac:dyDescent="0.25">
      <c r="A2271" s="2" t="str">
        <f>HYPERLINK("https://rth.dk/resources/bsgatlas/details.php?id=BSGatlas-gene-2270","BSGatlas-gene-2270")</f>
        <v>BSGatlas-gene-2270</v>
      </c>
      <c r="B2271" s="1" t="s">
        <v>2127</v>
      </c>
      <c r="C2271" s="1" t="s">
        <v>55</v>
      </c>
      <c r="D2271" s="1">
        <v>2095909</v>
      </c>
      <c r="E2271" s="1">
        <v>2096113</v>
      </c>
      <c r="F2271" s="1" t="s">
        <v>13</v>
      </c>
      <c r="G2271" s="1" t="s">
        <v>11413</v>
      </c>
    </row>
    <row r="2272" spans="1:7" ht="21" x14ac:dyDescent="0.25">
      <c r="A2272" s="2" t="str">
        <f>HYPERLINK("https://rth.dk/resources/bsgatlas/details.php?id=BSGatlas-gene-2271","BSGatlas-gene-2271")</f>
        <v>BSGatlas-gene-2271</v>
      </c>
      <c r="B2272" s="1" t="s">
        <v>2128</v>
      </c>
      <c r="C2272" s="1" t="s">
        <v>8</v>
      </c>
      <c r="D2272" s="1">
        <v>2096350</v>
      </c>
      <c r="E2272" s="1">
        <v>2096976</v>
      </c>
      <c r="F2272" s="1" t="s">
        <v>13</v>
      </c>
      <c r="G2272" s="1" t="s">
        <v>11409</v>
      </c>
    </row>
    <row r="2273" spans="1:7" ht="21" x14ac:dyDescent="0.25">
      <c r="A2273" s="2" t="str">
        <f>HYPERLINK("https://rth.dk/resources/bsgatlas/details.php?id=BSGatlas-gene-2272","BSGatlas-gene-2272")</f>
        <v>BSGatlas-gene-2272</v>
      </c>
      <c r="B2273" s="1" t="s">
        <v>2129</v>
      </c>
      <c r="C2273" s="1" t="s">
        <v>8</v>
      </c>
      <c r="D2273" s="1">
        <v>2097126</v>
      </c>
      <c r="E2273" s="1">
        <v>2097617</v>
      </c>
      <c r="F2273" s="1" t="s">
        <v>13</v>
      </c>
      <c r="G2273" s="1" t="s">
        <v>11409</v>
      </c>
    </row>
    <row r="2274" spans="1:7" ht="21" x14ac:dyDescent="0.25">
      <c r="A2274" s="2" t="str">
        <f>HYPERLINK("https://rth.dk/resources/bsgatlas/details.php?id=BSGatlas-gene-2273","BSGatlas-gene-2273")</f>
        <v>BSGatlas-gene-2273</v>
      </c>
      <c r="B2274" s="1" t="s">
        <v>2130</v>
      </c>
      <c r="C2274" s="1" t="s">
        <v>8</v>
      </c>
      <c r="D2274" s="1">
        <v>2097692</v>
      </c>
      <c r="E2274" s="1">
        <v>2098024</v>
      </c>
      <c r="F2274" s="1" t="s">
        <v>13</v>
      </c>
      <c r="G2274" s="1" t="s">
        <v>11409</v>
      </c>
    </row>
    <row r="2275" spans="1:7" ht="21" x14ac:dyDescent="0.25">
      <c r="A2275" s="2" t="str">
        <f>HYPERLINK("https://rth.dk/resources/bsgatlas/details.php?id=BSGatlas-gene-2274","BSGatlas-gene-2274")</f>
        <v>BSGatlas-gene-2274</v>
      </c>
      <c r="B2275" s="1" t="s">
        <v>2131</v>
      </c>
      <c r="C2275" s="1" t="s">
        <v>8</v>
      </c>
      <c r="D2275" s="1">
        <v>2098102</v>
      </c>
      <c r="E2275" s="1">
        <v>2098329</v>
      </c>
      <c r="F2275" s="1" t="s">
        <v>9</v>
      </c>
      <c r="G2275" s="1" t="s">
        <v>11409</v>
      </c>
    </row>
    <row r="2276" spans="1:7" ht="21" x14ac:dyDescent="0.25">
      <c r="A2276" s="2" t="str">
        <f>HYPERLINK("https://rth.dk/resources/bsgatlas/details.php?id=BSGatlas-gene-2275","BSGatlas-gene-2275")</f>
        <v>BSGatlas-gene-2275</v>
      </c>
      <c r="B2276" s="1" t="s">
        <v>2134</v>
      </c>
      <c r="C2276" s="1" t="s">
        <v>8</v>
      </c>
      <c r="D2276" s="1">
        <v>2098316</v>
      </c>
      <c r="E2276" s="1">
        <v>2098792</v>
      </c>
      <c r="F2276" s="1" t="s">
        <v>13</v>
      </c>
      <c r="G2276" s="1" t="s">
        <v>11409</v>
      </c>
    </row>
    <row r="2277" spans="1:7" ht="21" x14ac:dyDescent="0.25">
      <c r="A2277" s="2" t="str">
        <f>HYPERLINK("https://rth.dk/resources/bsgatlas/details.php?id=BSGatlas-gene-2276","BSGatlas-gene-2276")</f>
        <v>BSGatlas-gene-2276</v>
      </c>
      <c r="B2277" s="1" t="s">
        <v>2132</v>
      </c>
      <c r="C2277" s="1" t="s">
        <v>8</v>
      </c>
      <c r="D2277" s="1">
        <v>2098859</v>
      </c>
      <c r="E2277" s="1">
        <v>2099122</v>
      </c>
      <c r="F2277" s="1" t="s">
        <v>9</v>
      </c>
      <c r="G2277" s="1" t="s">
        <v>11409</v>
      </c>
    </row>
    <row r="2278" spans="1:7" ht="21" x14ac:dyDescent="0.25">
      <c r="A2278" s="2" t="str">
        <f>HYPERLINK("https://rth.dk/resources/bsgatlas/details.php?id=BSGatlas-gene-2277","BSGatlas-gene-2277")</f>
        <v>BSGatlas-gene-2277</v>
      </c>
      <c r="B2278" s="1" t="s">
        <v>2133</v>
      </c>
      <c r="C2278" s="1" t="s">
        <v>8</v>
      </c>
      <c r="D2278" s="1">
        <v>2099127</v>
      </c>
      <c r="E2278" s="1">
        <v>2099360</v>
      </c>
      <c r="F2278" s="1" t="s">
        <v>9</v>
      </c>
      <c r="G2278" s="1" t="s">
        <v>11409</v>
      </c>
    </row>
    <row r="2279" spans="1:7" ht="21" x14ac:dyDescent="0.25">
      <c r="A2279" s="2" t="str">
        <f>HYPERLINK("https://rth.dk/resources/bsgatlas/details.php?id=BSGatlas-gene-2278","BSGatlas-gene-2278")</f>
        <v>BSGatlas-gene-2278</v>
      </c>
      <c r="B2279" s="1" t="s">
        <v>2135</v>
      </c>
      <c r="C2279" s="1" t="s">
        <v>8</v>
      </c>
      <c r="D2279" s="1">
        <v>2099446</v>
      </c>
      <c r="E2279" s="1">
        <v>2099790</v>
      </c>
      <c r="F2279" s="1" t="s">
        <v>13</v>
      </c>
      <c r="G2279" s="1" t="s">
        <v>11409</v>
      </c>
    </row>
    <row r="2280" spans="1:7" ht="21" x14ac:dyDescent="0.25">
      <c r="A2280" s="2" t="str">
        <f>HYPERLINK("https://rth.dk/resources/bsgatlas/details.php?id=BSGatlas-gene-2279","BSGatlas-gene-2279")</f>
        <v>BSGatlas-gene-2279</v>
      </c>
      <c r="B2280" s="1" t="s">
        <v>2136</v>
      </c>
      <c r="C2280" s="1" t="s">
        <v>12</v>
      </c>
      <c r="D2280" s="1">
        <v>2099817</v>
      </c>
      <c r="E2280" s="1">
        <v>2099956</v>
      </c>
      <c r="F2280" s="1" t="s">
        <v>13</v>
      </c>
      <c r="G2280" s="1" t="s">
        <v>11442</v>
      </c>
    </row>
    <row r="2281" spans="1:7" ht="21" x14ac:dyDescent="0.25">
      <c r="A2281" s="2" t="str">
        <f>HYPERLINK("https://rth.dk/resources/bsgatlas/details.php?id=BSGatlas-gene-2280","BSGatlas-gene-2280")</f>
        <v>BSGatlas-gene-2280</v>
      </c>
      <c r="B2281" s="1" t="s">
        <v>2137</v>
      </c>
      <c r="C2281" s="1" t="s">
        <v>8</v>
      </c>
      <c r="D2281" s="1">
        <v>2100147</v>
      </c>
      <c r="E2281" s="1">
        <v>2100350</v>
      </c>
      <c r="F2281" s="1" t="s">
        <v>13</v>
      </c>
      <c r="G2281" s="1" t="s">
        <v>11409</v>
      </c>
    </row>
    <row r="2282" spans="1:7" ht="21" x14ac:dyDescent="0.25">
      <c r="A2282" s="2" t="str">
        <f>HYPERLINK("https://rth.dk/resources/bsgatlas/details.php?id=BSGatlas-gene-2281","BSGatlas-gene-2281")</f>
        <v>BSGatlas-gene-2281</v>
      </c>
      <c r="B2282" s="1" t="s">
        <v>2138</v>
      </c>
      <c r="C2282" s="1" t="s">
        <v>8</v>
      </c>
      <c r="D2282" s="1">
        <v>2100580</v>
      </c>
      <c r="E2282" s="1">
        <v>2102067</v>
      </c>
      <c r="F2282" s="1" t="s">
        <v>9</v>
      </c>
      <c r="G2282" s="1" t="s">
        <v>11409</v>
      </c>
    </row>
    <row r="2283" spans="1:7" ht="21" x14ac:dyDescent="0.25">
      <c r="A2283" s="2" t="str">
        <f>HYPERLINK("https://rth.dk/resources/bsgatlas/details.php?id=BSGatlas-gene-2282","BSGatlas-gene-2282")</f>
        <v>BSGatlas-gene-2282</v>
      </c>
      <c r="B2283" s="1" t="s">
        <v>2139</v>
      </c>
      <c r="C2283" s="1" t="s">
        <v>8</v>
      </c>
      <c r="D2283" s="1">
        <v>2102168</v>
      </c>
      <c r="E2283" s="1">
        <v>2104066</v>
      </c>
      <c r="F2283" s="1" t="s">
        <v>9</v>
      </c>
      <c r="G2283" s="1" t="s">
        <v>11409</v>
      </c>
    </row>
    <row r="2284" spans="1:7" ht="21" x14ac:dyDescent="0.25">
      <c r="A2284" s="2" t="str">
        <f>HYPERLINK("https://rth.dk/resources/bsgatlas/details.php?id=BSGatlas-gene-2283","BSGatlas-gene-2283")</f>
        <v>BSGatlas-gene-2283</v>
      </c>
      <c r="B2284" s="1" t="s">
        <v>2140</v>
      </c>
      <c r="C2284" s="1" t="s">
        <v>8</v>
      </c>
      <c r="D2284" s="1">
        <v>2104056</v>
      </c>
      <c r="E2284" s="1">
        <v>2104901</v>
      </c>
      <c r="F2284" s="1" t="s">
        <v>9</v>
      </c>
      <c r="G2284" s="1" t="s">
        <v>11409</v>
      </c>
    </row>
    <row r="2285" spans="1:7" ht="21" x14ac:dyDescent="0.25">
      <c r="A2285" s="2" t="str">
        <f>HYPERLINK("https://rth.dk/resources/bsgatlas/details.php?id=BSGatlas-gene-2284","BSGatlas-gene-2284")</f>
        <v>BSGatlas-gene-2284</v>
      </c>
      <c r="B2285" s="1" t="s">
        <v>2141</v>
      </c>
      <c r="C2285" s="1" t="s">
        <v>8</v>
      </c>
      <c r="D2285" s="1">
        <v>2104934</v>
      </c>
      <c r="E2285" s="1">
        <v>2106271</v>
      </c>
      <c r="F2285" s="1" t="s">
        <v>13</v>
      </c>
      <c r="G2285" s="1" t="s">
        <v>11409</v>
      </c>
    </row>
    <row r="2286" spans="1:7" ht="21" x14ac:dyDescent="0.25">
      <c r="A2286" s="2" t="str">
        <f>HYPERLINK("https://rth.dk/resources/bsgatlas/details.php?id=BSGatlas-gene-2285","BSGatlas-gene-2285")</f>
        <v>BSGatlas-gene-2285</v>
      </c>
      <c r="B2286" s="1" t="s">
        <v>2142</v>
      </c>
      <c r="C2286" s="1" t="s">
        <v>8</v>
      </c>
      <c r="D2286" s="1">
        <v>2106490</v>
      </c>
      <c r="E2286" s="1">
        <v>2107455</v>
      </c>
      <c r="F2286" s="1" t="s">
        <v>9</v>
      </c>
      <c r="G2286" s="1" t="s">
        <v>11409</v>
      </c>
    </row>
    <row r="2287" spans="1:7" ht="21" x14ac:dyDescent="0.25">
      <c r="A2287" s="2" t="str">
        <f>HYPERLINK("https://rth.dk/resources/bsgatlas/details.php?id=BSGatlas-gene-2286","BSGatlas-gene-2286")</f>
        <v>BSGatlas-gene-2286</v>
      </c>
      <c r="B2287" s="1" t="s">
        <v>2143</v>
      </c>
      <c r="C2287" s="1" t="s">
        <v>8</v>
      </c>
      <c r="D2287" s="1">
        <v>2107505</v>
      </c>
      <c r="E2287" s="1">
        <v>2108758</v>
      </c>
      <c r="F2287" s="1" t="s">
        <v>13</v>
      </c>
      <c r="G2287" s="1" t="s">
        <v>11409</v>
      </c>
    </row>
    <row r="2288" spans="1:7" ht="21" x14ac:dyDescent="0.25">
      <c r="A2288" s="2" t="str">
        <f>HYPERLINK("https://rth.dk/resources/bsgatlas/details.php?id=BSGatlas-gene-2287","BSGatlas-gene-2287")</f>
        <v>BSGatlas-gene-2287</v>
      </c>
      <c r="B2288" s="1" t="s">
        <v>2144</v>
      </c>
      <c r="C2288" s="1" t="s">
        <v>8</v>
      </c>
      <c r="D2288" s="1">
        <v>2108774</v>
      </c>
      <c r="E2288" s="1">
        <v>2111608</v>
      </c>
      <c r="F2288" s="1" t="s">
        <v>13</v>
      </c>
      <c r="G2288" s="1" t="s">
        <v>11409</v>
      </c>
    </row>
    <row r="2289" spans="1:7" ht="21" x14ac:dyDescent="0.25">
      <c r="A2289" s="2" t="str">
        <f>HYPERLINK("https://rth.dk/resources/bsgatlas/details.php?id=BSGatlas-gene-2288","BSGatlas-gene-2288")</f>
        <v>BSGatlas-gene-2288</v>
      </c>
      <c r="B2289" s="1" t="s">
        <v>2145</v>
      </c>
      <c r="C2289" s="1" t="s">
        <v>8</v>
      </c>
      <c r="D2289" s="1">
        <v>2111837</v>
      </c>
      <c r="E2289" s="1">
        <v>2113753</v>
      </c>
      <c r="F2289" s="1" t="s">
        <v>13</v>
      </c>
      <c r="G2289" s="1" t="s">
        <v>11409</v>
      </c>
    </row>
    <row r="2290" spans="1:7" ht="21" x14ac:dyDescent="0.25">
      <c r="A2290" s="2" t="str">
        <f>HYPERLINK("https://rth.dk/resources/bsgatlas/details.php?id=BSGatlas-gene-2289","BSGatlas-gene-2289")</f>
        <v>BSGatlas-gene-2289</v>
      </c>
      <c r="B2290" s="1" t="s">
        <v>2146</v>
      </c>
      <c r="C2290" s="1" t="s">
        <v>8</v>
      </c>
      <c r="D2290" s="1">
        <v>2113764</v>
      </c>
      <c r="E2290" s="1">
        <v>2114678</v>
      </c>
      <c r="F2290" s="1" t="s">
        <v>13</v>
      </c>
      <c r="G2290" s="1" t="s">
        <v>11409</v>
      </c>
    </row>
    <row r="2291" spans="1:7" ht="21" x14ac:dyDescent="0.25">
      <c r="A2291" s="2" t="str">
        <f>HYPERLINK("https://rth.dk/resources/bsgatlas/details.php?id=BSGatlas-gene-2290","BSGatlas-gene-2290")</f>
        <v>BSGatlas-gene-2290</v>
      </c>
      <c r="B2291" s="1" t="s">
        <v>2147</v>
      </c>
      <c r="C2291" s="1" t="s">
        <v>8</v>
      </c>
      <c r="D2291" s="1">
        <v>2114742</v>
      </c>
      <c r="E2291" s="1">
        <v>2115332</v>
      </c>
      <c r="F2291" s="1" t="s">
        <v>13</v>
      </c>
      <c r="G2291" s="1" t="s">
        <v>11409</v>
      </c>
    </row>
    <row r="2292" spans="1:7" ht="21" x14ac:dyDescent="0.25">
      <c r="A2292" s="2" t="str">
        <f>HYPERLINK("https://rth.dk/resources/bsgatlas/details.php?id=BSGatlas-gene-2291","BSGatlas-gene-2291")</f>
        <v>BSGatlas-gene-2291</v>
      </c>
      <c r="B2292" s="1" t="s">
        <v>2148</v>
      </c>
      <c r="C2292" s="1" t="s">
        <v>8</v>
      </c>
      <c r="D2292" s="1">
        <v>2115425</v>
      </c>
      <c r="E2292" s="1">
        <v>2116669</v>
      </c>
      <c r="F2292" s="1" t="s">
        <v>13</v>
      </c>
      <c r="G2292" s="1" t="s">
        <v>11409</v>
      </c>
    </row>
    <row r="2293" spans="1:7" ht="21" x14ac:dyDescent="0.25">
      <c r="A2293" s="2" t="str">
        <f>HYPERLINK("https://rth.dk/resources/bsgatlas/details.php?id=BSGatlas-gene-2292","BSGatlas-gene-2292")</f>
        <v>BSGatlas-gene-2292</v>
      </c>
      <c r="B2293" s="1" t="s">
        <v>2149</v>
      </c>
      <c r="C2293" s="1" t="s">
        <v>8</v>
      </c>
      <c r="D2293" s="1">
        <v>2117051</v>
      </c>
      <c r="E2293" s="1">
        <v>2118268</v>
      </c>
      <c r="F2293" s="1" t="s">
        <v>13</v>
      </c>
      <c r="G2293" s="1" t="s">
        <v>11409</v>
      </c>
    </row>
    <row r="2294" spans="1:7" ht="21" x14ac:dyDescent="0.25">
      <c r="A2294" s="2" t="str">
        <f>HYPERLINK("https://rth.dk/resources/bsgatlas/details.php?id=BSGatlas-gene-2293","BSGatlas-gene-2293")</f>
        <v>BSGatlas-gene-2293</v>
      </c>
      <c r="B2294" s="1" t="s">
        <v>2150</v>
      </c>
      <c r="C2294" s="1" t="s">
        <v>8</v>
      </c>
      <c r="D2294" s="1">
        <v>2118504</v>
      </c>
      <c r="E2294" s="1">
        <v>2119127</v>
      </c>
      <c r="F2294" s="1" t="s">
        <v>13</v>
      </c>
      <c r="G2294" s="1" t="s">
        <v>11409</v>
      </c>
    </row>
    <row r="2295" spans="1:7" ht="21" x14ac:dyDescent="0.25">
      <c r="A2295" s="2" t="str">
        <f>HYPERLINK("https://rth.dk/resources/bsgatlas/details.php?id=BSGatlas-gene-2294","BSGatlas-gene-2294")</f>
        <v>BSGatlas-gene-2294</v>
      </c>
      <c r="B2295" s="1" t="s">
        <v>2151</v>
      </c>
      <c r="C2295" s="1" t="s">
        <v>8</v>
      </c>
      <c r="D2295" s="1">
        <v>2119393</v>
      </c>
      <c r="E2295" s="1">
        <v>2120751</v>
      </c>
      <c r="F2295" s="1" t="s">
        <v>9</v>
      </c>
      <c r="G2295" s="1" t="s">
        <v>11409</v>
      </c>
    </row>
    <row r="2296" spans="1:7" ht="21" x14ac:dyDescent="0.25">
      <c r="A2296" s="2" t="str">
        <f>HYPERLINK("https://rth.dk/resources/bsgatlas/details.php?id=BSGatlas-gene-2295","BSGatlas-gene-2295")</f>
        <v>BSGatlas-gene-2295</v>
      </c>
      <c r="B2296" s="1" t="s">
        <v>2152</v>
      </c>
      <c r="C2296" s="1" t="s">
        <v>8</v>
      </c>
      <c r="D2296" s="1">
        <v>2120767</v>
      </c>
      <c r="E2296" s="1">
        <v>2121615</v>
      </c>
      <c r="F2296" s="1" t="s">
        <v>9</v>
      </c>
      <c r="G2296" s="1" t="s">
        <v>11409</v>
      </c>
    </row>
    <row r="2297" spans="1:7" ht="21" x14ac:dyDescent="0.25">
      <c r="A2297" s="2" t="str">
        <f>HYPERLINK("https://rth.dk/resources/bsgatlas/details.php?id=BSGatlas-gene-2296","BSGatlas-gene-2296")</f>
        <v>BSGatlas-gene-2296</v>
      </c>
      <c r="B2297" s="1" t="s">
        <v>2153</v>
      </c>
      <c r="C2297" s="1" t="s">
        <v>8</v>
      </c>
      <c r="D2297" s="1">
        <v>2121641</v>
      </c>
      <c r="E2297" s="1">
        <v>2122306</v>
      </c>
      <c r="F2297" s="1" t="s">
        <v>13</v>
      </c>
      <c r="G2297" s="1" t="s">
        <v>11409</v>
      </c>
    </row>
    <row r="2298" spans="1:7" ht="21" x14ac:dyDescent="0.25">
      <c r="A2298" s="2" t="str">
        <f>HYPERLINK("https://rth.dk/resources/bsgatlas/details.php?id=BSGatlas-gene-2297","BSGatlas-gene-2297")</f>
        <v>BSGatlas-gene-2297</v>
      </c>
      <c r="B2298" s="1" t="s">
        <v>2154</v>
      </c>
      <c r="C2298" s="1" t="s">
        <v>8</v>
      </c>
      <c r="D2298" s="1">
        <v>2122325</v>
      </c>
      <c r="E2298" s="1">
        <v>2122675</v>
      </c>
      <c r="F2298" s="1" t="s">
        <v>13</v>
      </c>
      <c r="G2298" s="1" t="s">
        <v>11409</v>
      </c>
    </row>
    <row r="2299" spans="1:7" ht="21" x14ac:dyDescent="0.25">
      <c r="A2299" s="2" t="str">
        <f>HYPERLINK("https://rth.dk/resources/bsgatlas/details.php?id=BSGatlas-gene-2298","BSGatlas-gene-2298")</f>
        <v>BSGatlas-gene-2298</v>
      </c>
      <c r="B2299" s="1" t="s">
        <v>2155</v>
      </c>
      <c r="C2299" s="1" t="s">
        <v>8</v>
      </c>
      <c r="D2299" s="1">
        <v>2122672</v>
      </c>
      <c r="E2299" s="1">
        <v>2122950</v>
      </c>
      <c r="F2299" s="1" t="s">
        <v>13</v>
      </c>
      <c r="G2299" s="1" t="s">
        <v>11409</v>
      </c>
    </row>
    <row r="2300" spans="1:7" ht="21" x14ac:dyDescent="0.25">
      <c r="A2300" s="2" t="str">
        <f>HYPERLINK("https://rth.dk/resources/bsgatlas/details.php?id=BSGatlas-gene-2299","BSGatlas-gene-2299")</f>
        <v>BSGatlas-gene-2299</v>
      </c>
      <c r="B2300" s="1" t="s">
        <v>2156</v>
      </c>
      <c r="C2300" s="1" t="s">
        <v>8</v>
      </c>
      <c r="D2300" s="1">
        <v>2123026</v>
      </c>
      <c r="E2300" s="1">
        <v>2123922</v>
      </c>
      <c r="F2300" s="1" t="s">
        <v>13</v>
      </c>
      <c r="G2300" s="1" t="s">
        <v>11409</v>
      </c>
    </row>
    <row r="2301" spans="1:7" ht="21" x14ac:dyDescent="0.25">
      <c r="A2301" s="2" t="str">
        <f>HYPERLINK("https://rth.dk/resources/bsgatlas/details.php?id=BSGatlas-gene-2300","BSGatlas-gene-2300")</f>
        <v>BSGatlas-gene-2300</v>
      </c>
      <c r="B2301" s="1" t="s">
        <v>2157</v>
      </c>
      <c r="C2301" s="1" t="s">
        <v>8</v>
      </c>
      <c r="D2301" s="1">
        <v>2124021</v>
      </c>
      <c r="E2301" s="1">
        <v>2124494</v>
      </c>
      <c r="F2301" s="1" t="s">
        <v>9</v>
      </c>
      <c r="G2301" s="1" t="s">
        <v>11409</v>
      </c>
    </row>
    <row r="2302" spans="1:7" ht="21" x14ac:dyDescent="0.25">
      <c r="A2302" s="2" t="str">
        <f>HYPERLINK("https://rth.dk/resources/bsgatlas/details.php?id=BSGatlas-gene-2301","BSGatlas-gene-2301")</f>
        <v>BSGatlas-gene-2301</v>
      </c>
      <c r="B2302" s="1" t="s">
        <v>2158</v>
      </c>
      <c r="C2302" s="1" t="s">
        <v>8</v>
      </c>
      <c r="D2302" s="1">
        <v>2124529</v>
      </c>
      <c r="E2302" s="1">
        <v>2124765</v>
      </c>
      <c r="F2302" s="1" t="s">
        <v>13</v>
      </c>
      <c r="G2302" s="1" t="s">
        <v>11409</v>
      </c>
    </row>
    <row r="2303" spans="1:7" ht="21" x14ac:dyDescent="0.25">
      <c r="A2303" s="2" t="str">
        <f>HYPERLINK("https://rth.dk/resources/bsgatlas/details.php?id=BSGatlas-gene-2302","BSGatlas-gene-2302")</f>
        <v>BSGatlas-gene-2302</v>
      </c>
      <c r="B2303" s="1" t="s">
        <v>2159</v>
      </c>
      <c r="C2303" s="1" t="s">
        <v>8</v>
      </c>
      <c r="D2303" s="1">
        <v>2124850</v>
      </c>
      <c r="E2303" s="1">
        <v>2126184</v>
      </c>
      <c r="F2303" s="1" t="s">
        <v>13</v>
      </c>
      <c r="G2303" s="1" t="s">
        <v>11409</v>
      </c>
    </row>
    <row r="2304" spans="1:7" ht="21" x14ac:dyDescent="0.25">
      <c r="A2304" s="2" t="str">
        <f>HYPERLINK("https://rth.dk/resources/bsgatlas/details.php?id=BSGatlas-gene-2303","BSGatlas-gene-2303")</f>
        <v>BSGatlas-gene-2303</v>
      </c>
      <c r="B2304" s="1" t="s">
        <v>2160</v>
      </c>
      <c r="C2304" s="1" t="s">
        <v>8</v>
      </c>
      <c r="D2304" s="1">
        <v>2126549</v>
      </c>
      <c r="E2304" s="1">
        <v>2126938</v>
      </c>
      <c r="F2304" s="1" t="s">
        <v>9</v>
      </c>
      <c r="G2304" s="1" t="s">
        <v>11409</v>
      </c>
    </row>
    <row r="2305" spans="1:7" ht="21" x14ac:dyDescent="0.25">
      <c r="A2305" s="2" t="str">
        <f>HYPERLINK("https://rth.dk/resources/bsgatlas/details.php?id=BSGatlas-gene-2304","BSGatlas-gene-2304")</f>
        <v>BSGatlas-gene-2304</v>
      </c>
      <c r="B2305" s="1" t="s">
        <v>2161</v>
      </c>
      <c r="C2305" s="1" t="s">
        <v>8</v>
      </c>
      <c r="D2305" s="1">
        <v>2127345</v>
      </c>
      <c r="E2305" s="1">
        <v>2127683</v>
      </c>
      <c r="F2305" s="1" t="s">
        <v>13</v>
      </c>
      <c r="G2305" s="1" t="s">
        <v>11409</v>
      </c>
    </row>
    <row r="2306" spans="1:7" ht="21" x14ac:dyDescent="0.25">
      <c r="A2306" s="2" t="str">
        <f>HYPERLINK("https://rth.dk/resources/bsgatlas/details.php?id=BSGatlas-gene-2305","BSGatlas-gene-2305")</f>
        <v>BSGatlas-gene-2305</v>
      </c>
      <c r="B2306" s="1" t="s">
        <v>2162</v>
      </c>
      <c r="C2306" s="1" t="s">
        <v>8</v>
      </c>
      <c r="D2306" s="1">
        <v>2127813</v>
      </c>
      <c r="E2306" s="1">
        <v>2128421</v>
      </c>
      <c r="F2306" s="1" t="s">
        <v>9</v>
      </c>
      <c r="G2306" s="1" t="s">
        <v>11409</v>
      </c>
    </row>
    <row r="2307" spans="1:7" ht="21" x14ac:dyDescent="0.25">
      <c r="A2307" s="2" t="str">
        <f>HYPERLINK("https://rth.dk/resources/bsgatlas/details.php?id=BSGatlas-gene-2306","BSGatlas-gene-2306")</f>
        <v>BSGatlas-gene-2306</v>
      </c>
      <c r="B2307" s="1" t="s">
        <v>2163</v>
      </c>
      <c r="C2307" s="1" t="s">
        <v>8</v>
      </c>
      <c r="D2307" s="1">
        <v>2128464</v>
      </c>
      <c r="E2307" s="1">
        <v>2129066</v>
      </c>
      <c r="F2307" s="1" t="s">
        <v>13</v>
      </c>
      <c r="G2307" s="1" t="s">
        <v>11409</v>
      </c>
    </row>
    <row r="2308" spans="1:7" ht="21" x14ac:dyDescent="0.25">
      <c r="A2308" s="2" t="str">
        <f>HYPERLINK("https://rth.dk/resources/bsgatlas/details.php?id=BSGatlas-gene-2307","BSGatlas-gene-2307")</f>
        <v>BSGatlas-gene-2307</v>
      </c>
      <c r="B2308" s="1" t="s">
        <v>2164</v>
      </c>
      <c r="C2308" s="1" t="s">
        <v>8</v>
      </c>
      <c r="D2308" s="1">
        <v>2129082</v>
      </c>
      <c r="E2308" s="1">
        <v>2129993</v>
      </c>
      <c r="F2308" s="1" t="s">
        <v>13</v>
      </c>
      <c r="G2308" s="1" t="s">
        <v>11409</v>
      </c>
    </row>
    <row r="2309" spans="1:7" ht="21" x14ac:dyDescent="0.25">
      <c r="A2309" s="2" t="str">
        <f>HYPERLINK("https://rth.dk/resources/bsgatlas/details.php?id=BSGatlas-gene-2308","BSGatlas-gene-2308")</f>
        <v>BSGatlas-gene-2308</v>
      </c>
      <c r="B2309" s="1" t="s">
        <v>2165</v>
      </c>
      <c r="C2309" s="1" t="s">
        <v>8</v>
      </c>
      <c r="D2309" s="1">
        <v>2130177</v>
      </c>
      <c r="E2309" s="1">
        <v>2130377</v>
      </c>
      <c r="F2309" s="1" t="s">
        <v>9</v>
      </c>
      <c r="G2309" s="1" t="s">
        <v>11409</v>
      </c>
    </row>
    <row r="2310" spans="1:7" ht="21" x14ac:dyDescent="0.25">
      <c r="A2310" s="2" t="str">
        <f>HYPERLINK("https://rth.dk/resources/bsgatlas/details.php?id=BSGatlas-gene-2309","BSGatlas-gene-2309")</f>
        <v>BSGatlas-gene-2309</v>
      </c>
      <c r="B2310" s="1" t="s">
        <v>2166</v>
      </c>
      <c r="C2310" s="1" t="s">
        <v>8</v>
      </c>
      <c r="D2310" s="1">
        <v>2130377</v>
      </c>
      <c r="E2310" s="1">
        <v>2131867</v>
      </c>
      <c r="F2310" s="1" t="s">
        <v>9</v>
      </c>
      <c r="G2310" s="1" t="s">
        <v>11409</v>
      </c>
    </row>
    <row r="2311" spans="1:7" ht="21" x14ac:dyDescent="0.25">
      <c r="A2311" s="2" t="str">
        <f>HYPERLINK("https://rth.dk/resources/bsgatlas/details.php?id=BSGatlas-gene-2310","BSGatlas-gene-2310")</f>
        <v>BSGatlas-gene-2310</v>
      </c>
      <c r="B2311" s="1" t="s">
        <v>2167</v>
      </c>
      <c r="C2311" s="1" t="s">
        <v>8</v>
      </c>
      <c r="D2311" s="1">
        <v>2131902</v>
      </c>
      <c r="E2311" s="1">
        <v>2133302</v>
      </c>
      <c r="F2311" s="1" t="s">
        <v>13</v>
      </c>
      <c r="G2311" s="1" t="s">
        <v>11409</v>
      </c>
    </row>
    <row r="2312" spans="1:7" ht="21" x14ac:dyDescent="0.25">
      <c r="A2312" s="2" t="str">
        <f>HYPERLINK("https://rth.dk/resources/bsgatlas/details.php?id=BSGatlas-gene-2311","BSGatlas-gene-2311")</f>
        <v>BSGatlas-gene-2311</v>
      </c>
      <c r="B2312" s="1" t="s">
        <v>2168</v>
      </c>
      <c r="C2312" s="1" t="s">
        <v>8</v>
      </c>
      <c r="D2312" s="1">
        <v>2133455</v>
      </c>
      <c r="E2312" s="1">
        <v>2134156</v>
      </c>
      <c r="F2312" s="1" t="s">
        <v>9</v>
      </c>
      <c r="G2312" s="1" t="s">
        <v>11409</v>
      </c>
    </row>
    <row r="2313" spans="1:7" ht="21" x14ac:dyDescent="0.25">
      <c r="A2313" s="2" t="str">
        <f>HYPERLINK("https://rth.dk/resources/bsgatlas/details.php?id=BSGatlas-gene-2312","BSGatlas-gene-2312")</f>
        <v>BSGatlas-gene-2312</v>
      </c>
      <c r="B2313" s="1" t="s">
        <v>2169</v>
      </c>
      <c r="C2313" s="1" t="s">
        <v>8</v>
      </c>
      <c r="D2313" s="1">
        <v>2134244</v>
      </c>
      <c r="E2313" s="1">
        <v>2134495</v>
      </c>
      <c r="F2313" s="1" t="s">
        <v>9</v>
      </c>
      <c r="G2313" s="1" t="s">
        <v>11409</v>
      </c>
    </row>
    <row r="2314" spans="1:7" ht="21" x14ac:dyDescent="0.25">
      <c r="A2314" s="2" t="str">
        <f>HYPERLINK("https://rth.dk/resources/bsgatlas/details.php?id=BSGatlas-gene-2313","BSGatlas-gene-2313")</f>
        <v>BSGatlas-gene-2313</v>
      </c>
      <c r="B2314" s="1" t="s">
        <v>2170</v>
      </c>
      <c r="C2314" s="1" t="s">
        <v>8</v>
      </c>
      <c r="D2314" s="1">
        <v>2134566</v>
      </c>
      <c r="E2314" s="1">
        <v>2135387</v>
      </c>
      <c r="F2314" s="1" t="s">
        <v>13</v>
      </c>
      <c r="G2314" s="1" t="s">
        <v>11409</v>
      </c>
    </row>
    <row r="2315" spans="1:7" ht="21" x14ac:dyDescent="0.25">
      <c r="A2315" s="2" t="str">
        <f>HYPERLINK("https://rth.dk/resources/bsgatlas/details.php?id=BSGatlas-gene-2314","BSGatlas-gene-2314")</f>
        <v>BSGatlas-gene-2314</v>
      </c>
      <c r="B2315" s="1" t="s">
        <v>2171</v>
      </c>
      <c r="C2315" s="1" t="s">
        <v>8</v>
      </c>
      <c r="D2315" s="1">
        <v>2135470</v>
      </c>
      <c r="E2315" s="1">
        <v>2136171</v>
      </c>
      <c r="F2315" s="1" t="s">
        <v>13</v>
      </c>
      <c r="G2315" s="1" t="s">
        <v>11409</v>
      </c>
    </row>
    <row r="2316" spans="1:7" ht="21" x14ac:dyDescent="0.25">
      <c r="A2316" s="2" t="str">
        <f>HYPERLINK("https://rth.dk/resources/bsgatlas/details.php?id=BSGatlas-gene-2315","BSGatlas-gene-2315")</f>
        <v>BSGatlas-gene-2315</v>
      </c>
      <c r="B2316" s="1" t="s">
        <v>2172</v>
      </c>
      <c r="C2316" s="1" t="s">
        <v>8</v>
      </c>
      <c r="D2316" s="1">
        <v>2136373</v>
      </c>
      <c r="E2316" s="1">
        <v>2136498</v>
      </c>
      <c r="F2316" s="1" t="s">
        <v>9</v>
      </c>
      <c r="G2316" s="1" t="s">
        <v>11409</v>
      </c>
    </row>
    <row r="2317" spans="1:7" ht="21" x14ac:dyDescent="0.25">
      <c r="A2317" s="2" t="str">
        <f>HYPERLINK("https://rth.dk/resources/bsgatlas/details.php?id=BSGatlas-gene-2316","BSGatlas-gene-2316")</f>
        <v>BSGatlas-gene-2316</v>
      </c>
      <c r="B2317" s="1" t="s">
        <v>2173</v>
      </c>
      <c r="C2317" s="1" t="s">
        <v>8</v>
      </c>
      <c r="D2317" s="1">
        <v>2136538</v>
      </c>
      <c r="E2317" s="1">
        <v>2136852</v>
      </c>
      <c r="F2317" s="1" t="s">
        <v>13</v>
      </c>
      <c r="G2317" s="1" t="s">
        <v>11409</v>
      </c>
    </row>
    <row r="2318" spans="1:7" ht="21" x14ac:dyDescent="0.25">
      <c r="A2318" s="2" t="str">
        <f>HYPERLINK("https://rth.dk/resources/bsgatlas/details.php?id=BSGatlas-gene-2317","BSGatlas-gene-2317")</f>
        <v>BSGatlas-gene-2317</v>
      </c>
      <c r="B2318" s="1" t="s">
        <v>2174</v>
      </c>
      <c r="C2318" s="1" t="s">
        <v>8</v>
      </c>
      <c r="D2318" s="1">
        <v>2136913</v>
      </c>
      <c r="E2318" s="1">
        <v>2137524</v>
      </c>
      <c r="F2318" s="1" t="s">
        <v>13</v>
      </c>
      <c r="G2318" s="1" t="s">
        <v>11409</v>
      </c>
    </row>
    <row r="2319" spans="1:7" ht="21" x14ac:dyDescent="0.25">
      <c r="A2319" s="2" t="str">
        <f>HYPERLINK("https://rth.dk/resources/bsgatlas/details.php?id=BSGatlas-gene-2318","BSGatlas-gene-2318")</f>
        <v>BSGatlas-gene-2318</v>
      </c>
      <c r="B2319" s="1" t="s">
        <v>2175</v>
      </c>
      <c r="C2319" s="1" t="s">
        <v>8</v>
      </c>
      <c r="D2319" s="1">
        <v>2137602</v>
      </c>
      <c r="E2319" s="1">
        <v>2137778</v>
      </c>
      <c r="F2319" s="1" t="s">
        <v>13</v>
      </c>
      <c r="G2319" s="1" t="s">
        <v>11409</v>
      </c>
    </row>
    <row r="2320" spans="1:7" ht="21" x14ac:dyDescent="0.25">
      <c r="A2320" s="2" t="str">
        <f>HYPERLINK("https://rth.dk/resources/bsgatlas/details.php?id=BSGatlas-gene-2319","BSGatlas-gene-2319")</f>
        <v>BSGatlas-gene-2319</v>
      </c>
      <c r="B2320" s="1" t="s">
        <v>2177</v>
      </c>
      <c r="C2320" s="1" t="s">
        <v>8</v>
      </c>
      <c r="D2320" s="1">
        <v>2137897</v>
      </c>
      <c r="E2320" s="1">
        <v>2138040</v>
      </c>
      <c r="F2320" s="1" t="s">
        <v>9</v>
      </c>
      <c r="G2320" s="1" t="s">
        <v>11409</v>
      </c>
    </row>
    <row r="2321" spans="1:7" ht="21" x14ac:dyDescent="0.25">
      <c r="A2321" s="2" t="str">
        <f>HYPERLINK("https://rth.dk/resources/bsgatlas/details.php?id=BSGatlas-gene-2320","BSGatlas-gene-2320")</f>
        <v>BSGatlas-gene-2320</v>
      </c>
      <c r="B2321" s="1" t="s">
        <v>2176</v>
      </c>
      <c r="C2321" s="1" t="s">
        <v>8</v>
      </c>
      <c r="D2321" s="1">
        <v>2138037</v>
      </c>
      <c r="E2321" s="1">
        <v>2138717</v>
      </c>
      <c r="F2321" s="1" t="s">
        <v>13</v>
      </c>
      <c r="G2321" s="1" t="s">
        <v>11409</v>
      </c>
    </row>
    <row r="2322" spans="1:7" ht="21" x14ac:dyDescent="0.25">
      <c r="A2322" s="2" t="str">
        <f>HYPERLINK("https://rth.dk/resources/bsgatlas/details.php?id=BSGatlas-gene-2321","BSGatlas-gene-2321")</f>
        <v>BSGatlas-gene-2321</v>
      </c>
      <c r="B2322" s="1" t="s">
        <v>2178</v>
      </c>
      <c r="C2322" s="1" t="s">
        <v>8</v>
      </c>
      <c r="D2322" s="1">
        <v>2138868</v>
      </c>
      <c r="E2322" s="1">
        <v>2139092</v>
      </c>
      <c r="F2322" s="1" t="s">
        <v>13</v>
      </c>
      <c r="G2322" s="1" t="s">
        <v>11409</v>
      </c>
    </row>
    <row r="2323" spans="1:7" ht="21" x14ac:dyDescent="0.25">
      <c r="A2323" s="2" t="str">
        <f>HYPERLINK("https://rth.dk/resources/bsgatlas/details.php?id=BSGatlas-gene-2322","BSGatlas-gene-2322")</f>
        <v>BSGatlas-gene-2322</v>
      </c>
      <c r="B2323" s="1" t="s">
        <v>2179</v>
      </c>
      <c r="C2323" s="1" t="s">
        <v>8</v>
      </c>
      <c r="D2323" s="1">
        <v>2139179</v>
      </c>
      <c r="E2323" s="1">
        <v>2139457</v>
      </c>
      <c r="F2323" s="1" t="s">
        <v>13</v>
      </c>
      <c r="G2323" s="1" t="s">
        <v>11409</v>
      </c>
    </row>
    <row r="2324" spans="1:7" ht="21" x14ac:dyDescent="0.25">
      <c r="A2324" s="2" t="str">
        <f>HYPERLINK("https://rth.dk/resources/bsgatlas/details.php?id=BSGatlas-gene-2323","BSGatlas-gene-2323")</f>
        <v>BSGatlas-gene-2323</v>
      </c>
      <c r="B2324" s="1" t="s">
        <v>2180</v>
      </c>
      <c r="C2324" s="1" t="s">
        <v>8</v>
      </c>
      <c r="D2324" s="1">
        <v>2139454</v>
      </c>
      <c r="E2324" s="1">
        <v>2140869</v>
      </c>
      <c r="F2324" s="1" t="s">
        <v>13</v>
      </c>
      <c r="G2324" s="1" t="s">
        <v>11409</v>
      </c>
    </row>
    <row r="2325" spans="1:7" ht="21" x14ac:dyDescent="0.25">
      <c r="A2325" s="2" t="str">
        <f>HYPERLINK("https://rth.dk/resources/bsgatlas/details.php?id=BSGatlas-gene-2324","BSGatlas-gene-2324")</f>
        <v>BSGatlas-gene-2324</v>
      </c>
      <c r="B2325" s="1" t="s">
        <v>2181</v>
      </c>
      <c r="C2325" s="1" t="s">
        <v>8</v>
      </c>
      <c r="D2325" s="1">
        <v>2140898</v>
      </c>
      <c r="E2325" s="1">
        <v>2141725</v>
      </c>
      <c r="F2325" s="1" t="s">
        <v>13</v>
      </c>
      <c r="G2325" s="1" t="s">
        <v>11409</v>
      </c>
    </row>
    <row r="2326" spans="1:7" ht="21" x14ac:dyDescent="0.25">
      <c r="A2326" s="2" t="str">
        <f>HYPERLINK("https://rth.dk/resources/bsgatlas/details.php?id=BSGatlas-gene-2325","BSGatlas-gene-2325")</f>
        <v>BSGatlas-gene-2325</v>
      </c>
      <c r="B2326" s="1" t="s">
        <v>2182</v>
      </c>
      <c r="C2326" s="1" t="s">
        <v>8</v>
      </c>
      <c r="D2326" s="1">
        <v>2141703</v>
      </c>
      <c r="E2326" s="1">
        <v>2143013</v>
      </c>
      <c r="F2326" s="1" t="s">
        <v>13</v>
      </c>
      <c r="G2326" s="1" t="s">
        <v>11409</v>
      </c>
    </row>
    <row r="2327" spans="1:7" ht="21" x14ac:dyDescent="0.25">
      <c r="A2327" s="2" t="str">
        <f>HYPERLINK("https://rth.dk/resources/bsgatlas/details.php?id=BSGatlas-gene-2326","BSGatlas-gene-2326")</f>
        <v>BSGatlas-gene-2326</v>
      </c>
      <c r="B2327" s="1" t="s">
        <v>2183</v>
      </c>
      <c r="C2327" s="1" t="s">
        <v>8</v>
      </c>
      <c r="D2327" s="1">
        <v>2143022</v>
      </c>
      <c r="E2327" s="1">
        <v>2143675</v>
      </c>
      <c r="F2327" s="1" t="s">
        <v>13</v>
      </c>
      <c r="G2327" s="1" t="s">
        <v>11409</v>
      </c>
    </row>
    <row r="2328" spans="1:7" ht="21" x14ac:dyDescent="0.25">
      <c r="A2328" s="2" t="str">
        <f>HYPERLINK("https://rth.dk/resources/bsgatlas/details.php?id=BSGatlas-gene-2327","BSGatlas-gene-2327")</f>
        <v>BSGatlas-gene-2327</v>
      </c>
      <c r="B2328" s="1" t="s">
        <v>2184</v>
      </c>
      <c r="C2328" s="1" t="s">
        <v>8</v>
      </c>
      <c r="D2328" s="1">
        <v>2143660</v>
      </c>
      <c r="E2328" s="1">
        <v>2144349</v>
      </c>
      <c r="F2328" s="1" t="s">
        <v>13</v>
      </c>
      <c r="G2328" s="1" t="s">
        <v>11409</v>
      </c>
    </row>
    <row r="2329" spans="1:7" ht="21" x14ac:dyDescent="0.25">
      <c r="A2329" s="2" t="str">
        <f>HYPERLINK("https://rth.dk/resources/bsgatlas/details.php?id=BSGatlas-gene-2328","BSGatlas-gene-2328")</f>
        <v>BSGatlas-gene-2328</v>
      </c>
      <c r="B2329" s="1" t="s">
        <v>2185</v>
      </c>
      <c r="C2329" s="1" t="s">
        <v>8</v>
      </c>
      <c r="D2329" s="1">
        <v>2144356</v>
      </c>
      <c r="E2329" s="1">
        <v>2145690</v>
      </c>
      <c r="F2329" s="1" t="s">
        <v>13</v>
      </c>
      <c r="G2329" s="1" t="s">
        <v>11409</v>
      </c>
    </row>
    <row r="2330" spans="1:7" ht="21" x14ac:dyDescent="0.25">
      <c r="A2330" s="2" t="str">
        <f>HYPERLINK("https://rth.dk/resources/bsgatlas/details.php?id=BSGatlas-gene-2329","BSGatlas-gene-2329")</f>
        <v>BSGatlas-gene-2329</v>
      </c>
      <c r="B2330" s="1" t="s">
        <v>318</v>
      </c>
      <c r="C2330" s="1" t="s">
        <v>8</v>
      </c>
      <c r="D2330" s="1">
        <v>2145671</v>
      </c>
      <c r="E2330" s="1">
        <v>2145826</v>
      </c>
      <c r="F2330" s="1" t="s">
        <v>13</v>
      </c>
      <c r="G2330" s="1" t="s">
        <v>11441</v>
      </c>
    </row>
    <row r="2331" spans="1:7" ht="21" x14ac:dyDescent="0.25">
      <c r="A2331" s="2" t="str">
        <f>HYPERLINK("https://rth.dk/resources/bsgatlas/details.php?id=BSGatlas-gene-2330","BSGatlas-gene-2330")</f>
        <v>BSGatlas-gene-2330</v>
      </c>
      <c r="B2331" s="1" t="s">
        <v>2186</v>
      </c>
      <c r="C2331" s="1" t="s">
        <v>8</v>
      </c>
      <c r="D2331" s="1">
        <v>2145820</v>
      </c>
      <c r="E2331" s="1">
        <v>2146053</v>
      </c>
      <c r="F2331" s="1" t="s">
        <v>13</v>
      </c>
      <c r="G2331" s="1" t="s">
        <v>11441</v>
      </c>
    </row>
    <row r="2332" spans="1:7" ht="21" x14ac:dyDescent="0.25">
      <c r="A2332" s="2" t="str">
        <f>HYPERLINK("https://rth.dk/resources/bsgatlas/details.php?id=BSGatlas-gene-2331","BSGatlas-gene-2331")</f>
        <v>BSGatlas-gene-2331</v>
      </c>
      <c r="B2332" s="1" t="s">
        <v>2186</v>
      </c>
      <c r="C2332" s="1" t="s">
        <v>8</v>
      </c>
      <c r="D2332" s="1">
        <v>2145820</v>
      </c>
      <c r="E2332" s="1">
        <v>2145933</v>
      </c>
      <c r="F2332" s="1" t="s">
        <v>13</v>
      </c>
      <c r="G2332" s="1" t="s">
        <v>11496</v>
      </c>
    </row>
    <row r="2333" spans="1:7" ht="21" x14ac:dyDescent="0.25">
      <c r="A2333" s="2" t="str">
        <f>HYPERLINK("https://rth.dk/resources/bsgatlas/details.php?id=BSGatlas-gene-2332","BSGatlas-gene-2332")</f>
        <v>BSGatlas-gene-2332</v>
      </c>
      <c r="B2333" s="1" t="s">
        <v>2187</v>
      </c>
      <c r="C2333" s="1" t="s">
        <v>8</v>
      </c>
      <c r="D2333" s="1">
        <v>2146013</v>
      </c>
      <c r="E2333" s="1">
        <v>2146792</v>
      </c>
      <c r="F2333" s="1" t="s">
        <v>13</v>
      </c>
      <c r="G2333" s="1" t="s">
        <v>11409</v>
      </c>
    </row>
    <row r="2334" spans="1:7" ht="21" x14ac:dyDescent="0.25">
      <c r="A2334" s="2" t="str">
        <f>HYPERLINK("https://rth.dk/resources/bsgatlas/details.php?id=BSGatlas-gene-2333","BSGatlas-gene-2333")</f>
        <v>BSGatlas-gene-2333</v>
      </c>
      <c r="B2334" s="1" t="s">
        <v>2188</v>
      </c>
      <c r="C2334" s="1" t="s">
        <v>8</v>
      </c>
      <c r="D2334" s="1">
        <v>2146821</v>
      </c>
      <c r="E2334" s="1">
        <v>2148101</v>
      </c>
      <c r="F2334" s="1" t="s">
        <v>13</v>
      </c>
      <c r="G2334" s="1" t="s">
        <v>11409</v>
      </c>
    </row>
    <row r="2335" spans="1:7" ht="21" x14ac:dyDescent="0.25">
      <c r="A2335" s="2" t="str">
        <f>HYPERLINK("https://rth.dk/resources/bsgatlas/details.php?id=BSGatlas-gene-2334","BSGatlas-gene-2334")</f>
        <v>BSGatlas-gene-2334</v>
      </c>
      <c r="B2335" s="1" t="s">
        <v>2189</v>
      </c>
      <c r="C2335" s="1" t="s">
        <v>8</v>
      </c>
      <c r="D2335" s="1">
        <v>2148166</v>
      </c>
      <c r="E2335" s="1">
        <v>2148471</v>
      </c>
      <c r="F2335" s="1" t="s">
        <v>13</v>
      </c>
      <c r="G2335" s="1" t="s">
        <v>11409</v>
      </c>
    </row>
    <row r="2336" spans="1:7" ht="21" x14ac:dyDescent="0.25">
      <c r="A2336" s="2" t="str">
        <f>HYPERLINK("https://rth.dk/resources/bsgatlas/details.php?id=BSGatlas-gene-2335","BSGatlas-gene-2335")</f>
        <v>BSGatlas-gene-2335</v>
      </c>
      <c r="B2336" s="1" t="s">
        <v>2190</v>
      </c>
      <c r="C2336" s="1" t="s">
        <v>8</v>
      </c>
      <c r="D2336" s="1">
        <v>2148676</v>
      </c>
      <c r="E2336" s="1">
        <v>2149077</v>
      </c>
      <c r="F2336" s="1" t="s">
        <v>9</v>
      </c>
      <c r="G2336" s="1" t="s">
        <v>11409</v>
      </c>
    </row>
    <row r="2337" spans="1:7" ht="21" x14ac:dyDescent="0.25">
      <c r="A2337" s="2" t="str">
        <f>HYPERLINK("https://rth.dk/resources/bsgatlas/details.php?id=BSGatlas-gene-2336","BSGatlas-gene-2336")</f>
        <v>BSGatlas-gene-2336</v>
      </c>
      <c r="B2337" s="1" t="s">
        <v>2191</v>
      </c>
      <c r="C2337" s="1" t="s">
        <v>8</v>
      </c>
      <c r="D2337" s="1">
        <v>2149084</v>
      </c>
      <c r="E2337" s="1">
        <v>2150037</v>
      </c>
      <c r="F2337" s="1" t="s">
        <v>9</v>
      </c>
      <c r="G2337" s="1" t="s">
        <v>11409</v>
      </c>
    </row>
    <row r="2338" spans="1:7" ht="21" x14ac:dyDescent="0.25">
      <c r="A2338" s="2" t="str">
        <f>HYPERLINK("https://rth.dk/resources/bsgatlas/details.php?id=BSGatlas-gene-2337","BSGatlas-gene-2337")</f>
        <v>BSGatlas-gene-2337</v>
      </c>
      <c r="B2338" s="1" t="s">
        <v>2192</v>
      </c>
      <c r="C2338" s="1" t="s">
        <v>8</v>
      </c>
      <c r="D2338" s="1">
        <v>2150108</v>
      </c>
      <c r="E2338" s="1">
        <v>2151256</v>
      </c>
      <c r="F2338" s="1" t="s">
        <v>13</v>
      </c>
      <c r="G2338" s="1" t="s">
        <v>11409</v>
      </c>
    </row>
    <row r="2339" spans="1:7" ht="21" x14ac:dyDescent="0.25">
      <c r="A2339" s="2" t="str">
        <f>HYPERLINK("https://rth.dk/resources/bsgatlas/details.php?id=BSGatlas-gene-2338","BSGatlas-gene-2338")</f>
        <v>BSGatlas-gene-2338</v>
      </c>
      <c r="B2339" s="1" t="s">
        <v>2193</v>
      </c>
      <c r="C2339" s="1" t="s">
        <v>276</v>
      </c>
      <c r="D2339" s="1">
        <v>2151626</v>
      </c>
      <c r="E2339" s="1">
        <v>2152045</v>
      </c>
      <c r="F2339" s="1" t="s">
        <v>9</v>
      </c>
      <c r="G2339" s="1" t="s">
        <v>11441</v>
      </c>
    </row>
    <row r="2340" spans="1:7" ht="21" x14ac:dyDescent="0.25">
      <c r="A2340" s="2" t="str">
        <f>HYPERLINK("https://rth.dk/resources/bsgatlas/details.php?id=BSGatlas-gene-2339","BSGatlas-gene-2339")</f>
        <v>BSGatlas-gene-2339</v>
      </c>
      <c r="B2340" s="1" t="s">
        <v>2194</v>
      </c>
      <c r="C2340" s="1" t="s">
        <v>8</v>
      </c>
      <c r="D2340" s="1">
        <v>2152086</v>
      </c>
      <c r="E2340" s="1">
        <v>2152262</v>
      </c>
      <c r="F2340" s="1" t="s">
        <v>13</v>
      </c>
      <c r="G2340" s="1" t="s">
        <v>11409</v>
      </c>
    </row>
    <row r="2341" spans="1:7" ht="21" x14ac:dyDescent="0.25">
      <c r="A2341" s="2" t="str">
        <f>HYPERLINK("https://rth.dk/resources/bsgatlas/details.php?id=BSGatlas-gene-2340","BSGatlas-gene-2340")</f>
        <v>BSGatlas-gene-2340</v>
      </c>
      <c r="B2341" s="1" t="s">
        <v>2195</v>
      </c>
      <c r="C2341" s="1" t="s">
        <v>8</v>
      </c>
      <c r="D2341" s="1">
        <v>2152265</v>
      </c>
      <c r="E2341" s="1">
        <v>2152852</v>
      </c>
      <c r="F2341" s="1" t="s">
        <v>13</v>
      </c>
      <c r="G2341" s="1" t="s">
        <v>11409</v>
      </c>
    </row>
    <row r="2342" spans="1:7" ht="21" x14ac:dyDescent="0.25">
      <c r="A2342" s="2" t="str">
        <f>HYPERLINK("https://rth.dk/resources/bsgatlas/details.php?id=BSGatlas-gene-2341","BSGatlas-gene-2341")</f>
        <v>BSGatlas-gene-2341</v>
      </c>
      <c r="B2342" s="1" t="s">
        <v>2207</v>
      </c>
      <c r="C2342" s="1" t="s">
        <v>8</v>
      </c>
      <c r="D2342" s="1">
        <v>2152927</v>
      </c>
      <c r="E2342" s="1">
        <v>2153169</v>
      </c>
      <c r="F2342" s="1" t="s">
        <v>9</v>
      </c>
      <c r="G2342" s="1" t="s">
        <v>11409</v>
      </c>
    </row>
    <row r="2343" spans="1:7" ht="21" x14ac:dyDescent="0.25">
      <c r="A2343" s="2" t="str">
        <f>HYPERLINK("https://rth.dk/resources/bsgatlas/details.php?id=BSGatlas-gene-2342","BSGatlas-gene-2342")</f>
        <v>BSGatlas-gene-2342</v>
      </c>
      <c r="B2343" s="1" t="s">
        <v>2196</v>
      </c>
      <c r="C2343" s="1" t="s">
        <v>8</v>
      </c>
      <c r="D2343" s="1">
        <v>2153171</v>
      </c>
      <c r="E2343" s="1">
        <v>2153356</v>
      </c>
      <c r="F2343" s="1" t="s">
        <v>13</v>
      </c>
      <c r="G2343" s="1" t="s">
        <v>11409</v>
      </c>
    </row>
    <row r="2344" spans="1:7" ht="21" x14ac:dyDescent="0.25">
      <c r="A2344" s="2" t="str">
        <f>HYPERLINK("https://rth.dk/resources/bsgatlas/details.php?id=BSGatlas-gene-2343","BSGatlas-gene-2343")</f>
        <v>BSGatlas-gene-2343</v>
      </c>
      <c r="B2344" s="1" t="s">
        <v>2197</v>
      </c>
      <c r="C2344" s="1" t="s">
        <v>8</v>
      </c>
      <c r="D2344" s="1">
        <v>2153440</v>
      </c>
      <c r="E2344" s="1">
        <v>2153652</v>
      </c>
      <c r="F2344" s="1" t="s">
        <v>13</v>
      </c>
      <c r="G2344" s="1" t="s">
        <v>11409</v>
      </c>
    </row>
    <row r="2345" spans="1:7" ht="21" x14ac:dyDescent="0.25">
      <c r="A2345" s="2" t="str">
        <f>HYPERLINK("https://rth.dk/resources/bsgatlas/details.php?id=BSGatlas-gene-2344","BSGatlas-gene-2344")</f>
        <v>BSGatlas-gene-2344</v>
      </c>
      <c r="B2345" s="1" t="s">
        <v>2198</v>
      </c>
      <c r="C2345" s="1" t="s">
        <v>8</v>
      </c>
      <c r="D2345" s="1">
        <v>2153718</v>
      </c>
      <c r="E2345" s="1">
        <v>2154080</v>
      </c>
      <c r="F2345" s="1" t="s">
        <v>13</v>
      </c>
      <c r="G2345" s="1" t="s">
        <v>11409</v>
      </c>
    </row>
    <row r="2346" spans="1:7" ht="21" x14ac:dyDescent="0.25">
      <c r="A2346" s="2" t="str">
        <f>HYPERLINK("https://rth.dk/resources/bsgatlas/details.php?id=BSGatlas-gene-2345","BSGatlas-gene-2345")</f>
        <v>BSGatlas-gene-2345</v>
      </c>
      <c r="B2346" s="1" t="s">
        <v>2199</v>
      </c>
      <c r="C2346" s="1" t="s">
        <v>8</v>
      </c>
      <c r="D2346" s="1">
        <v>2154077</v>
      </c>
      <c r="E2346" s="1">
        <v>2154250</v>
      </c>
      <c r="F2346" s="1" t="s">
        <v>13</v>
      </c>
      <c r="G2346" s="1" t="s">
        <v>11409</v>
      </c>
    </row>
    <row r="2347" spans="1:7" ht="21" x14ac:dyDescent="0.25">
      <c r="A2347" s="2" t="str">
        <f>HYPERLINK("https://rth.dk/resources/bsgatlas/details.php?id=BSGatlas-gene-2346","BSGatlas-gene-2346")</f>
        <v>BSGatlas-gene-2346</v>
      </c>
      <c r="B2347" s="1" t="s">
        <v>2200</v>
      </c>
      <c r="C2347" s="1" t="s">
        <v>8</v>
      </c>
      <c r="D2347" s="1">
        <v>2154266</v>
      </c>
      <c r="E2347" s="1">
        <v>2154583</v>
      </c>
      <c r="F2347" s="1" t="s">
        <v>13</v>
      </c>
      <c r="G2347" s="1" t="s">
        <v>11409</v>
      </c>
    </row>
    <row r="2348" spans="1:7" ht="21" x14ac:dyDescent="0.25">
      <c r="A2348" s="2" t="str">
        <f>HYPERLINK("https://rth.dk/resources/bsgatlas/details.php?id=BSGatlas-gene-2347","BSGatlas-gene-2347")</f>
        <v>BSGatlas-gene-2347</v>
      </c>
      <c r="B2348" s="1" t="s">
        <v>2201</v>
      </c>
      <c r="C2348" s="1" t="s">
        <v>8</v>
      </c>
      <c r="D2348" s="1">
        <v>2154596</v>
      </c>
      <c r="E2348" s="1">
        <v>2154673</v>
      </c>
      <c r="F2348" s="1" t="s">
        <v>13</v>
      </c>
      <c r="G2348" s="1" t="s">
        <v>11409</v>
      </c>
    </row>
    <row r="2349" spans="1:7" ht="21" x14ac:dyDescent="0.25">
      <c r="A2349" s="2" t="str">
        <f>HYPERLINK("https://rth.dk/resources/bsgatlas/details.php?id=BSGatlas-gene-2348","BSGatlas-gene-2348")</f>
        <v>BSGatlas-gene-2348</v>
      </c>
      <c r="B2349" s="1" t="s">
        <v>2202</v>
      </c>
      <c r="C2349" s="1" t="s">
        <v>8</v>
      </c>
      <c r="D2349" s="1">
        <v>2154705</v>
      </c>
      <c r="E2349" s="1">
        <v>2154851</v>
      </c>
      <c r="F2349" s="1" t="s">
        <v>13</v>
      </c>
      <c r="G2349" s="1" t="s">
        <v>11409</v>
      </c>
    </row>
    <row r="2350" spans="1:7" ht="21" x14ac:dyDescent="0.25">
      <c r="A2350" s="2" t="str">
        <f>HYPERLINK("https://rth.dk/resources/bsgatlas/details.php?id=BSGatlas-gene-2349","BSGatlas-gene-2349")</f>
        <v>BSGatlas-gene-2349</v>
      </c>
      <c r="B2350" s="1" t="s">
        <v>318</v>
      </c>
      <c r="C2350" s="1" t="s">
        <v>8</v>
      </c>
      <c r="D2350" s="1">
        <v>2154781</v>
      </c>
      <c r="E2350" s="1">
        <v>2154972</v>
      </c>
      <c r="F2350" s="1" t="s">
        <v>9</v>
      </c>
      <c r="G2350" s="1" t="s">
        <v>11441</v>
      </c>
    </row>
    <row r="2351" spans="1:7" ht="21" x14ac:dyDescent="0.25">
      <c r="A2351" s="2" t="str">
        <f>HYPERLINK("https://rth.dk/resources/bsgatlas/details.php?id=BSGatlas-gene-2350","BSGatlas-gene-2350")</f>
        <v>BSGatlas-gene-2350</v>
      </c>
      <c r="B2351" s="1" t="s">
        <v>2203</v>
      </c>
      <c r="C2351" s="1" t="s">
        <v>8</v>
      </c>
      <c r="D2351" s="1">
        <v>2154887</v>
      </c>
      <c r="E2351" s="1">
        <v>2155018</v>
      </c>
      <c r="F2351" s="1" t="s">
        <v>13</v>
      </c>
      <c r="G2351" s="1" t="s">
        <v>11409</v>
      </c>
    </row>
    <row r="2352" spans="1:7" ht="21" x14ac:dyDescent="0.25">
      <c r="A2352" s="2" t="str">
        <f>HYPERLINK("https://rth.dk/resources/bsgatlas/details.php?id=BSGatlas-gene-2351","BSGatlas-gene-2351")</f>
        <v>BSGatlas-gene-2351</v>
      </c>
      <c r="B2352" s="1" t="s">
        <v>2204</v>
      </c>
      <c r="C2352" s="1" t="s">
        <v>8</v>
      </c>
      <c r="D2352" s="1">
        <v>2155058</v>
      </c>
      <c r="E2352" s="1">
        <v>2155249</v>
      </c>
      <c r="F2352" s="1" t="s">
        <v>13</v>
      </c>
      <c r="G2352" s="1" t="s">
        <v>11409</v>
      </c>
    </row>
    <row r="2353" spans="1:7" ht="21" x14ac:dyDescent="0.25">
      <c r="A2353" s="2" t="str">
        <f>HYPERLINK("https://rth.dk/resources/bsgatlas/details.php?id=BSGatlas-gene-2352","BSGatlas-gene-2352")</f>
        <v>BSGatlas-gene-2352</v>
      </c>
      <c r="B2353" s="1" t="s">
        <v>2205</v>
      </c>
      <c r="C2353" s="1" t="s">
        <v>8</v>
      </c>
      <c r="D2353" s="1">
        <v>2155293</v>
      </c>
      <c r="E2353" s="1">
        <v>2156120</v>
      </c>
      <c r="F2353" s="1" t="s">
        <v>13</v>
      </c>
      <c r="G2353" s="1" t="s">
        <v>11409</v>
      </c>
    </row>
    <row r="2354" spans="1:7" ht="21" x14ac:dyDescent="0.25">
      <c r="A2354" s="2" t="str">
        <f>HYPERLINK("https://rth.dk/resources/bsgatlas/details.php?id=BSGatlas-gene-2353","BSGatlas-gene-2353")</f>
        <v>BSGatlas-gene-2353</v>
      </c>
      <c r="B2354" s="1" t="s">
        <v>2208</v>
      </c>
      <c r="C2354" s="1" t="s">
        <v>8</v>
      </c>
      <c r="D2354" s="1">
        <v>2156239</v>
      </c>
      <c r="E2354" s="1">
        <v>2156457</v>
      </c>
      <c r="F2354" s="1" t="s">
        <v>9</v>
      </c>
      <c r="G2354" s="1" t="s">
        <v>11409</v>
      </c>
    </row>
    <row r="2355" spans="1:7" ht="21" x14ac:dyDescent="0.25">
      <c r="A2355" s="2" t="str">
        <f>HYPERLINK("https://rth.dk/resources/bsgatlas/details.php?id=BSGatlas-gene-2354","BSGatlas-gene-2354")</f>
        <v>BSGatlas-gene-2354</v>
      </c>
      <c r="B2355" s="1" t="s">
        <v>2206</v>
      </c>
      <c r="C2355" s="1" t="s">
        <v>8</v>
      </c>
      <c r="D2355" s="1">
        <v>2156757</v>
      </c>
      <c r="E2355" s="1">
        <v>2157110</v>
      </c>
      <c r="F2355" s="1" t="s">
        <v>13</v>
      </c>
      <c r="G2355" s="1" t="s">
        <v>11409</v>
      </c>
    </row>
    <row r="2356" spans="1:7" ht="21" x14ac:dyDescent="0.25">
      <c r="A2356" s="2" t="str">
        <f>HYPERLINK("https://rth.dk/resources/bsgatlas/details.php?id=BSGatlas-gene-2355","BSGatlas-gene-2355")</f>
        <v>BSGatlas-gene-2355</v>
      </c>
      <c r="B2356" s="1" t="s">
        <v>11550</v>
      </c>
      <c r="C2356" s="1" t="s">
        <v>8</v>
      </c>
      <c r="D2356" s="1">
        <v>2157341</v>
      </c>
      <c r="E2356" s="1">
        <v>2157682</v>
      </c>
      <c r="F2356" s="1" t="s">
        <v>13</v>
      </c>
      <c r="G2356" s="1" t="s">
        <v>11409</v>
      </c>
    </row>
    <row r="2357" spans="1:7" ht="21" x14ac:dyDescent="0.25">
      <c r="A2357" s="2" t="str">
        <f>HYPERLINK("https://rth.dk/resources/bsgatlas/details.php?id=BSGatlas-gene-2356","BSGatlas-gene-2356")</f>
        <v>BSGatlas-gene-2356</v>
      </c>
      <c r="B2357" s="1" t="s">
        <v>11551</v>
      </c>
      <c r="C2357" s="1" t="s">
        <v>8</v>
      </c>
      <c r="D2357" s="1">
        <v>2157829</v>
      </c>
      <c r="E2357" s="1">
        <v>2158119</v>
      </c>
      <c r="F2357" s="1" t="s">
        <v>13</v>
      </c>
      <c r="G2357" s="1" t="s">
        <v>11409</v>
      </c>
    </row>
    <row r="2358" spans="1:7" ht="21" x14ac:dyDescent="0.25">
      <c r="A2358" s="2" t="str">
        <f>HYPERLINK("https://rth.dk/resources/bsgatlas/details.php?id=BSGatlas-gene-2357","BSGatlas-gene-2357")</f>
        <v>BSGatlas-gene-2357</v>
      </c>
      <c r="B2358" s="1" t="s">
        <v>11552</v>
      </c>
      <c r="C2358" s="1" t="s">
        <v>8</v>
      </c>
      <c r="D2358" s="1">
        <v>2158120</v>
      </c>
      <c r="E2358" s="1">
        <v>2158287</v>
      </c>
      <c r="F2358" s="1" t="s">
        <v>13</v>
      </c>
      <c r="G2358" s="1" t="s">
        <v>11409</v>
      </c>
    </row>
    <row r="2359" spans="1:7" ht="21" x14ac:dyDescent="0.25">
      <c r="A2359" s="2" t="str">
        <f>HYPERLINK("https://rth.dk/resources/bsgatlas/details.php?id=BSGatlas-gene-2358","BSGatlas-gene-2358")</f>
        <v>BSGatlas-gene-2358</v>
      </c>
      <c r="B2359" s="1" t="s">
        <v>2209</v>
      </c>
      <c r="C2359" s="1" t="s">
        <v>8</v>
      </c>
      <c r="D2359" s="1">
        <v>2158439</v>
      </c>
      <c r="E2359" s="1">
        <v>2158684</v>
      </c>
      <c r="F2359" s="1" t="s">
        <v>9</v>
      </c>
      <c r="G2359" s="1" t="s">
        <v>11409</v>
      </c>
    </row>
    <row r="2360" spans="1:7" ht="21" x14ac:dyDescent="0.25">
      <c r="A2360" s="2" t="str">
        <f>HYPERLINK("https://rth.dk/resources/bsgatlas/details.php?id=BSGatlas-gene-2359","BSGatlas-gene-2359")</f>
        <v>BSGatlas-gene-2359</v>
      </c>
      <c r="B2360" s="1" t="s">
        <v>2210</v>
      </c>
      <c r="C2360" s="1" t="s">
        <v>8</v>
      </c>
      <c r="D2360" s="1">
        <v>2158724</v>
      </c>
      <c r="E2360" s="1">
        <v>2159173</v>
      </c>
      <c r="F2360" s="1" t="s">
        <v>13</v>
      </c>
      <c r="G2360" s="1" t="s">
        <v>11409</v>
      </c>
    </row>
    <row r="2361" spans="1:7" ht="21" x14ac:dyDescent="0.25">
      <c r="A2361" s="2" t="str">
        <f>HYPERLINK("https://rth.dk/resources/bsgatlas/details.php?id=BSGatlas-gene-2360","BSGatlas-gene-2360")</f>
        <v>BSGatlas-gene-2360</v>
      </c>
      <c r="B2361" s="1" t="s">
        <v>11553</v>
      </c>
      <c r="C2361" s="1" t="s">
        <v>8</v>
      </c>
      <c r="D2361" s="1">
        <v>2159268</v>
      </c>
      <c r="E2361" s="1">
        <v>2159696</v>
      </c>
      <c r="F2361" s="1" t="s">
        <v>13</v>
      </c>
      <c r="G2361" s="1" t="s">
        <v>11409</v>
      </c>
    </row>
    <row r="2362" spans="1:7" ht="21" x14ac:dyDescent="0.25">
      <c r="A2362" s="2" t="str">
        <f>HYPERLINK("https://rth.dk/resources/bsgatlas/details.php?id=BSGatlas-gene-2361","BSGatlas-gene-2361")</f>
        <v>BSGatlas-gene-2361</v>
      </c>
      <c r="B2362" s="1" t="s">
        <v>11554</v>
      </c>
      <c r="C2362" s="1" t="s">
        <v>276</v>
      </c>
      <c r="D2362" s="1">
        <v>2159742</v>
      </c>
      <c r="E2362" s="1">
        <v>2159984</v>
      </c>
      <c r="F2362" s="1" t="s">
        <v>13</v>
      </c>
      <c r="G2362" s="1" t="s">
        <v>11409</v>
      </c>
    </row>
    <row r="2363" spans="1:7" ht="21" x14ac:dyDescent="0.25">
      <c r="A2363" s="2" t="str">
        <f>HYPERLINK("https://rth.dk/resources/bsgatlas/details.php?id=BSGatlas-gene-2362","BSGatlas-gene-2362")</f>
        <v>BSGatlas-gene-2362</v>
      </c>
      <c r="B2363" s="1" t="s">
        <v>2211</v>
      </c>
      <c r="C2363" s="1" t="s">
        <v>8</v>
      </c>
      <c r="D2363" s="1">
        <v>2159981</v>
      </c>
      <c r="E2363" s="1">
        <v>2161778</v>
      </c>
      <c r="F2363" s="1" t="s">
        <v>13</v>
      </c>
      <c r="G2363" s="1" t="s">
        <v>11409</v>
      </c>
    </row>
    <row r="2364" spans="1:7" ht="21" x14ac:dyDescent="0.25">
      <c r="A2364" s="2" t="str">
        <f>HYPERLINK("https://rth.dk/resources/bsgatlas/details.php?id=BSGatlas-gene-2363","BSGatlas-gene-2363")</f>
        <v>BSGatlas-gene-2363</v>
      </c>
      <c r="B2364" s="1" t="s">
        <v>11555</v>
      </c>
      <c r="C2364" s="1" t="s">
        <v>2214</v>
      </c>
      <c r="D2364" s="1">
        <v>2160390</v>
      </c>
      <c r="E2364" s="1">
        <v>2161194</v>
      </c>
      <c r="F2364" s="1" t="s">
        <v>13</v>
      </c>
      <c r="G2364" s="1" t="s">
        <v>11513</v>
      </c>
    </row>
    <row r="2365" spans="1:7" ht="21" x14ac:dyDescent="0.25">
      <c r="A2365" s="2" t="str">
        <f>HYPERLINK("https://rth.dk/resources/bsgatlas/details.php?id=BSGatlas-gene-2364","BSGatlas-gene-2364")</f>
        <v>BSGatlas-gene-2364</v>
      </c>
      <c r="B2365" s="1" t="s">
        <v>11556</v>
      </c>
      <c r="C2365" s="1" t="s">
        <v>8</v>
      </c>
      <c r="D2365" s="1">
        <v>2160565</v>
      </c>
      <c r="E2365" s="1">
        <v>2161086</v>
      </c>
      <c r="F2365" s="1" t="s">
        <v>13</v>
      </c>
      <c r="G2365" s="1" t="s">
        <v>11409</v>
      </c>
    </row>
    <row r="2366" spans="1:7" ht="21" x14ac:dyDescent="0.25">
      <c r="A2366" s="2" t="str">
        <f>HYPERLINK("https://rth.dk/resources/bsgatlas/details.php?id=BSGatlas-gene-2365","BSGatlas-gene-2365")</f>
        <v>BSGatlas-gene-2365</v>
      </c>
      <c r="B2366" s="1" t="s">
        <v>11557</v>
      </c>
      <c r="C2366" s="1" t="s">
        <v>2214</v>
      </c>
      <c r="D2366" s="1">
        <v>2160964</v>
      </c>
      <c r="E2366" s="1">
        <v>2161207</v>
      </c>
      <c r="F2366" s="1" t="s">
        <v>13</v>
      </c>
      <c r="G2366" s="1" t="s">
        <v>11498</v>
      </c>
    </row>
    <row r="2367" spans="1:7" ht="21" x14ac:dyDescent="0.25">
      <c r="A2367" s="2" t="str">
        <f>HYPERLINK("https://rth.dk/resources/bsgatlas/details.php?id=BSGatlas-gene-2366","BSGatlas-gene-2366")</f>
        <v>BSGatlas-gene-2366</v>
      </c>
      <c r="B2367" s="1" t="s">
        <v>2212</v>
      </c>
      <c r="C2367" s="1" t="s">
        <v>8</v>
      </c>
      <c r="D2367" s="1">
        <v>2162108</v>
      </c>
      <c r="E2367" s="1">
        <v>2165614</v>
      </c>
      <c r="F2367" s="1" t="s">
        <v>13</v>
      </c>
      <c r="G2367" s="1" t="s">
        <v>11409</v>
      </c>
    </row>
    <row r="2368" spans="1:7" ht="21" x14ac:dyDescent="0.25">
      <c r="A2368" s="2" t="str">
        <f>HYPERLINK("https://rth.dk/resources/bsgatlas/details.php?id=BSGatlas-gene-2367","BSGatlas-gene-2367")</f>
        <v>BSGatlas-gene-2367</v>
      </c>
      <c r="B2368" s="1" t="s">
        <v>2212</v>
      </c>
      <c r="C2368" s="1" t="s">
        <v>12</v>
      </c>
      <c r="D2368" s="1">
        <v>2163068</v>
      </c>
      <c r="E2368" s="1">
        <v>2164222</v>
      </c>
      <c r="F2368" s="1" t="s">
        <v>13</v>
      </c>
      <c r="G2368" s="1" t="s">
        <v>11517</v>
      </c>
    </row>
    <row r="2369" spans="1:7" ht="21" x14ac:dyDescent="0.25">
      <c r="A2369" s="2" t="str">
        <f>HYPERLINK("https://rth.dk/resources/bsgatlas/details.php?id=BSGatlas-gene-2368","BSGatlas-gene-2368")</f>
        <v>BSGatlas-gene-2368</v>
      </c>
      <c r="B2369" s="1" t="s">
        <v>2213</v>
      </c>
      <c r="C2369" s="1" t="s">
        <v>2214</v>
      </c>
      <c r="D2369" s="1">
        <v>2164643</v>
      </c>
      <c r="E2369" s="1">
        <v>2164904</v>
      </c>
      <c r="F2369" s="1" t="s">
        <v>13</v>
      </c>
      <c r="G2369" s="1" t="s">
        <v>11439</v>
      </c>
    </row>
    <row r="2370" spans="1:7" ht="21" x14ac:dyDescent="0.25">
      <c r="A2370" s="2" t="str">
        <f>HYPERLINK("https://rth.dk/resources/bsgatlas/details.php?id=BSGatlas-gene-2369","BSGatlas-gene-2369")</f>
        <v>BSGatlas-gene-2369</v>
      </c>
      <c r="B2370" s="1" t="s">
        <v>2215</v>
      </c>
      <c r="C2370" s="1" t="s">
        <v>8</v>
      </c>
      <c r="D2370" s="1">
        <v>2165577</v>
      </c>
      <c r="E2370" s="1">
        <v>2165972</v>
      </c>
      <c r="F2370" s="1" t="s">
        <v>13</v>
      </c>
      <c r="G2370" s="1" t="s">
        <v>11409</v>
      </c>
    </row>
    <row r="2371" spans="1:7" ht="21" x14ac:dyDescent="0.25">
      <c r="A2371" s="2" t="str">
        <f>HYPERLINK("https://rth.dk/resources/bsgatlas/details.php?id=BSGatlas-gene-2370","BSGatlas-gene-2370")</f>
        <v>BSGatlas-gene-2370</v>
      </c>
      <c r="B2371" s="1" t="s">
        <v>11558</v>
      </c>
      <c r="C2371" s="1" t="s">
        <v>8</v>
      </c>
      <c r="D2371" s="1">
        <v>2165972</v>
      </c>
      <c r="E2371" s="1">
        <v>2166325</v>
      </c>
      <c r="F2371" s="1" t="s">
        <v>13</v>
      </c>
      <c r="G2371" s="1" t="s">
        <v>11409</v>
      </c>
    </row>
    <row r="2372" spans="1:7" ht="21" x14ac:dyDescent="0.25">
      <c r="A2372" s="2" t="str">
        <f>HYPERLINK("https://rth.dk/resources/bsgatlas/details.php?id=BSGatlas-gene-2371","BSGatlas-gene-2371")</f>
        <v>BSGatlas-gene-2371</v>
      </c>
      <c r="B2372" s="1" t="s">
        <v>11559</v>
      </c>
      <c r="C2372" s="1" t="s">
        <v>8</v>
      </c>
      <c r="D2372" s="1">
        <v>2166413</v>
      </c>
      <c r="E2372" s="1">
        <v>2166613</v>
      </c>
      <c r="F2372" s="1" t="s">
        <v>13</v>
      </c>
      <c r="G2372" s="1" t="s">
        <v>11409</v>
      </c>
    </row>
    <row r="2373" spans="1:7" ht="21" x14ac:dyDescent="0.25">
      <c r="A2373" s="2" t="str">
        <f>HYPERLINK("https://rth.dk/resources/bsgatlas/details.php?id=BSGatlas-gene-2372","BSGatlas-gene-2372")</f>
        <v>BSGatlas-gene-2372</v>
      </c>
      <c r="B2373" s="1" t="s">
        <v>11560</v>
      </c>
      <c r="C2373" s="1" t="s">
        <v>8</v>
      </c>
      <c r="D2373" s="1">
        <v>2166658</v>
      </c>
      <c r="E2373" s="1">
        <v>2166852</v>
      </c>
      <c r="F2373" s="1" t="s">
        <v>13</v>
      </c>
      <c r="G2373" s="1" t="s">
        <v>11409</v>
      </c>
    </row>
    <row r="2374" spans="1:7" ht="21" x14ac:dyDescent="0.25">
      <c r="A2374" s="2" t="str">
        <f>HYPERLINK("https://rth.dk/resources/bsgatlas/details.php?id=BSGatlas-gene-2373","BSGatlas-gene-2373")</f>
        <v>BSGatlas-gene-2373</v>
      </c>
      <c r="B2374" s="1" t="s">
        <v>11561</v>
      </c>
      <c r="C2374" s="1" t="s">
        <v>8</v>
      </c>
      <c r="D2374" s="1">
        <v>2166873</v>
      </c>
      <c r="E2374" s="1">
        <v>2167007</v>
      </c>
      <c r="F2374" s="1" t="s">
        <v>13</v>
      </c>
      <c r="G2374" s="1" t="s">
        <v>11409</v>
      </c>
    </row>
    <row r="2375" spans="1:7" ht="21" x14ac:dyDescent="0.25">
      <c r="A2375" s="2" t="str">
        <f>HYPERLINK("https://rth.dk/resources/bsgatlas/details.php?id=BSGatlas-gene-2374","BSGatlas-gene-2374")</f>
        <v>BSGatlas-gene-2374</v>
      </c>
      <c r="B2375" s="1" t="s">
        <v>11562</v>
      </c>
      <c r="C2375" s="1" t="s">
        <v>8</v>
      </c>
      <c r="D2375" s="1">
        <v>2167039</v>
      </c>
      <c r="E2375" s="1">
        <v>2167509</v>
      </c>
      <c r="F2375" s="1" t="s">
        <v>13</v>
      </c>
      <c r="G2375" s="1" t="s">
        <v>11409</v>
      </c>
    </row>
    <row r="2376" spans="1:7" ht="21" x14ac:dyDescent="0.25">
      <c r="A2376" s="2" t="str">
        <f>HYPERLINK("https://rth.dk/resources/bsgatlas/details.php?id=BSGatlas-gene-2375","BSGatlas-gene-2375")</f>
        <v>BSGatlas-gene-2375</v>
      </c>
      <c r="B2376" s="1" t="s">
        <v>11563</v>
      </c>
      <c r="C2376" s="1" t="s">
        <v>8</v>
      </c>
      <c r="D2376" s="1">
        <v>2167570</v>
      </c>
      <c r="E2376" s="1">
        <v>2167932</v>
      </c>
      <c r="F2376" s="1" t="s">
        <v>13</v>
      </c>
      <c r="G2376" s="1" t="s">
        <v>11409</v>
      </c>
    </row>
    <row r="2377" spans="1:7" ht="21" x14ac:dyDescent="0.25">
      <c r="A2377" s="2" t="str">
        <f>HYPERLINK("https://rth.dk/resources/bsgatlas/details.php?id=BSGatlas-gene-2376","BSGatlas-gene-2376")</f>
        <v>BSGatlas-gene-2376</v>
      </c>
      <c r="B2377" s="1" t="s">
        <v>11564</v>
      </c>
      <c r="C2377" s="1" t="s">
        <v>8</v>
      </c>
      <c r="D2377" s="1">
        <v>2167975</v>
      </c>
      <c r="E2377" s="1">
        <v>2168100</v>
      </c>
      <c r="F2377" s="1" t="s">
        <v>13</v>
      </c>
      <c r="G2377" s="1" t="s">
        <v>11409</v>
      </c>
    </row>
    <row r="2378" spans="1:7" ht="21" x14ac:dyDescent="0.25">
      <c r="A2378" s="2" t="str">
        <f>HYPERLINK("https://rth.dk/resources/bsgatlas/details.php?id=BSGatlas-gene-2377","BSGatlas-gene-2377")</f>
        <v>BSGatlas-gene-2377</v>
      </c>
      <c r="B2378" s="1" t="s">
        <v>11565</v>
      </c>
      <c r="C2378" s="1" t="s">
        <v>8</v>
      </c>
      <c r="D2378" s="1">
        <v>2168114</v>
      </c>
      <c r="E2378" s="1">
        <v>2168461</v>
      </c>
      <c r="F2378" s="1" t="s">
        <v>13</v>
      </c>
      <c r="G2378" s="1" t="s">
        <v>11409</v>
      </c>
    </row>
    <row r="2379" spans="1:7" ht="21" x14ac:dyDescent="0.25">
      <c r="A2379" s="2" t="str">
        <f>HYPERLINK("https://rth.dk/resources/bsgatlas/details.php?id=BSGatlas-gene-2378","BSGatlas-gene-2378")</f>
        <v>BSGatlas-gene-2378</v>
      </c>
      <c r="B2379" s="1" t="s">
        <v>11566</v>
      </c>
      <c r="C2379" s="1" t="s">
        <v>8</v>
      </c>
      <c r="D2379" s="1">
        <v>2168476</v>
      </c>
      <c r="E2379" s="1">
        <v>2168871</v>
      </c>
      <c r="F2379" s="1" t="s">
        <v>13</v>
      </c>
      <c r="G2379" s="1" t="s">
        <v>11409</v>
      </c>
    </row>
    <row r="2380" spans="1:7" ht="21" x14ac:dyDescent="0.25">
      <c r="A2380" s="2" t="str">
        <f>HYPERLINK("https://rth.dk/resources/bsgatlas/details.php?id=BSGatlas-gene-2379","BSGatlas-gene-2379")</f>
        <v>BSGatlas-gene-2379</v>
      </c>
      <c r="B2380" s="1" t="s">
        <v>11567</v>
      </c>
      <c r="C2380" s="1" t="s">
        <v>8</v>
      </c>
      <c r="D2380" s="1">
        <v>2168910</v>
      </c>
      <c r="E2380" s="1">
        <v>2169452</v>
      </c>
      <c r="F2380" s="1" t="s">
        <v>13</v>
      </c>
      <c r="G2380" s="1" t="s">
        <v>11409</v>
      </c>
    </row>
    <row r="2381" spans="1:7" ht="21" x14ac:dyDescent="0.25">
      <c r="A2381" s="2" t="str">
        <f>HYPERLINK("https://rth.dk/resources/bsgatlas/details.php?id=BSGatlas-gene-2380","BSGatlas-gene-2380")</f>
        <v>BSGatlas-gene-2380</v>
      </c>
      <c r="B2381" s="1" t="s">
        <v>11568</v>
      </c>
      <c r="C2381" s="1" t="s">
        <v>8</v>
      </c>
      <c r="D2381" s="1">
        <v>2169497</v>
      </c>
      <c r="E2381" s="1">
        <v>2169676</v>
      </c>
      <c r="F2381" s="1" t="s">
        <v>13</v>
      </c>
      <c r="G2381" s="1" t="s">
        <v>11409</v>
      </c>
    </row>
    <row r="2382" spans="1:7" ht="21" x14ac:dyDescent="0.25">
      <c r="A2382" s="2" t="str">
        <f>HYPERLINK("https://rth.dk/resources/bsgatlas/details.php?id=BSGatlas-gene-2381","BSGatlas-gene-2381")</f>
        <v>BSGatlas-gene-2381</v>
      </c>
      <c r="B2382" s="1" t="s">
        <v>2216</v>
      </c>
      <c r="C2382" s="1" t="s">
        <v>8</v>
      </c>
      <c r="D2382" s="1">
        <v>2169807</v>
      </c>
      <c r="E2382" s="1">
        <v>2169926</v>
      </c>
      <c r="F2382" s="1" t="s">
        <v>9</v>
      </c>
      <c r="G2382" s="1" t="s">
        <v>11409</v>
      </c>
    </row>
    <row r="2383" spans="1:7" ht="21" x14ac:dyDescent="0.25">
      <c r="A2383" s="2" t="str">
        <f>HYPERLINK("https://rth.dk/resources/bsgatlas/details.php?id=BSGatlas-gene-2382","BSGatlas-gene-2382")</f>
        <v>BSGatlas-gene-2382</v>
      </c>
      <c r="B2383" s="1" t="s">
        <v>11569</v>
      </c>
      <c r="C2383" s="1" t="s">
        <v>8</v>
      </c>
      <c r="D2383" s="1">
        <v>2170030</v>
      </c>
      <c r="E2383" s="1">
        <v>2170242</v>
      </c>
      <c r="F2383" s="1" t="s">
        <v>13</v>
      </c>
      <c r="G2383" s="1" t="s">
        <v>11409</v>
      </c>
    </row>
    <row r="2384" spans="1:7" ht="21" x14ac:dyDescent="0.25">
      <c r="A2384" s="2" t="str">
        <f>HYPERLINK("https://rth.dk/resources/bsgatlas/details.php?id=BSGatlas-gene-2383","BSGatlas-gene-2383")</f>
        <v>BSGatlas-gene-2383</v>
      </c>
      <c r="B2384" s="1" t="s">
        <v>11570</v>
      </c>
      <c r="C2384" s="1" t="s">
        <v>8</v>
      </c>
      <c r="D2384" s="1">
        <v>2170309</v>
      </c>
      <c r="E2384" s="1">
        <v>2170491</v>
      </c>
      <c r="F2384" s="1" t="s">
        <v>13</v>
      </c>
      <c r="G2384" s="1" t="s">
        <v>11409</v>
      </c>
    </row>
    <row r="2385" spans="1:7" ht="21" x14ac:dyDescent="0.25">
      <c r="A2385" s="2" t="str">
        <f>HYPERLINK("https://rth.dk/resources/bsgatlas/details.php?id=BSGatlas-gene-2384","BSGatlas-gene-2384")</f>
        <v>BSGatlas-gene-2384</v>
      </c>
      <c r="B2385" s="1" t="s">
        <v>11571</v>
      </c>
      <c r="C2385" s="1" t="s">
        <v>8</v>
      </c>
      <c r="D2385" s="1">
        <v>2170504</v>
      </c>
      <c r="E2385" s="1">
        <v>2170731</v>
      </c>
      <c r="F2385" s="1" t="s">
        <v>13</v>
      </c>
      <c r="G2385" s="1" t="s">
        <v>11409</v>
      </c>
    </row>
    <row r="2386" spans="1:7" ht="21" x14ac:dyDescent="0.25">
      <c r="A2386" s="2" t="str">
        <f>HYPERLINK("https://rth.dk/resources/bsgatlas/details.php?id=BSGatlas-gene-2385","BSGatlas-gene-2385")</f>
        <v>BSGatlas-gene-2385</v>
      </c>
      <c r="B2386" s="1" t="s">
        <v>11572</v>
      </c>
      <c r="C2386" s="1" t="s">
        <v>8</v>
      </c>
      <c r="D2386" s="1">
        <v>2170771</v>
      </c>
      <c r="E2386" s="1">
        <v>2171136</v>
      </c>
      <c r="F2386" s="1" t="s">
        <v>13</v>
      </c>
      <c r="G2386" s="1" t="s">
        <v>11409</v>
      </c>
    </row>
    <row r="2387" spans="1:7" ht="21" x14ac:dyDescent="0.25">
      <c r="A2387" s="2" t="str">
        <f>HYPERLINK("https://rth.dk/resources/bsgatlas/details.php?id=BSGatlas-gene-2386","BSGatlas-gene-2386")</f>
        <v>BSGatlas-gene-2386</v>
      </c>
      <c r="B2387" s="1" t="s">
        <v>2217</v>
      </c>
      <c r="C2387" s="1" t="s">
        <v>8</v>
      </c>
      <c r="D2387" s="1">
        <v>2171139</v>
      </c>
      <c r="E2387" s="1">
        <v>2171357</v>
      </c>
      <c r="F2387" s="1" t="s">
        <v>13</v>
      </c>
      <c r="G2387" s="1" t="s">
        <v>11409</v>
      </c>
    </row>
    <row r="2388" spans="1:7" ht="21" x14ac:dyDescent="0.25">
      <c r="A2388" s="2" t="str">
        <f>HYPERLINK("https://rth.dk/resources/bsgatlas/details.php?id=BSGatlas-gene-2387","BSGatlas-gene-2387")</f>
        <v>BSGatlas-gene-2387</v>
      </c>
      <c r="B2388" s="1" t="s">
        <v>11573</v>
      </c>
      <c r="C2388" s="1" t="s">
        <v>8</v>
      </c>
      <c r="D2388" s="1">
        <v>2171401</v>
      </c>
      <c r="E2388" s="1">
        <v>2172732</v>
      </c>
      <c r="F2388" s="1" t="s">
        <v>13</v>
      </c>
      <c r="G2388" s="1" t="s">
        <v>11409</v>
      </c>
    </row>
    <row r="2389" spans="1:7" ht="21" x14ac:dyDescent="0.25">
      <c r="A2389" s="2" t="str">
        <f>HYPERLINK("https://rth.dk/resources/bsgatlas/details.php?id=BSGatlas-gene-2388","BSGatlas-gene-2388")</f>
        <v>BSGatlas-gene-2388</v>
      </c>
      <c r="B2389" s="1" t="s">
        <v>11574</v>
      </c>
      <c r="C2389" s="1" t="s">
        <v>8</v>
      </c>
      <c r="D2389" s="1">
        <v>2172781</v>
      </c>
      <c r="E2389" s="1">
        <v>2172900</v>
      </c>
      <c r="F2389" s="1" t="s">
        <v>13</v>
      </c>
      <c r="G2389" s="1" t="s">
        <v>11409</v>
      </c>
    </row>
    <row r="2390" spans="1:7" ht="21" x14ac:dyDescent="0.25">
      <c r="A2390" s="2" t="str">
        <f>HYPERLINK("https://rth.dk/resources/bsgatlas/details.php?id=BSGatlas-gene-2389","BSGatlas-gene-2389")</f>
        <v>BSGatlas-gene-2389</v>
      </c>
      <c r="B2390" s="1" t="s">
        <v>11575</v>
      </c>
      <c r="C2390" s="1" t="s">
        <v>8</v>
      </c>
      <c r="D2390" s="1">
        <v>2172932</v>
      </c>
      <c r="E2390" s="1">
        <v>2173450</v>
      </c>
      <c r="F2390" s="1" t="s">
        <v>13</v>
      </c>
      <c r="G2390" s="1" t="s">
        <v>11409</v>
      </c>
    </row>
    <row r="2391" spans="1:7" ht="21" x14ac:dyDescent="0.25">
      <c r="A2391" s="2" t="str">
        <f>HYPERLINK("https://rth.dk/resources/bsgatlas/details.php?id=BSGatlas-gene-2390","BSGatlas-gene-2390")</f>
        <v>BSGatlas-gene-2390</v>
      </c>
      <c r="B2391" s="1" t="s">
        <v>11576</v>
      </c>
      <c r="C2391" s="1" t="s">
        <v>8</v>
      </c>
      <c r="D2391" s="1">
        <v>2173459</v>
      </c>
      <c r="E2391" s="1">
        <v>2173956</v>
      </c>
      <c r="F2391" s="1" t="s">
        <v>13</v>
      </c>
      <c r="G2391" s="1" t="s">
        <v>11409</v>
      </c>
    </row>
    <row r="2392" spans="1:7" ht="21" x14ac:dyDescent="0.25">
      <c r="A2392" s="2" t="str">
        <f>HYPERLINK("https://rth.dk/resources/bsgatlas/details.php?id=BSGatlas-gene-2391","BSGatlas-gene-2391")</f>
        <v>BSGatlas-gene-2391</v>
      </c>
      <c r="B2392" s="1" t="s">
        <v>11577</v>
      </c>
      <c r="C2392" s="1" t="s">
        <v>8</v>
      </c>
      <c r="D2392" s="1">
        <v>2173956</v>
      </c>
      <c r="E2392" s="1">
        <v>2174111</v>
      </c>
      <c r="F2392" s="1" t="s">
        <v>13</v>
      </c>
      <c r="G2392" s="1" t="s">
        <v>11409</v>
      </c>
    </row>
    <row r="2393" spans="1:7" ht="21" x14ac:dyDescent="0.25">
      <c r="A2393" s="2" t="str">
        <f>HYPERLINK("https://rth.dk/resources/bsgatlas/details.php?id=BSGatlas-gene-2392","BSGatlas-gene-2392")</f>
        <v>BSGatlas-gene-2392</v>
      </c>
      <c r="B2393" s="1" t="s">
        <v>11578</v>
      </c>
      <c r="C2393" s="1" t="s">
        <v>8</v>
      </c>
      <c r="D2393" s="1">
        <v>2174104</v>
      </c>
      <c r="E2393" s="1">
        <v>2174319</v>
      </c>
      <c r="F2393" s="1" t="s">
        <v>13</v>
      </c>
      <c r="G2393" s="1" t="s">
        <v>11409</v>
      </c>
    </row>
    <row r="2394" spans="1:7" ht="21" x14ac:dyDescent="0.25">
      <c r="A2394" s="2" t="str">
        <f>HYPERLINK("https://rth.dk/resources/bsgatlas/details.php?id=BSGatlas-gene-2393","BSGatlas-gene-2393")</f>
        <v>BSGatlas-gene-2393</v>
      </c>
      <c r="B2394" s="1" t="s">
        <v>11579</v>
      </c>
      <c r="C2394" s="1" t="s">
        <v>8</v>
      </c>
      <c r="D2394" s="1">
        <v>2174352</v>
      </c>
      <c r="E2394" s="1">
        <v>2174549</v>
      </c>
      <c r="F2394" s="1" t="s">
        <v>13</v>
      </c>
      <c r="G2394" s="1" t="s">
        <v>11409</v>
      </c>
    </row>
    <row r="2395" spans="1:7" ht="21" x14ac:dyDescent="0.25">
      <c r="A2395" s="2" t="str">
        <f>HYPERLINK("https://rth.dk/resources/bsgatlas/details.php?id=BSGatlas-gene-2394","BSGatlas-gene-2394")</f>
        <v>BSGatlas-gene-2394</v>
      </c>
      <c r="B2395" s="1" t="s">
        <v>2218</v>
      </c>
      <c r="C2395" s="1" t="s">
        <v>8</v>
      </c>
      <c r="D2395" s="1">
        <v>2174585</v>
      </c>
      <c r="E2395" s="1">
        <v>2174734</v>
      </c>
      <c r="F2395" s="1" t="s">
        <v>13</v>
      </c>
      <c r="G2395" s="1" t="s">
        <v>11409</v>
      </c>
    </row>
    <row r="2396" spans="1:7" ht="21" x14ac:dyDescent="0.25">
      <c r="A2396" s="2" t="str">
        <f>HYPERLINK("https://rth.dk/resources/bsgatlas/details.php?id=BSGatlas-gene-2395","BSGatlas-gene-2395")</f>
        <v>BSGatlas-gene-2395</v>
      </c>
      <c r="B2396" s="1" t="s">
        <v>2219</v>
      </c>
      <c r="C2396" s="1" t="s">
        <v>8</v>
      </c>
      <c r="D2396" s="1">
        <v>2174852</v>
      </c>
      <c r="E2396" s="1">
        <v>2175568</v>
      </c>
      <c r="F2396" s="1" t="s">
        <v>13</v>
      </c>
      <c r="G2396" s="1" t="s">
        <v>11409</v>
      </c>
    </row>
    <row r="2397" spans="1:7" ht="21" x14ac:dyDescent="0.25">
      <c r="A2397" s="2" t="str">
        <f>HYPERLINK("https://rth.dk/resources/bsgatlas/details.php?id=BSGatlas-gene-2396","BSGatlas-gene-2396")</f>
        <v>BSGatlas-gene-2396</v>
      </c>
      <c r="B2397" s="1" t="s">
        <v>11580</v>
      </c>
      <c r="C2397" s="1" t="s">
        <v>8</v>
      </c>
      <c r="D2397" s="1">
        <v>2175596</v>
      </c>
      <c r="E2397" s="1">
        <v>2179513</v>
      </c>
      <c r="F2397" s="1" t="s">
        <v>13</v>
      </c>
      <c r="G2397" s="1" t="s">
        <v>11409</v>
      </c>
    </row>
    <row r="2398" spans="1:7" ht="21" x14ac:dyDescent="0.25">
      <c r="A2398" s="2" t="str">
        <f>HYPERLINK("https://rth.dk/resources/bsgatlas/details.php?id=BSGatlas-gene-2397","BSGatlas-gene-2397")</f>
        <v>BSGatlas-gene-2397</v>
      </c>
      <c r="B2398" s="1" t="s">
        <v>11581</v>
      </c>
      <c r="C2398" s="1" t="s">
        <v>8</v>
      </c>
      <c r="D2398" s="1">
        <v>2179526</v>
      </c>
      <c r="E2398" s="1">
        <v>2181256</v>
      </c>
      <c r="F2398" s="1" t="s">
        <v>13</v>
      </c>
      <c r="G2398" s="1" t="s">
        <v>11409</v>
      </c>
    </row>
    <row r="2399" spans="1:7" ht="21" x14ac:dyDescent="0.25">
      <c r="A2399" s="2" t="str">
        <f>HYPERLINK("https://rth.dk/resources/bsgatlas/details.php?id=BSGatlas-gene-2398","BSGatlas-gene-2398")</f>
        <v>BSGatlas-gene-2398</v>
      </c>
      <c r="B2399" s="1" t="s">
        <v>11582</v>
      </c>
      <c r="C2399" s="1" t="s">
        <v>8</v>
      </c>
      <c r="D2399" s="1">
        <v>2181256</v>
      </c>
      <c r="E2399" s="1">
        <v>2182392</v>
      </c>
      <c r="F2399" s="1" t="s">
        <v>13</v>
      </c>
      <c r="G2399" s="1" t="s">
        <v>11409</v>
      </c>
    </row>
    <row r="2400" spans="1:7" ht="21" x14ac:dyDescent="0.25">
      <c r="A2400" s="2" t="str">
        <f>HYPERLINK("https://rth.dk/resources/bsgatlas/details.php?id=BSGatlas-gene-2399","BSGatlas-gene-2399")</f>
        <v>BSGatlas-gene-2399</v>
      </c>
      <c r="B2400" s="1" t="s">
        <v>11583</v>
      </c>
      <c r="C2400" s="1" t="s">
        <v>8</v>
      </c>
      <c r="D2400" s="1">
        <v>2182408</v>
      </c>
      <c r="E2400" s="1">
        <v>2183922</v>
      </c>
      <c r="F2400" s="1" t="s">
        <v>13</v>
      </c>
      <c r="G2400" s="1" t="s">
        <v>11409</v>
      </c>
    </row>
    <row r="2401" spans="1:7" ht="21" x14ac:dyDescent="0.25">
      <c r="A2401" s="2" t="str">
        <f>HYPERLINK("https://rth.dk/resources/bsgatlas/details.php?id=BSGatlas-gene-2400","BSGatlas-gene-2400")</f>
        <v>BSGatlas-gene-2400</v>
      </c>
      <c r="B2401" s="1" t="s">
        <v>11584</v>
      </c>
      <c r="C2401" s="1" t="s">
        <v>8</v>
      </c>
      <c r="D2401" s="1">
        <v>2183937</v>
      </c>
      <c r="E2401" s="1">
        <v>2184407</v>
      </c>
      <c r="F2401" s="1" t="s">
        <v>13</v>
      </c>
      <c r="G2401" s="1" t="s">
        <v>11409</v>
      </c>
    </row>
    <row r="2402" spans="1:7" ht="21" x14ac:dyDescent="0.25">
      <c r="A2402" s="2" t="str">
        <f>HYPERLINK("https://rth.dk/resources/bsgatlas/details.php?id=BSGatlas-gene-2401","BSGatlas-gene-2401")</f>
        <v>BSGatlas-gene-2401</v>
      </c>
      <c r="B2402" s="1" t="s">
        <v>11585</v>
      </c>
      <c r="C2402" s="1" t="s">
        <v>8</v>
      </c>
      <c r="D2402" s="1">
        <v>2184450</v>
      </c>
      <c r="E2402" s="1">
        <v>2185421</v>
      </c>
      <c r="F2402" s="1" t="s">
        <v>13</v>
      </c>
      <c r="G2402" s="1" t="s">
        <v>11409</v>
      </c>
    </row>
    <row r="2403" spans="1:7" ht="21" x14ac:dyDescent="0.25">
      <c r="A2403" s="2" t="str">
        <f>HYPERLINK("https://rth.dk/resources/bsgatlas/details.php?id=BSGatlas-gene-2402","BSGatlas-gene-2402")</f>
        <v>BSGatlas-gene-2402</v>
      </c>
      <c r="B2403" s="1" t="s">
        <v>11586</v>
      </c>
      <c r="C2403" s="1" t="s">
        <v>8</v>
      </c>
      <c r="D2403" s="1">
        <v>2185504</v>
      </c>
      <c r="E2403" s="1">
        <v>2186418</v>
      </c>
      <c r="F2403" s="1" t="s">
        <v>13</v>
      </c>
      <c r="G2403" s="1" t="s">
        <v>11409</v>
      </c>
    </row>
    <row r="2404" spans="1:7" ht="21" x14ac:dyDescent="0.25">
      <c r="A2404" s="2" t="str">
        <f>HYPERLINK("https://rth.dk/resources/bsgatlas/details.php?id=BSGatlas-gene-2403","BSGatlas-gene-2403")</f>
        <v>BSGatlas-gene-2403</v>
      </c>
      <c r="B2404" s="1" t="s">
        <v>11587</v>
      </c>
      <c r="C2404" s="1" t="s">
        <v>8</v>
      </c>
      <c r="D2404" s="1">
        <v>2186440</v>
      </c>
      <c r="E2404" s="1">
        <v>2186811</v>
      </c>
      <c r="F2404" s="1" t="s">
        <v>13</v>
      </c>
      <c r="G2404" s="1" t="s">
        <v>11409</v>
      </c>
    </row>
    <row r="2405" spans="1:7" ht="21" x14ac:dyDescent="0.25">
      <c r="A2405" s="2" t="str">
        <f>HYPERLINK("https://rth.dk/resources/bsgatlas/details.php?id=BSGatlas-gene-2404","BSGatlas-gene-2404")</f>
        <v>BSGatlas-gene-2404</v>
      </c>
      <c r="B2405" s="1" t="s">
        <v>2220</v>
      </c>
      <c r="C2405" s="1" t="s">
        <v>8</v>
      </c>
      <c r="D2405" s="1">
        <v>2186985</v>
      </c>
      <c r="E2405" s="1">
        <v>2187299</v>
      </c>
      <c r="F2405" s="1" t="s">
        <v>13</v>
      </c>
      <c r="G2405" s="1" t="s">
        <v>11409</v>
      </c>
    </row>
    <row r="2406" spans="1:7" ht="21" x14ac:dyDescent="0.25">
      <c r="A2406" s="2" t="str">
        <f>HYPERLINK("https://rth.dk/resources/bsgatlas/details.php?id=BSGatlas-gene-2405","BSGatlas-gene-2405")</f>
        <v>BSGatlas-gene-2405</v>
      </c>
      <c r="B2406" s="1" t="s">
        <v>2221</v>
      </c>
      <c r="C2406" s="1" t="s">
        <v>8</v>
      </c>
      <c r="D2406" s="1">
        <v>2187376</v>
      </c>
      <c r="E2406" s="1">
        <v>2187756</v>
      </c>
      <c r="F2406" s="1" t="s">
        <v>13</v>
      </c>
      <c r="G2406" s="1" t="s">
        <v>11409</v>
      </c>
    </row>
    <row r="2407" spans="1:7" ht="21" x14ac:dyDescent="0.25">
      <c r="A2407" s="2" t="str">
        <f>HYPERLINK("https://rth.dk/resources/bsgatlas/details.php?id=BSGatlas-gene-2406","BSGatlas-gene-2406")</f>
        <v>BSGatlas-gene-2406</v>
      </c>
      <c r="B2407" s="1" t="s">
        <v>2222</v>
      </c>
      <c r="C2407" s="1" t="s">
        <v>8</v>
      </c>
      <c r="D2407" s="1">
        <v>2187819</v>
      </c>
      <c r="E2407" s="1">
        <v>2188115</v>
      </c>
      <c r="F2407" s="1" t="s">
        <v>13</v>
      </c>
      <c r="G2407" s="1" t="s">
        <v>11409</v>
      </c>
    </row>
    <row r="2408" spans="1:7" ht="21" x14ac:dyDescent="0.25">
      <c r="A2408" s="2" t="str">
        <f>HYPERLINK("https://rth.dk/resources/bsgatlas/details.php?id=BSGatlas-gene-2407","BSGatlas-gene-2407")</f>
        <v>BSGatlas-gene-2407</v>
      </c>
      <c r="B2408" s="1" t="s">
        <v>2223</v>
      </c>
      <c r="C2408" s="1" t="s">
        <v>8</v>
      </c>
      <c r="D2408" s="1">
        <v>2188204</v>
      </c>
      <c r="E2408" s="1">
        <v>2189964</v>
      </c>
      <c r="F2408" s="1" t="s">
        <v>13</v>
      </c>
      <c r="G2408" s="1" t="s">
        <v>11409</v>
      </c>
    </row>
    <row r="2409" spans="1:7" ht="21" x14ac:dyDescent="0.25">
      <c r="A2409" s="2" t="str">
        <f>HYPERLINK("https://rth.dk/resources/bsgatlas/details.php?id=BSGatlas-gene-2408","BSGatlas-gene-2408")</f>
        <v>BSGatlas-gene-2408</v>
      </c>
      <c r="B2409" s="1" t="s">
        <v>2224</v>
      </c>
      <c r="C2409" s="1" t="s">
        <v>8</v>
      </c>
      <c r="D2409" s="1">
        <v>2189961</v>
      </c>
      <c r="E2409" s="1">
        <v>2190785</v>
      </c>
      <c r="F2409" s="1" t="s">
        <v>13</v>
      </c>
      <c r="G2409" s="1" t="s">
        <v>11409</v>
      </c>
    </row>
    <row r="2410" spans="1:7" ht="21" x14ac:dyDescent="0.25">
      <c r="A2410" s="2" t="str">
        <f>HYPERLINK("https://rth.dk/resources/bsgatlas/details.php?id=BSGatlas-gene-2409","BSGatlas-gene-2409")</f>
        <v>BSGatlas-gene-2409</v>
      </c>
      <c r="B2410" s="1" t="s">
        <v>2226</v>
      </c>
      <c r="C2410" s="1" t="s">
        <v>8</v>
      </c>
      <c r="D2410" s="1">
        <v>2190884</v>
      </c>
      <c r="E2410" s="1">
        <v>2191279</v>
      </c>
      <c r="F2410" s="1" t="s">
        <v>13</v>
      </c>
      <c r="G2410" s="1" t="s">
        <v>11409</v>
      </c>
    </row>
    <row r="2411" spans="1:7" ht="21" x14ac:dyDescent="0.25">
      <c r="A2411" s="2" t="str">
        <f>HYPERLINK("https://rth.dk/resources/bsgatlas/details.php?id=BSGatlas-gene-2410","BSGatlas-gene-2410")</f>
        <v>BSGatlas-gene-2410</v>
      </c>
      <c r="B2411" s="1" t="s">
        <v>11588</v>
      </c>
      <c r="C2411" s="1" t="s">
        <v>8</v>
      </c>
      <c r="D2411" s="1">
        <v>2191334</v>
      </c>
      <c r="E2411" s="1">
        <v>2191555</v>
      </c>
      <c r="F2411" s="1" t="s">
        <v>13</v>
      </c>
      <c r="G2411" s="1" t="s">
        <v>11409</v>
      </c>
    </row>
    <row r="2412" spans="1:7" ht="21" x14ac:dyDescent="0.25">
      <c r="A2412" s="2" t="str">
        <f>HYPERLINK("https://rth.dk/resources/bsgatlas/details.php?id=BSGatlas-gene-2411","BSGatlas-gene-2411")</f>
        <v>BSGatlas-gene-2411</v>
      </c>
      <c r="B2412" s="1" t="s">
        <v>2225</v>
      </c>
      <c r="C2412" s="1" t="s">
        <v>8</v>
      </c>
      <c r="D2412" s="1">
        <v>2191626</v>
      </c>
      <c r="E2412" s="1">
        <v>2192300</v>
      </c>
      <c r="F2412" s="1" t="s">
        <v>9</v>
      </c>
      <c r="G2412" s="1" t="s">
        <v>11409</v>
      </c>
    </row>
    <row r="2413" spans="1:7" ht="21" x14ac:dyDescent="0.25">
      <c r="A2413" s="2" t="str">
        <f>HYPERLINK("https://rth.dk/resources/bsgatlas/details.php?id=BSGatlas-gene-2412","BSGatlas-gene-2412")</f>
        <v>BSGatlas-gene-2412</v>
      </c>
      <c r="B2413" s="1" t="s">
        <v>11589</v>
      </c>
      <c r="C2413" s="1" t="s">
        <v>8</v>
      </c>
      <c r="D2413" s="1">
        <v>2192370</v>
      </c>
      <c r="E2413" s="1">
        <v>2193182</v>
      </c>
      <c r="F2413" s="1" t="s">
        <v>9</v>
      </c>
      <c r="G2413" s="1" t="s">
        <v>11409</v>
      </c>
    </row>
    <row r="2414" spans="1:7" ht="21" x14ac:dyDescent="0.25">
      <c r="A2414" s="2" t="str">
        <f>HYPERLINK("https://rth.dk/resources/bsgatlas/details.php?id=BSGatlas-gene-2413","BSGatlas-gene-2413")</f>
        <v>BSGatlas-gene-2413</v>
      </c>
      <c r="B2414" s="1" t="s">
        <v>2227</v>
      </c>
      <c r="C2414" s="1" t="s">
        <v>8</v>
      </c>
      <c r="D2414" s="1">
        <v>2193248</v>
      </c>
      <c r="E2414" s="1">
        <v>2193661</v>
      </c>
      <c r="F2414" s="1" t="s">
        <v>13</v>
      </c>
      <c r="G2414" s="1" t="s">
        <v>11409</v>
      </c>
    </row>
    <row r="2415" spans="1:7" ht="21" x14ac:dyDescent="0.25">
      <c r="A2415" s="2" t="str">
        <f>HYPERLINK("https://rth.dk/resources/bsgatlas/details.php?id=BSGatlas-gene-2414","BSGatlas-gene-2414")</f>
        <v>BSGatlas-gene-2414</v>
      </c>
      <c r="B2415" s="1" t="s">
        <v>2228</v>
      </c>
      <c r="C2415" s="1" t="s">
        <v>8</v>
      </c>
      <c r="D2415" s="1">
        <v>2193827</v>
      </c>
      <c r="E2415" s="1">
        <v>2193976</v>
      </c>
      <c r="F2415" s="1" t="s">
        <v>9</v>
      </c>
      <c r="G2415" s="1" t="s">
        <v>11409</v>
      </c>
    </row>
    <row r="2416" spans="1:7" ht="21" x14ac:dyDescent="0.25">
      <c r="A2416" s="2" t="str">
        <f>HYPERLINK("https://rth.dk/resources/bsgatlas/details.php?id=BSGatlas-gene-2415","BSGatlas-gene-2415")</f>
        <v>BSGatlas-gene-2415</v>
      </c>
      <c r="B2416" s="1" t="s">
        <v>11590</v>
      </c>
      <c r="C2416" s="1" t="s">
        <v>8</v>
      </c>
      <c r="D2416" s="1">
        <v>2194053</v>
      </c>
      <c r="E2416" s="1">
        <v>2194400</v>
      </c>
      <c r="F2416" s="1" t="s">
        <v>13</v>
      </c>
      <c r="G2416" s="1" t="s">
        <v>11409</v>
      </c>
    </row>
    <row r="2417" spans="1:7" ht="21" x14ac:dyDescent="0.25">
      <c r="A2417" s="2" t="str">
        <f>HYPERLINK("https://rth.dk/resources/bsgatlas/details.php?id=BSGatlas-gene-2416","BSGatlas-gene-2416")</f>
        <v>BSGatlas-gene-2416</v>
      </c>
      <c r="B2417" s="1" t="s">
        <v>11591</v>
      </c>
      <c r="C2417" s="1" t="s">
        <v>8</v>
      </c>
      <c r="D2417" s="1">
        <v>2194402</v>
      </c>
      <c r="E2417" s="1">
        <v>2194758</v>
      </c>
      <c r="F2417" s="1" t="s">
        <v>13</v>
      </c>
      <c r="G2417" s="1" t="s">
        <v>11409</v>
      </c>
    </row>
    <row r="2418" spans="1:7" ht="21" x14ac:dyDescent="0.25">
      <c r="A2418" s="2" t="str">
        <f>HYPERLINK("https://rth.dk/resources/bsgatlas/details.php?id=BSGatlas-gene-2417","BSGatlas-gene-2417")</f>
        <v>BSGatlas-gene-2417</v>
      </c>
      <c r="B2418" s="1" t="s">
        <v>11592</v>
      </c>
      <c r="C2418" s="1" t="s">
        <v>8</v>
      </c>
      <c r="D2418" s="1">
        <v>2194718</v>
      </c>
      <c r="E2418" s="1">
        <v>2195059</v>
      </c>
      <c r="F2418" s="1" t="s">
        <v>13</v>
      </c>
      <c r="G2418" s="1" t="s">
        <v>11409</v>
      </c>
    </row>
    <row r="2419" spans="1:7" ht="21" x14ac:dyDescent="0.25">
      <c r="A2419" s="2" t="str">
        <f>HYPERLINK("https://rth.dk/resources/bsgatlas/details.php?id=BSGatlas-gene-2418","BSGatlas-gene-2418")</f>
        <v>BSGatlas-gene-2418</v>
      </c>
      <c r="B2419" s="1" t="s">
        <v>2229</v>
      </c>
      <c r="C2419" s="1" t="s">
        <v>8</v>
      </c>
      <c r="D2419" s="1">
        <v>2195173</v>
      </c>
      <c r="E2419" s="1">
        <v>2195547</v>
      </c>
      <c r="F2419" s="1" t="s">
        <v>9</v>
      </c>
      <c r="G2419" s="1" t="s">
        <v>11409</v>
      </c>
    </row>
    <row r="2420" spans="1:7" ht="21" x14ac:dyDescent="0.25">
      <c r="A2420" s="2" t="str">
        <f>HYPERLINK("https://rth.dk/resources/bsgatlas/details.php?id=BSGatlas-gene-2419","BSGatlas-gene-2419")</f>
        <v>BSGatlas-gene-2419</v>
      </c>
      <c r="B2420" s="1" t="s">
        <v>2230</v>
      </c>
      <c r="C2420" s="1" t="s">
        <v>8</v>
      </c>
      <c r="D2420" s="1">
        <v>2195564</v>
      </c>
      <c r="E2420" s="1">
        <v>2195782</v>
      </c>
      <c r="F2420" s="1" t="s">
        <v>13</v>
      </c>
      <c r="G2420" s="1" t="s">
        <v>11409</v>
      </c>
    </row>
    <row r="2421" spans="1:7" ht="21" x14ac:dyDescent="0.25">
      <c r="A2421" s="2" t="str">
        <f>HYPERLINK("https://rth.dk/resources/bsgatlas/details.php?id=BSGatlas-gene-2420","BSGatlas-gene-2420")</f>
        <v>BSGatlas-gene-2420</v>
      </c>
      <c r="B2421" s="1" t="s">
        <v>2231</v>
      </c>
      <c r="C2421" s="1" t="s">
        <v>8</v>
      </c>
      <c r="D2421" s="1">
        <v>2195986</v>
      </c>
      <c r="E2421" s="1">
        <v>2196264</v>
      </c>
      <c r="F2421" s="1" t="s">
        <v>9</v>
      </c>
      <c r="G2421" s="1" t="s">
        <v>11409</v>
      </c>
    </row>
    <row r="2422" spans="1:7" ht="21" x14ac:dyDescent="0.25">
      <c r="A2422" s="2" t="str">
        <f>HYPERLINK("https://rth.dk/resources/bsgatlas/details.php?id=BSGatlas-gene-2421","BSGatlas-gene-2421")</f>
        <v>BSGatlas-gene-2421</v>
      </c>
      <c r="B2422" s="1" t="s">
        <v>11593</v>
      </c>
      <c r="C2422" s="1" t="s">
        <v>8</v>
      </c>
      <c r="D2422" s="1">
        <v>2196389</v>
      </c>
      <c r="E2422" s="1">
        <v>2197081</v>
      </c>
      <c r="F2422" s="1" t="s">
        <v>13</v>
      </c>
      <c r="G2422" s="1" t="s">
        <v>11409</v>
      </c>
    </row>
    <row r="2423" spans="1:7" ht="21" x14ac:dyDescent="0.25">
      <c r="A2423" s="2" t="str">
        <f>HYPERLINK("https://rth.dk/resources/bsgatlas/details.php?id=BSGatlas-gene-2422","BSGatlas-gene-2422")</f>
        <v>BSGatlas-gene-2422</v>
      </c>
      <c r="B2423" s="1" t="s">
        <v>11594</v>
      </c>
      <c r="C2423" s="1" t="s">
        <v>8</v>
      </c>
      <c r="D2423" s="1">
        <v>2197121</v>
      </c>
      <c r="E2423" s="1">
        <v>2197324</v>
      </c>
      <c r="F2423" s="1" t="s">
        <v>13</v>
      </c>
      <c r="G2423" s="1" t="s">
        <v>11409</v>
      </c>
    </row>
    <row r="2424" spans="1:7" ht="21" x14ac:dyDescent="0.25">
      <c r="A2424" s="2" t="str">
        <f>HYPERLINK("https://rth.dk/resources/bsgatlas/details.php?id=BSGatlas-gene-2423","BSGatlas-gene-2423")</f>
        <v>BSGatlas-gene-2423</v>
      </c>
      <c r="B2424" s="1" t="s">
        <v>11595</v>
      </c>
      <c r="C2424" s="1" t="s">
        <v>8</v>
      </c>
      <c r="D2424" s="1">
        <v>2197344</v>
      </c>
      <c r="E2424" s="1">
        <v>2197859</v>
      </c>
      <c r="F2424" s="1" t="s">
        <v>13</v>
      </c>
      <c r="G2424" s="1" t="s">
        <v>11409</v>
      </c>
    </row>
    <row r="2425" spans="1:7" ht="21" x14ac:dyDescent="0.25">
      <c r="A2425" s="2" t="str">
        <f>HYPERLINK("https://rth.dk/resources/bsgatlas/details.php?id=BSGatlas-gene-2424","BSGatlas-gene-2424")</f>
        <v>BSGatlas-gene-2424</v>
      </c>
      <c r="B2425" s="1" t="s">
        <v>11596</v>
      </c>
      <c r="C2425" s="1" t="s">
        <v>8</v>
      </c>
      <c r="D2425" s="1">
        <v>2198070</v>
      </c>
      <c r="E2425" s="1">
        <v>2198264</v>
      </c>
      <c r="F2425" s="1" t="s">
        <v>13</v>
      </c>
      <c r="G2425" s="1" t="s">
        <v>11409</v>
      </c>
    </row>
    <row r="2426" spans="1:7" ht="21" x14ac:dyDescent="0.25">
      <c r="A2426" s="2" t="str">
        <f>HYPERLINK("https://rth.dk/resources/bsgatlas/details.php?id=BSGatlas-gene-2425","BSGatlas-gene-2425")</f>
        <v>BSGatlas-gene-2425</v>
      </c>
      <c r="B2426" s="1" t="s">
        <v>11597</v>
      </c>
      <c r="C2426" s="1" t="s">
        <v>8</v>
      </c>
      <c r="D2426" s="1">
        <v>2198313</v>
      </c>
      <c r="E2426" s="1">
        <v>2198765</v>
      </c>
      <c r="F2426" s="1" t="s">
        <v>13</v>
      </c>
      <c r="G2426" s="1" t="s">
        <v>11409</v>
      </c>
    </row>
    <row r="2427" spans="1:7" ht="21" x14ac:dyDescent="0.25">
      <c r="A2427" s="2" t="str">
        <f>HYPERLINK("https://rth.dk/resources/bsgatlas/details.php?id=BSGatlas-gene-2426","BSGatlas-gene-2426")</f>
        <v>BSGatlas-gene-2426</v>
      </c>
      <c r="B2427" s="1" t="s">
        <v>11598</v>
      </c>
      <c r="C2427" s="1" t="s">
        <v>8</v>
      </c>
      <c r="D2427" s="1">
        <v>2198848</v>
      </c>
      <c r="E2427" s="1">
        <v>2199105</v>
      </c>
      <c r="F2427" s="1" t="s">
        <v>13</v>
      </c>
      <c r="G2427" s="1" t="s">
        <v>11409</v>
      </c>
    </row>
    <row r="2428" spans="1:7" ht="21" x14ac:dyDescent="0.25">
      <c r="A2428" s="2" t="str">
        <f>HYPERLINK("https://rth.dk/resources/bsgatlas/details.php?id=BSGatlas-gene-2427","BSGatlas-gene-2427")</f>
        <v>BSGatlas-gene-2427</v>
      </c>
      <c r="B2428" s="1" t="s">
        <v>11599</v>
      </c>
      <c r="C2428" s="1" t="s">
        <v>8</v>
      </c>
      <c r="D2428" s="1">
        <v>2199150</v>
      </c>
      <c r="E2428" s="1">
        <v>2199353</v>
      </c>
      <c r="F2428" s="1" t="s">
        <v>13</v>
      </c>
      <c r="G2428" s="1" t="s">
        <v>11409</v>
      </c>
    </row>
    <row r="2429" spans="1:7" ht="21" x14ac:dyDescent="0.25">
      <c r="A2429" s="2" t="str">
        <f>HYPERLINK("https://rth.dk/resources/bsgatlas/details.php?id=BSGatlas-gene-2428","BSGatlas-gene-2428")</f>
        <v>BSGatlas-gene-2428</v>
      </c>
      <c r="B2429" s="1" t="s">
        <v>11600</v>
      </c>
      <c r="C2429" s="1" t="s">
        <v>8</v>
      </c>
      <c r="D2429" s="1">
        <v>2199362</v>
      </c>
      <c r="E2429" s="1">
        <v>2199526</v>
      </c>
      <c r="F2429" s="1" t="s">
        <v>13</v>
      </c>
      <c r="G2429" s="1" t="s">
        <v>11409</v>
      </c>
    </row>
    <row r="2430" spans="1:7" ht="21" x14ac:dyDescent="0.25">
      <c r="A2430" s="2" t="str">
        <f>HYPERLINK("https://rth.dk/resources/bsgatlas/details.php?id=BSGatlas-gene-2429","BSGatlas-gene-2429")</f>
        <v>BSGatlas-gene-2429</v>
      </c>
      <c r="B2430" s="1" t="s">
        <v>11601</v>
      </c>
      <c r="C2430" s="1" t="s">
        <v>8</v>
      </c>
      <c r="D2430" s="1">
        <v>2199580</v>
      </c>
      <c r="E2430" s="1">
        <v>2200335</v>
      </c>
      <c r="F2430" s="1" t="s">
        <v>13</v>
      </c>
      <c r="G2430" s="1" t="s">
        <v>11409</v>
      </c>
    </row>
    <row r="2431" spans="1:7" ht="21" x14ac:dyDescent="0.25">
      <c r="A2431" s="2" t="str">
        <f>HYPERLINK("https://rth.dk/resources/bsgatlas/details.php?id=BSGatlas-gene-2430","BSGatlas-gene-2430")</f>
        <v>BSGatlas-gene-2430</v>
      </c>
      <c r="B2431" s="1" t="s">
        <v>11602</v>
      </c>
      <c r="C2431" s="1" t="s">
        <v>8</v>
      </c>
      <c r="D2431" s="1">
        <v>2200376</v>
      </c>
      <c r="E2431" s="1">
        <v>2200783</v>
      </c>
      <c r="F2431" s="1" t="s">
        <v>13</v>
      </c>
      <c r="G2431" s="1" t="s">
        <v>11409</v>
      </c>
    </row>
    <row r="2432" spans="1:7" ht="21" x14ac:dyDescent="0.25">
      <c r="A2432" s="2" t="str">
        <f>HYPERLINK("https://rth.dk/resources/bsgatlas/details.php?id=BSGatlas-gene-2431","BSGatlas-gene-2431")</f>
        <v>BSGatlas-gene-2431</v>
      </c>
      <c r="B2432" s="1" t="s">
        <v>11603</v>
      </c>
      <c r="C2432" s="1" t="s">
        <v>8</v>
      </c>
      <c r="D2432" s="1">
        <v>2200790</v>
      </c>
      <c r="E2432" s="1">
        <v>2201128</v>
      </c>
      <c r="F2432" s="1" t="s">
        <v>13</v>
      </c>
      <c r="G2432" s="1" t="s">
        <v>11409</v>
      </c>
    </row>
    <row r="2433" spans="1:7" ht="21" x14ac:dyDescent="0.25">
      <c r="A2433" s="2" t="str">
        <f>HYPERLINK("https://rth.dk/resources/bsgatlas/details.php?id=BSGatlas-gene-2432","BSGatlas-gene-2432")</f>
        <v>BSGatlas-gene-2432</v>
      </c>
      <c r="B2433" s="1" t="s">
        <v>11604</v>
      </c>
      <c r="C2433" s="1" t="s">
        <v>8</v>
      </c>
      <c r="D2433" s="1">
        <v>2201125</v>
      </c>
      <c r="E2433" s="1">
        <v>2201475</v>
      </c>
      <c r="F2433" s="1" t="s">
        <v>13</v>
      </c>
      <c r="G2433" s="1" t="s">
        <v>11409</v>
      </c>
    </row>
    <row r="2434" spans="1:7" ht="21" x14ac:dyDescent="0.25">
      <c r="A2434" s="2" t="str">
        <f>HYPERLINK("https://rth.dk/resources/bsgatlas/details.php?id=BSGatlas-gene-2433","BSGatlas-gene-2433")</f>
        <v>BSGatlas-gene-2433</v>
      </c>
      <c r="B2434" s="1" t="s">
        <v>11605</v>
      </c>
      <c r="C2434" s="1" t="s">
        <v>8</v>
      </c>
      <c r="D2434" s="1">
        <v>2201488</v>
      </c>
      <c r="E2434" s="1">
        <v>2201691</v>
      </c>
      <c r="F2434" s="1" t="s">
        <v>13</v>
      </c>
      <c r="G2434" s="1" t="s">
        <v>11409</v>
      </c>
    </row>
    <row r="2435" spans="1:7" ht="21" x14ac:dyDescent="0.25">
      <c r="A2435" s="2" t="str">
        <f>HYPERLINK("https://rth.dk/resources/bsgatlas/details.php?id=BSGatlas-gene-2434","BSGatlas-gene-2434")</f>
        <v>BSGatlas-gene-2434</v>
      </c>
      <c r="B2435" s="1" t="s">
        <v>11606</v>
      </c>
      <c r="C2435" s="1" t="s">
        <v>8</v>
      </c>
      <c r="D2435" s="1">
        <v>2201705</v>
      </c>
      <c r="E2435" s="1">
        <v>2201983</v>
      </c>
      <c r="F2435" s="1" t="s">
        <v>13</v>
      </c>
      <c r="G2435" s="1" t="s">
        <v>11409</v>
      </c>
    </row>
    <row r="2436" spans="1:7" ht="21" x14ac:dyDescent="0.25">
      <c r="A2436" s="2" t="str">
        <f>HYPERLINK("https://rth.dk/resources/bsgatlas/details.php?id=BSGatlas-gene-2435","BSGatlas-gene-2435")</f>
        <v>BSGatlas-gene-2435</v>
      </c>
      <c r="B2436" s="1" t="s">
        <v>11607</v>
      </c>
      <c r="C2436" s="1" t="s">
        <v>8</v>
      </c>
      <c r="D2436" s="1">
        <v>2201980</v>
      </c>
      <c r="E2436" s="1">
        <v>2202384</v>
      </c>
      <c r="F2436" s="1" t="s">
        <v>13</v>
      </c>
      <c r="G2436" s="1" t="s">
        <v>11409</v>
      </c>
    </row>
    <row r="2437" spans="1:7" ht="21" x14ac:dyDescent="0.25">
      <c r="A2437" s="2" t="str">
        <f>HYPERLINK("https://rth.dk/resources/bsgatlas/details.php?id=BSGatlas-gene-2436","BSGatlas-gene-2436")</f>
        <v>BSGatlas-gene-2436</v>
      </c>
      <c r="B2437" s="1" t="s">
        <v>11608</v>
      </c>
      <c r="C2437" s="1" t="s">
        <v>8</v>
      </c>
      <c r="D2437" s="1">
        <v>2202381</v>
      </c>
      <c r="E2437" s="1">
        <v>2202716</v>
      </c>
      <c r="F2437" s="1" t="s">
        <v>13</v>
      </c>
      <c r="G2437" s="1" t="s">
        <v>11409</v>
      </c>
    </row>
    <row r="2438" spans="1:7" ht="21" x14ac:dyDescent="0.25">
      <c r="A2438" s="2" t="str">
        <f>HYPERLINK("https://rth.dk/resources/bsgatlas/details.php?id=BSGatlas-gene-2437","BSGatlas-gene-2437")</f>
        <v>BSGatlas-gene-2437</v>
      </c>
      <c r="B2438" s="1" t="s">
        <v>11609</v>
      </c>
      <c r="C2438" s="1" t="s">
        <v>8</v>
      </c>
      <c r="D2438" s="1">
        <v>2202805</v>
      </c>
      <c r="E2438" s="1">
        <v>2202999</v>
      </c>
      <c r="F2438" s="1" t="s">
        <v>13</v>
      </c>
      <c r="G2438" s="1" t="s">
        <v>11409</v>
      </c>
    </row>
    <row r="2439" spans="1:7" ht="21" x14ac:dyDescent="0.25">
      <c r="A2439" s="2" t="str">
        <f>HYPERLINK("https://rth.dk/resources/bsgatlas/details.php?id=BSGatlas-gene-2438","BSGatlas-gene-2438")</f>
        <v>BSGatlas-gene-2438</v>
      </c>
      <c r="B2439" s="1" t="s">
        <v>11610</v>
      </c>
      <c r="C2439" s="1" t="s">
        <v>8</v>
      </c>
      <c r="D2439" s="1">
        <v>2203111</v>
      </c>
      <c r="E2439" s="1">
        <v>2203308</v>
      </c>
      <c r="F2439" s="1" t="s">
        <v>13</v>
      </c>
      <c r="G2439" s="1" t="s">
        <v>11409</v>
      </c>
    </row>
    <row r="2440" spans="1:7" ht="21" x14ac:dyDescent="0.25">
      <c r="A2440" s="2" t="str">
        <f>HYPERLINK("https://rth.dk/resources/bsgatlas/details.php?id=BSGatlas-gene-2439","BSGatlas-gene-2439")</f>
        <v>BSGatlas-gene-2439</v>
      </c>
      <c r="B2440" s="1" t="s">
        <v>2232</v>
      </c>
      <c r="C2440" s="1" t="s">
        <v>8</v>
      </c>
      <c r="D2440" s="1">
        <v>2203378</v>
      </c>
      <c r="E2440" s="1">
        <v>2203596</v>
      </c>
      <c r="F2440" s="1" t="s">
        <v>13</v>
      </c>
      <c r="G2440" s="1" t="s">
        <v>11409</v>
      </c>
    </row>
    <row r="2441" spans="1:7" ht="21" x14ac:dyDescent="0.25">
      <c r="A2441" s="2" t="str">
        <f>HYPERLINK("https://rth.dk/resources/bsgatlas/details.php?id=BSGatlas-gene-2440","BSGatlas-gene-2440")</f>
        <v>BSGatlas-gene-2440</v>
      </c>
      <c r="B2441" s="1" t="s">
        <v>2233</v>
      </c>
      <c r="C2441" s="1" t="s">
        <v>8</v>
      </c>
      <c r="D2441" s="1">
        <v>2203779</v>
      </c>
      <c r="E2441" s="1">
        <v>2204003</v>
      </c>
      <c r="F2441" s="1" t="s">
        <v>9</v>
      </c>
      <c r="G2441" s="1" t="s">
        <v>11409</v>
      </c>
    </row>
    <row r="2442" spans="1:7" ht="21" x14ac:dyDescent="0.25">
      <c r="A2442" s="2" t="str">
        <f>HYPERLINK("https://rth.dk/resources/bsgatlas/details.php?id=BSGatlas-gene-2441","BSGatlas-gene-2441")</f>
        <v>BSGatlas-gene-2441</v>
      </c>
      <c r="B2442" s="1" t="s">
        <v>2234</v>
      </c>
      <c r="C2442" s="1" t="s">
        <v>8</v>
      </c>
      <c r="D2442" s="1">
        <v>2204192</v>
      </c>
      <c r="E2442" s="1">
        <v>2205169</v>
      </c>
      <c r="F2442" s="1" t="s">
        <v>13</v>
      </c>
      <c r="G2442" s="1" t="s">
        <v>11409</v>
      </c>
    </row>
    <row r="2443" spans="1:7" ht="21" x14ac:dyDescent="0.25">
      <c r="A2443" s="2" t="str">
        <f>HYPERLINK("https://rth.dk/resources/bsgatlas/details.php?id=BSGatlas-gene-2442","BSGatlas-gene-2442")</f>
        <v>BSGatlas-gene-2442</v>
      </c>
      <c r="B2443" s="1" t="s">
        <v>2235</v>
      </c>
      <c r="C2443" s="1" t="s">
        <v>8</v>
      </c>
      <c r="D2443" s="1">
        <v>2205193</v>
      </c>
      <c r="E2443" s="1">
        <v>2206575</v>
      </c>
      <c r="F2443" s="1" t="s">
        <v>13</v>
      </c>
      <c r="G2443" s="1" t="s">
        <v>11409</v>
      </c>
    </row>
    <row r="2444" spans="1:7" ht="21" x14ac:dyDescent="0.25">
      <c r="A2444" s="2" t="str">
        <f>HYPERLINK("https://rth.dk/resources/bsgatlas/details.php?id=BSGatlas-gene-2443","BSGatlas-gene-2443")</f>
        <v>BSGatlas-gene-2443</v>
      </c>
      <c r="B2444" s="1" t="s">
        <v>2236</v>
      </c>
      <c r="C2444" s="1" t="s">
        <v>8</v>
      </c>
      <c r="D2444" s="1">
        <v>2206682</v>
      </c>
      <c r="E2444" s="1">
        <v>2207758</v>
      </c>
      <c r="F2444" s="1" t="s">
        <v>13</v>
      </c>
      <c r="G2444" s="1" t="s">
        <v>11409</v>
      </c>
    </row>
    <row r="2445" spans="1:7" ht="21" x14ac:dyDescent="0.25">
      <c r="A2445" s="2" t="str">
        <f>HYPERLINK("https://rth.dk/resources/bsgatlas/details.php?id=BSGatlas-gene-2444","BSGatlas-gene-2444")</f>
        <v>BSGatlas-gene-2444</v>
      </c>
      <c r="B2445" s="1" t="s">
        <v>2237</v>
      </c>
      <c r="C2445" s="1" t="s">
        <v>8</v>
      </c>
      <c r="D2445" s="1">
        <v>2207748</v>
      </c>
      <c r="E2445" s="1">
        <v>2207960</v>
      </c>
      <c r="F2445" s="1" t="s">
        <v>13</v>
      </c>
      <c r="G2445" s="1" t="s">
        <v>11409</v>
      </c>
    </row>
    <row r="2446" spans="1:7" ht="21" x14ac:dyDescent="0.25">
      <c r="A2446" s="2" t="str">
        <f>HYPERLINK("https://rth.dk/resources/bsgatlas/details.php?id=BSGatlas-gene-2445","BSGatlas-gene-2445")</f>
        <v>BSGatlas-gene-2445</v>
      </c>
      <c r="B2446" s="1" t="s">
        <v>2238</v>
      </c>
      <c r="C2446" s="1" t="s">
        <v>8</v>
      </c>
      <c r="D2446" s="1">
        <v>2208008</v>
      </c>
      <c r="E2446" s="1">
        <v>2208325</v>
      </c>
      <c r="F2446" s="1" t="s">
        <v>13</v>
      </c>
      <c r="G2446" s="1" t="s">
        <v>11409</v>
      </c>
    </row>
    <row r="2447" spans="1:7" ht="21" x14ac:dyDescent="0.25">
      <c r="A2447" s="2" t="str">
        <f>HYPERLINK("https://rth.dk/resources/bsgatlas/details.php?id=BSGatlas-gene-2446","BSGatlas-gene-2446")</f>
        <v>BSGatlas-gene-2446</v>
      </c>
      <c r="B2447" s="1" t="s">
        <v>2239</v>
      </c>
      <c r="C2447" s="1" t="s">
        <v>8</v>
      </c>
      <c r="D2447" s="1">
        <v>2208328</v>
      </c>
      <c r="E2447" s="1">
        <v>2208528</v>
      </c>
      <c r="F2447" s="1" t="s">
        <v>13</v>
      </c>
      <c r="G2447" s="1" t="s">
        <v>11409</v>
      </c>
    </row>
    <row r="2448" spans="1:7" ht="21" x14ac:dyDescent="0.25">
      <c r="A2448" s="2" t="str">
        <f>HYPERLINK("https://rth.dk/resources/bsgatlas/details.php?id=BSGatlas-gene-2447","BSGatlas-gene-2447")</f>
        <v>BSGatlas-gene-2447</v>
      </c>
      <c r="B2448" s="1" t="s">
        <v>2240</v>
      </c>
      <c r="C2448" s="1" t="s">
        <v>12</v>
      </c>
      <c r="D2448" s="1">
        <v>2208373</v>
      </c>
      <c r="E2448" s="1">
        <v>2208745</v>
      </c>
      <c r="F2448" s="1" t="s">
        <v>9</v>
      </c>
      <c r="G2448" s="1" t="s">
        <v>11406</v>
      </c>
    </row>
    <row r="2449" spans="1:7" ht="21" x14ac:dyDescent="0.25">
      <c r="A2449" s="2" t="str">
        <f>HYPERLINK("https://rth.dk/resources/bsgatlas/details.php?id=BSGatlas-gene-2448","BSGatlas-gene-2448")</f>
        <v>BSGatlas-gene-2448</v>
      </c>
      <c r="B2449" s="1" t="s">
        <v>2241</v>
      </c>
      <c r="C2449" s="1" t="s">
        <v>55</v>
      </c>
      <c r="D2449" s="1">
        <v>2208590</v>
      </c>
      <c r="E2449" s="1">
        <v>2208880</v>
      </c>
      <c r="F2449" s="1" t="s">
        <v>13</v>
      </c>
      <c r="G2449" s="1" t="s">
        <v>11455</v>
      </c>
    </row>
    <row r="2450" spans="1:7" ht="21" x14ac:dyDescent="0.25">
      <c r="A2450" s="2" t="str">
        <f>HYPERLINK("https://rth.dk/resources/bsgatlas/details.php?id=BSGatlas-gene-2449","BSGatlas-gene-2449")</f>
        <v>BSGatlas-gene-2449</v>
      </c>
      <c r="B2450" s="1" t="s">
        <v>2242</v>
      </c>
      <c r="C2450" s="1" t="s">
        <v>8</v>
      </c>
      <c r="D2450" s="1">
        <v>2208855</v>
      </c>
      <c r="E2450" s="1">
        <v>2208980</v>
      </c>
      <c r="F2450" s="1" t="s">
        <v>13</v>
      </c>
      <c r="G2450" s="1" t="s">
        <v>11409</v>
      </c>
    </row>
    <row r="2451" spans="1:7" ht="21" x14ac:dyDescent="0.25">
      <c r="A2451" s="2" t="str">
        <f>HYPERLINK("https://rth.dk/resources/bsgatlas/details.php?id=BSGatlas-gene-2450","BSGatlas-gene-2450")</f>
        <v>BSGatlas-gene-2450</v>
      </c>
      <c r="B2451" s="1" t="s">
        <v>2243</v>
      </c>
      <c r="C2451" s="1" t="s">
        <v>8</v>
      </c>
      <c r="D2451" s="1">
        <v>2208994</v>
      </c>
      <c r="E2451" s="1">
        <v>2210154</v>
      </c>
      <c r="F2451" s="1" t="s">
        <v>13</v>
      </c>
      <c r="G2451" s="1" t="s">
        <v>11409</v>
      </c>
    </row>
    <row r="2452" spans="1:7" ht="21" x14ac:dyDescent="0.25">
      <c r="A2452" s="2" t="str">
        <f>HYPERLINK("https://rth.dk/resources/bsgatlas/details.php?id=BSGatlas-gene-2451","BSGatlas-gene-2451")</f>
        <v>BSGatlas-gene-2451</v>
      </c>
      <c r="B2452" s="1" t="s">
        <v>11611</v>
      </c>
      <c r="C2452" s="1" t="s">
        <v>8</v>
      </c>
      <c r="D2452" s="1">
        <v>2210331</v>
      </c>
      <c r="E2452" s="1">
        <v>2210747</v>
      </c>
      <c r="F2452" s="1" t="s">
        <v>13</v>
      </c>
      <c r="G2452" s="1" t="s">
        <v>11409</v>
      </c>
    </row>
    <row r="2453" spans="1:7" ht="21" x14ac:dyDescent="0.25">
      <c r="A2453" s="2" t="str">
        <f>HYPERLINK("https://rth.dk/resources/bsgatlas/details.php?id=BSGatlas-gene-2452","BSGatlas-gene-2452")</f>
        <v>BSGatlas-gene-2452</v>
      </c>
      <c r="B2453" s="1" t="s">
        <v>11612</v>
      </c>
      <c r="C2453" s="1" t="s">
        <v>8</v>
      </c>
      <c r="D2453" s="1">
        <v>2210749</v>
      </c>
      <c r="E2453" s="1">
        <v>2211282</v>
      </c>
      <c r="F2453" s="1" t="s">
        <v>13</v>
      </c>
      <c r="G2453" s="1" t="s">
        <v>11409</v>
      </c>
    </row>
    <row r="2454" spans="1:7" ht="21" x14ac:dyDescent="0.25">
      <c r="A2454" s="2" t="str">
        <f>HYPERLINK("https://rth.dk/resources/bsgatlas/details.php?id=BSGatlas-gene-2453","BSGatlas-gene-2453")</f>
        <v>BSGatlas-gene-2453</v>
      </c>
      <c r="B2454" s="1" t="s">
        <v>11613</v>
      </c>
      <c r="C2454" s="1" t="s">
        <v>8</v>
      </c>
      <c r="D2454" s="1">
        <v>2211309</v>
      </c>
      <c r="E2454" s="1">
        <v>2211845</v>
      </c>
      <c r="F2454" s="1" t="s">
        <v>13</v>
      </c>
      <c r="G2454" s="1" t="s">
        <v>11409</v>
      </c>
    </row>
    <row r="2455" spans="1:7" ht="21" x14ac:dyDescent="0.25">
      <c r="A2455" s="2" t="str">
        <f>HYPERLINK("https://rth.dk/resources/bsgatlas/details.php?id=BSGatlas-gene-2454","BSGatlas-gene-2454")</f>
        <v>BSGatlas-gene-2454</v>
      </c>
      <c r="B2455" s="1" t="s">
        <v>11614</v>
      </c>
      <c r="C2455" s="1" t="s">
        <v>8</v>
      </c>
      <c r="D2455" s="1">
        <v>2211884</v>
      </c>
      <c r="E2455" s="1">
        <v>2212015</v>
      </c>
      <c r="F2455" s="1" t="s">
        <v>13</v>
      </c>
      <c r="G2455" s="1" t="s">
        <v>11409</v>
      </c>
    </row>
    <row r="2456" spans="1:7" ht="21" x14ac:dyDescent="0.25">
      <c r="A2456" s="2" t="str">
        <f>HYPERLINK("https://rth.dk/resources/bsgatlas/details.php?id=BSGatlas-gene-2455","BSGatlas-gene-2455")</f>
        <v>BSGatlas-gene-2455</v>
      </c>
      <c r="B2456" s="1" t="s">
        <v>11615</v>
      </c>
      <c r="C2456" s="1" t="s">
        <v>8</v>
      </c>
      <c r="D2456" s="1">
        <v>2212026</v>
      </c>
      <c r="E2456" s="1">
        <v>2212241</v>
      </c>
      <c r="F2456" s="1" t="s">
        <v>13</v>
      </c>
      <c r="G2456" s="1" t="s">
        <v>11409</v>
      </c>
    </row>
    <row r="2457" spans="1:7" ht="21" x14ac:dyDescent="0.25">
      <c r="A2457" s="2" t="str">
        <f>HYPERLINK("https://rth.dk/resources/bsgatlas/details.php?id=BSGatlas-gene-2456","BSGatlas-gene-2456")</f>
        <v>BSGatlas-gene-2456</v>
      </c>
      <c r="B2457" s="1" t="s">
        <v>2244</v>
      </c>
      <c r="C2457" s="1" t="s">
        <v>8</v>
      </c>
      <c r="D2457" s="1">
        <v>2212245</v>
      </c>
      <c r="E2457" s="1">
        <v>2212496</v>
      </c>
      <c r="F2457" s="1" t="s">
        <v>13</v>
      </c>
      <c r="G2457" s="1" t="s">
        <v>11409</v>
      </c>
    </row>
    <row r="2458" spans="1:7" ht="21" x14ac:dyDescent="0.25">
      <c r="A2458" s="2" t="str">
        <f>HYPERLINK("https://rth.dk/resources/bsgatlas/details.php?id=BSGatlas-gene-2457","BSGatlas-gene-2457")</f>
        <v>BSGatlas-gene-2457</v>
      </c>
      <c r="B2458" s="1" t="s">
        <v>2245</v>
      </c>
      <c r="C2458" s="1" t="s">
        <v>8</v>
      </c>
      <c r="D2458" s="1">
        <v>2212567</v>
      </c>
      <c r="E2458" s="1">
        <v>2212746</v>
      </c>
      <c r="F2458" s="1" t="s">
        <v>9</v>
      </c>
      <c r="G2458" s="1" t="s">
        <v>11409</v>
      </c>
    </row>
    <row r="2459" spans="1:7" ht="21" x14ac:dyDescent="0.25">
      <c r="A2459" s="2" t="str">
        <f>HYPERLINK("https://rth.dk/resources/bsgatlas/details.php?id=BSGatlas-gene-2458","BSGatlas-gene-2458")</f>
        <v>BSGatlas-gene-2458</v>
      </c>
      <c r="B2459" s="1" t="s">
        <v>2246</v>
      </c>
      <c r="C2459" s="1" t="s">
        <v>8</v>
      </c>
      <c r="D2459" s="1">
        <v>2212848</v>
      </c>
      <c r="E2459" s="1">
        <v>2213078</v>
      </c>
      <c r="F2459" s="1" t="s">
        <v>9</v>
      </c>
      <c r="G2459" s="1" t="s">
        <v>11409</v>
      </c>
    </row>
    <row r="2460" spans="1:7" ht="21" x14ac:dyDescent="0.25">
      <c r="A2460" s="2" t="str">
        <f>HYPERLINK("https://rth.dk/resources/bsgatlas/details.php?id=BSGatlas-gene-2459","BSGatlas-gene-2459")</f>
        <v>BSGatlas-gene-2459</v>
      </c>
      <c r="B2460" s="1" t="s">
        <v>11616</v>
      </c>
      <c r="C2460" s="1" t="s">
        <v>8</v>
      </c>
      <c r="D2460" s="1">
        <v>2213083</v>
      </c>
      <c r="E2460" s="1">
        <v>2213478</v>
      </c>
      <c r="F2460" s="1" t="s">
        <v>13</v>
      </c>
      <c r="G2460" s="1" t="s">
        <v>11409</v>
      </c>
    </row>
    <row r="2461" spans="1:7" ht="21" x14ac:dyDescent="0.25">
      <c r="A2461" s="2" t="str">
        <f>HYPERLINK("https://rth.dk/resources/bsgatlas/details.php?id=BSGatlas-gene-2460","BSGatlas-gene-2460")</f>
        <v>BSGatlas-gene-2460</v>
      </c>
      <c r="B2461" s="1" t="s">
        <v>2247</v>
      </c>
      <c r="C2461" s="1" t="s">
        <v>8</v>
      </c>
      <c r="D2461" s="1">
        <v>2213536</v>
      </c>
      <c r="E2461" s="1">
        <v>2214864</v>
      </c>
      <c r="F2461" s="1" t="s">
        <v>13</v>
      </c>
      <c r="G2461" s="1" t="s">
        <v>11409</v>
      </c>
    </row>
    <row r="2462" spans="1:7" ht="21" x14ac:dyDescent="0.25">
      <c r="A2462" s="2" t="str">
        <f>HYPERLINK("https://rth.dk/resources/bsgatlas/details.php?id=BSGatlas-gene-2461","BSGatlas-gene-2461")</f>
        <v>BSGatlas-gene-2461</v>
      </c>
      <c r="B2462" s="1" t="s">
        <v>11617</v>
      </c>
      <c r="C2462" s="1" t="s">
        <v>8</v>
      </c>
      <c r="D2462" s="1">
        <v>2214972</v>
      </c>
      <c r="E2462" s="1">
        <v>2215199</v>
      </c>
      <c r="F2462" s="1" t="s">
        <v>13</v>
      </c>
      <c r="G2462" s="1" t="s">
        <v>11409</v>
      </c>
    </row>
    <row r="2463" spans="1:7" ht="21" x14ac:dyDescent="0.25">
      <c r="A2463" s="2" t="str">
        <f>HYPERLINK("https://rth.dk/resources/bsgatlas/details.php?id=BSGatlas-gene-2462","BSGatlas-gene-2462")</f>
        <v>BSGatlas-gene-2462</v>
      </c>
      <c r="B2463" s="1" t="s">
        <v>2248</v>
      </c>
      <c r="C2463" s="1" t="s">
        <v>8</v>
      </c>
      <c r="D2463" s="1">
        <v>2215460</v>
      </c>
      <c r="E2463" s="1">
        <v>2216776</v>
      </c>
      <c r="F2463" s="1" t="s">
        <v>13</v>
      </c>
      <c r="G2463" s="1" t="s">
        <v>11409</v>
      </c>
    </row>
    <row r="2464" spans="1:7" ht="21" x14ac:dyDescent="0.25">
      <c r="A2464" s="2" t="str">
        <f>HYPERLINK("https://rth.dk/resources/bsgatlas/details.php?id=BSGatlas-gene-2463","BSGatlas-gene-2463")</f>
        <v>BSGatlas-gene-2463</v>
      </c>
      <c r="B2464" s="1" t="s">
        <v>2249</v>
      </c>
      <c r="C2464" s="1" t="s">
        <v>8</v>
      </c>
      <c r="D2464" s="1">
        <v>2217133</v>
      </c>
      <c r="E2464" s="1">
        <v>2217639</v>
      </c>
      <c r="F2464" s="1" t="s">
        <v>13</v>
      </c>
      <c r="G2464" s="1" t="s">
        <v>11409</v>
      </c>
    </row>
    <row r="2465" spans="1:7" ht="21" x14ac:dyDescent="0.25">
      <c r="A2465" s="2" t="str">
        <f>HYPERLINK("https://rth.dk/resources/bsgatlas/details.php?id=BSGatlas-gene-2464","BSGatlas-gene-2464")</f>
        <v>BSGatlas-gene-2464</v>
      </c>
      <c r="B2465" s="1" t="s">
        <v>2250</v>
      </c>
      <c r="C2465" s="1" t="s">
        <v>8</v>
      </c>
      <c r="D2465" s="1">
        <v>2217967</v>
      </c>
      <c r="E2465" s="1">
        <v>2219199</v>
      </c>
      <c r="F2465" s="1" t="s">
        <v>13</v>
      </c>
      <c r="G2465" s="1" t="s">
        <v>11409</v>
      </c>
    </row>
    <row r="2466" spans="1:7" ht="21" x14ac:dyDescent="0.25">
      <c r="A2466" s="2" t="str">
        <f>HYPERLINK("https://rth.dk/resources/bsgatlas/details.php?id=BSGatlas-gene-2465","BSGatlas-gene-2465")</f>
        <v>BSGatlas-gene-2465</v>
      </c>
      <c r="B2466" s="1" t="s">
        <v>2251</v>
      </c>
      <c r="C2466" s="1" t="s">
        <v>8</v>
      </c>
      <c r="D2466" s="1">
        <v>2219281</v>
      </c>
      <c r="E2466" s="1">
        <v>2219469</v>
      </c>
      <c r="F2466" s="1" t="s">
        <v>13</v>
      </c>
      <c r="G2466" s="1" t="s">
        <v>11409</v>
      </c>
    </row>
    <row r="2467" spans="1:7" ht="21" x14ac:dyDescent="0.25">
      <c r="A2467" s="2" t="str">
        <f>HYPERLINK("https://rth.dk/resources/bsgatlas/details.php?id=BSGatlas-gene-2466","BSGatlas-gene-2466")</f>
        <v>BSGatlas-gene-2466</v>
      </c>
      <c r="B2467" s="1" t="s">
        <v>2252</v>
      </c>
      <c r="C2467" s="1" t="s">
        <v>8</v>
      </c>
      <c r="D2467" s="1">
        <v>2219514</v>
      </c>
      <c r="E2467" s="1">
        <v>2219765</v>
      </c>
      <c r="F2467" s="1" t="s">
        <v>13</v>
      </c>
      <c r="G2467" s="1" t="s">
        <v>11409</v>
      </c>
    </row>
    <row r="2468" spans="1:7" ht="21" x14ac:dyDescent="0.25">
      <c r="A2468" s="2" t="str">
        <f>HYPERLINK("https://rth.dk/resources/bsgatlas/details.php?id=BSGatlas-gene-2467","BSGatlas-gene-2467")</f>
        <v>BSGatlas-gene-2467</v>
      </c>
      <c r="B2468" s="1" t="s">
        <v>2254</v>
      </c>
      <c r="C2468" s="1" t="s">
        <v>2098</v>
      </c>
      <c r="D2468" s="1">
        <v>2219743</v>
      </c>
      <c r="E2468" s="1">
        <v>2219849</v>
      </c>
      <c r="F2468" s="1" t="s">
        <v>9</v>
      </c>
      <c r="G2468" s="1" t="s">
        <v>11439</v>
      </c>
    </row>
    <row r="2469" spans="1:7" ht="21" x14ac:dyDescent="0.25">
      <c r="A2469" s="2" t="str">
        <f>HYPERLINK("https://rth.dk/resources/bsgatlas/details.php?id=BSGatlas-gene-2468","BSGatlas-gene-2468")</f>
        <v>BSGatlas-gene-2468</v>
      </c>
      <c r="B2469" s="1" t="s">
        <v>2253</v>
      </c>
      <c r="C2469" s="1" t="s">
        <v>8</v>
      </c>
      <c r="D2469" s="1">
        <v>2219784</v>
      </c>
      <c r="E2469" s="1">
        <v>2219960</v>
      </c>
      <c r="F2469" s="1" t="s">
        <v>13</v>
      </c>
      <c r="G2469" s="1" t="s">
        <v>11409</v>
      </c>
    </row>
    <row r="2470" spans="1:7" ht="21" x14ac:dyDescent="0.25">
      <c r="A2470" s="2" t="str">
        <f>HYPERLINK("https://rth.dk/resources/bsgatlas/details.php?id=BSGatlas-gene-2469","BSGatlas-gene-2469")</f>
        <v>BSGatlas-gene-2469</v>
      </c>
      <c r="B2470" s="1" t="s">
        <v>2255</v>
      </c>
      <c r="C2470" s="1" t="s">
        <v>8</v>
      </c>
      <c r="D2470" s="1">
        <v>2220335</v>
      </c>
      <c r="E2470" s="1">
        <v>2220946</v>
      </c>
      <c r="F2470" s="1" t="s">
        <v>13</v>
      </c>
      <c r="G2470" s="1" t="s">
        <v>11409</v>
      </c>
    </row>
    <row r="2471" spans="1:7" ht="21" x14ac:dyDescent="0.25">
      <c r="A2471" s="2" t="str">
        <f>HYPERLINK("https://rth.dk/resources/bsgatlas/details.php?id=BSGatlas-gene-2470","BSGatlas-gene-2470")</f>
        <v>BSGatlas-gene-2470</v>
      </c>
      <c r="B2471" s="1" t="s">
        <v>2256</v>
      </c>
      <c r="C2471" s="1" t="s">
        <v>8</v>
      </c>
      <c r="D2471" s="1">
        <v>2221061</v>
      </c>
      <c r="E2471" s="1">
        <v>2221387</v>
      </c>
      <c r="F2471" s="1" t="s">
        <v>13</v>
      </c>
      <c r="G2471" s="1" t="s">
        <v>11409</v>
      </c>
    </row>
    <row r="2472" spans="1:7" ht="21" x14ac:dyDescent="0.25">
      <c r="A2472" s="2" t="str">
        <f>HYPERLINK("https://rth.dk/resources/bsgatlas/details.php?id=BSGatlas-gene-2471","BSGatlas-gene-2471")</f>
        <v>BSGatlas-gene-2471</v>
      </c>
      <c r="B2472" s="1" t="s">
        <v>2257</v>
      </c>
      <c r="C2472" s="1" t="s">
        <v>12</v>
      </c>
      <c r="D2472" s="1">
        <v>2221639</v>
      </c>
      <c r="E2472" s="1">
        <v>2221791</v>
      </c>
      <c r="F2472" s="1" t="s">
        <v>9</v>
      </c>
      <c r="G2472" s="1" t="s">
        <v>11406</v>
      </c>
    </row>
    <row r="2473" spans="1:7" ht="21" x14ac:dyDescent="0.25">
      <c r="A2473" s="2" t="str">
        <f>HYPERLINK("https://rth.dk/resources/bsgatlas/details.php?id=BSGatlas-gene-2472","BSGatlas-gene-2472")</f>
        <v>BSGatlas-gene-2472</v>
      </c>
      <c r="B2473" s="1" t="s">
        <v>2258</v>
      </c>
      <c r="C2473" s="1" t="s">
        <v>12</v>
      </c>
      <c r="D2473" s="1">
        <v>2221800</v>
      </c>
      <c r="E2473" s="1">
        <v>2222284</v>
      </c>
      <c r="F2473" s="1" t="s">
        <v>9</v>
      </c>
      <c r="G2473" s="1" t="s">
        <v>11442</v>
      </c>
    </row>
    <row r="2474" spans="1:7" ht="21" x14ac:dyDescent="0.25">
      <c r="A2474" s="2" t="str">
        <f>HYPERLINK("https://rth.dk/resources/bsgatlas/details.php?id=BSGatlas-gene-2473","BSGatlas-gene-2473")</f>
        <v>BSGatlas-gene-2473</v>
      </c>
      <c r="B2474" s="1" t="s">
        <v>2259</v>
      </c>
      <c r="C2474" s="1" t="s">
        <v>8</v>
      </c>
      <c r="D2474" s="1">
        <v>2222340</v>
      </c>
      <c r="E2474" s="1">
        <v>2222534</v>
      </c>
      <c r="F2474" s="1" t="s">
        <v>9</v>
      </c>
      <c r="G2474" s="1" t="s">
        <v>11409</v>
      </c>
    </row>
    <row r="2475" spans="1:7" ht="21" x14ac:dyDescent="0.25">
      <c r="A2475" s="2" t="str">
        <f>HYPERLINK("https://rth.dk/resources/bsgatlas/details.php?id=BSGatlas-gene-2474","BSGatlas-gene-2474")</f>
        <v>BSGatlas-gene-2474</v>
      </c>
      <c r="B2475" s="1" t="s">
        <v>2260</v>
      </c>
      <c r="C2475" s="1" t="s">
        <v>8</v>
      </c>
      <c r="D2475" s="1">
        <v>2222574</v>
      </c>
      <c r="E2475" s="1">
        <v>2225093</v>
      </c>
      <c r="F2475" s="1" t="s">
        <v>9</v>
      </c>
      <c r="G2475" s="1" t="s">
        <v>11409</v>
      </c>
    </row>
    <row r="2476" spans="1:7" ht="21" x14ac:dyDescent="0.25">
      <c r="A2476" s="2" t="str">
        <f>HYPERLINK("https://rth.dk/resources/bsgatlas/details.php?id=BSGatlas-gene-2475","BSGatlas-gene-2475")</f>
        <v>BSGatlas-gene-2475</v>
      </c>
      <c r="B2476" s="1" t="s">
        <v>2261</v>
      </c>
      <c r="C2476" s="1" t="s">
        <v>8</v>
      </c>
      <c r="D2476" s="1">
        <v>2225337</v>
      </c>
      <c r="E2476" s="1">
        <v>2225615</v>
      </c>
      <c r="F2476" s="1" t="s">
        <v>9</v>
      </c>
      <c r="G2476" s="1" t="s">
        <v>11409</v>
      </c>
    </row>
    <row r="2477" spans="1:7" ht="21" x14ac:dyDescent="0.25">
      <c r="A2477" s="2" t="str">
        <f>HYPERLINK("https://rth.dk/resources/bsgatlas/details.php?id=BSGatlas-gene-2476","BSGatlas-gene-2476")</f>
        <v>BSGatlas-gene-2476</v>
      </c>
      <c r="B2477" s="1" t="s">
        <v>2262</v>
      </c>
      <c r="C2477" s="1" t="s">
        <v>12</v>
      </c>
      <c r="D2477" s="1">
        <v>2226070</v>
      </c>
      <c r="E2477" s="1">
        <v>2226618</v>
      </c>
      <c r="F2477" s="1" t="s">
        <v>9</v>
      </c>
      <c r="G2477" s="1" t="s">
        <v>11442</v>
      </c>
    </row>
    <row r="2478" spans="1:7" ht="21" x14ac:dyDescent="0.25">
      <c r="A2478" s="2" t="str">
        <f>HYPERLINK("https://rth.dk/resources/bsgatlas/details.php?id=BSGatlas-gene-2477","BSGatlas-gene-2477")</f>
        <v>BSGatlas-gene-2477</v>
      </c>
      <c r="B2478" s="1" t="s">
        <v>318</v>
      </c>
      <c r="C2478" s="1" t="s">
        <v>8</v>
      </c>
      <c r="D2478" s="1">
        <v>2226176</v>
      </c>
      <c r="E2478" s="1">
        <v>2226346</v>
      </c>
      <c r="F2478" s="1" t="s">
        <v>9</v>
      </c>
      <c r="G2478" s="1" t="s">
        <v>11441</v>
      </c>
    </row>
    <row r="2479" spans="1:7" ht="21" x14ac:dyDescent="0.25">
      <c r="A2479" s="2" t="str">
        <f>HYPERLINK("https://rth.dk/resources/bsgatlas/details.php?id=BSGatlas-gene-2478","BSGatlas-gene-2478")</f>
        <v>BSGatlas-gene-2478</v>
      </c>
      <c r="B2479" s="1" t="s">
        <v>2263</v>
      </c>
      <c r="C2479" s="1" t="s">
        <v>8</v>
      </c>
      <c r="D2479" s="1">
        <v>2227297</v>
      </c>
      <c r="E2479" s="1">
        <v>2227488</v>
      </c>
      <c r="F2479" s="1" t="s">
        <v>9</v>
      </c>
      <c r="G2479" s="1" t="s">
        <v>11409</v>
      </c>
    </row>
    <row r="2480" spans="1:7" ht="21" x14ac:dyDescent="0.25">
      <c r="A2480" s="2" t="str">
        <f>HYPERLINK("https://rth.dk/resources/bsgatlas/details.php?id=BSGatlas-gene-2479","BSGatlas-gene-2479")</f>
        <v>BSGatlas-gene-2479</v>
      </c>
      <c r="B2480" s="1" t="s">
        <v>2264</v>
      </c>
      <c r="C2480" s="1" t="s">
        <v>8</v>
      </c>
      <c r="D2480" s="1">
        <v>2227505</v>
      </c>
      <c r="E2480" s="1">
        <v>2228722</v>
      </c>
      <c r="F2480" s="1" t="s">
        <v>9</v>
      </c>
      <c r="G2480" s="1" t="s">
        <v>11409</v>
      </c>
    </row>
    <row r="2481" spans="1:7" ht="21" x14ac:dyDescent="0.25">
      <c r="A2481" s="2" t="str">
        <f>HYPERLINK("https://rth.dk/resources/bsgatlas/details.php?id=BSGatlas-gene-2480","BSGatlas-gene-2480")</f>
        <v>BSGatlas-gene-2480</v>
      </c>
      <c r="B2481" s="1" t="s">
        <v>2266</v>
      </c>
      <c r="C2481" s="1" t="s">
        <v>8</v>
      </c>
      <c r="D2481" s="1">
        <v>2228756</v>
      </c>
      <c r="E2481" s="1">
        <v>2229166</v>
      </c>
      <c r="F2481" s="1" t="s">
        <v>13</v>
      </c>
      <c r="G2481" s="1" t="s">
        <v>11409</v>
      </c>
    </row>
    <row r="2482" spans="1:7" ht="21" x14ac:dyDescent="0.25">
      <c r="A2482" s="2" t="str">
        <f>HYPERLINK("https://rth.dk/resources/bsgatlas/details.php?id=BSGatlas-gene-2481","BSGatlas-gene-2481")</f>
        <v>BSGatlas-gene-2481</v>
      </c>
      <c r="B2482" s="1" t="s">
        <v>2265</v>
      </c>
      <c r="C2482" s="1" t="s">
        <v>8</v>
      </c>
      <c r="D2482" s="1">
        <v>2229385</v>
      </c>
      <c r="E2482" s="1">
        <v>2229885</v>
      </c>
      <c r="F2482" s="1" t="s">
        <v>9</v>
      </c>
      <c r="G2482" s="1" t="s">
        <v>11409</v>
      </c>
    </row>
    <row r="2483" spans="1:7" ht="21" x14ac:dyDescent="0.25">
      <c r="A2483" s="2" t="str">
        <f>HYPERLINK("https://rth.dk/resources/bsgatlas/details.php?id=BSGatlas-gene-2482","BSGatlas-gene-2482")</f>
        <v>BSGatlas-gene-2482</v>
      </c>
      <c r="B2483" s="1" t="s">
        <v>2267</v>
      </c>
      <c r="C2483" s="1" t="s">
        <v>8</v>
      </c>
      <c r="D2483" s="1">
        <v>2229988</v>
      </c>
      <c r="E2483" s="1">
        <v>2230908</v>
      </c>
      <c r="F2483" s="1" t="s">
        <v>9</v>
      </c>
      <c r="G2483" s="1" t="s">
        <v>11409</v>
      </c>
    </row>
    <row r="2484" spans="1:7" ht="21" x14ac:dyDescent="0.25">
      <c r="A2484" s="2" t="str">
        <f>HYPERLINK("https://rth.dk/resources/bsgatlas/details.php?id=BSGatlas-gene-2483","BSGatlas-gene-2483")</f>
        <v>BSGatlas-gene-2483</v>
      </c>
      <c r="B2484" s="1" t="s">
        <v>11618</v>
      </c>
      <c r="C2484" s="1" t="s">
        <v>8</v>
      </c>
      <c r="D2484" s="1">
        <v>2230895</v>
      </c>
      <c r="E2484" s="1">
        <v>2232664</v>
      </c>
      <c r="F2484" s="1" t="s">
        <v>9</v>
      </c>
      <c r="G2484" s="1" t="s">
        <v>11409</v>
      </c>
    </row>
    <row r="2485" spans="1:7" ht="21" x14ac:dyDescent="0.25">
      <c r="A2485" s="2" t="str">
        <f>HYPERLINK("https://rth.dk/resources/bsgatlas/details.php?id=BSGatlas-gene-2484","BSGatlas-gene-2484")</f>
        <v>BSGatlas-gene-2484</v>
      </c>
      <c r="B2485" s="1" t="s">
        <v>11619</v>
      </c>
      <c r="C2485" s="1" t="s">
        <v>8</v>
      </c>
      <c r="D2485" s="1">
        <v>2232682</v>
      </c>
      <c r="E2485" s="1">
        <v>2234202</v>
      </c>
      <c r="F2485" s="1" t="s">
        <v>9</v>
      </c>
      <c r="G2485" s="1" t="s">
        <v>11409</v>
      </c>
    </row>
    <row r="2486" spans="1:7" ht="21" x14ac:dyDescent="0.25">
      <c r="A2486" s="2" t="str">
        <f>HYPERLINK("https://rth.dk/resources/bsgatlas/details.php?id=BSGatlas-gene-2485","BSGatlas-gene-2485")</f>
        <v>BSGatlas-gene-2485</v>
      </c>
      <c r="B2486" s="1" t="s">
        <v>11620</v>
      </c>
      <c r="C2486" s="1" t="s">
        <v>8</v>
      </c>
      <c r="D2486" s="1">
        <v>2234233</v>
      </c>
      <c r="E2486" s="1">
        <v>2235669</v>
      </c>
      <c r="F2486" s="1" t="s">
        <v>9</v>
      </c>
      <c r="G2486" s="1" t="s">
        <v>11409</v>
      </c>
    </row>
    <row r="2487" spans="1:7" ht="21" x14ac:dyDescent="0.25">
      <c r="A2487" s="2" t="str">
        <f>HYPERLINK("https://rth.dk/resources/bsgatlas/details.php?id=BSGatlas-gene-2486","BSGatlas-gene-2486")</f>
        <v>BSGatlas-gene-2486</v>
      </c>
      <c r="B2487" s="1" t="s">
        <v>11621</v>
      </c>
      <c r="C2487" s="1" t="s">
        <v>8</v>
      </c>
      <c r="D2487" s="1">
        <v>2235694</v>
      </c>
      <c r="E2487" s="1">
        <v>2236230</v>
      </c>
      <c r="F2487" s="1" t="s">
        <v>9</v>
      </c>
      <c r="G2487" s="1" t="s">
        <v>11409</v>
      </c>
    </row>
    <row r="2488" spans="1:7" ht="21" x14ac:dyDescent="0.25">
      <c r="A2488" s="2" t="str">
        <f>HYPERLINK("https://rth.dk/resources/bsgatlas/details.php?id=BSGatlas-gene-2487","BSGatlas-gene-2487")</f>
        <v>BSGatlas-gene-2487</v>
      </c>
      <c r="B2488" s="1" t="s">
        <v>11622</v>
      </c>
      <c r="C2488" s="1" t="s">
        <v>8</v>
      </c>
      <c r="D2488" s="1">
        <v>2236269</v>
      </c>
      <c r="E2488" s="1">
        <v>2237285</v>
      </c>
      <c r="F2488" s="1" t="s">
        <v>9</v>
      </c>
      <c r="G2488" s="1" t="s">
        <v>11409</v>
      </c>
    </row>
    <row r="2489" spans="1:7" ht="21" x14ac:dyDescent="0.25">
      <c r="A2489" s="2" t="str">
        <f>HYPERLINK("https://rth.dk/resources/bsgatlas/details.php?id=BSGatlas-gene-2488","BSGatlas-gene-2488")</f>
        <v>BSGatlas-gene-2488</v>
      </c>
      <c r="B2489" s="1" t="s">
        <v>11623</v>
      </c>
      <c r="C2489" s="1" t="s">
        <v>8</v>
      </c>
      <c r="D2489" s="1">
        <v>2237321</v>
      </c>
      <c r="E2489" s="1">
        <v>2237791</v>
      </c>
      <c r="F2489" s="1" t="s">
        <v>9</v>
      </c>
      <c r="G2489" s="1" t="s">
        <v>11409</v>
      </c>
    </row>
    <row r="2490" spans="1:7" ht="21" x14ac:dyDescent="0.25">
      <c r="A2490" s="2" t="str">
        <f>HYPERLINK("https://rth.dk/resources/bsgatlas/details.php?id=BSGatlas-gene-2489","BSGatlas-gene-2489")</f>
        <v>BSGatlas-gene-2489</v>
      </c>
      <c r="B2490" s="1" t="s">
        <v>11624</v>
      </c>
      <c r="C2490" s="1" t="s">
        <v>8</v>
      </c>
      <c r="D2490" s="1">
        <v>2237806</v>
      </c>
      <c r="E2490" s="1">
        <v>2238201</v>
      </c>
      <c r="F2490" s="1" t="s">
        <v>9</v>
      </c>
      <c r="G2490" s="1" t="s">
        <v>11409</v>
      </c>
    </row>
    <row r="2491" spans="1:7" ht="21" x14ac:dyDescent="0.25">
      <c r="A2491" s="2" t="str">
        <f>HYPERLINK("https://rth.dk/resources/bsgatlas/details.php?id=BSGatlas-gene-2490","BSGatlas-gene-2490")</f>
        <v>BSGatlas-gene-2490</v>
      </c>
      <c r="B2491" s="1" t="s">
        <v>11625</v>
      </c>
      <c r="C2491" s="1" t="s">
        <v>8</v>
      </c>
      <c r="D2491" s="1">
        <v>2238198</v>
      </c>
      <c r="E2491" s="1">
        <v>2238452</v>
      </c>
      <c r="F2491" s="1" t="s">
        <v>9</v>
      </c>
      <c r="G2491" s="1" t="s">
        <v>11409</v>
      </c>
    </row>
    <row r="2492" spans="1:7" ht="21" x14ac:dyDescent="0.25">
      <c r="A2492" s="2" t="str">
        <f>HYPERLINK("https://rth.dk/resources/bsgatlas/details.php?id=BSGatlas-gene-2491","BSGatlas-gene-2491")</f>
        <v>BSGatlas-gene-2491</v>
      </c>
      <c r="B2492" s="1" t="s">
        <v>11626</v>
      </c>
      <c r="C2492" s="1" t="s">
        <v>8</v>
      </c>
      <c r="D2492" s="1">
        <v>2238436</v>
      </c>
      <c r="E2492" s="1">
        <v>2239086</v>
      </c>
      <c r="F2492" s="1" t="s">
        <v>9</v>
      </c>
      <c r="G2492" s="1" t="s">
        <v>11409</v>
      </c>
    </row>
    <row r="2493" spans="1:7" ht="21" x14ac:dyDescent="0.25">
      <c r="A2493" s="2" t="str">
        <f>HYPERLINK("https://rth.dk/resources/bsgatlas/details.php?id=BSGatlas-gene-2492","BSGatlas-gene-2492")</f>
        <v>BSGatlas-gene-2492</v>
      </c>
      <c r="B2493" s="1" t="s">
        <v>11627</v>
      </c>
      <c r="C2493" s="1" t="s">
        <v>8</v>
      </c>
      <c r="D2493" s="1">
        <v>2239083</v>
      </c>
      <c r="E2493" s="1">
        <v>2239589</v>
      </c>
      <c r="F2493" s="1" t="s">
        <v>9</v>
      </c>
      <c r="G2493" s="1" t="s">
        <v>11409</v>
      </c>
    </row>
    <row r="2494" spans="1:7" ht="21" x14ac:dyDescent="0.25">
      <c r="A2494" s="2" t="str">
        <f>HYPERLINK("https://rth.dk/resources/bsgatlas/details.php?id=BSGatlas-gene-2493","BSGatlas-gene-2493")</f>
        <v>BSGatlas-gene-2493</v>
      </c>
      <c r="B2494" s="1" t="s">
        <v>11628</v>
      </c>
      <c r="C2494" s="1" t="s">
        <v>8</v>
      </c>
      <c r="D2494" s="1">
        <v>2239586</v>
      </c>
      <c r="E2494" s="1">
        <v>2240296</v>
      </c>
      <c r="F2494" s="1" t="s">
        <v>9</v>
      </c>
      <c r="G2494" s="1" t="s">
        <v>11409</v>
      </c>
    </row>
    <row r="2495" spans="1:7" ht="21" x14ac:dyDescent="0.25">
      <c r="A2495" s="2" t="str">
        <f>HYPERLINK("https://rth.dk/resources/bsgatlas/details.php?id=BSGatlas-gene-2494","BSGatlas-gene-2494")</f>
        <v>BSGatlas-gene-2494</v>
      </c>
      <c r="B2495" s="1" t="s">
        <v>11629</v>
      </c>
      <c r="C2495" s="1" t="s">
        <v>8</v>
      </c>
      <c r="D2495" s="1">
        <v>2240339</v>
      </c>
      <c r="E2495" s="1">
        <v>2241136</v>
      </c>
      <c r="F2495" s="1" t="s">
        <v>9</v>
      </c>
      <c r="G2495" s="1" t="s">
        <v>11409</v>
      </c>
    </row>
    <row r="2496" spans="1:7" ht="21" x14ac:dyDescent="0.25">
      <c r="A2496" s="2" t="str">
        <f>HYPERLINK("https://rth.dk/resources/bsgatlas/details.php?id=BSGatlas-gene-2495","BSGatlas-gene-2495")</f>
        <v>BSGatlas-gene-2495</v>
      </c>
      <c r="B2496" s="1" t="s">
        <v>11630</v>
      </c>
      <c r="C2496" s="1" t="s">
        <v>8</v>
      </c>
      <c r="D2496" s="1">
        <v>2241154</v>
      </c>
      <c r="E2496" s="1">
        <v>2241765</v>
      </c>
      <c r="F2496" s="1" t="s">
        <v>9</v>
      </c>
      <c r="G2496" s="1" t="s">
        <v>11409</v>
      </c>
    </row>
    <row r="2497" spans="1:7" ht="21" x14ac:dyDescent="0.25">
      <c r="A2497" s="2" t="str">
        <f>HYPERLINK("https://rth.dk/resources/bsgatlas/details.php?id=BSGatlas-gene-2496","BSGatlas-gene-2496")</f>
        <v>BSGatlas-gene-2496</v>
      </c>
      <c r="B2497" s="1" t="s">
        <v>11631</v>
      </c>
      <c r="C2497" s="1" t="s">
        <v>8</v>
      </c>
      <c r="D2497" s="1">
        <v>2241765</v>
      </c>
      <c r="E2497" s="1">
        <v>2241992</v>
      </c>
      <c r="F2497" s="1" t="s">
        <v>9</v>
      </c>
      <c r="G2497" s="1" t="s">
        <v>11409</v>
      </c>
    </row>
    <row r="2498" spans="1:7" ht="21" x14ac:dyDescent="0.25">
      <c r="A2498" s="2" t="str">
        <f>HYPERLINK("https://rth.dk/resources/bsgatlas/details.php?id=BSGatlas-gene-2497","BSGatlas-gene-2497")</f>
        <v>BSGatlas-gene-2497</v>
      </c>
      <c r="B2498" s="1" t="s">
        <v>11632</v>
      </c>
      <c r="C2498" s="1" t="s">
        <v>8</v>
      </c>
      <c r="D2498" s="1">
        <v>2242056</v>
      </c>
      <c r="E2498" s="1">
        <v>2242412</v>
      </c>
      <c r="F2498" s="1" t="s">
        <v>9</v>
      </c>
      <c r="G2498" s="1" t="s">
        <v>11409</v>
      </c>
    </row>
    <row r="2499" spans="1:7" ht="21" x14ac:dyDescent="0.25">
      <c r="A2499" s="2" t="str">
        <f>HYPERLINK("https://rth.dk/resources/bsgatlas/details.php?id=BSGatlas-gene-2498","BSGatlas-gene-2498")</f>
        <v>BSGatlas-gene-2498</v>
      </c>
      <c r="B2499" s="1" t="s">
        <v>11633</v>
      </c>
      <c r="C2499" s="1" t="s">
        <v>8</v>
      </c>
      <c r="D2499" s="1">
        <v>2242414</v>
      </c>
      <c r="E2499" s="1">
        <v>2243631</v>
      </c>
      <c r="F2499" s="1" t="s">
        <v>9</v>
      </c>
      <c r="G2499" s="1" t="s">
        <v>11409</v>
      </c>
    </row>
    <row r="2500" spans="1:7" ht="21" x14ac:dyDescent="0.25">
      <c r="A2500" s="2" t="str">
        <f>HYPERLINK("https://rth.dk/resources/bsgatlas/details.php?id=BSGatlas-gene-2499","BSGatlas-gene-2499")</f>
        <v>BSGatlas-gene-2499</v>
      </c>
      <c r="B2500" s="1" t="s">
        <v>11634</v>
      </c>
      <c r="C2500" s="1" t="s">
        <v>8</v>
      </c>
      <c r="D2500" s="1">
        <v>2243642</v>
      </c>
      <c r="E2500" s="1">
        <v>2243992</v>
      </c>
      <c r="F2500" s="1" t="s">
        <v>9</v>
      </c>
      <c r="G2500" s="1" t="s">
        <v>11409</v>
      </c>
    </row>
    <row r="2501" spans="1:7" ht="21" x14ac:dyDescent="0.25">
      <c r="A2501" s="2" t="str">
        <f>HYPERLINK("https://rth.dk/resources/bsgatlas/details.php?id=BSGatlas-gene-2500","BSGatlas-gene-2500")</f>
        <v>BSGatlas-gene-2500</v>
      </c>
      <c r="B2501" s="1" t="s">
        <v>11635</v>
      </c>
      <c r="C2501" s="1" t="s">
        <v>8</v>
      </c>
      <c r="D2501" s="1">
        <v>2243989</v>
      </c>
      <c r="E2501" s="1">
        <v>2244180</v>
      </c>
      <c r="F2501" s="1" t="s">
        <v>9</v>
      </c>
      <c r="G2501" s="1" t="s">
        <v>11409</v>
      </c>
    </row>
    <row r="2502" spans="1:7" ht="21" x14ac:dyDescent="0.25">
      <c r="A2502" s="2" t="str">
        <f>HYPERLINK("https://rth.dk/resources/bsgatlas/details.php?id=BSGatlas-gene-2501","BSGatlas-gene-2501")</f>
        <v>BSGatlas-gene-2501</v>
      </c>
      <c r="B2502" s="1" t="s">
        <v>11636</v>
      </c>
      <c r="C2502" s="1" t="s">
        <v>8</v>
      </c>
      <c r="D2502" s="1">
        <v>2244230</v>
      </c>
      <c r="E2502" s="1">
        <v>2244730</v>
      </c>
      <c r="F2502" s="1" t="s">
        <v>9</v>
      </c>
      <c r="G2502" s="1" t="s">
        <v>11409</v>
      </c>
    </row>
    <row r="2503" spans="1:7" ht="21" x14ac:dyDescent="0.25">
      <c r="A2503" s="2" t="str">
        <f>HYPERLINK("https://rth.dk/resources/bsgatlas/details.php?id=BSGatlas-gene-2502","BSGatlas-gene-2502")</f>
        <v>BSGatlas-gene-2502</v>
      </c>
      <c r="B2503" s="1" t="s">
        <v>11637</v>
      </c>
      <c r="C2503" s="1" t="s">
        <v>8</v>
      </c>
      <c r="D2503" s="1">
        <v>2244714</v>
      </c>
      <c r="E2503" s="1">
        <v>2245133</v>
      </c>
      <c r="F2503" s="1" t="s">
        <v>9</v>
      </c>
      <c r="G2503" s="1" t="s">
        <v>11409</v>
      </c>
    </row>
    <row r="2504" spans="1:7" ht="21" x14ac:dyDescent="0.25">
      <c r="A2504" s="2" t="str">
        <f>HYPERLINK("https://rth.dk/resources/bsgatlas/details.php?id=BSGatlas-gene-2503","BSGatlas-gene-2503")</f>
        <v>BSGatlas-gene-2503</v>
      </c>
      <c r="B2504" s="1" t="s">
        <v>2268</v>
      </c>
      <c r="C2504" s="1" t="s">
        <v>8</v>
      </c>
      <c r="D2504" s="1">
        <v>2245147</v>
      </c>
      <c r="E2504" s="1">
        <v>2246148</v>
      </c>
      <c r="F2504" s="1" t="s">
        <v>9</v>
      </c>
      <c r="G2504" s="1" t="s">
        <v>11409</v>
      </c>
    </row>
    <row r="2505" spans="1:7" ht="21" x14ac:dyDescent="0.25">
      <c r="A2505" s="2" t="str">
        <f>HYPERLINK("https://rth.dk/resources/bsgatlas/details.php?id=BSGatlas-gene-2504","BSGatlas-gene-2504")</f>
        <v>BSGatlas-gene-2504</v>
      </c>
      <c r="B2505" s="1" t="s">
        <v>2269</v>
      </c>
      <c r="C2505" s="1" t="s">
        <v>8</v>
      </c>
      <c r="D2505" s="1">
        <v>2246151</v>
      </c>
      <c r="E2505" s="1">
        <v>2246480</v>
      </c>
      <c r="F2505" s="1" t="s">
        <v>13</v>
      </c>
      <c r="G2505" s="1" t="s">
        <v>11409</v>
      </c>
    </row>
    <row r="2506" spans="1:7" ht="21" x14ac:dyDescent="0.25">
      <c r="A2506" s="2" t="str">
        <f>HYPERLINK("https://rth.dk/resources/bsgatlas/details.php?id=BSGatlas-gene-2505","BSGatlas-gene-2505")</f>
        <v>BSGatlas-gene-2505</v>
      </c>
      <c r="B2506" s="1" t="s">
        <v>11638</v>
      </c>
      <c r="C2506" s="1" t="s">
        <v>8</v>
      </c>
      <c r="D2506" s="1">
        <v>2246656</v>
      </c>
      <c r="E2506" s="1">
        <v>2247342</v>
      </c>
      <c r="F2506" s="1" t="s">
        <v>13</v>
      </c>
      <c r="G2506" s="1" t="s">
        <v>11409</v>
      </c>
    </row>
    <row r="2507" spans="1:7" ht="21" x14ac:dyDescent="0.25">
      <c r="A2507" s="2" t="str">
        <f>HYPERLINK("https://rth.dk/resources/bsgatlas/details.php?id=BSGatlas-gene-2506","BSGatlas-gene-2506")</f>
        <v>BSGatlas-gene-2506</v>
      </c>
      <c r="B2507" s="1" t="s">
        <v>11639</v>
      </c>
      <c r="C2507" s="1" t="s">
        <v>8</v>
      </c>
      <c r="D2507" s="1">
        <v>2247367</v>
      </c>
      <c r="E2507" s="1">
        <v>2247543</v>
      </c>
      <c r="F2507" s="1" t="s">
        <v>13</v>
      </c>
      <c r="G2507" s="1" t="s">
        <v>11409</v>
      </c>
    </row>
    <row r="2508" spans="1:7" ht="21" x14ac:dyDescent="0.25">
      <c r="A2508" s="2" t="str">
        <f>HYPERLINK("https://rth.dk/resources/bsgatlas/details.php?id=BSGatlas-gene-2507","BSGatlas-gene-2507")</f>
        <v>BSGatlas-gene-2507</v>
      </c>
      <c r="B2508" s="1" t="s">
        <v>2270</v>
      </c>
      <c r="C2508" s="1" t="s">
        <v>8</v>
      </c>
      <c r="D2508" s="1">
        <v>2247889</v>
      </c>
      <c r="E2508" s="1">
        <v>2248335</v>
      </c>
      <c r="F2508" s="1" t="s">
        <v>9</v>
      </c>
      <c r="G2508" s="1" t="s">
        <v>11409</v>
      </c>
    </row>
    <row r="2509" spans="1:7" ht="21" x14ac:dyDescent="0.25">
      <c r="A2509" s="2" t="str">
        <f>HYPERLINK("https://rth.dk/resources/bsgatlas/details.php?id=BSGatlas-gene-2508","BSGatlas-gene-2508")</f>
        <v>BSGatlas-gene-2508</v>
      </c>
      <c r="B2509" s="1" t="s">
        <v>2271</v>
      </c>
      <c r="C2509" s="1" t="s">
        <v>8</v>
      </c>
      <c r="D2509" s="1">
        <v>2248417</v>
      </c>
      <c r="E2509" s="1">
        <v>2249100</v>
      </c>
      <c r="F2509" s="1" t="s">
        <v>9</v>
      </c>
      <c r="G2509" s="1" t="s">
        <v>11409</v>
      </c>
    </row>
    <row r="2510" spans="1:7" ht="21" x14ac:dyDescent="0.25">
      <c r="A2510" s="2" t="str">
        <f>HYPERLINK("https://rth.dk/resources/bsgatlas/details.php?id=BSGatlas-gene-2509","BSGatlas-gene-2509")</f>
        <v>BSGatlas-gene-2509</v>
      </c>
      <c r="B2510" s="1" t="s">
        <v>2272</v>
      </c>
      <c r="C2510" s="1" t="s">
        <v>8</v>
      </c>
      <c r="D2510" s="1">
        <v>2249154</v>
      </c>
      <c r="E2510" s="1">
        <v>2256011</v>
      </c>
      <c r="F2510" s="1" t="s">
        <v>9</v>
      </c>
      <c r="G2510" s="1" t="s">
        <v>11409</v>
      </c>
    </row>
    <row r="2511" spans="1:7" ht="21" x14ac:dyDescent="0.25">
      <c r="A2511" s="2" t="str">
        <f>HYPERLINK("https://rth.dk/resources/bsgatlas/details.php?id=BSGatlas-gene-2510","BSGatlas-gene-2510")</f>
        <v>BSGatlas-gene-2510</v>
      </c>
      <c r="B2511" s="1" t="s">
        <v>11640</v>
      </c>
      <c r="C2511" s="1" t="s">
        <v>8</v>
      </c>
      <c r="D2511" s="1">
        <v>2256062</v>
      </c>
      <c r="E2511" s="1">
        <v>2256820</v>
      </c>
      <c r="F2511" s="1" t="s">
        <v>9</v>
      </c>
      <c r="G2511" s="1" t="s">
        <v>11409</v>
      </c>
    </row>
    <row r="2512" spans="1:7" ht="21" x14ac:dyDescent="0.25">
      <c r="A2512" s="2" t="str">
        <f>HYPERLINK("https://rth.dk/resources/bsgatlas/details.php?id=BSGatlas-gene-2511","BSGatlas-gene-2511")</f>
        <v>BSGatlas-gene-2511</v>
      </c>
      <c r="B2512" s="1" t="s">
        <v>11641</v>
      </c>
      <c r="C2512" s="1" t="s">
        <v>8</v>
      </c>
      <c r="D2512" s="1">
        <v>2256832</v>
      </c>
      <c r="E2512" s="1">
        <v>2259459</v>
      </c>
      <c r="F2512" s="1" t="s">
        <v>9</v>
      </c>
      <c r="G2512" s="1" t="s">
        <v>11409</v>
      </c>
    </row>
    <row r="2513" spans="1:7" ht="21" x14ac:dyDescent="0.25">
      <c r="A2513" s="2" t="str">
        <f>HYPERLINK("https://rth.dk/resources/bsgatlas/details.php?id=BSGatlas-gene-2512","BSGatlas-gene-2512")</f>
        <v>BSGatlas-gene-2512</v>
      </c>
      <c r="B2513" s="1" t="s">
        <v>11642</v>
      </c>
      <c r="C2513" s="1" t="s">
        <v>8</v>
      </c>
      <c r="D2513" s="1">
        <v>2259475</v>
      </c>
      <c r="E2513" s="1">
        <v>2260296</v>
      </c>
      <c r="F2513" s="1" t="s">
        <v>9</v>
      </c>
      <c r="G2513" s="1" t="s">
        <v>11409</v>
      </c>
    </row>
    <row r="2514" spans="1:7" ht="21" x14ac:dyDescent="0.25">
      <c r="A2514" s="2" t="str">
        <f>HYPERLINK("https://rth.dk/resources/bsgatlas/details.php?id=BSGatlas-gene-2513","BSGatlas-gene-2513")</f>
        <v>BSGatlas-gene-2513</v>
      </c>
      <c r="B2514" s="1" t="s">
        <v>11643</v>
      </c>
      <c r="C2514" s="1" t="s">
        <v>8</v>
      </c>
      <c r="D2514" s="1">
        <v>2260333</v>
      </c>
      <c r="E2514" s="1">
        <v>2262267</v>
      </c>
      <c r="F2514" s="1" t="s">
        <v>9</v>
      </c>
      <c r="G2514" s="1" t="s">
        <v>11409</v>
      </c>
    </row>
    <row r="2515" spans="1:7" ht="21" x14ac:dyDescent="0.25">
      <c r="A2515" s="2" t="str">
        <f>HYPERLINK("https://rth.dk/resources/bsgatlas/details.php?id=BSGatlas-gene-2514","BSGatlas-gene-2514")</f>
        <v>BSGatlas-gene-2514</v>
      </c>
      <c r="B2515" s="1" t="s">
        <v>11644</v>
      </c>
      <c r="C2515" s="1" t="s">
        <v>8</v>
      </c>
      <c r="D2515" s="1">
        <v>2262437</v>
      </c>
      <c r="E2515" s="1">
        <v>2263261</v>
      </c>
      <c r="F2515" s="1" t="s">
        <v>9</v>
      </c>
      <c r="G2515" s="1" t="s">
        <v>11409</v>
      </c>
    </row>
    <row r="2516" spans="1:7" ht="21" x14ac:dyDescent="0.25">
      <c r="A2516" s="2" t="str">
        <f>HYPERLINK("https://rth.dk/resources/bsgatlas/details.php?id=BSGatlas-gene-2515","BSGatlas-gene-2515")</f>
        <v>BSGatlas-gene-2515</v>
      </c>
      <c r="B2516" s="1" t="s">
        <v>318</v>
      </c>
      <c r="C2516" s="1" t="s">
        <v>8</v>
      </c>
      <c r="D2516" s="1">
        <v>2263251</v>
      </c>
      <c r="E2516" s="1">
        <v>2263469</v>
      </c>
      <c r="F2516" s="1" t="s">
        <v>9</v>
      </c>
      <c r="G2516" s="1" t="s">
        <v>11441</v>
      </c>
    </row>
    <row r="2517" spans="1:7" ht="21" x14ac:dyDescent="0.25">
      <c r="A2517" s="2" t="str">
        <f>HYPERLINK("https://rth.dk/resources/bsgatlas/details.php?id=BSGatlas-gene-2516","BSGatlas-gene-2516")</f>
        <v>BSGatlas-gene-2516</v>
      </c>
      <c r="B2517" s="1" t="s">
        <v>11645</v>
      </c>
      <c r="C2517" s="1" t="s">
        <v>8</v>
      </c>
      <c r="D2517" s="1">
        <v>2263489</v>
      </c>
      <c r="E2517" s="1">
        <v>2264592</v>
      </c>
      <c r="F2517" s="1" t="s">
        <v>9</v>
      </c>
      <c r="G2517" s="1" t="s">
        <v>11409</v>
      </c>
    </row>
    <row r="2518" spans="1:7" ht="21" x14ac:dyDescent="0.25">
      <c r="A2518" s="2" t="str">
        <f>HYPERLINK("https://rth.dk/resources/bsgatlas/details.php?id=BSGatlas-gene-2517","BSGatlas-gene-2517")</f>
        <v>BSGatlas-gene-2517</v>
      </c>
      <c r="B2518" s="1" t="s">
        <v>11646</v>
      </c>
      <c r="C2518" s="1" t="s">
        <v>8</v>
      </c>
      <c r="D2518" s="1">
        <v>2264680</v>
      </c>
      <c r="E2518" s="1">
        <v>2264892</v>
      </c>
      <c r="F2518" s="1" t="s">
        <v>9</v>
      </c>
      <c r="G2518" s="1" t="s">
        <v>11409</v>
      </c>
    </row>
    <row r="2519" spans="1:7" ht="21" x14ac:dyDescent="0.25">
      <c r="A2519" s="2" t="str">
        <f>HYPERLINK("https://rth.dk/resources/bsgatlas/details.php?id=BSGatlas-gene-2518","BSGatlas-gene-2518")</f>
        <v>BSGatlas-gene-2518</v>
      </c>
      <c r="B2519" s="1" t="s">
        <v>2278</v>
      </c>
      <c r="C2519" s="1" t="s">
        <v>8</v>
      </c>
      <c r="D2519" s="1">
        <v>2264903</v>
      </c>
      <c r="E2519" s="1">
        <v>2265169</v>
      </c>
      <c r="F2519" s="1" t="s">
        <v>9</v>
      </c>
      <c r="G2519" s="1" t="s">
        <v>11409</v>
      </c>
    </row>
    <row r="2520" spans="1:7" ht="21" x14ac:dyDescent="0.25">
      <c r="A2520" s="2" t="str">
        <f>HYPERLINK("https://rth.dk/resources/bsgatlas/details.php?id=BSGatlas-gene-2519","BSGatlas-gene-2519")</f>
        <v>BSGatlas-gene-2519</v>
      </c>
      <c r="B2520" s="1" t="s">
        <v>2273</v>
      </c>
      <c r="C2520" s="1" t="s">
        <v>8</v>
      </c>
      <c r="D2520" s="1">
        <v>2265225</v>
      </c>
      <c r="E2520" s="1">
        <v>2265671</v>
      </c>
      <c r="F2520" s="1" t="s">
        <v>13</v>
      </c>
      <c r="G2520" s="1" t="s">
        <v>11409</v>
      </c>
    </row>
    <row r="2521" spans="1:7" ht="21" x14ac:dyDescent="0.25">
      <c r="A2521" s="2" t="str">
        <f>HYPERLINK("https://rth.dk/resources/bsgatlas/details.php?id=BSGatlas-gene-2520","BSGatlas-gene-2520")</f>
        <v>BSGatlas-gene-2520</v>
      </c>
      <c r="B2521" s="1" t="s">
        <v>2274</v>
      </c>
      <c r="C2521" s="1" t="s">
        <v>8</v>
      </c>
      <c r="D2521" s="1">
        <v>2265668</v>
      </c>
      <c r="E2521" s="1">
        <v>2266936</v>
      </c>
      <c r="F2521" s="1" t="s">
        <v>13</v>
      </c>
      <c r="G2521" s="1" t="s">
        <v>11409</v>
      </c>
    </row>
    <row r="2522" spans="1:7" ht="21" x14ac:dyDescent="0.25">
      <c r="A2522" s="2" t="str">
        <f>HYPERLINK("https://rth.dk/resources/bsgatlas/details.php?id=BSGatlas-gene-2521","BSGatlas-gene-2521")</f>
        <v>BSGatlas-gene-2521</v>
      </c>
      <c r="B2522" s="1" t="s">
        <v>2275</v>
      </c>
      <c r="C2522" s="1" t="s">
        <v>8</v>
      </c>
      <c r="D2522" s="1">
        <v>2266936</v>
      </c>
      <c r="E2522" s="1">
        <v>2267349</v>
      </c>
      <c r="F2522" s="1" t="s">
        <v>13</v>
      </c>
      <c r="G2522" s="1" t="s">
        <v>11409</v>
      </c>
    </row>
    <row r="2523" spans="1:7" ht="21" x14ac:dyDescent="0.25">
      <c r="A2523" s="2" t="str">
        <f>HYPERLINK("https://rth.dk/resources/bsgatlas/details.php?id=BSGatlas-gene-2522","BSGatlas-gene-2522")</f>
        <v>BSGatlas-gene-2522</v>
      </c>
      <c r="B2523" s="1" t="s">
        <v>2276</v>
      </c>
      <c r="C2523" s="1" t="s">
        <v>8</v>
      </c>
      <c r="D2523" s="1">
        <v>2267346</v>
      </c>
      <c r="E2523" s="1">
        <v>2269463</v>
      </c>
      <c r="F2523" s="1" t="s">
        <v>13</v>
      </c>
      <c r="G2523" s="1" t="s">
        <v>11409</v>
      </c>
    </row>
    <row r="2524" spans="1:7" ht="21" x14ac:dyDescent="0.25">
      <c r="A2524" s="2" t="str">
        <f>HYPERLINK("https://rth.dk/resources/bsgatlas/details.php?id=BSGatlas-gene-2523","BSGatlas-gene-2523")</f>
        <v>BSGatlas-gene-2523</v>
      </c>
      <c r="B2524" s="1" t="s">
        <v>2277</v>
      </c>
      <c r="C2524" s="1" t="s">
        <v>8</v>
      </c>
      <c r="D2524" s="1">
        <v>2269521</v>
      </c>
      <c r="E2524" s="1">
        <v>2269691</v>
      </c>
      <c r="F2524" s="1" t="s">
        <v>13</v>
      </c>
      <c r="G2524" s="1" t="s">
        <v>11409</v>
      </c>
    </row>
    <row r="2525" spans="1:7" ht="21" x14ac:dyDescent="0.25">
      <c r="A2525" s="2" t="str">
        <f>HYPERLINK("https://rth.dk/resources/bsgatlas/details.php?id=BSGatlas-gene-2524","BSGatlas-gene-2524")</f>
        <v>BSGatlas-gene-2524</v>
      </c>
      <c r="B2525" s="1" t="s">
        <v>2279</v>
      </c>
      <c r="C2525" s="1" t="s">
        <v>8</v>
      </c>
      <c r="D2525" s="1">
        <v>2269988</v>
      </c>
      <c r="E2525" s="1">
        <v>2270305</v>
      </c>
      <c r="F2525" s="1" t="s">
        <v>13</v>
      </c>
      <c r="G2525" s="1" t="s">
        <v>11409</v>
      </c>
    </row>
    <row r="2526" spans="1:7" ht="21" x14ac:dyDescent="0.25">
      <c r="A2526" s="2" t="str">
        <f>HYPERLINK("https://rth.dk/resources/bsgatlas/details.php?id=BSGatlas-gene-2525","BSGatlas-gene-2525")</f>
        <v>BSGatlas-gene-2525</v>
      </c>
      <c r="B2526" s="1" t="s">
        <v>2280</v>
      </c>
      <c r="C2526" s="1" t="s">
        <v>8</v>
      </c>
      <c r="D2526" s="1">
        <v>2270407</v>
      </c>
      <c r="E2526" s="1">
        <v>2271657</v>
      </c>
      <c r="F2526" s="1" t="s">
        <v>13</v>
      </c>
      <c r="G2526" s="1" t="s">
        <v>11409</v>
      </c>
    </row>
    <row r="2527" spans="1:7" ht="21" x14ac:dyDescent="0.25">
      <c r="A2527" s="2" t="str">
        <f>HYPERLINK("https://rth.dk/resources/bsgatlas/details.php?id=BSGatlas-gene-2526","BSGatlas-gene-2526")</f>
        <v>BSGatlas-gene-2526</v>
      </c>
      <c r="B2527" s="1" t="s">
        <v>2281</v>
      </c>
      <c r="C2527" s="1" t="s">
        <v>8</v>
      </c>
      <c r="D2527" s="1">
        <v>2271650</v>
      </c>
      <c r="E2527" s="1">
        <v>2271982</v>
      </c>
      <c r="F2527" s="1" t="s">
        <v>13</v>
      </c>
      <c r="G2527" s="1" t="s">
        <v>11409</v>
      </c>
    </row>
    <row r="2528" spans="1:7" ht="21" x14ac:dyDescent="0.25">
      <c r="A2528" s="2" t="str">
        <f>HYPERLINK("https://rth.dk/resources/bsgatlas/details.php?id=BSGatlas-gene-2527","BSGatlas-gene-2527")</f>
        <v>BSGatlas-gene-2527</v>
      </c>
      <c r="B2528" s="1" t="s">
        <v>2282</v>
      </c>
      <c r="C2528" s="1" t="s">
        <v>8</v>
      </c>
      <c r="D2528" s="1">
        <v>2272156</v>
      </c>
      <c r="E2528" s="1">
        <v>2272491</v>
      </c>
      <c r="F2528" s="1" t="s">
        <v>9</v>
      </c>
      <c r="G2528" s="1" t="s">
        <v>11409</v>
      </c>
    </row>
    <row r="2529" spans="1:7" ht="21" x14ac:dyDescent="0.25">
      <c r="A2529" s="2" t="str">
        <f>HYPERLINK("https://rth.dk/resources/bsgatlas/details.php?id=BSGatlas-gene-2528","BSGatlas-gene-2528")</f>
        <v>BSGatlas-gene-2528</v>
      </c>
      <c r="B2529" s="1" t="s">
        <v>2283</v>
      </c>
      <c r="C2529" s="1" t="s">
        <v>8</v>
      </c>
      <c r="D2529" s="1">
        <v>2272534</v>
      </c>
      <c r="E2529" s="1">
        <v>2272890</v>
      </c>
      <c r="F2529" s="1" t="s">
        <v>13</v>
      </c>
      <c r="G2529" s="1" t="s">
        <v>11409</v>
      </c>
    </row>
    <row r="2530" spans="1:7" ht="21" x14ac:dyDescent="0.25">
      <c r="A2530" s="2" t="str">
        <f>HYPERLINK("https://rth.dk/resources/bsgatlas/details.php?id=BSGatlas-gene-2529","BSGatlas-gene-2529")</f>
        <v>BSGatlas-gene-2529</v>
      </c>
      <c r="B2530" s="1" t="s">
        <v>2284</v>
      </c>
      <c r="C2530" s="1" t="s">
        <v>8</v>
      </c>
      <c r="D2530" s="1">
        <v>2272896</v>
      </c>
      <c r="E2530" s="1">
        <v>2273363</v>
      </c>
      <c r="F2530" s="1" t="s">
        <v>13</v>
      </c>
      <c r="G2530" s="1" t="s">
        <v>11409</v>
      </c>
    </row>
    <row r="2531" spans="1:7" ht="21" x14ac:dyDescent="0.25">
      <c r="A2531" s="2" t="str">
        <f>HYPERLINK("https://rth.dk/resources/bsgatlas/details.php?id=BSGatlas-gene-2530","BSGatlas-gene-2530")</f>
        <v>BSGatlas-gene-2530</v>
      </c>
      <c r="B2531" s="1" t="s">
        <v>2285</v>
      </c>
      <c r="C2531" s="1" t="s">
        <v>55</v>
      </c>
      <c r="D2531" s="1">
        <v>2273524</v>
      </c>
      <c r="E2531" s="1">
        <v>2273829</v>
      </c>
      <c r="F2531" s="1" t="s">
        <v>9</v>
      </c>
      <c r="G2531" s="1" t="s">
        <v>11647</v>
      </c>
    </row>
    <row r="2532" spans="1:7" ht="21" x14ac:dyDescent="0.25">
      <c r="A2532" s="2" t="str">
        <f>HYPERLINK("https://rth.dk/resources/bsgatlas/details.php?id=BSGatlas-gene-2531","BSGatlas-gene-2531")</f>
        <v>BSGatlas-gene-2531</v>
      </c>
      <c r="B2532" s="1" t="s">
        <v>2286</v>
      </c>
      <c r="C2532" s="1" t="s">
        <v>8</v>
      </c>
      <c r="D2532" s="1">
        <v>2273594</v>
      </c>
      <c r="E2532" s="1">
        <v>2273710</v>
      </c>
      <c r="F2532" s="1" t="s">
        <v>9</v>
      </c>
      <c r="G2532" s="1" t="s">
        <v>11409</v>
      </c>
    </row>
    <row r="2533" spans="1:7" ht="21" x14ac:dyDescent="0.25">
      <c r="A2533" s="2" t="str">
        <f>HYPERLINK("https://rth.dk/resources/bsgatlas/details.php?id=BSGatlas-gene-2532","BSGatlas-gene-2532")</f>
        <v>BSGatlas-gene-2532</v>
      </c>
      <c r="B2533" s="1" t="s">
        <v>2287</v>
      </c>
      <c r="C2533" s="1" t="s">
        <v>2098</v>
      </c>
      <c r="D2533" s="1">
        <v>2273701</v>
      </c>
      <c r="E2533" s="1">
        <v>2273884</v>
      </c>
      <c r="F2533" s="1" t="s">
        <v>13</v>
      </c>
      <c r="G2533" s="1" t="s">
        <v>11648</v>
      </c>
    </row>
    <row r="2534" spans="1:7" ht="21" x14ac:dyDescent="0.25">
      <c r="A2534" s="2" t="str">
        <f>HYPERLINK("https://rth.dk/resources/bsgatlas/details.php?id=BSGatlas-gene-2533","BSGatlas-gene-2533")</f>
        <v>BSGatlas-gene-2533</v>
      </c>
      <c r="B2534" s="1" t="s">
        <v>2288</v>
      </c>
      <c r="C2534" s="1" t="s">
        <v>12</v>
      </c>
      <c r="D2534" s="1">
        <v>2273801</v>
      </c>
      <c r="E2534" s="1">
        <v>2274302</v>
      </c>
      <c r="F2534" s="1" t="s">
        <v>9</v>
      </c>
      <c r="G2534" s="1" t="s">
        <v>11406</v>
      </c>
    </row>
    <row r="2535" spans="1:7" ht="21" x14ac:dyDescent="0.25">
      <c r="A2535" s="2" t="str">
        <f>HYPERLINK("https://rth.dk/resources/bsgatlas/details.php?id=BSGatlas-gene-2534","BSGatlas-gene-2534")</f>
        <v>BSGatlas-gene-2534</v>
      </c>
      <c r="B2535" s="1" t="s">
        <v>2289</v>
      </c>
      <c r="C2535" s="1" t="s">
        <v>8</v>
      </c>
      <c r="D2535" s="1">
        <v>2273989</v>
      </c>
      <c r="E2535" s="1">
        <v>2274522</v>
      </c>
      <c r="F2535" s="1" t="s">
        <v>13</v>
      </c>
      <c r="G2535" s="1" t="s">
        <v>11409</v>
      </c>
    </row>
    <row r="2536" spans="1:7" ht="21" x14ac:dyDescent="0.25">
      <c r="A2536" s="2" t="str">
        <f>HYPERLINK("https://rth.dk/resources/bsgatlas/details.php?id=BSGatlas-gene-2535","BSGatlas-gene-2535")</f>
        <v>BSGatlas-gene-2535</v>
      </c>
      <c r="B2536" s="1" t="s">
        <v>2290</v>
      </c>
      <c r="C2536" s="1" t="s">
        <v>8</v>
      </c>
      <c r="D2536" s="1">
        <v>2274558</v>
      </c>
      <c r="E2536" s="1">
        <v>2275136</v>
      </c>
      <c r="F2536" s="1" t="s">
        <v>13</v>
      </c>
      <c r="G2536" s="1" t="s">
        <v>11409</v>
      </c>
    </row>
    <row r="2537" spans="1:7" ht="21" x14ac:dyDescent="0.25">
      <c r="A2537" s="2" t="str">
        <f>HYPERLINK("https://rth.dk/resources/bsgatlas/details.php?id=BSGatlas-gene-2536","BSGatlas-gene-2536")</f>
        <v>BSGatlas-gene-2536</v>
      </c>
      <c r="B2537" s="1" t="s">
        <v>2291</v>
      </c>
      <c r="C2537" s="1" t="s">
        <v>8</v>
      </c>
      <c r="D2537" s="1">
        <v>2275200</v>
      </c>
      <c r="E2537" s="1">
        <v>2275697</v>
      </c>
      <c r="F2537" s="1" t="s">
        <v>13</v>
      </c>
      <c r="G2537" s="1" t="s">
        <v>11409</v>
      </c>
    </row>
    <row r="2538" spans="1:7" ht="21" x14ac:dyDescent="0.25">
      <c r="A2538" s="2" t="str">
        <f>HYPERLINK("https://rth.dk/resources/bsgatlas/details.php?id=BSGatlas-gene-2537","BSGatlas-gene-2537")</f>
        <v>BSGatlas-gene-2537</v>
      </c>
      <c r="B2538" s="1" t="s">
        <v>2292</v>
      </c>
      <c r="C2538" s="1" t="s">
        <v>8</v>
      </c>
      <c r="D2538" s="1">
        <v>2275706</v>
      </c>
      <c r="E2538" s="1">
        <v>2277421</v>
      </c>
      <c r="F2538" s="1" t="s">
        <v>13</v>
      </c>
      <c r="G2538" s="1" t="s">
        <v>11409</v>
      </c>
    </row>
    <row r="2539" spans="1:7" ht="21" x14ac:dyDescent="0.25">
      <c r="A2539" s="2" t="str">
        <f>HYPERLINK("https://rth.dk/resources/bsgatlas/details.php?id=BSGatlas-gene-2538","BSGatlas-gene-2538")</f>
        <v>BSGatlas-gene-2538</v>
      </c>
      <c r="B2539" s="1" t="s">
        <v>11649</v>
      </c>
      <c r="C2539" s="1" t="s">
        <v>8</v>
      </c>
      <c r="D2539" s="1">
        <v>2277521</v>
      </c>
      <c r="E2539" s="1">
        <v>2278078</v>
      </c>
      <c r="F2539" s="1" t="s">
        <v>13</v>
      </c>
      <c r="G2539" s="1" t="s">
        <v>11409</v>
      </c>
    </row>
    <row r="2540" spans="1:7" ht="21" x14ac:dyDescent="0.25">
      <c r="A2540" s="2" t="str">
        <f>HYPERLINK("https://rth.dk/resources/bsgatlas/details.php?id=BSGatlas-gene-2539","BSGatlas-gene-2539")</f>
        <v>BSGatlas-gene-2539</v>
      </c>
      <c r="B2540" s="1" t="s">
        <v>11650</v>
      </c>
      <c r="C2540" s="1" t="s">
        <v>276</v>
      </c>
      <c r="D2540" s="1">
        <v>2278108</v>
      </c>
      <c r="E2540" s="1">
        <v>2278347</v>
      </c>
      <c r="F2540" s="1" t="s">
        <v>9</v>
      </c>
      <c r="G2540" s="1" t="s">
        <v>11441</v>
      </c>
    </row>
    <row r="2541" spans="1:7" ht="21" x14ac:dyDescent="0.25">
      <c r="A2541" s="2" t="str">
        <f>HYPERLINK("https://rth.dk/resources/bsgatlas/details.php?id=BSGatlas-gene-2540","BSGatlas-gene-2540")</f>
        <v>BSGatlas-gene-2540</v>
      </c>
      <c r="B2541" s="1" t="s">
        <v>11650</v>
      </c>
      <c r="C2541" s="1" t="s">
        <v>276</v>
      </c>
      <c r="D2541" s="1">
        <v>2278340</v>
      </c>
      <c r="E2541" s="1">
        <v>2278456</v>
      </c>
      <c r="F2541" s="1" t="s">
        <v>9</v>
      </c>
      <c r="G2541" s="1" t="s">
        <v>11441</v>
      </c>
    </row>
    <row r="2542" spans="1:7" ht="21" x14ac:dyDescent="0.25">
      <c r="A2542" s="2" t="str">
        <f>HYPERLINK("https://rth.dk/resources/bsgatlas/details.php?id=BSGatlas-gene-2541","BSGatlas-gene-2541")</f>
        <v>BSGatlas-gene-2541</v>
      </c>
      <c r="B2542" s="1" t="s">
        <v>2293</v>
      </c>
      <c r="C2542" s="1" t="s">
        <v>8</v>
      </c>
      <c r="D2542" s="1">
        <v>2278602</v>
      </c>
      <c r="E2542" s="1">
        <v>2279675</v>
      </c>
      <c r="F2542" s="1" t="s">
        <v>13</v>
      </c>
      <c r="G2542" s="1" t="s">
        <v>11409</v>
      </c>
    </row>
    <row r="2543" spans="1:7" ht="21" x14ac:dyDescent="0.25">
      <c r="A2543" s="2" t="str">
        <f>HYPERLINK("https://rth.dk/resources/bsgatlas/details.php?id=BSGatlas-gene-2542","BSGatlas-gene-2542")</f>
        <v>BSGatlas-gene-2542</v>
      </c>
      <c r="B2543" s="1" t="s">
        <v>2294</v>
      </c>
      <c r="C2543" s="1" t="s">
        <v>8</v>
      </c>
      <c r="D2543" s="1">
        <v>2279977</v>
      </c>
      <c r="E2543" s="1">
        <v>2280867</v>
      </c>
      <c r="F2543" s="1" t="s">
        <v>9</v>
      </c>
      <c r="G2543" s="1" t="s">
        <v>11409</v>
      </c>
    </row>
    <row r="2544" spans="1:7" ht="21" x14ac:dyDescent="0.25">
      <c r="A2544" s="2" t="str">
        <f>HYPERLINK("https://rth.dk/resources/bsgatlas/details.php?id=BSGatlas-gene-2543","BSGatlas-gene-2543")</f>
        <v>BSGatlas-gene-2543</v>
      </c>
      <c r="B2544" s="1" t="s">
        <v>2295</v>
      </c>
      <c r="C2544" s="1" t="s">
        <v>8</v>
      </c>
      <c r="D2544" s="1">
        <v>2280881</v>
      </c>
      <c r="E2544" s="1">
        <v>2281363</v>
      </c>
      <c r="F2544" s="1" t="s">
        <v>9</v>
      </c>
      <c r="G2544" s="1" t="s">
        <v>11409</v>
      </c>
    </row>
    <row r="2545" spans="1:7" ht="21" x14ac:dyDescent="0.25">
      <c r="A2545" s="2" t="str">
        <f>HYPERLINK("https://rth.dk/resources/bsgatlas/details.php?id=BSGatlas-gene-2544","BSGatlas-gene-2544")</f>
        <v>BSGatlas-gene-2544</v>
      </c>
      <c r="B2545" s="1" t="s">
        <v>2296</v>
      </c>
      <c r="C2545" s="1" t="s">
        <v>8</v>
      </c>
      <c r="D2545" s="1">
        <v>2281667</v>
      </c>
      <c r="E2545" s="1">
        <v>2282485</v>
      </c>
      <c r="F2545" s="1" t="s">
        <v>9</v>
      </c>
      <c r="G2545" s="1" t="s">
        <v>11409</v>
      </c>
    </row>
    <row r="2546" spans="1:7" ht="21" x14ac:dyDescent="0.25">
      <c r="A2546" s="2" t="str">
        <f>HYPERLINK("https://rth.dk/resources/bsgatlas/details.php?id=BSGatlas-gene-2545","BSGatlas-gene-2545")</f>
        <v>BSGatlas-gene-2545</v>
      </c>
      <c r="B2546" s="1" t="s">
        <v>318</v>
      </c>
      <c r="C2546" s="1" t="s">
        <v>8</v>
      </c>
      <c r="D2546" s="1">
        <v>2282505</v>
      </c>
      <c r="E2546" s="1">
        <v>2282639</v>
      </c>
      <c r="F2546" s="1" t="s">
        <v>13</v>
      </c>
      <c r="G2546" s="1" t="s">
        <v>11441</v>
      </c>
    </row>
    <row r="2547" spans="1:7" ht="21" x14ac:dyDescent="0.25">
      <c r="A2547" s="2" t="str">
        <f>HYPERLINK("https://rth.dk/resources/bsgatlas/details.php?id=BSGatlas-gene-2546","BSGatlas-gene-2546")</f>
        <v>BSGatlas-gene-2546</v>
      </c>
      <c r="B2547" s="1" t="s">
        <v>11651</v>
      </c>
      <c r="C2547" s="1" t="s">
        <v>12</v>
      </c>
      <c r="D2547" s="1">
        <v>2282621</v>
      </c>
      <c r="E2547" s="1">
        <v>2282724</v>
      </c>
      <c r="F2547" s="1" t="s">
        <v>13</v>
      </c>
      <c r="G2547" s="1" t="s">
        <v>11442</v>
      </c>
    </row>
    <row r="2548" spans="1:7" ht="21" x14ac:dyDescent="0.25">
      <c r="A2548" s="2" t="str">
        <f>HYPERLINK("https://rth.dk/resources/bsgatlas/details.php?id=BSGatlas-gene-2547","BSGatlas-gene-2547")</f>
        <v>BSGatlas-gene-2547</v>
      </c>
      <c r="B2548" s="1" t="s">
        <v>318</v>
      </c>
      <c r="C2548" s="1" t="s">
        <v>8</v>
      </c>
      <c r="D2548" s="1">
        <v>2282801</v>
      </c>
      <c r="E2548" s="1">
        <v>2282956</v>
      </c>
      <c r="F2548" s="1" t="s">
        <v>13</v>
      </c>
      <c r="G2548" s="1" t="s">
        <v>11441</v>
      </c>
    </row>
    <row r="2549" spans="1:7" ht="21" x14ac:dyDescent="0.25">
      <c r="A2549" s="2" t="str">
        <f>HYPERLINK("https://rth.dk/resources/bsgatlas/details.php?id=BSGatlas-gene-2548","BSGatlas-gene-2548")</f>
        <v>BSGatlas-gene-2548</v>
      </c>
      <c r="B2549" s="1" t="s">
        <v>11652</v>
      </c>
      <c r="C2549" s="1" t="s">
        <v>8</v>
      </c>
      <c r="D2549" s="1">
        <v>2283136</v>
      </c>
      <c r="E2549" s="1">
        <v>2283651</v>
      </c>
      <c r="F2549" s="1" t="s">
        <v>13</v>
      </c>
      <c r="G2549" s="1" t="s">
        <v>11409</v>
      </c>
    </row>
    <row r="2550" spans="1:7" ht="21" x14ac:dyDescent="0.25">
      <c r="A2550" s="2" t="str">
        <f>HYPERLINK("https://rth.dk/resources/bsgatlas/details.php?id=BSGatlas-gene-2549","BSGatlas-gene-2549")</f>
        <v>BSGatlas-gene-2549</v>
      </c>
      <c r="B2550" s="1" t="s">
        <v>2297</v>
      </c>
      <c r="C2550" s="1" t="s">
        <v>12</v>
      </c>
      <c r="D2550" s="1">
        <v>2283685</v>
      </c>
      <c r="E2550" s="1">
        <v>2283753</v>
      </c>
      <c r="F2550" s="1" t="s">
        <v>13</v>
      </c>
      <c r="G2550" s="1" t="s">
        <v>11442</v>
      </c>
    </row>
    <row r="2551" spans="1:7" ht="21" x14ac:dyDescent="0.25">
      <c r="A2551" s="2" t="str">
        <f>HYPERLINK("https://rth.dk/resources/bsgatlas/details.php?id=BSGatlas-gene-2550","BSGatlas-gene-2550")</f>
        <v>BSGatlas-gene-2550</v>
      </c>
      <c r="B2551" s="1" t="s">
        <v>2298</v>
      </c>
      <c r="C2551" s="1" t="s">
        <v>8</v>
      </c>
      <c r="D2551" s="1">
        <v>2283858</v>
      </c>
      <c r="E2551" s="1">
        <v>2284568</v>
      </c>
      <c r="F2551" s="1" t="s">
        <v>13</v>
      </c>
      <c r="G2551" s="1" t="s">
        <v>11409</v>
      </c>
    </row>
    <row r="2552" spans="1:7" ht="21" x14ac:dyDescent="0.25">
      <c r="A2552" s="2" t="str">
        <f>HYPERLINK("https://rth.dk/resources/bsgatlas/details.php?id=BSGatlas-gene-2551","BSGatlas-gene-2551")</f>
        <v>BSGatlas-gene-2551</v>
      </c>
      <c r="B2552" s="1" t="s">
        <v>2299</v>
      </c>
      <c r="C2552" s="1" t="s">
        <v>8</v>
      </c>
      <c r="D2552" s="1">
        <v>2284771</v>
      </c>
      <c r="E2552" s="1">
        <v>2286408</v>
      </c>
      <c r="F2552" s="1" t="s">
        <v>9</v>
      </c>
      <c r="G2552" s="1" t="s">
        <v>11409</v>
      </c>
    </row>
    <row r="2553" spans="1:7" ht="21" x14ac:dyDescent="0.25">
      <c r="A2553" s="2" t="str">
        <f>HYPERLINK("https://rth.dk/resources/bsgatlas/details.php?id=BSGatlas-gene-2552","BSGatlas-gene-2552")</f>
        <v>BSGatlas-gene-2552</v>
      </c>
      <c r="B2553" s="1" t="s">
        <v>2300</v>
      </c>
      <c r="C2553" s="1" t="s">
        <v>276</v>
      </c>
      <c r="D2553" s="1">
        <v>2286448</v>
      </c>
      <c r="E2553" s="1">
        <v>2287053</v>
      </c>
      <c r="F2553" s="1" t="s">
        <v>9</v>
      </c>
      <c r="G2553" s="1" t="s">
        <v>11441</v>
      </c>
    </row>
    <row r="2554" spans="1:7" ht="21" x14ac:dyDescent="0.25">
      <c r="A2554" s="2" t="str">
        <f>HYPERLINK("https://rth.dk/resources/bsgatlas/details.php?id=BSGatlas-gene-2553","BSGatlas-gene-2553")</f>
        <v>BSGatlas-gene-2553</v>
      </c>
      <c r="B2554" s="1" t="s">
        <v>2301</v>
      </c>
      <c r="C2554" s="1" t="s">
        <v>8</v>
      </c>
      <c r="D2554" s="1">
        <v>2287097</v>
      </c>
      <c r="E2554" s="1">
        <v>2287528</v>
      </c>
      <c r="F2554" s="1" t="s">
        <v>13</v>
      </c>
      <c r="G2554" s="1" t="s">
        <v>11409</v>
      </c>
    </row>
    <row r="2555" spans="1:7" ht="21" x14ac:dyDescent="0.25">
      <c r="A2555" s="2" t="str">
        <f>HYPERLINK("https://rth.dk/resources/bsgatlas/details.php?id=BSGatlas-gene-2554","BSGatlas-gene-2554")</f>
        <v>BSGatlas-gene-2554</v>
      </c>
      <c r="B2555" s="1" t="s">
        <v>2302</v>
      </c>
      <c r="C2555" s="1" t="s">
        <v>8</v>
      </c>
      <c r="D2555" s="1">
        <v>2287529</v>
      </c>
      <c r="E2555" s="1">
        <v>2288062</v>
      </c>
      <c r="F2555" s="1" t="s">
        <v>13</v>
      </c>
      <c r="G2555" s="1" t="s">
        <v>11409</v>
      </c>
    </row>
    <row r="2556" spans="1:7" ht="21" x14ac:dyDescent="0.25">
      <c r="A2556" s="2" t="str">
        <f>HYPERLINK("https://rth.dk/resources/bsgatlas/details.php?id=BSGatlas-gene-2555","BSGatlas-gene-2555")</f>
        <v>BSGatlas-gene-2555</v>
      </c>
      <c r="B2556" s="1" t="s">
        <v>2303</v>
      </c>
      <c r="C2556" s="1" t="s">
        <v>8</v>
      </c>
      <c r="D2556" s="1">
        <v>2288194</v>
      </c>
      <c r="E2556" s="1">
        <v>2288619</v>
      </c>
      <c r="F2556" s="1" t="s">
        <v>9</v>
      </c>
      <c r="G2556" s="1" t="s">
        <v>11409</v>
      </c>
    </row>
    <row r="2557" spans="1:7" ht="21" x14ac:dyDescent="0.25">
      <c r="A2557" s="2" t="str">
        <f>HYPERLINK("https://rth.dk/resources/bsgatlas/details.php?id=BSGatlas-gene-2556","BSGatlas-gene-2556")</f>
        <v>BSGatlas-gene-2556</v>
      </c>
      <c r="B2557" s="1" t="s">
        <v>2304</v>
      </c>
      <c r="C2557" s="1" t="s">
        <v>8</v>
      </c>
      <c r="D2557" s="1">
        <v>2288669</v>
      </c>
      <c r="E2557" s="1">
        <v>2290006</v>
      </c>
      <c r="F2557" s="1" t="s">
        <v>13</v>
      </c>
      <c r="G2557" s="1" t="s">
        <v>11409</v>
      </c>
    </row>
    <row r="2558" spans="1:7" ht="21" x14ac:dyDescent="0.25">
      <c r="A2558" s="2" t="str">
        <f>HYPERLINK("https://rth.dk/resources/bsgatlas/details.php?id=BSGatlas-gene-2557","BSGatlas-gene-2557")</f>
        <v>BSGatlas-gene-2557</v>
      </c>
      <c r="B2558" s="1" t="s">
        <v>2305</v>
      </c>
      <c r="C2558" s="1" t="s">
        <v>8</v>
      </c>
      <c r="D2558" s="1">
        <v>2290078</v>
      </c>
      <c r="E2558" s="1">
        <v>2290272</v>
      </c>
      <c r="F2558" s="1" t="s">
        <v>13</v>
      </c>
      <c r="G2558" s="1" t="s">
        <v>11409</v>
      </c>
    </row>
    <row r="2559" spans="1:7" ht="21" x14ac:dyDescent="0.25">
      <c r="A2559" s="2" t="str">
        <f>HYPERLINK("https://rth.dk/resources/bsgatlas/details.php?id=BSGatlas-gene-2558","BSGatlas-gene-2558")</f>
        <v>BSGatlas-gene-2558</v>
      </c>
      <c r="B2559" s="1" t="s">
        <v>2306</v>
      </c>
      <c r="C2559" s="1" t="s">
        <v>8</v>
      </c>
      <c r="D2559" s="1">
        <v>2290285</v>
      </c>
      <c r="E2559" s="1">
        <v>2290848</v>
      </c>
      <c r="F2559" s="1" t="s">
        <v>13</v>
      </c>
      <c r="G2559" s="1" t="s">
        <v>11409</v>
      </c>
    </row>
    <row r="2560" spans="1:7" ht="21" x14ac:dyDescent="0.25">
      <c r="A2560" s="2" t="str">
        <f>HYPERLINK("https://rth.dk/resources/bsgatlas/details.php?id=BSGatlas-gene-2559","BSGatlas-gene-2559")</f>
        <v>BSGatlas-gene-2559</v>
      </c>
      <c r="B2560" s="1" t="s">
        <v>2307</v>
      </c>
      <c r="C2560" s="1" t="s">
        <v>8</v>
      </c>
      <c r="D2560" s="1">
        <v>2290858</v>
      </c>
      <c r="E2560" s="1">
        <v>2291625</v>
      </c>
      <c r="F2560" s="1" t="s">
        <v>13</v>
      </c>
      <c r="G2560" s="1" t="s">
        <v>11409</v>
      </c>
    </row>
    <row r="2561" spans="1:7" ht="21" x14ac:dyDescent="0.25">
      <c r="A2561" s="2" t="str">
        <f>HYPERLINK("https://rth.dk/resources/bsgatlas/details.php?id=BSGatlas-gene-2560","BSGatlas-gene-2560")</f>
        <v>BSGatlas-gene-2560</v>
      </c>
      <c r="B2561" s="1" t="s">
        <v>2308</v>
      </c>
      <c r="C2561" s="1" t="s">
        <v>8</v>
      </c>
      <c r="D2561" s="1">
        <v>2291703</v>
      </c>
      <c r="E2561" s="1">
        <v>2292284</v>
      </c>
      <c r="F2561" s="1" t="s">
        <v>13</v>
      </c>
      <c r="G2561" s="1" t="s">
        <v>11409</v>
      </c>
    </row>
    <row r="2562" spans="1:7" ht="21" x14ac:dyDescent="0.25">
      <c r="A2562" s="2" t="str">
        <f>HYPERLINK("https://rth.dk/resources/bsgatlas/details.php?id=BSGatlas-gene-2561","BSGatlas-gene-2561")</f>
        <v>BSGatlas-gene-2561</v>
      </c>
      <c r="B2562" s="1" t="s">
        <v>2309</v>
      </c>
      <c r="C2562" s="1" t="s">
        <v>8</v>
      </c>
      <c r="D2562" s="1">
        <v>2292432</v>
      </c>
      <c r="E2562" s="1">
        <v>2292683</v>
      </c>
      <c r="F2562" s="1" t="s">
        <v>13</v>
      </c>
      <c r="G2562" s="1" t="s">
        <v>11409</v>
      </c>
    </row>
    <row r="2563" spans="1:7" ht="21" x14ac:dyDescent="0.25">
      <c r="A2563" s="2" t="str">
        <f>HYPERLINK("https://rth.dk/resources/bsgatlas/details.php?id=BSGatlas-gene-2562","BSGatlas-gene-2562")</f>
        <v>BSGatlas-gene-2562</v>
      </c>
      <c r="B2563" s="1" t="s">
        <v>2310</v>
      </c>
      <c r="C2563" s="1" t="s">
        <v>8</v>
      </c>
      <c r="D2563" s="1">
        <v>2292769</v>
      </c>
      <c r="E2563" s="1">
        <v>2294037</v>
      </c>
      <c r="F2563" s="1" t="s">
        <v>13</v>
      </c>
      <c r="G2563" s="1" t="s">
        <v>11409</v>
      </c>
    </row>
    <row r="2564" spans="1:7" ht="21" x14ac:dyDescent="0.25">
      <c r="A2564" s="2" t="str">
        <f>HYPERLINK("https://rth.dk/resources/bsgatlas/details.php?id=BSGatlas-gene-2563","BSGatlas-gene-2563")</f>
        <v>BSGatlas-gene-2563</v>
      </c>
      <c r="B2564" s="1" t="s">
        <v>2311</v>
      </c>
      <c r="C2564" s="1" t="s">
        <v>8</v>
      </c>
      <c r="D2564" s="1">
        <v>2294286</v>
      </c>
      <c r="E2564" s="1">
        <v>2295281</v>
      </c>
      <c r="F2564" s="1" t="s">
        <v>9</v>
      </c>
      <c r="G2564" s="1" t="s">
        <v>11409</v>
      </c>
    </row>
    <row r="2565" spans="1:7" ht="21" x14ac:dyDescent="0.25">
      <c r="A2565" s="2" t="str">
        <f>HYPERLINK("https://rth.dk/resources/bsgatlas/details.php?id=BSGatlas-gene-2564","BSGatlas-gene-2564")</f>
        <v>BSGatlas-gene-2564</v>
      </c>
      <c r="B2565" s="1" t="s">
        <v>2312</v>
      </c>
      <c r="C2565" s="1" t="s">
        <v>8</v>
      </c>
      <c r="D2565" s="1">
        <v>2295302</v>
      </c>
      <c r="E2565" s="1">
        <v>2295943</v>
      </c>
      <c r="F2565" s="1" t="s">
        <v>9</v>
      </c>
      <c r="G2565" s="1" t="s">
        <v>11409</v>
      </c>
    </row>
    <row r="2566" spans="1:7" ht="21" x14ac:dyDescent="0.25">
      <c r="A2566" s="2" t="str">
        <f>HYPERLINK("https://rth.dk/resources/bsgatlas/details.php?id=BSGatlas-gene-2565","BSGatlas-gene-2565")</f>
        <v>BSGatlas-gene-2565</v>
      </c>
      <c r="B2566" s="1" t="s">
        <v>2313</v>
      </c>
      <c r="C2566" s="1" t="s">
        <v>8</v>
      </c>
      <c r="D2566" s="1">
        <v>2295982</v>
      </c>
      <c r="E2566" s="1">
        <v>2296602</v>
      </c>
      <c r="F2566" s="1" t="s">
        <v>13</v>
      </c>
      <c r="G2566" s="1" t="s">
        <v>11409</v>
      </c>
    </row>
    <row r="2567" spans="1:7" ht="21" x14ac:dyDescent="0.25">
      <c r="A2567" s="2" t="str">
        <f>HYPERLINK("https://rth.dk/resources/bsgatlas/details.php?id=BSGatlas-gene-2566","BSGatlas-gene-2566")</f>
        <v>BSGatlas-gene-2566</v>
      </c>
      <c r="B2567" s="1" t="s">
        <v>2314</v>
      </c>
      <c r="C2567" s="1" t="s">
        <v>8</v>
      </c>
      <c r="D2567" s="1">
        <v>2296603</v>
      </c>
      <c r="E2567" s="1">
        <v>2297109</v>
      </c>
      <c r="F2567" s="1" t="s">
        <v>13</v>
      </c>
      <c r="G2567" s="1" t="s">
        <v>11409</v>
      </c>
    </row>
    <row r="2568" spans="1:7" ht="21" x14ac:dyDescent="0.25">
      <c r="A2568" s="2" t="str">
        <f>HYPERLINK("https://rth.dk/resources/bsgatlas/details.php?id=BSGatlas-gene-2567","BSGatlas-gene-2567")</f>
        <v>BSGatlas-gene-2567</v>
      </c>
      <c r="B2568" s="1" t="s">
        <v>2315</v>
      </c>
      <c r="C2568" s="1" t="s">
        <v>8</v>
      </c>
      <c r="D2568" s="1">
        <v>2297106</v>
      </c>
      <c r="E2568" s="1">
        <v>2297900</v>
      </c>
      <c r="F2568" s="1" t="s">
        <v>13</v>
      </c>
      <c r="G2568" s="1" t="s">
        <v>11409</v>
      </c>
    </row>
    <row r="2569" spans="1:7" ht="21" x14ac:dyDescent="0.25">
      <c r="A2569" s="2" t="str">
        <f>HYPERLINK("https://rth.dk/resources/bsgatlas/details.php?id=BSGatlas-gene-2568","BSGatlas-gene-2568")</f>
        <v>BSGatlas-gene-2568</v>
      </c>
      <c r="B2569" s="1" t="s">
        <v>2316</v>
      </c>
      <c r="C2569" s="1" t="s">
        <v>8</v>
      </c>
      <c r="D2569" s="1">
        <v>2297984</v>
      </c>
      <c r="E2569" s="1">
        <v>2298517</v>
      </c>
      <c r="F2569" s="1" t="s">
        <v>13</v>
      </c>
      <c r="G2569" s="1" t="s">
        <v>11409</v>
      </c>
    </row>
    <row r="2570" spans="1:7" ht="21" x14ac:dyDescent="0.25">
      <c r="A2570" s="2" t="str">
        <f>HYPERLINK("https://rth.dk/resources/bsgatlas/details.php?id=BSGatlas-gene-2569","BSGatlas-gene-2569")</f>
        <v>BSGatlas-gene-2569</v>
      </c>
      <c r="B2570" s="1" t="s">
        <v>2317</v>
      </c>
      <c r="C2570" s="1" t="s">
        <v>8</v>
      </c>
      <c r="D2570" s="1">
        <v>2298535</v>
      </c>
      <c r="E2570" s="1">
        <v>2299146</v>
      </c>
      <c r="F2570" s="1" t="s">
        <v>13</v>
      </c>
      <c r="G2570" s="1" t="s">
        <v>11409</v>
      </c>
    </row>
    <row r="2571" spans="1:7" ht="21" x14ac:dyDescent="0.25">
      <c r="A2571" s="2" t="str">
        <f>HYPERLINK("https://rth.dk/resources/bsgatlas/details.php?id=BSGatlas-gene-2570","BSGatlas-gene-2570")</f>
        <v>BSGatlas-gene-2570</v>
      </c>
      <c r="B2571" s="1" t="s">
        <v>2318</v>
      </c>
      <c r="C2571" s="1" t="s">
        <v>12</v>
      </c>
      <c r="D2571" s="1">
        <v>2299176</v>
      </c>
      <c r="E2571" s="1">
        <v>2299416</v>
      </c>
      <c r="F2571" s="1" t="s">
        <v>9</v>
      </c>
      <c r="G2571" s="1" t="s">
        <v>11442</v>
      </c>
    </row>
    <row r="2572" spans="1:7" ht="21" x14ac:dyDescent="0.25">
      <c r="A2572" s="2" t="str">
        <f>HYPERLINK("https://rth.dk/resources/bsgatlas/details.php?id=BSGatlas-gene-2571","BSGatlas-gene-2571")</f>
        <v>BSGatlas-gene-2571</v>
      </c>
      <c r="B2572" s="1" t="s">
        <v>2319</v>
      </c>
      <c r="C2572" s="1" t="s">
        <v>8</v>
      </c>
      <c r="D2572" s="1">
        <v>2299406</v>
      </c>
      <c r="E2572" s="1">
        <v>2300179</v>
      </c>
      <c r="F2572" s="1" t="s">
        <v>13</v>
      </c>
      <c r="G2572" s="1" t="s">
        <v>11409</v>
      </c>
    </row>
    <row r="2573" spans="1:7" ht="21" x14ac:dyDescent="0.25">
      <c r="A2573" s="2" t="str">
        <f>HYPERLINK("https://rth.dk/resources/bsgatlas/details.php?id=BSGatlas-gene-2572","BSGatlas-gene-2572")</f>
        <v>BSGatlas-gene-2572</v>
      </c>
      <c r="B2573" s="1" t="s">
        <v>2320</v>
      </c>
      <c r="C2573" s="1" t="s">
        <v>8</v>
      </c>
      <c r="D2573" s="1">
        <v>2300221</v>
      </c>
      <c r="E2573" s="1">
        <v>2300655</v>
      </c>
      <c r="F2573" s="1" t="s">
        <v>13</v>
      </c>
      <c r="G2573" s="1" t="s">
        <v>11409</v>
      </c>
    </row>
    <row r="2574" spans="1:7" ht="21" x14ac:dyDescent="0.25">
      <c r="A2574" s="2" t="str">
        <f>HYPERLINK("https://rth.dk/resources/bsgatlas/details.php?id=BSGatlas-gene-2573","BSGatlas-gene-2573")</f>
        <v>BSGatlas-gene-2573</v>
      </c>
      <c r="B2574" s="1" t="s">
        <v>2321</v>
      </c>
      <c r="C2574" s="1" t="s">
        <v>8</v>
      </c>
      <c r="D2574" s="1">
        <v>2300762</v>
      </c>
      <c r="E2574" s="1">
        <v>2302438</v>
      </c>
      <c r="F2574" s="1" t="s">
        <v>13</v>
      </c>
      <c r="G2574" s="1" t="s">
        <v>11409</v>
      </c>
    </row>
    <row r="2575" spans="1:7" ht="21" x14ac:dyDescent="0.25">
      <c r="A2575" s="2" t="str">
        <f>HYPERLINK("https://rth.dk/resources/bsgatlas/details.php?id=BSGatlas-gene-2574","BSGatlas-gene-2574")</f>
        <v>BSGatlas-gene-2574</v>
      </c>
      <c r="B2575" s="1" t="s">
        <v>2322</v>
      </c>
      <c r="C2575" s="1" t="s">
        <v>8</v>
      </c>
      <c r="D2575" s="1">
        <v>2302727</v>
      </c>
      <c r="E2575" s="1">
        <v>2303860</v>
      </c>
      <c r="F2575" s="1" t="s">
        <v>13</v>
      </c>
      <c r="G2575" s="1" t="s">
        <v>11409</v>
      </c>
    </row>
    <row r="2576" spans="1:7" ht="21" x14ac:dyDescent="0.25">
      <c r="A2576" s="2" t="str">
        <f>HYPERLINK("https://rth.dk/resources/bsgatlas/details.php?id=BSGatlas-gene-2575","BSGatlas-gene-2575")</f>
        <v>BSGatlas-gene-2575</v>
      </c>
      <c r="B2576" s="1" t="s">
        <v>2323</v>
      </c>
      <c r="C2576" s="1" t="s">
        <v>8</v>
      </c>
      <c r="D2576" s="1">
        <v>2303920</v>
      </c>
      <c r="E2576" s="1">
        <v>2304537</v>
      </c>
      <c r="F2576" s="1" t="s">
        <v>13</v>
      </c>
      <c r="G2576" s="1" t="s">
        <v>11409</v>
      </c>
    </row>
    <row r="2577" spans="1:7" ht="21" x14ac:dyDescent="0.25">
      <c r="A2577" s="2" t="str">
        <f>HYPERLINK("https://rth.dk/resources/bsgatlas/details.php?id=BSGatlas-gene-2576","BSGatlas-gene-2576")</f>
        <v>BSGatlas-gene-2576</v>
      </c>
      <c r="B2577" s="1" t="s">
        <v>2324</v>
      </c>
      <c r="C2577" s="1" t="s">
        <v>8</v>
      </c>
      <c r="D2577" s="1">
        <v>2304553</v>
      </c>
      <c r="E2577" s="1">
        <v>2305035</v>
      </c>
      <c r="F2577" s="1" t="s">
        <v>13</v>
      </c>
      <c r="G2577" s="1" t="s">
        <v>11409</v>
      </c>
    </row>
    <row r="2578" spans="1:7" ht="21" x14ac:dyDescent="0.25">
      <c r="A2578" s="2" t="str">
        <f>HYPERLINK("https://rth.dk/resources/bsgatlas/details.php?id=BSGatlas-gene-2577","BSGatlas-gene-2577")</f>
        <v>BSGatlas-gene-2577</v>
      </c>
      <c r="B2578" s="1" t="s">
        <v>2325</v>
      </c>
      <c r="C2578" s="1" t="s">
        <v>8</v>
      </c>
      <c r="D2578" s="1">
        <v>2305378</v>
      </c>
      <c r="E2578" s="1">
        <v>2306283</v>
      </c>
      <c r="F2578" s="1" t="s">
        <v>9</v>
      </c>
      <c r="G2578" s="1" t="s">
        <v>11409</v>
      </c>
    </row>
    <row r="2579" spans="1:7" ht="21" x14ac:dyDescent="0.25">
      <c r="A2579" s="2" t="str">
        <f>HYPERLINK("https://rth.dk/resources/bsgatlas/details.php?id=BSGatlas-gene-2578","BSGatlas-gene-2578")</f>
        <v>BSGatlas-gene-2578</v>
      </c>
      <c r="B2579" s="1" t="s">
        <v>2326</v>
      </c>
      <c r="C2579" s="1" t="s">
        <v>8</v>
      </c>
      <c r="D2579" s="1">
        <v>2306514</v>
      </c>
      <c r="E2579" s="1">
        <v>2307662</v>
      </c>
      <c r="F2579" s="1" t="s">
        <v>9</v>
      </c>
      <c r="G2579" s="1" t="s">
        <v>11409</v>
      </c>
    </row>
    <row r="2580" spans="1:7" ht="21" x14ac:dyDescent="0.25">
      <c r="A2580" s="2" t="str">
        <f>HYPERLINK("https://rth.dk/resources/bsgatlas/details.php?id=BSGatlas-gene-2579","BSGatlas-gene-2579")</f>
        <v>BSGatlas-gene-2579</v>
      </c>
      <c r="B2580" s="1" t="s">
        <v>2327</v>
      </c>
      <c r="C2580" s="1" t="s">
        <v>12</v>
      </c>
      <c r="D2580" s="1">
        <v>2307661</v>
      </c>
      <c r="E2580" s="1">
        <v>2307813</v>
      </c>
      <c r="F2580" s="1" t="s">
        <v>13</v>
      </c>
      <c r="G2580" s="1" t="s">
        <v>11442</v>
      </c>
    </row>
    <row r="2581" spans="1:7" ht="21" x14ac:dyDescent="0.25">
      <c r="A2581" s="2" t="str">
        <f>HYPERLINK("https://rth.dk/resources/bsgatlas/details.php?id=BSGatlas-gene-2580","BSGatlas-gene-2580")</f>
        <v>BSGatlas-gene-2580</v>
      </c>
      <c r="B2581" s="1" t="s">
        <v>318</v>
      </c>
      <c r="C2581" s="1" t="s">
        <v>8</v>
      </c>
      <c r="D2581" s="1">
        <v>2307743</v>
      </c>
      <c r="E2581" s="1">
        <v>2307889</v>
      </c>
      <c r="F2581" s="1" t="s">
        <v>9</v>
      </c>
      <c r="G2581" s="1" t="s">
        <v>11441</v>
      </c>
    </row>
    <row r="2582" spans="1:7" ht="21" x14ac:dyDescent="0.25">
      <c r="A2582" s="2" t="str">
        <f>HYPERLINK("https://rth.dk/resources/bsgatlas/details.php?id=BSGatlas-gene-2581","BSGatlas-gene-2581")</f>
        <v>BSGatlas-gene-2581</v>
      </c>
      <c r="B2582" s="1" t="s">
        <v>593</v>
      </c>
      <c r="C2582" s="1" t="s">
        <v>34</v>
      </c>
      <c r="D2582" s="1">
        <v>2307752</v>
      </c>
      <c r="E2582" s="1">
        <v>2308164</v>
      </c>
      <c r="F2582" s="1" t="s">
        <v>9</v>
      </c>
      <c r="G2582" s="1" t="s">
        <v>11498</v>
      </c>
    </row>
    <row r="2583" spans="1:7" ht="21" x14ac:dyDescent="0.25">
      <c r="A2583" s="2" t="str">
        <f>HYPERLINK("https://rth.dk/resources/bsgatlas/details.php?id=BSGatlas-gene-2582","BSGatlas-gene-2582")</f>
        <v>BSGatlas-gene-2582</v>
      </c>
      <c r="B2583" s="1" t="s">
        <v>2328</v>
      </c>
      <c r="C2583" s="1" t="s">
        <v>8</v>
      </c>
      <c r="D2583" s="1">
        <v>2307905</v>
      </c>
      <c r="E2583" s="1">
        <v>2308105</v>
      </c>
      <c r="F2583" s="1" t="s">
        <v>9</v>
      </c>
      <c r="G2583" s="1" t="s">
        <v>11409</v>
      </c>
    </row>
    <row r="2584" spans="1:7" ht="21" x14ac:dyDescent="0.25">
      <c r="A2584" s="2" t="str">
        <f>HYPERLINK("https://rth.dk/resources/bsgatlas/details.php?id=BSGatlas-gene-2583","BSGatlas-gene-2583")</f>
        <v>BSGatlas-gene-2583</v>
      </c>
      <c r="B2584" s="1" t="s">
        <v>2329</v>
      </c>
      <c r="C2584" s="1" t="s">
        <v>8</v>
      </c>
      <c r="D2584" s="1">
        <v>2308157</v>
      </c>
      <c r="E2584" s="1">
        <v>2308339</v>
      </c>
      <c r="F2584" s="1" t="s">
        <v>13</v>
      </c>
      <c r="G2584" s="1" t="s">
        <v>11409</v>
      </c>
    </row>
    <row r="2585" spans="1:7" ht="21" x14ac:dyDescent="0.25">
      <c r="A2585" s="2" t="str">
        <f>HYPERLINK("https://rth.dk/resources/bsgatlas/details.php?id=BSGatlas-gene-2584","BSGatlas-gene-2584")</f>
        <v>BSGatlas-gene-2584</v>
      </c>
      <c r="B2585" s="1" t="s">
        <v>2330</v>
      </c>
      <c r="C2585" s="1" t="s">
        <v>8</v>
      </c>
      <c r="D2585" s="1">
        <v>2308495</v>
      </c>
      <c r="E2585" s="1">
        <v>2308764</v>
      </c>
      <c r="F2585" s="1" t="s">
        <v>9</v>
      </c>
      <c r="G2585" s="1" t="s">
        <v>11409</v>
      </c>
    </row>
    <row r="2586" spans="1:7" ht="21" x14ac:dyDescent="0.25">
      <c r="A2586" s="2" t="str">
        <f>HYPERLINK("https://rth.dk/resources/bsgatlas/details.php?id=BSGatlas-gene-2585","BSGatlas-gene-2585")</f>
        <v>BSGatlas-gene-2585</v>
      </c>
      <c r="B2586" s="1" t="s">
        <v>2331</v>
      </c>
      <c r="C2586" s="1" t="s">
        <v>8</v>
      </c>
      <c r="D2586" s="1">
        <v>2308792</v>
      </c>
      <c r="E2586" s="1">
        <v>2308974</v>
      </c>
      <c r="F2586" s="1" t="s">
        <v>13</v>
      </c>
      <c r="G2586" s="1" t="s">
        <v>11409</v>
      </c>
    </row>
    <row r="2587" spans="1:7" ht="21" x14ac:dyDescent="0.25">
      <c r="A2587" s="2" t="str">
        <f>HYPERLINK("https://rth.dk/resources/bsgatlas/details.php?id=BSGatlas-gene-2586","BSGatlas-gene-2586")</f>
        <v>BSGatlas-gene-2586</v>
      </c>
      <c r="B2587" s="1" t="s">
        <v>2332</v>
      </c>
      <c r="C2587" s="1" t="s">
        <v>8</v>
      </c>
      <c r="D2587" s="1">
        <v>2308967</v>
      </c>
      <c r="E2587" s="1">
        <v>2309647</v>
      </c>
      <c r="F2587" s="1" t="s">
        <v>13</v>
      </c>
      <c r="G2587" s="1" t="s">
        <v>11409</v>
      </c>
    </row>
    <row r="2588" spans="1:7" ht="21" x14ac:dyDescent="0.25">
      <c r="A2588" s="2" t="str">
        <f>HYPERLINK("https://rth.dk/resources/bsgatlas/details.php?id=BSGatlas-gene-2587","BSGatlas-gene-2587")</f>
        <v>BSGatlas-gene-2587</v>
      </c>
      <c r="B2588" s="1" t="s">
        <v>2333</v>
      </c>
      <c r="C2588" s="1" t="s">
        <v>8</v>
      </c>
      <c r="D2588" s="1">
        <v>2309730</v>
      </c>
      <c r="E2588" s="1">
        <v>2310419</v>
      </c>
      <c r="F2588" s="1" t="s">
        <v>9</v>
      </c>
      <c r="G2588" s="1" t="s">
        <v>11409</v>
      </c>
    </row>
    <row r="2589" spans="1:7" ht="21" x14ac:dyDescent="0.25">
      <c r="A2589" s="2" t="str">
        <f>HYPERLINK("https://rth.dk/resources/bsgatlas/details.php?id=BSGatlas-gene-2588","BSGatlas-gene-2588")</f>
        <v>BSGatlas-gene-2588</v>
      </c>
      <c r="B2589" s="1" t="s">
        <v>2334</v>
      </c>
      <c r="C2589" s="1" t="s">
        <v>8</v>
      </c>
      <c r="D2589" s="1">
        <v>2310419</v>
      </c>
      <c r="E2589" s="1">
        <v>2310817</v>
      </c>
      <c r="F2589" s="1" t="s">
        <v>9</v>
      </c>
      <c r="G2589" s="1" t="s">
        <v>11409</v>
      </c>
    </row>
    <row r="2590" spans="1:7" ht="21" x14ac:dyDescent="0.25">
      <c r="A2590" s="2" t="str">
        <f>HYPERLINK("https://rth.dk/resources/bsgatlas/details.php?id=BSGatlas-gene-2589","BSGatlas-gene-2589")</f>
        <v>BSGatlas-gene-2589</v>
      </c>
      <c r="B2590" s="1" t="s">
        <v>2335</v>
      </c>
      <c r="C2590" s="1" t="s">
        <v>8</v>
      </c>
      <c r="D2590" s="1">
        <v>2310859</v>
      </c>
      <c r="E2590" s="1">
        <v>2310987</v>
      </c>
      <c r="F2590" s="1" t="s">
        <v>9</v>
      </c>
      <c r="G2590" s="1" t="s">
        <v>11409</v>
      </c>
    </row>
    <row r="2591" spans="1:7" ht="21" x14ac:dyDescent="0.25">
      <c r="A2591" s="2" t="str">
        <f>HYPERLINK("https://rth.dk/resources/bsgatlas/details.php?id=BSGatlas-gene-2590","BSGatlas-gene-2590")</f>
        <v>BSGatlas-gene-2590</v>
      </c>
      <c r="B2591" s="1" t="s">
        <v>2336</v>
      </c>
      <c r="C2591" s="1" t="s">
        <v>8</v>
      </c>
      <c r="D2591" s="1">
        <v>2310995</v>
      </c>
      <c r="E2591" s="1">
        <v>2311885</v>
      </c>
      <c r="F2591" s="1" t="s">
        <v>13</v>
      </c>
      <c r="G2591" s="1" t="s">
        <v>11409</v>
      </c>
    </row>
    <row r="2592" spans="1:7" ht="21" x14ac:dyDescent="0.25">
      <c r="A2592" s="2" t="str">
        <f>HYPERLINK("https://rth.dk/resources/bsgatlas/details.php?id=BSGatlas-gene-2591","BSGatlas-gene-2591")</f>
        <v>BSGatlas-gene-2591</v>
      </c>
      <c r="B2592" s="1" t="s">
        <v>2337</v>
      </c>
      <c r="C2592" s="1" t="s">
        <v>8</v>
      </c>
      <c r="D2592" s="1">
        <v>2311986</v>
      </c>
      <c r="E2592" s="1">
        <v>2312132</v>
      </c>
      <c r="F2592" s="1" t="s">
        <v>13</v>
      </c>
      <c r="G2592" s="1" t="s">
        <v>11409</v>
      </c>
    </row>
    <row r="2593" spans="1:7" ht="21" x14ac:dyDescent="0.25">
      <c r="A2593" s="2" t="str">
        <f>HYPERLINK("https://rth.dk/resources/bsgatlas/details.php?id=BSGatlas-gene-2592","BSGatlas-gene-2592")</f>
        <v>BSGatlas-gene-2592</v>
      </c>
      <c r="B2593" s="1" t="s">
        <v>2338</v>
      </c>
      <c r="C2593" s="1" t="s">
        <v>8</v>
      </c>
      <c r="D2593" s="1">
        <v>2312207</v>
      </c>
      <c r="E2593" s="1">
        <v>2312464</v>
      </c>
      <c r="F2593" s="1" t="s">
        <v>13</v>
      </c>
      <c r="G2593" s="1" t="s">
        <v>11409</v>
      </c>
    </row>
    <row r="2594" spans="1:7" ht="21" x14ac:dyDescent="0.25">
      <c r="A2594" s="2" t="str">
        <f>HYPERLINK("https://rth.dk/resources/bsgatlas/details.php?id=BSGatlas-gene-2593","BSGatlas-gene-2593")</f>
        <v>BSGatlas-gene-2593</v>
      </c>
      <c r="B2594" s="1" t="s">
        <v>2339</v>
      </c>
      <c r="C2594" s="1" t="s">
        <v>8</v>
      </c>
      <c r="D2594" s="1">
        <v>2312529</v>
      </c>
      <c r="E2594" s="1">
        <v>2316110</v>
      </c>
      <c r="F2594" s="1" t="s">
        <v>13</v>
      </c>
      <c r="G2594" s="1" t="s">
        <v>11409</v>
      </c>
    </row>
    <row r="2595" spans="1:7" ht="21" x14ac:dyDescent="0.25">
      <c r="A2595" s="2" t="str">
        <f>HYPERLINK("https://rth.dk/resources/bsgatlas/details.php?id=BSGatlas-gene-2594","BSGatlas-gene-2594")</f>
        <v>BSGatlas-gene-2594</v>
      </c>
      <c r="B2595" s="1" t="s">
        <v>2340</v>
      </c>
      <c r="C2595" s="1" t="s">
        <v>8</v>
      </c>
      <c r="D2595" s="1">
        <v>2316286</v>
      </c>
      <c r="E2595" s="1">
        <v>2316375</v>
      </c>
      <c r="F2595" s="1" t="s">
        <v>13</v>
      </c>
      <c r="G2595" s="1" t="s">
        <v>11409</v>
      </c>
    </row>
    <row r="2596" spans="1:7" ht="21" x14ac:dyDescent="0.25">
      <c r="A2596" s="2" t="str">
        <f>HYPERLINK("https://rth.dk/resources/bsgatlas/details.php?id=BSGatlas-gene-2595","BSGatlas-gene-2595")</f>
        <v>BSGatlas-gene-2595</v>
      </c>
      <c r="B2596" s="1" t="s">
        <v>2341</v>
      </c>
      <c r="C2596" s="1" t="s">
        <v>12</v>
      </c>
      <c r="D2596" s="1">
        <v>2316348</v>
      </c>
      <c r="E2596" s="1">
        <v>2316407</v>
      </c>
      <c r="F2596" s="1" t="s">
        <v>13</v>
      </c>
      <c r="G2596" s="1" t="s">
        <v>11442</v>
      </c>
    </row>
    <row r="2597" spans="1:7" ht="21" x14ac:dyDescent="0.25">
      <c r="A2597" s="2" t="str">
        <f>HYPERLINK("https://rth.dk/resources/bsgatlas/details.php?id=BSGatlas-gene-2596","BSGatlas-gene-2596")</f>
        <v>BSGatlas-gene-2596</v>
      </c>
      <c r="B2597" s="1" t="s">
        <v>2342</v>
      </c>
      <c r="C2597" s="1" t="s">
        <v>8</v>
      </c>
      <c r="D2597" s="1">
        <v>2316446</v>
      </c>
      <c r="E2597" s="1">
        <v>2316952</v>
      </c>
      <c r="F2597" s="1" t="s">
        <v>13</v>
      </c>
      <c r="G2597" s="1" t="s">
        <v>11409</v>
      </c>
    </row>
    <row r="2598" spans="1:7" ht="21" x14ac:dyDescent="0.25">
      <c r="A2598" s="2" t="str">
        <f>HYPERLINK("https://rth.dk/resources/bsgatlas/details.php?id=BSGatlas-gene-2597","BSGatlas-gene-2597")</f>
        <v>BSGatlas-gene-2597</v>
      </c>
      <c r="B2598" s="1" t="s">
        <v>2343</v>
      </c>
      <c r="C2598" s="1" t="s">
        <v>8</v>
      </c>
      <c r="D2598" s="1">
        <v>2316956</v>
      </c>
      <c r="E2598" s="1">
        <v>2318053</v>
      </c>
      <c r="F2598" s="1" t="s">
        <v>13</v>
      </c>
      <c r="G2598" s="1" t="s">
        <v>11409</v>
      </c>
    </row>
    <row r="2599" spans="1:7" ht="21" x14ac:dyDescent="0.25">
      <c r="A2599" s="2" t="str">
        <f>HYPERLINK("https://rth.dk/resources/bsgatlas/details.php?id=BSGatlas-gene-2598","BSGatlas-gene-2598")</f>
        <v>BSGatlas-gene-2598</v>
      </c>
      <c r="B2599" s="1" t="s">
        <v>2344</v>
      </c>
      <c r="C2599" s="1" t="s">
        <v>8</v>
      </c>
      <c r="D2599" s="1">
        <v>2318127</v>
      </c>
      <c r="E2599" s="1">
        <v>2319443</v>
      </c>
      <c r="F2599" s="1" t="s">
        <v>13</v>
      </c>
      <c r="G2599" s="1" t="s">
        <v>11409</v>
      </c>
    </row>
    <row r="2600" spans="1:7" ht="21" x14ac:dyDescent="0.25">
      <c r="A2600" s="2" t="str">
        <f>HYPERLINK("https://rth.dk/resources/bsgatlas/details.php?id=BSGatlas-gene-2599","BSGatlas-gene-2599")</f>
        <v>BSGatlas-gene-2599</v>
      </c>
      <c r="B2600" s="1" t="s">
        <v>2345</v>
      </c>
      <c r="C2600" s="1" t="s">
        <v>8</v>
      </c>
      <c r="D2600" s="1">
        <v>2319440</v>
      </c>
      <c r="E2600" s="1">
        <v>2320024</v>
      </c>
      <c r="F2600" s="1" t="s">
        <v>13</v>
      </c>
      <c r="G2600" s="1" t="s">
        <v>11409</v>
      </c>
    </row>
    <row r="2601" spans="1:7" ht="21" x14ac:dyDescent="0.25">
      <c r="A2601" s="2" t="str">
        <f>HYPERLINK("https://rth.dk/resources/bsgatlas/details.php?id=BSGatlas-gene-2600","BSGatlas-gene-2600")</f>
        <v>BSGatlas-gene-2600</v>
      </c>
      <c r="B2601" s="1" t="s">
        <v>2346</v>
      </c>
      <c r="C2601" s="1" t="s">
        <v>34</v>
      </c>
      <c r="D2601" s="1">
        <v>2320113</v>
      </c>
      <c r="E2601" s="1">
        <v>2320213</v>
      </c>
      <c r="F2601" s="1" t="s">
        <v>13</v>
      </c>
      <c r="G2601" s="1" t="s">
        <v>11464</v>
      </c>
    </row>
    <row r="2602" spans="1:7" ht="21" x14ac:dyDescent="0.25">
      <c r="A2602" s="2" t="str">
        <f>HYPERLINK("https://rth.dk/resources/bsgatlas/details.php?id=BSGatlas-gene-2601","BSGatlas-gene-2601")</f>
        <v>BSGatlas-gene-2601</v>
      </c>
      <c r="B2602" s="1" t="s">
        <v>2347</v>
      </c>
      <c r="C2602" s="1" t="s">
        <v>8</v>
      </c>
      <c r="D2602" s="1">
        <v>2320355</v>
      </c>
      <c r="E2602" s="1">
        <v>2321860</v>
      </c>
      <c r="F2602" s="1" t="s">
        <v>13</v>
      </c>
      <c r="G2602" s="1" t="s">
        <v>11409</v>
      </c>
    </row>
    <row r="2603" spans="1:7" ht="21" x14ac:dyDescent="0.25">
      <c r="A2603" s="2" t="str">
        <f>HYPERLINK("https://rth.dk/resources/bsgatlas/details.php?id=BSGatlas-gene-2602","BSGatlas-gene-2602")</f>
        <v>BSGatlas-gene-2602</v>
      </c>
      <c r="B2603" s="1" t="s">
        <v>2348</v>
      </c>
      <c r="C2603" s="1" t="s">
        <v>8</v>
      </c>
      <c r="D2603" s="1">
        <v>2321972</v>
      </c>
      <c r="E2603" s="1">
        <v>2322964</v>
      </c>
      <c r="F2603" s="1" t="s">
        <v>13</v>
      </c>
      <c r="G2603" s="1" t="s">
        <v>11409</v>
      </c>
    </row>
    <row r="2604" spans="1:7" ht="21" x14ac:dyDescent="0.25">
      <c r="A2604" s="2" t="str">
        <f>HYPERLINK("https://rth.dk/resources/bsgatlas/details.php?id=BSGatlas-gene-2603","BSGatlas-gene-2603")</f>
        <v>BSGatlas-gene-2603</v>
      </c>
      <c r="B2604" s="1" t="s">
        <v>2349</v>
      </c>
      <c r="C2604" s="1" t="s">
        <v>8</v>
      </c>
      <c r="D2604" s="1">
        <v>2323009</v>
      </c>
      <c r="E2604" s="1">
        <v>2323599</v>
      </c>
      <c r="F2604" s="1" t="s">
        <v>13</v>
      </c>
      <c r="G2604" s="1" t="s">
        <v>11409</v>
      </c>
    </row>
    <row r="2605" spans="1:7" ht="21" x14ac:dyDescent="0.25">
      <c r="A2605" s="2" t="str">
        <f>HYPERLINK("https://rth.dk/resources/bsgatlas/details.php?id=BSGatlas-gene-2604","BSGatlas-gene-2604")</f>
        <v>BSGatlas-gene-2604</v>
      </c>
      <c r="B2605" s="1" t="s">
        <v>2350</v>
      </c>
      <c r="C2605" s="1" t="s">
        <v>8</v>
      </c>
      <c r="D2605" s="1">
        <v>2323601</v>
      </c>
      <c r="E2605" s="1">
        <v>2324575</v>
      </c>
      <c r="F2605" s="1" t="s">
        <v>13</v>
      </c>
      <c r="G2605" s="1" t="s">
        <v>11409</v>
      </c>
    </row>
    <row r="2606" spans="1:7" ht="21" x14ac:dyDescent="0.25">
      <c r="A2606" s="2" t="str">
        <f>HYPERLINK("https://rth.dk/resources/bsgatlas/details.php?id=BSGatlas-gene-2605","BSGatlas-gene-2605")</f>
        <v>BSGatlas-gene-2605</v>
      </c>
      <c r="B2606" s="1" t="s">
        <v>2351</v>
      </c>
      <c r="C2606" s="1" t="s">
        <v>8</v>
      </c>
      <c r="D2606" s="1">
        <v>2324613</v>
      </c>
      <c r="E2606" s="1">
        <v>2325632</v>
      </c>
      <c r="F2606" s="1" t="s">
        <v>13</v>
      </c>
      <c r="G2606" s="1" t="s">
        <v>11409</v>
      </c>
    </row>
    <row r="2607" spans="1:7" ht="21" x14ac:dyDescent="0.25">
      <c r="A2607" s="2" t="str">
        <f>HYPERLINK("https://rth.dk/resources/bsgatlas/details.php?id=BSGatlas-gene-2606","BSGatlas-gene-2606")</f>
        <v>BSGatlas-gene-2606</v>
      </c>
      <c r="B2607" s="1" t="s">
        <v>2352</v>
      </c>
      <c r="C2607" s="1" t="s">
        <v>8</v>
      </c>
      <c r="D2607" s="1">
        <v>2325854</v>
      </c>
      <c r="E2607" s="1">
        <v>2326681</v>
      </c>
      <c r="F2607" s="1" t="s">
        <v>9</v>
      </c>
      <c r="G2607" s="1" t="s">
        <v>11409</v>
      </c>
    </row>
    <row r="2608" spans="1:7" ht="21" x14ac:dyDescent="0.25">
      <c r="A2608" s="2" t="str">
        <f>HYPERLINK("https://rth.dk/resources/bsgatlas/details.php?id=BSGatlas-gene-2607","BSGatlas-gene-2607")</f>
        <v>BSGatlas-gene-2607</v>
      </c>
      <c r="B2608" s="1" t="s">
        <v>2353</v>
      </c>
      <c r="C2608" s="1" t="s">
        <v>8</v>
      </c>
      <c r="D2608" s="1">
        <v>2326683</v>
      </c>
      <c r="E2608" s="1">
        <v>2327447</v>
      </c>
      <c r="F2608" s="1" t="s">
        <v>9</v>
      </c>
      <c r="G2608" s="1" t="s">
        <v>11409</v>
      </c>
    </row>
    <row r="2609" spans="1:7" ht="21" x14ac:dyDescent="0.25">
      <c r="A2609" s="2" t="str">
        <f>HYPERLINK("https://rth.dk/resources/bsgatlas/details.php?id=BSGatlas-gene-2608","BSGatlas-gene-2608")</f>
        <v>BSGatlas-gene-2608</v>
      </c>
      <c r="B2609" s="1" t="s">
        <v>2354</v>
      </c>
      <c r="C2609" s="1" t="s">
        <v>8</v>
      </c>
      <c r="D2609" s="1">
        <v>2327488</v>
      </c>
      <c r="E2609" s="1">
        <v>2329413</v>
      </c>
      <c r="F2609" s="1" t="s">
        <v>13</v>
      </c>
      <c r="G2609" s="1" t="s">
        <v>11409</v>
      </c>
    </row>
    <row r="2610" spans="1:7" ht="21" x14ac:dyDescent="0.25">
      <c r="A2610" s="2" t="str">
        <f>HYPERLINK("https://rth.dk/resources/bsgatlas/details.php?id=BSGatlas-gene-2609","BSGatlas-gene-2609")</f>
        <v>BSGatlas-gene-2609</v>
      </c>
      <c r="B2610" s="1" t="s">
        <v>2355</v>
      </c>
      <c r="C2610" s="1" t="s">
        <v>8</v>
      </c>
      <c r="D2610" s="1">
        <v>2329515</v>
      </c>
      <c r="E2610" s="1">
        <v>2329706</v>
      </c>
      <c r="F2610" s="1" t="s">
        <v>13</v>
      </c>
      <c r="G2610" s="1" t="s">
        <v>11409</v>
      </c>
    </row>
    <row r="2611" spans="1:7" ht="21" x14ac:dyDescent="0.25">
      <c r="A2611" s="2" t="str">
        <f>HYPERLINK("https://rth.dk/resources/bsgatlas/details.php?id=BSGatlas-gene-2610","BSGatlas-gene-2610")</f>
        <v>BSGatlas-gene-2610</v>
      </c>
      <c r="B2611" s="1" t="s">
        <v>2356</v>
      </c>
      <c r="C2611" s="1" t="s">
        <v>8</v>
      </c>
      <c r="D2611" s="1">
        <v>2329870</v>
      </c>
      <c r="E2611" s="1">
        <v>2330022</v>
      </c>
      <c r="F2611" s="1" t="s">
        <v>9</v>
      </c>
      <c r="G2611" s="1" t="s">
        <v>11409</v>
      </c>
    </row>
    <row r="2612" spans="1:7" ht="21" x14ac:dyDescent="0.25">
      <c r="A2612" s="2" t="str">
        <f>HYPERLINK("https://rth.dk/resources/bsgatlas/details.php?id=BSGatlas-gene-2611","BSGatlas-gene-2611")</f>
        <v>BSGatlas-gene-2611</v>
      </c>
      <c r="B2612" s="1" t="s">
        <v>2357</v>
      </c>
      <c r="C2612" s="1" t="s">
        <v>8</v>
      </c>
      <c r="D2612" s="1">
        <v>2330075</v>
      </c>
      <c r="E2612" s="1">
        <v>2331232</v>
      </c>
      <c r="F2612" s="1" t="s">
        <v>13</v>
      </c>
      <c r="G2612" s="1" t="s">
        <v>11409</v>
      </c>
    </row>
    <row r="2613" spans="1:7" ht="21" x14ac:dyDescent="0.25">
      <c r="A2613" s="2" t="str">
        <f>HYPERLINK("https://rth.dk/resources/bsgatlas/details.php?id=BSGatlas-gene-2612","BSGatlas-gene-2612")</f>
        <v>BSGatlas-gene-2612</v>
      </c>
      <c r="B2613" s="1" t="s">
        <v>2358</v>
      </c>
      <c r="C2613" s="1" t="s">
        <v>2359</v>
      </c>
      <c r="D2613" s="1">
        <v>2331320</v>
      </c>
      <c r="E2613" s="1">
        <v>2331720</v>
      </c>
      <c r="F2613" s="1" t="s">
        <v>13</v>
      </c>
      <c r="G2613" s="1" t="s">
        <v>11413</v>
      </c>
    </row>
    <row r="2614" spans="1:7" ht="21" x14ac:dyDescent="0.25">
      <c r="A2614" s="2" t="str">
        <f>HYPERLINK("https://rth.dk/resources/bsgatlas/details.php?id=BSGatlas-gene-2613","BSGatlas-gene-2613")</f>
        <v>BSGatlas-gene-2613</v>
      </c>
      <c r="B2614" s="1" t="s">
        <v>2360</v>
      </c>
      <c r="C2614" s="1" t="s">
        <v>8</v>
      </c>
      <c r="D2614" s="1">
        <v>2331779</v>
      </c>
      <c r="E2614" s="1">
        <v>2332075</v>
      </c>
      <c r="F2614" s="1" t="s">
        <v>13</v>
      </c>
      <c r="G2614" s="1" t="s">
        <v>11409</v>
      </c>
    </row>
    <row r="2615" spans="1:7" ht="21" x14ac:dyDescent="0.25">
      <c r="A2615" s="2" t="str">
        <f>HYPERLINK("https://rth.dk/resources/bsgatlas/details.php?id=BSGatlas-gene-2614","BSGatlas-gene-2614")</f>
        <v>BSGatlas-gene-2614</v>
      </c>
      <c r="B2615" s="1" t="s">
        <v>11653</v>
      </c>
      <c r="C2615" s="1" t="s">
        <v>8</v>
      </c>
      <c r="D2615" s="1">
        <v>2332153</v>
      </c>
      <c r="E2615" s="1">
        <v>2332782</v>
      </c>
      <c r="F2615" s="1" t="s">
        <v>13</v>
      </c>
      <c r="G2615" s="1" t="s">
        <v>11409</v>
      </c>
    </row>
    <row r="2616" spans="1:7" ht="21" x14ac:dyDescent="0.25">
      <c r="A2616" s="2" t="str">
        <f>HYPERLINK("https://rth.dk/resources/bsgatlas/details.php?id=BSGatlas-gene-2615","BSGatlas-gene-2615")</f>
        <v>BSGatlas-gene-2615</v>
      </c>
      <c r="B2616" s="1" t="s">
        <v>2361</v>
      </c>
      <c r="C2616" s="1" t="s">
        <v>8</v>
      </c>
      <c r="D2616" s="1">
        <v>2332784</v>
      </c>
      <c r="E2616" s="1">
        <v>2333011</v>
      </c>
      <c r="F2616" s="1" t="s">
        <v>13</v>
      </c>
      <c r="G2616" s="1" t="s">
        <v>11409</v>
      </c>
    </row>
    <row r="2617" spans="1:7" ht="21" x14ac:dyDescent="0.25">
      <c r="A2617" s="2" t="str">
        <f>HYPERLINK("https://rth.dk/resources/bsgatlas/details.php?id=BSGatlas-gene-2616","BSGatlas-gene-2616")</f>
        <v>BSGatlas-gene-2616</v>
      </c>
      <c r="B2617" s="1" t="s">
        <v>318</v>
      </c>
      <c r="C2617" s="1" t="s">
        <v>8</v>
      </c>
      <c r="D2617" s="1">
        <v>2333095</v>
      </c>
      <c r="E2617" s="1">
        <v>2333223</v>
      </c>
      <c r="F2617" s="1" t="s">
        <v>13</v>
      </c>
      <c r="G2617" s="1" t="s">
        <v>11441</v>
      </c>
    </row>
    <row r="2618" spans="1:7" ht="21" x14ac:dyDescent="0.25">
      <c r="A2618" s="2" t="str">
        <f>HYPERLINK("https://rth.dk/resources/bsgatlas/details.php?id=BSGatlas-gene-2617","BSGatlas-gene-2617")</f>
        <v>BSGatlas-gene-2617</v>
      </c>
      <c r="B2618" s="1" t="s">
        <v>2362</v>
      </c>
      <c r="C2618" s="1" t="s">
        <v>8</v>
      </c>
      <c r="D2618" s="1">
        <v>2333324</v>
      </c>
      <c r="E2618" s="1">
        <v>2334565</v>
      </c>
      <c r="F2618" s="1" t="s">
        <v>13</v>
      </c>
      <c r="G2618" s="1" t="s">
        <v>11409</v>
      </c>
    </row>
    <row r="2619" spans="1:7" ht="21" x14ac:dyDescent="0.25">
      <c r="A2619" s="2" t="str">
        <f>HYPERLINK("https://rth.dk/resources/bsgatlas/details.php?id=BSGatlas-gene-2618","BSGatlas-gene-2618")</f>
        <v>BSGatlas-gene-2618</v>
      </c>
      <c r="B2619" s="1" t="s">
        <v>2363</v>
      </c>
      <c r="C2619" s="1" t="s">
        <v>8</v>
      </c>
      <c r="D2619" s="1">
        <v>2334581</v>
      </c>
      <c r="E2619" s="1">
        <v>2336830</v>
      </c>
      <c r="F2619" s="1" t="s">
        <v>13</v>
      </c>
      <c r="G2619" s="1" t="s">
        <v>11409</v>
      </c>
    </row>
    <row r="2620" spans="1:7" ht="21" x14ac:dyDescent="0.25">
      <c r="A2620" s="2" t="str">
        <f>HYPERLINK("https://rth.dk/resources/bsgatlas/details.php?id=BSGatlas-gene-2619","BSGatlas-gene-2619")</f>
        <v>BSGatlas-gene-2619</v>
      </c>
      <c r="B2620" s="1" t="s">
        <v>2364</v>
      </c>
      <c r="C2620" s="1" t="s">
        <v>8</v>
      </c>
      <c r="D2620" s="1">
        <v>2336933</v>
      </c>
      <c r="E2620" s="1">
        <v>2337439</v>
      </c>
      <c r="F2620" s="1" t="s">
        <v>13</v>
      </c>
      <c r="G2620" s="1" t="s">
        <v>11409</v>
      </c>
    </row>
    <row r="2621" spans="1:7" ht="21" x14ac:dyDescent="0.25">
      <c r="A2621" s="2" t="str">
        <f>HYPERLINK("https://rth.dk/resources/bsgatlas/details.php?id=BSGatlas-gene-2620","BSGatlas-gene-2620")</f>
        <v>BSGatlas-gene-2620</v>
      </c>
      <c r="B2621" s="1" t="s">
        <v>2365</v>
      </c>
      <c r="C2621" s="1" t="s">
        <v>8</v>
      </c>
      <c r="D2621" s="1">
        <v>2337577</v>
      </c>
      <c r="E2621" s="1">
        <v>2337996</v>
      </c>
      <c r="F2621" s="1" t="s">
        <v>9</v>
      </c>
      <c r="G2621" s="1" t="s">
        <v>11409</v>
      </c>
    </row>
    <row r="2622" spans="1:7" ht="21" x14ac:dyDescent="0.25">
      <c r="A2622" s="2" t="str">
        <f>HYPERLINK("https://rth.dk/resources/bsgatlas/details.php?id=BSGatlas-gene-2621","BSGatlas-gene-2621")</f>
        <v>BSGatlas-gene-2621</v>
      </c>
      <c r="B2622" s="1" t="s">
        <v>2366</v>
      </c>
      <c r="C2622" s="1" t="s">
        <v>8</v>
      </c>
      <c r="D2622" s="1">
        <v>2338017</v>
      </c>
      <c r="E2622" s="1">
        <v>2338394</v>
      </c>
      <c r="F2622" s="1" t="s">
        <v>13</v>
      </c>
      <c r="G2622" s="1" t="s">
        <v>11409</v>
      </c>
    </row>
    <row r="2623" spans="1:7" ht="21" x14ac:dyDescent="0.25">
      <c r="A2623" s="2" t="str">
        <f>HYPERLINK("https://rth.dk/resources/bsgatlas/details.php?id=BSGatlas-gene-2622","BSGatlas-gene-2622")</f>
        <v>BSGatlas-gene-2622</v>
      </c>
      <c r="B2623" s="1" t="s">
        <v>2367</v>
      </c>
      <c r="C2623" s="1" t="s">
        <v>8</v>
      </c>
      <c r="D2623" s="1">
        <v>2338582</v>
      </c>
      <c r="E2623" s="1">
        <v>2338770</v>
      </c>
      <c r="F2623" s="1" t="s">
        <v>9</v>
      </c>
      <c r="G2623" s="1" t="s">
        <v>11409</v>
      </c>
    </row>
    <row r="2624" spans="1:7" ht="21" x14ac:dyDescent="0.25">
      <c r="A2624" s="2" t="str">
        <f>HYPERLINK("https://rth.dk/resources/bsgatlas/details.php?id=BSGatlas-gene-2623","BSGatlas-gene-2623")</f>
        <v>BSGatlas-gene-2623</v>
      </c>
      <c r="B2624" s="1" t="s">
        <v>2368</v>
      </c>
      <c r="C2624" s="1" t="s">
        <v>8</v>
      </c>
      <c r="D2624" s="1">
        <v>2338809</v>
      </c>
      <c r="E2624" s="1">
        <v>2339180</v>
      </c>
      <c r="F2624" s="1" t="s">
        <v>13</v>
      </c>
      <c r="G2624" s="1" t="s">
        <v>11409</v>
      </c>
    </row>
    <row r="2625" spans="1:7" ht="21" x14ac:dyDescent="0.25">
      <c r="A2625" s="2" t="str">
        <f>HYPERLINK("https://rth.dk/resources/bsgatlas/details.php?id=BSGatlas-gene-2624","BSGatlas-gene-2624")</f>
        <v>BSGatlas-gene-2624</v>
      </c>
      <c r="B2625" s="1" t="s">
        <v>2369</v>
      </c>
      <c r="C2625" s="1" t="s">
        <v>8</v>
      </c>
      <c r="D2625" s="1">
        <v>2339226</v>
      </c>
      <c r="E2625" s="1">
        <v>2339471</v>
      </c>
      <c r="F2625" s="1" t="s">
        <v>13</v>
      </c>
      <c r="G2625" s="1" t="s">
        <v>11409</v>
      </c>
    </row>
    <row r="2626" spans="1:7" ht="21" x14ac:dyDescent="0.25">
      <c r="A2626" s="2" t="str">
        <f>HYPERLINK("https://rth.dk/resources/bsgatlas/details.php?id=BSGatlas-gene-2625","BSGatlas-gene-2625")</f>
        <v>BSGatlas-gene-2625</v>
      </c>
      <c r="B2626" s="1" t="s">
        <v>2370</v>
      </c>
      <c r="C2626" s="1" t="s">
        <v>8</v>
      </c>
      <c r="D2626" s="1">
        <v>2339670</v>
      </c>
      <c r="E2626" s="1">
        <v>2339774</v>
      </c>
      <c r="F2626" s="1" t="s">
        <v>9</v>
      </c>
      <c r="G2626" s="1" t="s">
        <v>11409</v>
      </c>
    </row>
    <row r="2627" spans="1:7" ht="21" x14ac:dyDescent="0.25">
      <c r="A2627" s="2" t="str">
        <f>HYPERLINK("https://rth.dk/resources/bsgatlas/details.php?id=BSGatlas-gene-2626","BSGatlas-gene-2626")</f>
        <v>BSGatlas-gene-2626</v>
      </c>
      <c r="B2627" s="1" t="s">
        <v>2371</v>
      </c>
      <c r="C2627" s="1" t="s">
        <v>8</v>
      </c>
      <c r="D2627" s="1">
        <v>2339799</v>
      </c>
      <c r="E2627" s="1">
        <v>2340761</v>
      </c>
      <c r="F2627" s="1" t="s">
        <v>13</v>
      </c>
      <c r="G2627" s="1" t="s">
        <v>11409</v>
      </c>
    </row>
    <row r="2628" spans="1:7" ht="21" x14ac:dyDescent="0.25">
      <c r="A2628" s="2" t="str">
        <f>HYPERLINK("https://rth.dk/resources/bsgatlas/details.php?id=BSGatlas-gene-2627","BSGatlas-gene-2627")</f>
        <v>BSGatlas-gene-2627</v>
      </c>
      <c r="B2628" s="1" t="s">
        <v>2372</v>
      </c>
      <c r="C2628" s="1" t="s">
        <v>8</v>
      </c>
      <c r="D2628" s="1">
        <v>2340802</v>
      </c>
      <c r="E2628" s="1">
        <v>2341422</v>
      </c>
      <c r="F2628" s="1" t="s">
        <v>9</v>
      </c>
      <c r="G2628" s="1" t="s">
        <v>11409</v>
      </c>
    </row>
    <row r="2629" spans="1:7" ht="21" x14ac:dyDescent="0.25">
      <c r="A2629" s="2" t="str">
        <f>HYPERLINK("https://rth.dk/resources/bsgatlas/details.php?id=BSGatlas-gene-2628","BSGatlas-gene-2628")</f>
        <v>BSGatlas-gene-2628</v>
      </c>
      <c r="B2629" s="1" t="s">
        <v>2373</v>
      </c>
      <c r="C2629" s="1" t="s">
        <v>8</v>
      </c>
      <c r="D2629" s="1">
        <v>2341444</v>
      </c>
      <c r="E2629" s="1">
        <v>2344188</v>
      </c>
      <c r="F2629" s="1" t="s">
        <v>9</v>
      </c>
      <c r="G2629" s="1" t="s">
        <v>11409</v>
      </c>
    </row>
    <row r="2630" spans="1:7" ht="21" x14ac:dyDescent="0.25">
      <c r="A2630" s="2" t="str">
        <f>HYPERLINK("https://rth.dk/resources/bsgatlas/details.php?id=BSGatlas-gene-2629","BSGatlas-gene-2629")</f>
        <v>BSGatlas-gene-2629</v>
      </c>
      <c r="B2630" s="1" t="s">
        <v>2374</v>
      </c>
      <c r="C2630" s="1" t="s">
        <v>8</v>
      </c>
      <c r="D2630" s="1">
        <v>2344264</v>
      </c>
      <c r="E2630" s="1">
        <v>2344758</v>
      </c>
      <c r="F2630" s="1" t="s">
        <v>13</v>
      </c>
      <c r="G2630" s="1" t="s">
        <v>11409</v>
      </c>
    </row>
    <row r="2631" spans="1:7" ht="21" x14ac:dyDescent="0.25">
      <c r="A2631" s="2" t="str">
        <f>HYPERLINK("https://rth.dk/resources/bsgatlas/details.php?id=BSGatlas-gene-2630","BSGatlas-gene-2630")</f>
        <v>BSGatlas-gene-2630</v>
      </c>
      <c r="B2631" s="1" t="s">
        <v>2375</v>
      </c>
      <c r="C2631" s="1" t="s">
        <v>8</v>
      </c>
      <c r="D2631" s="1">
        <v>2344755</v>
      </c>
      <c r="E2631" s="1">
        <v>2345414</v>
      </c>
      <c r="F2631" s="1" t="s">
        <v>13</v>
      </c>
      <c r="G2631" s="1" t="s">
        <v>11409</v>
      </c>
    </row>
    <row r="2632" spans="1:7" ht="21" x14ac:dyDescent="0.25">
      <c r="A2632" s="2" t="str">
        <f>HYPERLINK("https://rth.dk/resources/bsgatlas/details.php?id=BSGatlas-gene-2631","BSGatlas-gene-2631")</f>
        <v>BSGatlas-gene-2631</v>
      </c>
      <c r="B2632" s="1" t="s">
        <v>2376</v>
      </c>
      <c r="C2632" s="1" t="s">
        <v>8</v>
      </c>
      <c r="D2632" s="1">
        <v>2345433</v>
      </c>
      <c r="E2632" s="1">
        <v>2346131</v>
      </c>
      <c r="F2632" s="1" t="s">
        <v>13</v>
      </c>
      <c r="G2632" s="1" t="s">
        <v>11409</v>
      </c>
    </row>
    <row r="2633" spans="1:7" ht="21" x14ac:dyDescent="0.25">
      <c r="A2633" s="2" t="str">
        <f>HYPERLINK("https://rth.dk/resources/bsgatlas/details.php?id=BSGatlas-gene-2632","BSGatlas-gene-2632")</f>
        <v>BSGatlas-gene-2632</v>
      </c>
      <c r="B2633" s="1" t="s">
        <v>2377</v>
      </c>
      <c r="C2633" s="1" t="s">
        <v>8</v>
      </c>
      <c r="D2633" s="1">
        <v>2346224</v>
      </c>
      <c r="E2633" s="1">
        <v>2347516</v>
      </c>
      <c r="F2633" s="1" t="s">
        <v>13</v>
      </c>
      <c r="G2633" s="1" t="s">
        <v>11409</v>
      </c>
    </row>
    <row r="2634" spans="1:7" ht="21" x14ac:dyDescent="0.25">
      <c r="A2634" s="2" t="str">
        <f>HYPERLINK("https://rth.dk/resources/bsgatlas/details.php?id=BSGatlas-gene-2633","BSGatlas-gene-2633")</f>
        <v>BSGatlas-gene-2633</v>
      </c>
      <c r="B2634" s="1" t="s">
        <v>2378</v>
      </c>
      <c r="C2634" s="1" t="s">
        <v>8</v>
      </c>
      <c r="D2634" s="1">
        <v>2347660</v>
      </c>
      <c r="E2634" s="1">
        <v>2348841</v>
      </c>
      <c r="F2634" s="1" t="s">
        <v>13</v>
      </c>
      <c r="G2634" s="1" t="s">
        <v>11409</v>
      </c>
    </row>
    <row r="2635" spans="1:7" ht="21" x14ac:dyDescent="0.25">
      <c r="A2635" s="2" t="str">
        <f>HYPERLINK("https://rth.dk/resources/bsgatlas/details.php?id=BSGatlas-gene-2634","BSGatlas-gene-2634")</f>
        <v>BSGatlas-gene-2634</v>
      </c>
      <c r="B2635" s="1" t="s">
        <v>2379</v>
      </c>
      <c r="C2635" s="1" t="s">
        <v>8</v>
      </c>
      <c r="D2635" s="1">
        <v>2348864</v>
      </c>
      <c r="E2635" s="1">
        <v>2349349</v>
      </c>
      <c r="F2635" s="1" t="s">
        <v>13</v>
      </c>
      <c r="G2635" s="1" t="s">
        <v>11409</v>
      </c>
    </row>
    <row r="2636" spans="1:7" ht="21" x14ac:dyDescent="0.25">
      <c r="A2636" s="2" t="str">
        <f>HYPERLINK("https://rth.dk/resources/bsgatlas/details.php?id=BSGatlas-gene-2635","BSGatlas-gene-2635")</f>
        <v>BSGatlas-gene-2635</v>
      </c>
      <c r="B2636" s="1" t="s">
        <v>2380</v>
      </c>
      <c r="C2636" s="1" t="s">
        <v>8</v>
      </c>
      <c r="D2636" s="1">
        <v>2349358</v>
      </c>
      <c r="E2636" s="1">
        <v>2349528</v>
      </c>
      <c r="F2636" s="1" t="s">
        <v>13</v>
      </c>
      <c r="G2636" s="1" t="s">
        <v>11409</v>
      </c>
    </row>
    <row r="2637" spans="1:7" ht="21" x14ac:dyDescent="0.25">
      <c r="A2637" s="2" t="str">
        <f>HYPERLINK("https://rth.dk/resources/bsgatlas/details.php?id=BSGatlas-gene-2636","BSGatlas-gene-2636")</f>
        <v>BSGatlas-gene-2636</v>
      </c>
      <c r="B2637" s="1" t="s">
        <v>2381</v>
      </c>
      <c r="C2637" s="1" t="s">
        <v>12</v>
      </c>
      <c r="D2637" s="1">
        <v>2349590</v>
      </c>
      <c r="E2637" s="1">
        <v>2349664</v>
      </c>
      <c r="F2637" s="1" t="s">
        <v>9</v>
      </c>
      <c r="G2637" s="1" t="s">
        <v>11406</v>
      </c>
    </row>
    <row r="2638" spans="1:7" ht="21" x14ac:dyDescent="0.25">
      <c r="A2638" s="2" t="str">
        <f>HYPERLINK("https://rth.dk/resources/bsgatlas/details.php?id=BSGatlas-gene-2637","BSGatlas-gene-2637")</f>
        <v>BSGatlas-gene-2637</v>
      </c>
      <c r="B2638" s="1" t="s">
        <v>11654</v>
      </c>
      <c r="C2638" s="1" t="s">
        <v>8</v>
      </c>
      <c r="D2638" s="1">
        <v>2349671</v>
      </c>
      <c r="E2638" s="1">
        <v>2352466</v>
      </c>
      <c r="F2638" s="1" t="s">
        <v>13</v>
      </c>
      <c r="G2638" s="1" t="s">
        <v>11409</v>
      </c>
    </row>
    <row r="2639" spans="1:7" ht="21" x14ac:dyDescent="0.25">
      <c r="A2639" s="2" t="str">
        <f>HYPERLINK("https://rth.dk/resources/bsgatlas/details.php?id=BSGatlas-gene-2638","BSGatlas-gene-2638")</f>
        <v>BSGatlas-gene-2638</v>
      </c>
      <c r="B2639" s="1" t="s">
        <v>11655</v>
      </c>
      <c r="C2639" s="1" t="s">
        <v>8</v>
      </c>
      <c r="D2639" s="1">
        <v>2352592</v>
      </c>
      <c r="E2639" s="1">
        <v>2352975</v>
      </c>
      <c r="F2639" s="1" t="s">
        <v>13</v>
      </c>
      <c r="G2639" s="1" t="s">
        <v>11409</v>
      </c>
    </row>
    <row r="2640" spans="1:7" ht="21" x14ac:dyDescent="0.25">
      <c r="A2640" s="2" t="str">
        <f>HYPERLINK("https://rth.dk/resources/bsgatlas/details.php?id=BSGatlas-gene-2639","BSGatlas-gene-2639")</f>
        <v>BSGatlas-gene-2639</v>
      </c>
      <c r="B2640" s="1" t="s">
        <v>11656</v>
      </c>
      <c r="C2640" s="1" t="s">
        <v>8</v>
      </c>
      <c r="D2640" s="1">
        <v>2352977</v>
      </c>
      <c r="E2640" s="1">
        <v>2353837</v>
      </c>
      <c r="F2640" s="1" t="s">
        <v>13</v>
      </c>
      <c r="G2640" s="1" t="s">
        <v>11409</v>
      </c>
    </row>
    <row r="2641" spans="1:7" ht="21" x14ac:dyDescent="0.25">
      <c r="A2641" s="2" t="str">
        <f>HYPERLINK("https://rth.dk/resources/bsgatlas/details.php?id=BSGatlas-gene-2640","BSGatlas-gene-2640")</f>
        <v>BSGatlas-gene-2640</v>
      </c>
      <c r="B2641" s="1" t="s">
        <v>2382</v>
      </c>
      <c r="C2641" s="1" t="s">
        <v>8</v>
      </c>
      <c r="D2641" s="1">
        <v>2353839</v>
      </c>
      <c r="E2641" s="1">
        <v>2354672</v>
      </c>
      <c r="F2641" s="1" t="s">
        <v>13</v>
      </c>
      <c r="G2641" s="1" t="s">
        <v>11409</v>
      </c>
    </row>
    <row r="2642" spans="1:7" ht="21" x14ac:dyDescent="0.25">
      <c r="A2642" s="2" t="str">
        <f>HYPERLINK("https://rth.dk/resources/bsgatlas/details.php?id=BSGatlas-gene-2641","BSGatlas-gene-2641")</f>
        <v>BSGatlas-gene-2641</v>
      </c>
      <c r="B2642" s="1" t="s">
        <v>11657</v>
      </c>
      <c r="C2642" s="1" t="s">
        <v>34</v>
      </c>
      <c r="D2642" s="1">
        <v>2354786</v>
      </c>
      <c r="E2642" s="1">
        <v>2354878</v>
      </c>
      <c r="F2642" s="1" t="s">
        <v>13</v>
      </c>
      <c r="G2642" s="1" t="s">
        <v>11658</v>
      </c>
    </row>
    <row r="2643" spans="1:7" ht="21" x14ac:dyDescent="0.25">
      <c r="A2643" s="2" t="str">
        <f>HYPERLINK("https://rth.dk/resources/bsgatlas/details.php?id=BSGatlas-gene-2642","BSGatlas-gene-2642")</f>
        <v>BSGatlas-gene-2642</v>
      </c>
      <c r="B2643" s="1" t="s">
        <v>2383</v>
      </c>
      <c r="C2643" s="1" t="s">
        <v>8</v>
      </c>
      <c r="D2643" s="1">
        <v>2354918</v>
      </c>
      <c r="E2643" s="1">
        <v>2355895</v>
      </c>
      <c r="F2643" s="1" t="s">
        <v>13</v>
      </c>
      <c r="G2643" s="1" t="s">
        <v>11409</v>
      </c>
    </row>
    <row r="2644" spans="1:7" ht="21" x14ac:dyDescent="0.25">
      <c r="A2644" s="2" t="str">
        <f>HYPERLINK("https://rth.dk/resources/bsgatlas/details.php?id=BSGatlas-gene-2643","BSGatlas-gene-2643")</f>
        <v>BSGatlas-gene-2643</v>
      </c>
      <c r="B2644" s="1" t="s">
        <v>2384</v>
      </c>
      <c r="C2644" s="1" t="s">
        <v>8</v>
      </c>
      <c r="D2644" s="1">
        <v>2355880</v>
      </c>
      <c r="E2644" s="1">
        <v>2357073</v>
      </c>
      <c r="F2644" s="1" t="s">
        <v>13</v>
      </c>
      <c r="G2644" s="1" t="s">
        <v>11409</v>
      </c>
    </row>
    <row r="2645" spans="1:7" ht="21" x14ac:dyDescent="0.25">
      <c r="A2645" s="2" t="str">
        <f>HYPERLINK("https://rth.dk/resources/bsgatlas/details.php?id=BSGatlas-gene-2644","BSGatlas-gene-2644")</f>
        <v>BSGatlas-gene-2644</v>
      </c>
      <c r="B2645" s="1" t="s">
        <v>2385</v>
      </c>
      <c r="C2645" s="1" t="s">
        <v>8</v>
      </c>
      <c r="D2645" s="1">
        <v>2357078</v>
      </c>
      <c r="E2645" s="1">
        <v>2358211</v>
      </c>
      <c r="F2645" s="1" t="s">
        <v>13</v>
      </c>
      <c r="G2645" s="1" t="s">
        <v>11409</v>
      </c>
    </row>
    <row r="2646" spans="1:7" ht="21" x14ac:dyDescent="0.25">
      <c r="A2646" s="2" t="str">
        <f>HYPERLINK("https://rth.dk/resources/bsgatlas/details.php?id=BSGatlas-gene-2645","BSGatlas-gene-2645")</f>
        <v>BSGatlas-gene-2645</v>
      </c>
      <c r="B2646" s="1" t="s">
        <v>2386</v>
      </c>
      <c r="C2646" s="1" t="s">
        <v>8</v>
      </c>
      <c r="D2646" s="1">
        <v>2358208</v>
      </c>
      <c r="E2646" s="1">
        <v>2358918</v>
      </c>
      <c r="F2646" s="1" t="s">
        <v>13</v>
      </c>
      <c r="G2646" s="1" t="s">
        <v>11409</v>
      </c>
    </row>
    <row r="2647" spans="1:7" ht="21" x14ac:dyDescent="0.25">
      <c r="A2647" s="2" t="str">
        <f>HYPERLINK("https://rth.dk/resources/bsgatlas/details.php?id=BSGatlas-gene-2646","BSGatlas-gene-2646")</f>
        <v>BSGatlas-gene-2646</v>
      </c>
      <c r="B2647" s="1" t="s">
        <v>2387</v>
      </c>
      <c r="C2647" s="1" t="s">
        <v>8</v>
      </c>
      <c r="D2647" s="1">
        <v>2358911</v>
      </c>
      <c r="E2647" s="1">
        <v>2359324</v>
      </c>
      <c r="F2647" s="1" t="s">
        <v>13</v>
      </c>
      <c r="G2647" s="1" t="s">
        <v>11409</v>
      </c>
    </row>
    <row r="2648" spans="1:7" ht="21" x14ac:dyDescent="0.25">
      <c r="A2648" s="2" t="str">
        <f>HYPERLINK("https://rth.dk/resources/bsgatlas/details.php?id=BSGatlas-gene-2647","BSGatlas-gene-2647")</f>
        <v>BSGatlas-gene-2647</v>
      </c>
      <c r="B2648" s="1" t="s">
        <v>2388</v>
      </c>
      <c r="C2648" s="1" t="s">
        <v>8</v>
      </c>
      <c r="D2648" s="1">
        <v>2359340</v>
      </c>
      <c r="E2648" s="1">
        <v>2360143</v>
      </c>
      <c r="F2648" s="1" t="s">
        <v>13</v>
      </c>
      <c r="G2648" s="1" t="s">
        <v>11409</v>
      </c>
    </row>
    <row r="2649" spans="1:7" ht="21" x14ac:dyDescent="0.25">
      <c r="A2649" s="2" t="str">
        <f>HYPERLINK("https://rth.dk/resources/bsgatlas/details.php?id=BSGatlas-gene-2648","BSGatlas-gene-2648")</f>
        <v>BSGatlas-gene-2648</v>
      </c>
      <c r="B2649" s="1" t="s">
        <v>2389</v>
      </c>
      <c r="C2649" s="1" t="s">
        <v>8</v>
      </c>
      <c r="D2649" s="1">
        <v>2360155</v>
      </c>
      <c r="E2649" s="1">
        <v>2360490</v>
      </c>
      <c r="F2649" s="1" t="s">
        <v>13</v>
      </c>
      <c r="G2649" s="1" t="s">
        <v>11409</v>
      </c>
    </row>
    <row r="2650" spans="1:7" ht="21" x14ac:dyDescent="0.25">
      <c r="A2650" s="2" t="str">
        <f>HYPERLINK("https://rth.dk/resources/bsgatlas/details.php?id=BSGatlas-gene-2649","BSGatlas-gene-2649")</f>
        <v>BSGatlas-gene-2649</v>
      </c>
      <c r="B2650" s="1" t="s">
        <v>2390</v>
      </c>
      <c r="C2650" s="1" t="s">
        <v>8</v>
      </c>
      <c r="D2650" s="1">
        <v>2360630</v>
      </c>
      <c r="E2650" s="1">
        <v>2361502</v>
      </c>
      <c r="F2650" s="1" t="s">
        <v>9</v>
      </c>
      <c r="G2650" s="1" t="s">
        <v>11409</v>
      </c>
    </row>
    <row r="2651" spans="1:7" ht="21" x14ac:dyDescent="0.25">
      <c r="A2651" s="2" t="str">
        <f>HYPERLINK("https://rth.dk/resources/bsgatlas/details.php?id=BSGatlas-gene-2650","BSGatlas-gene-2650")</f>
        <v>BSGatlas-gene-2650</v>
      </c>
      <c r="B2651" s="1" t="s">
        <v>2391</v>
      </c>
      <c r="C2651" s="1" t="s">
        <v>8</v>
      </c>
      <c r="D2651" s="1">
        <v>2361544</v>
      </c>
      <c r="E2651" s="1">
        <v>2362338</v>
      </c>
      <c r="F2651" s="1" t="s">
        <v>13</v>
      </c>
      <c r="G2651" s="1" t="s">
        <v>11409</v>
      </c>
    </row>
    <row r="2652" spans="1:7" ht="21" x14ac:dyDescent="0.25">
      <c r="A2652" s="2" t="str">
        <f>HYPERLINK("https://rth.dk/resources/bsgatlas/details.php?id=BSGatlas-gene-2651","BSGatlas-gene-2651")</f>
        <v>BSGatlas-gene-2651</v>
      </c>
      <c r="B2652" s="1" t="s">
        <v>11659</v>
      </c>
      <c r="C2652" s="1" t="s">
        <v>8</v>
      </c>
      <c r="D2652" s="1">
        <v>2362407</v>
      </c>
      <c r="E2652" s="1">
        <v>2362964</v>
      </c>
      <c r="F2652" s="1" t="s">
        <v>13</v>
      </c>
      <c r="G2652" s="1" t="s">
        <v>11409</v>
      </c>
    </row>
    <row r="2653" spans="1:7" ht="21" x14ac:dyDescent="0.25">
      <c r="A2653" s="2" t="str">
        <f>HYPERLINK("https://rth.dk/resources/bsgatlas/details.php?id=BSGatlas-gene-2652","BSGatlas-gene-2652")</f>
        <v>BSGatlas-gene-2652</v>
      </c>
      <c r="B2653" s="1" t="s">
        <v>2392</v>
      </c>
      <c r="C2653" s="1" t="s">
        <v>8</v>
      </c>
      <c r="D2653" s="1">
        <v>2363111</v>
      </c>
      <c r="E2653" s="1">
        <v>2363878</v>
      </c>
      <c r="F2653" s="1" t="s">
        <v>13</v>
      </c>
      <c r="G2653" s="1" t="s">
        <v>11409</v>
      </c>
    </row>
    <row r="2654" spans="1:7" ht="21" x14ac:dyDescent="0.25">
      <c r="A2654" s="2" t="str">
        <f>HYPERLINK("https://rth.dk/resources/bsgatlas/details.php?id=BSGatlas-gene-2653","BSGatlas-gene-2653")</f>
        <v>BSGatlas-gene-2653</v>
      </c>
      <c r="B2654" s="1" t="s">
        <v>2393</v>
      </c>
      <c r="C2654" s="1" t="s">
        <v>8</v>
      </c>
      <c r="D2654" s="1">
        <v>2363913</v>
      </c>
      <c r="E2654" s="1">
        <v>2364587</v>
      </c>
      <c r="F2654" s="1" t="s">
        <v>13</v>
      </c>
      <c r="G2654" s="1" t="s">
        <v>11409</v>
      </c>
    </row>
    <row r="2655" spans="1:7" ht="21" x14ac:dyDescent="0.25">
      <c r="A2655" s="2" t="str">
        <f>HYPERLINK("https://rth.dk/resources/bsgatlas/details.php?id=BSGatlas-gene-2654","BSGatlas-gene-2654")</f>
        <v>BSGatlas-gene-2654</v>
      </c>
      <c r="B2655" s="1" t="s">
        <v>2394</v>
      </c>
      <c r="C2655" s="1" t="s">
        <v>8</v>
      </c>
      <c r="D2655" s="1">
        <v>2364589</v>
      </c>
      <c r="E2655" s="1">
        <v>2365092</v>
      </c>
      <c r="F2655" s="1" t="s">
        <v>13</v>
      </c>
      <c r="G2655" s="1" t="s">
        <v>11409</v>
      </c>
    </row>
    <row r="2656" spans="1:7" ht="21" x14ac:dyDescent="0.25">
      <c r="A2656" s="2" t="str">
        <f>HYPERLINK("https://rth.dk/resources/bsgatlas/details.php?id=BSGatlas-gene-2655","BSGatlas-gene-2655")</f>
        <v>BSGatlas-gene-2655</v>
      </c>
      <c r="B2656" s="1" t="s">
        <v>2395</v>
      </c>
      <c r="C2656" s="1" t="s">
        <v>8</v>
      </c>
      <c r="D2656" s="1">
        <v>2365235</v>
      </c>
      <c r="E2656" s="1">
        <v>2365681</v>
      </c>
      <c r="F2656" s="1" t="s">
        <v>13</v>
      </c>
      <c r="G2656" s="1" t="s">
        <v>11409</v>
      </c>
    </row>
    <row r="2657" spans="1:7" ht="21" x14ac:dyDescent="0.25">
      <c r="A2657" s="2" t="str">
        <f>HYPERLINK("https://rth.dk/resources/bsgatlas/details.php?id=BSGatlas-gene-2656","BSGatlas-gene-2656")</f>
        <v>BSGatlas-gene-2656</v>
      </c>
      <c r="B2657" s="1" t="s">
        <v>2396</v>
      </c>
      <c r="C2657" s="1" t="s">
        <v>8</v>
      </c>
      <c r="D2657" s="1">
        <v>2365736</v>
      </c>
      <c r="E2657" s="1">
        <v>2366275</v>
      </c>
      <c r="F2657" s="1" t="s">
        <v>13</v>
      </c>
      <c r="G2657" s="1" t="s">
        <v>11409</v>
      </c>
    </row>
    <row r="2658" spans="1:7" ht="21" x14ac:dyDescent="0.25">
      <c r="A2658" s="2" t="str">
        <f>HYPERLINK("https://rth.dk/resources/bsgatlas/details.php?id=BSGatlas-gene-2657","BSGatlas-gene-2657")</f>
        <v>BSGatlas-gene-2657</v>
      </c>
      <c r="B2658" s="1" t="s">
        <v>2397</v>
      </c>
      <c r="C2658" s="1" t="s">
        <v>8</v>
      </c>
      <c r="D2658" s="1">
        <v>2366347</v>
      </c>
      <c r="E2658" s="1">
        <v>2367618</v>
      </c>
      <c r="F2658" s="1" t="s">
        <v>13</v>
      </c>
      <c r="G2658" s="1" t="s">
        <v>11409</v>
      </c>
    </row>
    <row r="2659" spans="1:7" ht="21" x14ac:dyDescent="0.25">
      <c r="A2659" s="2" t="str">
        <f>HYPERLINK("https://rth.dk/resources/bsgatlas/details.php?id=BSGatlas-gene-2658","BSGatlas-gene-2658")</f>
        <v>BSGatlas-gene-2658</v>
      </c>
      <c r="B2659" s="1" t="s">
        <v>2398</v>
      </c>
      <c r="C2659" s="1" t="s">
        <v>8</v>
      </c>
      <c r="D2659" s="1">
        <v>2367954</v>
      </c>
      <c r="E2659" s="1">
        <v>2369240</v>
      </c>
      <c r="F2659" s="1" t="s">
        <v>13</v>
      </c>
      <c r="G2659" s="1" t="s">
        <v>11409</v>
      </c>
    </row>
    <row r="2660" spans="1:7" ht="21" x14ac:dyDescent="0.25">
      <c r="A2660" s="2" t="str">
        <f>HYPERLINK("https://rth.dk/resources/bsgatlas/details.php?id=BSGatlas-gene-2659","BSGatlas-gene-2659")</f>
        <v>BSGatlas-gene-2659</v>
      </c>
      <c r="B2660" s="1" t="s">
        <v>2399</v>
      </c>
      <c r="C2660" s="1" t="s">
        <v>8</v>
      </c>
      <c r="D2660" s="1">
        <v>2369251</v>
      </c>
      <c r="E2660" s="1">
        <v>2370366</v>
      </c>
      <c r="F2660" s="1" t="s">
        <v>13</v>
      </c>
      <c r="G2660" s="1" t="s">
        <v>11409</v>
      </c>
    </row>
    <row r="2661" spans="1:7" ht="21" x14ac:dyDescent="0.25">
      <c r="A2661" s="2" t="str">
        <f>HYPERLINK("https://rth.dk/resources/bsgatlas/details.php?id=BSGatlas-gene-2660","BSGatlas-gene-2660")</f>
        <v>BSGatlas-gene-2660</v>
      </c>
      <c r="B2661" s="1" t="s">
        <v>2400</v>
      </c>
      <c r="C2661" s="1" t="s">
        <v>8</v>
      </c>
      <c r="D2661" s="1">
        <v>2370415</v>
      </c>
      <c r="E2661" s="1">
        <v>2371497</v>
      </c>
      <c r="F2661" s="1" t="s">
        <v>13</v>
      </c>
      <c r="G2661" s="1" t="s">
        <v>11409</v>
      </c>
    </row>
    <row r="2662" spans="1:7" ht="21" x14ac:dyDescent="0.25">
      <c r="A2662" s="2" t="str">
        <f>HYPERLINK("https://rth.dk/resources/bsgatlas/details.php?id=BSGatlas-gene-2661","BSGatlas-gene-2661")</f>
        <v>BSGatlas-gene-2661</v>
      </c>
      <c r="B2662" s="1" t="s">
        <v>2401</v>
      </c>
      <c r="C2662" s="1" t="s">
        <v>8</v>
      </c>
      <c r="D2662" s="1">
        <v>2371508</v>
      </c>
      <c r="E2662" s="1">
        <v>2372311</v>
      </c>
      <c r="F2662" s="1" t="s">
        <v>13</v>
      </c>
      <c r="G2662" s="1" t="s">
        <v>11409</v>
      </c>
    </row>
    <row r="2663" spans="1:7" ht="21" x14ac:dyDescent="0.25">
      <c r="A2663" s="2" t="str">
        <f>HYPERLINK("https://rth.dk/resources/bsgatlas/details.php?id=BSGatlas-gene-2662","BSGatlas-gene-2662")</f>
        <v>BSGatlas-gene-2662</v>
      </c>
      <c r="B2663" s="1" t="s">
        <v>2402</v>
      </c>
      <c r="C2663" s="1" t="s">
        <v>8</v>
      </c>
      <c r="D2663" s="1">
        <v>2372304</v>
      </c>
      <c r="E2663" s="1">
        <v>2373506</v>
      </c>
      <c r="F2663" s="1" t="s">
        <v>13</v>
      </c>
      <c r="G2663" s="1" t="s">
        <v>11409</v>
      </c>
    </row>
    <row r="2664" spans="1:7" ht="21" x14ac:dyDescent="0.25">
      <c r="A2664" s="2" t="str">
        <f>HYPERLINK("https://rth.dk/resources/bsgatlas/details.php?id=BSGatlas-gene-2663","BSGatlas-gene-2663")</f>
        <v>BSGatlas-gene-2663</v>
      </c>
      <c r="B2664" s="1" t="s">
        <v>2403</v>
      </c>
      <c r="C2664" s="1" t="s">
        <v>8</v>
      </c>
      <c r="D2664" s="1">
        <v>2373487</v>
      </c>
      <c r="E2664" s="1">
        <v>2374134</v>
      </c>
      <c r="F2664" s="1" t="s">
        <v>13</v>
      </c>
      <c r="G2664" s="1" t="s">
        <v>11409</v>
      </c>
    </row>
    <row r="2665" spans="1:7" ht="21" x14ac:dyDescent="0.25">
      <c r="A2665" s="2" t="str">
        <f>HYPERLINK("https://rth.dk/resources/bsgatlas/details.php?id=BSGatlas-gene-2664","BSGatlas-gene-2664")</f>
        <v>BSGatlas-gene-2664</v>
      </c>
      <c r="B2665" s="1" t="s">
        <v>2404</v>
      </c>
      <c r="C2665" s="1" t="s">
        <v>8</v>
      </c>
      <c r="D2665" s="1">
        <v>2374139</v>
      </c>
      <c r="E2665" s="1">
        <v>2374888</v>
      </c>
      <c r="F2665" s="1" t="s">
        <v>13</v>
      </c>
      <c r="G2665" s="1" t="s">
        <v>11409</v>
      </c>
    </row>
    <row r="2666" spans="1:7" ht="21" x14ac:dyDescent="0.25">
      <c r="A2666" s="2" t="str">
        <f>HYPERLINK("https://rth.dk/resources/bsgatlas/details.php?id=BSGatlas-gene-2665","BSGatlas-gene-2665")</f>
        <v>BSGatlas-gene-2665</v>
      </c>
      <c r="B2666" s="1" t="s">
        <v>2405</v>
      </c>
      <c r="C2666" s="1" t="s">
        <v>8</v>
      </c>
      <c r="D2666" s="1">
        <v>2374881</v>
      </c>
      <c r="E2666" s="1">
        <v>2375897</v>
      </c>
      <c r="F2666" s="1" t="s">
        <v>13</v>
      </c>
      <c r="G2666" s="1" t="s">
        <v>11409</v>
      </c>
    </row>
    <row r="2667" spans="1:7" ht="21" x14ac:dyDescent="0.25">
      <c r="A2667" s="2" t="str">
        <f>HYPERLINK("https://rth.dk/resources/bsgatlas/details.php?id=BSGatlas-gene-2666","BSGatlas-gene-2666")</f>
        <v>BSGatlas-gene-2666</v>
      </c>
      <c r="B2667" s="1" t="s">
        <v>2406</v>
      </c>
      <c r="C2667" s="1" t="s">
        <v>8</v>
      </c>
      <c r="D2667" s="1">
        <v>2375869</v>
      </c>
      <c r="E2667" s="1">
        <v>2377416</v>
      </c>
      <c r="F2667" s="1" t="s">
        <v>13</v>
      </c>
      <c r="G2667" s="1" t="s">
        <v>11409</v>
      </c>
    </row>
    <row r="2668" spans="1:7" ht="21" x14ac:dyDescent="0.25">
      <c r="A2668" s="2" t="str">
        <f>HYPERLINK("https://rth.dk/resources/bsgatlas/details.php?id=BSGatlas-gene-2667","BSGatlas-gene-2667")</f>
        <v>BSGatlas-gene-2667</v>
      </c>
      <c r="B2668" s="1" t="s">
        <v>2407</v>
      </c>
      <c r="C2668" s="1" t="s">
        <v>34</v>
      </c>
      <c r="D2668" s="1">
        <v>2377479</v>
      </c>
      <c r="E2668" s="1">
        <v>2377619</v>
      </c>
      <c r="F2668" s="1" t="s">
        <v>13</v>
      </c>
      <c r="G2668" s="1" t="s">
        <v>11660</v>
      </c>
    </row>
    <row r="2669" spans="1:7" ht="21" x14ac:dyDescent="0.25">
      <c r="A2669" s="2" t="str">
        <f>HYPERLINK("https://rth.dk/resources/bsgatlas/details.php?id=BSGatlas-gene-2668","BSGatlas-gene-2668")</f>
        <v>BSGatlas-gene-2668</v>
      </c>
      <c r="B2669" s="1" t="s">
        <v>2408</v>
      </c>
      <c r="C2669" s="1" t="s">
        <v>8</v>
      </c>
      <c r="D2669" s="1">
        <v>2377632</v>
      </c>
      <c r="E2669" s="1">
        <v>2378015</v>
      </c>
      <c r="F2669" s="1" t="s">
        <v>13</v>
      </c>
      <c r="G2669" s="1" t="s">
        <v>11409</v>
      </c>
    </row>
    <row r="2670" spans="1:7" ht="21" x14ac:dyDescent="0.25">
      <c r="A2670" s="2" t="str">
        <f>HYPERLINK("https://rth.dk/resources/bsgatlas/details.php?id=BSGatlas-gene-2669","BSGatlas-gene-2669")</f>
        <v>BSGatlas-gene-2669</v>
      </c>
      <c r="B2670" s="1" t="s">
        <v>2409</v>
      </c>
      <c r="C2670" s="1" t="s">
        <v>8</v>
      </c>
      <c r="D2670" s="1">
        <v>2378012</v>
      </c>
      <c r="E2670" s="1">
        <v>2379100</v>
      </c>
      <c r="F2670" s="1" t="s">
        <v>13</v>
      </c>
      <c r="G2670" s="1" t="s">
        <v>11409</v>
      </c>
    </row>
    <row r="2671" spans="1:7" ht="21" x14ac:dyDescent="0.25">
      <c r="A2671" s="2" t="str">
        <f>HYPERLINK("https://rth.dk/resources/bsgatlas/details.php?id=BSGatlas-gene-2670","BSGatlas-gene-2670")</f>
        <v>BSGatlas-gene-2670</v>
      </c>
      <c r="B2671" s="1" t="s">
        <v>2410</v>
      </c>
      <c r="C2671" s="1" t="s">
        <v>8</v>
      </c>
      <c r="D2671" s="1">
        <v>2379100</v>
      </c>
      <c r="E2671" s="1">
        <v>2380272</v>
      </c>
      <c r="F2671" s="1" t="s">
        <v>13</v>
      </c>
      <c r="G2671" s="1" t="s">
        <v>11409</v>
      </c>
    </row>
    <row r="2672" spans="1:7" ht="21" x14ac:dyDescent="0.25">
      <c r="A2672" s="2" t="str">
        <f>HYPERLINK("https://rth.dk/resources/bsgatlas/details.php?id=BSGatlas-gene-2671","BSGatlas-gene-2671")</f>
        <v>BSGatlas-gene-2671</v>
      </c>
      <c r="B2672" s="1" t="s">
        <v>2411</v>
      </c>
      <c r="C2672" s="1" t="s">
        <v>8</v>
      </c>
      <c r="D2672" s="1">
        <v>2380347</v>
      </c>
      <c r="E2672" s="1">
        <v>2381117</v>
      </c>
      <c r="F2672" s="1" t="s">
        <v>13</v>
      </c>
      <c r="G2672" s="1" t="s">
        <v>11409</v>
      </c>
    </row>
    <row r="2673" spans="1:7" ht="21" x14ac:dyDescent="0.25">
      <c r="A2673" s="2" t="str">
        <f>HYPERLINK("https://rth.dk/resources/bsgatlas/details.php?id=BSGatlas-gene-2672","BSGatlas-gene-2672")</f>
        <v>BSGatlas-gene-2672</v>
      </c>
      <c r="B2673" s="1" t="s">
        <v>2412</v>
      </c>
      <c r="C2673" s="1" t="s">
        <v>8</v>
      </c>
      <c r="D2673" s="1">
        <v>2381354</v>
      </c>
      <c r="E2673" s="1">
        <v>2381803</v>
      </c>
      <c r="F2673" s="1" t="s">
        <v>13</v>
      </c>
      <c r="G2673" s="1" t="s">
        <v>11409</v>
      </c>
    </row>
    <row r="2674" spans="1:7" ht="21" x14ac:dyDescent="0.25">
      <c r="A2674" s="2" t="str">
        <f>HYPERLINK("https://rth.dk/resources/bsgatlas/details.php?id=BSGatlas-gene-2673","BSGatlas-gene-2673")</f>
        <v>BSGatlas-gene-2673</v>
      </c>
      <c r="B2674" s="1" t="s">
        <v>2413</v>
      </c>
      <c r="C2674" s="1" t="s">
        <v>8</v>
      </c>
      <c r="D2674" s="1">
        <v>2381919</v>
      </c>
      <c r="E2674" s="1">
        <v>2382965</v>
      </c>
      <c r="F2674" s="1" t="s">
        <v>13</v>
      </c>
      <c r="G2674" s="1" t="s">
        <v>11409</v>
      </c>
    </row>
    <row r="2675" spans="1:7" ht="21" x14ac:dyDescent="0.25">
      <c r="A2675" s="2" t="str">
        <f>HYPERLINK("https://rth.dk/resources/bsgatlas/details.php?id=BSGatlas-gene-2674","BSGatlas-gene-2674")</f>
        <v>BSGatlas-gene-2674</v>
      </c>
      <c r="B2675" s="1" t="s">
        <v>2414</v>
      </c>
      <c r="C2675" s="1" t="s">
        <v>8</v>
      </c>
      <c r="D2675" s="1">
        <v>2382907</v>
      </c>
      <c r="E2675" s="1">
        <v>2383608</v>
      </c>
      <c r="F2675" s="1" t="s">
        <v>13</v>
      </c>
      <c r="G2675" s="1" t="s">
        <v>11409</v>
      </c>
    </row>
    <row r="2676" spans="1:7" ht="21" x14ac:dyDescent="0.25">
      <c r="A2676" s="2" t="str">
        <f>HYPERLINK("https://rth.dk/resources/bsgatlas/details.php?id=BSGatlas-gene-2675","BSGatlas-gene-2675")</f>
        <v>BSGatlas-gene-2675</v>
      </c>
      <c r="B2676" s="1" t="s">
        <v>2415</v>
      </c>
      <c r="C2676" s="1" t="s">
        <v>8</v>
      </c>
      <c r="D2676" s="1">
        <v>2383615</v>
      </c>
      <c r="E2676" s="1">
        <v>2384370</v>
      </c>
      <c r="F2676" s="1" t="s">
        <v>13</v>
      </c>
      <c r="G2676" s="1" t="s">
        <v>11409</v>
      </c>
    </row>
    <row r="2677" spans="1:7" ht="21" x14ac:dyDescent="0.25">
      <c r="A2677" s="2" t="str">
        <f>HYPERLINK("https://rth.dk/resources/bsgatlas/details.php?id=BSGatlas-gene-2676","BSGatlas-gene-2676")</f>
        <v>BSGatlas-gene-2676</v>
      </c>
      <c r="B2677" s="1" t="s">
        <v>2416</v>
      </c>
      <c r="C2677" s="1" t="s">
        <v>8</v>
      </c>
      <c r="D2677" s="1">
        <v>2384534</v>
      </c>
      <c r="E2677" s="1">
        <v>2384761</v>
      </c>
      <c r="F2677" s="1" t="s">
        <v>13</v>
      </c>
      <c r="G2677" s="1" t="s">
        <v>11409</v>
      </c>
    </row>
    <row r="2678" spans="1:7" ht="21" x14ac:dyDescent="0.25">
      <c r="A2678" s="2" t="str">
        <f>HYPERLINK("https://rth.dk/resources/bsgatlas/details.php?id=BSGatlas-gene-2677","BSGatlas-gene-2677")</f>
        <v>BSGatlas-gene-2677</v>
      </c>
      <c r="B2678" s="1" t="s">
        <v>2417</v>
      </c>
      <c r="C2678" s="1" t="s">
        <v>8</v>
      </c>
      <c r="D2678" s="1">
        <v>2384783</v>
      </c>
      <c r="E2678" s="1">
        <v>2385355</v>
      </c>
      <c r="F2678" s="1" t="s">
        <v>13</v>
      </c>
      <c r="G2678" s="1" t="s">
        <v>11409</v>
      </c>
    </row>
    <row r="2679" spans="1:7" ht="21" x14ac:dyDescent="0.25">
      <c r="A2679" s="2" t="str">
        <f>HYPERLINK("https://rth.dk/resources/bsgatlas/details.php?id=BSGatlas-gene-2678","BSGatlas-gene-2678")</f>
        <v>BSGatlas-gene-2678</v>
      </c>
      <c r="B2679" s="1" t="s">
        <v>2418</v>
      </c>
      <c r="C2679" s="1" t="s">
        <v>8</v>
      </c>
      <c r="D2679" s="1">
        <v>2385543</v>
      </c>
      <c r="E2679" s="1">
        <v>2385821</v>
      </c>
      <c r="F2679" s="1" t="s">
        <v>13</v>
      </c>
      <c r="G2679" s="1" t="s">
        <v>11409</v>
      </c>
    </row>
    <row r="2680" spans="1:7" ht="21" x14ac:dyDescent="0.25">
      <c r="A2680" s="2" t="str">
        <f>HYPERLINK("https://rth.dk/resources/bsgatlas/details.php?id=BSGatlas-gene-2679","BSGatlas-gene-2679")</f>
        <v>BSGatlas-gene-2679</v>
      </c>
      <c r="B2680" s="1" t="s">
        <v>2419</v>
      </c>
      <c r="C2680" s="1" t="s">
        <v>8</v>
      </c>
      <c r="D2680" s="1">
        <v>2386195</v>
      </c>
      <c r="E2680" s="1">
        <v>2387673</v>
      </c>
      <c r="F2680" s="1" t="s">
        <v>13</v>
      </c>
      <c r="G2680" s="1" t="s">
        <v>11409</v>
      </c>
    </row>
    <row r="2681" spans="1:7" ht="21" x14ac:dyDescent="0.25">
      <c r="A2681" s="2" t="str">
        <f>HYPERLINK("https://rth.dk/resources/bsgatlas/details.php?id=BSGatlas-gene-2680","BSGatlas-gene-2680")</f>
        <v>BSGatlas-gene-2680</v>
      </c>
      <c r="B2681" s="1" t="s">
        <v>2420</v>
      </c>
      <c r="C2681" s="1" t="s">
        <v>8</v>
      </c>
      <c r="D2681" s="1">
        <v>2387854</v>
      </c>
      <c r="E2681" s="1">
        <v>2388588</v>
      </c>
      <c r="F2681" s="1" t="s">
        <v>13</v>
      </c>
      <c r="G2681" s="1" t="s">
        <v>11409</v>
      </c>
    </row>
    <row r="2682" spans="1:7" ht="21" x14ac:dyDescent="0.25">
      <c r="A2682" s="2" t="str">
        <f>HYPERLINK("https://rth.dk/resources/bsgatlas/details.php?id=BSGatlas-gene-2681","BSGatlas-gene-2681")</f>
        <v>BSGatlas-gene-2681</v>
      </c>
      <c r="B2682" s="1" t="s">
        <v>2421</v>
      </c>
      <c r="C2682" s="1" t="s">
        <v>8</v>
      </c>
      <c r="D2682" s="1">
        <v>2388610</v>
      </c>
      <c r="E2682" s="1">
        <v>2388813</v>
      </c>
      <c r="F2682" s="1" t="s">
        <v>13</v>
      </c>
      <c r="G2682" s="1" t="s">
        <v>11409</v>
      </c>
    </row>
    <row r="2683" spans="1:7" ht="21" x14ac:dyDescent="0.25">
      <c r="A2683" s="2" t="str">
        <f>HYPERLINK("https://rth.dk/resources/bsgatlas/details.php?id=BSGatlas-gene-2682","BSGatlas-gene-2682")</f>
        <v>BSGatlas-gene-2682</v>
      </c>
      <c r="B2683" s="1" t="s">
        <v>2422</v>
      </c>
      <c r="C2683" s="1" t="s">
        <v>12</v>
      </c>
      <c r="D2683" s="1">
        <v>2388935</v>
      </c>
      <c r="E2683" s="1">
        <v>2389134</v>
      </c>
      <c r="F2683" s="1" t="s">
        <v>13</v>
      </c>
      <c r="G2683" s="1" t="s">
        <v>11406</v>
      </c>
    </row>
    <row r="2684" spans="1:7" ht="21" x14ac:dyDescent="0.25">
      <c r="A2684" s="2" t="str">
        <f>HYPERLINK("https://rth.dk/resources/bsgatlas/details.php?id=BSGatlas-gene-2683","BSGatlas-gene-2683")</f>
        <v>BSGatlas-gene-2683</v>
      </c>
      <c r="B2684" s="1" t="s">
        <v>2423</v>
      </c>
      <c r="C2684" s="1" t="s">
        <v>8</v>
      </c>
      <c r="D2684" s="1">
        <v>2389151</v>
      </c>
      <c r="E2684" s="1">
        <v>2390188</v>
      </c>
      <c r="F2684" s="1" t="s">
        <v>13</v>
      </c>
      <c r="G2684" s="1" t="s">
        <v>11409</v>
      </c>
    </row>
    <row r="2685" spans="1:7" ht="21" x14ac:dyDescent="0.25">
      <c r="A2685" s="2" t="str">
        <f>HYPERLINK("https://rth.dk/resources/bsgatlas/details.php?id=BSGatlas-gene-2684","BSGatlas-gene-2684")</f>
        <v>BSGatlas-gene-2684</v>
      </c>
      <c r="B2685" s="1" t="s">
        <v>2424</v>
      </c>
      <c r="C2685" s="1" t="s">
        <v>8</v>
      </c>
      <c r="D2685" s="1">
        <v>2390206</v>
      </c>
      <c r="E2685" s="1">
        <v>2391516</v>
      </c>
      <c r="F2685" s="1" t="s">
        <v>13</v>
      </c>
      <c r="G2685" s="1" t="s">
        <v>11409</v>
      </c>
    </row>
    <row r="2686" spans="1:7" ht="21" x14ac:dyDescent="0.25">
      <c r="A2686" s="2" t="str">
        <f>HYPERLINK("https://rth.dk/resources/bsgatlas/details.php?id=BSGatlas-gene-2685","BSGatlas-gene-2685")</f>
        <v>BSGatlas-gene-2685</v>
      </c>
      <c r="B2686" s="1" t="s">
        <v>2425</v>
      </c>
      <c r="C2686" s="1" t="s">
        <v>8</v>
      </c>
      <c r="D2686" s="1">
        <v>2391670</v>
      </c>
      <c r="E2686" s="1">
        <v>2391864</v>
      </c>
      <c r="F2686" s="1" t="s">
        <v>13</v>
      </c>
      <c r="G2686" s="1" t="s">
        <v>11409</v>
      </c>
    </row>
    <row r="2687" spans="1:7" ht="21" x14ac:dyDescent="0.25">
      <c r="A2687" s="2" t="str">
        <f>HYPERLINK("https://rth.dk/resources/bsgatlas/details.php?id=BSGatlas-gene-2686","BSGatlas-gene-2686")</f>
        <v>BSGatlas-gene-2686</v>
      </c>
      <c r="B2687" s="1" t="s">
        <v>2426</v>
      </c>
      <c r="C2687" s="1" t="s">
        <v>8</v>
      </c>
      <c r="D2687" s="1">
        <v>2391861</v>
      </c>
      <c r="E2687" s="1">
        <v>2392754</v>
      </c>
      <c r="F2687" s="1" t="s">
        <v>13</v>
      </c>
      <c r="G2687" s="1" t="s">
        <v>11409</v>
      </c>
    </row>
    <row r="2688" spans="1:7" ht="21" x14ac:dyDescent="0.25">
      <c r="A2688" s="2" t="str">
        <f>HYPERLINK("https://rth.dk/resources/bsgatlas/details.php?id=BSGatlas-gene-2687","BSGatlas-gene-2687")</f>
        <v>BSGatlas-gene-2687</v>
      </c>
      <c r="B2688" s="1" t="s">
        <v>2427</v>
      </c>
      <c r="C2688" s="1" t="s">
        <v>8</v>
      </c>
      <c r="D2688" s="1">
        <v>2392751</v>
      </c>
      <c r="E2688" s="1">
        <v>2393350</v>
      </c>
      <c r="F2688" s="1" t="s">
        <v>13</v>
      </c>
      <c r="G2688" s="1" t="s">
        <v>11409</v>
      </c>
    </row>
    <row r="2689" spans="1:7" ht="21" x14ac:dyDescent="0.25">
      <c r="A2689" s="2" t="str">
        <f>HYPERLINK("https://rth.dk/resources/bsgatlas/details.php?id=BSGatlas-gene-2688","BSGatlas-gene-2688")</f>
        <v>BSGatlas-gene-2688</v>
      </c>
      <c r="B2689" s="1" t="s">
        <v>2428</v>
      </c>
      <c r="C2689" s="1" t="s">
        <v>8</v>
      </c>
      <c r="D2689" s="1">
        <v>2393428</v>
      </c>
      <c r="E2689" s="1">
        <v>2393559</v>
      </c>
      <c r="F2689" s="1" t="s">
        <v>9</v>
      </c>
      <c r="G2689" s="1" t="s">
        <v>11409</v>
      </c>
    </row>
    <row r="2690" spans="1:7" ht="21" x14ac:dyDescent="0.25">
      <c r="A2690" s="2" t="str">
        <f>HYPERLINK("https://rth.dk/resources/bsgatlas/details.php?id=BSGatlas-gene-2689","BSGatlas-gene-2689")</f>
        <v>BSGatlas-gene-2689</v>
      </c>
      <c r="B2690" s="1" t="s">
        <v>2429</v>
      </c>
      <c r="C2690" s="1" t="s">
        <v>8</v>
      </c>
      <c r="D2690" s="1">
        <v>2393602</v>
      </c>
      <c r="E2690" s="1">
        <v>2394651</v>
      </c>
      <c r="F2690" s="1" t="s">
        <v>13</v>
      </c>
      <c r="G2690" s="1" t="s">
        <v>11409</v>
      </c>
    </row>
    <row r="2691" spans="1:7" ht="21" x14ac:dyDescent="0.25">
      <c r="A2691" s="2" t="str">
        <f>HYPERLINK("https://rth.dk/resources/bsgatlas/details.php?id=BSGatlas-gene-2690","BSGatlas-gene-2690")</f>
        <v>BSGatlas-gene-2690</v>
      </c>
      <c r="B2691" s="1" t="s">
        <v>2430</v>
      </c>
      <c r="C2691" s="1" t="s">
        <v>8</v>
      </c>
      <c r="D2691" s="1">
        <v>2394664</v>
      </c>
      <c r="E2691" s="1">
        <v>2395812</v>
      </c>
      <c r="F2691" s="1" t="s">
        <v>13</v>
      </c>
      <c r="G2691" s="1" t="s">
        <v>11409</v>
      </c>
    </row>
    <row r="2692" spans="1:7" ht="21" x14ac:dyDescent="0.25">
      <c r="A2692" s="2" t="str">
        <f>HYPERLINK("https://rth.dk/resources/bsgatlas/details.php?id=BSGatlas-gene-2691","BSGatlas-gene-2691")</f>
        <v>BSGatlas-gene-2691</v>
      </c>
      <c r="B2692" s="1" t="s">
        <v>2431</v>
      </c>
      <c r="C2692" s="1" t="s">
        <v>8</v>
      </c>
      <c r="D2692" s="1">
        <v>2396045</v>
      </c>
      <c r="E2692" s="1">
        <v>2396719</v>
      </c>
      <c r="F2692" s="1" t="s">
        <v>13</v>
      </c>
      <c r="G2692" s="1" t="s">
        <v>11409</v>
      </c>
    </row>
    <row r="2693" spans="1:7" ht="21" x14ac:dyDescent="0.25">
      <c r="A2693" s="2" t="str">
        <f>HYPERLINK("https://rth.dk/resources/bsgatlas/details.php?id=BSGatlas-gene-2692","BSGatlas-gene-2692")</f>
        <v>BSGatlas-gene-2692</v>
      </c>
      <c r="B2693" s="1" t="s">
        <v>2432</v>
      </c>
      <c r="C2693" s="1" t="s">
        <v>8</v>
      </c>
      <c r="D2693" s="1">
        <v>2396798</v>
      </c>
      <c r="E2693" s="1">
        <v>2396974</v>
      </c>
      <c r="F2693" s="1" t="s">
        <v>13</v>
      </c>
      <c r="G2693" s="1" t="s">
        <v>11409</v>
      </c>
    </row>
    <row r="2694" spans="1:7" ht="21" x14ac:dyDescent="0.25">
      <c r="A2694" s="2" t="str">
        <f>HYPERLINK("https://rth.dk/resources/bsgatlas/details.php?id=BSGatlas-gene-2693","BSGatlas-gene-2693")</f>
        <v>BSGatlas-gene-2693</v>
      </c>
      <c r="B2694" s="1" t="s">
        <v>2433</v>
      </c>
      <c r="C2694" s="1" t="s">
        <v>8</v>
      </c>
      <c r="D2694" s="1">
        <v>2397019</v>
      </c>
      <c r="E2694" s="1">
        <v>2397672</v>
      </c>
      <c r="F2694" s="1" t="s">
        <v>13</v>
      </c>
      <c r="G2694" s="1" t="s">
        <v>11409</v>
      </c>
    </row>
    <row r="2695" spans="1:7" ht="21" x14ac:dyDescent="0.25">
      <c r="A2695" s="2" t="str">
        <f>HYPERLINK("https://rth.dk/resources/bsgatlas/details.php?id=BSGatlas-gene-2694","BSGatlas-gene-2694")</f>
        <v>BSGatlas-gene-2694</v>
      </c>
      <c r="B2695" s="1" t="s">
        <v>2434</v>
      </c>
      <c r="C2695" s="1" t="s">
        <v>8</v>
      </c>
      <c r="D2695" s="1">
        <v>2397765</v>
      </c>
      <c r="E2695" s="1">
        <v>2399117</v>
      </c>
      <c r="F2695" s="1" t="s">
        <v>13</v>
      </c>
      <c r="G2695" s="1" t="s">
        <v>11409</v>
      </c>
    </row>
    <row r="2696" spans="1:7" ht="21" x14ac:dyDescent="0.25">
      <c r="A2696" s="2" t="str">
        <f>HYPERLINK("https://rth.dk/resources/bsgatlas/details.php?id=BSGatlas-gene-2695","BSGatlas-gene-2695")</f>
        <v>BSGatlas-gene-2695</v>
      </c>
      <c r="B2696" s="1" t="s">
        <v>2435</v>
      </c>
      <c r="C2696" s="1" t="s">
        <v>8</v>
      </c>
      <c r="D2696" s="1">
        <v>2399152</v>
      </c>
      <c r="E2696" s="1">
        <v>2400069</v>
      </c>
      <c r="F2696" s="1" t="s">
        <v>13</v>
      </c>
      <c r="G2696" s="1" t="s">
        <v>11409</v>
      </c>
    </row>
    <row r="2697" spans="1:7" ht="21" x14ac:dyDescent="0.25">
      <c r="A2697" s="2" t="str">
        <f>HYPERLINK("https://rth.dk/resources/bsgatlas/details.php?id=BSGatlas-gene-2696","BSGatlas-gene-2696")</f>
        <v>BSGatlas-gene-2696</v>
      </c>
      <c r="B2697" s="1" t="s">
        <v>2436</v>
      </c>
      <c r="C2697" s="1" t="s">
        <v>8</v>
      </c>
      <c r="D2697" s="1">
        <v>2400208</v>
      </c>
      <c r="E2697" s="1">
        <v>2400864</v>
      </c>
      <c r="F2697" s="1" t="s">
        <v>13</v>
      </c>
      <c r="G2697" s="1" t="s">
        <v>11409</v>
      </c>
    </row>
    <row r="2698" spans="1:7" ht="21" x14ac:dyDescent="0.25">
      <c r="A2698" s="2" t="str">
        <f>HYPERLINK("https://rth.dk/resources/bsgatlas/details.php?id=BSGatlas-gene-2697","BSGatlas-gene-2697")</f>
        <v>BSGatlas-gene-2697</v>
      </c>
      <c r="B2698" s="1" t="s">
        <v>2437</v>
      </c>
      <c r="C2698" s="1" t="s">
        <v>8</v>
      </c>
      <c r="D2698" s="1">
        <v>2400984</v>
      </c>
      <c r="E2698" s="1">
        <v>2401958</v>
      </c>
      <c r="F2698" s="1" t="s">
        <v>13</v>
      </c>
      <c r="G2698" s="1" t="s">
        <v>11409</v>
      </c>
    </row>
    <row r="2699" spans="1:7" ht="21" x14ac:dyDescent="0.25">
      <c r="A2699" s="2" t="str">
        <f>HYPERLINK("https://rth.dk/resources/bsgatlas/details.php?id=BSGatlas-gene-2698","BSGatlas-gene-2698")</f>
        <v>BSGatlas-gene-2698</v>
      </c>
      <c r="B2699" s="1" t="s">
        <v>2438</v>
      </c>
      <c r="C2699" s="1" t="s">
        <v>12</v>
      </c>
      <c r="D2699" s="1">
        <v>2401843</v>
      </c>
      <c r="E2699" s="1">
        <v>2402036</v>
      </c>
      <c r="F2699" s="1" t="s">
        <v>9</v>
      </c>
      <c r="G2699" s="1" t="s">
        <v>11406</v>
      </c>
    </row>
    <row r="2700" spans="1:7" ht="21" x14ac:dyDescent="0.25">
      <c r="A2700" s="2" t="str">
        <f>HYPERLINK("https://rth.dk/resources/bsgatlas/details.php?id=BSGatlas-gene-2699","BSGatlas-gene-2699")</f>
        <v>BSGatlas-gene-2699</v>
      </c>
      <c r="B2700" s="1" t="s">
        <v>2439</v>
      </c>
      <c r="C2700" s="1" t="s">
        <v>8</v>
      </c>
      <c r="D2700" s="1">
        <v>2402067</v>
      </c>
      <c r="E2700" s="1">
        <v>2403350</v>
      </c>
      <c r="F2700" s="1" t="s">
        <v>13</v>
      </c>
      <c r="G2700" s="1" t="s">
        <v>11409</v>
      </c>
    </row>
    <row r="2701" spans="1:7" ht="21" x14ac:dyDescent="0.25">
      <c r="A2701" s="2" t="str">
        <f>HYPERLINK("https://rth.dk/resources/bsgatlas/details.php?id=BSGatlas-gene-2700","BSGatlas-gene-2700")</f>
        <v>BSGatlas-gene-2700</v>
      </c>
      <c r="B2701" s="1" t="s">
        <v>2440</v>
      </c>
      <c r="C2701" s="1" t="s">
        <v>8</v>
      </c>
      <c r="D2701" s="1">
        <v>2403506</v>
      </c>
      <c r="E2701" s="1">
        <v>2404090</v>
      </c>
      <c r="F2701" s="1" t="s">
        <v>13</v>
      </c>
      <c r="G2701" s="1" t="s">
        <v>11409</v>
      </c>
    </row>
    <row r="2702" spans="1:7" ht="21" x14ac:dyDescent="0.25">
      <c r="A2702" s="2" t="str">
        <f>HYPERLINK("https://rth.dk/resources/bsgatlas/details.php?id=BSGatlas-gene-2701","BSGatlas-gene-2701")</f>
        <v>BSGatlas-gene-2701</v>
      </c>
      <c r="B2702" s="1" t="s">
        <v>2441</v>
      </c>
      <c r="C2702" s="1" t="s">
        <v>8</v>
      </c>
      <c r="D2702" s="1">
        <v>2404249</v>
      </c>
      <c r="E2702" s="1">
        <v>2405028</v>
      </c>
      <c r="F2702" s="1" t="s">
        <v>13</v>
      </c>
      <c r="G2702" s="1" t="s">
        <v>11409</v>
      </c>
    </row>
    <row r="2703" spans="1:7" ht="21" x14ac:dyDescent="0.25">
      <c r="A2703" s="2" t="str">
        <f>HYPERLINK("https://rth.dk/resources/bsgatlas/details.php?id=BSGatlas-gene-2702","BSGatlas-gene-2702")</f>
        <v>BSGatlas-gene-2702</v>
      </c>
      <c r="B2703" s="1" t="s">
        <v>2442</v>
      </c>
      <c r="C2703" s="1" t="s">
        <v>8</v>
      </c>
      <c r="D2703" s="1">
        <v>2405114</v>
      </c>
      <c r="E2703" s="1">
        <v>2405557</v>
      </c>
      <c r="F2703" s="1" t="s">
        <v>13</v>
      </c>
      <c r="G2703" s="1" t="s">
        <v>11409</v>
      </c>
    </row>
    <row r="2704" spans="1:7" ht="21" x14ac:dyDescent="0.25">
      <c r="A2704" s="2" t="str">
        <f>HYPERLINK("https://rth.dk/resources/bsgatlas/details.php?id=BSGatlas-gene-2703","BSGatlas-gene-2703")</f>
        <v>BSGatlas-gene-2703</v>
      </c>
      <c r="B2704" s="1" t="s">
        <v>2443</v>
      </c>
      <c r="C2704" s="1" t="s">
        <v>8</v>
      </c>
      <c r="D2704" s="1">
        <v>2405620</v>
      </c>
      <c r="E2704" s="1">
        <v>2406342</v>
      </c>
      <c r="F2704" s="1" t="s">
        <v>13</v>
      </c>
      <c r="G2704" s="1" t="s">
        <v>11409</v>
      </c>
    </row>
    <row r="2705" spans="1:7" ht="21" x14ac:dyDescent="0.25">
      <c r="A2705" s="2" t="str">
        <f>HYPERLINK("https://rth.dk/resources/bsgatlas/details.php?id=BSGatlas-gene-2704","BSGatlas-gene-2704")</f>
        <v>BSGatlas-gene-2704</v>
      </c>
      <c r="B2705" s="1" t="s">
        <v>2444</v>
      </c>
      <c r="C2705" s="1" t="s">
        <v>8</v>
      </c>
      <c r="D2705" s="1">
        <v>2406293</v>
      </c>
      <c r="E2705" s="1">
        <v>2406862</v>
      </c>
      <c r="F2705" s="1" t="s">
        <v>13</v>
      </c>
      <c r="G2705" s="1" t="s">
        <v>11409</v>
      </c>
    </row>
    <row r="2706" spans="1:7" ht="21" x14ac:dyDescent="0.25">
      <c r="A2706" s="2" t="str">
        <f>HYPERLINK("https://rth.dk/resources/bsgatlas/details.php?id=BSGatlas-gene-2705","BSGatlas-gene-2705")</f>
        <v>BSGatlas-gene-2705</v>
      </c>
      <c r="B2706" s="1" t="s">
        <v>11661</v>
      </c>
      <c r="C2706" s="1" t="s">
        <v>12</v>
      </c>
      <c r="D2706" s="1">
        <v>2406881</v>
      </c>
      <c r="E2706" s="1">
        <v>2407627</v>
      </c>
      <c r="F2706" s="1" t="s">
        <v>9</v>
      </c>
      <c r="G2706" s="1" t="s">
        <v>11406</v>
      </c>
    </row>
    <row r="2707" spans="1:7" ht="21" x14ac:dyDescent="0.25">
      <c r="A2707" s="2" t="str">
        <f>HYPERLINK("https://rth.dk/resources/bsgatlas/details.php?id=BSGatlas-gene-2706","BSGatlas-gene-2706")</f>
        <v>BSGatlas-gene-2706</v>
      </c>
      <c r="B2707" s="1" t="s">
        <v>11662</v>
      </c>
      <c r="C2707" s="1" t="s">
        <v>8</v>
      </c>
      <c r="D2707" s="1">
        <v>2406922</v>
      </c>
      <c r="E2707" s="1">
        <v>2408412</v>
      </c>
      <c r="F2707" s="1" t="s">
        <v>13</v>
      </c>
      <c r="G2707" s="1" t="s">
        <v>11409</v>
      </c>
    </row>
    <row r="2708" spans="1:7" ht="21" x14ac:dyDescent="0.25">
      <c r="A2708" s="2" t="str">
        <f>HYPERLINK("https://rth.dk/resources/bsgatlas/details.php?id=BSGatlas-gene-2707","BSGatlas-gene-2707")</f>
        <v>BSGatlas-gene-2707</v>
      </c>
      <c r="B2708" s="1" t="s">
        <v>2445</v>
      </c>
      <c r="C2708" s="1" t="s">
        <v>8</v>
      </c>
      <c r="D2708" s="1">
        <v>2408405</v>
      </c>
      <c r="E2708" s="1">
        <v>2409463</v>
      </c>
      <c r="F2708" s="1" t="s">
        <v>13</v>
      </c>
      <c r="G2708" s="1" t="s">
        <v>11409</v>
      </c>
    </row>
    <row r="2709" spans="1:7" ht="21" x14ac:dyDescent="0.25">
      <c r="A2709" s="2" t="str">
        <f>HYPERLINK("https://rth.dk/resources/bsgatlas/details.php?id=BSGatlas-gene-2708","BSGatlas-gene-2708")</f>
        <v>BSGatlas-gene-2708</v>
      </c>
      <c r="B2709" s="1" t="s">
        <v>2446</v>
      </c>
      <c r="C2709" s="1" t="s">
        <v>8</v>
      </c>
      <c r="D2709" s="1">
        <v>2409729</v>
      </c>
      <c r="E2709" s="1">
        <v>2409977</v>
      </c>
      <c r="F2709" s="1" t="s">
        <v>9</v>
      </c>
      <c r="G2709" s="1" t="s">
        <v>11409</v>
      </c>
    </row>
    <row r="2710" spans="1:7" ht="21" x14ac:dyDescent="0.25">
      <c r="A2710" s="2" t="str">
        <f>HYPERLINK("https://rth.dk/resources/bsgatlas/details.php?id=BSGatlas-gene-2709","BSGatlas-gene-2709")</f>
        <v>BSGatlas-gene-2709</v>
      </c>
      <c r="B2710" s="1" t="s">
        <v>2447</v>
      </c>
      <c r="C2710" s="1" t="s">
        <v>8</v>
      </c>
      <c r="D2710" s="1">
        <v>2410017</v>
      </c>
      <c r="E2710" s="1">
        <v>2410589</v>
      </c>
      <c r="F2710" s="1" t="s">
        <v>13</v>
      </c>
      <c r="G2710" s="1" t="s">
        <v>11409</v>
      </c>
    </row>
    <row r="2711" spans="1:7" ht="21" x14ac:dyDescent="0.25">
      <c r="A2711" s="2" t="str">
        <f>HYPERLINK("https://rth.dk/resources/bsgatlas/details.php?id=BSGatlas-gene-2710","BSGatlas-gene-2710")</f>
        <v>BSGatlas-gene-2710</v>
      </c>
      <c r="B2711" s="1" t="s">
        <v>11663</v>
      </c>
      <c r="C2711" s="1" t="s">
        <v>34</v>
      </c>
      <c r="D2711" s="1">
        <v>2410581</v>
      </c>
      <c r="E2711" s="1">
        <v>2410888</v>
      </c>
      <c r="F2711" s="1" t="s">
        <v>13</v>
      </c>
      <c r="G2711" s="1" t="s">
        <v>11464</v>
      </c>
    </row>
    <row r="2712" spans="1:7" ht="21" x14ac:dyDescent="0.25">
      <c r="A2712" s="2" t="str">
        <f>HYPERLINK("https://rth.dk/resources/bsgatlas/details.php?id=BSGatlas-gene-2711","BSGatlas-gene-2711")</f>
        <v>BSGatlas-gene-2711</v>
      </c>
      <c r="B2712" s="1" t="s">
        <v>2448</v>
      </c>
      <c r="C2712" s="1" t="s">
        <v>8</v>
      </c>
      <c r="D2712" s="1">
        <v>2410695</v>
      </c>
      <c r="E2712" s="1">
        <v>2410859</v>
      </c>
      <c r="F2712" s="1" t="s">
        <v>13</v>
      </c>
      <c r="G2712" s="1" t="s">
        <v>11496</v>
      </c>
    </row>
    <row r="2713" spans="1:7" ht="21" x14ac:dyDescent="0.25">
      <c r="A2713" s="2" t="str">
        <f>HYPERLINK("https://rth.dk/resources/bsgatlas/details.php?id=BSGatlas-gene-2712","BSGatlas-gene-2712")</f>
        <v>BSGatlas-gene-2712</v>
      </c>
      <c r="B2713" s="1" t="s">
        <v>2449</v>
      </c>
      <c r="C2713" s="1" t="s">
        <v>8</v>
      </c>
      <c r="D2713" s="1">
        <v>2411086</v>
      </c>
      <c r="E2713" s="1">
        <v>2412663</v>
      </c>
      <c r="F2713" s="1" t="s">
        <v>9</v>
      </c>
      <c r="G2713" s="1" t="s">
        <v>11409</v>
      </c>
    </row>
    <row r="2714" spans="1:7" ht="21" x14ac:dyDescent="0.25">
      <c r="A2714" s="2" t="str">
        <f>HYPERLINK("https://rth.dk/resources/bsgatlas/details.php?id=BSGatlas-gene-2713","BSGatlas-gene-2713")</f>
        <v>BSGatlas-gene-2713</v>
      </c>
      <c r="B2714" s="1" t="s">
        <v>2450</v>
      </c>
      <c r="C2714" s="1" t="s">
        <v>8</v>
      </c>
      <c r="D2714" s="1">
        <v>2412706</v>
      </c>
      <c r="E2714" s="1">
        <v>2413473</v>
      </c>
      <c r="F2714" s="1" t="s">
        <v>13</v>
      </c>
      <c r="G2714" s="1" t="s">
        <v>11409</v>
      </c>
    </row>
    <row r="2715" spans="1:7" ht="21" x14ac:dyDescent="0.25">
      <c r="A2715" s="2" t="str">
        <f>HYPERLINK("https://rth.dk/resources/bsgatlas/details.php?id=BSGatlas-gene-2714","BSGatlas-gene-2714")</f>
        <v>BSGatlas-gene-2714</v>
      </c>
      <c r="B2715" s="1" t="s">
        <v>2451</v>
      </c>
      <c r="C2715" s="1" t="s">
        <v>8</v>
      </c>
      <c r="D2715" s="1">
        <v>2413585</v>
      </c>
      <c r="E2715" s="1">
        <v>2414691</v>
      </c>
      <c r="F2715" s="1" t="s">
        <v>13</v>
      </c>
      <c r="G2715" s="1" t="s">
        <v>11409</v>
      </c>
    </row>
    <row r="2716" spans="1:7" ht="21" x14ac:dyDescent="0.25">
      <c r="A2716" s="2" t="str">
        <f>HYPERLINK("https://rth.dk/resources/bsgatlas/details.php?id=BSGatlas-gene-2715","BSGatlas-gene-2715")</f>
        <v>BSGatlas-gene-2715</v>
      </c>
      <c r="B2716" s="1" t="s">
        <v>2452</v>
      </c>
      <c r="C2716" s="1" t="s">
        <v>8</v>
      </c>
      <c r="D2716" s="1">
        <v>2414627</v>
      </c>
      <c r="E2716" s="1">
        <v>2415211</v>
      </c>
      <c r="F2716" s="1" t="s">
        <v>13</v>
      </c>
      <c r="G2716" s="1" t="s">
        <v>11409</v>
      </c>
    </row>
    <row r="2717" spans="1:7" ht="21" x14ac:dyDescent="0.25">
      <c r="A2717" s="2" t="str">
        <f>HYPERLINK("https://rth.dk/resources/bsgatlas/details.php?id=BSGatlas-gene-2716","BSGatlas-gene-2716")</f>
        <v>BSGatlas-gene-2716</v>
      </c>
      <c r="B2717" s="1" t="s">
        <v>2453</v>
      </c>
      <c r="C2717" s="1" t="s">
        <v>12</v>
      </c>
      <c r="D2717" s="1">
        <v>2415264</v>
      </c>
      <c r="E2717" s="1">
        <v>2415371</v>
      </c>
      <c r="F2717" s="1" t="s">
        <v>9</v>
      </c>
      <c r="G2717" s="1" t="s">
        <v>11406</v>
      </c>
    </row>
    <row r="2718" spans="1:7" ht="21" x14ac:dyDescent="0.25">
      <c r="A2718" s="2" t="str">
        <f>HYPERLINK("https://rth.dk/resources/bsgatlas/details.php?id=BSGatlas-gene-2717","BSGatlas-gene-2717")</f>
        <v>BSGatlas-gene-2717</v>
      </c>
      <c r="B2718" s="1" t="s">
        <v>2454</v>
      </c>
      <c r="C2718" s="1" t="s">
        <v>8</v>
      </c>
      <c r="D2718" s="1">
        <v>2415415</v>
      </c>
      <c r="E2718" s="1">
        <v>2417184</v>
      </c>
      <c r="F2718" s="1" t="s">
        <v>13</v>
      </c>
      <c r="G2718" s="1" t="s">
        <v>11409</v>
      </c>
    </row>
    <row r="2719" spans="1:7" ht="21" x14ac:dyDescent="0.25">
      <c r="A2719" s="2" t="str">
        <f>HYPERLINK("https://rth.dk/resources/bsgatlas/details.php?id=BSGatlas-gene-2718","BSGatlas-gene-2718")</f>
        <v>BSGatlas-gene-2718</v>
      </c>
      <c r="B2719" s="1" t="s">
        <v>2455</v>
      </c>
      <c r="C2719" s="1" t="s">
        <v>8</v>
      </c>
      <c r="D2719" s="1">
        <v>2417181</v>
      </c>
      <c r="E2719" s="1">
        <v>2417903</v>
      </c>
      <c r="F2719" s="1" t="s">
        <v>13</v>
      </c>
      <c r="G2719" s="1" t="s">
        <v>11409</v>
      </c>
    </row>
    <row r="2720" spans="1:7" ht="21" x14ac:dyDescent="0.25">
      <c r="A2720" s="2" t="str">
        <f>HYPERLINK("https://rth.dk/resources/bsgatlas/details.php?id=BSGatlas-gene-2719","BSGatlas-gene-2719")</f>
        <v>BSGatlas-gene-2719</v>
      </c>
      <c r="B2720" s="1" t="s">
        <v>2456</v>
      </c>
      <c r="C2720" s="1" t="s">
        <v>8</v>
      </c>
      <c r="D2720" s="1">
        <v>2417984</v>
      </c>
      <c r="E2720" s="1">
        <v>2419159</v>
      </c>
      <c r="F2720" s="1" t="s">
        <v>13</v>
      </c>
      <c r="G2720" s="1" t="s">
        <v>11409</v>
      </c>
    </row>
    <row r="2721" spans="1:7" ht="21" x14ac:dyDescent="0.25">
      <c r="A2721" s="2" t="str">
        <f>HYPERLINK("https://rth.dk/resources/bsgatlas/details.php?id=BSGatlas-gene-2720","BSGatlas-gene-2720")</f>
        <v>BSGatlas-gene-2720</v>
      </c>
      <c r="B2721" s="1" t="s">
        <v>2457</v>
      </c>
      <c r="C2721" s="1" t="s">
        <v>8</v>
      </c>
      <c r="D2721" s="1">
        <v>2419179</v>
      </c>
      <c r="E2721" s="1">
        <v>2420807</v>
      </c>
      <c r="F2721" s="1" t="s">
        <v>13</v>
      </c>
      <c r="G2721" s="1" t="s">
        <v>11409</v>
      </c>
    </row>
    <row r="2722" spans="1:7" ht="21" x14ac:dyDescent="0.25">
      <c r="A2722" s="2" t="str">
        <f>HYPERLINK("https://rth.dk/resources/bsgatlas/details.php?id=BSGatlas-gene-2721","BSGatlas-gene-2721")</f>
        <v>BSGatlas-gene-2721</v>
      </c>
      <c r="B2722" s="1" t="s">
        <v>2458</v>
      </c>
      <c r="C2722" s="1" t="s">
        <v>8</v>
      </c>
      <c r="D2722" s="1">
        <v>2420804</v>
      </c>
      <c r="E2722" s="1">
        <v>2421343</v>
      </c>
      <c r="F2722" s="1" t="s">
        <v>13</v>
      </c>
      <c r="G2722" s="1" t="s">
        <v>11409</v>
      </c>
    </row>
    <row r="2723" spans="1:7" ht="21" x14ac:dyDescent="0.25">
      <c r="A2723" s="2" t="str">
        <f>HYPERLINK("https://rth.dk/resources/bsgatlas/details.php?id=BSGatlas-gene-2722","BSGatlas-gene-2722")</f>
        <v>BSGatlas-gene-2722</v>
      </c>
      <c r="B2723" s="1" t="s">
        <v>2459</v>
      </c>
      <c r="C2723" s="1" t="s">
        <v>8</v>
      </c>
      <c r="D2723" s="1">
        <v>2421438</v>
      </c>
      <c r="E2723" s="1">
        <v>2422172</v>
      </c>
      <c r="F2723" s="1" t="s">
        <v>13</v>
      </c>
      <c r="G2723" s="1" t="s">
        <v>11409</v>
      </c>
    </row>
    <row r="2724" spans="1:7" ht="21" x14ac:dyDescent="0.25">
      <c r="A2724" s="2" t="str">
        <f>HYPERLINK("https://rth.dk/resources/bsgatlas/details.php?id=BSGatlas-gene-2723","BSGatlas-gene-2723")</f>
        <v>BSGatlas-gene-2723</v>
      </c>
      <c r="B2724" s="1" t="s">
        <v>2460</v>
      </c>
      <c r="C2724" s="1" t="s">
        <v>8</v>
      </c>
      <c r="D2724" s="1">
        <v>2422264</v>
      </c>
      <c r="E2724" s="1">
        <v>2422800</v>
      </c>
      <c r="F2724" s="1" t="s">
        <v>13</v>
      </c>
      <c r="G2724" s="1" t="s">
        <v>11409</v>
      </c>
    </row>
    <row r="2725" spans="1:7" ht="21" x14ac:dyDescent="0.25">
      <c r="A2725" s="2" t="str">
        <f>HYPERLINK("https://rth.dk/resources/bsgatlas/details.php?id=BSGatlas-gene-2724","BSGatlas-gene-2724")</f>
        <v>BSGatlas-gene-2724</v>
      </c>
      <c r="B2725" s="1" t="s">
        <v>2461</v>
      </c>
      <c r="C2725" s="1" t="s">
        <v>8</v>
      </c>
      <c r="D2725" s="1">
        <v>2422805</v>
      </c>
      <c r="E2725" s="1">
        <v>2423395</v>
      </c>
      <c r="F2725" s="1" t="s">
        <v>13</v>
      </c>
      <c r="G2725" s="1" t="s">
        <v>11409</v>
      </c>
    </row>
    <row r="2726" spans="1:7" ht="21" x14ac:dyDescent="0.25">
      <c r="A2726" s="2" t="str">
        <f>HYPERLINK("https://rth.dk/resources/bsgatlas/details.php?id=BSGatlas-gene-2725","BSGatlas-gene-2725")</f>
        <v>BSGatlas-gene-2725</v>
      </c>
      <c r="B2726" s="1" t="s">
        <v>2462</v>
      </c>
      <c r="C2726" s="1" t="s">
        <v>8</v>
      </c>
      <c r="D2726" s="1">
        <v>2423383</v>
      </c>
      <c r="E2726" s="1">
        <v>2424531</v>
      </c>
      <c r="F2726" s="1" t="s">
        <v>13</v>
      </c>
      <c r="G2726" s="1" t="s">
        <v>11409</v>
      </c>
    </row>
    <row r="2727" spans="1:7" ht="21" x14ac:dyDescent="0.25">
      <c r="A2727" s="2" t="str">
        <f>HYPERLINK("https://rth.dk/resources/bsgatlas/details.php?id=BSGatlas-gene-2726","BSGatlas-gene-2726")</f>
        <v>BSGatlas-gene-2726</v>
      </c>
      <c r="B2727" s="1" t="s">
        <v>2463</v>
      </c>
      <c r="C2727" s="1" t="s">
        <v>8</v>
      </c>
      <c r="D2727" s="1">
        <v>2424654</v>
      </c>
      <c r="E2727" s="1">
        <v>2425193</v>
      </c>
      <c r="F2727" s="1" t="s">
        <v>13</v>
      </c>
      <c r="G2727" s="1" t="s">
        <v>11409</v>
      </c>
    </row>
    <row r="2728" spans="1:7" ht="21" x14ac:dyDescent="0.25">
      <c r="A2728" s="2" t="str">
        <f>HYPERLINK("https://rth.dk/resources/bsgatlas/details.php?id=BSGatlas-gene-2727","BSGatlas-gene-2727")</f>
        <v>BSGatlas-gene-2727</v>
      </c>
      <c r="B2728" s="1" t="s">
        <v>2464</v>
      </c>
      <c r="C2728" s="1" t="s">
        <v>8</v>
      </c>
      <c r="D2728" s="1">
        <v>2425248</v>
      </c>
      <c r="E2728" s="1">
        <v>2425841</v>
      </c>
      <c r="F2728" s="1" t="s">
        <v>13</v>
      </c>
      <c r="G2728" s="1" t="s">
        <v>11409</v>
      </c>
    </row>
    <row r="2729" spans="1:7" ht="21" x14ac:dyDescent="0.25">
      <c r="A2729" s="2" t="str">
        <f>HYPERLINK("https://rth.dk/resources/bsgatlas/details.php?id=BSGatlas-gene-2728","BSGatlas-gene-2728")</f>
        <v>BSGatlas-gene-2728</v>
      </c>
      <c r="B2729" s="1" t="s">
        <v>2465</v>
      </c>
      <c r="C2729" s="1" t="s">
        <v>8</v>
      </c>
      <c r="D2729" s="1">
        <v>2425831</v>
      </c>
      <c r="E2729" s="1">
        <v>2426586</v>
      </c>
      <c r="F2729" s="1" t="s">
        <v>13</v>
      </c>
      <c r="G2729" s="1" t="s">
        <v>11409</v>
      </c>
    </row>
    <row r="2730" spans="1:7" ht="21" x14ac:dyDescent="0.25">
      <c r="A2730" s="2" t="str">
        <f>HYPERLINK("https://rth.dk/resources/bsgatlas/details.php?id=BSGatlas-gene-2729","BSGatlas-gene-2729")</f>
        <v>BSGatlas-gene-2729</v>
      </c>
      <c r="B2730" s="1" t="s">
        <v>2466</v>
      </c>
      <c r="C2730" s="1" t="s">
        <v>8</v>
      </c>
      <c r="D2730" s="1">
        <v>2426867</v>
      </c>
      <c r="E2730" s="1">
        <v>2427391</v>
      </c>
      <c r="F2730" s="1" t="s">
        <v>9</v>
      </c>
      <c r="G2730" s="1" t="s">
        <v>11409</v>
      </c>
    </row>
    <row r="2731" spans="1:7" ht="21" x14ac:dyDescent="0.25">
      <c r="A2731" s="2" t="str">
        <f>HYPERLINK("https://rth.dk/resources/bsgatlas/details.php?id=BSGatlas-gene-2730","BSGatlas-gene-2730")</f>
        <v>BSGatlas-gene-2730</v>
      </c>
      <c r="B2731" s="1" t="s">
        <v>2467</v>
      </c>
      <c r="C2731" s="1" t="s">
        <v>8</v>
      </c>
      <c r="D2731" s="1">
        <v>2427405</v>
      </c>
      <c r="E2731" s="1">
        <v>2427779</v>
      </c>
      <c r="F2731" s="1" t="s">
        <v>13</v>
      </c>
      <c r="G2731" s="1" t="s">
        <v>11409</v>
      </c>
    </row>
    <row r="2732" spans="1:7" ht="21" x14ac:dyDescent="0.25">
      <c r="A2732" s="2" t="str">
        <f>HYPERLINK("https://rth.dk/resources/bsgatlas/details.php?id=BSGatlas-gene-2731","BSGatlas-gene-2731")</f>
        <v>BSGatlas-gene-2731</v>
      </c>
      <c r="B2732" s="1" t="s">
        <v>2468</v>
      </c>
      <c r="C2732" s="1" t="s">
        <v>8</v>
      </c>
      <c r="D2732" s="1">
        <v>2427892</v>
      </c>
      <c r="E2732" s="1">
        <v>2428356</v>
      </c>
      <c r="F2732" s="1" t="s">
        <v>13</v>
      </c>
      <c r="G2732" s="1" t="s">
        <v>11409</v>
      </c>
    </row>
    <row r="2733" spans="1:7" ht="21" x14ac:dyDescent="0.25">
      <c r="A2733" s="2" t="str">
        <f>HYPERLINK("https://rth.dk/resources/bsgatlas/details.php?id=BSGatlas-gene-2732","BSGatlas-gene-2732")</f>
        <v>BSGatlas-gene-2732</v>
      </c>
      <c r="B2733" s="1" t="s">
        <v>2469</v>
      </c>
      <c r="C2733" s="1" t="s">
        <v>8</v>
      </c>
      <c r="D2733" s="1">
        <v>2428389</v>
      </c>
      <c r="E2733" s="1">
        <v>2429585</v>
      </c>
      <c r="F2733" s="1" t="s">
        <v>13</v>
      </c>
      <c r="G2733" s="1" t="s">
        <v>11409</v>
      </c>
    </row>
    <row r="2734" spans="1:7" ht="21" x14ac:dyDescent="0.25">
      <c r="A2734" s="2" t="str">
        <f>HYPERLINK("https://rth.dk/resources/bsgatlas/details.php?id=BSGatlas-gene-2733","BSGatlas-gene-2733")</f>
        <v>BSGatlas-gene-2733</v>
      </c>
      <c r="B2734" s="1" t="s">
        <v>2470</v>
      </c>
      <c r="C2734" s="1" t="s">
        <v>8</v>
      </c>
      <c r="D2734" s="1">
        <v>2429600</v>
      </c>
      <c r="E2734" s="1">
        <v>2430247</v>
      </c>
      <c r="F2734" s="1" t="s">
        <v>13</v>
      </c>
      <c r="G2734" s="1" t="s">
        <v>11409</v>
      </c>
    </row>
    <row r="2735" spans="1:7" ht="21" x14ac:dyDescent="0.25">
      <c r="A2735" s="2" t="str">
        <f>HYPERLINK("https://rth.dk/resources/bsgatlas/details.php?id=BSGatlas-gene-2734","BSGatlas-gene-2734")</f>
        <v>BSGatlas-gene-2734</v>
      </c>
      <c r="B2735" s="1" t="s">
        <v>2471</v>
      </c>
      <c r="C2735" s="1" t="s">
        <v>8</v>
      </c>
      <c r="D2735" s="1">
        <v>2430258</v>
      </c>
      <c r="E2735" s="1">
        <v>2431343</v>
      </c>
      <c r="F2735" s="1" t="s">
        <v>13</v>
      </c>
      <c r="G2735" s="1" t="s">
        <v>11409</v>
      </c>
    </row>
    <row r="2736" spans="1:7" ht="21" x14ac:dyDescent="0.25">
      <c r="A2736" s="2" t="str">
        <f>HYPERLINK("https://rth.dk/resources/bsgatlas/details.php?id=BSGatlas-gene-2735","BSGatlas-gene-2735")</f>
        <v>BSGatlas-gene-2735</v>
      </c>
      <c r="B2736" s="1" t="s">
        <v>2472</v>
      </c>
      <c r="C2736" s="1" t="s">
        <v>34</v>
      </c>
      <c r="D2736" s="1">
        <v>2431472</v>
      </c>
      <c r="E2736" s="1">
        <v>2431617</v>
      </c>
      <c r="F2736" s="1" t="s">
        <v>13</v>
      </c>
      <c r="G2736" s="1" t="s">
        <v>11412</v>
      </c>
    </row>
    <row r="2737" spans="1:7" ht="21" x14ac:dyDescent="0.25">
      <c r="A2737" s="2" t="str">
        <f>HYPERLINK("https://rth.dk/resources/bsgatlas/details.php?id=BSGatlas-gene-2736","BSGatlas-gene-2736")</f>
        <v>BSGatlas-gene-2736</v>
      </c>
      <c r="B2737" s="1" t="s">
        <v>2473</v>
      </c>
      <c r="C2737" s="1" t="s">
        <v>8</v>
      </c>
      <c r="D2737" s="1">
        <v>2431737</v>
      </c>
      <c r="E2737" s="1">
        <v>2432081</v>
      </c>
      <c r="F2737" s="1" t="s">
        <v>13</v>
      </c>
      <c r="G2737" s="1" t="s">
        <v>11409</v>
      </c>
    </row>
    <row r="2738" spans="1:7" ht="21" x14ac:dyDescent="0.25">
      <c r="A2738" s="2" t="str">
        <f>HYPERLINK("https://rth.dk/resources/bsgatlas/details.php?id=BSGatlas-gene-2737","BSGatlas-gene-2737")</f>
        <v>BSGatlas-gene-2737</v>
      </c>
      <c r="B2738" s="1" t="s">
        <v>2474</v>
      </c>
      <c r="C2738" s="1" t="s">
        <v>12</v>
      </c>
      <c r="D2738" s="1">
        <v>2432160</v>
      </c>
      <c r="E2738" s="1">
        <v>2433082</v>
      </c>
      <c r="F2738" s="1" t="s">
        <v>9</v>
      </c>
      <c r="G2738" s="1" t="s">
        <v>11406</v>
      </c>
    </row>
    <row r="2739" spans="1:7" ht="21" x14ac:dyDescent="0.25">
      <c r="A2739" s="2" t="str">
        <f>HYPERLINK("https://rth.dk/resources/bsgatlas/details.php?id=BSGatlas-gene-2738","BSGatlas-gene-2738")</f>
        <v>BSGatlas-gene-2738</v>
      </c>
      <c r="B2739" s="1" t="s">
        <v>2475</v>
      </c>
      <c r="C2739" s="1" t="s">
        <v>8</v>
      </c>
      <c r="D2739" s="1">
        <v>2432316</v>
      </c>
      <c r="E2739" s="1">
        <v>2432870</v>
      </c>
      <c r="F2739" s="1" t="s">
        <v>13</v>
      </c>
      <c r="G2739" s="1" t="s">
        <v>11409</v>
      </c>
    </row>
    <row r="2740" spans="1:7" ht="21" x14ac:dyDescent="0.25">
      <c r="A2740" s="2" t="str">
        <f>HYPERLINK("https://rth.dk/resources/bsgatlas/details.php?id=BSGatlas-gene-2739","BSGatlas-gene-2739")</f>
        <v>BSGatlas-gene-2739</v>
      </c>
      <c r="B2740" s="1" t="s">
        <v>2477</v>
      </c>
      <c r="C2740" s="1" t="s">
        <v>8</v>
      </c>
      <c r="D2740" s="1">
        <v>2433137</v>
      </c>
      <c r="E2740" s="1">
        <v>2433373</v>
      </c>
      <c r="F2740" s="1" t="s">
        <v>9</v>
      </c>
      <c r="G2740" s="1" t="s">
        <v>11409</v>
      </c>
    </row>
    <row r="2741" spans="1:7" ht="21" x14ac:dyDescent="0.25">
      <c r="A2741" s="2" t="str">
        <f>HYPERLINK("https://rth.dk/resources/bsgatlas/details.php?id=BSGatlas-gene-2740","BSGatlas-gene-2740")</f>
        <v>BSGatlas-gene-2740</v>
      </c>
      <c r="B2741" s="1" t="s">
        <v>2476</v>
      </c>
      <c r="C2741" s="1" t="s">
        <v>8</v>
      </c>
      <c r="D2741" s="1">
        <v>2433316</v>
      </c>
      <c r="E2741" s="1">
        <v>2433522</v>
      </c>
      <c r="F2741" s="1" t="s">
        <v>13</v>
      </c>
      <c r="G2741" s="1" t="s">
        <v>11409</v>
      </c>
    </row>
    <row r="2742" spans="1:7" ht="21" x14ac:dyDescent="0.25">
      <c r="A2742" s="2" t="str">
        <f>HYPERLINK("https://rth.dk/resources/bsgatlas/details.php?id=BSGatlas-gene-2741","BSGatlas-gene-2741")</f>
        <v>BSGatlas-gene-2741</v>
      </c>
      <c r="B2742" s="1" t="s">
        <v>2478</v>
      </c>
      <c r="C2742" s="1" t="s">
        <v>276</v>
      </c>
      <c r="D2742" s="1">
        <v>2433631</v>
      </c>
      <c r="E2742" s="1">
        <v>2433885</v>
      </c>
      <c r="F2742" s="1" t="s">
        <v>13</v>
      </c>
      <c r="G2742" s="1" t="s">
        <v>11441</v>
      </c>
    </row>
    <row r="2743" spans="1:7" ht="21" x14ac:dyDescent="0.25">
      <c r="A2743" s="2" t="str">
        <f>HYPERLINK("https://rth.dk/resources/bsgatlas/details.php?id=BSGatlas-gene-2742","BSGatlas-gene-2742")</f>
        <v>BSGatlas-gene-2742</v>
      </c>
      <c r="B2743" s="1" t="s">
        <v>2480</v>
      </c>
      <c r="C2743" s="1" t="s">
        <v>12</v>
      </c>
      <c r="D2743" s="1">
        <v>2433788</v>
      </c>
      <c r="E2743" s="1">
        <v>2434859</v>
      </c>
      <c r="F2743" s="1" t="s">
        <v>9</v>
      </c>
      <c r="G2743" s="1" t="s">
        <v>11406</v>
      </c>
    </row>
    <row r="2744" spans="1:7" ht="21" x14ac:dyDescent="0.25">
      <c r="A2744" s="2" t="str">
        <f>HYPERLINK("https://rth.dk/resources/bsgatlas/details.php?id=BSGatlas-gene-2743","BSGatlas-gene-2743")</f>
        <v>BSGatlas-gene-2743</v>
      </c>
      <c r="B2744" s="1" t="s">
        <v>2478</v>
      </c>
      <c r="C2744" s="1" t="s">
        <v>276</v>
      </c>
      <c r="D2744" s="1">
        <v>2433878</v>
      </c>
      <c r="E2744" s="1">
        <v>2434165</v>
      </c>
      <c r="F2744" s="1" t="s">
        <v>13</v>
      </c>
      <c r="G2744" s="1" t="s">
        <v>11441</v>
      </c>
    </row>
    <row r="2745" spans="1:7" ht="21" x14ac:dyDescent="0.25">
      <c r="A2745" s="2" t="str">
        <f>HYPERLINK("https://rth.dk/resources/bsgatlas/details.php?id=BSGatlas-gene-2744","BSGatlas-gene-2744")</f>
        <v>BSGatlas-gene-2744</v>
      </c>
      <c r="B2745" s="1" t="s">
        <v>2479</v>
      </c>
      <c r="C2745" s="1" t="s">
        <v>8</v>
      </c>
      <c r="D2745" s="1">
        <v>2434143</v>
      </c>
      <c r="E2745" s="1">
        <v>2434346</v>
      </c>
      <c r="F2745" s="1" t="s">
        <v>13</v>
      </c>
      <c r="G2745" s="1" t="s">
        <v>11409</v>
      </c>
    </row>
    <row r="2746" spans="1:7" ht="21" x14ac:dyDescent="0.25">
      <c r="A2746" s="2" t="str">
        <f>HYPERLINK("https://rth.dk/resources/bsgatlas/details.php?id=BSGatlas-gene-2745","BSGatlas-gene-2745")</f>
        <v>BSGatlas-gene-2745</v>
      </c>
      <c r="B2746" s="1" t="s">
        <v>318</v>
      </c>
      <c r="C2746" s="1" t="s">
        <v>276</v>
      </c>
      <c r="D2746" s="1">
        <v>2434755</v>
      </c>
      <c r="E2746" s="1">
        <v>2434871</v>
      </c>
      <c r="F2746" s="1" t="s">
        <v>9</v>
      </c>
      <c r="G2746" s="1" t="s">
        <v>11441</v>
      </c>
    </row>
    <row r="2747" spans="1:7" ht="21" x14ac:dyDescent="0.25">
      <c r="A2747" s="2" t="str">
        <f>HYPERLINK("https://rth.dk/resources/bsgatlas/details.php?id=BSGatlas-gene-2746","BSGatlas-gene-2746")</f>
        <v>BSGatlas-gene-2746</v>
      </c>
      <c r="B2747" s="1" t="s">
        <v>2481</v>
      </c>
      <c r="C2747" s="1" t="s">
        <v>8</v>
      </c>
      <c r="D2747" s="1">
        <v>2435012</v>
      </c>
      <c r="E2747" s="1">
        <v>2435224</v>
      </c>
      <c r="F2747" s="1" t="s">
        <v>9</v>
      </c>
      <c r="G2747" s="1" t="s">
        <v>11409</v>
      </c>
    </row>
    <row r="2748" spans="1:7" ht="21" x14ac:dyDescent="0.25">
      <c r="A2748" s="2" t="str">
        <f>HYPERLINK("https://rth.dk/resources/bsgatlas/details.php?id=BSGatlas-gene-2747","BSGatlas-gene-2747")</f>
        <v>BSGatlas-gene-2747</v>
      </c>
      <c r="B2748" s="1" t="s">
        <v>2482</v>
      </c>
      <c r="C2748" s="1" t="s">
        <v>8</v>
      </c>
      <c r="D2748" s="1">
        <v>2435360</v>
      </c>
      <c r="E2748" s="1">
        <v>2435791</v>
      </c>
      <c r="F2748" s="1" t="s">
        <v>13</v>
      </c>
      <c r="G2748" s="1" t="s">
        <v>11409</v>
      </c>
    </row>
    <row r="2749" spans="1:7" ht="21" x14ac:dyDescent="0.25">
      <c r="A2749" s="2" t="str">
        <f>HYPERLINK("https://rth.dk/resources/bsgatlas/details.php?id=BSGatlas-gene-2748","BSGatlas-gene-2748")</f>
        <v>BSGatlas-gene-2748</v>
      </c>
      <c r="B2749" s="1" t="s">
        <v>2483</v>
      </c>
      <c r="C2749" s="1" t="s">
        <v>8</v>
      </c>
      <c r="D2749" s="1">
        <v>2436045</v>
      </c>
      <c r="E2749" s="1">
        <v>2436917</v>
      </c>
      <c r="F2749" s="1" t="s">
        <v>9</v>
      </c>
      <c r="G2749" s="1" t="s">
        <v>11409</v>
      </c>
    </row>
    <row r="2750" spans="1:7" ht="21" x14ac:dyDescent="0.25">
      <c r="A2750" s="2" t="str">
        <f>HYPERLINK("https://rth.dk/resources/bsgatlas/details.php?id=BSGatlas-gene-2749","BSGatlas-gene-2749")</f>
        <v>BSGatlas-gene-2749</v>
      </c>
      <c r="B2750" s="1" t="s">
        <v>2484</v>
      </c>
      <c r="C2750" s="1" t="s">
        <v>8</v>
      </c>
      <c r="D2750" s="1">
        <v>2436947</v>
      </c>
      <c r="E2750" s="1">
        <v>2438266</v>
      </c>
      <c r="F2750" s="1" t="s">
        <v>13</v>
      </c>
      <c r="G2750" s="1" t="s">
        <v>11409</v>
      </c>
    </row>
    <row r="2751" spans="1:7" ht="21" x14ac:dyDescent="0.25">
      <c r="A2751" s="2" t="str">
        <f>HYPERLINK("https://rth.dk/resources/bsgatlas/details.php?id=BSGatlas-gene-2750","BSGatlas-gene-2750")</f>
        <v>BSGatlas-gene-2750</v>
      </c>
      <c r="B2751" s="1" t="s">
        <v>2485</v>
      </c>
      <c r="C2751" s="1" t="s">
        <v>8</v>
      </c>
      <c r="D2751" s="1">
        <v>2438372</v>
      </c>
      <c r="E2751" s="1">
        <v>2439853</v>
      </c>
      <c r="F2751" s="1" t="s">
        <v>13</v>
      </c>
      <c r="G2751" s="1" t="s">
        <v>11409</v>
      </c>
    </row>
    <row r="2752" spans="1:7" ht="21" x14ac:dyDescent="0.25">
      <c r="A2752" s="2" t="str">
        <f>HYPERLINK("https://rth.dk/resources/bsgatlas/details.php?id=BSGatlas-gene-2751","BSGatlas-gene-2751")</f>
        <v>BSGatlas-gene-2751</v>
      </c>
      <c r="B2752" s="1" t="s">
        <v>2486</v>
      </c>
      <c r="C2752" s="1" t="s">
        <v>8</v>
      </c>
      <c r="D2752" s="1">
        <v>2439804</v>
      </c>
      <c r="E2752" s="1">
        <v>2440415</v>
      </c>
      <c r="F2752" s="1" t="s">
        <v>13</v>
      </c>
      <c r="G2752" s="1" t="s">
        <v>11409</v>
      </c>
    </row>
    <row r="2753" spans="1:7" ht="21" x14ac:dyDescent="0.25">
      <c r="A2753" s="2" t="str">
        <f>HYPERLINK("https://rth.dk/resources/bsgatlas/details.php?id=BSGatlas-gene-2752","BSGatlas-gene-2752")</f>
        <v>BSGatlas-gene-2752</v>
      </c>
      <c r="B2753" s="1" t="s">
        <v>2487</v>
      </c>
      <c r="C2753" s="1" t="s">
        <v>8</v>
      </c>
      <c r="D2753" s="1">
        <v>2440423</v>
      </c>
      <c r="E2753" s="1">
        <v>2440773</v>
      </c>
      <c r="F2753" s="1" t="s">
        <v>13</v>
      </c>
      <c r="G2753" s="1" t="s">
        <v>11409</v>
      </c>
    </row>
    <row r="2754" spans="1:7" ht="21" x14ac:dyDescent="0.25">
      <c r="A2754" s="2" t="str">
        <f>HYPERLINK("https://rth.dk/resources/bsgatlas/details.php?id=BSGatlas-gene-2753","BSGatlas-gene-2753")</f>
        <v>BSGatlas-gene-2753</v>
      </c>
      <c r="B2754" s="1" t="s">
        <v>2488</v>
      </c>
      <c r="C2754" s="1" t="s">
        <v>8</v>
      </c>
      <c r="D2754" s="1">
        <v>2440775</v>
      </c>
      <c r="E2754" s="1">
        <v>2441791</v>
      </c>
      <c r="F2754" s="1" t="s">
        <v>13</v>
      </c>
      <c r="G2754" s="1" t="s">
        <v>11409</v>
      </c>
    </row>
    <row r="2755" spans="1:7" ht="21" x14ac:dyDescent="0.25">
      <c r="A2755" s="2" t="str">
        <f>HYPERLINK("https://rth.dk/resources/bsgatlas/details.php?id=BSGatlas-gene-2754","BSGatlas-gene-2754")</f>
        <v>BSGatlas-gene-2754</v>
      </c>
      <c r="B2755" s="1" t="s">
        <v>2489</v>
      </c>
      <c r="C2755" s="1" t="s">
        <v>8</v>
      </c>
      <c r="D2755" s="1">
        <v>2441804</v>
      </c>
      <c r="E2755" s="1">
        <v>2442256</v>
      </c>
      <c r="F2755" s="1" t="s">
        <v>13</v>
      </c>
      <c r="G2755" s="1" t="s">
        <v>11409</v>
      </c>
    </row>
    <row r="2756" spans="1:7" ht="21" x14ac:dyDescent="0.25">
      <c r="A2756" s="2" t="str">
        <f>HYPERLINK("https://rth.dk/resources/bsgatlas/details.php?id=BSGatlas-gene-2755","BSGatlas-gene-2755")</f>
        <v>BSGatlas-gene-2755</v>
      </c>
      <c r="B2756" s="1" t="s">
        <v>2490</v>
      </c>
      <c r="C2756" s="1" t="s">
        <v>8</v>
      </c>
      <c r="D2756" s="1">
        <v>2442269</v>
      </c>
      <c r="E2756" s="1">
        <v>2442694</v>
      </c>
      <c r="F2756" s="1" t="s">
        <v>13</v>
      </c>
      <c r="G2756" s="1" t="s">
        <v>11409</v>
      </c>
    </row>
    <row r="2757" spans="1:7" ht="21" x14ac:dyDescent="0.25">
      <c r="A2757" s="2" t="str">
        <f>HYPERLINK("https://rth.dk/resources/bsgatlas/details.php?id=BSGatlas-gene-2756","BSGatlas-gene-2756")</f>
        <v>BSGatlas-gene-2756</v>
      </c>
      <c r="B2757" s="1" t="s">
        <v>2491</v>
      </c>
      <c r="C2757" s="1" t="s">
        <v>8</v>
      </c>
      <c r="D2757" s="1">
        <v>2442684</v>
      </c>
      <c r="E2757" s="1">
        <v>2443304</v>
      </c>
      <c r="F2757" s="1" t="s">
        <v>13</v>
      </c>
      <c r="G2757" s="1" t="s">
        <v>11409</v>
      </c>
    </row>
    <row r="2758" spans="1:7" ht="21" x14ac:dyDescent="0.25">
      <c r="A2758" s="2" t="str">
        <f>HYPERLINK("https://rth.dk/resources/bsgatlas/details.php?id=BSGatlas-gene-2757","BSGatlas-gene-2757")</f>
        <v>BSGatlas-gene-2757</v>
      </c>
      <c r="B2758" s="1" t="s">
        <v>2492</v>
      </c>
      <c r="C2758" s="1" t="s">
        <v>8</v>
      </c>
      <c r="D2758" s="1">
        <v>2443429</v>
      </c>
      <c r="E2758" s="1">
        <v>2444196</v>
      </c>
      <c r="F2758" s="1" t="s">
        <v>13</v>
      </c>
      <c r="G2758" s="1" t="s">
        <v>11409</v>
      </c>
    </row>
    <row r="2759" spans="1:7" ht="21" x14ac:dyDescent="0.25">
      <c r="A2759" s="2" t="str">
        <f>HYPERLINK("https://rth.dk/resources/bsgatlas/details.php?id=BSGatlas-gene-2758","BSGatlas-gene-2758")</f>
        <v>BSGatlas-gene-2758</v>
      </c>
      <c r="B2759" s="1" t="s">
        <v>2493</v>
      </c>
      <c r="C2759" s="1" t="s">
        <v>8</v>
      </c>
      <c r="D2759" s="1">
        <v>2444208</v>
      </c>
      <c r="E2759" s="1">
        <v>2444648</v>
      </c>
      <c r="F2759" s="1" t="s">
        <v>13</v>
      </c>
      <c r="G2759" s="1" t="s">
        <v>11409</v>
      </c>
    </row>
    <row r="2760" spans="1:7" ht="21" x14ac:dyDescent="0.25">
      <c r="A2760" s="2" t="str">
        <f>HYPERLINK("https://rth.dk/resources/bsgatlas/details.php?id=BSGatlas-gene-2759","BSGatlas-gene-2759")</f>
        <v>BSGatlas-gene-2759</v>
      </c>
      <c r="B2760" s="1" t="s">
        <v>2494</v>
      </c>
      <c r="C2760" s="1" t="s">
        <v>8</v>
      </c>
      <c r="D2760" s="1">
        <v>2444645</v>
      </c>
      <c r="E2760" s="1">
        <v>2444998</v>
      </c>
      <c r="F2760" s="1" t="s">
        <v>13</v>
      </c>
      <c r="G2760" s="1" t="s">
        <v>11409</v>
      </c>
    </row>
    <row r="2761" spans="1:7" ht="21" x14ac:dyDescent="0.25">
      <c r="A2761" s="2" t="str">
        <f>HYPERLINK("https://rth.dk/resources/bsgatlas/details.php?id=BSGatlas-gene-2760","BSGatlas-gene-2760")</f>
        <v>BSGatlas-gene-2760</v>
      </c>
      <c r="B2761" s="1" t="s">
        <v>2495</v>
      </c>
      <c r="C2761" s="1" t="s">
        <v>8</v>
      </c>
      <c r="D2761" s="1">
        <v>2445094</v>
      </c>
      <c r="E2761" s="1">
        <v>2446263</v>
      </c>
      <c r="F2761" s="1" t="s">
        <v>13</v>
      </c>
      <c r="G2761" s="1" t="s">
        <v>11409</v>
      </c>
    </row>
    <row r="2762" spans="1:7" ht="21" x14ac:dyDescent="0.25">
      <c r="A2762" s="2" t="str">
        <f>HYPERLINK("https://rth.dk/resources/bsgatlas/details.php?id=BSGatlas-gene-2761","BSGatlas-gene-2761")</f>
        <v>BSGatlas-gene-2761</v>
      </c>
      <c r="B2762" s="1" t="s">
        <v>2496</v>
      </c>
      <c r="C2762" s="1" t="s">
        <v>8</v>
      </c>
      <c r="D2762" s="1">
        <v>2446418</v>
      </c>
      <c r="E2762" s="1">
        <v>2447233</v>
      </c>
      <c r="F2762" s="1" t="s">
        <v>13</v>
      </c>
      <c r="G2762" s="1" t="s">
        <v>11409</v>
      </c>
    </row>
    <row r="2763" spans="1:7" ht="21" x14ac:dyDescent="0.25">
      <c r="A2763" s="2" t="str">
        <f>HYPERLINK("https://rth.dk/resources/bsgatlas/details.php?id=BSGatlas-gene-2762","BSGatlas-gene-2762")</f>
        <v>BSGatlas-gene-2762</v>
      </c>
      <c r="B2763" s="1" t="s">
        <v>2497</v>
      </c>
      <c r="C2763" s="1" t="s">
        <v>8</v>
      </c>
      <c r="D2763" s="1">
        <v>2447246</v>
      </c>
      <c r="E2763" s="1">
        <v>2448430</v>
      </c>
      <c r="F2763" s="1" t="s">
        <v>13</v>
      </c>
      <c r="G2763" s="1" t="s">
        <v>11409</v>
      </c>
    </row>
    <row r="2764" spans="1:7" ht="21" x14ac:dyDescent="0.25">
      <c r="A2764" s="2" t="str">
        <f>HYPERLINK("https://rth.dk/resources/bsgatlas/details.php?id=BSGatlas-gene-2763","BSGatlas-gene-2763")</f>
        <v>BSGatlas-gene-2763</v>
      </c>
      <c r="B2764" s="1" t="s">
        <v>11664</v>
      </c>
      <c r="C2764" s="1" t="s">
        <v>8</v>
      </c>
      <c r="D2764" s="1">
        <v>2448591</v>
      </c>
      <c r="E2764" s="1">
        <v>2449481</v>
      </c>
      <c r="F2764" s="1" t="s">
        <v>13</v>
      </c>
      <c r="G2764" s="1" t="s">
        <v>11409</v>
      </c>
    </row>
    <row r="2765" spans="1:7" ht="21" x14ac:dyDescent="0.25">
      <c r="A2765" s="2" t="str">
        <f>HYPERLINK("https://rth.dk/resources/bsgatlas/details.php?id=BSGatlas-gene-2764","BSGatlas-gene-2764")</f>
        <v>BSGatlas-gene-2764</v>
      </c>
      <c r="B2765" s="1" t="s">
        <v>2498</v>
      </c>
      <c r="C2765" s="1" t="s">
        <v>8</v>
      </c>
      <c r="D2765" s="1">
        <v>2449489</v>
      </c>
      <c r="E2765" s="1">
        <v>2449716</v>
      </c>
      <c r="F2765" s="1" t="s">
        <v>13</v>
      </c>
      <c r="G2765" s="1" t="s">
        <v>11409</v>
      </c>
    </row>
    <row r="2766" spans="1:7" ht="21" x14ac:dyDescent="0.25">
      <c r="A2766" s="2" t="str">
        <f>HYPERLINK("https://rth.dk/resources/bsgatlas/details.php?id=BSGatlas-gene-2765","BSGatlas-gene-2765")</f>
        <v>BSGatlas-gene-2765</v>
      </c>
      <c r="B2766" s="1" t="s">
        <v>2499</v>
      </c>
      <c r="C2766" s="1" t="s">
        <v>8</v>
      </c>
      <c r="D2766" s="1">
        <v>2449841</v>
      </c>
      <c r="E2766" s="1">
        <v>2450290</v>
      </c>
      <c r="F2766" s="1" t="s">
        <v>13</v>
      </c>
      <c r="G2766" s="1" t="s">
        <v>11409</v>
      </c>
    </row>
    <row r="2767" spans="1:7" ht="21" x14ac:dyDescent="0.25">
      <c r="A2767" s="2" t="str">
        <f>HYPERLINK("https://rth.dk/resources/bsgatlas/details.php?id=BSGatlas-gene-2766","BSGatlas-gene-2766")</f>
        <v>BSGatlas-gene-2766</v>
      </c>
      <c r="B2767" s="1" t="s">
        <v>2500</v>
      </c>
      <c r="C2767" s="1" t="s">
        <v>8</v>
      </c>
      <c r="D2767" s="1">
        <v>2450403</v>
      </c>
      <c r="E2767" s="1">
        <v>2451047</v>
      </c>
      <c r="F2767" s="1" t="s">
        <v>13</v>
      </c>
      <c r="G2767" s="1" t="s">
        <v>11409</v>
      </c>
    </row>
    <row r="2768" spans="1:7" ht="21" x14ac:dyDescent="0.25">
      <c r="A2768" s="2" t="str">
        <f>HYPERLINK("https://rth.dk/resources/bsgatlas/details.php?id=BSGatlas-gene-2767","BSGatlas-gene-2767")</f>
        <v>BSGatlas-gene-2767</v>
      </c>
      <c r="B2768" s="1" t="s">
        <v>2501</v>
      </c>
      <c r="C2768" s="1" t="s">
        <v>8</v>
      </c>
      <c r="D2768" s="1">
        <v>2451148</v>
      </c>
      <c r="E2768" s="1">
        <v>2451363</v>
      </c>
      <c r="F2768" s="1" t="s">
        <v>13</v>
      </c>
      <c r="G2768" s="1" t="s">
        <v>11409</v>
      </c>
    </row>
    <row r="2769" spans="1:7" ht="21" x14ac:dyDescent="0.25">
      <c r="A2769" s="2" t="str">
        <f>HYPERLINK("https://rth.dk/resources/bsgatlas/details.php?id=BSGatlas-gene-2768","BSGatlas-gene-2768")</f>
        <v>BSGatlas-gene-2768</v>
      </c>
      <c r="B2769" s="1" t="s">
        <v>2502</v>
      </c>
      <c r="C2769" s="1" t="s">
        <v>8</v>
      </c>
      <c r="D2769" s="1">
        <v>2451463</v>
      </c>
      <c r="E2769" s="1">
        <v>2452782</v>
      </c>
      <c r="F2769" s="1" t="s">
        <v>13</v>
      </c>
      <c r="G2769" s="1" t="s">
        <v>11409</v>
      </c>
    </row>
    <row r="2770" spans="1:7" ht="21" x14ac:dyDescent="0.25">
      <c r="A2770" s="2" t="str">
        <f>HYPERLINK("https://rth.dk/resources/bsgatlas/details.php?id=BSGatlas-gene-2769","BSGatlas-gene-2769")</f>
        <v>BSGatlas-gene-2769</v>
      </c>
      <c r="B2770" s="1" t="s">
        <v>2503</v>
      </c>
      <c r="C2770" s="1" t="s">
        <v>8</v>
      </c>
      <c r="D2770" s="1">
        <v>2452800</v>
      </c>
      <c r="E2770" s="1">
        <v>2454206</v>
      </c>
      <c r="F2770" s="1" t="s">
        <v>13</v>
      </c>
      <c r="G2770" s="1" t="s">
        <v>11409</v>
      </c>
    </row>
    <row r="2771" spans="1:7" ht="21" x14ac:dyDescent="0.25">
      <c r="A2771" s="2" t="str">
        <f>HYPERLINK("https://rth.dk/resources/bsgatlas/details.php?id=BSGatlas-gene-2770","BSGatlas-gene-2770")</f>
        <v>BSGatlas-gene-2770</v>
      </c>
      <c r="B2771" s="1" t="s">
        <v>2504</v>
      </c>
      <c r="C2771" s="1" t="s">
        <v>8</v>
      </c>
      <c r="D2771" s="1">
        <v>2454347</v>
      </c>
      <c r="E2771" s="1">
        <v>2455774</v>
      </c>
      <c r="F2771" s="1" t="s">
        <v>13</v>
      </c>
      <c r="G2771" s="1" t="s">
        <v>11409</v>
      </c>
    </row>
    <row r="2772" spans="1:7" ht="21" x14ac:dyDescent="0.25">
      <c r="A2772" s="2" t="str">
        <f>HYPERLINK("https://rth.dk/resources/bsgatlas/details.php?id=BSGatlas-gene-2771","BSGatlas-gene-2771")</f>
        <v>BSGatlas-gene-2771</v>
      </c>
      <c r="B2772" s="1" t="s">
        <v>2505</v>
      </c>
      <c r="C2772" s="1" t="s">
        <v>8</v>
      </c>
      <c r="D2772" s="1">
        <v>2455819</v>
      </c>
      <c r="E2772" s="1">
        <v>2456808</v>
      </c>
      <c r="F2772" s="1" t="s">
        <v>13</v>
      </c>
      <c r="G2772" s="1" t="s">
        <v>11409</v>
      </c>
    </row>
    <row r="2773" spans="1:7" ht="21" x14ac:dyDescent="0.25">
      <c r="A2773" s="2" t="str">
        <f>HYPERLINK("https://rth.dk/resources/bsgatlas/details.php?id=BSGatlas-gene-2772","BSGatlas-gene-2772")</f>
        <v>BSGatlas-gene-2772</v>
      </c>
      <c r="B2773" s="1" t="s">
        <v>2506</v>
      </c>
      <c r="C2773" s="1" t="s">
        <v>8</v>
      </c>
      <c r="D2773" s="1">
        <v>2456990</v>
      </c>
      <c r="E2773" s="1">
        <v>2457340</v>
      </c>
      <c r="F2773" s="1" t="s">
        <v>9</v>
      </c>
      <c r="G2773" s="1" t="s">
        <v>11409</v>
      </c>
    </row>
    <row r="2774" spans="1:7" ht="21" x14ac:dyDescent="0.25">
      <c r="A2774" s="2" t="str">
        <f>HYPERLINK("https://rth.dk/resources/bsgatlas/details.php?id=BSGatlas-gene-2773","BSGatlas-gene-2773")</f>
        <v>BSGatlas-gene-2773</v>
      </c>
      <c r="B2774" s="1" t="s">
        <v>2507</v>
      </c>
      <c r="C2774" s="1" t="s">
        <v>8</v>
      </c>
      <c r="D2774" s="1">
        <v>2457349</v>
      </c>
      <c r="E2774" s="1">
        <v>2458512</v>
      </c>
      <c r="F2774" s="1" t="s">
        <v>13</v>
      </c>
      <c r="G2774" s="1" t="s">
        <v>11409</v>
      </c>
    </row>
    <row r="2775" spans="1:7" ht="21" x14ac:dyDescent="0.25">
      <c r="A2775" s="2" t="str">
        <f>HYPERLINK("https://rth.dk/resources/bsgatlas/details.php?id=BSGatlas-gene-2774","BSGatlas-gene-2774")</f>
        <v>BSGatlas-gene-2774</v>
      </c>
      <c r="B2775" s="1" t="s">
        <v>2508</v>
      </c>
      <c r="C2775" s="1" t="s">
        <v>8</v>
      </c>
      <c r="D2775" s="1">
        <v>2458509</v>
      </c>
      <c r="E2775" s="1">
        <v>2459066</v>
      </c>
      <c r="F2775" s="1" t="s">
        <v>13</v>
      </c>
      <c r="G2775" s="1" t="s">
        <v>11409</v>
      </c>
    </row>
    <row r="2776" spans="1:7" ht="21" x14ac:dyDescent="0.25">
      <c r="A2776" s="2" t="str">
        <f>HYPERLINK("https://rth.dk/resources/bsgatlas/details.php?id=BSGatlas-gene-2775","BSGatlas-gene-2775")</f>
        <v>BSGatlas-gene-2775</v>
      </c>
      <c r="B2776" s="1" t="s">
        <v>2509</v>
      </c>
      <c r="C2776" s="1" t="s">
        <v>8</v>
      </c>
      <c r="D2776" s="1">
        <v>2459141</v>
      </c>
      <c r="E2776" s="1">
        <v>2459263</v>
      </c>
      <c r="F2776" s="1" t="s">
        <v>9</v>
      </c>
      <c r="G2776" s="1" t="s">
        <v>11409</v>
      </c>
    </row>
    <row r="2777" spans="1:7" ht="21" x14ac:dyDescent="0.25">
      <c r="A2777" s="2" t="str">
        <f>HYPERLINK("https://rth.dk/resources/bsgatlas/details.php?id=BSGatlas-gene-2776","BSGatlas-gene-2776")</f>
        <v>BSGatlas-gene-2776</v>
      </c>
      <c r="B2777" s="1" t="s">
        <v>2510</v>
      </c>
      <c r="C2777" s="1" t="s">
        <v>8</v>
      </c>
      <c r="D2777" s="1">
        <v>2459326</v>
      </c>
      <c r="E2777" s="1">
        <v>2460246</v>
      </c>
      <c r="F2777" s="1" t="s">
        <v>9</v>
      </c>
      <c r="G2777" s="1" t="s">
        <v>11409</v>
      </c>
    </row>
    <row r="2778" spans="1:7" ht="21" x14ac:dyDescent="0.25">
      <c r="A2778" s="2" t="str">
        <f>HYPERLINK("https://rth.dk/resources/bsgatlas/details.php?id=BSGatlas-gene-2777","BSGatlas-gene-2777")</f>
        <v>BSGatlas-gene-2777</v>
      </c>
      <c r="B2778" s="1" t="s">
        <v>2511</v>
      </c>
      <c r="C2778" s="1" t="s">
        <v>8</v>
      </c>
      <c r="D2778" s="1">
        <v>2460278</v>
      </c>
      <c r="E2778" s="1">
        <v>2460502</v>
      </c>
      <c r="F2778" s="1" t="s">
        <v>13</v>
      </c>
      <c r="G2778" s="1" t="s">
        <v>11409</v>
      </c>
    </row>
    <row r="2779" spans="1:7" ht="21" x14ac:dyDescent="0.25">
      <c r="A2779" s="2" t="str">
        <f>HYPERLINK("https://rth.dk/resources/bsgatlas/details.php?id=BSGatlas-gene-2778","BSGatlas-gene-2778")</f>
        <v>BSGatlas-gene-2778</v>
      </c>
      <c r="B2779" s="1" t="s">
        <v>2512</v>
      </c>
      <c r="C2779" s="1" t="s">
        <v>8</v>
      </c>
      <c r="D2779" s="1">
        <v>2460664</v>
      </c>
      <c r="E2779" s="1">
        <v>2461581</v>
      </c>
      <c r="F2779" s="1" t="s">
        <v>9</v>
      </c>
      <c r="G2779" s="1" t="s">
        <v>11409</v>
      </c>
    </row>
    <row r="2780" spans="1:7" ht="21" x14ac:dyDescent="0.25">
      <c r="A2780" s="2" t="str">
        <f>HYPERLINK("https://rth.dk/resources/bsgatlas/details.php?id=BSGatlas-gene-2779","BSGatlas-gene-2779")</f>
        <v>BSGatlas-gene-2779</v>
      </c>
      <c r="B2780" s="1" t="s">
        <v>2513</v>
      </c>
      <c r="C2780" s="1" t="s">
        <v>8</v>
      </c>
      <c r="D2780" s="1">
        <v>2461621</v>
      </c>
      <c r="E2780" s="1">
        <v>2461860</v>
      </c>
      <c r="F2780" s="1" t="s">
        <v>13</v>
      </c>
      <c r="G2780" s="1" t="s">
        <v>11409</v>
      </c>
    </row>
    <row r="2781" spans="1:7" ht="21" x14ac:dyDescent="0.25">
      <c r="A2781" s="2" t="str">
        <f>HYPERLINK("https://rth.dk/resources/bsgatlas/details.php?id=BSGatlas-gene-2780","BSGatlas-gene-2780")</f>
        <v>BSGatlas-gene-2780</v>
      </c>
      <c r="B2781" s="1" t="s">
        <v>2514</v>
      </c>
      <c r="C2781" s="1" t="s">
        <v>8</v>
      </c>
      <c r="D2781" s="1">
        <v>2461873</v>
      </c>
      <c r="E2781" s="1">
        <v>2462196</v>
      </c>
      <c r="F2781" s="1" t="s">
        <v>13</v>
      </c>
      <c r="G2781" s="1" t="s">
        <v>11409</v>
      </c>
    </row>
    <row r="2782" spans="1:7" ht="21" x14ac:dyDescent="0.25">
      <c r="A2782" s="2" t="str">
        <f>HYPERLINK("https://rth.dk/resources/bsgatlas/details.php?id=BSGatlas-gene-2781","BSGatlas-gene-2781")</f>
        <v>BSGatlas-gene-2781</v>
      </c>
      <c r="B2782" s="1" t="s">
        <v>2515</v>
      </c>
      <c r="C2782" s="1" t="s">
        <v>8</v>
      </c>
      <c r="D2782" s="1">
        <v>2462193</v>
      </c>
      <c r="E2782" s="1">
        <v>2463224</v>
      </c>
      <c r="F2782" s="1" t="s">
        <v>13</v>
      </c>
      <c r="G2782" s="1" t="s">
        <v>11409</v>
      </c>
    </row>
    <row r="2783" spans="1:7" ht="21" x14ac:dyDescent="0.25">
      <c r="A2783" s="2" t="str">
        <f>HYPERLINK("https://rth.dk/resources/bsgatlas/details.php?id=BSGatlas-gene-2782","BSGatlas-gene-2782")</f>
        <v>BSGatlas-gene-2782</v>
      </c>
      <c r="B2783" s="1" t="s">
        <v>2516</v>
      </c>
      <c r="C2783" s="1" t="s">
        <v>8</v>
      </c>
      <c r="D2783" s="1">
        <v>2463217</v>
      </c>
      <c r="E2783" s="1">
        <v>2463561</v>
      </c>
      <c r="F2783" s="1" t="s">
        <v>13</v>
      </c>
      <c r="G2783" s="1" t="s">
        <v>11409</v>
      </c>
    </row>
    <row r="2784" spans="1:7" ht="21" x14ac:dyDescent="0.25">
      <c r="A2784" s="2" t="str">
        <f>HYPERLINK("https://rth.dk/resources/bsgatlas/details.php?id=BSGatlas-gene-2783","BSGatlas-gene-2783")</f>
        <v>BSGatlas-gene-2783</v>
      </c>
      <c r="B2784" s="1" t="s">
        <v>2517</v>
      </c>
      <c r="C2784" s="1" t="s">
        <v>8</v>
      </c>
      <c r="D2784" s="1">
        <v>2463571</v>
      </c>
      <c r="E2784" s="1">
        <v>2464041</v>
      </c>
      <c r="F2784" s="1" t="s">
        <v>13</v>
      </c>
      <c r="G2784" s="1" t="s">
        <v>11409</v>
      </c>
    </row>
    <row r="2785" spans="1:7" ht="21" x14ac:dyDescent="0.25">
      <c r="A2785" s="2" t="str">
        <f>HYPERLINK("https://rth.dk/resources/bsgatlas/details.php?id=BSGatlas-gene-2784","BSGatlas-gene-2784")</f>
        <v>BSGatlas-gene-2784</v>
      </c>
      <c r="B2785" s="1" t="s">
        <v>2518</v>
      </c>
      <c r="C2785" s="1" t="s">
        <v>8</v>
      </c>
      <c r="D2785" s="1">
        <v>2464227</v>
      </c>
      <c r="E2785" s="1">
        <v>2464565</v>
      </c>
      <c r="F2785" s="1" t="s">
        <v>13</v>
      </c>
      <c r="G2785" s="1" t="s">
        <v>11409</v>
      </c>
    </row>
    <row r="2786" spans="1:7" ht="21" x14ac:dyDescent="0.25">
      <c r="A2786" s="2" t="str">
        <f>HYPERLINK("https://rth.dk/resources/bsgatlas/details.php?id=BSGatlas-gene-2785","BSGatlas-gene-2785")</f>
        <v>BSGatlas-gene-2785</v>
      </c>
      <c r="B2786" s="1" t="s">
        <v>2519</v>
      </c>
      <c r="C2786" s="1" t="s">
        <v>8</v>
      </c>
      <c r="D2786" s="1">
        <v>2464562</v>
      </c>
      <c r="E2786" s="1">
        <v>2465800</v>
      </c>
      <c r="F2786" s="1" t="s">
        <v>13</v>
      </c>
      <c r="G2786" s="1" t="s">
        <v>11409</v>
      </c>
    </row>
    <row r="2787" spans="1:7" ht="21" x14ac:dyDescent="0.25">
      <c r="A2787" s="2" t="str">
        <f>HYPERLINK("https://rth.dk/resources/bsgatlas/details.php?id=BSGatlas-gene-2786","BSGatlas-gene-2786")</f>
        <v>BSGatlas-gene-2786</v>
      </c>
      <c r="B2787" s="1" t="s">
        <v>2520</v>
      </c>
      <c r="C2787" s="1" t="s">
        <v>8</v>
      </c>
      <c r="D2787" s="1">
        <v>2465966</v>
      </c>
      <c r="E2787" s="1">
        <v>2466172</v>
      </c>
      <c r="F2787" s="1" t="s">
        <v>9</v>
      </c>
      <c r="G2787" s="1" t="s">
        <v>11409</v>
      </c>
    </row>
    <row r="2788" spans="1:7" ht="21" x14ac:dyDescent="0.25">
      <c r="A2788" s="2" t="str">
        <f>HYPERLINK("https://rth.dk/resources/bsgatlas/details.php?id=BSGatlas-gene-2787","BSGatlas-gene-2787")</f>
        <v>BSGatlas-gene-2787</v>
      </c>
      <c r="B2788" s="1" t="s">
        <v>2521</v>
      </c>
      <c r="C2788" s="1" t="s">
        <v>8</v>
      </c>
      <c r="D2788" s="1">
        <v>2466721</v>
      </c>
      <c r="E2788" s="1">
        <v>2467953</v>
      </c>
      <c r="F2788" s="1" t="s">
        <v>9</v>
      </c>
      <c r="G2788" s="1" t="s">
        <v>11409</v>
      </c>
    </row>
    <row r="2789" spans="1:7" ht="21" x14ac:dyDescent="0.25">
      <c r="A2789" s="2" t="str">
        <f>HYPERLINK("https://rth.dk/resources/bsgatlas/details.php?id=BSGatlas-gene-2788","BSGatlas-gene-2788")</f>
        <v>BSGatlas-gene-2788</v>
      </c>
      <c r="B2789" s="1" t="s">
        <v>2522</v>
      </c>
      <c r="C2789" s="1" t="s">
        <v>8</v>
      </c>
      <c r="D2789" s="1">
        <v>2467800</v>
      </c>
      <c r="E2789" s="1">
        <v>2468162</v>
      </c>
      <c r="F2789" s="1" t="s">
        <v>9</v>
      </c>
      <c r="G2789" s="1" t="s">
        <v>11441</v>
      </c>
    </row>
    <row r="2790" spans="1:7" ht="21" x14ac:dyDescent="0.25">
      <c r="A2790" s="2" t="str">
        <f>HYPERLINK("https://rth.dk/resources/bsgatlas/details.php?id=BSGatlas-gene-2789","BSGatlas-gene-2789")</f>
        <v>BSGatlas-gene-2789</v>
      </c>
      <c r="B2790" s="1" t="s">
        <v>2522</v>
      </c>
      <c r="C2790" s="1" t="s">
        <v>8</v>
      </c>
      <c r="D2790" s="1">
        <v>2467971</v>
      </c>
      <c r="E2790" s="1">
        <v>2468162</v>
      </c>
      <c r="F2790" s="1" t="s">
        <v>9</v>
      </c>
      <c r="G2790" s="1" t="s">
        <v>11496</v>
      </c>
    </row>
    <row r="2791" spans="1:7" ht="21" x14ac:dyDescent="0.25">
      <c r="A2791" s="2" t="str">
        <f>HYPERLINK("https://rth.dk/resources/bsgatlas/details.php?id=BSGatlas-gene-2790","BSGatlas-gene-2790")</f>
        <v>BSGatlas-gene-2790</v>
      </c>
      <c r="B2791" s="1" t="s">
        <v>2523</v>
      </c>
      <c r="C2791" s="1" t="s">
        <v>8</v>
      </c>
      <c r="D2791" s="1">
        <v>2468159</v>
      </c>
      <c r="E2791" s="1">
        <v>2468545</v>
      </c>
      <c r="F2791" s="1" t="s">
        <v>13</v>
      </c>
      <c r="G2791" s="1" t="s">
        <v>11409</v>
      </c>
    </row>
    <row r="2792" spans="1:7" ht="21" x14ac:dyDescent="0.25">
      <c r="A2792" s="2" t="str">
        <f>HYPERLINK("https://rth.dk/resources/bsgatlas/details.php?id=BSGatlas-gene-2791","BSGatlas-gene-2791")</f>
        <v>BSGatlas-gene-2791</v>
      </c>
      <c r="B2792" s="1" t="s">
        <v>2524</v>
      </c>
      <c r="C2792" s="1" t="s">
        <v>8</v>
      </c>
      <c r="D2792" s="1">
        <v>2468549</v>
      </c>
      <c r="E2792" s="1">
        <v>2469508</v>
      </c>
      <c r="F2792" s="1" t="s">
        <v>13</v>
      </c>
      <c r="G2792" s="1" t="s">
        <v>11409</v>
      </c>
    </row>
    <row r="2793" spans="1:7" ht="21" x14ac:dyDescent="0.25">
      <c r="A2793" s="2" t="str">
        <f>HYPERLINK("https://rth.dk/resources/bsgatlas/details.php?id=BSGatlas-gene-2792","BSGatlas-gene-2792")</f>
        <v>BSGatlas-gene-2792</v>
      </c>
      <c r="B2793" s="1" t="s">
        <v>2525</v>
      </c>
      <c r="C2793" s="1" t="s">
        <v>8</v>
      </c>
      <c r="D2793" s="1">
        <v>2469580</v>
      </c>
      <c r="E2793" s="1">
        <v>2470926</v>
      </c>
      <c r="F2793" s="1" t="s">
        <v>13</v>
      </c>
      <c r="G2793" s="1" t="s">
        <v>11409</v>
      </c>
    </row>
    <row r="2794" spans="1:7" ht="21" x14ac:dyDescent="0.25">
      <c r="A2794" s="2" t="str">
        <f>HYPERLINK("https://rth.dk/resources/bsgatlas/details.php?id=BSGatlas-gene-2793","BSGatlas-gene-2793")</f>
        <v>BSGatlas-gene-2793</v>
      </c>
      <c r="B2794" s="1" t="s">
        <v>2526</v>
      </c>
      <c r="C2794" s="1" t="s">
        <v>8</v>
      </c>
      <c r="D2794" s="1">
        <v>2471002</v>
      </c>
      <c r="E2794" s="1">
        <v>2471781</v>
      </c>
      <c r="F2794" s="1" t="s">
        <v>13</v>
      </c>
      <c r="G2794" s="1" t="s">
        <v>11409</v>
      </c>
    </row>
    <row r="2795" spans="1:7" ht="21" x14ac:dyDescent="0.25">
      <c r="A2795" s="2" t="str">
        <f>HYPERLINK("https://rth.dk/resources/bsgatlas/details.php?id=BSGatlas-gene-2794","BSGatlas-gene-2794")</f>
        <v>BSGatlas-gene-2794</v>
      </c>
      <c r="B2795" s="1" t="s">
        <v>2527</v>
      </c>
      <c r="C2795" s="1" t="s">
        <v>8</v>
      </c>
      <c r="D2795" s="1">
        <v>2471787</v>
      </c>
      <c r="E2795" s="1">
        <v>2472746</v>
      </c>
      <c r="F2795" s="1" t="s">
        <v>13</v>
      </c>
      <c r="G2795" s="1" t="s">
        <v>11409</v>
      </c>
    </row>
    <row r="2796" spans="1:7" ht="21" x14ac:dyDescent="0.25">
      <c r="A2796" s="2" t="str">
        <f>HYPERLINK("https://rth.dk/resources/bsgatlas/details.php?id=BSGatlas-gene-2795","BSGatlas-gene-2795")</f>
        <v>BSGatlas-gene-2795</v>
      </c>
      <c r="B2796" s="1" t="s">
        <v>2528</v>
      </c>
      <c r="C2796" s="1" t="s">
        <v>34</v>
      </c>
      <c r="D2796" s="1">
        <v>2472880</v>
      </c>
      <c r="E2796" s="1">
        <v>2473125</v>
      </c>
      <c r="F2796" s="1" t="s">
        <v>9</v>
      </c>
      <c r="G2796" s="1" t="s">
        <v>11512</v>
      </c>
    </row>
    <row r="2797" spans="1:7" ht="21" x14ac:dyDescent="0.25">
      <c r="A2797" s="2" t="str">
        <f>HYPERLINK("https://rth.dk/resources/bsgatlas/details.php?id=BSGatlas-gene-2796","BSGatlas-gene-2796")</f>
        <v>BSGatlas-gene-2796</v>
      </c>
      <c r="B2797" s="1" t="s">
        <v>2529</v>
      </c>
      <c r="C2797" s="1" t="s">
        <v>8</v>
      </c>
      <c r="D2797" s="1">
        <v>2473151</v>
      </c>
      <c r="E2797" s="1">
        <v>2473987</v>
      </c>
      <c r="F2797" s="1" t="s">
        <v>9</v>
      </c>
      <c r="G2797" s="1" t="s">
        <v>11409</v>
      </c>
    </row>
    <row r="2798" spans="1:7" ht="21" x14ac:dyDescent="0.25">
      <c r="A2798" s="2" t="str">
        <f>HYPERLINK("https://rth.dk/resources/bsgatlas/details.php?id=BSGatlas-gene-2797","BSGatlas-gene-2797")</f>
        <v>BSGatlas-gene-2797</v>
      </c>
      <c r="B2798" s="1" t="s">
        <v>2530</v>
      </c>
      <c r="C2798" s="1" t="s">
        <v>8</v>
      </c>
      <c r="D2798" s="1">
        <v>2474028</v>
      </c>
      <c r="E2798" s="1">
        <v>2475671</v>
      </c>
      <c r="F2798" s="1" t="s">
        <v>13</v>
      </c>
      <c r="G2798" s="1" t="s">
        <v>11409</v>
      </c>
    </row>
    <row r="2799" spans="1:7" ht="21" x14ac:dyDescent="0.25">
      <c r="A2799" s="2" t="str">
        <f>HYPERLINK("https://rth.dk/resources/bsgatlas/details.php?id=BSGatlas-gene-2798","BSGatlas-gene-2798")</f>
        <v>BSGatlas-gene-2798</v>
      </c>
      <c r="B2799" s="1" t="s">
        <v>2531</v>
      </c>
      <c r="C2799" s="1" t="s">
        <v>8</v>
      </c>
      <c r="D2799" s="1">
        <v>2475843</v>
      </c>
      <c r="E2799" s="1">
        <v>2476859</v>
      </c>
      <c r="F2799" s="1" t="s">
        <v>9</v>
      </c>
      <c r="G2799" s="1" t="s">
        <v>11409</v>
      </c>
    </row>
    <row r="2800" spans="1:7" ht="21" x14ac:dyDescent="0.25">
      <c r="A2800" s="2" t="str">
        <f>HYPERLINK("https://rth.dk/resources/bsgatlas/details.php?id=BSGatlas-gene-2799","BSGatlas-gene-2799")</f>
        <v>BSGatlas-gene-2799</v>
      </c>
      <c r="B2800" s="1" t="s">
        <v>2532</v>
      </c>
      <c r="C2800" s="1" t="s">
        <v>8</v>
      </c>
      <c r="D2800" s="1">
        <v>2476969</v>
      </c>
      <c r="E2800" s="1">
        <v>2477730</v>
      </c>
      <c r="F2800" s="1" t="s">
        <v>9</v>
      </c>
      <c r="G2800" s="1" t="s">
        <v>11409</v>
      </c>
    </row>
    <row r="2801" spans="1:7" ht="21" x14ac:dyDescent="0.25">
      <c r="A2801" s="2" t="str">
        <f>HYPERLINK("https://rth.dk/resources/bsgatlas/details.php?id=BSGatlas-gene-2800","BSGatlas-gene-2800")</f>
        <v>BSGatlas-gene-2800</v>
      </c>
      <c r="B2801" s="1" t="s">
        <v>2533</v>
      </c>
      <c r="C2801" s="1" t="s">
        <v>12</v>
      </c>
      <c r="D2801" s="1">
        <v>2477751</v>
      </c>
      <c r="E2801" s="1">
        <v>2477925</v>
      </c>
      <c r="F2801" s="1" t="s">
        <v>13</v>
      </c>
      <c r="G2801" s="1" t="s">
        <v>11442</v>
      </c>
    </row>
    <row r="2802" spans="1:7" ht="21" x14ac:dyDescent="0.25">
      <c r="A2802" s="2" t="str">
        <f>HYPERLINK("https://rth.dk/resources/bsgatlas/details.php?id=BSGatlas-gene-2801","BSGatlas-gene-2801")</f>
        <v>BSGatlas-gene-2801</v>
      </c>
      <c r="B2802" s="1" t="s">
        <v>2534</v>
      </c>
      <c r="C2802" s="1" t="s">
        <v>276</v>
      </c>
      <c r="D2802" s="1">
        <v>2477777</v>
      </c>
      <c r="E2802" s="1">
        <v>2477899</v>
      </c>
      <c r="F2802" s="1" t="s">
        <v>13</v>
      </c>
      <c r="G2802" s="1" t="s">
        <v>11441</v>
      </c>
    </row>
    <row r="2803" spans="1:7" ht="21" x14ac:dyDescent="0.25">
      <c r="A2803" s="2" t="str">
        <f>HYPERLINK("https://rth.dk/resources/bsgatlas/details.php?id=BSGatlas-gene-2802","BSGatlas-gene-2802")</f>
        <v>BSGatlas-gene-2802</v>
      </c>
      <c r="B2803" s="1" t="s">
        <v>2535</v>
      </c>
      <c r="C2803" s="1" t="s">
        <v>276</v>
      </c>
      <c r="D2803" s="1">
        <v>2477892</v>
      </c>
      <c r="E2803" s="1">
        <v>2477924</v>
      </c>
      <c r="F2803" s="1" t="s">
        <v>13</v>
      </c>
      <c r="G2803" s="1" t="s">
        <v>11441</v>
      </c>
    </row>
    <row r="2804" spans="1:7" ht="21" x14ac:dyDescent="0.25">
      <c r="A2804" s="2" t="str">
        <f>HYPERLINK("https://rth.dk/resources/bsgatlas/details.php?id=BSGatlas-gene-2803","BSGatlas-gene-2803")</f>
        <v>BSGatlas-gene-2803</v>
      </c>
      <c r="B2804" s="1" t="s">
        <v>2536</v>
      </c>
      <c r="C2804" s="1" t="s">
        <v>8</v>
      </c>
      <c r="D2804" s="1">
        <v>2478006</v>
      </c>
      <c r="E2804" s="1">
        <v>2478929</v>
      </c>
      <c r="F2804" s="1" t="s">
        <v>13</v>
      </c>
      <c r="G2804" s="1" t="s">
        <v>11409</v>
      </c>
    </row>
    <row r="2805" spans="1:7" ht="21" x14ac:dyDescent="0.25">
      <c r="A2805" s="2" t="str">
        <f>HYPERLINK("https://rth.dk/resources/bsgatlas/details.php?id=BSGatlas-gene-2804","BSGatlas-gene-2804")</f>
        <v>BSGatlas-gene-2804</v>
      </c>
      <c r="B2805" s="1" t="s">
        <v>2537</v>
      </c>
      <c r="C2805" s="1" t="s">
        <v>8</v>
      </c>
      <c r="D2805" s="1">
        <v>2479156</v>
      </c>
      <c r="E2805" s="1">
        <v>2480625</v>
      </c>
      <c r="F2805" s="1" t="s">
        <v>9</v>
      </c>
      <c r="G2805" s="1" t="s">
        <v>11409</v>
      </c>
    </row>
    <row r="2806" spans="1:7" ht="21" x14ac:dyDescent="0.25">
      <c r="A2806" s="2" t="str">
        <f>HYPERLINK("https://rth.dk/resources/bsgatlas/details.php?id=BSGatlas-gene-2805","BSGatlas-gene-2805")</f>
        <v>BSGatlas-gene-2805</v>
      </c>
      <c r="B2806" s="1" t="s">
        <v>2538</v>
      </c>
      <c r="C2806" s="1" t="s">
        <v>8</v>
      </c>
      <c r="D2806" s="1">
        <v>2480750</v>
      </c>
      <c r="E2806" s="1">
        <v>2482159</v>
      </c>
      <c r="F2806" s="1" t="s">
        <v>13</v>
      </c>
      <c r="G2806" s="1" t="s">
        <v>11409</v>
      </c>
    </row>
    <row r="2807" spans="1:7" ht="21" x14ac:dyDescent="0.25">
      <c r="A2807" s="2" t="str">
        <f>HYPERLINK("https://rth.dk/resources/bsgatlas/details.php?id=BSGatlas-gene-2806","BSGatlas-gene-2806")</f>
        <v>BSGatlas-gene-2806</v>
      </c>
      <c r="B2807" s="1" t="s">
        <v>2539</v>
      </c>
      <c r="C2807" s="1" t="s">
        <v>8</v>
      </c>
      <c r="D2807" s="1">
        <v>2482269</v>
      </c>
      <c r="E2807" s="1">
        <v>2483513</v>
      </c>
      <c r="F2807" s="1" t="s">
        <v>13</v>
      </c>
      <c r="G2807" s="1" t="s">
        <v>11409</v>
      </c>
    </row>
    <row r="2808" spans="1:7" ht="21" x14ac:dyDescent="0.25">
      <c r="A2808" s="2" t="str">
        <f>HYPERLINK("https://rth.dk/resources/bsgatlas/details.php?id=BSGatlas-gene-2807","BSGatlas-gene-2807")</f>
        <v>BSGatlas-gene-2807</v>
      </c>
      <c r="B2808" s="1" t="s">
        <v>2540</v>
      </c>
      <c r="C2808" s="1" t="s">
        <v>8</v>
      </c>
      <c r="D2808" s="1">
        <v>2483586</v>
      </c>
      <c r="E2808" s="1">
        <v>2483873</v>
      </c>
      <c r="F2808" s="1" t="s">
        <v>9</v>
      </c>
      <c r="G2808" s="1" t="s">
        <v>11409</v>
      </c>
    </row>
    <row r="2809" spans="1:7" ht="21" x14ac:dyDescent="0.25">
      <c r="A2809" s="2" t="str">
        <f>HYPERLINK("https://rth.dk/resources/bsgatlas/details.php?id=BSGatlas-gene-2808","BSGatlas-gene-2808")</f>
        <v>BSGatlas-gene-2808</v>
      </c>
      <c r="B2809" s="1" t="s">
        <v>2541</v>
      </c>
      <c r="C2809" s="1" t="s">
        <v>8</v>
      </c>
      <c r="D2809" s="1">
        <v>2483904</v>
      </c>
      <c r="E2809" s="1">
        <v>2484731</v>
      </c>
      <c r="F2809" s="1" t="s">
        <v>9</v>
      </c>
      <c r="G2809" s="1" t="s">
        <v>11409</v>
      </c>
    </row>
    <row r="2810" spans="1:7" ht="21" x14ac:dyDescent="0.25">
      <c r="A2810" s="2" t="str">
        <f>HYPERLINK("https://rth.dk/resources/bsgatlas/details.php?id=BSGatlas-gene-2809","BSGatlas-gene-2809")</f>
        <v>BSGatlas-gene-2809</v>
      </c>
      <c r="B2810" s="1" t="s">
        <v>2543</v>
      </c>
      <c r="C2810" s="1" t="s">
        <v>8</v>
      </c>
      <c r="D2810" s="1">
        <v>2484911</v>
      </c>
      <c r="E2810" s="1">
        <v>2485639</v>
      </c>
      <c r="F2810" s="1" t="s">
        <v>9</v>
      </c>
      <c r="G2810" s="1" t="s">
        <v>11409</v>
      </c>
    </row>
    <row r="2811" spans="1:7" ht="21" x14ac:dyDescent="0.25">
      <c r="A2811" s="2" t="str">
        <f>HYPERLINK("https://rth.dk/resources/bsgatlas/details.php?id=BSGatlas-gene-2810","BSGatlas-gene-2810")</f>
        <v>BSGatlas-gene-2810</v>
      </c>
      <c r="B2811" s="1" t="s">
        <v>2542</v>
      </c>
      <c r="C2811" s="1" t="s">
        <v>8</v>
      </c>
      <c r="D2811" s="1">
        <v>2485680</v>
      </c>
      <c r="E2811" s="1">
        <v>2486795</v>
      </c>
      <c r="F2811" s="1" t="s">
        <v>13</v>
      </c>
      <c r="G2811" s="1" t="s">
        <v>11409</v>
      </c>
    </row>
    <row r="2812" spans="1:7" ht="21" x14ac:dyDescent="0.25">
      <c r="A2812" s="2" t="str">
        <f>HYPERLINK("https://rth.dk/resources/bsgatlas/details.php?id=BSGatlas-gene-2811","BSGatlas-gene-2811")</f>
        <v>BSGatlas-gene-2811</v>
      </c>
      <c r="B2812" s="1" t="s">
        <v>2544</v>
      </c>
      <c r="C2812" s="1" t="s">
        <v>8</v>
      </c>
      <c r="D2812" s="1">
        <v>2486813</v>
      </c>
      <c r="E2812" s="1">
        <v>2488336</v>
      </c>
      <c r="F2812" s="1" t="s">
        <v>13</v>
      </c>
      <c r="G2812" s="1" t="s">
        <v>11409</v>
      </c>
    </row>
    <row r="2813" spans="1:7" ht="21" x14ac:dyDescent="0.25">
      <c r="A2813" s="2" t="str">
        <f>HYPERLINK("https://rth.dk/resources/bsgatlas/details.php?id=BSGatlas-gene-2812","BSGatlas-gene-2812")</f>
        <v>BSGatlas-gene-2812</v>
      </c>
      <c r="B2813" s="1" t="s">
        <v>2545</v>
      </c>
      <c r="C2813" s="1" t="s">
        <v>8</v>
      </c>
      <c r="D2813" s="1">
        <v>2488329</v>
      </c>
      <c r="E2813" s="1">
        <v>2488751</v>
      </c>
      <c r="F2813" s="1" t="s">
        <v>13</v>
      </c>
      <c r="G2813" s="1" t="s">
        <v>11409</v>
      </c>
    </row>
    <row r="2814" spans="1:7" ht="21" x14ac:dyDescent="0.25">
      <c r="A2814" s="2" t="str">
        <f>HYPERLINK("https://rth.dk/resources/bsgatlas/details.php?id=BSGatlas-gene-2813","BSGatlas-gene-2813")</f>
        <v>BSGatlas-gene-2813</v>
      </c>
      <c r="B2814" s="1" t="s">
        <v>2547</v>
      </c>
      <c r="C2814" s="1" t="s">
        <v>12</v>
      </c>
      <c r="D2814" s="1">
        <v>2488824</v>
      </c>
      <c r="E2814" s="1">
        <v>2488976</v>
      </c>
      <c r="F2814" s="1" t="s">
        <v>9</v>
      </c>
      <c r="G2814" s="1" t="s">
        <v>11442</v>
      </c>
    </row>
    <row r="2815" spans="1:7" ht="21" x14ac:dyDescent="0.25">
      <c r="A2815" s="2" t="str">
        <f>HYPERLINK("https://rth.dk/resources/bsgatlas/details.php?id=BSGatlas-gene-2814","BSGatlas-gene-2814")</f>
        <v>BSGatlas-gene-2814</v>
      </c>
      <c r="B2815" s="1" t="s">
        <v>2546</v>
      </c>
      <c r="C2815" s="1" t="s">
        <v>8</v>
      </c>
      <c r="D2815" s="1">
        <v>2488953</v>
      </c>
      <c r="E2815" s="1">
        <v>2489483</v>
      </c>
      <c r="F2815" s="1" t="s">
        <v>13</v>
      </c>
      <c r="G2815" s="1" t="s">
        <v>11409</v>
      </c>
    </row>
    <row r="2816" spans="1:7" ht="21" x14ac:dyDescent="0.25">
      <c r="A2816" s="2" t="str">
        <f>HYPERLINK("https://rth.dk/resources/bsgatlas/details.php?id=BSGatlas-gene-2815","BSGatlas-gene-2815")</f>
        <v>BSGatlas-gene-2815</v>
      </c>
      <c r="B2816" s="1" t="s">
        <v>2548</v>
      </c>
      <c r="C2816" s="1" t="s">
        <v>8</v>
      </c>
      <c r="D2816" s="1">
        <v>2489535</v>
      </c>
      <c r="E2816" s="1">
        <v>2490503</v>
      </c>
      <c r="F2816" s="1" t="s">
        <v>13</v>
      </c>
      <c r="G2816" s="1" t="s">
        <v>11409</v>
      </c>
    </row>
    <row r="2817" spans="1:7" ht="21" x14ac:dyDescent="0.25">
      <c r="A2817" s="2" t="str">
        <f>HYPERLINK("https://rth.dk/resources/bsgatlas/details.php?id=BSGatlas-gene-2816","BSGatlas-gene-2816")</f>
        <v>BSGatlas-gene-2816</v>
      </c>
      <c r="B2817" s="1" t="s">
        <v>2549</v>
      </c>
      <c r="C2817" s="1" t="s">
        <v>8</v>
      </c>
      <c r="D2817" s="1">
        <v>2490574</v>
      </c>
      <c r="E2817" s="1">
        <v>2491296</v>
      </c>
      <c r="F2817" s="1" t="s">
        <v>13</v>
      </c>
      <c r="G2817" s="1" t="s">
        <v>11409</v>
      </c>
    </row>
    <row r="2818" spans="1:7" ht="21" x14ac:dyDescent="0.25">
      <c r="A2818" s="2" t="str">
        <f>HYPERLINK("https://rth.dk/resources/bsgatlas/details.php?id=BSGatlas-gene-2817","BSGatlas-gene-2817")</f>
        <v>BSGatlas-gene-2817</v>
      </c>
      <c r="B2818" s="1" t="s">
        <v>2550</v>
      </c>
      <c r="C2818" s="1" t="s">
        <v>8</v>
      </c>
      <c r="D2818" s="1">
        <v>2491289</v>
      </c>
      <c r="E2818" s="1">
        <v>2491948</v>
      </c>
      <c r="F2818" s="1" t="s">
        <v>13</v>
      </c>
      <c r="G2818" s="1" t="s">
        <v>11409</v>
      </c>
    </row>
    <row r="2819" spans="1:7" ht="21" x14ac:dyDescent="0.25">
      <c r="A2819" s="2" t="str">
        <f>HYPERLINK("https://rth.dk/resources/bsgatlas/details.php?id=BSGatlas-gene-2818","BSGatlas-gene-2818")</f>
        <v>BSGatlas-gene-2818</v>
      </c>
      <c r="B2819" s="1" t="s">
        <v>2551</v>
      </c>
      <c r="C2819" s="1" t="s">
        <v>8</v>
      </c>
      <c r="D2819" s="1">
        <v>2492029</v>
      </c>
      <c r="E2819" s="1">
        <v>2492796</v>
      </c>
      <c r="F2819" s="1" t="s">
        <v>13</v>
      </c>
      <c r="G2819" s="1" t="s">
        <v>11409</v>
      </c>
    </row>
    <row r="2820" spans="1:7" ht="21" x14ac:dyDescent="0.25">
      <c r="A2820" s="2" t="str">
        <f>HYPERLINK("https://rth.dk/resources/bsgatlas/details.php?id=BSGatlas-gene-2819","BSGatlas-gene-2819")</f>
        <v>BSGatlas-gene-2819</v>
      </c>
      <c r="B2820" s="1" t="s">
        <v>2552</v>
      </c>
      <c r="C2820" s="1" t="s">
        <v>8</v>
      </c>
      <c r="D2820" s="1">
        <v>2493064</v>
      </c>
      <c r="E2820" s="1">
        <v>2493501</v>
      </c>
      <c r="F2820" s="1" t="s">
        <v>13</v>
      </c>
      <c r="G2820" s="1" t="s">
        <v>11409</v>
      </c>
    </row>
    <row r="2821" spans="1:7" ht="21" x14ac:dyDescent="0.25">
      <c r="A2821" s="2" t="str">
        <f>HYPERLINK("https://rth.dk/resources/bsgatlas/details.php?id=BSGatlas-gene-2820","BSGatlas-gene-2820")</f>
        <v>BSGatlas-gene-2820</v>
      </c>
      <c r="B2821" s="1" t="s">
        <v>2553</v>
      </c>
      <c r="C2821" s="1" t="s">
        <v>8</v>
      </c>
      <c r="D2821" s="1">
        <v>2493662</v>
      </c>
      <c r="E2821" s="1">
        <v>2494555</v>
      </c>
      <c r="F2821" s="1" t="s">
        <v>9</v>
      </c>
      <c r="G2821" s="1" t="s">
        <v>11409</v>
      </c>
    </row>
    <row r="2822" spans="1:7" ht="21" x14ac:dyDescent="0.25">
      <c r="A2822" s="2" t="str">
        <f>HYPERLINK("https://rth.dk/resources/bsgatlas/details.php?id=BSGatlas-gene-2821","BSGatlas-gene-2821")</f>
        <v>BSGatlas-gene-2821</v>
      </c>
      <c r="B2822" s="1" t="s">
        <v>2554</v>
      </c>
      <c r="C2822" s="1" t="s">
        <v>8</v>
      </c>
      <c r="D2822" s="1">
        <v>2494656</v>
      </c>
      <c r="E2822" s="1">
        <v>2495825</v>
      </c>
      <c r="F2822" s="1" t="s">
        <v>9</v>
      </c>
      <c r="G2822" s="1" t="s">
        <v>11409</v>
      </c>
    </row>
    <row r="2823" spans="1:7" ht="21" x14ac:dyDescent="0.25">
      <c r="A2823" s="2" t="str">
        <f>HYPERLINK("https://rth.dk/resources/bsgatlas/details.php?id=BSGatlas-gene-2822","BSGatlas-gene-2822")</f>
        <v>BSGatlas-gene-2822</v>
      </c>
      <c r="B2823" s="1" t="s">
        <v>2555</v>
      </c>
      <c r="C2823" s="1" t="s">
        <v>8</v>
      </c>
      <c r="D2823" s="1">
        <v>2495898</v>
      </c>
      <c r="E2823" s="1">
        <v>2496734</v>
      </c>
      <c r="F2823" s="1" t="s">
        <v>9</v>
      </c>
      <c r="G2823" s="1" t="s">
        <v>11409</v>
      </c>
    </row>
    <row r="2824" spans="1:7" ht="21" x14ac:dyDescent="0.25">
      <c r="A2824" s="2" t="str">
        <f>HYPERLINK("https://rth.dk/resources/bsgatlas/details.php?id=BSGatlas-gene-2823","BSGatlas-gene-2823")</f>
        <v>BSGatlas-gene-2823</v>
      </c>
      <c r="B2824" s="1" t="s">
        <v>2556</v>
      </c>
      <c r="C2824" s="1" t="s">
        <v>8</v>
      </c>
      <c r="D2824" s="1">
        <v>2496796</v>
      </c>
      <c r="E2824" s="1">
        <v>2498070</v>
      </c>
      <c r="F2824" s="1" t="s">
        <v>13</v>
      </c>
      <c r="G2824" s="1" t="s">
        <v>11409</v>
      </c>
    </row>
    <row r="2825" spans="1:7" ht="21" x14ac:dyDescent="0.25">
      <c r="A2825" s="2" t="str">
        <f>HYPERLINK("https://rth.dk/resources/bsgatlas/details.php?id=BSGatlas-gene-2824","BSGatlas-gene-2824")</f>
        <v>BSGatlas-gene-2824</v>
      </c>
      <c r="B2825" s="1" t="s">
        <v>2557</v>
      </c>
      <c r="C2825" s="1" t="s">
        <v>8</v>
      </c>
      <c r="D2825" s="1">
        <v>2498093</v>
      </c>
      <c r="E2825" s="1">
        <v>2499076</v>
      </c>
      <c r="F2825" s="1" t="s">
        <v>13</v>
      </c>
      <c r="G2825" s="1" t="s">
        <v>11409</v>
      </c>
    </row>
    <row r="2826" spans="1:7" ht="21" x14ac:dyDescent="0.25">
      <c r="A2826" s="2" t="str">
        <f>HYPERLINK("https://rth.dk/resources/bsgatlas/details.php?id=BSGatlas-gene-2825","BSGatlas-gene-2825")</f>
        <v>BSGatlas-gene-2825</v>
      </c>
      <c r="B2826" s="1" t="s">
        <v>2558</v>
      </c>
      <c r="C2826" s="1" t="s">
        <v>8</v>
      </c>
      <c r="D2826" s="1">
        <v>2499090</v>
      </c>
      <c r="E2826" s="1">
        <v>2500082</v>
      </c>
      <c r="F2826" s="1" t="s">
        <v>13</v>
      </c>
      <c r="G2826" s="1" t="s">
        <v>11409</v>
      </c>
    </row>
    <row r="2827" spans="1:7" ht="21" x14ac:dyDescent="0.25">
      <c r="A2827" s="2" t="str">
        <f>HYPERLINK("https://rth.dk/resources/bsgatlas/details.php?id=BSGatlas-gene-2826","BSGatlas-gene-2826")</f>
        <v>BSGatlas-gene-2826</v>
      </c>
      <c r="B2827" s="1" t="s">
        <v>2559</v>
      </c>
      <c r="C2827" s="1" t="s">
        <v>8</v>
      </c>
      <c r="D2827" s="1">
        <v>2500104</v>
      </c>
      <c r="E2827" s="1">
        <v>2501528</v>
      </c>
      <c r="F2827" s="1" t="s">
        <v>13</v>
      </c>
      <c r="G2827" s="1" t="s">
        <v>11409</v>
      </c>
    </row>
    <row r="2828" spans="1:7" ht="21" x14ac:dyDescent="0.25">
      <c r="A2828" s="2" t="str">
        <f>HYPERLINK("https://rth.dk/resources/bsgatlas/details.php?id=BSGatlas-gene-2827","BSGatlas-gene-2827")</f>
        <v>BSGatlas-gene-2827</v>
      </c>
      <c r="B2828" s="1" t="s">
        <v>2560</v>
      </c>
      <c r="C2828" s="1" t="s">
        <v>8</v>
      </c>
      <c r="D2828" s="1">
        <v>2501549</v>
      </c>
      <c r="E2828" s="1">
        <v>2502640</v>
      </c>
      <c r="F2828" s="1" t="s">
        <v>13</v>
      </c>
      <c r="G2828" s="1" t="s">
        <v>11409</v>
      </c>
    </row>
    <row r="2829" spans="1:7" ht="21" x14ac:dyDescent="0.25">
      <c r="A2829" s="2" t="str">
        <f>HYPERLINK("https://rth.dk/resources/bsgatlas/details.php?id=BSGatlas-gene-2828","BSGatlas-gene-2828")</f>
        <v>BSGatlas-gene-2828</v>
      </c>
      <c r="B2829" s="1" t="s">
        <v>2561</v>
      </c>
      <c r="C2829" s="1" t="s">
        <v>8</v>
      </c>
      <c r="D2829" s="1">
        <v>2502659</v>
      </c>
      <c r="E2829" s="1">
        <v>2503753</v>
      </c>
      <c r="F2829" s="1" t="s">
        <v>13</v>
      </c>
      <c r="G2829" s="1" t="s">
        <v>11409</v>
      </c>
    </row>
    <row r="2830" spans="1:7" ht="21" x14ac:dyDescent="0.25">
      <c r="A2830" s="2" t="str">
        <f>HYPERLINK("https://rth.dk/resources/bsgatlas/details.php?id=BSGatlas-gene-2829","BSGatlas-gene-2829")</f>
        <v>BSGatlas-gene-2829</v>
      </c>
      <c r="B2830" s="1" t="s">
        <v>2562</v>
      </c>
      <c r="C2830" s="1" t="s">
        <v>8</v>
      </c>
      <c r="D2830" s="1">
        <v>2503765</v>
      </c>
      <c r="E2830" s="1">
        <v>2504664</v>
      </c>
      <c r="F2830" s="1" t="s">
        <v>13</v>
      </c>
      <c r="G2830" s="1" t="s">
        <v>11409</v>
      </c>
    </row>
    <row r="2831" spans="1:7" ht="21" x14ac:dyDescent="0.25">
      <c r="A2831" s="2" t="str">
        <f>HYPERLINK("https://rth.dk/resources/bsgatlas/details.php?id=BSGatlas-gene-2830","BSGatlas-gene-2830")</f>
        <v>BSGatlas-gene-2830</v>
      </c>
      <c r="B2831" s="1" t="s">
        <v>2563</v>
      </c>
      <c r="C2831" s="1" t="s">
        <v>8</v>
      </c>
      <c r="D2831" s="1">
        <v>2504789</v>
      </c>
      <c r="E2831" s="1">
        <v>2506867</v>
      </c>
      <c r="F2831" s="1" t="s">
        <v>13</v>
      </c>
      <c r="G2831" s="1" t="s">
        <v>11409</v>
      </c>
    </row>
    <row r="2832" spans="1:7" ht="21" x14ac:dyDescent="0.25">
      <c r="A2832" s="2" t="str">
        <f>HYPERLINK("https://rth.dk/resources/bsgatlas/details.php?id=BSGatlas-gene-2831","BSGatlas-gene-2831")</f>
        <v>BSGatlas-gene-2831</v>
      </c>
      <c r="B2832" s="1" t="s">
        <v>2564</v>
      </c>
      <c r="C2832" s="1" t="s">
        <v>8</v>
      </c>
      <c r="D2832" s="1">
        <v>2507020</v>
      </c>
      <c r="E2832" s="1">
        <v>2507256</v>
      </c>
      <c r="F2832" s="1" t="s">
        <v>9</v>
      </c>
      <c r="G2832" s="1" t="s">
        <v>11409</v>
      </c>
    </row>
    <row r="2833" spans="1:7" ht="21" x14ac:dyDescent="0.25">
      <c r="A2833" s="2" t="str">
        <f>HYPERLINK("https://rth.dk/resources/bsgatlas/details.php?id=BSGatlas-gene-2832","BSGatlas-gene-2832")</f>
        <v>BSGatlas-gene-2832</v>
      </c>
      <c r="B2833" s="1" t="s">
        <v>2565</v>
      </c>
      <c r="C2833" s="1" t="s">
        <v>8</v>
      </c>
      <c r="D2833" s="1">
        <v>2507298</v>
      </c>
      <c r="E2833" s="1">
        <v>2508203</v>
      </c>
      <c r="F2833" s="1" t="s">
        <v>13</v>
      </c>
      <c r="G2833" s="1" t="s">
        <v>11409</v>
      </c>
    </row>
    <row r="2834" spans="1:7" ht="21" x14ac:dyDescent="0.25">
      <c r="A2834" s="2" t="str">
        <f>HYPERLINK("https://rth.dk/resources/bsgatlas/details.php?id=BSGatlas-gene-2833","BSGatlas-gene-2833")</f>
        <v>BSGatlas-gene-2833</v>
      </c>
      <c r="B2834" s="1" t="s">
        <v>2566</v>
      </c>
      <c r="C2834" s="1" t="s">
        <v>8</v>
      </c>
      <c r="D2834" s="1">
        <v>2508221</v>
      </c>
      <c r="E2834" s="1">
        <v>2509639</v>
      </c>
      <c r="F2834" s="1" t="s">
        <v>13</v>
      </c>
      <c r="G2834" s="1" t="s">
        <v>11409</v>
      </c>
    </row>
    <row r="2835" spans="1:7" ht="21" x14ac:dyDescent="0.25">
      <c r="A2835" s="2" t="str">
        <f>HYPERLINK("https://rth.dk/resources/bsgatlas/details.php?id=BSGatlas-gene-2834","BSGatlas-gene-2834")</f>
        <v>BSGatlas-gene-2834</v>
      </c>
      <c r="B2835" s="1" t="s">
        <v>2567</v>
      </c>
      <c r="C2835" s="1" t="s">
        <v>8</v>
      </c>
      <c r="D2835" s="1">
        <v>2509654</v>
      </c>
      <c r="E2835" s="1">
        <v>2510772</v>
      </c>
      <c r="F2835" s="1" t="s">
        <v>13</v>
      </c>
      <c r="G2835" s="1" t="s">
        <v>11409</v>
      </c>
    </row>
    <row r="2836" spans="1:7" ht="21" x14ac:dyDescent="0.25">
      <c r="A2836" s="2" t="str">
        <f>HYPERLINK("https://rth.dk/resources/bsgatlas/details.php?id=BSGatlas-gene-2835","BSGatlas-gene-2835")</f>
        <v>BSGatlas-gene-2835</v>
      </c>
      <c r="B2836" s="1" t="s">
        <v>2568</v>
      </c>
      <c r="C2836" s="1" t="s">
        <v>8</v>
      </c>
      <c r="D2836" s="1">
        <v>2510806</v>
      </c>
      <c r="E2836" s="1">
        <v>2511945</v>
      </c>
      <c r="F2836" s="1" t="s">
        <v>13</v>
      </c>
      <c r="G2836" s="1" t="s">
        <v>11409</v>
      </c>
    </row>
    <row r="2837" spans="1:7" ht="21" x14ac:dyDescent="0.25">
      <c r="A2837" s="2" t="str">
        <f>HYPERLINK("https://rth.dk/resources/bsgatlas/details.php?id=BSGatlas-gene-2836","BSGatlas-gene-2836")</f>
        <v>BSGatlas-gene-2836</v>
      </c>
      <c r="B2837" s="1" t="s">
        <v>2569</v>
      </c>
      <c r="C2837" s="1" t="s">
        <v>8</v>
      </c>
      <c r="D2837" s="1">
        <v>2511973</v>
      </c>
      <c r="E2837" s="1">
        <v>2512836</v>
      </c>
      <c r="F2837" s="1" t="s">
        <v>13</v>
      </c>
      <c r="G2837" s="1" t="s">
        <v>11409</v>
      </c>
    </row>
    <row r="2838" spans="1:7" ht="21" x14ac:dyDescent="0.25">
      <c r="A2838" s="2" t="str">
        <f>HYPERLINK("https://rth.dk/resources/bsgatlas/details.php?id=BSGatlas-gene-2837","BSGatlas-gene-2837")</f>
        <v>BSGatlas-gene-2837</v>
      </c>
      <c r="B2838" s="1" t="s">
        <v>2570</v>
      </c>
      <c r="C2838" s="1" t="s">
        <v>8</v>
      </c>
      <c r="D2838" s="1">
        <v>2512861</v>
      </c>
      <c r="E2838" s="1">
        <v>2514042</v>
      </c>
      <c r="F2838" s="1" t="s">
        <v>13</v>
      </c>
      <c r="G2838" s="1" t="s">
        <v>11409</v>
      </c>
    </row>
    <row r="2839" spans="1:7" ht="21" x14ac:dyDescent="0.25">
      <c r="A2839" s="2" t="str">
        <f>HYPERLINK("https://rth.dk/resources/bsgatlas/details.php?id=BSGatlas-gene-2838","BSGatlas-gene-2838")</f>
        <v>BSGatlas-gene-2838</v>
      </c>
      <c r="B2839" s="1" t="s">
        <v>2571</v>
      </c>
      <c r="C2839" s="1" t="s">
        <v>8</v>
      </c>
      <c r="D2839" s="1">
        <v>2514169</v>
      </c>
      <c r="E2839" s="1">
        <v>2514900</v>
      </c>
      <c r="F2839" s="1" t="s">
        <v>13</v>
      </c>
      <c r="G2839" s="1" t="s">
        <v>11409</v>
      </c>
    </row>
    <row r="2840" spans="1:7" ht="21" x14ac:dyDescent="0.25">
      <c r="A2840" s="2" t="str">
        <f>HYPERLINK("https://rth.dk/resources/bsgatlas/details.php?id=BSGatlas-gene-2839","BSGatlas-gene-2839")</f>
        <v>BSGatlas-gene-2839</v>
      </c>
      <c r="B2840" s="1" t="s">
        <v>2572</v>
      </c>
      <c r="C2840" s="1" t="s">
        <v>8</v>
      </c>
      <c r="D2840" s="1">
        <v>2514979</v>
      </c>
      <c r="E2840" s="1">
        <v>2515599</v>
      </c>
      <c r="F2840" s="1" t="s">
        <v>13</v>
      </c>
      <c r="G2840" s="1" t="s">
        <v>11409</v>
      </c>
    </row>
    <row r="2841" spans="1:7" ht="21" x14ac:dyDescent="0.25">
      <c r="A2841" s="2" t="str">
        <f>HYPERLINK("https://rth.dk/resources/bsgatlas/details.php?id=BSGatlas-gene-2840","BSGatlas-gene-2840")</f>
        <v>BSGatlas-gene-2840</v>
      </c>
      <c r="B2841" s="1" t="s">
        <v>2573</v>
      </c>
      <c r="C2841" s="1" t="s">
        <v>8</v>
      </c>
      <c r="D2841" s="1">
        <v>2515614</v>
      </c>
      <c r="E2841" s="1">
        <v>2515907</v>
      </c>
      <c r="F2841" s="1" t="s">
        <v>13</v>
      </c>
      <c r="G2841" s="1" t="s">
        <v>11409</v>
      </c>
    </row>
    <row r="2842" spans="1:7" ht="21" x14ac:dyDescent="0.25">
      <c r="A2842" s="2" t="str">
        <f>HYPERLINK("https://rth.dk/resources/bsgatlas/details.php?id=BSGatlas-gene-2841","BSGatlas-gene-2841")</f>
        <v>BSGatlas-gene-2841</v>
      </c>
      <c r="B2842" s="1" t="s">
        <v>318</v>
      </c>
      <c r="C2842" s="1" t="s">
        <v>8</v>
      </c>
      <c r="D2842" s="1">
        <v>2516215</v>
      </c>
      <c r="E2842" s="1">
        <v>2516367</v>
      </c>
      <c r="F2842" s="1" t="s">
        <v>9</v>
      </c>
      <c r="G2842" s="1" t="s">
        <v>11441</v>
      </c>
    </row>
    <row r="2843" spans="1:7" ht="21" x14ac:dyDescent="0.25">
      <c r="A2843" s="2" t="str">
        <f>HYPERLINK("https://rth.dk/resources/bsgatlas/details.php?id=BSGatlas-gene-2842","BSGatlas-gene-2842")</f>
        <v>BSGatlas-gene-2842</v>
      </c>
      <c r="B2843" s="1" t="s">
        <v>2574</v>
      </c>
      <c r="C2843" s="1" t="s">
        <v>8</v>
      </c>
      <c r="D2843" s="1">
        <v>2516440</v>
      </c>
      <c r="E2843" s="1">
        <v>2517558</v>
      </c>
      <c r="F2843" s="1" t="s">
        <v>9</v>
      </c>
      <c r="G2843" s="1" t="s">
        <v>11409</v>
      </c>
    </row>
    <row r="2844" spans="1:7" ht="21" x14ac:dyDescent="0.25">
      <c r="A2844" s="2" t="str">
        <f>HYPERLINK("https://rth.dk/resources/bsgatlas/details.php?id=BSGatlas-gene-2843","BSGatlas-gene-2843")</f>
        <v>BSGatlas-gene-2843</v>
      </c>
      <c r="B2844" s="1" t="s">
        <v>2575</v>
      </c>
      <c r="C2844" s="1" t="s">
        <v>12</v>
      </c>
      <c r="D2844" s="1">
        <v>2517585</v>
      </c>
      <c r="E2844" s="1">
        <v>2517755</v>
      </c>
      <c r="F2844" s="1" t="s">
        <v>13</v>
      </c>
      <c r="G2844" s="1" t="s">
        <v>11406</v>
      </c>
    </row>
    <row r="2845" spans="1:7" ht="21" x14ac:dyDescent="0.25">
      <c r="A2845" s="2" t="str">
        <f>HYPERLINK("https://rth.dk/resources/bsgatlas/details.php?id=BSGatlas-gene-2844","BSGatlas-gene-2844")</f>
        <v>BSGatlas-gene-2844</v>
      </c>
      <c r="B2845" s="1" t="s">
        <v>2576</v>
      </c>
      <c r="C2845" s="1" t="s">
        <v>8</v>
      </c>
      <c r="D2845" s="1">
        <v>2518023</v>
      </c>
      <c r="E2845" s="1">
        <v>2518826</v>
      </c>
      <c r="F2845" s="1" t="s">
        <v>13</v>
      </c>
      <c r="G2845" s="1" t="s">
        <v>11409</v>
      </c>
    </row>
    <row r="2846" spans="1:7" ht="21" x14ac:dyDescent="0.25">
      <c r="A2846" s="2" t="str">
        <f>HYPERLINK("https://rth.dk/resources/bsgatlas/details.php?id=BSGatlas-gene-2845","BSGatlas-gene-2845")</f>
        <v>BSGatlas-gene-2845</v>
      </c>
      <c r="B2846" s="1" t="s">
        <v>2577</v>
      </c>
      <c r="C2846" s="1" t="s">
        <v>8</v>
      </c>
      <c r="D2846" s="1">
        <v>2519102</v>
      </c>
      <c r="E2846" s="1">
        <v>2520382</v>
      </c>
      <c r="F2846" s="1" t="s">
        <v>13</v>
      </c>
      <c r="G2846" s="1" t="s">
        <v>11409</v>
      </c>
    </row>
    <row r="2847" spans="1:7" ht="21" x14ac:dyDescent="0.25">
      <c r="A2847" s="2" t="str">
        <f>HYPERLINK("https://rth.dk/resources/bsgatlas/details.php?id=BSGatlas-gene-2846","BSGatlas-gene-2846")</f>
        <v>BSGatlas-gene-2846</v>
      </c>
      <c r="B2847" s="1" t="s">
        <v>2578</v>
      </c>
      <c r="C2847" s="1" t="s">
        <v>8</v>
      </c>
      <c r="D2847" s="1">
        <v>2520557</v>
      </c>
      <c r="E2847" s="1">
        <v>2522287</v>
      </c>
      <c r="F2847" s="1" t="s">
        <v>13</v>
      </c>
      <c r="G2847" s="1" t="s">
        <v>11409</v>
      </c>
    </row>
    <row r="2848" spans="1:7" ht="21" x14ac:dyDescent="0.25">
      <c r="A2848" s="2" t="str">
        <f>HYPERLINK("https://rth.dk/resources/bsgatlas/details.php?id=BSGatlas-gene-2847","BSGatlas-gene-2847")</f>
        <v>BSGatlas-gene-2847</v>
      </c>
      <c r="B2848" s="1" t="s">
        <v>2579</v>
      </c>
      <c r="C2848" s="1" t="s">
        <v>8</v>
      </c>
      <c r="D2848" s="1">
        <v>2522324</v>
      </c>
      <c r="E2848" s="1">
        <v>2522773</v>
      </c>
      <c r="F2848" s="1" t="s">
        <v>13</v>
      </c>
      <c r="G2848" s="1" t="s">
        <v>11409</v>
      </c>
    </row>
    <row r="2849" spans="1:7" ht="21" x14ac:dyDescent="0.25">
      <c r="A2849" s="2" t="str">
        <f>HYPERLINK("https://rth.dk/resources/bsgatlas/details.php?id=BSGatlas-gene-2848","BSGatlas-gene-2848")</f>
        <v>BSGatlas-gene-2848</v>
      </c>
      <c r="B2849" s="1" t="s">
        <v>2580</v>
      </c>
      <c r="C2849" s="1" t="s">
        <v>8</v>
      </c>
      <c r="D2849" s="1">
        <v>2522871</v>
      </c>
      <c r="E2849" s="1">
        <v>2523716</v>
      </c>
      <c r="F2849" s="1" t="s">
        <v>13</v>
      </c>
      <c r="G2849" s="1" t="s">
        <v>11409</v>
      </c>
    </row>
    <row r="2850" spans="1:7" ht="21" x14ac:dyDescent="0.25">
      <c r="A2850" s="2" t="str">
        <f>HYPERLINK("https://rth.dk/resources/bsgatlas/details.php?id=BSGatlas-gene-2849","BSGatlas-gene-2849")</f>
        <v>BSGatlas-gene-2849</v>
      </c>
      <c r="B2850" s="1" t="s">
        <v>2581</v>
      </c>
      <c r="C2850" s="1" t="s">
        <v>8</v>
      </c>
      <c r="D2850" s="1">
        <v>2523713</v>
      </c>
      <c r="E2850" s="1">
        <v>2525614</v>
      </c>
      <c r="F2850" s="1" t="s">
        <v>13</v>
      </c>
      <c r="G2850" s="1" t="s">
        <v>11409</v>
      </c>
    </row>
    <row r="2851" spans="1:7" ht="21" x14ac:dyDescent="0.25">
      <c r="A2851" s="2" t="str">
        <f>HYPERLINK("https://rth.dk/resources/bsgatlas/details.php?id=BSGatlas-gene-2850","BSGatlas-gene-2850")</f>
        <v>BSGatlas-gene-2850</v>
      </c>
      <c r="B2851" s="1" t="s">
        <v>11665</v>
      </c>
      <c r="C2851" s="1" t="s">
        <v>2098</v>
      </c>
      <c r="D2851" s="1">
        <v>2523727</v>
      </c>
      <c r="E2851" s="1">
        <v>2523774</v>
      </c>
      <c r="F2851" s="1" t="s">
        <v>9</v>
      </c>
      <c r="G2851" s="1" t="s">
        <v>11410</v>
      </c>
    </row>
    <row r="2852" spans="1:7" ht="21" x14ac:dyDescent="0.25">
      <c r="A2852" s="2" t="str">
        <f>HYPERLINK("https://rth.dk/resources/bsgatlas/details.php?id=BSGatlas-gene-2851","BSGatlas-gene-2851")</f>
        <v>BSGatlas-gene-2851</v>
      </c>
      <c r="B2852" s="1" t="s">
        <v>1468</v>
      </c>
      <c r="C2852" s="1" t="s">
        <v>8</v>
      </c>
      <c r="D2852" s="1">
        <v>2525789</v>
      </c>
      <c r="E2852" s="1">
        <v>2526679</v>
      </c>
      <c r="F2852" s="1" t="s">
        <v>13</v>
      </c>
      <c r="G2852" s="1" t="s">
        <v>11409</v>
      </c>
    </row>
    <row r="2853" spans="1:7" ht="21" x14ac:dyDescent="0.25">
      <c r="A2853" s="2" t="str">
        <f>HYPERLINK("https://rth.dk/resources/bsgatlas/details.php?id=BSGatlas-gene-2852","BSGatlas-gene-2852")</f>
        <v>BSGatlas-gene-2852</v>
      </c>
      <c r="B2853" s="1" t="s">
        <v>11666</v>
      </c>
      <c r="C2853" s="1" t="s">
        <v>8</v>
      </c>
      <c r="D2853" s="1">
        <v>2526669</v>
      </c>
      <c r="E2853" s="1">
        <v>2526923</v>
      </c>
      <c r="F2853" s="1" t="s">
        <v>13</v>
      </c>
      <c r="G2853" s="1" t="s">
        <v>11409</v>
      </c>
    </row>
    <row r="2854" spans="1:7" ht="21" x14ac:dyDescent="0.25">
      <c r="A2854" s="2" t="str">
        <f>HYPERLINK("https://rth.dk/resources/bsgatlas/details.php?id=BSGatlas-gene-2853","BSGatlas-gene-2853")</f>
        <v>BSGatlas-gene-2853</v>
      </c>
      <c r="B2854" s="1" t="s">
        <v>11667</v>
      </c>
      <c r="C2854" s="1" t="s">
        <v>8</v>
      </c>
      <c r="D2854" s="1">
        <v>2526920</v>
      </c>
      <c r="E2854" s="1">
        <v>2528266</v>
      </c>
      <c r="F2854" s="1" t="s">
        <v>13</v>
      </c>
      <c r="G2854" s="1" t="s">
        <v>11409</v>
      </c>
    </row>
    <row r="2855" spans="1:7" ht="21" x14ac:dyDescent="0.25">
      <c r="A2855" s="2" t="str">
        <f>HYPERLINK("https://rth.dk/resources/bsgatlas/details.php?id=BSGatlas-gene-2854","BSGatlas-gene-2854")</f>
        <v>BSGatlas-gene-2854</v>
      </c>
      <c r="B2855" s="1" t="s">
        <v>522</v>
      </c>
      <c r="C2855" s="1" t="s">
        <v>34</v>
      </c>
      <c r="D2855" s="1">
        <v>2528308</v>
      </c>
      <c r="E2855" s="1">
        <v>2528397</v>
      </c>
      <c r="F2855" s="1" t="s">
        <v>13</v>
      </c>
      <c r="G2855" s="1" t="s">
        <v>11414</v>
      </c>
    </row>
    <row r="2856" spans="1:7" ht="21" x14ac:dyDescent="0.25">
      <c r="A2856" s="2" t="str">
        <f>HYPERLINK("https://rth.dk/resources/bsgatlas/details.php?id=BSGatlas-gene-2855","BSGatlas-gene-2855")</f>
        <v>BSGatlas-gene-2855</v>
      </c>
      <c r="B2856" s="1" t="s">
        <v>2582</v>
      </c>
      <c r="C2856" s="1" t="s">
        <v>8</v>
      </c>
      <c r="D2856" s="1">
        <v>2528404</v>
      </c>
      <c r="E2856" s="1">
        <v>2529255</v>
      </c>
      <c r="F2856" s="1" t="s">
        <v>13</v>
      </c>
      <c r="G2856" s="1" t="s">
        <v>11409</v>
      </c>
    </row>
    <row r="2857" spans="1:7" ht="21" x14ac:dyDescent="0.25">
      <c r="A2857" s="2" t="str">
        <f>HYPERLINK("https://rth.dk/resources/bsgatlas/details.php?id=BSGatlas-gene-2856","BSGatlas-gene-2856")</f>
        <v>BSGatlas-gene-2856</v>
      </c>
      <c r="B2857" s="1" t="s">
        <v>2583</v>
      </c>
      <c r="C2857" s="1" t="s">
        <v>8</v>
      </c>
      <c r="D2857" s="1">
        <v>2529267</v>
      </c>
      <c r="E2857" s="1">
        <v>2529662</v>
      </c>
      <c r="F2857" s="1" t="s">
        <v>13</v>
      </c>
      <c r="G2857" s="1" t="s">
        <v>11409</v>
      </c>
    </row>
    <row r="2858" spans="1:7" ht="21" x14ac:dyDescent="0.25">
      <c r="A2858" s="2" t="str">
        <f>HYPERLINK("https://rth.dk/resources/bsgatlas/details.php?id=BSGatlas-gene-2857","BSGatlas-gene-2857")</f>
        <v>BSGatlas-gene-2857</v>
      </c>
      <c r="B2858" s="1" t="s">
        <v>2584</v>
      </c>
      <c r="C2858" s="1" t="s">
        <v>8</v>
      </c>
      <c r="D2858" s="1">
        <v>2529926</v>
      </c>
      <c r="E2858" s="1">
        <v>2530333</v>
      </c>
      <c r="F2858" s="1" t="s">
        <v>13</v>
      </c>
      <c r="G2858" s="1" t="s">
        <v>11409</v>
      </c>
    </row>
    <row r="2859" spans="1:7" ht="21" x14ac:dyDescent="0.25">
      <c r="A2859" s="2" t="str">
        <f>HYPERLINK("https://rth.dk/resources/bsgatlas/details.php?id=BSGatlas-gene-2858","BSGatlas-gene-2858")</f>
        <v>BSGatlas-gene-2858</v>
      </c>
      <c r="B2859" s="1" t="s">
        <v>2585</v>
      </c>
      <c r="C2859" s="1" t="s">
        <v>8</v>
      </c>
      <c r="D2859" s="1">
        <v>2530354</v>
      </c>
      <c r="E2859" s="1">
        <v>2531706</v>
      </c>
      <c r="F2859" s="1" t="s">
        <v>13</v>
      </c>
      <c r="G2859" s="1" t="s">
        <v>11409</v>
      </c>
    </row>
    <row r="2860" spans="1:7" ht="21" x14ac:dyDescent="0.25">
      <c r="A2860" s="2" t="str">
        <f>HYPERLINK("https://rth.dk/resources/bsgatlas/details.php?id=BSGatlas-gene-2859","BSGatlas-gene-2859")</f>
        <v>BSGatlas-gene-2859</v>
      </c>
      <c r="B2860" s="1" t="s">
        <v>2586</v>
      </c>
      <c r="C2860" s="1" t="s">
        <v>8</v>
      </c>
      <c r="D2860" s="1">
        <v>2531718</v>
      </c>
      <c r="E2860" s="1">
        <v>2532197</v>
      </c>
      <c r="F2860" s="1" t="s">
        <v>13</v>
      </c>
      <c r="G2860" s="1" t="s">
        <v>11409</v>
      </c>
    </row>
    <row r="2861" spans="1:7" ht="21" x14ac:dyDescent="0.25">
      <c r="A2861" s="2" t="str">
        <f>HYPERLINK("https://rth.dk/resources/bsgatlas/details.php?id=BSGatlas-gene-2860","BSGatlas-gene-2860")</f>
        <v>BSGatlas-gene-2860</v>
      </c>
      <c r="B2861" s="1" t="s">
        <v>2587</v>
      </c>
      <c r="C2861" s="1" t="s">
        <v>8</v>
      </c>
      <c r="D2861" s="1">
        <v>2532353</v>
      </c>
      <c r="E2861" s="1">
        <v>2533009</v>
      </c>
      <c r="F2861" s="1" t="s">
        <v>13</v>
      </c>
      <c r="G2861" s="1" t="s">
        <v>11409</v>
      </c>
    </row>
    <row r="2862" spans="1:7" ht="21" x14ac:dyDescent="0.25">
      <c r="A2862" s="2" t="str">
        <f>HYPERLINK("https://rth.dk/resources/bsgatlas/details.php?id=BSGatlas-gene-2861","BSGatlas-gene-2861")</f>
        <v>BSGatlas-gene-2861</v>
      </c>
      <c r="B2862" s="1" t="s">
        <v>2588</v>
      </c>
      <c r="C2862" s="1" t="s">
        <v>8</v>
      </c>
      <c r="D2862" s="1">
        <v>2533010</v>
      </c>
      <c r="E2862" s="1">
        <v>2533699</v>
      </c>
      <c r="F2862" s="1" t="s">
        <v>13</v>
      </c>
      <c r="G2862" s="1" t="s">
        <v>11409</v>
      </c>
    </row>
    <row r="2863" spans="1:7" ht="21" x14ac:dyDescent="0.25">
      <c r="A2863" s="2" t="str">
        <f>HYPERLINK("https://rth.dk/resources/bsgatlas/details.php?id=BSGatlas-gene-2862","BSGatlas-gene-2862")</f>
        <v>BSGatlas-gene-2862</v>
      </c>
      <c r="B2863" s="1" t="s">
        <v>2589</v>
      </c>
      <c r="C2863" s="1" t="s">
        <v>8</v>
      </c>
      <c r="D2863" s="1">
        <v>2533692</v>
      </c>
      <c r="E2863" s="1">
        <v>2534312</v>
      </c>
      <c r="F2863" s="1" t="s">
        <v>13</v>
      </c>
      <c r="G2863" s="1" t="s">
        <v>11409</v>
      </c>
    </row>
    <row r="2864" spans="1:7" ht="21" x14ac:dyDescent="0.25">
      <c r="A2864" s="2" t="str">
        <f>HYPERLINK("https://rth.dk/resources/bsgatlas/details.php?id=BSGatlas-gene-2863","BSGatlas-gene-2863")</f>
        <v>BSGatlas-gene-2863</v>
      </c>
      <c r="B2864" s="1" t="s">
        <v>2590</v>
      </c>
      <c r="C2864" s="1" t="s">
        <v>8</v>
      </c>
      <c r="D2864" s="1">
        <v>2534326</v>
      </c>
      <c r="E2864" s="1">
        <v>2535525</v>
      </c>
      <c r="F2864" s="1" t="s">
        <v>13</v>
      </c>
      <c r="G2864" s="1" t="s">
        <v>11409</v>
      </c>
    </row>
    <row r="2865" spans="1:7" ht="21" x14ac:dyDescent="0.25">
      <c r="A2865" s="2" t="str">
        <f>HYPERLINK("https://rth.dk/resources/bsgatlas/details.php?id=BSGatlas-gene-2864","BSGatlas-gene-2864")</f>
        <v>BSGatlas-gene-2864</v>
      </c>
      <c r="B2865" s="1" t="s">
        <v>2591</v>
      </c>
      <c r="C2865" s="1" t="s">
        <v>8</v>
      </c>
      <c r="D2865" s="1">
        <v>2535544</v>
      </c>
      <c r="E2865" s="1">
        <v>2535945</v>
      </c>
      <c r="F2865" s="1" t="s">
        <v>13</v>
      </c>
      <c r="G2865" s="1" t="s">
        <v>11409</v>
      </c>
    </row>
    <row r="2866" spans="1:7" ht="21" x14ac:dyDescent="0.25">
      <c r="A2866" s="2" t="str">
        <f>HYPERLINK("https://rth.dk/resources/bsgatlas/details.php?id=BSGatlas-gene-2865","BSGatlas-gene-2865")</f>
        <v>BSGatlas-gene-2865</v>
      </c>
      <c r="B2866" s="1" t="s">
        <v>2592</v>
      </c>
      <c r="C2866" s="1" t="s">
        <v>8</v>
      </c>
      <c r="D2866" s="1">
        <v>2535952</v>
      </c>
      <c r="E2866" s="1">
        <v>2536158</v>
      </c>
      <c r="F2866" s="1" t="s">
        <v>13</v>
      </c>
      <c r="G2866" s="1" t="s">
        <v>11409</v>
      </c>
    </row>
    <row r="2867" spans="1:7" ht="21" x14ac:dyDescent="0.25">
      <c r="A2867" s="2" t="str">
        <f>HYPERLINK("https://rth.dk/resources/bsgatlas/details.php?id=BSGatlas-gene-2866","BSGatlas-gene-2866")</f>
        <v>BSGatlas-gene-2866</v>
      </c>
      <c r="B2867" s="1" t="s">
        <v>2593</v>
      </c>
      <c r="C2867" s="1" t="s">
        <v>8</v>
      </c>
      <c r="D2867" s="1">
        <v>2536181</v>
      </c>
      <c r="E2867" s="1">
        <v>2536696</v>
      </c>
      <c r="F2867" s="1" t="s">
        <v>13</v>
      </c>
      <c r="G2867" s="1" t="s">
        <v>11409</v>
      </c>
    </row>
    <row r="2868" spans="1:7" ht="21" x14ac:dyDescent="0.25">
      <c r="A2868" s="2" t="str">
        <f>HYPERLINK("https://rth.dk/resources/bsgatlas/details.php?id=BSGatlas-gene-2867","BSGatlas-gene-2867")</f>
        <v>BSGatlas-gene-2867</v>
      </c>
      <c r="B2868" s="1" t="s">
        <v>2594</v>
      </c>
      <c r="C2868" s="1" t="s">
        <v>8</v>
      </c>
      <c r="D2868" s="1">
        <v>2536690</v>
      </c>
      <c r="E2868" s="1">
        <v>2537613</v>
      </c>
      <c r="F2868" s="1" t="s">
        <v>13</v>
      </c>
      <c r="G2868" s="1" t="s">
        <v>11409</v>
      </c>
    </row>
    <row r="2869" spans="1:7" ht="21" x14ac:dyDescent="0.25">
      <c r="A2869" s="2" t="str">
        <f>HYPERLINK("https://rth.dk/resources/bsgatlas/details.php?id=BSGatlas-gene-2868","BSGatlas-gene-2868")</f>
        <v>BSGatlas-gene-2868</v>
      </c>
      <c r="B2869" s="1" t="s">
        <v>2595</v>
      </c>
      <c r="C2869" s="1" t="s">
        <v>8</v>
      </c>
      <c r="D2869" s="1">
        <v>2537689</v>
      </c>
      <c r="E2869" s="1">
        <v>2537970</v>
      </c>
      <c r="F2869" s="1" t="s">
        <v>13</v>
      </c>
      <c r="G2869" s="1" t="s">
        <v>11409</v>
      </c>
    </row>
    <row r="2870" spans="1:7" ht="21" x14ac:dyDescent="0.25">
      <c r="A2870" s="2" t="str">
        <f>HYPERLINK("https://rth.dk/resources/bsgatlas/details.php?id=BSGatlas-gene-2869","BSGatlas-gene-2869")</f>
        <v>BSGatlas-gene-2869</v>
      </c>
      <c r="B2870" s="1" t="s">
        <v>2596</v>
      </c>
      <c r="C2870" s="1" t="s">
        <v>8</v>
      </c>
      <c r="D2870" s="1">
        <v>2538115</v>
      </c>
      <c r="E2870" s="1">
        <v>2538672</v>
      </c>
      <c r="F2870" s="1" t="s">
        <v>13</v>
      </c>
      <c r="G2870" s="1" t="s">
        <v>11409</v>
      </c>
    </row>
    <row r="2871" spans="1:7" ht="21" x14ac:dyDescent="0.25">
      <c r="A2871" s="2" t="str">
        <f>HYPERLINK("https://rth.dk/resources/bsgatlas/details.php?id=BSGatlas-gene-2870","BSGatlas-gene-2870")</f>
        <v>BSGatlas-gene-2870</v>
      </c>
      <c r="B2871" s="1" t="s">
        <v>2597</v>
      </c>
      <c r="C2871" s="1" t="s">
        <v>8</v>
      </c>
      <c r="D2871" s="1">
        <v>2538697</v>
      </c>
      <c r="E2871" s="1">
        <v>2539758</v>
      </c>
      <c r="F2871" s="1" t="s">
        <v>13</v>
      </c>
      <c r="G2871" s="1" t="s">
        <v>11409</v>
      </c>
    </row>
    <row r="2872" spans="1:7" ht="21" x14ac:dyDescent="0.25">
      <c r="A2872" s="2" t="str">
        <f>HYPERLINK("https://rth.dk/resources/bsgatlas/details.php?id=BSGatlas-gene-2871","BSGatlas-gene-2871")</f>
        <v>BSGatlas-gene-2871</v>
      </c>
      <c r="B2872" s="1" t="s">
        <v>2598</v>
      </c>
      <c r="C2872" s="1" t="s">
        <v>8</v>
      </c>
      <c r="D2872" s="1">
        <v>2539755</v>
      </c>
      <c r="E2872" s="1">
        <v>2540201</v>
      </c>
      <c r="F2872" s="1" t="s">
        <v>13</v>
      </c>
      <c r="G2872" s="1" t="s">
        <v>11409</v>
      </c>
    </row>
    <row r="2873" spans="1:7" ht="21" x14ac:dyDescent="0.25">
      <c r="A2873" s="2" t="str">
        <f>HYPERLINK("https://rth.dk/resources/bsgatlas/details.php?id=BSGatlas-gene-2872","BSGatlas-gene-2872")</f>
        <v>BSGatlas-gene-2872</v>
      </c>
      <c r="B2873" s="1" t="s">
        <v>2599</v>
      </c>
      <c r="C2873" s="1" t="s">
        <v>8</v>
      </c>
      <c r="D2873" s="1">
        <v>2540288</v>
      </c>
      <c r="E2873" s="1">
        <v>2540824</v>
      </c>
      <c r="F2873" s="1" t="s">
        <v>13</v>
      </c>
      <c r="G2873" s="1" t="s">
        <v>11409</v>
      </c>
    </row>
    <row r="2874" spans="1:7" ht="21" x14ac:dyDescent="0.25">
      <c r="A2874" s="2" t="str">
        <f>HYPERLINK("https://rth.dk/resources/bsgatlas/details.php?id=BSGatlas-gene-2873","BSGatlas-gene-2873")</f>
        <v>BSGatlas-gene-2873</v>
      </c>
      <c r="B2874" s="1" t="s">
        <v>2600</v>
      </c>
      <c r="C2874" s="1" t="s">
        <v>8</v>
      </c>
      <c r="D2874" s="1">
        <v>2541051</v>
      </c>
      <c r="E2874" s="1">
        <v>2542007</v>
      </c>
      <c r="F2874" s="1" t="s">
        <v>9</v>
      </c>
      <c r="G2874" s="1" t="s">
        <v>11409</v>
      </c>
    </row>
    <row r="2875" spans="1:7" ht="21" x14ac:dyDescent="0.25">
      <c r="A2875" s="2" t="str">
        <f>HYPERLINK("https://rth.dk/resources/bsgatlas/details.php?id=BSGatlas-gene-2874","BSGatlas-gene-2874")</f>
        <v>BSGatlas-gene-2874</v>
      </c>
      <c r="B2875" s="1" t="s">
        <v>2601</v>
      </c>
      <c r="C2875" s="1" t="s">
        <v>8</v>
      </c>
      <c r="D2875" s="1">
        <v>2542047</v>
      </c>
      <c r="E2875" s="1">
        <v>2542442</v>
      </c>
      <c r="F2875" s="1" t="s">
        <v>9</v>
      </c>
      <c r="G2875" s="1" t="s">
        <v>11409</v>
      </c>
    </row>
    <row r="2876" spans="1:7" ht="21" x14ac:dyDescent="0.25">
      <c r="A2876" s="2" t="str">
        <f>HYPERLINK("https://rth.dk/resources/bsgatlas/details.php?id=BSGatlas-gene-2875","BSGatlas-gene-2875")</f>
        <v>BSGatlas-gene-2875</v>
      </c>
      <c r="B2876" s="1" t="s">
        <v>2602</v>
      </c>
      <c r="C2876" s="1" t="s">
        <v>8</v>
      </c>
      <c r="D2876" s="1">
        <v>2542439</v>
      </c>
      <c r="E2876" s="1">
        <v>2543314</v>
      </c>
      <c r="F2876" s="1" t="s">
        <v>13</v>
      </c>
      <c r="G2876" s="1" t="s">
        <v>11409</v>
      </c>
    </row>
    <row r="2877" spans="1:7" ht="21" x14ac:dyDescent="0.25">
      <c r="A2877" s="2" t="str">
        <f>HYPERLINK("https://rth.dk/resources/bsgatlas/details.php?id=BSGatlas-gene-2876","BSGatlas-gene-2876")</f>
        <v>BSGatlas-gene-2876</v>
      </c>
      <c r="B2877" s="1" t="s">
        <v>2603</v>
      </c>
      <c r="C2877" s="1" t="s">
        <v>8</v>
      </c>
      <c r="D2877" s="1">
        <v>2543440</v>
      </c>
      <c r="E2877" s="1">
        <v>2543868</v>
      </c>
      <c r="F2877" s="1" t="s">
        <v>13</v>
      </c>
      <c r="G2877" s="1" t="s">
        <v>11409</v>
      </c>
    </row>
    <row r="2878" spans="1:7" ht="21" x14ac:dyDescent="0.25">
      <c r="A2878" s="2" t="str">
        <f>HYPERLINK("https://rth.dk/resources/bsgatlas/details.php?id=BSGatlas-gene-2877","BSGatlas-gene-2877")</f>
        <v>BSGatlas-gene-2877</v>
      </c>
      <c r="B2878" s="1" t="s">
        <v>2604</v>
      </c>
      <c r="C2878" s="1" t="s">
        <v>8</v>
      </c>
      <c r="D2878" s="1">
        <v>2543968</v>
      </c>
      <c r="E2878" s="1">
        <v>2544804</v>
      </c>
      <c r="F2878" s="1" t="s">
        <v>13</v>
      </c>
      <c r="G2878" s="1" t="s">
        <v>11409</v>
      </c>
    </row>
    <row r="2879" spans="1:7" ht="21" x14ac:dyDescent="0.25">
      <c r="A2879" s="2" t="str">
        <f>HYPERLINK("https://rth.dk/resources/bsgatlas/details.php?id=BSGatlas-gene-2878","BSGatlas-gene-2878")</f>
        <v>BSGatlas-gene-2878</v>
      </c>
      <c r="B2879" s="1" t="s">
        <v>2605</v>
      </c>
      <c r="C2879" s="1" t="s">
        <v>8</v>
      </c>
      <c r="D2879" s="1">
        <v>2544995</v>
      </c>
      <c r="E2879" s="1">
        <v>2545375</v>
      </c>
      <c r="F2879" s="1" t="s">
        <v>9</v>
      </c>
      <c r="G2879" s="1" t="s">
        <v>11409</v>
      </c>
    </row>
    <row r="2880" spans="1:7" ht="21" x14ac:dyDescent="0.25">
      <c r="A2880" s="2" t="str">
        <f>HYPERLINK("https://rth.dk/resources/bsgatlas/details.php?id=BSGatlas-gene-2879","BSGatlas-gene-2879")</f>
        <v>BSGatlas-gene-2879</v>
      </c>
      <c r="B2880" s="1" t="s">
        <v>2606</v>
      </c>
      <c r="C2880" s="1" t="s">
        <v>8</v>
      </c>
      <c r="D2880" s="1">
        <v>2545410</v>
      </c>
      <c r="E2880" s="1">
        <v>2546876</v>
      </c>
      <c r="F2880" s="1" t="s">
        <v>13</v>
      </c>
      <c r="G2880" s="1" t="s">
        <v>11409</v>
      </c>
    </row>
    <row r="2881" spans="1:7" ht="21" x14ac:dyDescent="0.25">
      <c r="A2881" s="2" t="str">
        <f>HYPERLINK("https://rth.dk/resources/bsgatlas/details.php?id=BSGatlas-gene-2880","BSGatlas-gene-2880")</f>
        <v>BSGatlas-gene-2880</v>
      </c>
      <c r="B2881" s="1" t="s">
        <v>2607</v>
      </c>
      <c r="C2881" s="1" t="s">
        <v>8</v>
      </c>
      <c r="D2881" s="1">
        <v>2546869</v>
      </c>
      <c r="E2881" s="1">
        <v>2548215</v>
      </c>
      <c r="F2881" s="1" t="s">
        <v>13</v>
      </c>
      <c r="G2881" s="1" t="s">
        <v>11409</v>
      </c>
    </row>
    <row r="2882" spans="1:7" ht="21" x14ac:dyDescent="0.25">
      <c r="A2882" s="2" t="str">
        <f>HYPERLINK("https://rth.dk/resources/bsgatlas/details.php?id=BSGatlas-gene-2881","BSGatlas-gene-2881")</f>
        <v>BSGatlas-gene-2881</v>
      </c>
      <c r="B2882" s="1" t="s">
        <v>2608</v>
      </c>
      <c r="C2882" s="1" t="s">
        <v>8</v>
      </c>
      <c r="D2882" s="1">
        <v>2548245</v>
      </c>
      <c r="E2882" s="1">
        <v>2549333</v>
      </c>
      <c r="F2882" s="1" t="s">
        <v>13</v>
      </c>
      <c r="G2882" s="1" t="s">
        <v>11409</v>
      </c>
    </row>
    <row r="2883" spans="1:7" ht="21" x14ac:dyDescent="0.25">
      <c r="A2883" s="2" t="str">
        <f>HYPERLINK("https://rth.dk/resources/bsgatlas/details.php?id=BSGatlas-gene-2882","BSGatlas-gene-2882")</f>
        <v>BSGatlas-gene-2882</v>
      </c>
      <c r="B2883" s="1" t="s">
        <v>2609</v>
      </c>
      <c r="C2883" s="1" t="s">
        <v>34</v>
      </c>
      <c r="D2883" s="1">
        <v>2549407</v>
      </c>
      <c r="E2883" s="1">
        <v>2549606</v>
      </c>
      <c r="F2883" s="1" t="s">
        <v>13</v>
      </c>
      <c r="G2883" s="1" t="s">
        <v>11412</v>
      </c>
    </row>
    <row r="2884" spans="1:7" ht="21" x14ac:dyDescent="0.25">
      <c r="A2884" s="2" t="str">
        <f>HYPERLINK("https://rth.dk/resources/bsgatlas/details.php?id=BSGatlas-gene-2883","BSGatlas-gene-2883")</f>
        <v>BSGatlas-gene-2883</v>
      </c>
      <c r="B2884" s="1" t="s">
        <v>2610</v>
      </c>
      <c r="C2884" s="1" t="s">
        <v>8</v>
      </c>
      <c r="D2884" s="1">
        <v>2549775</v>
      </c>
      <c r="E2884" s="1">
        <v>2551448</v>
      </c>
      <c r="F2884" s="1" t="s">
        <v>9</v>
      </c>
      <c r="G2884" s="1" t="s">
        <v>11409</v>
      </c>
    </row>
    <row r="2885" spans="1:7" ht="21" x14ac:dyDescent="0.25">
      <c r="A2885" s="2" t="str">
        <f>HYPERLINK("https://rth.dk/resources/bsgatlas/details.php?id=BSGatlas-gene-2884","BSGatlas-gene-2884")</f>
        <v>BSGatlas-gene-2884</v>
      </c>
      <c r="B2885" s="1" t="s">
        <v>2611</v>
      </c>
      <c r="C2885" s="1" t="s">
        <v>8</v>
      </c>
      <c r="D2885" s="1">
        <v>2551469</v>
      </c>
      <c r="E2885" s="1">
        <v>2552263</v>
      </c>
      <c r="F2885" s="1" t="s">
        <v>9</v>
      </c>
      <c r="G2885" s="1" t="s">
        <v>11409</v>
      </c>
    </row>
    <row r="2886" spans="1:7" ht="21" x14ac:dyDescent="0.25">
      <c r="A2886" s="2" t="str">
        <f>HYPERLINK("https://rth.dk/resources/bsgatlas/details.php?id=BSGatlas-gene-2885","BSGatlas-gene-2885")</f>
        <v>BSGatlas-gene-2885</v>
      </c>
      <c r="B2886" s="1" t="s">
        <v>2612</v>
      </c>
      <c r="C2886" s="1" t="s">
        <v>8</v>
      </c>
      <c r="D2886" s="1">
        <v>2552446</v>
      </c>
      <c r="E2886" s="1">
        <v>2552619</v>
      </c>
      <c r="F2886" s="1" t="s">
        <v>9</v>
      </c>
      <c r="G2886" s="1" t="s">
        <v>11409</v>
      </c>
    </row>
    <row r="2887" spans="1:7" ht="21" x14ac:dyDescent="0.25">
      <c r="A2887" s="2" t="str">
        <f>HYPERLINK("https://rth.dk/resources/bsgatlas/details.php?id=BSGatlas-gene-2886","BSGatlas-gene-2886")</f>
        <v>BSGatlas-gene-2886</v>
      </c>
      <c r="B2887" s="1" t="s">
        <v>2613</v>
      </c>
      <c r="C2887" s="1" t="s">
        <v>8</v>
      </c>
      <c r="D2887" s="1">
        <v>2552653</v>
      </c>
      <c r="E2887" s="1">
        <v>2552988</v>
      </c>
      <c r="F2887" s="1" t="s">
        <v>9</v>
      </c>
      <c r="G2887" s="1" t="s">
        <v>11409</v>
      </c>
    </row>
    <row r="2888" spans="1:7" ht="21" x14ac:dyDescent="0.25">
      <c r="A2888" s="2" t="str">
        <f>HYPERLINK("https://rth.dk/resources/bsgatlas/details.php?id=BSGatlas-gene-2887","BSGatlas-gene-2887")</f>
        <v>BSGatlas-gene-2887</v>
      </c>
      <c r="B2888" s="1" t="s">
        <v>2614</v>
      </c>
      <c r="C2888" s="1" t="s">
        <v>8</v>
      </c>
      <c r="D2888" s="1">
        <v>2553081</v>
      </c>
      <c r="E2888" s="1">
        <v>2553866</v>
      </c>
      <c r="F2888" s="1" t="s">
        <v>13</v>
      </c>
      <c r="G2888" s="1" t="s">
        <v>11409</v>
      </c>
    </row>
    <row r="2889" spans="1:7" ht="21" x14ac:dyDescent="0.25">
      <c r="A2889" s="2" t="str">
        <f>HYPERLINK("https://rth.dk/resources/bsgatlas/details.php?id=BSGatlas-gene-2888","BSGatlas-gene-2888")</f>
        <v>BSGatlas-gene-2888</v>
      </c>
      <c r="B2889" s="1" t="s">
        <v>2615</v>
      </c>
      <c r="C2889" s="1" t="s">
        <v>8</v>
      </c>
      <c r="D2889" s="1">
        <v>2553930</v>
      </c>
      <c r="E2889" s="1">
        <v>2554502</v>
      </c>
      <c r="F2889" s="1" t="s">
        <v>13</v>
      </c>
      <c r="G2889" s="1" t="s">
        <v>11409</v>
      </c>
    </row>
    <row r="2890" spans="1:7" ht="21" x14ac:dyDescent="0.25">
      <c r="A2890" s="2" t="str">
        <f>HYPERLINK("https://rth.dk/resources/bsgatlas/details.php?id=BSGatlas-gene-2889","BSGatlas-gene-2889")</f>
        <v>BSGatlas-gene-2889</v>
      </c>
      <c r="B2890" s="1" t="s">
        <v>2616</v>
      </c>
      <c r="C2890" s="1" t="s">
        <v>8</v>
      </c>
      <c r="D2890" s="1">
        <v>2554486</v>
      </c>
      <c r="E2890" s="1">
        <v>2555247</v>
      </c>
      <c r="F2890" s="1" t="s">
        <v>13</v>
      </c>
      <c r="G2890" s="1" t="s">
        <v>11409</v>
      </c>
    </row>
    <row r="2891" spans="1:7" ht="21" x14ac:dyDescent="0.25">
      <c r="A2891" s="2" t="str">
        <f>HYPERLINK("https://rth.dk/resources/bsgatlas/details.php?id=BSGatlas-gene-2890","BSGatlas-gene-2890")</f>
        <v>BSGatlas-gene-2890</v>
      </c>
      <c r="B2891" s="1" t="s">
        <v>2617</v>
      </c>
      <c r="C2891" s="1" t="s">
        <v>8</v>
      </c>
      <c r="D2891" s="1">
        <v>2555519</v>
      </c>
      <c r="E2891" s="1">
        <v>2555845</v>
      </c>
      <c r="F2891" s="1" t="s">
        <v>9</v>
      </c>
      <c r="G2891" s="1" t="s">
        <v>11409</v>
      </c>
    </row>
    <row r="2892" spans="1:7" ht="21" x14ac:dyDescent="0.25">
      <c r="A2892" s="2" t="str">
        <f>HYPERLINK("https://rth.dk/resources/bsgatlas/details.php?id=BSGatlas-gene-2891","BSGatlas-gene-2891")</f>
        <v>BSGatlas-gene-2891</v>
      </c>
      <c r="B2892" s="1" t="s">
        <v>2618</v>
      </c>
      <c r="C2892" s="1" t="s">
        <v>8</v>
      </c>
      <c r="D2892" s="1">
        <v>2555887</v>
      </c>
      <c r="E2892" s="1">
        <v>2556066</v>
      </c>
      <c r="F2892" s="1" t="s">
        <v>13</v>
      </c>
      <c r="G2892" s="1" t="s">
        <v>11409</v>
      </c>
    </row>
    <row r="2893" spans="1:7" ht="21" x14ac:dyDescent="0.25">
      <c r="A2893" s="2" t="str">
        <f>HYPERLINK("https://rth.dk/resources/bsgatlas/details.php?id=BSGatlas-gene-2892","BSGatlas-gene-2892")</f>
        <v>BSGatlas-gene-2892</v>
      </c>
      <c r="B2893" s="1" t="s">
        <v>2619</v>
      </c>
      <c r="C2893" s="1" t="s">
        <v>8</v>
      </c>
      <c r="D2893" s="1">
        <v>2556137</v>
      </c>
      <c r="E2893" s="1">
        <v>2556511</v>
      </c>
      <c r="F2893" s="1" t="s">
        <v>13</v>
      </c>
      <c r="G2893" s="1" t="s">
        <v>11409</v>
      </c>
    </row>
    <row r="2894" spans="1:7" ht="21" x14ac:dyDescent="0.25">
      <c r="A2894" s="2" t="str">
        <f>HYPERLINK("https://rth.dk/resources/bsgatlas/details.php?id=BSGatlas-gene-2893","BSGatlas-gene-2893")</f>
        <v>BSGatlas-gene-2893</v>
      </c>
      <c r="B2894" s="1" t="s">
        <v>2620</v>
      </c>
      <c r="C2894" s="1" t="s">
        <v>8</v>
      </c>
      <c r="D2894" s="1">
        <v>2556512</v>
      </c>
      <c r="E2894" s="1">
        <v>2556895</v>
      </c>
      <c r="F2894" s="1" t="s">
        <v>13</v>
      </c>
      <c r="G2894" s="1" t="s">
        <v>11409</v>
      </c>
    </row>
    <row r="2895" spans="1:7" ht="21" x14ac:dyDescent="0.25">
      <c r="A2895" s="2" t="str">
        <f>HYPERLINK("https://rth.dk/resources/bsgatlas/details.php?id=BSGatlas-gene-2894","BSGatlas-gene-2894")</f>
        <v>BSGatlas-gene-2894</v>
      </c>
      <c r="B2895" s="1" t="s">
        <v>2621</v>
      </c>
      <c r="C2895" s="1" t="s">
        <v>8</v>
      </c>
      <c r="D2895" s="1">
        <v>2556921</v>
      </c>
      <c r="E2895" s="1">
        <v>2557268</v>
      </c>
      <c r="F2895" s="1" t="s">
        <v>13</v>
      </c>
      <c r="G2895" s="1" t="s">
        <v>11409</v>
      </c>
    </row>
    <row r="2896" spans="1:7" ht="21" x14ac:dyDescent="0.25">
      <c r="A2896" s="2" t="str">
        <f>HYPERLINK("https://rth.dk/resources/bsgatlas/details.php?id=BSGatlas-gene-2895","BSGatlas-gene-2895")</f>
        <v>BSGatlas-gene-2895</v>
      </c>
      <c r="B2896" s="1" t="s">
        <v>2622</v>
      </c>
      <c r="C2896" s="1" t="s">
        <v>8</v>
      </c>
      <c r="D2896" s="1">
        <v>2557252</v>
      </c>
      <c r="E2896" s="1">
        <v>2557683</v>
      </c>
      <c r="F2896" s="1" t="s">
        <v>13</v>
      </c>
      <c r="G2896" s="1" t="s">
        <v>11409</v>
      </c>
    </row>
    <row r="2897" spans="1:7" ht="21" x14ac:dyDescent="0.25">
      <c r="A2897" s="2" t="str">
        <f>HYPERLINK("https://rth.dk/resources/bsgatlas/details.php?id=BSGatlas-gene-2896","BSGatlas-gene-2896")</f>
        <v>BSGatlas-gene-2896</v>
      </c>
      <c r="B2897" s="1" t="s">
        <v>2623</v>
      </c>
      <c r="C2897" s="1" t="s">
        <v>8</v>
      </c>
      <c r="D2897" s="1">
        <v>2557673</v>
      </c>
      <c r="E2897" s="1">
        <v>2557969</v>
      </c>
      <c r="F2897" s="1" t="s">
        <v>13</v>
      </c>
      <c r="G2897" s="1" t="s">
        <v>11409</v>
      </c>
    </row>
    <row r="2898" spans="1:7" ht="21" x14ac:dyDescent="0.25">
      <c r="A2898" s="2" t="str">
        <f>HYPERLINK("https://rth.dk/resources/bsgatlas/details.php?id=BSGatlas-gene-2897","BSGatlas-gene-2897")</f>
        <v>BSGatlas-gene-2897</v>
      </c>
      <c r="B2898" s="1" t="s">
        <v>2624</v>
      </c>
      <c r="C2898" s="1" t="s">
        <v>8</v>
      </c>
      <c r="D2898" s="1">
        <v>2557983</v>
      </c>
      <c r="E2898" s="1">
        <v>2558954</v>
      </c>
      <c r="F2898" s="1" t="s">
        <v>13</v>
      </c>
      <c r="G2898" s="1" t="s">
        <v>11409</v>
      </c>
    </row>
    <row r="2899" spans="1:7" ht="21" x14ac:dyDescent="0.25">
      <c r="A2899" s="2" t="str">
        <f>HYPERLINK("https://rth.dk/resources/bsgatlas/details.php?id=BSGatlas-gene-2898","BSGatlas-gene-2898")</f>
        <v>BSGatlas-gene-2898</v>
      </c>
      <c r="B2899" s="1" t="s">
        <v>2625</v>
      </c>
      <c r="C2899" s="1" t="s">
        <v>8</v>
      </c>
      <c r="D2899" s="1">
        <v>2559007</v>
      </c>
      <c r="E2899" s="1">
        <v>2560077</v>
      </c>
      <c r="F2899" s="1" t="s">
        <v>13</v>
      </c>
      <c r="G2899" s="1" t="s">
        <v>11409</v>
      </c>
    </row>
    <row r="2900" spans="1:7" ht="21" x14ac:dyDescent="0.25">
      <c r="A2900" s="2" t="str">
        <f>HYPERLINK("https://rth.dk/resources/bsgatlas/details.php?id=BSGatlas-gene-2899","BSGatlas-gene-2899")</f>
        <v>BSGatlas-gene-2899</v>
      </c>
      <c r="B2900" s="1" t="s">
        <v>2626</v>
      </c>
      <c r="C2900" s="1" t="s">
        <v>8</v>
      </c>
      <c r="D2900" s="1">
        <v>2560489</v>
      </c>
      <c r="E2900" s="1">
        <v>2561442</v>
      </c>
      <c r="F2900" s="1" t="s">
        <v>13</v>
      </c>
      <c r="G2900" s="1" t="s">
        <v>11409</v>
      </c>
    </row>
    <row r="2901" spans="1:7" ht="21" x14ac:dyDescent="0.25">
      <c r="A2901" s="2" t="str">
        <f>HYPERLINK("https://rth.dk/resources/bsgatlas/details.php?id=BSGatlas-gene-2900","BSGatlas-gene-2900")</f>
        <v>BSGatlas-gene-2900</v>
      </c>
      <c r="B2901" s="1" t="s">
        <v>2627</v>
      </c>
      <c r="C2901" s="1" t="s">
        <v>8</v>
      </c>
      <c r="D2901" s="1">
        <v>2561585</v>
      </c>
      <c r="E2901" s="1">
        <v>2562913</v>
      </c>
      <c r="F2901" s="1" t="s">
        <v>9</v>
      </c>
      <c r="G2901" s="1" t="s">
        <v>11409</v>
      </c>
    </row>
    <row r="2902" spans="1:7" ht="21" x14ac:dyDescent="0.25">
      <c r="A2902" s="2" t="str">
        <f>HYPERLINK("https://rth.dk/resources/bsgatlas/details.php?id=BSGatlas-gene-2901","BSGatlas-gene-2901")</f>
        <v>BSGatlas-gene-2901</v>
      </c>
      <c r="B2902" s="1" t="s">
        <v>2628</v>
      </c>
      <c r="C2902" s="1" t="s">
        <v>8</v>
      </c>
      <c r="D2902" s="1">
        <v>2562966</v>
      </c>
      <c r="E2902" s="1">
        <v>2563802</v>
      </c>
      <c r="F2902" s="1" t="s">
        <v>13</v>
      </c>
      <c r="G2902" s="1" t="s">
        <v>11409</v>
      </c>
    </row>
    <row r="2903" spans="1:7" ht="21" x14ac:dyDescent="0.25">
      <c r="A2903" s="2" t="str">
        <f>HYPERLINK("https://rth.dk/resources/bsgatlas/details.php?id=BSGatlas-gene-2902","BSGatlas-gene-2902")</f>
        <v>BSGatlas-gene-2902</v>
      </c>
      <c r="B2903" s="1" t="s">
        <v>2629</v>
      </c>
      <c r="C2903" s="1" t="s">
        <v>23</v>
      </c>
      <c r="D2903" s="1">
        <v>2563888</v>
      </c>
      <c r="E2903" s="1">
        <v>2563959</v>
      </c>
      <c r="F2903" s="1" t="s">
        <v>9</v>
      </c>
      <c r="G2903" s="1" t="s">
        <v>11411</v>
      </c>
    </row>
    <row r="2904" spans="1:7" ht="21" x14ac:dyDescent="0.25">
      <c r="A2904" s="2" t="str">
        <f>HYPERLINK("https://rth.dk/resources/bsgatlas/details.php?id=BSGatlas-gene-2903","BSGatlas-gene-2903")</f>
        <v>BSGatlas-gene-2903</v>
      </c>
      <c r="B2904" s="1" t="s">
        <v>2630</v>
      </c>
      <c r="C2904" s="1" t="s">
        <v>8</v>
      </c>
      <c r="D2904" s="1">
        <v>2564026</v>
      </c>
      <c r="E2904" s="1">
        <v>2564406</v>
      </c>
      <c r="F2904" s="1" t="s">
        <v>13</v>
      </c>
      <c r="G2904" s="1" t="s">
        <v>11409</v>
      </c>
    </row>
    <row r="2905" spans="1:7" ht="21" x14ac:dyDescent="0.25">
      <c r="A2905" s="2" t="str">
        <f>HYPERLINK("https://rth.dk/resources/bsgatlas/details.php?id=BSGatlas-gene-2904","BSGatlas-gene-2904")</f>
        <v>BSGatlas-gene-2904</v>
      </c>
      <c r="B2905" s="1" t="s">
        <v>2631</v>
      </c>
      <c r="C2905" s="1" t="s">
        <v>8</v>
      </c>
      <c r="D2905" s="1">
        <v>2564638</v>
      </c>
      <c r="E2905" s="1">
        <v>2564883</v>
      </c>
      <c r="F2905" s="1" t="s">
        <v>9</v>
      </c>
      <c r="G2905" s="1" t="s">
        <v>11409</v>
      </c>
    </row>
    <row r="2906" spans="1:7" ht="21" x14ac:dyDescent="0.25">
      <c r="A2906" s="2" t="str">
        <f>HYPERLINK("https://rth.dk/resources/bsgatlas/details.php?id=BSGatlas-gene-2905","BSGatlas-gene-2905")</f>
        <v>BSGatlas-gene-2905</v>
      </c>
      <c r="B2906" s="1" t="s">
        <v>2632</v>
      </c>
      <c r="C2906" s="1" t="s">
        <v>8</v>
      </c>
      <c r="D2906" s="1">
        <v>2564923</v>
      </c>
      <c r="E2906" s="1">
        <v>2565558</v>
      </c>
      <c r="F2906" s="1" t="s">
        <v>13</v>
      </c>
      <c r="G2906" s="1" t="s">
        <v>11409</v>
      </c>
    </row>
    <row r="2907" spans="1:7" ht="21" x14ac:dyDescent="0.25">
      <c r="A2907" s="2" t="str">
        <f>HYPERLINK("https://rth.dk/resources/bsgatlas/details.php?id=BSGatlas-gene-2906","BSGatlas-gene-2906")</f>
        <v>BSGatlas-gene-2906</v>
      </c>
      <c r="B2907" s="1" t="s">
        <v>2633</v>
      </c>
      <c r="C2907" s="1" t="s">
        <v>8</v>
      </c>
      <c r="D2907" s="1">
        <v>2565715</v>
      </c>
      <c r="E2907" s="1">
        <v>2565888</v>
      </c>
      <c r="F2907" s="1" t="s">
        <v>9</v>
      </c>
      <c r="G2907" s="1" t="s">
        <v>11409</v>
      </c>
    </row>
    <row r="2908" spans="1:7" ht="21" x14ac:dyDescent="0.25">
      <c r="A2908" s="2" t="str">
        <f>HYPERLINK("https://rth.dk/resources/bsgatlas/details.php?id=BSGatlas-gene-2907","BSGatlas-gene-2907")</f>
        <v>BSGatlas-gene-2907</v>
      </c>
      <c r="B2908" s="1" t="s">
        <v>2634</v>
      </c>
      <c r="C2908" s="1" t="s">
        <v>8</v>
      </c>
      <c r="D2908" s="1">
        <v>2565920</v>
      </c>
      <c r="E2908" s="1">
        <v>2566234</v>
      </c>
      <c r="F2908" s="1" t="s">
        <v>13</v>
      </c>
      <c r="G2908" s="1" t="s">
        <v>11409</v>
      </c>
    </row>
    <row r="2909" spans="1:7" ht="21" x14ac:dyDescent="0.25">
      <c r="A2909" s="2" t="str">
        <f>HYPERLINK("https://rth.dk/resources/bsgatlas/details.php?id=BSGatlas-gene-2908","BSGatlas-gene-2908")</f>
        <v>BSGatlas-gene-2908</v>
      </c>
      <c r="B2909" s="1" t="s">
        <v>2635</v>
      </c>
      <c r="C2909" s="1" t="s">
        <v>8</v>
      </c>
      <c r="D2909" s="1">
        <v>2566237</v>
      </c>
      <c r="E2909" s="1">
        <v>2567298</v>
      </c>
      <c r="F2909" s="1" t="s">
        <v>13</v>
      </c>
      <c r="G2909" s="1" t="s">
        <v>11409</v>
      </c>
    </row>
    <row r="2910" spans="1:7" ht="21" x14ac:dyDescent="0.25">
      <c r="A2910" s="2" t="str">
        <f>HYPERLINK("https://rth.dk/resources/bsgatlas/details.php?id=BSGatlas-gene-2909","BSGatlas-gene-2909")</f>
        <v>BSGatlas-gene-2909</v>
      </c>
      <c r="B2910" s="1" t="s">
        <v>2636</v>
      </c>
      <c r="C2910" s="1" t="s">
        <v>8</v>
      </c>
      <c r="D2910" s="1">
        <v>2567360</v>
      </c>
      <c r="E2910" s="1">
        <v>2568490</v>
      </c>
      <c r="F2910" s="1" t="s">
        <v>13</v>
      </c>
      <c r="G2910" s="1" t="s">
        <v>11409</v>
      </c>
    </row>
    <row r="2911" spans="1:7" ht="21" x14ac:dyDescent="0.25">
      <c r="A2911" s="2" t="str">
        <f>HYPERLINK("https://rth.dk/resources/bsgatlas/details.php?id=BSGatlas-gene-2910","BSGatlas-gene-2910")</f>
        <v>BSGatlas-gene-2910</v>
      </c>
      <c r="B2911" s="1" t="s">
        <v>2637</v>
      </c>
      <c r="C2911" s="1" t="s">
        <v>8</v>
      </c>
      <c r="D2911" s="1">
        <v>2568573</v>
      </c>
      <c r="E2911" s="1">
        <v>2570489</v>
      </c>
      <c r="F2911" s="1" t="s">
        <v>13</v>
      </c>
      <c r="G2911" s="1" t="s">
        <v>11409</v>
      </c>
    </row>
    <row r="2912" spans="1:7" ht="21" x14ac:dyDescent="0.25">
      <c r="A2912" s="2" t="str">
        <f>HYPERLINK("https://rth.dk/resources/bsgatlas/details.php?id=BSGatlas-gene-2911","BSGatlas-gene-2911")</f>
        <v>BSGatlas-gene-2911</v>
      </c>
      <c r="B2912" s="1" t="s">
        <v>2642</v>
      </c>
      <c r="C2912" s="1" t="s">
        <v>12</v>
      </c>
      <c r="D2912" s="1">
        <v>2569624</v>
      </c>
      <c r="E2912" s="1">
        <v>2570653</v>
      </c>
      <c r="F2912" s="1" t="s">
        <v>9</v>
      </c>
      <c r="G2912" s="1" t="s">
        <v>11406</v>
      </c>
    </row>
    <row r="2913" spans="1:7" ht="21" x14ac:dyDescent="0.25">
      <c r="A2913" s="2" t="str">
        <f>HYPERLINK("https://rth.dk/resources/bsgatlas/details.php?id=BSGatlas-gene-2912","BSGatlas-gene-2912")</f>
        <v>BSGatlas-gene-2912</v>
      </c>
      <c r="B2913" s="1" t="s">
        <v>2638</v>
      </c>
      <c r="C2913" s="1" t="s">
        <v>8</v>
      </c>
      <c r="D2913" s="1">
        <v>2570606</v>
      </c>
      <c r="E2913" s="1">
        <v>2571571</v>
      </c>
      <c r="F2913" s="1" t="s">
        <v>13</v>
      </c>
      <c r="G2913" s="1" t="s">
        <v>11409</v>
      </c>
    </row>
    <row r="2914" spans="1:7" ht="21" x14ac:dyDescent="0.25">
      <c r="A2914" s="2" t="str">
        <f>HYPERLINK("https://rth.dk/resources/bsgatlas/details.php?id=BSGatlas-gene-2913","BSGatlas-gene-2913")</f>
        <v>BSGatlas-gene-2913</v>
      </c>
      <c r="B2914" s="1" t="s">
        <v>2639</v>
      </c>
      <c r="C2914" s="1" t="s">
        <v>8</v>
      </c>
      <c r="D2914" s="1">
        <v>2571582</v>
      </c>
      <c r="E2914" s="1">
        <v>2571797</v>
      </c>
      <c r="F2914" s="1" t="s">
        <v>13</v>
      </c>
      <c r="G2914" s="1" t="s">
        <v>11409</v>
      </c>
    </row>
    <row r="2915" spans="1:7" ht="21" x14ac:dyDescent="0.25">
      <c r="A2915" s="2" t="str">
        <f>HYPERLINK("https://rth.dk/resources/bsgatlas/details.php?id=BSGatlas-gene-2914","BSGatlas-gene-2914")</f>
        <v>BSGatlas-gene-2914</v>
      </c>
      <c r="B2915" s="1" t="s">
        <v>2640</v>
      </c>
      <c r="C2915" s="1" t="s">
        <v>8</v>
      </c>
      <c r="D2915" s="1">
        <v>2571907</v>
      </c>
      <c r="E2915" s="1">
        <v>2573430</v>
      </c>
      <c r="F2915" s="1" t="s">
        <v>13</v>
      </c>
      <c r="G2915" s="1" t="s">
        <v>11409</v>
      </c>
    </row>
    <row r="2916" spans="1:7" ht="21" x14ac:dyDescent="0.25">
      <c r="A2916" s="2" t="str">
        <f>HYPERLINK("https://rth.dk/resources/bsgatlas/details.php?id=BSGatlas-gene-2915","BSGatlas-gene-2915")</f>
        <v>BSGatlas-gene-2915</v>
      </c>
      <c r="B2916" s="1" t="s">
        <v>2641</v>
      </c>
      <c r="C2916" s="1" t="s">
        <v>8</v>
      </c>
      <c r="D2916" s="1">
        <v>2573520</v>
      </c>
      <c r="E2916" s="1">
        <v>2573693</v>
      </c>
      <c r="F2916" s="1" t="s">
        <v>13</v>
      </c>
      <c r="G2916" s="1" t="s">
        <v>11409</v>
      </c>
    </row>
    <row r="2917" spans="1:7" ht="21" x14ac:dyDescent="0.25">
      <c r="A2917" s="2" t="str">
        <f>HYPERLINK("https://rth.dk/resources/bsgatlas/details.php?id=BSGatlas-gene-2916","BSGatlas-gene-2916")</f>
        <v>BSGatlas-gene-2916</v>
      </c>
      <c r="B2917" s="1" t="s">
        <v>11668</v>
      </c>
      <c r="C2917" s="1" t="s">
        <v>8</v>
      </c>
      <c r="D2917" s="1">
        <v>2573760</v>
      </c>
      <c r="E2917" s="1">
        <v>2574323</v>
      </c>
      <c r="F2917" s="1" t="s">
        <v>13</v>
      </c>
      <c r="G2917" s="1" t="s">
        <v>11409</v>
      </c>
    </row>
    <row r="2918" spans="1:7" ht="21" x14ac:dyDescent="0.25">
      <c r="A2918" s="2" t="str">
        <f>HYPERLINK("https://rth.dk/resources/bsgatlas/details.php?id=BSGatlas-gene-2917","BSGatlas-gene-2917")</f>
        <v>BSGatlas-gene-2917</v>
      </c>
      <c r="B2918" s="1" t="s">
        <v>2643</v>
      </c>
      <c r="C2918" s="1" t="s">
        <v>8</v>
      </c>
      <c r="D2918" s="1">
        <v>2574408</v>
      </c>
      <c r="E2918" s="1">
        <v>2574557</v>
      </c>
      <c r="F2918" s="1" t="s">
        <v>13</v>
      </c>
      <c r="G2918" s="1" t="s">
        <v>11409</v>
      </c>
    </row>
    <row r="2919" spans="1:7" ht="21" x14ac:dyDescent="0.25">
      <c r="A2919" s="2" t="str">
        <f>HYPERLINK("https://rth.dk/resources/bsgatlas/details.php?id=BSGatlas-gene-2918","BSGatlas-gene-2918")</f>
        <v>BSGatlas-gene-2918</v>
      </c>
      <c r="B2919" s="1" t="s">
        <v>2644</v>
      </c>
      <c r="C2919" s="1" t="s">
        <v>8</v>
      </c>
      <c r="D2919" s="1">
        <v>2574641</v>
      </c>
      <c r="E2919" s="1">
        <v>2575720</v>
      </c>
      <c r="F2919" s="1" t="s">
        <v>13</v>
      </c>
      <c r="G2919" s="1" t="s">
        <v>11409</v>
      </c>
    </row>
    <row r="2920" spans="1:7" ht="21" x14ac:dyDescent="0.25">
      <c r="A2920" s="2" t="str">
        <f>HYPERLINK("https://rth.dk/resources/bsgatlas/details.php?id=BSGatlas-gene-2919","BSGatlas-gene-2919")</f>
        <v>BSGatlas-gene-2919</v>
      </c>
      <c r="B2920" s="1" t="s">
        <v>2645</v>
      </c>
      <c r="C2920" s="1" t="s">
        <v>8</v>
      </c>
      <c r="D2920" s="1">
        <v>2575717</v>
      </c>
      <c r="E2920" s="1">
        <v>2576187</v>
      </c>
      <c r="F2920" s="1" t="s">
        <v>13</v>
      </c>
      <c r="G2920" s="1" t="s">
        <v>11409</v>
      </c>
    </row>
    <row r="2921" spans="1:7" ht="21" x14ac:dyDescent="0.25">
      <c r="A2921" s="2" t="str">
        <f>HYPERLINK("https://rth.dk/resources/bsgatlas/details.php?id=BSGatlas-gene-2920","BSGatlas-gene-2920")</f>
        <v>BSGatlas-gene-2920</v>
      </c>
      <c r="B2921" s="1" t="s">
        <v>2646</v>
      </c>
      <c r="C2921" s="1" t="s">
        <v>8</v>
      </c>
      <c r="D2921" s="1">
        <v>2576367</v>
      </c>
      <c r="E2921" s="1">
        <v>2576720</v>
      </c>
      <c r="F2921" s="1" t="s">
        <v>9</v>
      </c>
      <c r="G2921" s="1" t="s">
        <v>11409</v>
      </c>
    </row>
    <row r="2922" spans="1:7" ht="21" x14ac:dyDescent="0.25">
      <c r="A2922" s="2" t="str">
        <f>HYPERLINK("https://rth.dk/resources/bsgatlas/details.php?id=BSGatlas-gene-2921","BSGatlas-gene-2921")</f>
        <v>BSGatlas-gene-2921</v>
      </c>
      <c r="B2922" s="1" t="s">
        <v>2647</v>
      </c>
      <c r="C2922" s="1" t="s">
        <v>8</v>
      </c>
      <c r="D2922" s="1">
        <v>2576717</v>
      </c>
      <c r="E2922" s="1">
        <v>2577181</v>
      </c>
      <c r="F2922" s="1" t="s">
        <v>9</v>
      </c>
      <c r="G2922" s="1" t="s">
        <v>11409</v>
      </c>
    </row>
    <row r="2923" spans="1:7" ht="21" x14ac:dyDescent="0.25">
      <c r="A2923" s="2" t="str">
        <f>HYPERLINK("https://rth.dk/resources/bsgatlas/details.php?id=BSGatlas-gene-2922","BSGatlas-gene-2922")</f>
        <v>BSGatlas-gene-2922</v>
      </c>
      <c r="B2923" s="1" t="s">
        <v>2648</v>
      </c>
      <c r="C2923" s="1" t="s">
        <v>8</v>
      </c>
      <c r="D2923" s="1">
        <v>2577210</v>
      </c>
      <c r="E2923" s="1">
        <v>2577992</v>
      </c>
      <c r="F2923" s="1" t="s">
        <v>13</v>
      </c>
      <c r="G2923" s="1" t="s">
        <v>11409</v>
      </c>
    </row>
    <row r="2924" spans="1:7" ht="21" x14ac:dyDescent="0.25">
      <c r="A2924" s="2" t="str">
        <f>HYPERLINK("https://rth.dk/resources/bsgatlas/details.php?id=BSGatlas-gene-2923","BSGatlas-gene-2923")</f>
        <v>BSGatlas-gene-2923</v>
      </c>
      <c r="B2924" s="1" t="s">
        <v>2649</v>
      </c>
      <c r="C2924" s="1" t="s">
        <v>8</v>
      </c>
      <c r="D2924" s="1">
        <v>2578003</v>
      </c>
      <c r="E2924" s="1">
        <v>2578812</v>
      </c>
      <c r="F2924" s="1" t="s">
        <v>13</v>
      </c>
      <c r="G2924" s="1" t="s">
        <v>11409</v>
      </c>
    </row>
    <row r="2925" spans="1:7" ht="21" x14ac:dyDescent="0.25">
      <c r="A2925" s="2" t="str">
        <f>HYPERLINK("https://rth.dk/resources/bsgatlas/details.php?id=BSGatlas-gene-2924","BSGatlas-gene-2924")</f>
        <v>BSGatlas-gene-2924</v>
      </c>
      <c r="B2925" s="1" t="s">
        <v>2650</v>
      </c>
      <c r="C2925" s="1" t="s">
        <v>8</v>
      </c>
      <c r="D2925" s="1">
        <v>2578833</v>
      </c>
      <c r="E2925" s="1">
        <v>2579717</v>
      </c>
      <c r="F2925" s="1" t="s">
        <v>13</v>
      </c>
      <c r="G2925" s="1" t="s">
        <v>11409</v>
      </c>
    </row>
    <row r="2926" spans="1:7" ht="21" x14ac:dyDescent="0.25">
      <c r="A2926" s="2" t="str">
        <f>HYPERLINK("https://rth.dk/resources/bsgatlas/details.php?id=BSGatlas-gene-2925","BSGatlas-gene-2925")</f>
        <v>BSGatlas-gene-2925</v>
      </c>
      <c r="B2926" s="1" t="s">
        <v>2651</v>
      </c>
      <c r="C2926" s="1" t="s">
        <v>8</v>
      </c>
      <c r="D2926" s="1">
        <v>2579717</v>
      </c>
      <c r="E2926" s="1">
        <v>2580646</v>
      </c>
      <c r="F2926" s="1" t="s">
        <v>13</v>
      </c>
      <c r="G2926" s="1" t="s">
        <v>11409</v>
      </c>
    </row>
    <row r="2927" spans="1:7" ht="21" x14ac:dyDescent="0.25">
      <c r="A2927" s="2" t="str">
        <f>HYPERLINK("https://rth.dk/resources/bsgatlas/details.php?id=BSGatlas-gene-2926","BSGatlas-gene-2926")</f>
        <v>BSGatlas-gene-2926</v>
      </c>
      <c r="B2927" s="1" t="s">
        <v>2652</v>
      </c>
      <c r="C2927" s="1" t="s">
        <v>8</v>
      </c>
      <c r="D2927" s="1">
        <v>2580715</v>
      </c>
      <c r="E2927" s="1">
        <v>2581617</v>
      </c>
      <c r="F2927" s="1" t="s">
        <v>13</v>
      </c>
      <c r="G2927" s="1" t="s">
        <v>11409</v>
      </c>
    </row>
    <row r="2928" spans="1:7" ht="21" x14ac:dyDescent="0.25">
      <c r="A2928" s="2" t="str">
        <f>HYPERLINK("https://rth.dk/resources/bsgatlas/details.php?id=BSGatlas-gene-2927","BSGatlas-gene-2927")</f>
        <v>BSGatlas-gene-2927</v>
      </c>
      <c r="B2928" s="1" t="s">
        <v>2653</v>
      </c>
      <c r="C2928" s="1" t="s">
        <v>8</v>
      </c>
      <c r="D2928" s="1">
        <v>2581771</v>
      </c>
      <c r="E2928" s="1">
        <v>2583921</v>
      </c>
      <c r="F2928" s="1" t="s">
        <v>13</v>
      </c>
      <c r="G2928" s="1" t="s">
        <v>11409</v>
      </c>
    </row>
    <row r="2929" spans="1:7" ht="21" x14ac:dyDescent="0.25">
      <c r="A2929" s="2" t="str">
        <f>HYPERLINK("https://rth.dk/resources/bsgatlas/details.php?id=BSGatlas-gene-2928","BSGatlas-gene-2928")</f>
        <v>BSGatlas-gene-2928</v>
      </c>
      <c r="B2929" s="1" t="s">
        <v>2654</v>
      </c>
      <c r="C2929" s="1" t="s">
        <v>8</v>
      </c>
      <c r="D2929" s="1">
        <v>2584035</v>
      </c>
      <c r="E2929" s="1">
        <v>2585327</v>
      </c>
      <c r="F2929" s="1" t="s">
        <v>13</v>
      </c>
      <c r="G2929" s="1" t="s">
        <v>11409</v>
      </c>
    </row>
    <row r="2930" spans="1:7" ht="21" x14ac:dyDescent="0.25">
      <c r="A2930" s="2" t="str">
        <f>HYPERLINK("https://rth.dk/resources/bsgatlas/details.php?id=BSGatlas-gene-2929","BSGatlas-gene-2929")</f>
        <v>BSGatlas-gene-2929</v>
      </c>
      <c r="B2930" s="1" t="s">
        <v>2655</v>
      </c>
      <c r="C2930" s="1" t="s">
        <v>8</v>
      </c>
      <c r="D2930" s="1">
        <v>2585434</v>
      </c>
      <c r="E2930" s="1">
        <v>2586042</v>
      </c>
      <c r="F2930" s="1" t="s">
        <v>13</v>
      </c>
      <c r="G2930" s="1" t="s">
        <v>11409</v>
      </c>
    </row>
    <row r="2931" spans="1:7" ht="21" x14ac:dyDescent="0.25">
      <c r="A2931" s="2" t="str">
        <f>HYPERLINK("https://rth.dk/resources/bsgatlas/details.php?id=BSGatlas-gene-2930","BSGatlas-gene-2930")</f>
        <v>BSGatlas-gene-2930</v>
      </c>
      <c r="B2931" s="1" t="s">
        <v>2656</v>
      </c>
      <c r="C2931" s="1" t="s">
        <v>8</v>
      </c>
      <c r="D2931" s="1">
        <v>2586221</v>
      </c>
      <c r="E2931" s="1">
        <v>2586703</v>
      </c>
      <c r="F2931" s="1" t="s">
        <v>13</v>
      </c>
      <c r="G2931" s="1" t="s">
        <v>11409</v>
      </c>
    </row>
    <row r="2932" spans="1:7" ht="21" x14ac:dyDescent="0.25">
      <c r="A2932" s="2" t="str">
        <f>HYPERLINK("https://rth.dk/resources/bsgatlas/details.php?id=BSGatlas-gene-2931","BSGatlas-gene-2931")</f>
        <v>BSGatlas-gene-2931</v>
      </c>
      <c r="B2932" s="1" t="s">
        <v>2657</v>
      </c>
      <c r="C2932" s="1" t="s">
        <v>8</v>
      </c>
      <c r="D2932" s="1">
        <v>2586813</v>
      </c>
      <c r="E2932" s="1">
        <v>2587580</v>
      </c>
      <c r="F2932" s="1" t="s">
        <v>9</v>
      </c>
      <c r="G2932" s="1" t="s">
        <v>11409</v>
      </c>
    </row>
    <row r="2933" spans="1:7" ht="21" x14ac:dyDescent="0.25">
      <c r="A2933" s="2" t="str">
        <f>HYPERLINK("https://rth.dk/resources/bsgatlas/details.php?id=BSGatlas-gene-2932","BSGatlas-gene-2932")</f>
        <v>BSGatlas-gene-2932</v>
      </c>
      <c r="B2933" s="1" t="s">
        <v>2658</v>
      </c>
      <c r="C2933" s="1" t="s">
        <v>8</v>
      </c>
      <c r="D2933" s="1">
        <v>2587996</v>
      </c>
      <c r="E2933" s="1">
        <v>2588424</v>
      </c>
      <c r="F2933" s="1" t="s">
        <v>13</v>
      </c>
      <c r="G2933" s="1" t="s">
        <v>11409</v>
      </c>
    </row>
    <row r="2934" spans="1:7" ht="21" x14ac:dyDescent="0.25">
      <c r="A2934" s="2" t="str">
        <f>HYPERLINK("https://rth.dk/resources/bsgatlas/details.php?id=BSGatlas-gene-2933","BSGatlas-gene-2933")</f>
        <v>BSGatlas-gene-2933</v>
      </c>
      <c r="B2934" s="1" t="s">
        <v>2659</v>
      </c>
      <c r="C2934" s="1" t="s">
        <v>8</v>
      </c>
      <c r="D2934" s="1">
        <v>2588701</v>
      </c>
      <c r="E2934" s="1">
        <v>2589000</v>
      </c>
      <c r="F2934" s="1" t="s">
        <v>9</v>
      </c>
      <c r="G2934" s="1" t="s">
        <v>11409</v>
      </c>
    </row>
    <row r="2935" spans="1:7" ht="21" x14ac:dyDescent="0.25">
      <c r="A2935" s="2" t="str">
        <f>HYPERLINK("https://rth.dk/resources/bsgatlas/details.php?id=BSGatlas-gene-2934","BSGatlas-gene-2934")</f>
        <v>BSGatlas-gene-2934</v>
      </c>
      <c r="B2935" s="1" t="s">
        <v>2660</v>
      </c>
      <c r="C2935" s="1" t="s">
        <v>8</v>
      </c>
      <c r="D2935" s="1">
        <v>2589123</v>
      </c>
      <c r="E2935" s="1">
        <v>2590256</v>
      </c>
      <c r="F2935" s="1" t="s">
        <v>9</v>
      </c>
      <c r="G2935" s="1" t="s">
        <v>11409</v>
      </c>
    </row>
    <row r="2936" spans="1:7" ht="21" x14ac:dyDescent="0.25">
      <c r="A2936" s="2" t="str">
        <f>HYPERLINK("https://rth.dk/resources/bsgatlas/details.php?id=BSGatlas-gene-2935","BSGatlas-gene-2935")</f>
        <v>BSGatlas-gene-2935</v>
      </c>
      <c r="B2936" s="1" t="s">
        <v>2661</v>
      </c>
      <c r="C2936" s="1" t="s">
        <v>8</v>
      </c>
      <c r="D2936" s="1">
        <v>2590282</v>
      </c>
      <c r="E2936" s="1">
        <v>2590671</v>
      </c>
      <c r="F2936" s="1" t="s">
        <v>13</v>
      </c>
      <c r="G2936" s="1" t="s">
        <v>11409</v>
      </c>
    </row>
    <row r="2937" spans="1:7" ht="21" x14ac:dyDescent="0.25">
      <c r="A2937" s="2" t="str">
        <f>HYPERLINK("https://rth.dk/resources/bsgatlas/details.php?id=BSGatlas-gene-2936","BSGatlas-gene-2936")</f>
        <v>BSGatlas-gene-2936</v>
      </c>
      <c r="B2937" s="1" t="s">
        <v>2662</v>
      </c>
      <c r="C2937" s="1" t="s">
        <v>8</v>
      </c>
      <c r="D2937" s="1">
        <v>2590804</v>
      </c>
      <c r="E2937" s="1">
        <v>2591385</v>
      </c>
      <c r="F2937" s="1" t="s">
        <v>9</v>
      </c>
      <c r="G2937" s="1" t="s">
        <v>11409</v>
      </c>
    </row>
    <row r="2938" spans="1:7" ht="21" x14ac:dyDescent="0.25">
      <c r="A2938" s="2" t="str">
        <f>HYPERLINK("https://rth.dk/resources/bsgatlas/details.php?id=BSGatlas-gene-2937","BSGatlas-gene-2937")</f>
        <v>BSGatlas-gene-2937</v>
      </c>
      <c r="B2938" s="1" t="s">
        <v>2663</v>
      </c>
      <c r="C2938" s="1" t="s">
        <v>8</v>
      </c>
      <c r="D2938" s="1">
        <v>2591428</v>
      </c>
      <c r="E2938" s="1">
        <v>2591865</v>
      </c>
      <c r="F2938" s="1" t="s">
        <v>13</v>
      </c>
      <c r="G2938" s="1" t="s">
        <v>11409</v>
      </c>
    </row>
    <row r="2939" spans="1:7" ht="21" x14ac:dyDescent="0.25">
      <c r="A2939" s="2" t="str">
        <f>HYPERLINK("https://rth.dk/resources/bsgatlas/details.php?id=BSGatlas-gene-2938","BSGatlas-gene-2938")</f>
        <v>BSGatlas-gene-2938</v>
      </c>
      <c r="B2939" s="1" t="s">
        <v>2664</v>
      </c>
      <c r="C2939" s="1" t="s">
        <v>8</v>
      </c>
      <c r="D2939" s="1">
        <v>2592003</v>
      </c>
      <c r="E2939" s="1">
        <v>2592884</v>
      </c>
      <c r="F2939" s="1" t="s">
        <v>13</v>
      </c>
      <c r="G2939" s="1" t="s">
        <v>11409</v>
      </c>
    </row>
    <row r="2940" spans="1:7" ht="21" x14ac:dyDescent="0.25">
      <c r="A2940" s="2" t="str">
        <f>HYPERLINK("https://rth.dk/resources/bsgatlas/details.php?id=BSGatlas-gene-2939","BSGatlas-gene-2939")</f>
        <v>BSGatlas-gene-2939</v>
      </c>
      <c r="B2940" s="1" t="s">
        <v>2667</v>
      </c>
      <c r="C2940" s="1" t="s">
        <v>8</v>
      </c>
      <c r="D2940" s="1">
        <v>2593000</v>
      </c>
      <c r="E2940" s="1">
        <v>2593254</v>
      </c>
      <c r="F2940" s="1" t="s">
        <v>9</v>
      </c>
      <c r="G2940" s="1" t="s">
        <v>11409</v>
      </c>
    </row>
    <row r="2941" spans="1:7" ht="21" x14ac:dyDescent="0.25">
      <c r="A2941" s="2" t="str">
        <f>HYPERLINK("https://rth.dk/resources/bsgatlas/details.php?id=BSGatlas-gene-2940","BSGatlas-gene-2940")</f>
        <v>BSGatlas-gene-2940</v>
      </c>
      <c r="B2941" s="1" t="s">
        <v>2665</v>
      </c>
      <c r="C2941" s="1" t="s">
        <v>8</v>
      </c>
      <c r="D2941" s="1">
        <v>2593281</v>
      </c>
      <c r="E2941" s="1">
        <v>2594174</v>
      </c>
      <c r="F2941" s="1" t="s">
        <v>13</v>
      </c>
      <c r="G2941" s="1" t="s">
        <v>11409</v>
      </c>
    </row>
    <row r="2942" spans="1:7" ht="21" x14ac:dyDescent="0.25">
      <c r="A2942" s="2" t="str">
        <f>HYPERLINK("https://rth.dk/resources/bsgatlas/details.php?id=BSGatlas-gene-2941","BSGatlas-gene-2941")</f>
        <v>BSGatlas-gene-2941</v>
      </c>
      <c r="B2942" s="1" t="s">
        <v>2666</v>
      </c>
      <c r="C2942" s="1" t="s">
        <v>8</v>
      </c>
      <c r="D2942" s="1">
        <v>2594184</v>
      </c>
      <c r="E2942" s="1">
        <v>2595500</v>
      </c>
      <c r="F2942" s="1" t="s">
        <v>13</v>
      </c>
      <c r="G2942" s="1" t="s">
        <v>11409</v>
      </c>
    </row>
    <row r="2943" spans="1:7" ht="21" x14ac:dyDescent="0.25">
      <c r="A2943" s="2" t="str">
        <f>HYPERLINK("https://rth.dk/resources/bsgatlas/details.php?id=BSGatlas-gene-2942","BSGatlas-gene-2942")</f>
        <v>BSGatlas-gene-2942</v>
      </c>
      <c r="B2943" s="1" t="s">
        <v>2668</v>
      </c>
      <c r="C2943" s="1" t="s">
        <v>8</v>
      </c>
      <c r="D2943" s="1">
        <v>2595669</v>
      </c>
      <c r="E2943" s="1">
        <v>2596412</v>
      </c>
      <c r="F2943" s="1" t="s">
        <v>9</v>
      </c>
      <c r="G2943" s="1" t="s">
        <v>11409</v>
      </c>
    </row>
    <row r="2944" spans="1:7" ht="21" x14ac:dyDescent="0.25">
      <c r="A2944" s="2" t="str">
        <f>HYPERLINK("https://rth.dk/resources/bsgatlas/details.php?id=BSGatlas-gene-2943","BSGatlas-gene-2943")</f>
        <v>BSGatlas-gene-2943</v>
      </c>
      <c r="B2944" s="1" t="s">
        <v>2669</v>
      </c>
      <c r="C2944" s="1" t="s">
        <v>8</v>
      </c>
      <c r="D2944" s="1">
        <v>2596535</v>
      </c>
      <c r="E2944" s="1">
        <v>2597479</v>
      </c>
      <c r="F2944" s="1" t="s">
        <v>9</v>
      </c>
      <c r="G2944" s="1" t="s">
        <v>11409</v>
      </c>
    </row>
    <row r="2945" spans="1:7" ht="21" x14ac:dyDescent="0.25">
      <c r="A2945" s="2" t="str">
        <f>HYPERLINK("https://rth.dk/resources/bsgatlas/details.php?id=BSGatlas-gene-2944","BSGatlas-gene-2944")</f>
        <v>BSGatlas-gene-2944</v>
      </c>
      <c r="B2945" s="1" t="s">
        <v>2670</v>
      </c>
      <c r="C2945" s="1" t="s">
        <v>8</v>
      </c>
      <c r="D2945" s="1">
        <v>2597502</v>
      </c>
      <c r="E2945" s="1">
        <v>2598623</v>
      </c>
      <c r="F2945" s="1" t="s">
        <v>13</v>
      </c>
      <c r="G2945" s="1" t="s">
        <v>11409</v>
      </c>
    </row>
    <row r="2946" spans="1:7" ht="21" x14ac:dyDescent="0.25">
      <c r="A2946" s="2" t="str">
        <f>HYPERLINK("https://rth.dk/resources/bsgatlas/details.php?id=BSGatlas-gene-2945","BSGatlas-gene-2945")</f>
        <v>BSGatlas-gene-2945</v>
      </c>
      <c r="B2946" s="1" t="s">
        <v>2671</v>
      </c>
      <c r="C2946" s="1" t="s">
        <v>8</v>
      </c>
      <c r="D2946" s="1">
        <v>2598616</v>
      </c>
      <c r="E2946" s="1">
        <v>2599266</v>
      </c>
      <c r="F2946" s="1" t="s">
        <v>13</v>
      </c>
      <c r="G2946" s="1" t="s">
        <v>11409</v>
      </c>
    </row>
    <row r="2947" spans="1:7" ht="21" x14ac:dyDescent="0.25">
      <c r="A2947" s="2" t="str">
        <f>HYPERLINK("https://rth.dk/resources/bsgatlas/details.php?id=BSGatlas-gene-2946","BSGatlas-gene-2946")</f>
        <v>BSGatlas-gene-2946</v>
      </c>
      <c r="B2947" s="1" t="s">
        <v>2672</v>
      </c>
      <c r="C2947" s="1" t="s">
        <v>8</v>
      </c>
      <c r="D2947" s="1">
        <v>2599523</v>
      </c>
      <c r="E2947" s="1">
        <v>2599885</v>
      </c>
      <c r="F2947" s="1" t="s">
        <v>13</v>
      </c>
      <c r="G2947" s="1" t="s">
        <v>11409</v>
      </c>
    </row>
    <row r="2948" spans="1:7" ht="21" x14ac:dyDescent="0.25">
      <c r="A2948" s="2" t="str">
        <f>HYPERLINK("https://rth.dk/resources/bsgatlas/details.php?id=BSGatlas-gene-2947","BSGatlas-gene-2947")</f>
        <v>BSGatlas-gene-2947</v>
      </c>
      <c r="B2948" s="1" t="s">
        <v>2673</v>
      </c>
      <c r="C2948" s="1" t="s">
        <v>12</v>
      </c>
      <c r="D2948" s="1">
        <v>2600156</v>
      </c>
      <c r="E2948" s="1">
        <v>2602305</v>
      </c>
      <c r="F2948" s="1" t="s">
        <v>9</v>
      </c>
      <c r="G2948" s="1" t="s">
        <v>11406</v>
      </c>
    </row>
    <row r="2949" spans="1:7" ht="21" x14ac:dyDescent="0.25">
      <c r="A2949" s="2" t="str">
        <f>HYPERLINK("https://rth.dk/resources/bsgatlas/details.php?id=BSGatlas-gene-2948","BSGatlas-gene-2948")</f>
        <v>BSGatlas-gene-2948</v>
      </c>
      <c r="B2949" s="1" t="s">
        <v>2674</v>
      </c>
      <c r="C2949" s="1" t="s">
        <v>8</v>
      </c>
      <c r="D2949" s="1">
        <v>2600214</v>
      </c>
      <c r="E2949" s="1">
        <v>2601329</v>
      </c>
      <c r="F2949" s="1" t="s">
        <v>13</v>
      </c>
      <c r="G2949" s="1" t="s">
        <v>11409</v>
      </c>
    </row>
    <row r="2950" spans="1:7" ht="21" x14ac:dyDescent="0.25">
      <c r="A2950" s="2" t="str">
        <f>HYPERLINK("https://rth.dk/resources/bsgatlas/details.php?id=BSGatlas-gene-2949","BSGatlas-gene-2949")</f>
        <v>BSGatlas-gene-2949</v>
      </c>
      <c r="B2950" s="1" t="s">
        <v>2675</v>
      </c>
      <c r="C2950" s="1" t="s">
        <v>8</v>
      </c>
      <c r="D2950" s="1">
        <v>2601528</v>
      </c>
      <c r="E2950" s="1">
        <v>2603339</v>
      </c>
      <c r="F2950" s="1" t="s">
        <v>13</v>
      </c>
      <c r="G2950" s="1" t="s">
        <v>11409</v>
      </c>
    </row>
    <row r="2951" spans="1:7" ht="21" x14ac:dyDescent="0.25">
      <c r="A2951" s="2" t="str">
        <f>HYPERLINK("https://rth.dk/resources/bsgatlas/details.php?id=BSGatlas-gene-2950","BSGatlas-gene-2950")</f>
        <v>BSGatlas-gene-2950</v>
      </c>
      <c r="B2951" s="1" t="s">
        <v>2677</v>
      </c>
      <c r="C2951" s="1" t="s">
        <v>8</v>
      </c>
      <c r="D2951" s="1">
        <v>2602979</v>
      </c>
      <c r="E2951" s="1">
        <v>2603275</v>
      </c>
      <c r="F2951" s="1" t="s">
        <v>9</v>
      </c>
      <c r="G2951" s="1" t="s">
        <v>11409</v>
      </c>
    </row>
    <row r="2952" spans="1:7" ht="21" x14ac:dyDescent="0.25">
      <c r="A2952" s="2" t="str">
        <f>HYPERLINK("https://rth.dk/resources/bsgatlas/details.php?id=BSGatlas-gene-2951","BSGatlas-gene-2951")</f>
        <v>BSGatlas-gene-2951</v>
      </c>
      <c r="B2952" s="1" t="s">
        <v>2676</v>
      </c>
      <c r="C2952" s="1" t="s">
        <v>8</v>
      </c>
      <c r="D2952" s="1">
        <v>2603373</v>
      </c>
      <c r="E2952" s="1">
        <v>2603867</v>
      </c>
      <c r="F2952" s="1" t="s">
        <v>13</v>
      </c>
      <c r="G2952" s="1" t="s">
        <v>11409</v>
      </c>
    </row>
    <row r="2953" spans="1:7" ht="21" x14ac:dyDescent="0.25">
      <c r="A2953" s="2" t="str">
        <f>HYPERLINK("https://rth.dk/resources/bsgatlas/details.php?id=BSGatlas-gene-2952","BSGatlas-gene-2952")</f>
        <v>BSGatlas-gene-2952</v>
      </c>
      <c r="B2953" s="1" t="s">
        <v>2678</v>
      </c>
      <c r="C2953" s="1" t="s">
        <v>8</v>
      </c>
      <c r="D2953" s="1">
        <v>2604121</v>
      </c>
      <c r="E2953" s="1">
        <v>2604933</v>
      </c>
      <c r="F2953" s="1" t="s">
        <v>13</v>
      </c>
      <c r="G2953" s="1" t="s">
        <v>11409</v>
      </c>
    </row>
    <row r="2954" spans="1:7" ht="21" x14ac:dyDescent="0.25">
      <c r="A2954" s="2" t="str">
        <f>HYPERLINK("https://rth.dk/resources/bsgatlas/details.php?id=BSGatlas-gene-2953","BSGatlas-gene-2953")</f>
        <v>BSGatlas-gene-2953</v>
      </c>
      <c r="B2954" s="1" t="s">
        <v>2679</v>
      </c>
      <c r="C2954" s="1" t="s">
        <v>8</v>
      </c>
      <c r="D2954" s="1">
        <v>2604959</v>
      </c>
      <c r="E2954" s="1">
        <v>2605597</v>
      </c>
      <c r="F2954" s="1" t="s">
        <v>13</v>
      </c>
      <c r="G2954" s="1" t="s">
        <v>11409</v>
      </c>
    </row>
    <row r="2955" spans="1:7" ht="21" x14ac:dyDescent="0.25">
      <c r="A2955" s="2" t="str">
        <f>HYPERLINK("https://rth.dk/resources/bsgatlas/details.php?id=BSGatlas-gene-2954","BSGatlas-gene-2954")</f>
        <v>BSGatlas-gene-2954</v>
      </c>
      <c r="B2955" s="1" t="s">
        <v>2680</v>
      </c>
      <c r="C2955" s="1" t="s">
        <v>8</v>
      </c>
      <c r="D2955" s="1">
        <v>2605730</v>
      </c>
      <c r="E2955" s="1">
        <v>2607769</v>
      </c>
      <c r="F2955" s="1" t="s">
        <v>13</v>
      </c>
      <c r="G2955" s="1" t="s">
        <v>11409</v>
      </c>
    </row>
    <row r="2956" spans="1:7" ht="21" x14ac:dyDescent="0.25">
      <c r="A2956" s="2" t="str">
        <f>HYPERLINK("https://rth.dk/resources/bsgatlas/details.php?id=BSGatlas-gene-2955","BSGatlas-gene-2955")</f>
        <v>BSGatlas-gene-2955</v>
      </c>
      <c r="B2956" s="1" t="s">
        <v>2681</v>
      </c>
      <c r="C2956" s="1" t="s">
        <v>8</v>
      </c>
      <c r="D2956" s="1">
        <v>2607762</v>
      </c>
      <c r="E2956" s="1">
        <v>2608649</v>
      </c>
      <c r="F2956" s="1" t="s">
        <v>13</v>
      </c>
      <c r="G2956" s="1" t="s">
        <v>11409</v>
      </c>
    </row>
    <row r="2957" spans="1:7" ht="21" x14ac:dyDescent="0.25">
      <c r="A2957" s="2" t="str">
        <f>HYPERLINK("https://rth.dk/resources/bsgatlas/details.php?id=BSGatlas-gene-2956","BSGatlas-gene-2956")</f>
        <v>BSGatlas-gene-2956</v>
      </c>
      <c r="B2957" s="1" t="s">
        <v>2682</v>
      </c>
      <c r="C2957" s="1" t="s">
        <v>34</v>
      </c>
      <c r="D2957" s="1">
        <v>2608732</v>
      </c>
      <c r="E2957" s="1">
        <v>2608906</v>
      </c>
      <c r="F2957" s="1" t="s">
        <v>13</v>
      </c>
      <c r="G2957" s="1" t="s">
        <v>11669</v>
      </c>
    </row>
    <row r="2958" spans="1:7" ht="21" x14ac:dyDescent="0.25">
      <c r="A2958" s="2" t="str">
        <f>HYPERLINK("https://rth.dk/resources/bsgatlas/details.php?id=BSGatlas-gene-2957","BSGatlas-gene-2957")</f>
        <v>BSGatlas-gene-2957</v>
      </c>
      <c r="B2958" s="1" t="s">
        <v>2683</v>
      </c>
      <c r="C2958" s="1" t="s">
        <v>12</v>
      </c>
      <c r="D2958" s="1">
        <v>2608912</v>
      </c>
      <c r="E2958" s="1">
        <v>2610324</v>
      </c>
      <c r="F2958" s="1" t="s">
        <v>9</v>
      </c>
      <c r="G2958" s="1" t="s">
        <v>11406</v>
      </c>
    </row>
    <row r="2959" spans="1:7" ht="21" x14ac:dyDescent="0.25">
      <c r="A2959" s="2" t="str">
        <f>HYPERLINK("https://rth.dk/resources/bsgatlas/details.php?id=BSGatlas-gene-2958","BSGatlas-gene-2958")</f>
        <v>BSGatlas-gene-2958</v>
      </c>
      <c r="B2959" s="1" t="s">
        <v>2684</v>
      </c>
      <c r="C2959" s="1" t="s">
        <v>8</v>
      </c>
      <c r="D2959" s="1">
        <v>2608946</v>
      </c>
      <c r="E2959" s="1">
        <v>2609713</v>
      </c>
      <c r="F2959" s="1" t="s">
        <v>13</v>
      </c>
      <c r="G2959" s="1" t="s">
        <v>11409</v>
      </c>
    </row>
    <row r="2960" spans="1:7" ht="21" x14ac:dyDescent="0.25">
      <c r="A2960" s="2" t="str">
        <f>HYPERLINK("https://rth.dk/resources/bsgatlas/details.php?id=BSGatlas-gene-2959","BSGatlas-gene-2959")</f>
        <v>BSGatlas-gene-2959</v>
      </c>
      <c r="B2960" s="1" t="s">
        <v>2685</v>
      </c>
      <c r="C2960" s="1" t="s">
        <v>8</v>
      </c>
      <c r="D2960" s="1">
        <v>2609750</v>
      </c>
      <c r="E2960" s="1">
        <v>2609893</v>
      </c>
      <c r="F2960" s="1" t="s">
        <v>13</v>
      </c>
      <c r="G2960" s="1" t="s">
        <v>11409</v>
      </c>
    </row>
    <row r="2961" spans="1:7" ht="21" x14ac:dyDescent="0.25">
      <c r="A2961" s="2" t="str">
        <f>HYPERLINK("https://rth.dk/resources/bsgatlas/details.php?id=BSGatlas-gene-2960","BSGatlas-gene-2960")</f>
        <v>BSGatlas-gene-2960</v>
      </c>
      <c r="B2961" s="1" t="s">
        <v>2686</v>
      </c>
      <c r="C2961" s="1" t="s">
        <v>8</v>
      </c>
      <c r="D2961" s="1">
        <v>2610041</v>
      </c>
      <c r="E2961" s="1">
        <v>2610946</v>
      </c>
      <c r="F2961" s="1" t="s">
        <v>13</v>
      </c>
      <c r="G2961" s="1" t="s">
        <v>11409</v>
      </c>
    </row>
    <row r="2962" spans="1:7" ht="21" x14ac:dyDescent="0.25">
      <c r="A2962" s="2" t="str">
        <f>HYPERLINK("https://rth.dk/resources/bsgatlas/details.php?id=BSGatlas-gene-2961","BSGatlas-gene-2961")</f>
        <v>BSGatlas-gene-2961</v>
      </c>
      <c r="B2962" s="1" t="s">
        <v>2687</v>
      </c>
      <c r="C2962" s="1" t="s">
        <v>8</v>
      </c>
      <c r="D2962" s="1">
        <v>2610927</v>
      </c>
      <c r="E2962" s="1">
        <v>2611337</v>
      </c>
      <c r="F2962" s="1" t="s">
        <v>13</v>
      </c>
      <c r="G2962" s="1" t="s">
        <v>11409</v>
      </c>
    </row>
    <row r="2963" spans="1:7" ht="21" x14ac:dyDescent="0.25">
      <c r="A2963" s="2" t="str">
        <f>HYPERLINK("https://rth.dk/resources/bsgatlas/details.php?id=BSGatlas-gene-2962","BSGatlas-gene-2962")</f>
        <v>BSGatlas-gene-2962</v>
      </c>
      <c r="B2963" s="1" t="s">
        <v>11670</v>
      </c>
      <c r="C2963" s="1" t="s">
        <v>8</v>
      </c>
      <c r="D2963" s="1">
        <v>2611456</v>
      </c>
      <c r="E2963" s="1">
        <v>2611827</v>
      </c>
      <c r="F2963" s="1" t="s">
        <v>13</v>
      </c>
      <c r="G2963" s="1" t="s">
        <v>11409</v>
      </c>
    </row>
    <row r="2964" spans="1:7" ht="21" x14ac:dyDescent="0.25">
      <c r="A2964" s="2" t="str">
        <f>HYPERLINK("https://rth.dk/resources/bsgatlas/details.php?id=BSGatlas-gene-2963","BSGatlas-gene-2963")</f>
        <v>BSGatlas-gene-2963</v>
      </c>
      <c r="B2964" s="1" t="s">
        <v>11671</v>
      </c>
      <c r="C2964" s="1" t="s">
        <v>8</v>
      </c>
      <c r="D2964" s="1">
        <v>2611808</v>
      </c>
      <c r="E2964" s="1">
        <v>2612281</v>
      </c>
      <c r="F2964" s="1" t="s">
        <v>13</v>
      </c>
      <c r="G2964" s="1" t="s">
        <v>11409</v>
      </c>
    </row>
    <row r="2965" spans="1:7" ht="21" x14ac:dyDescent="0.25">
      <c r="A2965" s="2" t="str">
        <f>HYPERLINK("https://rth.dk/resources/bsgatlas/details.php?id=BSGatlas-gene-2964","BSGatlas-gene-2964")</f>
        <v>BSGatlas-gene-2964</v>
      </c>
      <c r="B2965" s="1" t="s">
        <v>11672</v>
      </c>
      <c r="C2965" s="1" t="s">
        <v>8</v>
      </c>
      <c r="D2965" s="1">
        <v>2612282</v>
      </c>
      <c r="E2965" s="1">
        <v>2614417</v>
      </c>
      <c r="F2965" s="1" t="s">
        <v>13</v>
      </c>
      <c r="G2965" s="1" t="s">
        <v>11409</v>
      </c>
    </row>
    <row r="2966" spans="1:7" ht="21" x14ac:dyDescent="0.25">
      <c r="A2966" s="2" t="str">
        <f>HYPERLINK("https://rth.dk/resources/bsgatlas/details.php?id=BSGatlas-gene-2965","BSGatlas-gene-2965")</f>
        <v>BSGatlas-gene-2965</v>
      </c>
      <c r="B2966" s="1" t="s">
        <v>2688</v>
      </c>
      <c r="C2966" s="1" t="s">
        <v>8</v>
      </c>
      <c r="D2966" s="1">
        <v>2614496</v>
      </c>
      <c r="E2966" s="1">
        <v>2615455</v>
      </c>
      <c r="F2966" s="1" t="s">
        <v>13</v>
      </c>
      <c r="G2966" s="1" t="s">
        <v>11409</v>
      </c>
    </row>
    <row r="2967" spans="1:7" ht="21" x14ac:dyDescent="0.25">
      <c r="A2967" s="2" t="str">
        <f>HYPERLINK("https://rth.dk/resources/bsgatlas/details.php?id=BSGatlas-gene-2966","BSGatlas-gene-2966")</f>
        <v>BSGatlas-gene-2966</v>
      </c>
      <c r="B2967" s="1" t="s">
        <v>2689</v>
      </c>
      <c r="C2967" s="1" t="s">
        <v>8</v>
      </c>
      <c r="D2967" s="1">
        <v>2615452</v>
      </c>
      <c r="E2967" s="1">
        <v>2616648</v>
      </c>
      <c r="F2967" s="1" t="s">
        <v>13</v>
      </c>
      <c r="G2967" s="1" t="s">
        <v>11409</v>
      </c>
    </row>
    <row r="2968" spans="1:7" ht="21" x14ac:dyDescent="0.25">
      <c r="A2968" s="2" t="str">
        <f>HYPERLINK("https://rth.dk/resources/bsgatlas/details.php?id=BSGatlas-gene-2967","BSGatlas-gene-2967")</f>
        <v>BSGatlas-gene-2967</v>
      </c>
      <c r="B2968" s="1" t="s">
        <v>2690</v>
      </c>
      <c r="C2968" s="1" t="s">
        <v>8</v>
      </c>
      <c r="D2968" s="1">
        <v>2616667</v>
      </c>
      <c r="E2968" s="1">
        <v>2616948</v>
      </c>
      <c r="F2968" s="1" t="s">
        <v>13</v>
      </c>
      <c r="G2968" s="1" t="s">
        <v>11409</v>
      </c>
    </row>
    <row r="2969" spans="1:7" ht="21" x14ac:dyDescent="0.25">
      <c r="A2969" s="2" t="str">
        <f>HYPERLINK("https://rth.dk/resources/bsgatlas/details.php?id=BSGatlas-gene-2968","BSGatlas-gene-2968")</f>
        <v>BSGatlas-gene-2968</v>
      </c>
      <c r="B2969" s="1" t="s">
        <v>2691</v>
      </c>
      <c r="C2969" s="1" t="s">
        <v>8</v>
      </c>
      <c r="D2969" s="1">
        <v>2617005</v>
      </c>
      <c r="E2969" s="1">
        <v>2617424</v>
      </c>
      <c r="F2969" s="1" t="s">
        <v>13</v>
      </c>
      <c r="G2969" s="1" t="s">
        <v>11409</v>
      </c>
    </row>
    <row r="2970" spans="1:7" ht="21" x14ac:dyDescent="0.25">
      <c r="A2970" s="2" t="str">
        <f>HYPERLINK("https://rth.dk/resources/bsgatlas/details.php?id=BSGatlas-gene-2969","BSGatlas-gene-2969")</f>
        <v>BSGatlas-gene-2969</v>
      </c>
      <c r="B2970" s="1" t="s">
        <v>2692</v>
      </c>
      <c r="C2970" s="1" t="s">
        <v>8</v>
      </c>
      <c r="D2970" s="1">
        <v>2617449</v>
      </c>
      <c r="E2970" s="1">
        <v>2618444</v>
      </c>
      <c r="F2970" s="1" t="s">
        <v>13</v>
      </c>
      <c r="G2970" s="1" t="s">
        <v>11409</v>
      </c>
    </row>
    <row r="2971" spans="1:7" ht="21" x14ac:dyDescent="0.25">
      <c r="A2971" s="2" t="str">
        <f>HYPERLINK("https://rth.dk/resources/bsgatlas/details.php?id=BSGatlas-gene-2970","BSGatlas-gene-2970")</f>
        <v>BSGatlas-gene-2970</v>
      </c>
      <c r="B2971" s="1" t="s">
        <v>2693</v>
      </c>
      <c r="C2971" s="1" t="s">
        <v>8</v>
      </c>
      <c r="D2971" s="1">
        <v>2618466</v>
      </c>
      <c r="E2971" s="1">
        <v>2619779</v>
      </c>
      <c r="F2971" s="1" t="s">
        <v>13</v>
      </c>
      <c r="G2971" s="1" t="s">
        <v>11409</v>
      </c>
    </row>
    <row r="2972" spans="1:7" ht="21" x14ac:dyDescent="0.25">
      <c r="A2972" s="2" t="str">
        <f>HYPERLINK("https://rth.dk/resources/bsgatlas/details.php?id=BSGatlas-gene-2971","BSGatlas-gene-2971")</f>
        <v>BSGatlas-gene-2971</v>
      </c>
      <c r="B2972" s="1" t="s">
        <v>2694</v>
      </c>
      <c r="C2972" s="1" t="s">
        <v>8</v>
      </c>
      <c r="D2972" s="1">
        <v>2619910</v>
      </c>
      <c r="E2972" s="1">
        <v>2620356</v>
      </c>
      <c r="F2972" s="1" t="s">
        <v>13</v>
      </c>
      <c r="G2972" s="1" t="s">
        <v>11409</v>
      </c>
    </row>
    <row r="2973" spans="1:7" ht="21" x14ac:dyDescent="0.25">
      <c r="A2973" s="2" t="str">
        <f>HYPERLINK("https://rth.dk/resources/bsgatlas/details.php?id=BSGatlas-gene-2972","BSGatlas-gene-2972")</f>
        <v>BSGatlas-gene-2972</v>
      </c>
      <c r="B2973" s="1" t="s">
        <v>2695</v>
      </c>
      <c r="C2973" s="1" t="s">
        <v>8</v>
      </c>
      <c r="D2973" s="1">
        <v>2620371</v>
      </c>
      <c r="E2973" s="1">
        <v>2620544</v>
      </c>
      <c r="F2973" s="1" t="s">
        <v>13</v>
      </c>
      <c r="G2973" s="1" t="s">
        <v>11409</v>
      </c>
    </row>
    <row r="2974" spans="1:7" ht="21" x14ac:dyDescent="0.25">
      <c r="A2974" s="2" t="str">
        <f>HYPERLINK("https://rth.dk/resources/bsgatlas/details.php?id=BSGatlas-gene-2973","BSGatlas-gene-2973")</f>
        <v>BSGatlas-gene-2973</v>
      </c>
      <c r="B2974" s="1" t="s">
        <v>2696</v>
      </c>
      <c r="C2974" s="1" t="s">
        <v>8</v>
      </c>
      <c r="D2974" s="1">
        <v>2620717</v>
      </c>
      <c r="E2974" s="1">
        <v>2621640</v>
      </c>
      <c r="F2974" s="1" t="s">
        <v>9</v>
      </c>
      <c r="G2974" s="1" t="s">
        <v>11409</v>
      </c>
    </row>
    <row r="2975" spans="1:7" ht="21" x14ac:dyDescent="0.25">
      <c r="A2975" s="2" t="str">
        <f>HYPERLINK("https://rth.dk/resources/bsgatlas/details.php?id=BSGatlas-gene-2974","BSGatlas-gene-2974")</f>
        <v>BSGatlas-gene-2974</v>
      </c>
      <c r="B2975" s="1" t="s">
        <v>2697</v>
      </c>
      <c r="C2975" s="1" t="s">
        <v>8</v>
      </c>
      <c r="D2975" s="1">
        <v>2621677</v>
      </c>
      <c r="E2975" s="1">
        <v>2623032</v>
      </c>
      <c r="F2975" s="1" t="s">
        <v>13</v>
      </c>
      <c r="G2975" s="1" t="s">
        <v>11409</v>
      </c>
    </row>
    <row r="2976" spans="1:7" ht="21" x14ac:dyDescent="0.25">
      <c r="A2976" s="2" t="str">
        <f>HYPERLINK("https://rth.dk/resources/bsgatlas/details.php?id=BSGatlas-gene-2975","BSGatlas-gene-2975")</f>
        <v>BSGatlas-gene-2975</v>
      </c>
      <c r="B2976" s="1" t="s">
        <v>2698</v>
      </c>
      <c r="C2976" s="1" t="s">
        <v>8</v>
      </c>
      <c r="D2976" s="1">
        <v>2623032</v>
      </c>
      <c r="E2976" s="1">
        <v>2623802</v>
      </c>
      <c r="F2976" s="1" t="s">
        <v>13</v>
      </c>
      <c r="G2976" s="1" t="s">
        <v>11409</v>
      </c>
    </row>
    <row r="2977" spans="1:7" ht="21" x14ac:dyDescent="0.25">
      <c r="A2977" s="2" t="str">
        <f>HYPERLINK("https://rth.dk/resources/bsgatlas/details.php?id=BSGatlas-gene-2976","BSGatlas-gene-2976")</f>
        <v>BSGatlas-gene-2976</v>
      </c>
      <c r="B2977" s="1" t="s">
        <v>2699</v>
      </c>
      <c r="C2977" s="1" t="s">
        <v>8</v>
      </c>
      <c r="D2977" s="1">
        <v>2623825</v>
      </c>
      <c r="E2977" s="1">
        <v>2624760</v>
      </c>
      <c r="F2977" s="1" t="s">
        <v>13</v>
      </c>
      <c r="G2977" s="1" t="s">
        <v>11409</v>
      </c>
    </row>
    <row r="2978" spans="1:7" ht="21" x14ac:dyDescent="0.25">
      <c r="A2978" s="2" t="str">
        <f>HYPERLINK("https://rth.dk/resources/bsgatlas/details.php?id=BSGatlas-gene-2977","BSGatlas-gene-2977")</f>
        <v>BSGatlas-gene-2977</v>
      </c>
      <c r="B2978" s="1" t="s">
        <v>2700</v>
      </c>
      <c r="C2978" s="1" t="s">
        <v>8</v>
      </c>
      <c r="D2978" s="1">
        <v>2624785</v>
      </c>
      <c r="E2978" s="1">
        <v>2625912</v>
      </c>
      <c r="F2978" s="1" t="s">
        <v>13</v>
      </c>
      <c r="G2978" s="1" t="s">
        <v>11409</v>
      </c>
    </row>
    <row r="2979" spans="1:7" ht="21" x14ac:dyDescent="0.25">
      <c r="A2979" s="2" t="str">
        <f>HYPERLINK("https://rth.dk/resources/bsgatlas/details.php?id=BSGatlas-gene-2978","BSGatlas-gene-2978")</f>
        <v>BSGatlas-gene-2978</v>
      </c>
      <c r="B2979" s="1" t="s">
        <v>2706</v>
      </c>
      <c r="C2979" s="1" t="s">
        <v>55</v>
      </c>
      <c r="D2979" s="1">
        <v>2625951</v>
      </c>
      <c r="E2979" s="1">
        <v>2626112</v>
      </c>
      <c r="F2979" s="1" t="s">
        <v>9</v>
      </c>
      <c r="G2979" s="1" t="s">
        <v>11411</v>
      </c>
    </row>
    <row r="2980" spans="1:7" ht="21" x14ac:dyDescent="0.25">
      <c r="A2980" s="2" t="str">
        <f>HYPERLINK("https://rth.dk/resources/bsgatlas/details.php?id=BSGatlas-gene-2979","BSGatlas-gene-2979")</f>
        <v>BSGatlas-gene-2979</v>
      </c>
      <c r="B2980" s="1" t="s">
        <v>2701</v>
      </c>
      <c r="C2980" s="1" t="s">
        <v>8</v>
      </c>
      <c r="D2980" s="1">
        <v>2626112</v>
      </c>
      <c r="E2980" s="1">
        <v>2627947</v>
      </c>
      <c r="F2980" s="1" t="s">
        <v>13</v>
      </c>
      <c r="G2980" s="1" t="s">
        <v>11409</v>
      </c>
    </row>
    <row r="2981" spans="1:7" ht="21" x14ac:dyDescent="0.25">
      <c r="A2981" s="2" t="str">
        <f>HYPERLINK("https://rth.dk/resources/bsgatlas/details.php?id=BSGatlas-gene-2980","BSGatlas-gene-2980")</f>
        <v>BSGatlas-gene-2980</v>
      </c>
      <c r="B2981" s="1" t="s">
        <v>2702</v>
      </c>
      <c r="C2981" s="1" t="s">
        <v>8</v>
      </c>
      <c r="D2981" s="1">
        <v>2627971</v>
      </c>
      <c r="E2981" s="1">
        <v>2628534</v>
      </c>
      <c r="F2981" s="1" t="s">
        <v>13</v>
      </c>
      <c r="G2981" s="1" t="s">
        <v>11409</v>
      </c>
    </row>
    <row r="2982" spans="1:7" ht="21" x14ac:dyDescent="0.25">
      <c r="A2982" s="2" t="str">
        <f>HYPERLINK("https://rth.dk/resources/bsgatlas/details.php?id=BSGatlas-gene-2981","BSGatlas-gene-2981")</f>
        <v>BSGatlas-gene-2981</v>
      </c>
      <c r="B2982" s="1" t="s">
        <v>2703</v>
      </c>
      <c r="C2982" s="1" t="s">
        <v>8</v>
      </c>
      <c r="D2982" s="1">
        <v>2628606</v>
      </c>
      <c r="E2982" s="1">
        <v>2629637</v>
      </c>
      <c r="F2982" s="1" t="s">
        <v>13</v>
      </c>
      <c r="G2982" s="1" t="s">
        <v>11409</v>
      </c>
    </row>
    <row r="2983" spans="1:7" ht="21" x14ac:dyDescent="0.25">
      <c r="A2983" s="2" t="str">
        <f>HYPERLINK("https://rth.dk/resources/bsgatlas/details.php?id=BSGatlas-gene-2982","BSGatlas-gene-2982")</f>
        <v>BSGatlas-gene-2982</v>
      </c>
      <c r="B2983" s="1" t="s">
        <v>2704</v>
      </c>
      <c r="C2983" s="1" t="s">
        <v>8</v>
      </c>
      <c r="D2983" s="1">
        <v>2629718</v>
      </c>
      <c r="E2983" s="1">
        <v>2630857</v>
      </c>
      <c r="F2983" s="1" t="s">
        <v>13</v>
      </c>
      <c r="G2983" s="1" t="s">
        <v>11409</v>
      </c>
    </row>
    <row r="2984" spans="1:7" ht="21" x14ac:dyDescent="0.25">
      <c r="A2984" s="2" t="str">
        <f>HYPERLINK("https://rth.dk/resources/bsgatlas/details.php?id=BSGatlas-gene-2983","BSGatlas-gene-2983")</f>
        <v>BSGatlas-gene-2983</v>
      </c>
      <c r="B2984" s="1" t="s">
        <v>2705</v>
      </c>
      <c r="C2984" s="1" t="s">
        <v>8</v>
      </c>
      <c r="D2984" s="1">
        <v>2630910</v>
      </c>
      <c r="E2984" s="1">
        <v>2632748</v>
      </c>
      <c r="F2984" s="1" t="s">
        <v>13</v>
      </c>
      <c r="G2984" s="1" t="s">
        <v>11409</v>
      </c>
    </row>
    <row r="2985" spans="1:7" ht="21" x14ac:dyDescent="0.25">
      <c r="A2985" s="2" t="str">
        <f>HYPERLINK("https://rth.dk/resources/bsgatlas/details.php?id=BSGatlas-gene-2984","BSGatlas-gene-2984")</f>
        <v>BSGatlas-gene-2984</v>
      </c>
      <c r="B2985" s="1" t="s">
        <v>2707</v>
      </c>
      <c r="C2985" s="1" t="s">
        <v>8</v>
      </c>
      <c r="D2985" s="1">
        <v>2632882</v>
      </c>
      <c r="E2985" s="1">
        <v>2633220</v>
      </c>
      <c r="F2985" s="1" t="s">
        <v>13</v>
      </c>
      <c r="G2985" s="1" t="s">
        <v>11409</v>
      </c>
    </row>
    <row r="2986" spans="1:7" ht="21" x14ac:dyDescent="0.25">
      <c r="A2986" s="2" t="str">
        <f>HYPERLINK("https://rth.dk/resources/bsgatlas/details.php?id=BSGatlas-gene-2985","BSGatlas-gene-2985")</f>
        <v>BSGatlas-gene-2985</v>
      </c>
      <c r="B2986" s="1" t="s">
        <v>2708</v>
      </c>
      <c r="C2986" s="1" t="s">
        <v>8</v>
      </c>
      <c r="D2986" s="1">
        <v>2633237</v>
      </c>
      <c r="E2986" s="1">
        <v>2634442</v>
      </c>
      <c r="F2986" s="1" t="s">
        <v>13</v>
      </c>
      <c r="G2986" s="1" t="s">
        <v>11409</v>
      </c>
    </row>
    <row r="2987" spans="1:7" ht="21" x14ac:dyDescent="0.25">
      <c r="A2987" s="2" t="str">
        <f>HYPERLINK("https://rth.dk/resources/bsgatlas/details.php?id=BSGatlas-gene-2986","BSGatlas-gene-2986")</f>
        <v>BSGatlas-gene-2986</v>
      </c>
      <c r="B2987" s="1" t="s">
        <v>2709</v>
      </c>
      <c r="C2987" s="1" t="s">
        <v>8</v>
      </c>
      <c r="D2987" s="1">
        <v>2634505</v>
      </c>
      <c r="E2987" s="1">
        <v>2635611</v>
      </c>
      <c r="F2987" s="1" t="s">
        <v>13</v>
      </c>
      <c r="G2987" s="1" t="s">
        <v>11409</v>
      </c>
    </row>
    <row r="2988" spans="1:7" ht="21" x14ac:dyDescent="0.25">
      <c r="A2988" s="2" t="str">
        <f>HYPERLINK("https://rth.dk/resources/bsgatlas/details.php?id=BSGatlas-gene-2987","BSGatlas-gene-2987")</f>
        <v>BSGatlas-gene-2987</v>
      </c>
      <c r="B2988" s="1" t="s">
        <v>2710</v>
      </c>
      <c r="C2988" s="1" t="s">
        <v>8</v>
      </c>
      <c r="D2988" s="1">
        <v>2635815</v>
      </c>
      <c r="E2988" s="1">
        <v>2636081</v>
      </c>
      <c r="F2988" s="1" t="s">
        <v>9</v>
      </c>
      <c r="G2988" s="1" t="s">
        <v>11409</v>
      </c>
    </row>
    <row r="2989" spans="1:7" ht="21" x14ac:dyDescent="0.25">
      <c r="A2989" s="2" t="str">
        <f>HYPERLINK("https://rth.dk/resources/bsgatlas/details.php?id=BSGatlas-gene-2988","BSGatlas-gene-2988")</f>
        <v>BSGatlas-gene-2988</v>
      </c>
      <c r="B2989" s="1" t="s">
        <v>2711</v>
      </c>
      <c r="C2989" s="1" t="s">
        <v>8</v>
      </c>
      <c r="D2989" s="1">
        <v>2636096</v>
      </c>
      <c r="E2989" s="1">
        <v>2637139</v>
      </c>
      <c r="F2989" s="1" t="s">
        <v>13</v>
      </c>
      <c r="G2989" s="1" t="s">
        <v>11409</v>
      </c>
    </row>
    <row r="2990" spans="1:7" ht="21" x14ac:dyDescent="0.25">
      <c r="A2990" s="2" t="str">
        <f>HYPERLINK("https://rth.dk/resources/bsgatlas/details.php?id=BSGatlas-gene-2989","BSGatlas-gene-2989")</f>
        <v>BSGatlas-gene-2989</v>
      </c>
      <c r="B2990" s="1" t="s">
        <v>318</v>
      </c>
      <c r="C2990" s="1" t="s">
        <v>8</v>
      </c>
      <c r="D2990" s="1">
        <v>2637179</v>
      </c>
      <c r="E2990" s="1">
        <v>2637328</v>
      </c>
      <c r="F2990" s="1" t="s">
        <v>13</v>
      </c>
      <c r="G2990" s="1" t="s">
        <v>11441</v>
      </c>
    </row>
    <row r="2991" spans="1:7" ht="21" x14ac:dyDescent="0.25">
      <c r="A2991" s="2" t="str">
        <f>HYPERLINK("https://rth.dk/resources/bsgatlas/details.php?id=BSGatlas-gene-2990","BSGatlas-gene-2990")</f>
        <v>BSGatlas-gene-2990</v>
      </c>
      <c r="B2991" s="1" t="s">
        <v>2712</v>
      </c>
      <c r="C2991" s="1" t="s">
        <v>12</v>
      </c>
      <c r="D2991" s="1">
        <v>2637203</v>
      </c>
      <c r="E2991" s="1">
        <v>2637542</v>
      </c>
      <c r="F2991" s="1" t="s">
        <v>13</v>
      </c>
      <c r="G2991" s="1" t="s">
        <v>11406</v>
      </c>
    </row>
    <row r="2992" spans="1:7" ht="21" x14ac:dyDescent="0.25">
      <c r="A2992" s="2" t="str">
        <f>HYPERLINK("https://rth.dk/resources/bsgatlas/details.php?id=BSGatlas-gene-2991","BSGatlas-gene-2991")</f>
        <v>BSGatlas-gene-2991</v>
      </c>
      <c r="B2992" s="1" t="s">
        <v>2713</v>
      </c>
      <c r="C2992" s="1" t="s">
        <v>8</v>
      </c>
      <c r="D2992" s="1">
        <v>2637369</v>
      </c>
      <c r="E2992" s="1">
        <v>2637503</v>
      </c>
      <c r="F2992" s="1" t="s">
        <v>9</v>
      </c>
      <c r="G2992" s="1" t="s">
        <v>11409</v>
      </c>
    </row>
    <row r="2993" spans="1:7" ht="21" x14ac:dyDescent="0.25">
      <c r="A2993" s="2" t="str">
        <f>HYPERLINK("https://rth.dk/resources/bsgatlas/details.php?id=BSGatlas-gene-2992","BSGatlas-gene-2992")</f>
        <v>BSGatlas-gene-2992</v>
      </c>
      <c r="B2993" s="1" t="s">
        <v>2714</v>
      </c>
      <c r="C2993" s="1" t="s">
        <v>8</v>
      </c>
      <c r="D2993" s="1">
        <v>2637543</v>
      </c>
      <c r="E2993" s="1">
        <v>2639873</v>
      </c>
      <c r="F2993" s="1" t="s">
        <v>13</v>
      </c>
      <c r="G2993" s="1" t="s">
        <v>11409</v>
      </c>
    </row>
    <row r="2994" spans="1:7" ht="21" x14ac:dyDescent="0.25">
      <c r="A2994" s="2" t="str">
        <f>HYPERLINK("https://rth.dk/resources/bsgatlas/details.php?id=BSGatlas-gene-2993","BSGatlas-gene-2993")</f>
        <v>BSGatlas-gene-2993</v>
      </c>
      <c r="B2994" s="1" t="s">
        <v>2715</v>
      </c>
      <c r="C2994" s="1" t="s">
        <v>8</v>
      </c>
      <c r="D2994" s="1">
        <v>2639877</v>
      </c>
      <c r="E2994" s="1">
        <v>2640446</v>
      </c>
      <c r="F2994" s="1" t="s">
        <v>13</v>
      </c>
      <c r="G2994" s="1" t="s">
        <v>11409</v>
      </c>
    </row>
    <row r="2995" spans="1:7" ht="21" x14ac:dyDescent="0.25">
      <c r="A2995" s="2" t="str">
        <f>HYPERLINK("https://rth.dk/resources/bsgatlas/details.php?id=BSGatlas-gene-2994","BSGatlas-gene-2994")</f>
        <v>BSGatlas-gene-2994</v>
      </c>
      <c r="B2995" s="1" t="s">
        <v>2716</v>
      </c>
      <c r="C2995" s="1" t="s">
        <v>8</v>
      </c>
      <c r="D2995" s="1">
        <v>2640513</v>
      </c>
      <c r="E2995" s="1">
        <v>2641130</v>
      </c>
      <c r="F2995" s="1" t="s">
        <v>13</v>
      </c>
      <c r="G2995" s="1" t="s">
        <v>11409</v>
      </c>
    </row>
    <row r="2996" spans="1:7" ht="21" x14ac:dyDescent="0.25">
      <c r="A2996" s="2" t="str">
        <f>HYPERLINK("https://rth.dk/resources/bsgatlas/details.php?id=BSGatlas-gene-2995","BSGatlas-gene-2995")</f>
        <v>BSGatlas-gene-2995</v>
      </c>
      <c r="B2996" s="1" t="s">
        <v>2717</v>
      </c>
      <c r="C2996" s="1" t="s">
        <v>8</v>
      </c>
      <c r="D2996" s="1">
        <v>2641214</v>
      </c>
      <c r="E2996" s="1">
        <v>2642035</v>
      </c>
      <c r="F2996" s="1" t="s">
        <v>9</v>
      </c>
      <c r="G2996" s="1" t="s">
        <v>11409</v>
      </c>
    </row>
    <row r="2997" spans="1:7" ht="21" x14ac:dyDescent="0.25">
      <c r="A2997" s="2" t="str">
        <f>HYPERLINK("https://rth.dk/resources/bsgatlas/details.php?id=BSGatlas-gene-2996","BSGatlas-gene-2996")</f>
        <v>BSGatlas-gene-2996</v>
      </c>
      <c r="B2997" s="1" t="s">
        <v>2718</v>
      </c>
      <c r="C2997" s="1" t="s">
        <v>8</v>
      </c>
      <c r="D2997" s="1">
        <v>2642101</v>
      </c>
      <c r="E2997" s="1">
        <v>2642844</v>
      </c>
      <c r="F2997" s="1" t="s">
        <v>13</v>
      </c>
      <c r="G2997" s="1" t="s">
        <v>11409</v>
      </c>
    </row>
    <row r="2998" spans="1:7" ht="21" x14ac:dyDescent="0.25">
      <c r="A2998" s="2" t="str">
        <f>HYPERLINK("https://rth.dk/resources/bsgatlas/details.php?id=BSGatlas-gene-2997","BSGatlas-gene-2997")</f>
        <v>BSGatlas-gene-2997</v>
      </c>
      <c r="B2998" s="1" t="s">
        <v>2719</v>
      </c>
      <c r="C2998" s="1" t="s">
        <v>8</v>
      </c>
      <c r="D2998" s="1">
        <v>2642841</v>
      </c>
      <c r="E2998" s="1">
        <v>2643197</v>
      </c>
      <c r="F2998" s="1" t="s">
        <v>13</v>
      </c>
      <c r="G2998" s="1" t="s">
        <v>11409</v>
      </c>
    </row>
    <row r="2999" spans="1:7" ht="21" x14ac:dyDescent="0.25">
      <c r="A2999" s="2" t="str">
        <f>HYPERLINK("https://rth.dk/resources/bsgatlas/details.php?id=BSGatlas-gene-2998","BSGatlas-gene-2998")</f>
        <v>BSGatlas-gene-2998</v>
      </c>
      <c r="B2999" s="1" t="s">
        <v>2720</v>
      </c>
      <c r="C2999" s="1" t="s">
        <v>8</v>
      </c>
      <c r="D2999" s="1">
        <v>2643215</v>
      </c>
      <c r="E2999" s="1">
        <v>2643775</v>
      </c>
      <c r="F2999" s="1" t="s">
        <v>13</v>
      </c>
      <c r="G2999" s="1" t="s">
        <v>11409</v>
      </c>
    </row>
    <row r="3000" spans="1:7" ht="21" x14ac:dyDescent="0.25">
      <c r="A3000" s="2" t="str">
        <f>HYPERLINK("https://rth.dk/resources/bsgatlas/details.php?id=BSGatlas-gene-2999","BSGatlas-gene-2999")</f>
        <v>BSGatlas-gene-2999</v>
      </c>
      <c r="B3000" s="1" t="s">
        <v>2721</v>
      </c>
      <c r="C3000" s="1" t="s">
        <v>8</v>
      </c>
      <c r="D3000" s="1">
        <v>2643765</v>
      </c>
      <c r="E3000" s="1">
        <v>2644334</v>
      </c>
      <c r="F3000" s="1" t="s">
        <v>13</v>
      </c>
      <c r="G3000" s="1" t="s">
        <v>11409</v>
      </c>
    </row>
    <row r="3001" spans="1:7" ht="21" x14ac:dyDescent="0.25">
      <c r="A3001" s="2" t="str">
        <f>HYPERLINK("https://rth.dk/resources/bsgatlas/details.php?id=BSGatlas-gene-3000","BSGatlas-gene-3000")</f>
        <v>BSGatlas-gene-3000</v>
      </c>
      <c r="B3001" s="1" t="s">
        <v>2722</v>
      </c>
      <c r="C3001" s="1" t="s">
        <v>8</v>
      </c>
      <c r="D3001" s="1">
        <v>2644346</v>
      </c>
      <c r="E3001" s="1">
        <v>2644636</v>
      </c>
      <c r="F3001" s="1" t="s">
        <v>13</v>
      </c>
      <c r="G3001" s="1" t="s">
        <v>11409</v>
      </c>
    </row>
    <row r="3002" spans="1:7" ht="21" x14ac:dyDescent="0.25">
      <c r="A3002" s="2" t="str">
        <f>HYPERLINK("https://rth.dk/resources/bsgatlas/details.php?id=BSGatlas-gene-3001","BSGatlas-gene-3001")</f>
        <v>BSGatlas-gene-3001</v>
      </c>
      <c r="B3002" s="1" t="s">
        <v>2723</v>
      </c>
      <c r="C3002" s="1" t="s">
        <v>8</v>
      </c>
      <c r="D3002" s="1">
        <v>2644630</v>
      </c>
      <c r="E3002" s="1">
        <v>2645472</v>
      </c>
      <c r="F3002" s="1" t="s">
        <v>13</v>
      </c>
      <c r="G3002" s="1" t="s">
        <v>11409</v>
      </c>
    </row>
    <row r="3003" spans="1:7" ht="21" x14ac:dyDescent="0.25">
      <c r="A3003" s="2" t="str">
        <f>HYPERLINK("https://rth.dk/resources/bsgatlas/details.php?id=BSGatlas-gene-3002","BSGatlas-gene-3002")</f>
        <v>BSGatlas-gene-3002</v>
      </c>
      <c r="B3003" s="1" t="s">
        <v>2724</v>
      </c>
      <c r="C3003" s="1" t="s">
        <v>8</v>
      </c>
      <c r="D3003" s="1">
        <v>2645490</v>
      </c>
      <c r="E3003" s="1">
        <v>2646590</v>
      </c>
      <c r="F3003" s="1" t="s">
        <v>13</v>
      </c>
      <c r="G3003" s="1" t="s">
        <v>11409</v>
      </c>
    </row>
    <row r="3004" spans="1:7" ht="21" x14ac:dyDescent="0.25">
      <c r="A3004" s="2" t="str">
        <f>HYPERLINK("https://rth.dk/resources/bsgatlas/details.php?id=BSGatlas-gene-3003","BSGatlas-gene-3003")</f>
        <v>BSGatlas-gene-3003</v>
      </c>
      <c r="B3004" s="1" t="s">
        <v>2725</v>
      </c>
      <c r="C3004" s="1" t="s">
        <v>8</v>
      </c>
      <c r="D3004" s="1">
        <v>2646594</v>
      </c>
      <c r="E3004" s="1">
        <v>2647112</v>
      </c>
      <c r="F3004" s="1" t="s">
        <v>13</v>
      </c>
      <c r="G3004" s="1" t="s">
        <v>11409</v>
      </c>
    </row>
    <row r="3005" spans="1:7" ht="21" x14ac:dyDescent="0.25">
      <c r="A3005" s="2" t="str">
        <f>HYPERLINK("https://rth.dk/resources/bsgatlas/details.php?id=BSGatlas-gene-3004","BSGatlas-gene-3004")</f>
        <v>BSGatlas-gene-3004</v>
      </c>
      <c r="B3005" s="1" t="s">
        <v>2726</v>
      </c>
      <c r="C3005" s="1" t="s">
        <v>2098</v>
      </c>
      <c r="D3005" s="1">
        <v>2647051</v>
      </c>
      <c r="E3005" s="1">
        <v>2647663</v>
      </c>
      <c r="F3005" s="1" t="s">
        <v>13</v>
      </c>
      <c r="G3005" s="1" t="s">
        <v>11455</v>
      </c>
    </row>
    <row r="3006" spans="1:7" ht="21" x14ac:dyDescent="0.25">
      <c r="A3006" s="2" t="str">
        <f>HYPERLINK("https://rth.dk/resources/bsgatlas/details.php?id=BSGatlas-gene-3005","BSGatlas-gene-3005")</f>
        <v>BSGatlas-gene-3005</v>
      </c>
      <c r="B3006" s="1" t="s">
        <v>2727</v>
      </c>
      <c r="C3006" s="1" t="s">
        <v>8</v>
      </c>
      <c r="D3006" s="1">
        <v>2647456</v>
      </c>
      <c r="E3006" s="1">
        <v>2647614</v>
      </c>
      <c r="F3006" s="1" t="s">
        <v>9</v>
      </c>
      <c r="G3006" s="1" t="s">
        <v>11409</v>
      </c>
    </row>
    <row r="3007" spans="1:7" ht="21" x14ac:dyDescent="0.25">
      <c r="A3007" s="2" t="str">
        <f>HYPERLINK("https://rth.dk/resources/bsgatlas/details.php?id=BSGatlas-gene-3006","BSGatlas-gene-3006")</f>
        <v>BSGatlas-gene-3006</v>
      </c>
      <c r="B3007" s="1" t="s">
        <v>2728</v>
      </c>
      <c r="C3007" s="1" t="s">
        <v>12</v>
      </c>
      <c r="D3007" s="1">
        <v>2647695</v>
      </c>
      <c r="E3007" s="1">
        <v>2647869</v>
      </c>
      <c r="F3007" s="1" t="s">
        <v>9</v>
      </c>
      <c r="G3007" s="1" t="s">
        <v>11442</v>
      </c>
    </row>
    <row r="3008" spans="1:7" ht="21" x14ac:dyDescent="0.25">
      <c r="A3008" s="2" t="str">
        <f>HYPERLINK("https://rth.dk/resources/bsgatlas/details.php?id=BSGatlas-gene-3007","BSGatlas-gene-3007")</f>
        <v>BSGatlas-gene-3007</v>
      </c>
      <c r="B3008" s="1" t="s">
        <v>2729</v>
      </c>
      <c r="C3008" s="1" t="s">
        <v>12</v>
      </c>
      <c r="D3008" s="1">
        <v>2647725</v>
      </c>
      <c r="E3008" s="1">
        <v>2647872</v>
      </c>
      <c r="F3008" s="1" t="s">
        <v>13</v>
      </c>
      <c r="G3008" s="1" t="s">
        <v>11406</v>
      </c>
    </row>
    <row r="3009" spans="1:7" ht="21" x14ac:dyDescent="0.25">
      <c r="A3009" s="2" t="str">
        <f>HYPERLINK("https://rth.dk/resources/bsgatlas/details.php?id=BSGatlas-gene-3008","BSGatlas-gene-3008")</f>
        <v>BSGatlas-gene-3008</v>
      </c>
      <c r="B3009" s="1" t="s">
        <v>2730</v>
      </c>
      <c r="C3009" s="1" t="s">
        <v>8</v>
      </c>
      <c r="D3009" s="1">
        <v>2647920</v>
      </c>
      <c r="E3009" s="1">
        <v>2648651</v>
      </c>
      <c r="F3009" s="1" t="s">
        <v>13</v>
      </c>
      <c r="G3009" s="1" t="s">
        <v>11409</v>
      </c>
    </row>
    <row r="3010" spans="1:7" ht="21" x14ac:dyDescent="0.25">
      <c r="A3010" s="2" t="str">
        <f>HYPERLINK("https://rth.dk/resources/bsgatlas/details.php?id=BSGatlas-gene-3009","BSGatlas-gene-3009")</f>
        <v>BSGatlas-gene-3009</v>
      </c>
      <c r="B3010" s="1" t="s">
        <v>2731</v>
      </c>
      <c r="C3010" s="1" t="s">
        <v>8</v>
      </c>
      <c r="D3010" s="1">
        <v>2648903</v>
      </c>
      <c r="E3010" s="1">
        <v>2649655</v>
      </c>
      <c r="F3010" s="1" t="s">
        <v>13</v>
      </c>
      <c r="G3010" s="1" t="s">
        <v>11409</v>
      </c>
    </row>
    <row r="3011" spans="1:7" ht="21" x14ac:dyDescent="0.25">
      <c r="A3011" s="2" t="str">
        <f>HYPERLINK("https://rth.dk/resources/bsgatlas/details.php?id=BSGatlas-gene-3010","BSGatlas-gene-3010")</f>
        <v>BSGatlas-gene-3010</v>
      </c>
      <c r="B3011" s="1" t="s">
        <v>2732</v>
      </c>
      <c r="C3011" s="1" t="s">
        <v>8</v>
      </c>
      <c r="D3011" s="1">
        <v>2649842</v>
      </c>
      <c r="E3011" s="1">
        <v>2650468</v>
      </c>
      <c r="F3011" s="1" t="s">
        <v>9</v>
      </c>
      <c r="G3011" s="1" t="s">
        <v>11409</v>
      </c>
    </row>
    <row r="3012" spans="1:7" ht="21" x14ac:dyDescent="0.25">
      <c r="A3012" s="2" t="str">
        <f>HYPERLINK("https://rth.dk/resources/bsgatlas/details.php?id=BSGatlas-gene-3011","BSGatlas-gene-3011")</f>
        <v>BSGatlas-gene-3011</v>
      </c>
      <c r="B3012" s="1" t="s">
        <v>2733</v>
      </c>
      <c r="C3012" s="1" t="s">
        <v>8</v>
      </c>
      <c r="D3012" s="1">
        <v>2650487</v>
      </c>
      <c r="E3012" s="1">
        <v>2651380</v>
      </c>
      <c r="F3012" s="1" t="s">
        <v>13</v>
      </c>
      <c r="G3012" s="1" t="s">
        <v>11409</v>
      </c>
    </row>
    <row r="3013" spans="1:7" ht="21" x14ac:dyDescent="0.25">
      <c r="A3013" s="2" t="str">
        <f>HYPERLINK("https://rth.dk/resources/bsgatlas/details.php?id=BSGatlas-gene-3012","BSGatlas-gene-3012")</f>
        <v>BSGatlas-gene-3012</v>
      </c>
      <c r="B3013" s="1" t="s">
        <v>2734</v>
      </c>
      <c r="C3013" s="1" t="s">
        <v>8</v>
      </c>
      <c r="D3013" s="1">
        <v>2651632</v>
      </c>
      <c r="E3013" s="1">
        <v>2652354</v>
      </c>
      <c r="F3013" s="1" t="s">
        <v>9</v>
      </c>
      <c r="G3013" s="1" t="s">
        <v>11409</v>
      </c>
    </row>
    <row r="3014" spans="1:7" ht="21" x14ac:dyDescent="0.25">
      <c r="A3014" s="2" t="str">
        <f>HYPERLINK("https://rth.dk/resources/bsgatlas/details.php?id=BSGatlas-gene-3013","BSGatlas-gene-3013")</f>
        <v>BSGatlas-gene-3013</v>
      </c>
      <c r="B3014" s="1" t="s">
        <v>2735</v>
      </c>
      <c r="C3014" s="1" t="s">
        <v>8</v>
      </c>
      <c r="D3014" s="1">
        <v>2652387</v>
      </c>
      <c r="E3014" s="1">
        <v>2652797</v>
      </c>
      <c r="F3014" s="1" t="s">
        <v>13</v>
      </c>
      <c r="G3014" s="1" t="s">
        <v>11409</v>
      </c>
    </row>
    <row r="3015" spans="1:7" ht="21" x14ac:dyDescent="0.25">
      <c r="A3015" s="2" t="str">
        <f>HYPERLINK("https://rth.dk/resources/bsgatlas/details.php?id=BSGatlas-gene-3014","BSGatlas-gene-3014")</f>
        <v>BSGatlas-gene-3014</v>
      </c>
      <c r="B3015" s="1" t="s">
        <v>2736</v>
      </c>
      <c r="C3015" s="1" t="s">
        <v>8</v>
      </c>
      <c r="D3015" s="1">
        <v>2652993</v>
      </c>
      <c r="E3015" s="1">
        <v>2653463</v>
      </c>
      <c r="F3015" s="1" t="s">
        <v>9</v>
      </c>
      <c r="G3015" s="1" t="s">
        <v>11409</v>
      </c>
    </row>
    <row r="3016" spans="1:7" ht="21" x14ac:dyDescent="0.25">
      <c r="A3016" s="2" t="str">
        <f>HYPERLINK("https://rth.dk/resources/bsgatlas/details.php?id=BSGatlas-gene-3015","BSGatlas-gene-3015")</f>
        <v>BSGatlas-gene-3015</v>
      </c>
      <c r="B3016" s="1" t="s">
        <v>2737</v>
      </c>
      <c r="C3016" s="1" t="s">
        <v>8</v>
      </c>
      <c r="D3016" s="1">
        <v>2653371</v>
      </c>
      <c r="E3016" s="1">
        <v>2654873</v>
      </c>
      <c r="F3016" s="1" t="s">
        <v>13</v>
      </c>
      <c r="G3016" s="1" t="s">
        <v>11409</v>
      </c>
    </row>
    <row r="3017" spans="1:7" ht="21" x14ac:dyDescent="0.25">
      <c r="A3017" s="2" t="str">
        <f>HYPERLINK("https://rth.dk/resources/bsgatlas/details.php?id=BSGatlas-gene-3016","BSGatlas-gene-3016")</f>
        <v>BSGatlas-gene-3016</v>
      </c>
      <c r="B3017" s="1" t="s">
        <v>2738</v>
      </c>
      <c r="C3017" s="1" t="s">
        <v>8</v>
      </c>
      <c r="D3017" s="1">
        <v>2655322</v>
      </c>
      <c r="E3017" s="1">
        <v>2655741</v>
      </c>
      <c r="F3017" s="1" t="s">
        <v>13</v>
      </c>
      <c r="G3017" s="1" t="s">
        <v>11409</v>
      </c>
    </row>
    <row r="3018" spans="1:7" ht="21" x14ac:dyDescent="0.25">
      <c r="A3018" s="2" t="str">
        <f>HYPERLINK("https://rth.dk/resources/bsgatlas/details.php?id=BSGatlas-gene-3017","BSGatlas-gene-3017")</f>
        <v>BSGatlas-gene-3017</v>
      </c>
      <c r="B3018" s="1" t="s">
        <v>2739</v>
      </c>
      <c r="C3018" s="1" t="s">
        <v>8</v>
      </c>
      <c r="D3018" s="1">
        <v>2655753</v>
      </c>
      <c r="E3018" s="1">
        <v>2656793</v>
      </c>
      <c r="F3018" s="1" t="s">
        <v>13</v>
      </c>
      <c r="G3018" s="1" t="s">
        <v>11409</v>
      </c>
    </row>
    <row r="3019" spans="1:7" ht="21" x14ac:dyDescent="0.25">
      <c r="A3019" s="2" t="str">
        <f>HYPERLINK("https://rth.dk/resources/bsgatlas/details.php?id=BSGatlas-gene-3018","BSGatlas-gene-3018")</f>
        <v>BSGatlas-gene-3018</v>
      </c>
      <c r="B3019" s="1" t="s">
        <v>2740</v>
      </c>
      <c r="C3019" s="1" t="s">
        <v>8</v>
      </c>
      <c r="D3019" s="1">
        <v>2656816</v>
      </c>
      <c r="E3019" s="1">
        <v>2657256</v>
      </c>
      <c r="F3019" s="1" t="s">
        <v>13</v>
      </c>
      <c r="G3019" s="1" t="s">
        <v>11409</v>
      </c>
    </row>
    <row r="3020" spans="1:7" ht="21" x14ac:dyDescent="0.25">
      <c r="A3020" s="2" t="str">
        <f>HYPERLINK("https://rth.dk/resources/bsgatlas/details.php?id=BSGatlas-gene-3019","BSGatlas-gene-3019")</f>
        <v>BSGatlas-gene-3019</v>
      </c>
      <c r="B3020" s="1" t="s">
        <v>2741</v>
      </c>
      <c r="C3020" s="1" t="s">
        <v>8</v>
      </c>
      <c r="D3020" s="1">
        <v>2657317</v>
      </c>
      <c r="E3020" s="1">
        <v>2657634</v>
      </c>
      <c r="F3020" s="1" t="s">
        <v>13</v>
      </c>
      <c r="G3020" s="1" t="s">
        <v>11409</v>
      </c>
    </row>
    <row r="3021" spans="1:7" ht="21" x14ac:dyDescent="0.25">
      <c r="A3021" s="2" t="str">
        <f>HYPERLINK("https://rth.dk/resources/bsgatlas/details.php?id=BSGatlas-gene-3020","BSGatlas-gene-3020")</f>
        <v>BSGatlas-gene-3020</v>
      </c>
      <c r="B3021" s="1" t="s">
        <v>2742</v>
      </c>
      <c r="C3021" s="1" t="s">
        <v>8</v>
      </c>
      <c r="D3021" s="1">
        <v>2658006</v>
      </c>
      <c r="E3021" s="1">
        <v>2658770</v>
      </c>
      <c r="F3021" s="1" t="s">
        <v>13</v>
      </c>
      <c r="G3021" s="1" t="s">
        <v>11409</v>
      </c>
    </row>
    <row r="3022" spans="1:7" ht="21" x14ac:dyDescent="0.25">
      <c r="A3022" s="2" t="str">
        <f>HYPERLINK("https://rth.dk/resources/bsgatlas/details.php?id=BSGatlas-gene-3021","BSGatlas-gene-3021")</f>
        <v>BSGatlas-gene-3021</v>
      </c>
      <c r="B3022" s="1" t="s">
        <v>2743</v>
      </c>
      <c r="C3022" s="1" t="s">
        <v>8</v>
      </c>
      <c r="D3022" s="1">
        <v>2659213</v>
      </c>
      <c r="E3022" s="1">
        <v>2660340</v>
      </c>
      <c r="F3022" s="1" t="s">
        <v>9</v>
      </c>
      <c r="G3022" s="1" t="s">
        <v>11409</v>
      </c>
    </row>
    <row r="3023" spans="1:7" ht="21" x14ac:dyDescent="0.25">
      <c r="A3023" s="2" t="str">
        <f>HYPERLINK("https://rth.dk/resources/bsgatlas/details.php?id=BSGatlas-gene-3022","BSGatlas-gene-3022")</f>
        <v>BSGatlas-gene-3022</v>
      </c>
      <c r="B3023" s="1" t="s">
        <v>2744</v>
      </c>
      <c r="C3023" s="1" t="s">
        <v>8</v>
      </c>
      <c r="D3023" s="1">
        <v>2660330</v>
      </c>
      <c r="E3023" s="1">
        <v>2660464</v>
      </c>
      <c r="F3023" s="1" t="s">
        <v>9</v>
      </c>
      <c r="G3023" s="1" t="s">
        <v>11409</v>
      </c>
    </row>
    <row r="3024" spans="1:7" ht="21" x14ac:dyDescent="0.25">
      <c r="A3024" s="2" t="str">
        <f>HYPERLINK("https://rth.dk/resources/bsgatlas/details.php?id=BSGatlas-gene-3023","BSGatlas-gene-3023")</f>
        <v>BSGatlas-gene-3023</v>
      </c>
      <c r="B3024" s="1" t="s">
        <v>11673</v>
      </c>
      <c r="C3024" s="1" t="s">
        <v>8</v>
      </c>
      <c r="D3024" s="1">
        <v>2660574</v>
      </c>
      <c r="E3024" s="1">
        <v>2660732</v>
      </c>
      <c r="F3024" s="1" t="s">
        <v>9</v>
      </c>
      <c r="G3024" s="1" t="s">
        <v>11409</v>
      </c>
    </row>
    <row r="3025" spans="1:7" ht="21" x14ac:dyDescent="0.25">
      <c r="A3025" s="2" t="str">
        <f>HYPERLINK("https://rth.dk/resources/bsgatlas/details.php?id=BSGatlas-gene-3024","BSGatlas-gene-3024")</f>
        <v>BSGatlas-gene-3024</v>
      </c>
      <c r="B3025" s="1" t="s">
        <v>2745</v>
      </c>
      <c r="C3025" s="1" t="s">
        <v>8</v>
      </c>
      <c r="D3025" s="1">
        <v>2661102</v>
      </c>
      <c r="E3025" s="1">
        <v>2662697</v>
      </c>
      <c r="F3025" s="1" t="s">
        <v>9</v>
      </c>
      <c r="G3025" s="1" t="s">
        <v>11409</v>
      </c>
    </row>
    <row r="3026" spans="1:7" ht="21" x14ac:dyDescent="0.25">
      <c r="A3026" s="2" t="str">
        <f>HYPERLINK("https://rth.dk/resources/bsgatlas/details.php?id=BSGatlas-gene-3025","BSGatlas-gene-3025")</f>
        <v>BSGatlas-gene-3025</v>
      </c>
      <c r="B3026" s="1" t="s">
        <v>2746</v>
      </c>
      <c r="C3026" s="1" t="s">
        <v>8</v>
      </c>
      <c r="D3026" s="1">
        <v>2662712</v>
      </c>
      <c r="E3026" s="1">
        <v>2663290</v>
      </c>
      <c r="F3026" s="1" t="s">
        <v>9</v>
      </c>
      <c r="G3026" s="1" t="s">
        <v>11409</v>
      </c>
    </row>
    <row r="3027" spans="1:7" ht="21" x14ac:dyDescent="0.25">
      <c r="A3027" s="2" t="str">
        <f>HYPERLINK("https://rth.dk/resources/bsgatlas/details.php?id=BSGatlas-gene-3026","BSGatlas-gene-3026")</f>
        <v>BSGatlas-gene-3026</v>
      </c>
      <c r="B3027" s="1" t="s">
        <v>318</v>
      </c>
      <c r="C3027" s="1" t="s">
        <v>8</v>
      </c>
      <c r="D3027" s="1">
        <v>2663408</v>
      </c>
      <c r="E3027" s="1">
        <v>2663554</v>
      </c>
      <c r="F3027" s="1" t="s">
        <v>9</v>
      </c>
      <c r="G3027" s="1" t="s">
        <v>11441</v>
      </c>
    </row>
    <row r="3028" spans="1:7" ht="21" x14ac:dyDescent="0.25">
      <c r="A3028" s="2" t="str">
        <f>HYPERLINK("https://rth.dk/resources/bsgatlas/details.php?id=BSGatlas-gene-3027","BSGatlas-gene-3027")</f>
        <v>BSGatlas-gene-3027</v>
      </c>
      <c r="B3028" s="1" t="s">
        <v>2747</v>
      </c>
      <c r="C3028" s="1" t="s">
        <v>8</v>
      </c>
      <c r="D3028" s="1">
        <v>2663551</v>
      </c>
      <c r="E3028" s="1">
        <v>2663913</v>
      </c>
      <c r="F3028" s="1" t="s">
        <v>13</v>
      </c>
      <c r="G3028" s="1" t="s">
        <v>11409</v>
      </c>
    </row>
    <row r="3029" spans="1:7" ht="21" x14ac:dyDescent="0.25">
      <c r="A3029" s="2" t="str">
        <f>HYPERLINK("https://rth.dk/resources/bsgatlas/details.php?id=BSGatlas-gene-3028","BSGatlas-gene-3028")</f>
        <v>BSGatlas-gene-3028</v>
      </c>
      <c r="B3029" s="1" t="s">
        <v>2748</v>
      </c>
      <c r="C3029" s="1" t="s">
        <v>8</v>
      </c>
      <c r="D3029" s="1">
        <v>2663929</v>
      </c>
      <c r="E3029" s="1">
        <v>2664408</v>
      </c>
      <c r="F3029" s="1" t="s">
        <v>13</v>
      </c>
      <c r="G3029" s="1" t="s">
        <v>11409</v>
      </c>
    </row>
    <row r="3030" spans="1:7" ht="21" x14ac:dyDescent="0.25">
      <c r="A3030" s="2" t="str">
        <f>HYPERLINK("https://rth.dk/resources/bsgatlas/details.php?id=BSGatlas-gene-3029","BSGatlas-gene-3029")</f>
        <v>BSGatlas-gene-3029</v>
      </c>
      <c r="B3030" s="1" t="s">
        <v>11674</v>
      </c>
      <c r="C3030" s="1" t="s">
        <v>8</v>
      </c>
      <c r="D3030" s="1">
        <v>2664573</v>
      </c>
      <c r="E3030" s="1">
        <v>2665391</v>
      </c>
      <c r="F3030" s="1" t="s">
        <v>13</v>
      </c>
      <c r="G3030" s="1" t="s">
        <v>11409</v>
      </c>
    </row>
    <row r="3031" spans="1:7" ht="21" x14ac:dyDescent="0.25">
      <c r="A3031" s="2" t="str">
        <f>HYPERLINK("https://rth.dk/resources/bsgatlas/details.php?id=BSGatlas-gene-3030","BSGatlas-gene-3030")</f>
        <v>BSGatlas-gene-3030</v>
      </c>
      <c r="B3031" s="1" t="s">
        <v>2749</v>
      </c>
      <c r="C3031" s="1" t="s">
        <v>12</v>
      </c>
      <c r="D3031" s="1">
        <v>2664732</v>
      </c>
      <c r="E3031" s="1">
        <v>2666054</v>
      </c>
      <c r="F3031" s="1" t="s">
        <v>9</v>
      </c>
      <c r="G3031" s="1" t="s">
        <v>11406</v>
      </c>
    </row>
    <row r="3032" spans="1:7" ht="21" x14ac:dyDescent="0.25">
      <c r="A3032" s="2" t="str">
        <f>HYPERLINK("https://rth.dk/resources/bsgatlas/details.php?id=BSGatlas-gene-3031","BSGatlas-gene-3031")</f>
        <v>BSGatlas-gene-3031</v>
      </c>
      <c r="B3032" s="1" t="s">
        <v>11675</v>
      </c>
      <c r="C3032" s="1" t="s">
        <v>8</v>
      </c>
      <c r="D3032" s="1">
        <v>2665436</v>
      </c>
      <c r="E3032" s="1">
        <v>2665858</v>
      </c>
      <c r="F3032" s="1" t="s">
        <v>13</v>
      </c>
      <c r="G3032" s="1" t="s">
        <v>11409</v>
      </c>
    </row>
    <row r="3033" spans="1:7" ht="21" x14ac:dyDescent="0.25">
      <c r="A3033" s="2" t="str">
        <f>HYPERLINK("https://rth.dk/resources/bsgatlas/details.php?id=BSGatlas-gene-3032","BSGatlas-gene-3032")</f>
        <v>BSGatlas-gene-3032</v>
      </c>
      <c r="B3033" s="1" t="s">
        <v>11676</v>
      </c>
      <c r="C3033" s="1" t="s">
        <v>8</v>
      </c>
      <c r="D3033" s="1">
        <v>2665903</v>
      </c>
      <c r="E3033" s="1">
        <v>2666796</v>
      </c>
      <c r="F3033" s="1" t="s">
        <v>13</v>
      </c>
      <c r="G3033" s="1" t="s">
        <v>11409</v>
      </c>
    </row>
    <row r="3034" spans="1:7" ht="21" x14ac:dyDescent="0.25">
      <c r="A3034" s="2" t="str">
        <f>HYPERLINK("https://rth.dk/resources/bsgatlas/details.php?id=BSGatlas-gene-3033","BSGatlas-gene-3033")</f>
        <v>BSGatlas-gene-3033</v>
      </c>
      <c r="B3034" s="1" t="s">
        <v>11677</v>
      </c>
      <c r="C3034" s="1" t="s">
        <v>8</v>
      </c>
      <c r="D3034" s="1">
        <v>2666884</v>
      </c>
      <c r="E3034" s="1">
        <v>2667048</v>
      </c>
      <c r="F3034" s="1" t="s">
        <v>13</v>
      </c>
      <c r="G3034" s="1" t="s">
        <v>11409</v>
      </c>
    </row>
    <row r="3035" spans="1:7" ht="21" x14ac:dyDescent="0.25">
      <c r="A3035" s="2" t="str">
        <f>HYPERLINK("https://rth.dk/resources/bsgatlas/details.php?id=BSGatlas-gene-3034","BSGatlas-gene-3034")</f>
        <v>BSGatlas-gene-3034</v>
      </c>
      <c r="B3035" s="1" t="s">
        <v>11678</v>
      </c>
      <c r="C3035" s="1" t="s">
        <v>8</v>
      </c>
      <c r="D3035" s="1">
        <v>2667045</v>
      </c>
      <c r="E3035" s="1">
        <v>2667380</v>
      </c>
      <c r="F3035" s="1" t="s">
        <v>13</v>
      </c>
      <c r="G3035" s="1" t="s">
        <v>11409</v>
      </c>
    </row>
    <row r="3036" spans="1:7" ht="21" x14ac:dyDescent="0.25">
      <c r="A3036" s="2" t="str">
        <f>HYPERLINK("https://rth.dk/resources/bsgatlas/details.php?id=BSGatlas-gene-3035","BSGatlas-gene-3035")</f>
        <v>BSGatlas-gene-3035</v>
      </c>
      <c r="B3036" s="1" t="s">
        <v>11679</v>
      </c>
      <c r="C3036" s="1" t="s">
        <v>8</v>
      </c>
      <c r="D3036" s="1">
        <v>2667390</v>
      </c>
      <c r="E3036" s="1">
        <v>2668490</v>
      </c>
      <c r="F3036" s="1" t="s">
        <v>13</v>
      </c>
      <c r="G3036" s="1" t="s">
        <v>11409</v>
      </c>
    </row>
    <row r="3037" spans="1:7" ht="21" x14ac:dyDescent="0.25">
      <c r="A3037" s="2" t="str">
        <f>HYPERLINK("https://rth.dk/resources/bsgatlas/details.php?id=BSGatlas-gene-3036","BSGatlas-gene-3036")</f>
        <v>BSGatlas-gene-3036</v>
      </c>
      <c r="B3037" s="1" t="s">
        <v>11680</v>
      </c>
      <c r="C3037" s="1" t="s">
        <v>8</v>
      </c>
      <c r="D3037" s="1">
        <v>2668493</v>
      </c>
      <c r="E3037" s="1">
        <v>2668765</v>
      </c>
      <c r="F3037" s="1" t="s">
        <v>13</v>
      </c>
      <c r="G3037" s="1" t="s">
        <v>11409</v>
      </c>
    </row>
    <row r="3038" spans="1:7" ht="21" x14ac:dyDescent="0.25">
      <c r="A3038" s="2" t="str">
        <f>HYPERLINK("https://rth.dk/resources/bsgatlas/details.php?id=BSGatlas-gene-3037","BSGatlas-gene-3037")</f>
        <v>BSGatlas-gene-3037</v>
      </c>
      <c r="B3038" s="1" t="s">
        <v>11681</v>
      </c>
      <c r="C3038" s="1" t="s">
        <v>8</v>
      </c>
      <c r="D3038" s="1">
        <v>2668762</v>
      </c>
      <c r="E3038" s="1">
        <v>2669340</v>
      </c>
      <c r="F3038" s="1" t="s">
        <v>13</v>
      </c>
      <c r="G3038" s="1" t="s">
        <v>11409</v>
      </c>
    </row>
    <row r="3039" spans="1:7" ht="21" x14ac:dyDescent="0.25">
      <c r="A3039" s="2" t="str">
        <f>HYPERLINK("https://rth.dk/resources/bsgatlas/details.php?id=BSGatlas-gene-3038","BSGatlas-gene-3038")</f>
        <v>BSGatlas-gene-3038</v>
      </c>
      <c r="B3039" s="1" t="s">
        <v>11682</v>
      </c>
      <c r="C3039" s="1" t="s">
        <v>8</v>
      </c>
      <c r="D3039" s="1">
        <v>2669324</v>
      </c>
      <c r="E3039" s="1">
        <v>2670370</v>
      </c>
      <c r="F3039" s="1" t="s">
        <v>13</v>
      </c>
      <c r="G3039" s="1" t="s">
        <v>11409</v>
      </c>
    </row>
    <row r="3040" spans="1:7" ht="21" x14ac:dyDescent="0.25">
      <c r="A3040" s="2" t="str">
        <f>HYPERLINK("https://rth.dk/resources/bsgatlas/details.php?id=BSGatlas-gene-3039","BSGatlas-gene-3039")</f>
        <v>BSGatlas-gene-3039</v>
      </c>
      <c r="B3040" s="1" t="s">
        <v>11683</v>
      </c>
      <c r="C3040" s="1" t="s">
        <v>8</v>
      </c>
      <c r="D3040" s="1">
        <v>2670363</v>
      </c>
      <c r="E3040" s="1">
        <v>2670788</v>
      </c>
      <c r="F3040" s="1" t="s">
        <v>13</v>
      </c>
      <c r="G3040" s="1" t="s">
        <v>11409</v>
      </c>
    </row>
    <row r="3041" spans="1:7" ht="21" x14ac:dyDescent="0.25">
      <c r="A3041" s="2" t="str">
        <f>HYPERLINK("https://rth.dk/resources/bsgatlas/details.php?id=BSGatlas-gene-3040","BSGatlas-gene-3040")</f>
        <v>BSGatlas-gene-3040</v>
      </c>
      <c r="B3041" s="1" t="s">
        <v>11684</v>
      </c>
      <c r="C3041" s="1" t="s">
        <v>8</v>
      </c>
      <c r="D3041" s="1">
        <v>2670801</v>
      </c>
      <c r="E3041" s="1">
        <v>2671064</v>
      </c>
      <c r="F3041" s="1" t="s">
        <v>13</v>
      </c>
      <c r="G3041" s="1" t="s">
        <v>11409</v>
      </c>
    </row>
    <row r="3042" spans="1:7" ht="21" x14ac:dyDescent="0.25">
      <c r="A3042" s="2" t="str">
        <f>HYPERLINK("https://rth.dk/resources/bsgatlas/details.php?id=BSGatlas-gene-3041","BSGatlas-gene-3041")</f>
        <v>BSGatlas-gene-3041</v>
      </c>
      <c r="B3042" s="1" t="s">
        <v>11685</v>
      </c>
      <c r="C3042" s="1" t="s">
        <v>8</v>
      </c>
      <c r="D3042" s="1">
        <v>2671061</v>
      </c>
      <c r="E3042" s="1">
        <v>2672041</v>
      </c>
      <c r="F3042" s="1" t="s">
        <v>13</v>
      </c>
      <c r="G3042" s="1" t="s">
        <v>11409</v>
      </c>
    </row>
    <row r="3043" spans="1:7" ht="21" x14ac:dyDescent="0.25">
      <c r="A3043" s="2" t="str">
        <f>HYPERLINK("https://rth.dk/resources/bsgatlas/details.php?id=BSGatlas-gene-3042","BSGatlas-gene-3042")</f>
        <v>BSGatlas-gene-3042</v>
      </c>
      <c r="B3043" s="1" t="s">
        <v>2750</v>
      </c>
      <c r="C3043" s="1" t="s">
        <v>8</v>
      </c>
      <c r="D3043" s="1">
        <v>2672054</v>
      </c>
      <c r="E3043" s="1">
        <v>2672713</v>
      </c>
      <c r="F3043" s="1" t="s">
        <v>13</v>
      </c>
      <c r="G3043" s="1" t="s">
        <v>11409</v>
      </c>
    </row>
    <row r="3044" spans="1:7" ht="21" x14ac:dyDescent="0.25">
      <c r="A3044" s="2" t="str">
        <f>HYPERLINK("https://rth.dk/resources/bsgatlas/details.php?id=BSGatlas-gene-3043","BSGatlas-gene-3043")</f>
        <v>BSGatlas-gene-3043</v>
      </c>
      <c r="B3044" s="1" t="s">
        <v>2751</v>
      </c>
      <c r="C3044" s="1" t="s">
        <v>8</v>
      </c>
      <c r="D3044" s="1">
        <v>2672706</v>
      </c>
      <c r="E3044" s="1">
        <v>2677463</v>
      </c>
      <c r="F3044" s="1" t="s">
        <v>13</v>
      </c>
      <c r="G3044" s="1" t="s">
        <v>11409</v>
      </c>
    </row>
    <row r="3045" spans="1:7" ht="21" x14ac:dyDescent="0.25">
      <c r="A3045" s="2" t="str">
        <f>HYPERLINK("https://rth.dk/resources/bsgatlas/details.php?id=BSGatlas-gene-3044","BSGatlas-gene-3044")</f>
        <v>BSGatlas-gene-3044</v>
      </c>
      <c r="B3045" s="1" t="s">
        <v>11686</v>
      </c>
      <c r="C3045" s="1" t="s">
        <v>276</v>
      </c>
      <c r="D3045" s="1">
        <v>2677466</v>
      </c>
      <c r="E3045" s="1">
        <v>2677657</v>
      </c>
      <c r="F3045" s="1" t="s">
        <v>13</v>
      </c>
      <c r="G3045" s="1" t="s">
        <v>11441</v>
      </c>
    </row>
    <row r="3046" spans="1:7" ht="21" x14ac:dyDescent="0.25">
      <c r="A3046" s="2" t="str">
        <f>HYPERLINK("https://rth.dk/resources/bsgatlas/details.php?id=BSGatlas-gene-3045","BSGatlas-gene-3045")</f>
        <v>BSGatlas-gene-3045</v>
      </c>
      <c r="B3046" s="1" t="s">
        <v>11687</v>
      </c>
      <c r="C3046" s="1" t="s">
        <v>276</v>
      </c>
      <c r="D3046" s="1">
        <v>2677657</v>
      </c>
      <c r="E3046" s="1">
        <v>2678094</v>
      </c>
      <c r="F3046" s="1" t="s">
        <v>13</v>
      </c>
      <c r="G3046" s="1" t="s">
        <v>11441</v>
      </c>
    </row>
    <row r="3047" spans="1:7" ht="21" x14ac:dyDescent="0.25">
      <c r="A3047" s="2" t="str">
        <f>HYPERLINK("https://rth.dk/resources/bsgatlas/details.php?id=BSGatlas-gene-3046","BSGatlas-gene-3046")</f>
        <v>BSGatlas-gene-3046</v>
      </c>
      <c r="B3047" s="1" t="s">
        <v>2755</v>
      </c>
      <c r="C3047" s="1" t="s">
        <v>55</v>
      </c>
      <c r="D3047" s="1">
        <v>2678180</v>
      </c>
      <c r="E3047" s="1">
        <v>2678456</v>
      </c>
      <c r="F3047" s="1" t="s">
        <v>9</v>
      </c>
      <c r="G3047" s="1" t="s">
        <v>11498</v>
      </c>
    </row>
    <row r="3048" spans="1:7" ht="21" x14ac:dyDescent="0.25">
      <c r="A3048" s="2" t="str">
        <f>HYPERLINK("https://rth.dk/resources/bsgatlas/details.php?id=BSGatlas-gene-3047","BSGatlas-gene-3047")</f>
        <v>BSGatlas-gene-3047</v>
      </c>
      <c r="B3048" s="1" t="s">
        <v>2756</v>
      </c>
      <c r="C3048" s="1" t="s">
        <v>8</v>
      </c>
      <c r="D3048" s="1">
        <v>2678240</v>
      </c>
      <c r="E3048" s="1">
        <v>2678419</v>
      </c>
      <c r="F3048" s="1" t="s">
        <v>9</v>
      </c>
      <c r="G3048" s="1" t="s">
        <v>11409</v>
      </c>
    </row>
    <row r="3049" spans="1:7" ht="21" x14ac:dyDescent="0.25">
      <c r="A3049" s="2" t="str">
        <f>HYPERLINK("https://rth.dk/resources/bsgatlas/details.php?id=BSGatlas-gene-3048","BSGatlas-gene-3048")</f>
        <v>BSGatlas-gene-3048</v>
      </c>
      <c r="B3049" s="1" t="s">
        <v>2752</v>
      </c>
      <c r="C3049" s="1" t="s">
        <v>2098</v>
      </c>
      <c r="D3049" s="1">
        <v>2678343</v>
      </c>
      <c r="E3049" s="1">
        <v>2678565</v>
      </c>
      <c r="F3049" s="1" t="s">
        <v>13</v>
      </c>
      <c r="G3049" s="1" t="s">
        <v>11688</v>
      </c>
    </row>
    <row r="3050" spans="1:7" ht="21" x14ac:dyDescent="0.25">
      <c r="A3050" s="2" t="str">
        <f>HYPERLINK("https://rth.dk/resources/bsgatlas/details.php?id=BSGatlas-gene-3049","BSGatlas-gene-3049")</f>
        <v>BSGatlas-gene-3049</v>
      </c>
      <c r="B3050" s="1" t="s">
        <v>2757</v>
      </c>
      <c r="C3050" s="1" t="s">
        <v>55</v>
      </c>
      <c r="D3050" s="1">
        <v>2678645</v>
      </c>
      <c r="E3050" s="1">
        <v>2679017</v>
      </c>
      <c r="F3050" s="1" t="s">
        <v>9</v>
      </c>
      <c r="G3050" s="1" t="s">
        <v>11647</v>
      </c>
    </row>
    <row r="3051" spans="1:7" ht="21" x14ac:dyDescent="0.25">
      <c r="A3051" s="2" t="str">
        <f>HYPERLINK("https://rth.dk/resources/bsgatlas/details.php?id=BSGatlas-gene-3050","BSGatlas-gene-3050")</f>
        <v>BSGatlas-gene-3050</v>
      </c>
      <c r="B3051" s="1" t="s">
        <v>2758</v>
      </c>
      <c r="C3051" s="1" t="s">
        <v>8</v>
      </c>
      <c r="D3051" s="1">
        <v>2678799</v>
      </c>
      <c r="E3051" s="1">
        <v>2678888</v>
      </c>
      <c r="F3051" s="1" t="s">
        <v>9</v>
      </c>
      <c r="G3051" s="1" t="s">
        <v>11441</v>
      </c>
    </row>
    <row r="3052" spans="1:7" ht="21" x14ac:dyDescent="0.25">
      <c r="A3052" s="2" t="str">
        <f>HYPERLINK("https://rth.dk/resources/bsgatlas/details.php?id=BSGatlas-gene-3051","BSGatlas-gene-3051")</f>
        <v>BSGatlas-gene-3051</v>
      </c>
      <c r="B3052" s="1" t="s">
        <v>2753</v>
      </c>
      <c r="C3052" s="1" t="s">
        <v>12</v>
      </c>
      <c r="D3052" s="1">
        <v>2678876</v>
      </c>
      <c r="E3052" s="1">
        <v>2679014</v>
      </c>
      <c r="F3052" s="1" t="s">
        <v>13</v>
      </c>
      <c r="G3052" s="1" t="s">
        <v>11517</v>
      </c>
    </row>
    <row r="3053" spans="1:7" ht="21" x14ac:dyDescent="0.25">
      <c r="A3053" s="2" t="str">
        <f>HYPERLINK("https://rth.dk/resources/bsgatlas/details.php?id=BSGatlas-gene-3052","BSGatlas-gene-3052")</f>
        <v>BSGatlas-gene-3052</v>
      </c>
      <c r="B3053" s="1" t="s">
        <v>2754</v>
      </c>
      <c r="C3053" s="1" t="s">
        <v>12</v>
      </c>
      <c r="D3053" s="1">
        <v>2678994</v>
      </c>
      <c r="E3053" s="1">
        <v>2679076</v>
      </c>
      <c r="F3053" s="1" t="s">
        <v>13</v>
      </c>
      <c r="G3053" s="1" t="s">
        <v>11442</v>
      </c>
    </row>
    <row r="3054" spans="1:7" ht="21" x14ac:dyDescent="0.25">
      <c r="A3054" s="2" t="str">
        <f>HYPERLINK("https://rth.dk/resources/bsgatlas/details.php?id=BSGatlas-gene-3053","BSGatlas-gene-3053")</f>
        <v>BSGatlas-gene-3053</v>
      </c>
      <c r="B3054" s="1" t="s">
        <v>2759</v>
      </c>
      <c r="C3054" s="1" t="s">
        <v>8</v>
      </c>
      <c r="D3054" s="1">
        <v>2679142</v>
      </c>
      <c r="E3054" s="1">
        <v>2679585</v>
      </c>
      <c r="F3054" s="1" t="s">
        <v>13</v>
      </c>
      <c r="G3054" s="1" t="s">
        <v>11409</v>
      </c>
    </row>
    <row r="3055" spans="1:7" ht="21" x14ac:dyDescent="0.25">
      <c r="A3055" s="2" t="str">
        <f>HYPERLINK("https://rth.dk/resources/bsgatlas/details.php?id=BSGatlas-gene-3054","BSGatlas-gene-3054")</f>
        <v>BSGatlas-gene-3054</v>
      </c>
      <c r="B3055" s="1" t="s">
        <v>11689</v>
      </c>
      <c r="C3055" s="1" t="s">
        <v>8</v>
      </c>
      <c r="D3055" s="1">
        <v>2679588</v>
      </c>
      <c r="E3055" s="1">
        <v>2680988</v>
      </c>
      <c r="F3055" s="1" t="s">
        <v>13</v>
      </c>
      <c r="G3055" s="1" t="s">
        <v>11409</v>
      </c>
    </row>
    <row r="3056" spans="1:7" ht="21" x14ac:dyDescent="0.25">
      <c r="A3056" s="2" t="str">
        <f>HYPERLINK("https://rth.dk/resources/bsgatlas/details.php?id=BSGatlas-gene-3055","BSGatlas-gene-3055")</f>
        <v>BSGatlas-gene-3055</v>
      </c>
      <c r="B3056" s="1" t="s">
        <v>11690</v>
      </c>
      <c r="C3056" s="1" t="s">
        <v>8</v>
      </c>
      <c r="D3056" s="1">
        <v>2680989</v>
      </c>
      <c r="E3056" s="1">
        <v>2681180</v>
      </c>
      <c r="F3056" s="1" t="s">
        <v>13</v>
      </c>
      <c r="G3056" s="1" t="s">
        <v>11409</v>
      </c>
    </row>
    <row r="3057" spans="1:7" ht="21" x14ac:dyDescent="0.25">
      <c r="A3057" s="2" t="str">
        <f>HYPERLINK("https://rth.dk/resources/bsgatlas/details.php?id=BSGatlas-gene-3056","BSGatlas-gene-3056")</f>
        <v>BSGatlas-gene-3056</v>
      </c>
      <c r="B3057" s="1" t="s">
        <v>11691</v>
      </c>
      <c r="C3057" s="1" t="s">
        <v>8</v>
      </c>
      <c r="D3057" s="1">
        <v>2681177</v>
      </c>
      <c r="E3057" s="1">
        <v>2681614</v>
      </c>
      <c r="F3057" s="1" t="s">
        <v>13</v>
      </c>
      <c r="G3057" s="1" t="s">
        <v>11409</v>
      </c>
    </row>
    <row r="3058" spans="1:7" ht="21" x14ac:dyDescent="0.25">
      <c r="A3058" s="2" t="str">
        <f>HYPERLINK("https://rth.dk/resources/bsgatlas/details.php?id=BSGatlas-gene-3057","BSGatlas-gene-3057")</f>
        <v>BSGatlas-gene-3057</v>
      </c>
      <c r="B3058" s="1" t="s">
        <v>11692</v>
      </c>
      <c r="C3058" s="1" t="s">
        <v>8</v>
      </c>
      <c r="D3058" s="1">
        <v>2681627</v>
      </c>
      <c r="E3058" s="1">
        <v>2682130</v>
      </c>
      <c r="F3058" s="1" t="s">
        <v>13</v>
      </c>
      <c r="G3058" s="1" t="s">
        <v>11409</v>
      </c>
    </row>
    <row r="3059" spans="1:7" ht="21" x14ac:dyDescent="0.25">
      <c r="A3059" s="2" t="str">
        <f>HYPERLINK("https://rth.dk/resources/bsgatlas/details.php?id=BSGatlas-gene-3058","BSGatlas-gene-3058")</f>
        <v>BSGatlas-gene-3058</v>
      </c>
      <c r="B3059" s="1" t="s">
        <v>11693</v>
      </c>
      <c r="C3059" s="1" t="s">
        <v>8</v>
      </c>
      <c r="D3059" s="1">
        <v>2682127</v>
      </c>
      <c r="E3059" s="1">
        <v>2682489</v>
      </c>
      <c r="F3059" s="1" t="s">
        <v>13</v>
      </c>
      <c r="G3059" s="1" t="s">
        <v>11409</v>
      </c>
    </row>
    <row r="3060" spans="1:7" ht="21" x14ac:dyDescent="0.25">
      <c r="A3060" s="2" t="str">
        <f>HYPERLINK("https://rth.dk/resources/bsgatlas/details.php?id=BSGatlas-gene-3059","BSGatlas-gene-3059")</f>
        <v>BSGatlas-gene-3059</v>
      </c>
      <c r="B3060" s="1" t="s">
        <v>2760</v>
      </c>
      <c r="C3060" s="1" t="s">
        <v>8</v>
      </c>
      <c r="D3060" s="1">
        <v>2682486</v>
      </c>
      <c r="E3060" s="1">
        <v>2682881</v>
      </c>
      <c r="F3060" s="1" t="s">
        <v>13</v>
      </c>
      <c r="G3060" s="1" t="s">
        <v>11409</v>
      </c>
    </row>
    <row r="3061" spans="1:7" ht="21" x14ac:dyDescent="0.25">
      <c r="A3061" s="2" t="str">
        <f>HYPERLINK("https://rth.dk/resources/bsgatlas/details.php?id=BSGatlas-gene-3060","BSGatlas-gene-3060")</f>
        <v>BSGatlas-gene-3060</v>
      </c>
      <c r="B3061" s="1" t="s">
        <v>11694</v>
      </c>
      <c r="C3061" s="1" t="s">
        <v>8</v>
      </c>
      <c r="D3061" s="1">
        <v>2682885</v>
      </c>
      <c r="E3061" s="1">
        <v>2683196</v>
      </c>
      <c r="F3061" s="1" t="s">
        <v>13</v>
      </c>
      <c r="G3061" s="1" t="s">
        <v>11409</v>
      </c>
    </row>
    <row r="3062" spans="1:7" ht="21" x14ac:dyDescent="0.25">
      <c r="A3062" s="2" t="str">
        <f>HYPERLINK("https://rth.dk/resources/bsgatlas/details.php?id=BSGatlas-gene-3061","BSGatlas-gene-3061")</f>
        <v>BSGatlas-gene-3061</v>
      </c>
      <c r="B3062" s="1" t="s">
        <v>2761</v>
      </c>
      <c r="C3062" s="1" t="s">
        <v>8</v>
      </c>
      <c r="D3062" s="1">
        <v>2683207</v>
      </c>
      <c r="E3062" s="1">
        <v>2684142</v>
      </c>
      <c r="F3062" s="1" t="s">
        <v>13</v>
      </c>
      <c r="G3062" s="1" t="s">
        <v>11409</v>
      </c>
    </row>
    <row r="3063" spans="1:7" ht="21" x14ac:dyDescent="0.25">
      <c r="A3063" s="2" t="str">
        <f>HYPERLINK("https://rth.dk/resources/bsgatlas/details.php?id=BSGatlas-gene-3062","BSGatlas-gene-3062")</f>
        <v>BSGatlas-gene-3062</v>
      </c>
      <c r="B3063" s="1" t="s">
        <v>2762</v>
      </c>
      <c r="C3063" s="1" t="s">
        <v>8</v>
      </c>
      <c r="D3063" s="1">
        <v>2684161</v>
      </c>
      <c r="E3063" s="1">
        <v>2685129</v>
      </c>
      <c r="F3063" s="1" t="s">
        <v>13</v>
      </c>
      <c r="G3063" s="1" t="s">
        <v>11409</v>
      </c>
    </row>
    <row r="3064" spans="1:7" ht="21" x14ac:dyDescent="0.25">
      <c r="A3064" s="2" t="str">
        <f>HYPERLINK("https://rth.dk/resources/bsgatlas/details.php?id=BSGatlas-gene-3063","BSGatlas-gene-3063")</f>
        <v>BSGatlas-gene-3063</v>
      </c>
      <c r="B3064" s="1" t="s">
        <v>2763</v>
      </c>
      <c r="C3064" s="1" t="s">
        <v>8</v>
      </c>
      <c r="D3064" s="1">
        <v>2685162</v>
      </c>
      <c r="E3064" s="1">
        <v>2685815</v>
      </c>
      <c r="F3064" s="1" t="s">
        <v>13</v>
      </c>
      <c r="G3064" s="1" t="s">
        <v>11409</v>
      </c>
    </row>
    <row r="3065" spans="1:7" ht="21" x14ac:dyDescent="0.25">
      <c r="A3065" s="2" t="str">
        <f>HYPERLINK("https://rth.dk/resources/bsgatlas/details.php?id=BSGatlas-gene-3064","BSGatlas-gene-3064")</f>
        <v>BSGatlas-gene-3064</v>
      </c>
      <c r="B3065" s="1" t="s">
        <v>11695</v>
      </c>
      <c r="C3065" s="1" t="s">
        <v>8</v>
      </c>
      <c r="D3065" s="1">
        <v>2685856</v>
      </c>
      <c r="E3065" s="1">
        <v>2686773</v>
      </c>
      <c r="F3065" s="1" t="s">
        <v>13</v>
      </c>
      <c r="G3065" s="1" t="s">
        <v>11409</v>
      </c>
    </row>
    <row r="3066" spans="1:7" ht="21" x14ac:dyDescent="0.25">
      <c r="A3066" s="2" t="str">
        <f>HYPERLINK("https://rth.dk/resources/bsgatlas/details.php?id=BSGatlas-gene-3065","BSGatlas-gene-3065")</f>
        <v>BSGatlas-gene-3065</v>
      </c>
      <c r="B3066" s="1" t="s">
        <v>2764</v>
      </c>
      <c r="C3066" s="1" t="s">
        <v>8</v>
      </c>
      <c r="D3066" s="1">
        <v>2686770</v>
      </c>
      <c r="E3066" s="1">
        <v>2688302</v>
      </c>
      <c r="F3066" s="1" t="s">
        <v>13</v>
      </c>
      <c r="G3066" s="1" t="s">
        <v>11409</v>
      </c>
    </row>
    <row r="3067" spans="1:7" ht="21" x14ac:dyDescent="0.25">
      <c r="A3067" s="2" t="str">
        <f>HYPERLINK("https://rth.dk/resources/bsgatlas/details.php?id=BSGatlas-gene-3066","BSGatlas-gene-3066")</f>
        <v>BSGatlas-gene-3066</v>
      </c>
      <c r="B3067" s="1" t="s">
        <v>11696</v>
      </c>
      <c r="C3067" s="1" t="s">
        <v>8</v>
      </c>
      <c r="D3067" s="1">
        <v>2688306</v>
      </c>
      <c r="E3067" s="1">
        <v>2689601</v>
      </c>
      <c r="F3067" s="1" t="s">
        <v>13</v>
      </c>
      <c r="G3067" s="1" t="s">
        <v>11409</v>
      </c>
    </row>
    <row r="3068" spans="1:7" ht="21" x14ac:dyDescent="0.25">
      <c r="A3068" s="2" t="str">
        <f>HYPERLINK("https://rth.dk/resources/bsgatlas/details.php?id=BSGatlas-gene-3067","BSGatlas-gene-3067")</f>
        <v>BSGatlas-gene-3067</v>
      </c>
      <c r="B3068" s="1" t="s">
        <v>2765</v>
      </c>
      <c r="C3068" s="1" t="s">
        <v>8</v>
      </c>
      <c r="D3068" s="1">
        <v>2689594</v>
      </c>
      <c r="E3068" s="1">
        <v>2690313</v>
      </c>
      <c r="F3068" s="1" t="s">
        <v>13</v>
      </c>
      <c r="G3068" s="1" t="s">
        <v>11409</v>
      </c>
    </row>
    <row r="3069" spans="1:7" ht="21" x14ac:dyDescent="0.25">
      <c r="A3069" s="2" t="str">
        <f>HYPERLINK("https://rth.dk/resources/bsgatlas/details.php?id=BSGatlas-gene-3068","BSGatlas-gene-3068")</f>
        <v>BSGatlas-gene-3068</v>
      </c>
      <c r="B3069" s="1" t="s">
        <v>2766</v>
      </c>
      <c r="C3069" s="1" t="s">
        <v>8</v>
      </c>
      <c r="D3069" s="1">
        <v>2690381</v>
      </c>
      <c r="E3069" s="1">
        <v>2690845</v>
      </c>
      <c r="F3069" s="1" t="s">
        <v>13</v>
      </c>
      <c r="G3069" s="1" t="s">
        <v>11409</v>
      </c>
    </row>
    <row r="3070" spans="1:7" ht="21" x14ac:dyDescent="0.25">
      <c r="A3070" s="2" t="str">
        <f>HYPERLINK("https://rth.dk/resources/bsgatlas/details.php?id=BSGatlas-gene-3069","BSGatlas-gene-3069")</f>
        <v>BSGatlas-gene-3069</v>
      </c>
      <c r="B3070" s="1" t="s">
        <v>11697</v>
      </c>
      <c r="C3070" s="1" t="s">
        <v>8</v>
      </c>
      <c r="D3070" s="1">
        <v>2690989</v>
      </c>
      <c r="E3070" s="1">
        <v>2691444</v>
      </c>
      <c r="F3070" s="1" t="s">
        <v>13</v>
      </c>
      <c r="G3070" s="1" t="s">
        <v>11409</v>
      </c>
    </row>
    <row r="3071" spans="1:7" ht="21" x14ac:dyDescent="0.25">
      <c r="A3071" s="2" t="str">
        <f>HYPERLINK("https://rth.dk/resources/bsgatlas/details.php?id=BSGatlas-gene-3070","BSGatlas-gene-3070")</f>
        <v>BSGatlas-gene-3070</v>
      </c>
      <c r="B3071" s="1" t="s">
        <v>522</v>
      </c>
      <c r="C3071" s="1" t="s">
        <v>34</v>
      </c>
      <c r="D3071" s="1">
        <v>2691468</v>
      </c>
      <c r="E3071" s="1">
        <v>2691617</v>
      </c>
      <c r="F3071" s="1" t="s">
        <v>13</v>
      </c>
      <c r="G3071" s="1" t="s">
        <v>11414</v>
      </c>
    </row>
    <row r="3072" spans="1:7" ht="21" x14ac:dyDescent="0.25">
      <c r="A3072" s="2" t="str">
        <f>HYPERLINK("https://rth.dk/resources/bsgatlas/details.php?id=BSGatlas-gene-3071","BSGatlas-gene-3071")</f>
        <v>BSGatlas-gene-3071</v>
      </c>
      <c r="B3072" s="1" t="s">
        <v>2767</v>
      </c>
      <c r="C3072" s="1" t="s">
        <v>8</v>
      </c>
      <c r="D3072" s="1">
        <v>2691642</v>
      </c>
      <c r="E3072" s="1">
        <v>2692571</v>
      </c>
      <c r="F3072" s="1" t="s">
        <v>9</v>
      </c>
      <c r="G3072" s="1" t="s">
        <v>11409</v>
      </c>
    </row>
    <row r="3073" spans="1:7" ht="21" x14ac:dyDescent="0.25">
      <c r="A3073" s="2" t="str">
        <f>HYPERLINK("https://rth.dk/resources/bsgatlas/details.php?id=BSGatlas-gene-3072","BSGatlas-gene-3072")</f>
        <v>BSGatlas-gene-3072</v>
      </c>
      <c r="B3073" s="1" t="s">
        <v>11698</v>
      </c>
      <c r="C3073" s="1" t="s">
        <v>8</v>
      </c>
      <c r="D3073" s="1">
        <v>2692645</v>
      </c>
      <c r="E3073" s="1">
        <v>2692851</v>
      </c>
      <c r="F3073" s="1" t="s">
        <v>13</v>
      </c>
      <c r="G3073" s="1" t="s">
        <v>11409</v>
      </c>
    </row>
    <row r="3074" spans="1:7" ht="21" x14ac:dyDescent="0.25">
      <c r="A3074" s="2" t="str">
        <f>HYPERLINK("https://rth.dk/resources/bsgatlas/details.php?id=BSGatlas-gene-3073","BSGatlas-gene-3073")</f>
        <v>BSGatlas-gene-3073</v>
      </c>
      <c r="B3074" s="1" t="s">
        <v>11699</v>
      </c>
      <c r="C3074" s="1" t="s">
        <v>12</v>
      </c>
      <c r="D3074" s="1">
        <v>2692882</v>
      </c>
      <c r="E3074" s="1">
        <v>2692931</v>
      </c>
      <c r="F3074" s="1" t="s">
        <v>9</v>
      </c>
      <c r="G3074" s="1" t="s">
        <v>11442</v>
      </c>
    </row>
    <row r="3075" spans="1:7" ht="21" x14ac:dyDescent="0.25">
      <c r="A3075" s="2" t="str">
        <f>HYPERLINK("https://rth.dk/resources/bsgatlas/details.php?id=BSGatlas-gene-3074","BSGatlas-gene-3074")</f>
        <v>BSGatlas-gene-3074</v>
      </c>
      <c r="B3075" s="1" t="s">
        <v>2768</v>
      </c>
      <c r="C3075" s="1" t="s">
        <v>8</v>
      </c>
      <c r="D3075" s="1">
        <v>2692933</v>
      </c>
      <c r="E3075" s="1">
        <v>2693361</v>
      </c>
      <c r="F3075" s="1" t="s">
        <v>13</v>
      </c>
      <c r="G3075" s="1" t="s">
        <v>11409</v>
      </c>
    </row>
    <row r="3076" spans="1:7" ht="21" x14ac:dyDescent="0.25">
      <c r="A3076" s="2" t="str">
        <f>HYPERLINK("https://rth.dk/resources/bsgatlas/details.php?id=BSGatlas-gene-3075","BSGatlas-gene-3075")</f>
        <v>BSGatlas-gene-3075</v>
      </c>
      <c r="B3076" s="1" t="s">
        <v>2769</v>
      </c>
      <c r="C3076" s="1" t="s">
        <v>8</v>
      </c>
      <c r="D3076" s="1">
        <v>2693457</v>
      </c>
      <c r="E3076" s="1">
        <v>2693606</v>
      </c>
      <c r="F3076" s="1" t="s">
        <v>13</v>
      </c>
      <c r="G3076" s="1" t="s">
        <v>11409</v>
      </c>
    </row>
    <row r="3077" spans="1:7" ht="21" x14ac:dyDescent="0.25">
      <c r="A3077" s="2" t="str">
        <f>HYPERLINK("https://rth.dk/resources/bsgatlas/details.php?id=BSGatlas-gene-3076","BSGatlas-gene-3076")</f>
        <v>BSGatlas-gene-3076</v>
      </c>
      <c r="B3077" s="1" t="s">
        <v>2770</v>
      </c>
      <c r="C3077" s="1" t="s">
        <v>8</v>
      </c>
      <c r="D3077" s="1">
        <v>2693597</v>
      </c>
      <c r="E3077" s="1">
        <v>2694538</v>
      </c>
      <c r="F3077" s="1" t="s">
        <v>13</v>
      </c>
      <c r="G3077" s="1" t="s">
        <v>11409</v>
      </c>
    </row>
    <row r="3078" spans="1:7" ht="21" x14ac:dyDescent="0.25">
      <c r="A3078" s="2" t="str">
        <f>HYPERLINK("https://rth.dk/resources/bsgatlas/details.php?id=BSGatlas-gene-3077","BSGatlas-gene-3077")</f>
        <v>BSGatlas-gene-3077</v>
      </c>
      <c r="B3078" s="1" t="s">
        <v>2771</v>
      </c>
      <c r="C3078" s="1" t="s">
        <v>8</v>
      </c>
      <c r="D3078" s="1">
        <v>2694420</v>
      </c>
      <c r="E3078" s="1">
        <v>2695097</v>
      </c>
      <c r="F3078" s="1" t="s">
        <v>13</v>
      </c>
      <c r="G3078" s="1" t="s">
        <v>11409</v>
      </c>
    </row>
    <row r="3079" spans="1:7" ht="21" x14ac:dyDescent="0.25">
      <c r="A3079" s="2" t="str">
        <f>HYPERLINK("https://rth.dk/resources/bsgatlas/details.php?id=BSGatlas-gene-3078","BSGatlas-gene-3078")</f>
        <v>BSGatlas-gene-3078</v>
      </c>
      <c r="B3079" s="1" t="s">
        <v>2772</v>
      </c>
      <c r="C3079" s="1" t="s">
        <v>8</v>
      </c>
      <c r="D3079" s="1">
        <v>2695173</v>
      </c>
      <c r="E3079" s="1">
        <v>2696027</v>
      </c>
      <c r="F3079" s="1" t="s">
        <v>13</v>
      </c>
      <c r="G3079" s="1" t="s">
        <v>11409</v>
      </c>
    </row>
    <row r="3080" spans="1:7" ht="21" x14ac:dyDescent="0.25">
      <c r="A3080" s="2" t="str">
        <f>HYPERLINK("https://rth.dk/resources/bsgatlas/details.php?id=BSGatlas-gene-3079","BSGatlas-gene-3079")</f>
        <v>BSGatlas-gene-3079</v>
      </c>
      <c r="B3080" s="1" t="s">
        <v>2773</v>
      </c>
      <c r="C3080" s="1" t="s">
        <v>8</v>
      </c>
      <c r="D3080" s="1">
        <v>2696030</v>
      </c>
      <c r="E3080" s="1">
        <v>2696989</v>
      </c>
      <c r="F3080" s="1" t="s">
        <v>13</v>
      </c>
      <c r="G3080" s="1" t="s">
        <v>11409</v>
      </c>
    </row>
    <row r="3081" spans="1:7" ht="21" x14ac:dyDescent="0.25">
      <c r="A3081" s="2" t="str">
        <f>HYPERLINK("https://rth.dk/resources/bsgatlas/details.php?id=BSGatlas-gene-3080","BSGatlas-gene-3080")</f>
        <v>BSGatlas-gene-3080</v>
      </c>
      <c r="B3081" s="1" t="s">
        <v>2774</v>
      </c>
      <c r="C3081" s="1" t="s">
        <v>8</v>
      </c>
      <c r="D3081" s="1">
        <v>2697095</v>
      </c>
      <c r="E3081" s="1">
        <v>2697289</v>
      </c>
      <c r="F3081" s="1" t="s">
        <v>13</v>
      </c>
      <c r="G3081" s="1" t="s">
        <v>11409</v>
      </c>
    </row>
    <row r="3082" spans="1:7" ht="21" x14ac:dyDescent="0.25">
      <c r="A3082" s="2" t="str">
        <f>HYPERLINK("https://rth.dk/resources/bsgatlas/details.php?id=BSGatlas-gene-3081","BSGatlas-gene-3081")</f>
        <v>BSGatlas-gene-3081</v>
      </c>
      <c r="B3082" s="1" t="s">
        <v>318</v>
      </c>
      <c r="C3082" s="1" t="s">
        <v>8</v>
      </c>
      <c r="D3082" s="1">
        <v>2697249</v>
      </c>
      <c r="E3082" s="1">
        <v>2697422</v>
      </c>
      <c r="F3082" s="1" t="s">
        <v>13</v>
      </c>
      <c r="G3082" s="1" t="s">
        <v>11441</v>
      </c>
    </row>
    <row r="3083" spans="1:7" ht="21" x14ac:dyDescent="0.25">
      <c r="A3083" s="2" t="str">
        <f>HYPERLINK("https://rth.dk/resources/bsgatlas/details.php?id=BSGatlas-gene-3082","BSGatlas-gene-3082")</f>
        <v>BSGatlas-gene-3082</v>
      </c>
      <c r="B3083" s="1" t="s">
        <v>2775</v>
      </c>
      <c r="C3083" s="1" t="s">
        <v>8</v>
      </c>
      <c r="D3083" s="1">
        <v>2697419</v>
      </c>
      <c r="E3083" s="1">
        <v>2697676</v>
      </c>
      <c r="F3083" s="1" t="s">
        <v>13</v>
      </c>
      <c r="G3083" s="1" t="s">
        <v>11409</v>
      </c>
    </row>
    <row r="3084" spans="1:7" ht="21" x14ac:dyDescent="0.25">
      <c r="A3084" s="2" t="str">
        <f>HYPERLINK("https://rth.dk/resources/bsgatlas/details.php?id=BSGatlas-gene-3083","BSGatlas-gene-3083")</f>
        <v>BSGatlas-gene-3083</v>
      </c>
      <c r="B3084" s="1" t="s">
        <v>2776</v>
      </c>
      <c r="C3084" s="1" t="s">
        <v>8</v>
      </c>
      <c r="D3084" s="1">
        <v>2697673</v>
      </c>
      <c r="E3084" s="1">
        <v>2698242</v>
      </c>
      <c r="F3084" s="1" t="s">
        <v>13</v>
      </c>
      <c r="G3084" s="1" t="s">
        <v>11409</v>
      </c>
    </row>
    <row r="3085" spans="1:7" ht="21" x14ac:dyDescent="0.25">
      <c r="A3085" s="2" t="str">
        <f>HYPERLINK("https://rth.dk/resources/bsgatlas/details.php?id=BSGatlas-gene-3084","BSGatlas-gene-3084")</f>
        <v>BSGatlas-gene-3084</v>
      </c>
      <c r="B3085" s="1" t="s">
        <v>2777</v>
      </c>
      <c r="C3085" s="1" t="s">
        <v>8</v>
      </c>
      <c r="D3085" s="1">
        <v>2698316</v>
      </c>
      <c r="E3085" s="1">
        <v>2698456</v>
      </c>
      <c r="F3085" s="1" t="s">
        <v>13</v>
      </c>
      <c r="G3085" s="1" t="s">
        <v>11409</v>
      </c>
    </row>
    <row r="3086" spans="1:7" ht="21" x14ac:dyDescent="0.25">
      <c r="A3086" s="2" t="str">
        <f>HYPERLINK("https://rth.dk/resources/bsgatlas/details.php?id=BSGatlas-gene-3085","BSGatlas-gene-3085")</f>
        <v>BSGatlas-gene-3085</v>
      </c>
      <c r="B3086" s="1" t="s">
        <v>2778</v>
      </c>
      <c r="C3086" s="1" t="s">
        <v>8</v>
      </c>
      <c r="D3086" s="1">
        <v>2698486</v>
      </c>
      <c r="E3086" s="1">
        <v>2698716</v>
      </c>
      <c r="F3086" s="1" t="s">
        <v>13</v>
      </c>
      <c r="G3086" s="1" t="s">
        <v>11409</v>
      </c>
    </row>
    <row r="3087" spans="1:7" ht="21" x14ac:dyDescent="0.25">
      <c r="A3087" s="2" t="str">
        <f>HYPERLINK("https://rth.dk/resources/bsgatlas/details.php?id=BSGatlas-gene-3086","BSGatlas-gene-3086")</f>
        <v>BSGatlas-gene-3086</v>
      </c>
      <c r="B3087" s="1" t="s">
        <v>2779</v>
      </c>
      <c r="C3087" s="1" t="s">
        <v>8</v>
      </c>
      <c r="D3087" s="1">
        <v>2698893</v>
      </c>
      <c r="E3087" s="1">
        <v>2699243</v>
      </c>
      <c r="F3087" s="1" t="s">
        <v>9</v>
      </c>
      <c r="G3087" s="1" t="s">
        <v>11409</v>
      </c>
    </row>
    <row r="3088" spans="1:7" ht="21" x14ac:dyDescent="0.25">
      <c r="A3088" s="2" t="str">
        <f>HYPERLINK("https://rth.dk/resources/bsgatlas/details.php?id=BSGatlas-gene-3087","BSGatlas-gene-3087")</f>
        <v>BSGatlas-gene-3087</v>
      </c>
      <c r="B3088" s="1" t="s">
        <v>11700</v>
      </c>
      <c r="C3088" s="1" t="s">
        <v>8</v>
      </c>
      <c r="D3088" s="1">
        <v>2699510</v>
      </c>
      <c r="E3088" s="1">
        <v>2699677</v>
      </c>
      <c r="F3088" s="1" t="s">
        <v>13</v>
      </c>
      <c r="G3088" s="1" t="s">
        <v>11409</v>
      </c>
    </row>
    <row r="3089" spans="1:7" ht="21" x14ac:dyDescent="0.25">
      <c r="A3089" s="2" t="str">
        <f>HYPERLINK("https://rth.dk/resources/bsgatlas/details.php?id=BSGatlas-gene-3088","BSGatlas-gene-3088")</f>
        <v>BSGatlas-gene-3088</v>
      </c>
      <c r="B3089" s="1" t="s">
        <v>2780</v>
      </c>
      <c r="C3089" s="1" t="s">
        <v>8</v>
      </c>
      <c r="D3089" s="1">
        <v>2700033</v>
      </c>
      <c r="E3089" s="1">
        <v>2700569</v>
      </c>
      <c r="F3089" s="1" t="s">
        <v>13</v>
      </c>
      <c r="G3089" s="1" t="s">
        <v>11409</v>
      </c>
    </row>
    <row r="3090" spans="1:7" ht="21" x14ac:dyDescent="0.25">
      <c r="A3090" s="2" t="str">
        <f>HYPERLINK("https://rth.dk/resources/bsgatlas/details.php?id=BSGatlas-gene-3089","BSGatlas-gene-3089")</f>
        <v>BSGatlas-gene-3089</v>
      </c>
      <c r="B3090" s="1" t="s">
        <v>2781</v>
      </c>
      <c r="C3090" s="1" t="s">
        <v>8</v>
      </c>
      <c r="D3090" s="1">
        <v>2700838</v>
      </c>
      <c r="E3090" s="1">
        <v>2701356</v>
      </c>
      <c r="F3090" s="1" t="s">
        <v>9</v>
      </c>
      <c r="G3090" s="1" t="s">
        <v>11409</v>
      </c>
    </row>
    <row r="3091" spans="1:7" ht="21" x14ac:dyDescent="0.25">
      <c r="A3091" s="2" t="str">
        <f>HYPERLINK("https://rth.dk/resources/bsgatlas/details.php?id=BSGatlas-gene-3090","BSGatlas-gene-3090")</f>
        <v>BSGatlas-gene-3090</v>
      </c>
      <c r="B3091" s="1" t="s">
        <v>2782</v>
      </c>
      <c r="C3091" s="1" t="s">
        <v>8</v>
      </c>
      <c r="D3091" s="1">
        <v>2701338</v>
      </c>
      <c r="E3091" s="1">
        <v>2701754</v>
      </c>
      <c r="F3091" s="1" t="s">
        <v>9</v>
      </c>
      <c r="G3091" s="1" t="s">
        <v>11409</v>
      </c>
    </row>
    <row r="3092" spans="1:7" ht="21" x14ac:dyDescent="0.25">
      <c r="A3092" s="2" t="str">
        <f>HYPERLINK("https://rth.dk/resources/bsgatlas/details.php?id=BSGatlas-gene-3091","BSGatlas-gene-3091")</f>
        <v>BSGatlas-gene-3091</v>
      </c>
      <c r="B3092" s="1" t="s">
        <v>318</v>
      </c>
      <c r="C3092" s="1" t="s">
        <v>8</v>
      </c>
      <c r="D3092" s="1">
        <v>2701754</v>
      </c>
      <c r="E3092" s="1">
        <v>2701870</v>
      </c>
      <c r="F3092" s="1" t="s">
        <v>9</v>
      </c>
      <c r="G3092" s="1" t="s">
        <v>11441</v>
      </c>
    </row>
    <row r="3093" spans="1:7" ht="21" x14ac:dyDescent="0.25">
      <c r="A3093" s="2" t="str">
        <f>HYPERLINK("https://rth.dk/resources/bsgatlas/details.php?id=BSGatlas-gene-3092","BSGatlas-gene-3092")</f>
        <v>BSGatlas-gene-3092</v>
      </c>
      <c r="B3093" s="1" t="s">
        <v>2783</v>
      </c>
      <c r="C3093" s="1" t="s">
        <v>8</v>
      </c>
      <c r="D3093" s="1">
        <v>2701979</v>
      </c>
      <c r="E3093" s="1">
        <v>2702143</v>
      </c>
      <c r="F3093" s="1" t="s">
        <v>13</v>
      </c>
      <c r="G3093" s="1" t="s">
        <v>11409</v>
      </c>
    </row>
    <row r="3094" spans="1:7" ht="21" x14ac:dyDescent="0.25">
      <c r="A3094" s="2" t="str">
        <f>HYPERLINK("https://rth.dk/resources/bsgatlas/details.php?id=BSGatlas-gene-3093","BSGatlas-gene-3093")</f>
        <v>BSGatlas-gene-3093</v>
      </c>
      <c r="B3094" s="1" t="s">
        <v>2784</v>
      </c>
      <c r="C3094" s="1" t="s">
        <v>8</v>
      </c>
      <c r="D3094" s="1">
        <v>2702688</v>
      </c>
      <c r="E3094" s="1">
        <v>2703104</v>
      </c>
      <c r="F3094" s="1" t="s">
        <v>13</v>
      </c>
      <c r="G3094" s="1" t="s">
        <v>11409</v>
      </c>
    </row>
    <row r="3095" spans="1:7" ht="21" x14ac:dyDescent="0.25">
      <c r="A3095" s="2" t="str">
        <f>HYPERLINK("https://rth.dk/resources/bsgatlas/details.php?id=BSGatlas-gene-3094","BSGatlas-gene-3094")</f>
        <v>BSGatlas-gene-3094</v>
      </c>
      <c r="B3095" s="1" t="s">
        <v>2785</v>
      </c>
      <c r="C3095" s="1" t="s">
        <v>8</v>
      </c>
      <c r="D3095" s="1">
        <v>2703150</v>
      </c>
      <c r="E3095" s="1">
        <v>2704448</v>
      </c>
      <c r="F3095" s="1" t="s">
        <v>13</v>
      </c>
      <c r="G3095" s="1" t="s">
        <v>11409</v>
      </c>
    </row>
    <row r="3096" spans="1:7" ht="21" x14ac:dyDescent="0.25">
      <c r="A3096" s="2" t="str">
        <f>HYPERLINK("https://rth.dk/resources/bsgatlas/details.php?id=BSGatlas-gene-3095","BSGatlas-gene-3095")</f>
        <v>BSGatlas-gene-3095</v>
      </c>
      <c r="B3096" s="1" t="s">
        <v>2786</v>
      </c>
      <c r="C3096" s="1" t="s">
        <v>8</v>
      </c>
      <c r="D3096" s="1">
        <v>2704435</v>
      </c>
      <c r="E3096" s="1">
        <v>2705130</v>
      </c>
      <c r="F3096" s="1" t="s">
        <v>13</v>
      </c>
      <c r="G3096" s="1" t="s">
        <v>11409</v>
      </c>
    </row>
    <row r="3097" spans="1:7" ht="21" x14ac:dyDescent="0.25">
      <c r="A3097" s="2" t="str">
        <f>HYPERLINK("https://rth.dk/resources/bsgatlas/details.php?id=BSGatlas-gene-3096","BSGatlas-gene-3096")</f>
        <v>BSGatlas-gene-3096</v>
      </c>
      <c r="B3097" s="1" t="s">
        <v>2787</v>
      </c>
      <c r="C3097" s="1" t="s">
        <v>8</v>
      </c>
      <c r="D3097" s="1">
        <v>2705398</v>
      </c>
      <c r="E3097" s="1">
        <v>2706615</v>
      </c>
      <c r="F3097" s="1" t="s">
        <v>9</v>
      </c>
      <c r="G3097" s="1" t="s">
        <v>11409</v>
      </c>
    </row>
    <row r="3098" spans="1:7" ht="21" x14ac:dyDescent="0.25">
      <c r="A3098" s="2" t="str">
        <f>HYPERLINK("https://rth.dk/resources/bsgatlas/details.php?id=BSGatlas-gene-3097","BSGatlas-gene-3097")</f>
        <v>BSGatlas-gene-3097</v>
      </c>
      <c r="B3098" s="1" t="s">
        <v>318</v>
      </c>
      <c r="C3098" s="1" t="s">
        <v>8</v>
      </c>
      <c r="D3098" s="1">
        <v>2706534</v>
      </c>
      <c r="E3098" s="1">
        <v>2706782</v>
      </c>
      <c r="F3098" s="1" t="s">
        <v>9</v>
      </c>
      <c r="G3098" s="1" t="s">
        <v>11441</v>
      </c>
    </row>
    <row r="3099" spans="1:7" ht="21" x14ac:dyDescent="0.25">
      <c r="A3099" s="2" t="str">
        <f>HYPERLINK("https://rth.dk/resources/bsgatlas/details.php?id=BSGatlas-gene-3098","BSGatlas-gene-3098")</f>
        <v>BSGatlas-gene-3098</v>
      </c>
      <c r="B3099" s="1" t="s">
        <v>2788</v>
      </c>
      <c r="C3099" s="1" t="s">
        <v>8</v>
      </c>
      <c r="D3099" s="1">
        <v>2707127</v>
      </c>
      <c r="E3099" s="1">
        <v>2707684</v>
      </c>
      <c r="F3099" s="1" t="s">
        <v>9</v>
      </c>
      <c r="G3099" s="1" t="s">
        <v>11409</v>
      </c>
    </row>
    <row r="3100" spans="1:7" ht="21" x14ac:dyDescent="0.25">
      <c r="A3100" s="2" t="str">
        <f>HYPERLINK("https://rth.dk/resources/bsgatlas/details.php?id=BSGatlas-gene-3099","BSGatlas-gene-3099")</f>
        <v>BSGatlas-gene-3099</v>
      </c>
      <c r="B3100" s="1" t="s">
        <v>2789</v>
      </c>
      <c r="C3100" s="1" t="s">
        <v>12</v>
      </c>
      <c r="D3100" s="1">
        <v>2707768</v>
      </c>
      <c r="E3100" s="1">
        <v>2708052</v>
      </c>
      <c r="F3100" s="1" t="s">
        <v>13</v>
      </c>
      <c r="G3100" s="1" t="s">
        <v>11442</v>
      </c>
    </row>
    <row r="3101" spans="1:7" ht="21" x14ac:dyDescent="0.25">
      <c r="A3101" s="2" t="str">
        <f>HYPERLINK("https://rth.dk/resources/bsgatlas/details.php?id=BSGatlas-gene-3100","BSGatlas-gene-3100")</f>
        <v>BSGatlas-gene-3100</v>
      </c>
      <c r="B3101" s="1" t="s">
        <v>2790</v>
      </c>
      <c r="C3101" s="1" t="s">
        <v>8</v>
      </c>
      <c r="D3101" s="1">
        <v>2708175</v>
      </c>
      <c r="E3101" s="1">
        <v>2708699</v>
      </c>
      <c r="F3101" s="1" t="s">
        <v>13</v>
      </c>
      <c r="G3101" s="1" t="s">
        <v>11409</v>
      </c>
    </row>
    <row r="3102" spans="1:7" ht="21" x14ac:dyDescent="0.25">
      <c r="A3102" s="2" t="str">
        <f>HYPERLINK("https://rth.dk/resources/bsgatlas/details.php?id=BSGatlas-gene-3101","BSGatlas-gene-3101")</f>
        <v>BSGatlas-gene-3101</v>
      </c>
      <c r="B3102" s="1" t="s">
        <v>2791</v>
      </c>
      <c r="C3102" s="1" t="s">
        <v>8</v>
      </c>
      <c r="D3102" s="1">
        <v>2708943</v>
      </c>
      <c r="E3102" s="1">
        <v>2709419</v>
      </c>
      <c r="F3102" s="1" t="s">
        <v>13</v>
      </c>
      <c r="G3102" s="1" t="s">
        <v>11409</v>
      </c>
    </row>
    <row r="3103" spans="1:7" ht="21" x14ac:dyDescent="0.25">
      <c r="A3103" s="2" t="str">
        <f>HYPERLINK("https://rth.dk/resources/bsgatlas/details.php?id=BSGatlas-gene-3102","BSGatlas-gene-3102")</f>
        <v>BSGatlas-gene-3102</v>
      </c>
      <c r="B3103" s="1" t="s">
        <v>2792</v>
      </c>
      <c r="C3103" s="1" t="s">
        <v>8</v>
      </c>
      <c r="D3103" s="1">
        <v>2710002</v>
      </c>
      <c r="E3103" s="1">
        <v>2710787</v>
      </c>
      <c r="F3103" s="1" t="s">
        <v>13</v>
      </c>
      <c r="G3103" s="1" t="s">
        <v>11409</v>
      </c>
    </row>
    <row r="3104" spans="1:7" ht="21" x14ac:dyDescent="0.25">
      <c r="A3104" s="2" t="str">
        <f>HYPERLINK("https://rth.dk/resources/bsgatlas/details.php?id=BSGatlas-gene-3103","BSGatlas-gene-3103")</f>
        <v>BSGatlas-gene-3103</v>
      </c>
      <c r="B3104" s="1" t="s">
        <v>2793</v>
      </c>
      <c r="C3104" s="1" t="s">
        <v>8</v>
      </c>
      <c r="D3104" s="1">
        <v>2710848</v>
      </c>
      <c r="E3104" s="1">
        <v>2711075</v>
      </c>
      <c r="F3104" s="1" t="s">
        <v>13</v>
      </c>
      <c r="G3104" s="1" t="s">
        <v>11409</v>
      </c>
    </row>
    <row r="3105" spans="1:7" ht="21" x14ac:dyDescent="0.25">
      <c r="A3105" s="2" t="str">
        <f>HYPERLINK("https://rth.dk/resources/bsgatlas/details.php?id=BSGatlas-gene-3104","BSGatlas-gene-3104")</f>
        <v>BSGatlas-gene-3104</v>
      </c>
      <c r="B3105" s="1" t="s">
        <v>2794</v>
      </c>
      <c r="C3105" s="1" t="s">
        <v>8</v>
      </c>
      <c r="D3105" s="1">
        <v>2711109</v>
      </c>
      <c r="E3105" s="1">
        <v>2712242</v>
      </c>
      <c r="F3105" s="1" t="s">
        <v>13</v>
      </c>
      <c r="G3105" s="1" t="s">
        <v>11409</v>
      </c>
    </row>
    <row r="3106" spans="1:7" ht="21" x14ac:dyDescent="0.25">
      <c r="A3106" s="2" t="str">
        <f>HYPERLINK("https://rth.dk/resources/bsgatlas/details.php?id=BSGatlas-gene-3105","BSGatlas-gene-3105")</f>
        <v>BSGatlas-gene-3105</v>
      </c>
      <c r="B3106" s="1" t="s">
        <v>2795</v>
      </c>
      <c r="C3106" s="1" t="s">
        <v>8</v>
      </c>
      <c r="D3106" s="1">
        <v>2712577</v>
      </c>
      <c r="E3106" s="1">
        <v>2713134</v>
      </c>
      <c r="F3106" s="1" t="s">
        <v>13</v>
      </c>
      <c r="G3106" s="1" t="s">
        <v>11409</v>
      </c>
    </row>
    <row r="3107" spans="1:7" ht="21" x14ac:dyDescent="0.25">
      <c r="A3107" s="2" t="str">
        <f>HYPERLINK("https://rth.dk/resources/bsgatlas/details.php?id=BSGatlas-gene-3106","BSGatlas-gene-3106")</f>
        <v>BSGatlas-gene-3106</v>
      </c>
      <c r="B3107" s="1" t="s">
        <v>2796</v>
      </c>
      <c r="C3107" s="1" t="s">
        <v>8</v>
      </c>
      <c r="D3107" s="1">
        <v>2713320</v>
      </c>
      <c r="E3107" s="1">
        <v>2713802</v>
      </c>
      <c r="F3107" s="1" t="s">
        <v>13</v>
      </c>
      <c r="G3107" s="1" t="s">
        <v>11409</v>
      </c>
    </row>
    <row r="3108" spans="1:7" ht="21" x14ac:dyDescent="0.25">
      <c r="A3108" s="2" t="str">
        <f>HYPERLINK("https://rth.dk/resources/bsgatlas/details.php?id=BSGatlas-gene-3107","BSGatlas-gene-3107")</f>
        <v>BSGatlas-gene-3107</v>
      </c>
      <c r="B3108" s="1" t="s">
        <v>2797</v>
      </c>
      <c r="C3108" s="1" t="s">
        <v>8</v>
      </c>
      <c r="D3108" s="1">
        <v>2713949</v>
      </c>
      <c r="E3108" s="1">
        <v>2714140</v>
      </c>
      <c r="F3108" s="1" t="s">
        <v>13</v>
      </c>
      <c r="G3108" s="1" t="s">
        <v>11409</v>
      </c>
    </row>
    <row r="3109" spans="1:7" ht="21" x14ac:dyDescent="0.25">
      <c r="A3109" s="2" t="str">
        <f>HYPERLINK("https://rth.dk/resources/bsgatlas/details.php?id=BSGatlas-gene-3108","BSGatlas-gene-3108")</f>
        <v>BSGatlas-gene-3108</v>
      </c>
      <c r="B3109" s="1" t="s">
        <v>2798</v>
      </c>
      <c r="C3109" s="1" t="s">
        <v>276</v>
      </c>
      <c r="D3109" s="1">
        <v>2714231</v>
      </c>
      <c r="E3109" s="1">
        <v>2714548</v>
      </c>
      <c r="F3109" s="1" t="s">
        <v>13</v>
      </c>
      <c r="G3109" s="1" t="s">
        <v>11441</v>
      </c>
    </row>
    <row r="3110" spans="1:7" ht="21" x14ac:dyDescent="0.25">
      <c r="A3110" s="2" t="str">
        <f>HYPERLINK("https://rth.dk/resources/bsgatlas/details.php?id=BSGatlas-gene-3109","BSGatlas-gene-3109")</f>
        <v>BSGatlas-gene-3109</v>
      </c>
      <c r="B3110" s="1" t="s">
        <v>2799</v>
      </c>
      <c r="C3110" s="1" t="s">
        <v>276</v>
      </c>
      <c r="D3110" s="1">
        <v>2714590</v>
      </c>
      <c r="E3110" s="1">
        <v>2714805</v>
      </c>
      <c r="F3110" s="1" t="s">
        <v>13</v>
      </c>
      <c r="G3110" s="1" t="s">
        <v>11441</v>
      </c>
    </row>
    <row r="3111" spans="1:7" ht="21" x14ac:dyDescent="0.25">
      <c r="A3111" s="2" t="str">
        <f>HYPERLINK("https://rth.dk/resources/bsgatlas/details.php?id=BSGatlas-gene-3110","BSGatlas-gene-3110")</f>
        <v>BSGatlas-gene-3110</v>
      </c>
      <c r="B3111" s="1" t="s">
        <v>2800</v>
      </c>
      <c r="C3111" s="1" t="s">
        <v>8</v>
      </c>
      <c r="D3111" s="1">
        <v>2714933</v>
      </c>
      <c r="E3111" s="1">
        <v>2715493</v>
      </c>
      <c r="F3111" s="1" t="s">
        <v>13</v>
      </c>
      <c r="G3111" s="1" t="s">
        <v>11409</v>
      </c>
    </row>
    <row r="3112" spans="1:7" ht="21" x14ac:dyDescent="0.25">
      <c r="A3112" s="2" t="str">
        <f>HYPERLINK("https://rth.dk/resources/bsgatlas/details.php?id=BSGatlas-gene-3111","BSGatlas-gene-3111")</f>
        <v>BSGatlas-gene-3111</v>
      </c>
      <c r="B3112" s="1" t="s">
        <v>318</v>
      </c>
      <c r="C3112" s="1" t="s">
        <v>8</v>
      </c>
      <c r="D3112" s="1">
        <v>2715510</v>
      </c>
      <c r="E3112" s="1">
        <v>2715686</v>
      </c>
      <c r="F3112" s="1" t="s">
        <v>13</v>
      </c>
      <c r="G3112" s="1" t="s">
        <v>11441</v>
      </c>
    </row>
    <row r="3113" spans="1:7" ht="21" x14ac:dyDescent="0.25">
      <c r="A3113" s="2" t="str">
        <f>HYPERLINK("https://rth.dk/resources/bsgatlas/details.php?id=BSGatlas-gene-3112","BSGatlas-gene-3112")</f>
        <v>BSGatlas-gene-3112</v>
      </c>
      <c r="B3113" s="1" t="s">
        <v>11701</v>
      </c>
      <c r="C3113" s="1" t="s">
        <v>8</v>
      </c>
      <c r="D3113" s="1">
        <v>2715719</v>
      </c>
      <c r="E3113" s="1">
        <v>2715865</v>
      </c>
      <c r="F3113" s="1" t="s">
        <v>13</v>
      </c>
      <c r="G3113" s="1" t="s">
        <v>11409</v>
      </c>
    </row>
    <row r="3114" spans="1:7" ht="21" x14ac:dyDescent="0.25">
      <c r="A3114" s="2" t="str">
        <f>HYPERLINK("https://rth.dk/resources/bsgatlas/details.php?id=BSGatlas-gene-3113","BSGatlas-gene-3113")</f>
        <v>BSGatlas-gene-3113</v>
      </c>
      <c r="B3114" s="1" t="s">
        <v>2801</v>
      </c>
      <c r="C3114" s="1" t="s">
        <v>8</v>
      </c>
      <c r="D3114" s="1">
        <v>2716035</v>
      </c>
      <c r="E3114" s="1">
        <v>2716856</v>
      </c>
      <c r="F3114" s="1" t="s">
        <v>13</v>
      </c>
      <c r="G3114" s="1" t="s">
        <v>11409</v>
      </c>
    </row>
    <row r="3115" spans="1:7" ht="21" x14ac:dyDescent="0.25">
      <c r="A3115" s="2" t="str">
        <f>HYPERLINK("https://rth.dk/resources/bsgatlas/details.php?id=BSGatlas-gene-3114","BSGatlas-gene-3114")</f>
        <v>BSGatlas-gene-3114</v>
      </c>
      <c r="B3115" s="1" t="s">
        <v>2802</v>
      </c>
      <c r="C3115" s="1" t="s">
        <v>8</v>
      </c>
      <c r="D3115" s="1">
        <v>2716973</v>
      </c>
      <c r="E3115" s="1">
        <v>2718175</v>
      </c>
      <c r="F3115" s="1" t="s">
        <v>9</v>
      </c>
      <c r="G3115" s="1" t="s">
        <v>11409</v>
      </c>
    </row>
    <row r="3116" spans="1:7" ht="21" x14ac:dyDescent="0.25">
      <c r="A3116" s="2" t="str">
        <f>HYPERLINK("https://rth.dk/resources/bsgatlas/details.php?id=BSGatlas-gene-3115","BSGatlas-gene-3115")</f>
        <v>BSGatlas-gene-3115</v>
      </c>
      <c r="B3116" s="1" t="s">
        <v>2803</v>
      </c>
      <c r="C3116" s="1" t="s">
        <v>8</v>
      </c>
      <c r="D3116" s="1">
        <v>2718344</v>
      </c>
      <c r="E3116" s="1">
        <v>2718802</v>
      </c>
      <c r="F3116" s="1" t="s">
        <v>9</v>
      </c>
      <c r="G3116" s="1" t="s">
        <v>11409</v>
      </c>
    </row>
    <row r="3117" spans="1:7" ht="21" x14ac:dyDescent="0.25">
      <c r="A3117" s="2" t="str">
        <f>HYPERLINK("https://rth.dk/resources/bsgatlas/details.php?id=BSGatlas-gene-3116","BSGatlas-gene-3116")</f>
        <v>BSGatlas-gene-3116</v>
      </c>
      <c r="B3117" s="1" t="s">
        <v>2804</v>
      </c>
      <c r="C3117" s="1" t="s">
        <v>8</v>
      </c>
      <c r="D3117" s="1">
        <v>2718959</v>
      </c>
      <c r="E3117" s="1">
        <v>2720263</v>
      </c>
      <c r="F3117" s="1" t="s">
        <v>13</v>
      </c>
      <c r="G3117" s="1" t="s">
        <v>11409</v>
      </c>
    </row>
    <row r="3118" spans="1:7" ht="21" x14ac:dyDescent="0.25">
      <c r="A3118" s="2" t="str">
        <f>HYPERLINK("https://rth.dk/resources/bsgatlas/details.php?id=BSGatlas-gene-3117","BSGatlas-gene-3117")</f>
        <v>BSGatlas-gene-3117</v>
      </c>
      <c r="B3118" s="1" t="s">
        <v>2805</v>
      </c>
      <c r="C3118" s="1" t="s">
        <v>8</v>
      </c>
      <c r="D3118" s="1">
        <v>2720526</v>
      </c>
      <c r="E3118" s="1">
        <v>2720669</v>
      </c>
      <c r="F3118" s="1" t="s">
        <v>13</v>
      </c>
      <c r="G3118" s="1" t="s">
        <v>11409</v>
      </c>
    </row>
    <row r="3119" spans="1:7" ht="21" x14ac:dyDescent="0.25">
      <c r="A3119" s="2" t="str">
        <f>HYPERLINK("https://rth.dk/resources/bsgatlas/details.php?id=BSGatlas-gene-3118","BSGatlas-gene-3118")</f>
        <v>BSGatlas-gene-3118</v>
      </c>
      <c r="B3119" s="1" t="s">
        <v>2806</v>
      </c>
      <c r="C3119" s="1" t="s">
        <v>8</v>
      </c>
      <c r="D3119" s="1">
        <v>2720687</v>
      </c>
      <c r="E3119" s="1">
        <v>2721652</v>
      </c>
      <c r="F3119" s="1" t="s">
        <v>13</v>
      </c>
      <c r="G3119" s="1" t="s">
        <v>11409</v>
      </c>
    </row>
    <row r="3120" spans="1:7" ht="21" x14ac:dyDescent="0.25">
      <c r="A3120" s="2" t="str">
        <f>HYPERLINK("https://rth.dk/resources/bsgatlas/details.php?id=BSGatlas-gene-3119","BSGatlas-gene-3119")</f>
        <v>BSGatlas-gene-3119</v>
      </c>
      <c r="B3120" s="1" t="s">
        <v>2807</v>
      </c>
      <c r="C3120" s="1" t="s">
        <v>8</v>
      </c>
      <c r="D3120" s="1">
        <v>2721778</v>
      </c>
      <c r="E3120" s="1">
        <v>2722644</v>
      </c>
      <c r="F3120" s="1" t="s">
        <v>9</v>
      </c>
      <c r="G3120" s="1" t="s">
        <v>11409</v>
      </c>
    </row>
    <row r="3121" spans="1:7" ht="21" x14ac:dyDescent="0.25">
      <c r="A3121" s="2" t="str">
        <f>HYPERLINK("https://rth.dk/resources/bsgatlas/details.php?id=BSGatlas-gene-3120","BSGatlas-gene-3120")</f>
        <v>BSGatlas-gene-3120</v>
      </c>
      <c r="B3121" s="1" t="s">
        <v>2808</v>
      </c>
      <c r="C3121" s="1" t="s">
        <v>8</v>
      </c>
      <c r="D3121" s="1">
        <v>2722767</v>
      </c>
      <c r="E3121" s="1">
        <v>2723804</v>
      </c>
      <c r="F3121" s="1" t="s">
        <v>13</v>
      </c>
      <c r="G3121" s="1" t="s">
        <v>11409</v>
      </c>
    </row>
    <row r="3122" spans="1:7" ht="21" x14ac:dyDescent="0.25">
      <c r="A3122" s="2" t="str">
        <f>HYPERLINK("https://rth.dk/resources/bsgatlas/details.php?id=BSGatlas-gene-3121","BSGatlas-gene-3121")</f>
        <v>BSGatlas-gene-3121</v>
      </c>
      <c r="B3122" s="1" t="s">
        <v>2809</v>
      </c>
      <c r="C3122" s="1" t="s">
        <v>8</v>
      </c>
      <c r="D3122" s="1">
        <v>2723892</v>
      </c>
      <c r="E3122" s="1">
        <v>2724827</v>
      </c>
      <c r="F3122" s="1" t="s">
        <v>13</v>
      </c>
      <c r="G3122" s="1" t="s">
        <v>11409</v>
      </c>
    </row>
    <row r="3123" spans="1:7" ht="21" x14ac:dyDescent="0.25">
      <c r="A3123" s="2" t="str">
        <f>HYPERLINK("https://rth.dk/resources/bsgatlas/details.php?id=BSGatlas-gene-3122","BSGatlas-gene-3122")</f>
        <v>BSGatlas-gene-3122</v>
      </c>
      <c r="B3123" s="1" t="s">
        <v>2810</v>
      </c>
      <c r="C3123" s="1" t="s">
        <v>8</v>
      </c>
      <c r="D3123" s="1">
        <v>2725114</v>
      </c>
      <c r="E3123" s="1">
        <v>2725503</v>
      </c>
      <c r="F3123" s="1" t="s">
        <v>13</v>
      </c>
      <c r="G3123" s="1" t="s">
        <v>11409</v>
      </c>
    </row>
    <row r="3124" spans="1:7" ht="21" x14ac:dyDescent="0.25">
      <c r="A3124" s="2" t="str">
        <f>HYPERLINK("https://rth.dk/resources/bsgatlas/details.php?id=BSGatlas-gene-3123","BSGatlas-gene-3123")</f>
        <v>BSGatlas-gene-3123</v>
      </c>
      <c r="B3124" s="1" t="s">
        <v>2811</v>
      </c>
      <c r="C3124" s="1" t="s">
        <v>8</v>
      </c>
      <c r="D3124" s="1">
        <v>2725837</v>
      </c>
      <c r="E3124" s="1">
        <v>2726727</v>
      </c>
      <c r="F3124" s="1" t="s">
        <v>9</v>
      </c>
      <c r="G3124" s="1" t="s">
        <v>11409</v>
      </c>
    </row>
    <row r="3125" spans="1:7" ht="21" x14ac:dyDescent="0.25">
      <c r="A3125" s="2" t="str">
        <f>HYPERLINK("https://rth.dk/resources/bsgatlas/details.php?id=BSGatlas-gene-3124","BSGatlas-gene-3124")</f>
        <v>BSGatlas-gene-3124</v>
      </c>
      <c r="B3125" s="1" t="s">
        <v>2812</v>
      </c>
      <c r="C3125" s="1" t="s">
        <v>8</v>
      </c>
      <c r="D3125" s="1">
        <v>2726885</v>
      </c>
      <c r="E3125" s="1">
        <v>2727202</v>
      </c>
      <c r="F3125" s="1" t="s">
        <v>13</v>
      </c>
      <c r="G3125" s="1" t="s">
        <v>11409</v>
      </c>
    </row>
    <row r="3126" spans="1:7" ht="21" x14ac:dyDescent="0.25">
      <c r="A3126" s="2" t="str">
        <f>HYPERLINK("https://rth.dk/resources/bsgatlas/details.php?id=BSGatlas-gene-3125","BSGatlas-gene-3125")</f>
        <v>BSGatlas-gene-3125</v>
      </c>
      <c r="B3126" s="1" t="s">
        <v>2813</v>
      </c>
      <c r="C3126" s="1" t="s">
        <v>8</v>
      </c>
      <c r="D3126" s="1">
        <v>2727160</v>
      </c>
      <c r="E3126" s="1">
        <v>2728482</v>
      </c>
      <c r="F3126" s="1" t="s">
        <v>13</v>
      </c>
      <c r="G3126" s="1" t="s">
        <v>11409</v>
      </c>
    </row>
    <row r="3127" spans="1:7" ht="21" x14ac:dyDescent="0.25">
      <c r="A3127" s="2" t="str">
        <f>HYPERLINK("https://rth.dk/resources/bsgatlas/details.php?id=BSGatlas-gene-3126","BSGatlas-gene-3126")</f>
        <v>BSGatlas-gene-3126</v>
      </c>
      <c r="B3127" s="1" t="s">
        <v>2814</v>
      </c>
      <c r="C3127" s="1" t="s">
        <v>8</v>
      </c>
      <c r="D3127" s="1">
        <v>2728647</v>
      </c>
      <c r="E3127" s="1">
        <v>2728979</v>
      </c>
      <c r="F3127" s="1" t="s">
        <v>13</v>
      </c>
      <c r="G3127" s="1" t="s">
        <v>11409</v>
      </c>
    </row>
    <row r="3128" spans="1:7" ht="21" x14ac:dyDescent="0.25">
      <c r="A3128" s="2" t="str">
        <f>HYPERLINK("https://rth.dk/resources/bsgatlas/details.php?id=BSGatlas-gene-3127","BSGatlas-gene-3127")</f>
        <v>BSGatlas-gene-3127</v>
      </c>
      <c r="B3128" s="1" t="s">
        <v>2815</v>
      </c>
      <c r="C3128" s="1" t="s">
        <v>8</v>
      </c>
      <c r="D3128" s="1">
        <v>2728976</v>
      </c>
      <c r="E3128" s="1">
        <v>2729740</v>
      </c>
      <c r="F3128" s="1" t="s">
        <v>13</v>
      </c>
      <c r="G3128" s="1" t="s">
        <v>11409</v>
      </c>
    </row>
    <row r="3129" spans="1:7" ht="21" x14ac:dyDescent="0.25">
      <c r="A3129" s="2" t="str">
        <f>HYPERLINK("https://rth.dk/resources/bsgatlas/details.php?id=BSGatlas-gene-3128","BSGatlas-gene-3128")</f>
        <v>BSGatlas-gene-3128</v>
      </c>
      <c r="B3129" s="1" t="s">
        <v>2816</v>
      </c>
      <c r="C3129" s="1" t="s">
        <v>8</v>
      </c>
      <c r="D3129" s="1">
        <v>2729753</v>
      </c>
      <c r="E3129" s="1">
        <v>2730226</v>
      </c>
      <c r="F3129" s="1" t="s">
        <v>13</v>
      </c>
      <c r="G3129" s="1" t="s">
        <v>11409</v>
      </c>
    </row>
    <row r="3130" spans="1:7" ht="21" x14ac:dyDescent="0.25">
      <c r="A3130" s="2" t="str">
        <f>HYPERLINK("https://rth.dk/resources/bsgatlas/details.php?id=BSGatlas-gene-3129","BSGatlas-gene-3129")</f>
        <v>BSGatlas-gene-3129</v>
      </c>
      <c r="B3130" s="1" t="s">
        <v>2817</v>
      </c>
      <c r="C3130" s="1" t="s">
        <v>8</v>
      </c>
      <c r="D3130" s="1">
        <v>2730560</v>
      </c>
      <c r="E3130" s="1">
        <v>2730835</v>
      </c>
      <c r="F3130" s="1" t="s">
        <v>13</v>
      </c>
      <c r="G3130" s="1" t="s">
        <v>11409</v>
      </c>
    </row>
    <row r="3131" spans="1:7" ht="21" x14ac:dyDescent="0.25">
      <c r="A3131" s="2" t="str">
        <f>HYPERLINK("https://rth.dk/resources/bsgatlas/details.php?id=BSGatlas-gene-3130","BSGatlas-gene-3130")</f>
        <v>BSGatlas-gene-3130</v>
      </c>
      <c r="B3131" s="1" t="s">
        <v>2818</v>
      </c>
      <c r="C3131" s="1" t="s">
        <v>8</v>
      </c>
      <c r="D3131" s="1">
        <v>2731107</v>
      </c>
      <c r="E3131" s="1">
        <v>2732339</v>
      </c>
      <c r="F3131" s="1" t="s">
        <v>13</v>
      </c>
      <c r="G3131" s="1" t="s">
        <v>11409</v>
      </c>
    </row>
    <row r="3132" spans="1:7" ht="21" x14ac:dyDescent="0.25">
      <c r="A3132" s="2" t="str">
        <f>HYPERLINK("https://rth.dk/resources/bsgatlas/details.php?id=BSGatlas-gene-3131","BSGatlas-gene-3131")</f>
        <v>BSGatlas-gene-3131</v>
      </c>
      <c r="B3132" s="1" t="s">
        <v>11702</v>
      </c>
      <c r="C3132" s="1" t="s">
        <v>276</v>
      </c>
      <c r="D3132" s="1">
        <v>2732389</v>
      </c>
      <c r="E3132" s="1">
        <v>2732547</v>
      </c>
      <c r="F3132" s="1" t="s">
        <v>13</v>
      </c>
      <c r="G3132" s="1" t="s">
        <v>11441</v>
      </c>
    </row>
    <row r="3133" spans="1:7" ht="21" x14ac:dyDescent="0.25">
      <c r="A3133" s="2" t="str">
        <f>HYPERLINK("https://rth.dk/resources/bsgatlas/details.php?id=BSGatlas-gene-3132","BSGatlas-gene-3132")</f>
        <v>BSGatlas-gene-3132</v>
      </c>
      <c r="B3133" s="1" t="s">
        <v>2819</v>
      </c>
      <c r="C3133" s="1" t="s">
        <v>276</v>
      </c>
      <c r="D3133" s="1">
        <v>2732547</v>
      </c>
      <c r="E3133" s="1">
        <v>2732747</v>
      </c>
      <c r="F3133" s="1" t="s">
        <v>13</v>
      </c>
      <c r="G3133" s="1" t="s">
        <v>11441</v>
      </c>
    </row>
    <row r="3134" spans="1:7" ht="21" x14ac:dyDescent="0.25">
      <c r="A3134" s="2" t="str">
        <f>HYPERLINK("https://rth.dk/resources/bsgatlas/details.php?id=BSGatlas-gene-3133","BSGatlas-gene-3133")</f>
        <v>BSGatlas-gene-3133</v>
      </c>
      <c r="B3134" s="1" t="s">
        <v>11703</v>
      </c>
      <c r="C3134" s="1" t="s">
        <v>276</v>
      </c>
      <c r="D3134" s="1">
        <v>2732747</v>
      </c>
      <c r="E3134" s="1">
        <v>2732881</v>
      </c>
      <c r="F3134" s="1" t="s">
        <v>13</v>
      </c>
      <c r="G3134" s="1" t="s">
        <v>11441</v>
      </c>
    </row>
    <row r="3135" spans="1:7" ht="21" x14ac:dyDescent="0.25">
      <c r="A3135" s="2" t="str">
        <f>HYPERLINK("https://rth.dk/resources/bsgatlas/details.php?id=BSGatlas-gene-3134","BSGatlas-gene-3134")</f>
        <v>BSGatlas-gene-3134</v>
      </c>
      <c r="B3135" s="1" t="s">
        <v>2820</v>
      </c>
      <c r="C3135" s="1" t="s">
        <v>8</v>
      </c>
      <c r="D3135" s="1">
        <v>2732980</v>
      </c>
      <c r="E3135" s="1">
        <v>2733543</v>
      </c>
      <c r="F3135" s="1" t="s">
        <v>13</v>
      </c>
      <c r="G3135" s="1" t="s">
        <v>11409</v>
      </c>
    </row>
    <row r="3136" spans="1:7" ht="21" x14ac:dyDescent="0.25">
      <c r="A3136" s="2" t="str">
        <f>HYPERLINK("https://rth.dk/resources/bsgatlas/details.php?id=BSGatlas-gene-3135","BSGatlas-gene-3135")</f>
        <v>BSGatlas-gene-3135</v>
      </c>
      <c r="B3136" s="1" t="s">
        <v>2821</v>
      </c>
      <c r="C3136" s="1" t="s">
        <v>8</v>
      </c>
      <c r="D3136" s="1">
        <v>2733772</v>
      </c>
      <c r="E3136" s="1">
        <v>2734143</v>
      </c>
      <c r="F3136" s="1" t="s">
        <v>13</v>
      </c>
      <c r="G3136" s="1" t="s">
        <v>11409</v>
      </c>
    </row>
    <row r="3137" spans="1:7" ht="21" x14ac:dyDescent="0.25">
      <c r="A3137" s="2" t="str">
        <f>HYPERLINK("https://rth.dk/resources/bsgatlas/details.php?id=BSGatlas-gene-3136","BSGatlas-gene-3136")</f>
        <v>BSGatlas-gene-3136</v>
      </c>
      <c r="B3137" s="1" t="s">
        <v>2822</v>
      </c>
      <c r="C3137" s="1" t="s">
        <v>12</v>
      </c>
      <c r="D3137" s="1">
        <v>2734262</v>
      </c>
      <c r="E3137" s="1">
        <v>2734358</v>
      </c>
      <c r="F3137" s="1" t="s">
        <v>13</v>
      </c>
      <c r="G3137" s="1" t="s">
        <v>11442</v>
      </c>
    </row>
    <row r="3138" spans="1:7" ht="21" x14ac:dyDescent="0.25">
      <c r="A3138" s="2" t="str">
        <f>HYPERLINK("https://rth.dk/resources/bsgatlas/details.php?id=BSGatlas-gene-3137","BSGatlas-gene-3137")</f>
        <v>BSGatlas-gene-3137</v>
      </c>
      <c r="B3138" s="1" t="s">
        <v>2823</v>
      </c>
      <c r="C3138" s="1" t="s">
        <v>8</v>
      </c>
      <c r="D3138" s="1">
        <v>2734953</v>
      </c>
      <c r="E3138" s="1">
        <v>2735456</v>
      </c>
      <c r="F3138" s="1" t="s">
        <v>13</v>
      </c>
      <c r="G3138" s="1" t="s">
        <v>11409</v>
      </c>
    </row>
    <row r="3139" spans="1:7" ht="21" x14ac:dyDescent="0.25">
      <c r="A3139" s="2" t="str">
        <f>HYPERLINK("https://rth.dk/resources/bsgatlas/details.php?id=BSGatlas-gene-3138","BSGatlas-gene-3138")</f>
        <v>BSGatlas-gene-3138</v>
      </c>
      <c r="B3139" s="1" t="s">
        <v>2824</v>
      </c>
      <c r="C3139" s="1" t="s">
        <v>8</v>
      </c>
      <c r="D3139" s="1">
        <v>2735682</v>
      </c>
      <c r="E3139" s="1">
        <v>2736536</v>
      </c>
      <c r="F3139" s="1" t="s">
        <v>13</v>
      </c>
      <c r="G3139" s="1" t="s">
        <v>11409</v>
      </c>
    </row>
    <row r="3140" spans="1:7" ht="21" x14ac:dyDescent="0.25">
      <c r="A3140" s="2" t="str">
        <f>HYPERLINK("https://rth.dk/resources/bsgatlas/details.php?id=BSGatlas-gene-3139","BSGatlas-gene-3139")</f>
        <v>BSGatlas-gene-3139</v>
      </c>
      <c r="B3140" s="1" t="s">
        <v>2825</v>
      </c>
      <c r="C3140" s="1" t="s">
        <v>8</v>
      </c>
      <c r="D3140" s="1">
        <v>2736915</v>
      </c>
      <c r="E3140" s="1">
        <v>2737958</v>
      </c>
      <c r="F3140" s="1" t="s">
        <v>9</v>
      </c>
      <c r="G3140" s="1" t="s">
        <v>11409</v>
      </c>
    </row>
    <row r="3141" spans="1:7" ht="21" x14ac:dyDescent="0.25">
      <c r="A3141" s="2" t="str">
        <f>HYPERLINK("https://rth.dk/resources/bsgatlas/details.php?id=BSGatlas-gene-3140","BSGatlas-gene-3140")</f>
        <v>BSGatlas-gene-3140</v>
      </c>
      <c r="B3141" s="1" t="s">
        <v>2826</v>
      </c>
      <c r="C3141" s="1" t="s">
        <v>8</v>
      </c>
      <c r="D3141" s="1">
        <v>2738308</v>
      </c>
      <c r="E3141" s="1">
        <v>2739105</v>
      </c>
      <c r="F3141" s="1" t="s">
        <v>9</v>
      </c>
      <c r="G3141" s="1" t="s">
        <v>11409</v>
      </c>
    </row>
    <row r="3142" spans="1:7" ht="21" x14ac:dyDescent="0.25">
      <c r="A3142" s="2" t="str">
        <f>HYPERLINK("https://rth.dk/resources/bsgatlas/details.php?id=BSGatlas-gene-3141","BSGatlas-gene-3141")</f>
        <v>BSGatlas-gene-3141</v>
      </c>
      <c r="B3142" s="1" t="s">
        <v>2827</v>
      </c>
      <c r="C3142" s="1" t="s">
        <v>8</v>
      </c>
      <c r="D3142" s="1">
        <v>2739486</v>
      </c>
      <c r="E3142" s="1">
        <v>2740193</v>
      </c>
      <c r="F3142" s="1" t="s">
        <v>9</v>
      </c>
      <c r="G3142" s="1" t="s">
        <v>11409</v>
      </c>
    </row>
    <row r="3143" spans="1:7" ht="21" x14ac:dyDescent="0.25">
      <c r="A3143" s="2" t="str">
        <f>HYPERLINK("https://rth.dk/resources/bsgatlas/details.php?id=BSGatlas-gene-3142","BSGatlas-gene-3142")</f>
        <v>BSGatlas-gene-3142</v>
      </c>
      <c r="B3143" s="1" t="s">
        <v>318</v>
      </c>
      <c r="C3143" s="1" t="s">
        <v>276</v>
      </c>
      <c r="D3143" s="1">
        <v>2740517</v>
      </c>
      <c r="E3143" s="1">
        <v>2740678</v>
      </c>
      <c r="F3143" s="1" t="s">
        <v>9</v>
      </c>
      <c r="G3143" s="1" t="s">
        <v>11441</v>
      </c>
    </row>
    <row r="3144" spans="1:7" ht="21" x14ac:dyDescent="0.25">
      <c r="A3144" s="2" t="str">
        <f>HYPERLINK("https://rth.dk/resources/bsgatlas/details.php?id=BSGatlas-gene-3143","BSGatlas-gene-3143")</f>
        <v>BSGatlas-gene-3143</v>
      </c>
      <c r="B3144" s="1" t="s">
        <v>2828</v>
      </c>
      <c r="C3144" s="1" t="s">
        <v>12</v>
      </c>
      <c r="D3144" s="1">
        <v>2740743</v>
      </c>
      <c r="E3144" s="1">
        <v>2740894</v>
      </c>
      <c r="F3144" s="1" t="s">
        <v>9</v>
      </c>
      <c r="G3144" s="1" t="s">
        <v>11406</v>
      </c>
    </row>
    <row r="3145" spans="1:7" ht="21" x14ac:dyDescent="0.25">
      <c r="A3145" s="2" t="str">
        <f>HYPERLINK("https://rth.dk/resources/bsgatlas/details.php?id=BSGatlas-gene-3144","BSGatlas-gene-3144")</f>
        <v>BSGatlas-gene-3144</v>
      </c>
      <c r="B3145" s="1" t="s">
        <v>2829</v>
      </c>
      <c r="C3145" s="1" t="s">
        <v>8</v>
      </c>
      <c r="D3145" s="1">
        <v>2740769</v>
      </c>
      <c r="E3145" s="1">
        <v>2740846</v>
      </c>
      <c r="F3145" s="1" t="s">
        <v>9</v>
      </c>
      <c r="G3145" s="1" t="s">
        <v>11441</v>
      </c>
    </row>
    <row r="3146" spans="1:7" ht="21" x14ac:dyDescent="0.25">
      <c r="A3146" s="2" t="str">
        <f>HYPERLINK("https://rth.dk/resources/bsgatlas/details.php?id=BSGatlas-gene-3145","BSGatlas-gene-3145")</f>
        <v>BSGatlas-gene-3145</v>
      </c>
      <c r="B3146" s="1" t="s">
        <v>318</v>
      </c>
      <c r="C3146" s="1" t="s">
        <v>8</v>
      </c>
      <c r="D3146" s="1">
        <v>2741133</v>
      </c>
      <c r="E3146" s="1">
        <v>2741294</v>
      </c>
      <c r="F3146" s="1" t="s">
        <v>13</v>
      </c>
      <c r="G3146" s="1" t="s">
        <v>11441</v>
      </c>
    </row>
    <row r="3147" spans="1:7" ht="21" x14ac:dyDescent="0.25">
      <c r="A3147" s="2" t="str">
        <f>HYPERLINK("https://rth.dk/resources/bsgatlas/details.php?id=BSGatlas-gene-3146","BSGatlas-gene-3146")</f>
        <v>BSGatlas-gene-3146</v>
      </c>
      <c r="B3147" s="1" t="s">
        <v>2830</v>
      </c>
      <c r="C3147" s="1" t="s">
        <v>8</v>
      </c>
      <c r="D3147" s="1">
        <v>2741357</v>
      </c>
      <c r="E3147" s="1">
        <v>2742112</v>
      </c>
      <c r="F3147" s="1" t="s">
        <v>13</v>
      </c>
      <c r="G3147" s="1" t="s">
        <v>11409</v>
      </c>
    </row>
    <row r="3148" spans="1:7" ht="21" x14ac:dyDescent="0.25">
      <c r="A3148" s="2" t="str">
        <f>HYPERLINK("https://rth.dk/resources/bsgatlas/details.php?id=BSGatlas-gene-3147","BSGatlas-gene-3147")</f>
        <v>BSGatlas-gene-3147</v>
      </c>
      <c r="B3148" s="1" t="s">
        <v>2831</v>
      </c>
      <c r="C3148" s="1" t="s">
        <v>8</v>
      </c>
      <c r="D3148" s="1">
        <v>2742244</v>
      </c>
      <c r="E3148" s="1">
        <v>2742774</v>
      </c>
      <c r="F3148" s="1" t="s">
        <v>13</v>
      </c>
      <c r="G3148" s="1" t="s">
        <v>11409</v>
      </c>
    </row>
    <row r="3149" spans="1:7" ht="21" x14ac:dyDescent="0.25">
      <c r="A3149" s="2" t="str">
        <f>HYPERLINK("https://rth.dk/resources/bsgatlas/details.php?id=BSGatlas-gene-3148","BSGatlas-gene-3148")</f>
        <v>BSGatlas-gene-3148</v>
      </c>
      <c r="B3149" s="1" t="s">
        <v>2832</v>
      </c>
      <c r="C3149" s="1" t="s">
        <v>8</v>
      </c>
      <c r="D3149" s="1">
        <v>2742909</v>
      </c>
      <c r="E3149" s="1">
        <v>2743889</v>
      </c>
      <c r="F3149" s="1" t="s">
        <v>9</v>
      </c>
      <c r="G3149" s="1" t="s">
        <v>11409</v>
      </c>
    </row>
    <row r="3150" spans="1:7" ht="21" x14ac:dyDescent="0.25">
      <c r="A3150" s="2" t="str">
        <f>HYPERLINK("https://rth.dk/resources/bsgatlas/details.php?id=BSGatlas-gene-3149","BSGatlas-gene-3149")</f>
        <v>BSGatlas-gene-3149</v>
      </c>
      <c r="B3150" s="1" t="s">
        <v>2833</v>
      </c>
      <c r="C3150" s="1" t="s">
        <v>8</v>
      </c>
      <c r="D3150" s="1">
        <v>2744163</v>
      </c>
      <c r="E3150" s="1">
        <v>2745479</v>
      </c>
      <c r="F3150" s="1" t="s">
        <v>13</v>
      </c>
      <c r="G3150" s="1" t="s">
        <v>11409</v>
      </c>
    </row>
    <row r="3151" spans="1:7" ht="21" x14ac:dyDescent="0.25">
      <c r="A3151" s="2" t="str">
        <f>HYPERLINK("https://rth.dk/resources/bsgatlas/details.php?id=BSGatlas-gene-3150","BSGatlas-gene-3150")</f>
        <v>BSGatlas-gene-3150</v>
      </c>
      <c r="B3151" s="1" t="s">
        <v>2834</v>
      </c>
      <c r="C3151" s="1" t="s">
        <v>8</v>
      </c>
      <c r="D3151" s="1">
        <v>2745594</v>
      </c>
      <c r="E3151" s="1">
        <v>2746463</v>
      </c>
      <c r="F3151" s="1" t="s">
        <v>13</v>
      </c>
      <c r="G3151" s="1" t="s">
        <v>11409</v>
      </c>
    </row>
    <row r="3152" spans="1:7" ht="21" x14ac:dyDescent="0.25">
      <c r="A3152" s="2" t="str">
        <f>HYPERLINK("https://rth.dk/resources/bsgatlas/details.php?id=BSGatlas-gene-3151","BSGatlas-gene-3151")</f>
        <v>BSGatlas-gene-3151</v>
      </c>
      <c r="B3152" s="1" t="s">
        <v>2835</v>
      </c>
      <c r="C3152" s="1" t="s">
        <v>8</v>
      </c>
      <c r="D3152" s="1">
        <v>2746608</v>
      </c>
      <c r="E3152" s="1">
        <v>2747711</v>
      </c>
      <c r="F3152" s="1" t="s">
        <v>9</v>
      </c>
      <c r="G3152" s="1" t="s">
        <v>11409</v>
      </c>
    </row>
    <row r="3153" spans="1:7" ht="21" x14ac:dyDescent="0.25">
      <c r="A3153" s="2" t="str">
        <f>HYPERLINK("https://rth.dk/resources/bsgatlas/details.php?id=BSGatlas-gene-3152","BSGatlas-gene-3152")</f>
        <v>BSGatlas-gene-3152</v>
      </c>
      <c r="B3153" s="1" t="s">
        <v>2836</v>
      </c>
      <c r="C3153" s="1" t="s">
        <v>8</v>
      </c>
      <c r="D3153" s="1">
        <v>2747984</v>
      </c>
      <c r="E3153" s="1">
        <v>2748817</v>
      </c>
      <c r="F3153" s="1" t="s">
        <v>13</v>
      </c>
      <c r="G3153" s="1" t="s">
        <v>11409</v>
      </c>
    </row>
    <row r="3154" spans="1:7" ht="21" x14ac:dyDescent="0.25">
      <c r="A3154" s="2" t="str">
        <f>HYPERLINK("https://rth.dk/resources/bsgatlas/details.php?id=BSGatlas-gene-3153","BSGatlas-gene-3153")</f>
        <v>BSGatlas-gene-3153</v>
      </c>
      <c r="B3154" s="1" t="s">
        <v>2837</v>
      </c>
      <c r="C3154" s="1" t="s">
        <v>8</v>
      </c>
      <c r="D3154" s="1">
        <v>2749260</v>
      </c>
      <c r="E3154" s="1">
        <v>2749523</v>
      </c>
      <c r="F3154" s="1" t="s">
        <v>9</v>
      </c>
      <c r="G3154" s="1" t="s">
        <v>11409</v>
      </c>
    </row>
    <row r="3155" spans="1:7" ht="21" x14ac:dyDescent="0.25">
      <c r="A3155" s="2" t="str">
        <f>HYPERLINK("https://rth.dk/resources/bsgatlas/details.php?id=BSGatlas-gene-3154","BSGatlas-gene-3154")</f>
        <v>BSGatlas-gene-3154</v>
      </c>
      <c r="B3155" s="1" t="s">
        <v>11704</v>
      </c>
      <c r="C3155" s="1" t="s">
        <v>8</v>
      </c>
      <c r="D3155" s="1">
        <v>2749660</v>
      </c>
      <c r="E3155" s="1">
        <v>2750475</v>
      </c>
      <c r="F3155" s="1" t="s">
        <v>9</v>
      </c>
      <c r="G3155" s="1" t="s">
        <v>11409</v>
      </c>
    </row>
    <row r="3156" spans="1:7" ht="21" x14ac:dyDescent="0.25">
      <c r="A3156" s="2" t="str">
        <f>HYPERLINK("https://rth.dk/resources/bsgatlas/details.php?id=BSGatlas-gene-3155","BSGatlas-gene-3155")</f>
        <v>BSGatlas-gene-3155</v>
      </c>
      <c r="B3156" s="1" t="s">
        <v>2838</v>
      </c>
      <c r="C3156" s="1" t="s">
        <v>8</v>
      </c>
      <c r="D3156" s="1">
        <v>2750883</v>
      </c>
      <c r="E3156" s="1">
        <v>2751239</v>
      </c>
      <c r="F3156" s="1" t="s">
        <v>13</v>
      </c>
      <c r="G3156" s="1" t="s">
        <v>11409</v>
      </c>
    </row>
    <row r="3157" spans="1:7" ht="21" x14ac:dyDescent="0.25">
      <c r="A3157" s="2" t="str">
        <f>HYPERLINK("https://rth.dk/resources/bsgatlas/details.php?id=BSGatlas-gene-3156","BSGatlas-gene-3156")</f>
        <v>BSGatlas-gene-3156</v>
      </c>
      <c r="B3157" s="1" t="s">
        <v>2839</v>
      </c>
      <c r="C3157" s="1" t="s">
        <v>8</v>
      </c>
      <c r="D3157" s="1">
        <v>2751292</v>
      </c>
      <c r="E3157" s="1">
        <v>2751651</v>
      </c>
      <c r="F3157" s="1" t="s">
        <v>13</v>
      </c>
      <c r="G3157" s="1" t="s">
        <v>11409</v>
      </c>
    </row>
    <row r="3158" spans="1:7" ht="21" x14ac:dyDescent="0.25">
      <c r="A3158" s="2" t="str">
        <f>HYPERLINK("https://rth.dk/resources/bsgatlas/details.php?id=BSGatlas-gene-3157","BSGatlas-gene-3157")</f>
        <v>BSGatlas-gene-3157</v>
      </c>
      <c r="B3158" s="1" t="s">
        <v>318</v>
      </c>
      <c r="C3158" s="1" t="s">
        <v>8</v>
      </c>
      <c r="D3158" s="1">
        <v>2751923</v>
      </c>
      <c r="E3158" s="1">
        <v>2752024</v>
      </c>
      <c r="F3158" s="1" t="s">
        <v>13</v>
      </c>
      <c r="G3158" s="1" t="s">
        <v>11441</v>
      </c>
    </row>
    <row r="3159" spans="1:7" ht="21" x14ac:dyDescent="0.25">
      <c r="A3159" s="2" t="str">
        <f>HYPERLINK("https://rth.dk/resources/bsgatlas/details.php?id=BSGatlas-gene-3158","BSGatlas-gene-3158")</f>
        <v>BSGatlas-gene-3158</v>
      </c>
      <c r="B3159" s="1" t="s">
        <v>11705</v>
      </c>
      <c r="C3159" s="1" t="s">
        <v>12</v>
      </c>
      <c r="D3159" s="1">
        <v>2752023</v>
      </c>
      <c r="E3159" s="1">
        <v>2752133</v>
      </c>
      <c r="F3159" s="1" t="s">
        <v>13</v>
      </c>
      <c r="G3159" s="1" t="s">
        <v>11442</v>
      </c>
    </row>
    <row r="3160" spans="1:7" ht="21" x14ac:dyDescent="0.25">
      <c r="A3160" s="2" t="str">
        <f>HYPERLINK("https://rth.dk/resources/bsgatlas/details.php?id=BSGatlas-gene-3159","BSGatlas-gene-3159")</f>
        <v>BSGatlas-gene-3159</v>
      </c>
      <c r="B3160" s="1" t="s">
        <v>2840</v>
      </c>
      <c r="C3160" s="1" t="s">
        <v>8</v>
      </c>
      <c r="D3160" s="1">
        <v>2752167</v>
      </c>
      <c r="E3160" s="1">
        <v>2752553</v>
      </c>
      <c r="F3160" s="1" t="s">
        <v>13</v>
      </c>
      <c r="G3160" s="1" t="s">
        <v>11409</v>
      </c>
    </row>
    <row r="3161" spans="1:7" ht="21" x14ac:dyDescent="0.25">
      <c r="A3161" s="2" t="str">
        <f>HYPERLINK("https://rth.dk/resources/bsgatlas/details.php?id=BSGatlas-gene-3160","BSGatlas-gene-3160")</f>
        <v>BSGatlas-gene-3160</v>
      </c>
      <c r="B3161" s="1" t="s">
        <v>2841</v>
      </c>
      <c r="C3161" s="1" t="s">
        <v>8</v>
      </c>
      <c r="D3161" s="1">
        <v>2752802</v>
      </c>
      <c r="E3161" s="1">
        <v>2753047</v>
      </c>
      <c r="F3161" s="1" t="s">
        <v>9</v>
      </c>
      <c r="G3161" s="1" t="s">
        <v>11409</v>
      </c>
    </row>
    <row r="3162" spans="1:7" ht="21" x14ac:dyDescent="0.25">
      <c r="A3162" s="2" t="str">
        <f>HYPERLINK("https://rth.dk/resources/bsgatlas/details.php?id=BSGatlas-gene-3161","BSGatlas-gene-3161")</f>
        <v>BSGatlas-gene-3161</v>
      </c>
      <c r="B3162" s="1" t="s">
        <v>2842</v>
      </c>
      <c r="C3162" s="1" t="s">
        <v>8</v>
      </c>
      <c r="D3162" s="1">
        <v>2753065</v>
      </c>
      <c r="E3162" s="1">
        <v>2753433</v>
      </c>
      <c r="F3162" s="1" t="s">
        <v>9</v>
      </c>
      <c r="G3162" s="1" t="s">
        <v>11409</v>
      </c>
    </row>
    <row r="3163" spans="1:7" ht="21" x14ac:dyDescent="0.25">
      <c r="A3163" s="2" t="str">
        <f>HYPERLINK("https://rth.dk/resources/bsgatlas/details.php?id=BSGatlas-gene-3162","BSGatlas-gene-3162")</f>
        <v>BSGatlas-gene-3162</v>
      </c>
      <c r="B3163" s="1" t="s">
        <v>2843</v>
      </c>
      <c r="C3163" s="1" t="s">
        <v>8</v>
      </c>
      <c r="D3163" s="1">
        <v>2753452</v>
      </c>
      <c r="E3163" s="1">
        <v>2754588</v>
      </c>
      <c r="F3163" s="1" t="s">
        <v>9</v>
      </c>
      <c r="G3163" s="1" t="s">
        <v>11409</v>
      </c>
    </row>
    <row r="3164" spans="1:7" ht="21" x14ac:dyDescent="0.25">
      <c r="A3164" s="2" t="str">
        <f>HYPERLINK("https://rth.dk/resources/bsgatlas/details.php?id=BSGatlas-gene-3163","BSGatlas-gene-3163")</f>
        <v>BSGatlas-gene-3163</v>
      </c>
      <c r="B3164" s="1" t="s">
        <v>2844</v>
      </c>
      <c r="C3164" s="1" t="s">
        <v>8</v>
      </c>
      <c r="D3164" s="1">
        <v>2754607</v>
      </c>
      <c r="E3164" s="1">
        <v>2754804</v>
      </c>
      <c r="F3164" s="1" t="s">
        <v>9</v>
      </c>
      <c r="G3164" s="1" t="s">
        <v>11409</v>
      </c>
    </row>
    <row r="3165" spans="1:7" ht="21" x14ac:dyDescent="0.25">
      <c r="A3165" s="2" t="str">
        <f>HYPERLINK("https://rth.dk/resources/bsgatlas/details.php?id=BSGatlas-gene-3164","BSGatlas-gene-3164")</f>
        <v>BSGatlas-gene-3164</v>
      </c>
      <c r="B3165" s="1" t="s">
        <v>2845</v>
      </c>
      <c r="C3165" s="1" t="s">
        <v>8</v>
      </c>
      <c r="D3165" s="1">
        <v>2754820</v>
      </c>
      <c r="E3165" s="1">
        <v>2755119</v>
      </c>
      <c r="F3165" s="1" t="s">
        <v>9</v>
      </c>
      <c r="G3165" s="1" t="s">
        <v>11409</v>
      </c>
    </row>
    <row r="3166" spans="1:7" ht="21" x14ac:dyDescent="0.25">
      <c r="A3166" s="2" t="str">
        <f>HYPERLINK("https://rth.dk/resources/bsgatlas/details.php?id=BSGatlas-gene-3165","BSGatlas-gene-3165")</f>
        <v>BSGatlas-gene-3165</v>
      </c>
      <c r="B3166" s="1" t="s">
        <v>2846</v>
      </c>
      <c r="C3166" s="1" t="s">
        <v>8</v>
      </c>
      <c r="D3166" s="1">
        <v>2755382</v>
      </c>
      <c r="E3166" s="1">
        <v>2755804</v>
      </c>
      <c r="F3166" s="1" t="s">
        <v>13</v>
      </c>
      <c r="G3166" s="1" t="s">
        <v>11409</v>
      </c>
    </row>
    <row r="3167" spans="1:7" ht="21" x14ac:dyDescent="0.25">
      <c r="A3167" s="2" t="str">
        <f>HYPERLINK("https://rth.dk/resources/bsgatlas/details.php?id=BSGatlas-gene-3166","BSGatlas-gene-3166")</f>
        <v>BSGatlas-gene-3166</v>
      </c>
      <c r="B3167" s="1" t="s">
        <v>2847</v>
      </c>
      <c r="C3167" s="1" t="s">
        <v>8</v>
      </c>
      <c r="D3167" s="1">
        <v>2755987</v>
      </c>
      <c r="E3167" s="1">
        <v>2756181</v>
      </c>
      <c r="F3167" s="1" t="s">
        <v>9</v>
      </c>
      <c r="G3167" s="1" t="s">
        <v>11441</v>
      </c>
    </row>
    <row r="3168" spans="1:7" ht="21" x14ac:dyDescent="0.25">
      <c r="A3168" s="2" t="str">
        <f>HYPERLINK("https://rth.dk/resources/bsgatlas/details.php?id=BSGatlas-gene-3167","BSGatlas-gene-3167")</f>
        <v>BSGatlas-gene-3167</v>
      </c>
      <c r="B3168" s="1" t="s">
        <v>2848</v>
      </c>
      <c r="C3168" s="1" t="s">
        <v>8</v>
      </c>
      <c r="D3168" s="1">
        <v>2756312</v>
      </c>
      <c r="E3168" s="1">
        <v>2757361</v>
      </c>
      <c r="F3168" s="1" t="s">
        <v>9</v>
      </c>
      <c r="G3168" s="1" t="s">
        <v>11409</v>
      </c>
    </row>
    <row r="3169" spans="1:7" ht="21" x14ac:dyDescent="0.25">
      <c r="A3169" s="2" t="str">
        <f>HYPERLINK("https://rth.dk/resources/bsgatlas/details.php?id=BSGatlas-gene-3168","BSGatlas-gene-3168")</f>
        <v>BSGatlas-gene-3168</v>
      </c>
      <c r="B3169" s="1" t="s">
        <v>2849</v>
      </c>
      <c r="C3169" s="1" t="s">
        <v>8</v>
      </c>
      <c r="D3169" s="1">
        <v>2757492</v>
      </c>
      <c r="E3169" s="1">
        <v>2758001</v>
      </c>
      <c r="F3169" s="1" t="s">
        <v>9</v>
      </c>
      <c r="G3169" s="1" t="s">
        <v>11409</v>
      </c>
    </row>
    <row r="3170" spans="1:7" ht="21" x14ac:dyDescent="0.25">
      <c r="A3170" s="2" t="str">
        <f>HYPERLINK("https://rth.dk/resources/bsgatlas/details.php?id=BSGatlas-gene-3169","BSGatlas-gene-3169")</f>
        <v>BSGatlas-gene-3169</v>
      </c>
      <c r="B3170" s="1" t="s">
        <v>2850</v>
      </c>
      <c r="C3170" s="1" t="s">
        <v>8</v>
      </c>
      <c r="D3170" s="1">
        <v>2758043</v>
      </c>
      <c r="E3170" s="1">
        <v>2760076</v>
      </c>
      <c r="F3170" s="1" t="s">
        <v>13</v>
      </c>
      <c r="G3170" s="1" t="s">
        <v>11409</v>
      </c>
    </row>
    <row r="3171" spans="1:7" ht="21" x14ac:dyDescent="0.25">
      <c r="A3171" s="2" t="str">
        <f>HYPERLINK("https://rth.dk/resources/bsgatlas/details.php?id=BSGatlas-gene-3170","BSGatlas-gene-3170")</f>
        <v>BSGatlas-gene-3170</v>
      </c>
      <c r="B3171" s="1" t="s">
        <v>318</v>
      </c>
      <c r="C3171" s="1" t="s">
        <v>8</v>
      </c>
      <c r="D3171" s="1">
        <v>2759985</v>
      </c>
      <c r="E3171" s="1">
        <v>2760152</v>
      </c>
      <c r="F3171" s="1" t="s">
        <v>13</v>
      </c>
      <c r="G3171" s="1" t="s">
        <v>11441</v>
      </c>
    </row>
    <row r="3172" spans="1:7" ht="21" x14ac:dyDescent="0.25">
      <c r="A3172" s="2" t="str">
        <f>HYPERLINK("https://rth.dk/resources/bsgatlas/details.php?id=BSGatlas-gene-3171","BSGatlas-gene-3171")</f>
        <v>BSGatlas-gene-3171</v>
      </c>
      <c r="B3172" s="1" t="s">
        <v>2851</v>
      </c>
      <c r="C3172" s="1" t="s">
        <v>8</v>
      </c>
      <c r="D3172" s="1">
        <v>2760233</v>
      </c>
      <c r="E3172" s="1">
        <v>2761060</v>
      </c>
      <c r="F3172" s="1" t="s">
        <v>13</v>
      </c>
      <c r="G3172" s="1" t="s">
        <v>11409</v>
      </c>
    </row>
    <row r="3173" spans="1:7" ht="21" x14ac:dyDescent="0.25">
      <c r="A3173" s="2" t="str">
        <f>HYPERLINK("https://rth.dk/resources/bsgatlas/details.php?id=BSGatlas-gene-3172","BSGatlas-gene-3172")</f>
        <v>BSGatlas-gene-3172</v>
      </c>
      <c r="B3173" s="1" t="s">
        <v>2852</v>
      </c>
      <c r="C3173" s="1" t="s">
        <v>8</v>
      </c>
      <c r="D3173" s="1">
        <v>2761081</v>
      </c>
      <c r="E3173" s="1">
        <v>2761890</v>
      </c>
      <c r="F3173" s="1" t="s">
        <v>13</v>
      </c>
      <c r="G3173" s="1" t="s">
        <v>11409</v>
      </c>
    </row>
    <row r="3174" spans="1:7" ht="21" x14ac:dyDescent="0.25">
      <c r="A3174" s="2" t="str">
        <f>HYPERLINK("https://rth.dk/resources/bsgatlas/details.php?id=BSGatlas-gene-3173","BSGatlas-gene-3173")</f>
        <v>BSGatlas-gene-3173</v>
      </c>
      <c r="B3174" s="1" t="s">
        <v>2853</v>
      </c>
      <c r="C3174" s="1" t="s">
        <v>8</v>
      </c>
      <c r="D3174" s="1">
        <v>2761907</v>
      </c>
      <c r="E3174" s="1">
        <v>2762395</v>
      </c>
      <c r="F3174" s="1" t="s">
        <v>13</v>
      </c>
      <c r="G3174" s="1" t="s">
        <v>11409</v>
      </c>
    </row>
    <row r="3175" spans="1:7" ht="21" x14ac:dyDescent="0.25">
      <c r="A3175" s="2" t="str">
        <f>HYPERLINK("https://rth.dk/resources/bsgatlas/details.php?id=BSGatlas-gene-3174","BSGatlas-gene-3174")</f>
        <v>BSGatlas-gene-3174</v>
      </c>
      <c r="B3175" s="1" t="s">
        <v>2854</v>
      </c>
      <c r="C3175" s="1" t="s">
        <v>8</v>
      </c>
      <c r="D3175" s="1">
        <v>2762395</v>
      </c>
      <c r="E3175" s="1">
        <v>2762835</v>
      </c>
      <c r="F3175" s="1" t="s">
        <v>13</v>
      </c>
      <c r="G3175" s="1" t="s">
        <v>11409</v>
      </c>
    </row>
    <row r="3176" spans="1:7" ht="21" x14ac:dyDescent="0.25">
      <c r="A3176" s="2" t="str">
        <f>HYPERLINK("https://rth.dk/resources/bsgatlas/details.php?id=BSGatlas-gene-3175","BSGatlas-gene-3175")</f>
        <v>BSGatlas-gene-3175</v>
      </c>
      <c r="B3176" s="1" t="s">
        <v>2855</v>
      </c>
      <c r="C3176" s="1" t="s">
        <v>8</v>
      </c>
      <c r="D3176" s="1">
        <v>2763025</v>
      </c>
      <c r="E3176" s="1">
        <v>2765832</v>
      </c>
      <c r="F3176" s="1" t="s">
        <v>13</v>
      </c>
      <c r="G3176" s="1" t="s">
        <v>11409</v>
      </c>
    </row>
    <row r="3177" spans="1:7" ht="21" x14ac:dyDescent="0.25">
      <c r="A3177" s="2" t="str">
        <f>HYPERLINK("https://rth.dk/resources/bsgatlas/details.php?id=BSGatlas-gene-3176","BSGatlas-gene-3176")</f>
        <v>BSGatlas-gene-3176</v>
      </c>
      <c r="B3177" s="1" t="s">
        <v>318</v>
      </c>
      <c r="C3177" s="1" t="s">
        <v>8</v>
      </c>
      <c r="D3177" s="1">
        <v>2766379</v>
      </c>
      <c r="E3177" s="1">
        <v>2766519</v>
      </c>
      <c r="F3177" s="1" t="s">
        <v>9</v>
      </c>
      <c r="G3177" s="1" t="s">
        <v>11441</v>
      </c>
    </row>
    <row r="3178" spans="1:7" ht="21" x14ac:dyDescent="0.25">
      <c r="A3178" s="2" t="str">
        <f>HYPERLINK("https://rth.dk/resources/bsgatlas/details.php?id=BSGatlas-gene-3177","BSGatlas-gene-3177")</f>
        <v>BSGatlas-gene-3177</v>
      </c>
      <c r="B3178" s="1" t="s">
        <v>2856</v>
      </c>
      <c r="C3178" s="1" t="s">
        <v>8</v>
      </c>
      <c r="D3178" s="1">
        <v>2766558</v>
      </c>
      <c r="E3178" s="1">
        <v>2767946</v>
      </c>
      <c r="F3178" s="1" t="s">
        <v>9</v>
      </c>
      <c r="G3178" s="1" t="s">
        <v>11409</v>
      </c>
    </row>
    <row r="3179" spans="1:7" ht="21" x14ac:dyDescent="0.25">
      <c r="A3179" s="2" t="str">
        <f>HYPERLINK("https://rth.dk/resources/bsgatlas/details.php?id=BSGatlas-gene-3178","BSGatlas-gene-3178")</f>
        <v>BSGatlas-gene-3178</v>
      </c>
      <c r="B3179" s="1" t="s">
        <v>2857</v>
      </c>
      <c r="C3179" s="1" t="s">
        <v>8</v>
      </c>
      <c r="D3179" s="1">
        <v>2768042</v>
      </c>
      <c r="E3179" s="1">
        <v>2768674</v>
      </c>
      <c r="F3179" s="1" t="s">
        <v>13</v>
      </c>
      <c r="G3179" s="1" t="s">
        <v>11409</v>
      </c>
    </row>
    <row r="3180" spans="1:7" ht="21" x14ac:dyDescent="0.25">
      <c r="A3180" s="2" t="str">
        <f>HYPERLINK("https://rth.dk/resources/bsgatlas/details.php?id=BSGatlas-gene-3179","BSGatlas-gene-3179")</f>
        <v>BSGatlas-gene-3179</v>
      </c>
      <c r="B3180" s="1" t="s">
        <v>2858</v>
      </c>
      <c r="C3180" s="1" t="s">
        <v>8</v>
      </c>
      <c r="D3180" s="1">
        <v>2768827</v>
      </c>
      <c r="E3180" s="1">
        <v>2769654</v>
      </c>
      <c r="F3180" s="1" t="s">
        <v>9</v>
      </c>
      <c r="G3180" s="1" t="s">
        <v>11409</v>
      </c>
    </row>
    <row r="3181" spans="1:7" ht="21" x14ac:dyDescent="0.25">
      <c r="A3181" s="2" t="str">
        <f>HYPERLINK("https://rth.dk/resources/bsgatlas/details.php?id=BSGatlas-gene-3180","BSGatlas-gene-3180")</f>
        <v>BSGatlas-gene-3180</v>
      </c>
      <c r="B3181" s="1" t="s">
        <v>2859</v>
      </c>
      <c r="C3181" s="1" t="s">
        <v>8</v>
      </c>
      <c r="D3181" s="1">
        <v>2769850</v>
      </c>
      <c r="E3181" s="1">
        <v>2770350</v>
      </c>
      <c r="F3181" s="1" t="s">
        <v>9</v>
      </c>
      <c r="G3181" s="1" t="s">
        <v>11409</v>
      </c>
    </row>
    <row r="3182" spans="1:7" ht="21" x14ac:dyDescent="0.25">
      <c r="A3182" s="2" t="str">
        <f>HYPERLINK("https://rth.dk/resources/bsgatlas/details.php?id=BSGatlas-gene-3181","BSGatlas-gene-3181")</f>
        <v>BSGatlas-gene-3181</v>
      </c>
      <c r="B3182" s="1" t="s">
        <v>2860</v>
      </c>
      <c r="C3182" s="1" t="s">
        <v>8</v>
      </c>
      <c r="D3182" s="1">
        <v>2770350</v>
      </c>
      <c r="E3182" s="1">
        <v>2771207</v>
      </c>
      <c r="F3182" s="1" t="s">
        <v>9</v>
      </c>
      <c r="G3182" s="1" t="s">
        <v>11409</v>
      </c>
    </row>
    <row r="3183" spans="1:7" ht="21" x14ac:dyDescent="0.25">
      <c r="A3183" s="2" t="str">
        <f>HYPERLINK("https://rth.dk/resources/bsgatlas/details.php?id=BSGatlas-gene-3182","BSGatlas-gene-3182")</f>
        <v>BSGatlas-gene-3182</v>
      </c>
      <c r="B3183" s="1" t="s">
        <v>2861</v>
      </c>
      <c r="C3183" s="1" t="s">
        <v>8</v>
      </c>
      <c r="D3183" s="1">
        <v>2771318</v>
      </c>
      <c r="E3183" s="1">
        <v>2773222</v>
      </c>
      <c r="F3183" s="1" t="s">
        <v>9</v>
      </c>
      <c r="G3183" s="1" t="s">
        <v>11409</v>
      </c>
    </row>
    <row r="3184" spans="1:7" ht="21" x14ac:dyDescent="0.25">
      <c r="A3184" s="2" t="str">
        <f>HYPERLINK("https://rth.dk/resources/bsgatlas/details.php?id=BSGatlas-gene-3183","BSGatlas-gene-3183")</f>
        <v>BSGatlas-gene-3183</v>
      </c>
      <c r="B3184" s="1" t="s">
        <v>2862</v>
      </c>
      <c r="C3184" s="1" t="s">
        <v>8</v>
      </c>
      <c r="D3184" s="1">
        <v>2773356</v>
      </c>
      <c r="E3184" s="1">
        <v>2773646</v>
      </c>
      <c r="F3184" s="1" t="s">
        <v>9</v>
      </c>
      <c r="G3184" s="1" t="s">
        <v>11409</v>
      </c>
    </row>
    <row r="3185" spans="1:7" ht="21" x14ac:dyDescent="0.25">
      <c r="A3185" s="2" t="str">
        <f>HYPERLINK("https://rth.dk/resources/bsgatlas/details.php?id=BSGatlas-gene-3184","BSGatlas-gene-3184")</f>
        <v>BSGatlas-gene-3184</v>
      </c>
      <c r="B3185" s="1" t="s">
        <v>2863</v>
      </c>
      <c r="C3185" s="1" t="s">
        <v>55</v>
      </c>
      <c r="D3185" s="1">
        <v>2773780</v>
      </c>
      <c r="E3185" s="1">
        <v>2773886</v>
      </c>
      <c r="F3185" s="1" t="s">
        <v>9</v>
      </c>
      <c r="G3185" s="1" t="s">
        <v>11518</v>
      </c>
    </row>
    <row r="3186" spans="1:7" ht="21" x14ac:dyDescent="0.25">
      <c r="A3186" s="2" t="str">
        <f>HYPERLINK("https://rth.dk/resources/bsgatlas/details.php?id=BSGatlas-gene-3185","BSGatlas-gene-3185")</f>
        <v>BSGatlas-gene-3185</v>
      </c>
      <c r="B3186" s="1" t="s">
        <v>2864</v>
      </c>
      <c r="C3186" s="1" t="s">
        <v>8</v>
      </c>
      <c r="D3186" s="1">
        <v>2773890</v>
      </c>
      <c r="E3186" s="1">
        <v>2777054</v>
      </c>
      <c r="F3186" s="1" t="s">
        <v>13</v>
      </c>
      <c r="G3186" s="1" t="s">
        <v>11409</v>
      </c>
    </row>
    <row r="3187" spans="1:7" ht="21" x14ac:dyDescent="0.25">
      <c r="A3187" s="2" t="str">
        <f>HYPERLINK("https://rth.dk/resources/bsgatlas/details.php?id=BSGatlas-gene-3186","BSGatlas-gene-3186")</f>
        <v>BSGatlas-gene-3186</v>
      </c>
      <c r="B3187" s="1" t="s">
        <v>2865</v>
      </c>
      <c r="C3187" s="1" t="s">
        <v>8</v>
      </c>
      <c r="D3187" s="1">
        <v>2777070</v>
      </c>
      <c r="E3187" s="1">
        <v>2777654</v>
      </c>
      <c r="F3187" s="1" t="s">
        <v>13</v>
      </c>
      <c r="G3187" s="1" t="s">
        <v>11409</v>
      </c>
    </row>
    <row r="3188" spans="1:7" ht="21" x14ac:dyDescent="0.25">
      <c r="A3188" s="2" t="str">
        <f>HYPERLINK("https://rth.dk/resources/bsgatlas/details.php?id=BSGatlas-gene-3187","BSGatlas-gene-3187")</f>
        <v>BSGatlas-gene-3187</v>
      </c>
      <c r="B3188" s="1" t="s">
        <v>2866</v>
      </c>
      <c r="C3188" s="1" t="s">
        <v>8</v>
      </c>
      <c r="D3188" s="1">
        <v>2777877</v>
      </c>
      <c r="E3188" s="1">
        <v>2778419</v>
      </c>
      <c r="F3188" s="1" t="s">
        <v>13</v>
      </c>
      <c r="G3188" s="1" t="s">
        <v>11409</v>
      </c>
    </row>
    <row r="3189" spans="1:7" ht="21" x14ac:dyDescent="0.25">
      <c r="A3189" s="2" t="str">
        <f>HYPERLINK("https://rth.dk/resources/bsgatlas/details.php?id=BSGatlas-gene-3188","BSGatlas-gene-3188")</f>
        <v>BSGatlas-gene-3188</v>
      </c>
      <c r="B3189" s="1" t="s">
        <v>2867</v>
      </c>
      <c r="C3189" s="1" t="s">
        <v>12</v>
      </c>
      <c r="D3189" s="1">
        <v>2778574</v>
      </c>
      <c r="E3189" s="1">
        <v>2778790</v>
      </c>
      <c r="F3189" s="1" t="s">
        <v>13</v>
      </c>
      <c r="G3189" s="1" t="s">
        <v>11406</v>
      </c>
    </row>
    <row r="3190" spans="1:7" ht="21" x14ac:dyDescent="0.25">
      <c r="A3190" s="2" t="str">
        <f>HYPERLINK("https://rth.dk/resources/bsgatlas/details.php?id=BSGatlas-gene-3189","BSGatlas-gene-3189")</f>
        <v>BSGatlas-gene-3189</v>
      </c>
      <c r="B3190" s="1" t="s">
        <v>318</v>
      </c>
      <c r="C3190" s="1" t="s">
        <v>8</v>
      </c>
      <c r="D3190" s="1">
        <v>2778608</v>
      </c>
      <c r="E3190" s="1">
        <v>2778766</v>
      </c>
      <c r="F3190" s="1" t="s">
        <v>13</v>
      </c>
      <c r="G3190" s="1" t="s">
        <v>11441</v>
      </c>
    </row>
    <row r="3191" spans="1:7" ht="21" x14ac:dyDescent="0.25">
      <c r="A3191" s="2" t="str">
        <f>HYPERLINK("https://rth.dk/resources/bsgatlas/details.php?id=BSGatlas-gene-3190","BSGatlas-gene-3190")</f>
        <v>BSGatlas-gene-3190</v>
      </c>
      <c r="B3191" s="1" t="s">
        <v>2868</v>
      </c>
      <c r="C3191" s="1" t="s">
        <v>8</v>
      </c>
      <c r="D3191" s="1">
        <v>2778923</v>
      </c>
      <c r="E3191" s="1">
        <v>2779072</v>
      </c>
      <c r="F3191" s="1" t="s">
        <v>13</v>
      </c>
      <c r="G3191" s="1" t="s">
        <v>11409</v>
      </c>
    </row>
    <row r="3192" spans="1:7" ht="21" x14ac:dyDescent="0.25">
      <c r="A3192" s="2" t="str">
        <f>HYPERLINK("https://rth.dk/resources/bsgatlas/details.php?id=BSGatlas-gene-3191","BSGatlas-gene-3191")</f>
        <v>BSGatlas-gene-3191</v>
      </c>
      <c r="B3192" s="1" t="s">
        <v>2869</v>
      </c>
      <c r="C3192" s="1" t="s">
        <v>12</v>
      </c>
      <c r="D3192" s="1">
        <v>2779113</v>
      </c>
      <c r="E3192" s="1">
        <v>2779375</v>
      </c>
      <c r="F3192" s="1" t="s">
        <v>13</v>
      </c>
      <c r="G3192" s="1" t="s">
        <v>11442</v>
      </c>
    </row>
    <row r="3193" spans="1:7" ht="21" x14ac:dyDescent="0.25">
      <c r="A3193" s="2" t="str">
        <f>HYPERLINK("https://rth.dk/resources/bsgatlas/details.php?id=BSGatlas-gene-3192","BSGatlas-gene-3192")</f>
        <v>BSGatlas-gene-3192</v>
      </c>
      <c r="B3193" s="1" t="s">
        <v>2870</v>
      </c>
      <c r="C3193" s="1" t="s">
        <v>8</v>
      </c>
      <c r="D3193" s="1">
        <v>2779462</v>
      </c>
      <c r="E3193" s="1">
        <v>2780262</v>
      </c>
      <c r="F3193" s="1" t="s">
        <v>13</v>
      </c>
      <c r="G3193" s="1" t="s">
        <v>11409</v>
      </c>
    </row>
    <row r="3194" spans="1:7" ht="21" x14ac:dyDescent="0.25">
      <c r="A3194" s="2" t="str">
        <f>HYPERLINK("https://rth.dk/resources/bsgatlas/details.php?id=BSGatlas-gene-3193","BSGatlas-gene-3193")</f>
        <v>BSGatlas-gene-3193</v>
      </c>
      <c r="B3194" s="1" t="s">
        <v>2871</v>
      </c>
      <c r="C3194" s="1" t="s">
        <v>12</v>
      </c>
      <c r="D3194" s="1">
        <v>2780319</v>
      </c>
      <c r="E3194" s="1">
        <v>2780477</v>
      </c>
      <c r="F3194" s="1" t="s">
        <v>13</v>
      </c>
      <c r="G3194" s="1" t="s">
        <v>11442</v>
      </c>
    </row>
    <row r="3195" spans="1:7" ht="21" x14ac:dyDescent="0.25">
      <c r="A3195" s="2" t="str">
        <f>HYPERLINK("https://rth.dk/resources/bsgatlas/details.php?id=BSGatlas-gene-3194","BSGatlas-gene-3194")</f>
        <v>BSGatlas-gene-3194</v>
      </c>
      <c r="B3195" s="1" t="s">
        <v>2872</v>
      </c>
      <c r="C3195" s="1" t="s">
        <v>8</v>
      </c>
      <c r="D3195" s="1">
        <v>2780525</v>
      </c>
      <c r="E3195" s="1">
        <v>2780893</v>
      </c>
      <c r="F3195" s="1" t="s">
        <v>13</v>
      </c>
      <c r="G3195" s="1" t="s">
        <v>11409</v>
      </c>
    </row>
    <row r="3196" spans="1:7" ht="21" x14ac:dyDescent="0.25">
      <c r="A3196" s="2" t="str">
        <f>HYPERLINK("https://rth.dk/resources/bsgatlas/details.php?id=BSGatlas-gene-3195","BSGatlas-gene-3195")</f>
        <v>BSGatlas-gene-3195</v>
      </c>
      <c r="B3196" s="1" t="s">
        <v>522</v>
      </c>
      <c r="C3196" s="1" t="s">
        <v>34</v>
      </c>
      <c r="D3196" s="1">
        <v>2781016</v>
      </c>
      <c r="E3196" s="1">
        <v>2781172</v>
      </c>
      <c r="F3196" s="1" t="s">
        <v>9</v>
      </c>
      <c r="G3196" s="1" t="s">
        <v>11414</v>
      </c>
    </row>
    <row r="3197" spans="1:7" ht="21" x14ac:dyDescent="0.25">
      <c r="A3197" s="2" t="str">
        <f>HYPERLINK("https://rth.dk/resources/bsgatlas/details.php?id=BSGatlas-gene-3196","BSGatlas-gene-3196")</f>
        <v>BSGatlas-gene-3196</v>
      </c>
      <c r="B3197" s="1" t="s">
        <v>2873</v>
      </c>
      <c r="C3197" s="1" t="s">
        <v>8</v>
      </c>
      <c r="D3197" s="1">
        <v>2781209</v>
      </c>
      <c r="E3197" s="1">
        <v>2784151</v>
      </c>
      <c r="F3197" s="1" t="s">
        <v>9</v>
      </c>
      <c r="G3197" s="1" t="s">
        <v>11409</v>
      </c>
    </row>
    <row r="3198" spans="1:7" ht="21" x14ac:dyDescent="0.25">
      <c r="A3198" s="2" t="str">
        <f>HYPERLINK("https://rth.dk/resources/bsgatlas/details.php?id=BSGatlas-gene-3197","BSGatlas-gene-3197")</f>
        <v>BSGatlas-gene-3197</v>
      </c>
      <c r="B3198" s="1" t="s">
        <v>2874</v>
      </c>
      <c r="C3198" s="1" t="s">
        <v>8</v>
      </c>
      <c r="D3198" s="1">
        <v>2784170</v>
      </c>
      <c r="E3198" s="1">
        <v>2784652</v>
      </c>
      <c r="F3198" s="1" t="s">
        <v>9</v>
      </c>
      <c r="G3198" s="1" t="s">
        <v>11409</v>
      </c>
    </row>
    <row r="3199" spans="1:7" ht="21" x14ac:dyDescent="0.25">
      <c r="A3199" s="2" t="str">
        <f>HYPERLINK("https://rth.dk/resources/bsgatlas/details.php?id=BSGatlas-gene-3198","BSGatlas-gene-3198")</f>
        <v>BSGatlas-gene-3198</v>
      </c>
      <c r="B3199" s="1" t="s">
        <v>2875</v>
      </c>
      <c r="C3199" s="1" t="s">
        <v>8</v>
      </c>
      <c r="D3199" s="1">
        <v>2784688</v>
      </c>
      <c r="E3199" s="1">
        <v>2784918</v>
      </c>
      <c r="F3199" s="1" t="s">
        <v>13</v>
      </c>
      <c r="G3199" s="1" t="s">
        <v>11409</v>
      </c>
    </row>
    <row r="3200" spans="1:7" ht="21" x14ac:dyDescent="0.25">
      <c r="A3200" s="2" t="str">
        <f>HYPERLINK("https://rth.dk/resources/bsgatlas/details.php?id=BSGatlas-gene-3199","BSGatlas-gene-3199")</f>
        <v>BSGatlas-gene-3199</v>
      </c>
      <c r="B3200" s="1" t="s">
        <v>2876</v>
      </c>
      <c r="C3200" s="1" t="s">
        <v>8</v>
      </c>
      <c r="D3200" s="1">
        <v>2785001</v>
      </c>
      <c r="E3200" s="1">
        <v>2786140</v>
      </c>
      <c r="F3200" s="1" t="s">
        <v>13</v>
      </c>
      <c r="G3200" s="1" t="s">
        <v>11409</v>
      </c>
    </row>
    <row r="3201" spans="1:7" ht="21" x14ac:dyDescent="0.25">
      <c r="A3201" s="2" t="str">
        <f>HYPERLINK("https://rth.dk/resources/bsgatlas/details.php?id=BSGatlas-gene-3200","BSGatlas-gene-3200")</f>
        <v>BSGatlas-gene-3200</v>
      </c>
      <c r="B3201" s="1" t="s">
        <v>2877</v>
      </c>
      <c r="C3201" s="1" t="s">
        <v>8</v>
      </c>
      <c r="D3201" s="1">
        <v>2786142</v>
      </c>
      <c r="E3201" s="1">
        <v>2787065</v>
      </c>
      <c r="F3201" s="1" t="s">
        <v>13</v>
      </c>
      <c r="G3201" s="1" t="s">
        <v>11409</v>
      </c>
    </row>
    <row r="3202" spans="1:7" ht="21" x14ac:dyDescent="0.25">
      <c r="A3202" s="2" t="str">
        <f>HYPERLINK("https://rth.dk/resources/bsgatlas/details.php?id=BSGatlas-gene-3201","BSGatlas-gene-3201")</f>
        <v>BSGatlas-gene-3201</v>
      </c>
      <c r="B3202" s="1" t="s">
        <v>2878</v>
      </c>
      <c r="C3202" s="1" t="s">
        <v>8</v>
      </c>
      <c r="D3202" s="1">
        <v>2787130</v>
      </c>
      <c r="E3202" s="1">
        <v>2787825</v>
      </c>
      <c r="F3202" s="1" t="s">
        <v>13</v>
      </c>
      <c r="G3202" s="1" t="s">
        <v>11409</v>
      </c>
    </row>
    <row r="3203" spans="1:7" ht="21" x14ac:dyDescent="0.25">
      <c r="A3203" s="2" t="str">
        <f>HYPERLINK("https://rth.dk/resources/bsgatlas/details.php?id=BSGatlas-gene-3202","BSGatlas-gene-3202")</f>
        <v>BSGatlas-gene-3202</v>
      </c>
      <c r="B3203" s="1" t="s">
        <v>2879</v>
      </c>
      <c r="C3203" s="1" t="s">
        <v>8</v>
      </c>
      <c r="D3203" s="1">
        <v>2787846</v>
      </c>
      <c r="E3203" s="1">
        <v>2788487</v>
      </c>
      <c r="F3203" s="1" t="s">
        <v>13</v>
      </c>
      <c r="G3203" s="1" t="s">
        <v>11409</v>
      </c>
    </row>
    <row r="3204" spans="1:7" ht="21" x14ac:dyDescent="0.25">
      <c r="A3204" s="2" t="str">
        <f>HYPERLINK("https://rth.dk/resources/bsgatlas/details.php?id=BSGatlas-gene-3203","BSGatlas-gene-3203")</f>
        <v>BSGatlas-gene-3203</v>
      </c>
      <c r="B3204" s="1" t="s">
        <v>2880</v>
      </c>
      <c r="C3204" s="1" t="s">
        <v>8</v>
      </c>
      <c r="D3204" s="1">
        <v>2788680</v>
      </c>
      <c r="E3204" s="1">
        <v>2788883</v>
      </c>
      <c r="F3204" s="1" t="s">
        <v>9</v>
      </c>
      <c r="G3204" s="1" t="s">
        <v>11409</v>
      </c>
    </row>
    <row r="3205" spans="1:7" ht="21" x14ac:dyDescent="0.25">
      <c r="A3205" s="2" t="str">
        <f>HYPERLINK("https://rth.dk/resources/bsgatlas/details.php?id=BSGatlas-gene-3204","BSGatlas-gene-3204")</f>
        <v>BSGatlas-gene-3204</v>
      </c>
      <c r="B3205" s="1" t="s">
        <v>2881</v>
      </c>
      <c r="C3205" s="1" t="s">
        <v>8</v>
      </c>
      <c r="D3205" s="1">
        <v>2788920</v>
      </c>
      <c r="E3205" s="1">
        <v>2789621</v>
      </c>
      <c r="F3205" s="1" t="s">
        <v>13</v>
      </c>
      <c r="G3205" s="1" t="s">
        <v>11409</v>
      </c>
    </row>
    <row r="3206" spans="1:7" ht="21" x14ac:dyDescent="0.25">
      <c r="A3206" s="2" t="str">
        <f>HYPERLINK("https://rth.dk/resources/bsgatlas/details.php?id=BSGatlas-gene-3205","BSGatlas-gene-3205")</f>
        <v>BSGatlas-gene-3205</v>
      </c>
      <c r="B3206" s="1" t="s">
        <v>2882</v>
      </c>
      <c r="C3206" s="1" t="s">
        <v>8</v>
      </c>
      <c r="D3206" s="1">
        <v>2789686</v>
      </c>
      <c r="E3206" s="1">
        <v>2791440</v>
      </c>
      <c r="F3206" s="1" t="s">
        <v>13</v>
      </c>
      <c r="G3206" s="1" t="s">
        <v>11409</v>
      </c>
    </row>
    <row r="3207" spans="1:7" ht="21" x14ac:dyDescent="0.25">
      <c r="A3207" s="2" t="str">
        <f>HYPERLINK("https://rth.dk/resources/bsgatlas/details.php?id=BSGatlas-gene-3206","BSGatlas-gene-3206")</f>
        <v>BSGatlas-gene-3206</v>
      </c>
      <c r="B3207" s="1" t="s">
        <v>2883</v>
      </c>
      <c r="C3207" s="1" t="s">
        <v>8</v>
      </c>
      <c r="D3207" s="1">
        <v>2791494</v>
      </c>
      <c r="E3207" s="1">
        <v>2791967</v>
      </c>
      <c r="F3207" s="1" t="s">
        <v>13</v>
      </c>
      <c r="G3207" s="1" t="s">
        <v>11409</v>
      </c>
    </row>
    <row r="3208" spans="1:7" ht="21" x14ac:dyDescent="0.25">
      <c r="A3208" s="2" t="str">
        <f>HYPERLINK("https://rth.dk/resources/bsgatlas/details.php?id=BSGatlas-gene-3207","BSGatlas-gene-3207")</f>
        <v>BSGatlas-gene-3207</v>
      </c>
      <c r="B3208" s="1" t="s">
        <v>2884</v>
      </c>
      <c r="C3208" s="1" t="s">
        <v>8</v>
      </c>
      <c r="D3208" s="1">
        <v>2792218</v>
      </c>
      <c r="E3208" s="1">
        <v>2792853</v>
      </c>
      <c r="F3208" s="1" t="s">
        <v>13</v>
      </c>
      <c r="G3208" s="1" t="s">
        <v>11409</v>
      </c>
    </row>
    <row r="3209" spans="1:7" ht="21" x14ac:dyDescent="0.25">
      <c r="A3209" s="2" t="str">
        <f>HYPERLINK("https://rth.dk/resources/bsgatlas/details.php?id=BSGatlas-gene-3208","BSGatlas-gene-3208")</f>
        <v>BSGatlas-gene-3208</v>
      </c>
      <c r="B3209" s="1" t="s">
        <v>2885</v>
      </c>
      <c r="C3209" s="1" t="s">
        <v>8</v>
      </c>
      <c r="D3209" s="1">
        <v>2792860</v>
      </c>
      <c r="E3209" s="1">
        <v>2794128</v>
      </c>
      <c r="F3209" s="1" t="s">
        <v>13</v>
      </c>
      <c r="G3209" s="1" t="s">
        <v>11409</v>
      </c>
    </row>
    <row r="3210" spans="1:7" ht="21" x14ac:dyDescent="0.25">
      <c r="A3210" s="2" t="str">
        <f>HYPERLINK("https://rth.dk/resources/bsgatlas/details.php?id=BSGatlas-gene-3209","BSGatlas-gene-3209")</f>
        <v>BSGatlas-gene-3209</v>
      </c>
      <c r="B3210" s="1" t="s">
        <v>2886</v>
      </c>
      <c r="C3210" s="1" t="s">
        <v>8</v>
      </c>
      <c r="D3210" s="1">
        <v>2794147</v>
      </c>
      <c r="E3210" s="1">
        <v>2795076</v>
      </c>
      <c r="F3210" s="1" t="s">
        <v>13</v>
      </c>
      <c r="G3210" s="1" t="s">
        <v>11409</v>
      </c>
    </row>
    <row r="3211" spans="1:7" ht="21" x14ac:dyDescent="0.25">
      <c r="A3211" s="2" t="str">
        <f>HYPERLINK("https://rth.dk/resources/bsgatlas/details.php?id=BSGatlas-gene-3210","BSGatlas-gene-3210")</f>
        <v>BSGatlas-gene-3210</v>
      </c>
      <c r="B3211" s="1" t="s">
        <v>2887</v>
      </c>
      <c r="C3211" s="1" t="s">
        <v>8</v>
      </c>
      <c r="D3211" s="1">
        <v>2795082</v>
      </c>
      <c r="E3211" s="1">
        <v>2795735</v>
      </c>
      <c r="F3211" s="1" t="s">
        <v>13</v>
      </c>
      <c r="G3211" s="1" t="s">
        <v>11409</v>
      </c>
    </row>
    <row r="3212" spans="1:7" ht="21" x14ac:dyDescent="0.25">
      <c r="A3212" s="2" t="str">
        <f>HYPERLINK("https://rth.dk/resources/bsgatlas/details.php?id=BSGatlas-gene-3211","BSGatlas-gene-3211")</f>
        <v>BSGatlas-gene-3211</v>
      </c>
      <c r="B3212" s="1" t="s">
        <v>2888</v>
      </c>
      <c r="C3212" s="1" t="s">
        <v>8</v>
      </c>
      <c r="D3212" s="1">
        <v>2795887</v>
      </c>
      <c r="E3212" s="1">
        <v>2796969</v>
      </c>
      <c r="F3212" s="1" t="s">
        <v>13</v>
      </c>
      <c r="G3212" s="1" t="s">
        <v>11409</v>
      </c>
    </row>
    <row r="3213" spans="1:7" ht="21" x14ac:dyDescent="0.25">
      <c r="A3213" s="2" t="str">
        <f>HYPERLINK("https://rth.dk/resources/bsgatlas/details.php?id=BSGatlas-gene-3212","BSGatlas-gene-3212")</f>
        <v>BSGatlas-gene-3212</v>
      </c>
      <c r="B3213" s="1" t="s">
        <v>2889</v>
      </c>
      <c r="C3213" s="1" t="s">
        <v>8</v>
      </c>
      <c r="D3213" s="1">
        <v>2797100</v>
      </c>
      <c r="E3213" s="1">
        <v>2797381</v>
      </c>
      <c r="F3213" s="1" t="s">
        <v>13</v>
      </c>
      <c r="G3213" s="1" t="s">
        <v>11409</v>
      </c>
    </row>
    <row r="3214" spans="1:7" ht="21" x14ac:dyDescent="0.25">
      <c r="A3214" s="2" t="str">
        <f>HYPERLINK("https://rth.dk/resources/bsgatlas/details.php?id=BSGatlas-gene-3213","BSGatlas-gene-3213")</f>
        <v>BSGatlas-gene-3213</v>
      </c>
      <c r="B3214" s="1" t="s">
        <v>2890</v>
      </c>
      <c r="C3214" s="1" t="s">
        <v>8</v>
      </c>
      <c r="D3214" s="1">
        <v>2797399</v>
      </c>
      <c r="E3214" s="1">
        <v>2797815</v>
      </c>
      <c r="F3214" s="1" t="s">
        <v>13</v>
      </c>
      <c r="G3214" s="1" t="s">
        <v>11409</v>
      </c>
    </row>
    <row r="3215" spans="1:7" ht="21" x14ac:dyDescent="0.25">
      <c r="A3215" s="2" t="str">
        <f>HYPERLINK("https://rth.dk/resources/bsgatlas/details.php?id=BSGatlas-gene-3214","BSGatlas-gene-3214")</f>
        <v>BSGatlas-gene-3214</v>
      </c>
      <c r="B3215" s="1" t="s">
        <v>2891</v>
      </c>
      <c r="C3215" s="1" t="s">
        <v>8</v>
      </c>
      <c r="D3215" s="1">
        <v>2797823</v>
      </c>
      <c r="E3215" s="1">
        <v>2798089</v>
      </c>
      <c r="F3215" s="1" t="s">
        <v>13</v>
      </c>
      <c r="G3215" s="1" t="s">
        <v>11409</v>
      </c>
    </row>
    <row r="3216" spans="1:7" ht="21" x14ac:dyDescent="0.25">
      <c r="A3216" s="2" t="str">
        <f>HYPERLINK("https://rth.dk/resources/bsgatlas/details.php?id=BSGatlas-gene-3215","BSGatlas-gene-3215")</f>
        <v>BSGatlas-gene-3215</v>
      </c>
      <c r="B3216" s="1" t="s">
        <v>2893</v>
      </c>
      <c r="C3216" s="1" t="s">
        <v>12</v>
      </c>
      <c r="D3216" s="1">
        <v>2798008</v>
      </c>
      <c r="E3216" s="1">
        <v>2799197</v>
      </c>
      <c r="F3216" s="1" t="s">
        <v>9</v>
      </c>
      <c r="G3216" s="1" t="s">
        <v>11406</v>
      </c>
    </row>
    <row r="3217" spans="1:7" ht="21" x14ac:dyDescent="0.25">
      <c r="A3217" s="2" t="str">
        <f>HYPERLINK("https://rth.dk/resources/bsgatlas/details.php?id=BSGatlas-gene-3216","BSGatlas-gene-3216")</f>
        <v>BSGatlas-gene-3216</v>
      </c>
      <c r="B3217" s="1" t="s">
        <v>2892</v>
      </c>
      <c r="C3217" s="1" t="s">
        <v>8</v>
      </c>
      <c r="D3217" s="1">
        <v>2798174</v>
      </c>
      <c r="E3217" s="1">
        <v>2800810</v>
      </c>
      <c r="F3217" s="1" t="s">
        <v>13</v>
      </c>
      <c r="G3217" s="1" t="s">
        <v>11409</v>
      </c>
    </row>
    <row r="3218" spans="1:7" ht="21" x14ac:dyDescent="0.25">
      <c r="A3218" s="2" t="str">
        <f>HYPERLINK("https://rth.dk/resources/bsgatlas/details.php?id=BSGatlas-gene-3217","BSGatlas-gene-3217")</f>
        <v>BSGatlas-gene-3217</v>
      </c>
      <c r="B3218" s="1" t="s">
        <v>11706</v>
      </c>
      <c r="C3218" s="1" t="s">
        <v>34</v>
      </c>
      <c r="D3218" s="1">
        <v>2800890</v>
      </c>
      <c r="E3218" s="1">
        <v>2801097</v>
      </c>
      <c r="F3218" s="1" t="s">
        <v>13</v>
      </c>
      <c r="G3218" s="1" t="s">
        <v>11669</v>
      </c>
    </row>
    <row r="3219" spans="1:7" ht="21" x14ac:dyDescent="0.25">
      <c r="A3219" s="2" t="str">
        <f>HYPERLINK("https://rth.dk/resources/bsgatlas/details.php?id=BSGatlas-gene-3218","BSGatlas-gene-3218")</f>
        <v>BSGatlas-gene-3218</v>
      </c>
      <c r="B3219" s="1" t="s">
        <v>2894</v>
      </c>
      <c r="C3219" s="1" t="s">
        <v>8</v>
      </c>
      <c r="D3219" s="1">
        <v>2801141</v>
      </c>
      <c r="E3219" s="1">
        <v>2802202</v>
      </c>
      <c r="F3219" s="1" t="s">
        <v>13</v>
      </c>
      <c r="G3219" s="1" t="s">
        <v>11409</v>
      </c>
    </row>
    <row r="3220" spans="1:7" ht="21" x14ac:dyDescent="0.25">
      <c r="A3220" s="2" t="str">
        <f>HYPERLINK("https://rth.dk/resources/bsgatlas/details.php?id=BSGatlas-gene-3219","BSGatlas-gene-3219")</f>
        <v>BSGatlas-gene-3219</v>
      </c>
      <c r="B3220" s="1" t="s">
        <v>2895</v>
      </c>
      <c r="C3220" s="1" t="s">
        <v>8</v>
      </c>
      <c r="D3220" s="1">
        <v>2802358</v>
      </c>
      <c r="E3220" s="1">
        <v>2803086</v>
      </c>
      <c r="F3220" s="1" t="s">
        <v>9</v>
      </c>
      <c r="G3220" s="1" t="s">
        <v>11409</v>
      </c>
    </row>
    <row r="3221" spans="1:7" ht="21" x14ac:dyDescent="0.25">
      <c r="A3221" s="2" t="str">
        <f>HYPERLINK("https://rth.dk/resources/bsgatlas/details.php?id=BSGatlas-gene-3220","BSGatlas-gene-3220")</f>
        <v>BSGatlas-gene-3220</v>
      </c>
      <c r="B3221" s="1" t="s">
        <v>2896</v>
      </c>
      <c r="C3221" s="1" t="s">
        <v>8</v>
      </c>
      <c r="D3221" s="1">
        <v>2803108</v>
      </c>
      <c r="E3221" s="1">
        <v>2803929</v>
      </c>
      <c r="F3221" s="1" t="s">
        <v>9</v>
      </c>
      <c r="G3221" s="1" t="s">
        <v>11409</v>
      </c>
    </row>
    <row r="3222" spans="1:7" ht="21" x14ac:dyDescent="0.25">
      <c r="A3222" s="2" t="str">
        <f>HYPERLINK("https://rth.dk/resources/bsgatlas/details.php?id=BSGatlas-gene-3221","BSGatlas-gene-3221")</f>
        <v>BSGatlas-gene-3221</v>
      </c>
      <c r="B3222" s="1" t="s">
        <v>2897</v>
      </c>
      <c r="C3222" s="1" t="s">
        <v>8</v>
      </c>
      <c r="D3222" s="1">
        <v>2803990</v>
      </c>
      <c r="E3222" s="1">
        <v>2804640</v>
      </c>
      <c r="F3222" s="1" t="s">
        <v>9</v>
      </c>
      <c r="G3222" s="1" t="s">
        <v>11409</v>
      </c>
    </row>
    <row r="3223" spans="1:7" ht="21" x14ac:dyDescent="0.25">
      <c r="A3223" s="2" t="str">
        <f>HYPERLINK("https://rth.dk/resources/bsgatlas/details.php?id=BSGatlas-gene-3222","BSGatlas-gene-3222")</f>
        <v>BSGatlas-gene-3222</v>
      </c>
      <c r="B3223" s="1" t="s">
        <v>2898</v>
      </c>
      <c r="C3223" s="1" t="s">
        <v>8</v>
      </c>
      <c r="D3223" s="1">
        <v>2804657</v>
      </c>
      <c r="E3223" s="1">
        <v>2805313</v>
      </c>
      <c r="F3223" s="1" t="s">
        <v>9</v>
      </c>
      <c r="G3223" s="1" t="s">
        <v>11409</v>
      </c>
    </row>
    <row r="3224" spans="1:7" ht="21" x14ac:dyDescent="0.25">
      <c r="A3224" s="2" t="str">
        <f>HYPERLINK("https://rth.dk/resources/bsgatlas/details.php?id=BSGatlas-gene-3223","BSGatlas-gene-3223")</f>
        <v>BSGatlas-gene-3223</v>
      </c>
      <c r="B3224" s="1" t="s">
        <v>2899</v>
      </c>
      <c r="C3224" s="1" t="s">
        <v>8</v>
      </c>
      <c r="D3224" s="1">
        <v>2805348</v>
      </c>
      <c r="E3224" s="1">
        <v>2805479</v>
      </c>
      <c r="F3224" s="1" t="s">
        <v>13</v>
      </c>
      <c r="G3224" s="1" t="s">
        <v>11409</v>
      </c>
    </row>
    <row r="3225" spans="1:7" ht="21" x14ac:dyDescent="0.25">
      <c r="A3225" s="2" t="str">
        <f>HYPERLINK("https://rth.dk/resources/bsgatlas/details.php?id=BSGatlas-gene-3224","BSGatlas-gene-3224")</f>
        <v>BSGatlas-gene-3224</v>
      </c>
      <c r="B3225" s="1" t="s">
        <v>2900</v>
      </c>
      <c r="C3225" s="1" t="s">
        <v>8</v>
      </c>
      <c r="D3225" s="1">
        <v>2805501</v>
      </c>
      <c r="E3225" s="1">
        <v>2805692</v>
      </c>
      <c r="F3225" s="1" t="s">
        <v>13</v>
      </c>
      <c r="G3225" s="1" t="s">
        <v>11409</v>
      </c>
    </row>
    <row r="3226" spans="1:7" ht="21" x14ac:dyDescent="0.25">
      <c r="A3226" s="2" t="str">
        <f>HYPERLINK("https://rth.dk/resources/bsgatlas/details.php?id=BSGatlas-gene-3225","BSGatlas-gene-3225")</f>
        <v>BSGatlas-gene-3225</v>
      </c>
      <c r="B3226" s="1" t="s">
        <v>2901</v>
      </c>
      <c r="C3226" s="1" t="s">
        <v>8</v>
      </c>
      <c r="D3226" s="1">
        <v>2805704</v>
      </c>
      <c r="E3226" s="1">
        <v>2806228</v>
      </c>
      <c r="F3226" s="1" t="s">
        <v>13</v>
      </c>
      <c r="G3226" s="1" t="s">
        <v>11409</v>
      </c>
    </row>
    <row r="3227" spans="1:7" ht="21" x14ac:dyDescent="0.25">
      <c r="A3227" s="2" t="str">
        <f>HYPERLINK("https://rth.dk/resources/bsgatlas/details.php?id=BSGatlas-gene-3226","BSGatlas-gene-3226")</f>
        <v>BSGatlas-gene-3226</v>
      </c>
      <c r="B3227" s="1" t="s">
        <v>2902</v>
      </c>
      <c r="C3227" s="1" t="s">
        <v>8</v>
      </c>
      <c r="D3227" s="1">
        <v>2806286</v>
      </c>
      <c r="E3227" s="1">
        <v>2808682</v>
      </c>
      <c r="F3227" s="1" t="s">
        <v>13</v>
      </c>
      <c r="G3227" s="1" t="s">
        <v>11409</v>
      </c>
    </row>
    <row r="3228" spans="1:7" ht="21" x14ac:dyDescent="0.25">
      <c r="A3228" s="2" t="str">
        <f>HYPERLINK("https://rth.dk/resources/bsgatlas/details.php?id=BSGatlas-gene-3227","BSGatlas-gene-3227")</f>
        <v>BSGatlas-gene-3227</v>
      </c>
      <c r="B3228" s="1" t="s">
        <v>2907</v>
      </c>
      <c r="C3228" s="1" t="s">
        <v>12</v>
      </c>
      <c r="D3228" s="1">
        <v>2806566</v>
      </c>
      <c r="E3228" s="1">
        <v>2806915</v>
      </c>
      <c r="F3228" s="1" t="s">
        <v>9</v>
      </c>
      <c r="G3228" s="1" t="s">
        <v>11406</v>
      </c>
    </row>
    <row r="3229" spans="1:7" ht="21" x14ac:dyDescent="0.25">
      <c r="A3229" s="2" t="str">
        <f>HYPERLINK("https://rth.dk/resources/bsgatlas/details.php?id=BSGatlas-gene-3228","BSGatlas-gene-3228")</f>
        <v>BSGatlas-gene-3228</v>
      </c>
      <c r="B3229" s="1" t="s">
        <v>2903</v>
      </c>
      <c r="C3229" s="1" t="s">
        <v>8</v>
      </c>
      <c r="D3229" s="1">
        <v>2808707</v>
      </c>
      <c r="E3229" s="1">
        <v>2809327</v>
      </c>
      <c r="F3229" s="1" t="s">
        <v>13</v>
      </c>
      <c r="G3229" s="1" t="s">
        <v>11409</v>
      </c>
    </row>
    <row r="3230" spans="1:7" ht="21" x14ac:dyDescent="0.25">
      <c r="A3230" s="2" t="str">
        <f>HYPERLINK("https://rth.dk/resources/bsgatlas/details.php?id=BSGatlas-gene-3229","BSGatlas-gene-3229")</f>
        <v>BSGatlas-gene-3229</v>
      </c>
      <c r="B3230" s="1" t="s">
        <v>2904</v>
      </c>
      <c r="C3230" s="1" t="s">
        <v>8</v>
      </c>
      <c r="D3230" s="1">
        <v>2809413</v>
      </c>
      <c r="E3230" s="1">
        <v>2810528</v>
      </c>
      <c r="F3230" s="1" t="s">
        <v>13</v>
      </c>
      <c r="G3230" s="1" t="s">
        <v>11409</v>
      </c>
    </row>
    <row r="3231" spans="1:7" ht="21" x14ac:dyDescent="0.25">
      <c r="A3231" s="2" t="str">
        <f>HYPERLINK("https://rth.dk/resources/bsgatlas/details.php?id=BSGatlas-gene-3230","BSGatlas-gene-3230")</f>
        <v>BSGatlas-gene-3230</v>
      </c>
      <c r="B3231" s="1" t="s">
        <v>2905</v>
      </c>
      <c r="C3231" s="1" t="s">
        <v>8</v>
      </c>
      <c r="D3231" s="1">
        <v>2810559</v>
      </c>
      <c r="E3231" s="1">
        <v>2811698</v>
      </c>
      <c r="F3231" s="1" t="s">
        <v>13</v>
      </c>
      <c r="G3231" s="1" t="s">
        <v>11409</v>
      </c>
    </row>
    <row r="3232" spans="1:7" ht="21" x14ac:dyDescent="0.25">
      <c r="A3232" s="2" t="str">
        <f>HYPERLINK("https://rth.dk/resources/bsgatlas/details.php?id=BSGatlas-gene-3231","BSGatlas-gene-3231")</f>
        <v>BSGatlas-gene-3231</v>
      </c>
      <c r="B3232" s="1" t="s">
        <v>2906</v>
      </c>
      <c r="C3232" s="1" t="s">
        <v>8</v>
      </c>
      <c r="D3232" s="1">
        <v>2811717</v>
      </c>
      <c r="E3232" s="1">
        <v>2812133</v>
      </c>
      <c r="F3232" s="1" t="s">
        <v>13</v>
      </c>
      <c r="G3232" s="1" t="s">
        <v>11409</v>
      </c>
    </row>
    <row r="3233" spans="1:7" ht="21" x14ac:dyDescent="0.25">
      <c r="A3233" s="2" t="str">
        <f>HYPERLINK("https://rth.dk/resources/bsgatlas/details.php?id=BSGatlas-gene-3232","BSGatlas-gene-3232")</f>
        <v>BSGatlas-gene-3232</v>
      </c>
      <c r="B3233" s="1" t="s">
        <v>2908</v>
      </c>
      <c r="C3233" s="1" t="s">
        <v>8</v>
      </c>
      <c r="D3233" s="1">
        <v>2812336</v>
      </c>
      <c r="E3233" s="1">
        <v>2813601</v>
      </c>
      <c r="F3233" s="1" t="s">
        <v>9</v>
      </c>
      <c r="G3233" s="1" t="s">
        <v>11409</v>
      </c>
    </row>
    <row r="3234" spans="1:7" ht="21" x14ac:dyDescent="0.25">
      <c r="A3234" s="2" t="str">
        <f>HYPERLINK("https://rth.dk/resources/bsgatlas/details.php?id=BSGatlas-gene-3233","BSGatlas-gene-3233")</f>
        <v>BSGatlas-gene-3233</v>
      </c>
      <c r="B3234" s="1" t="s">
        <v>2909</v>
      </c>
      <c r="C3234" s="1" t="s">
        <v>8</v>
      </c>
      <c r="D3234" s="1">
        <v>2813643</v>
      </c>
      <c r="E3234" s="1">
        <v>2814407</v>
      </c>
      <c r="F3234" s="1" t="s">
        <v>13</v>
      </c>
      <c r="G3234" s="1" t="s">
        <v>11409</v>
      </c>
    </row>
    <row r="3235" spans="1:7" ht="21" x14ac:dyDescent="0.25">
      <c r="A3235" s="2" t="str">
        <f>HYPERLINK("https://rth.dk/resources/bsgatlas/details.php?id=BSGatlas-gene-3234","BSGatlas-gene-3234")</f>
        <v>BSGatlas-gene-3234</v>
      </c>
      <c r="B3235" s="1" t="s">
        <v>2910</v>
      </c>
      <c r="C3235" s="1" t="s">
        <v>55</v>
      </c>
      <c r="D3235" s="1">
        <v>2814489</v>
      </c>
      <c r="E3235" s="1">
        <v>2814691</v>
      </c>
      <c r="F3235" s="1" t="s">
        <v>13</v>
      </c>
      <c r="G3235" s="1" t="s">
        <v>11413</v>
      </c>
    </row>
    <row r="3236" spans="1:7" ht="21" x14ac:dyDescent="0.25">
      <c r="A3236" s="2" t="str">
        <f>HYPERLINK("https://rth.dk/resources/bsgatlas/details.php?id=BSGatlas-gene-3235","BSGatlas-gene-3235")</f>
        <v>BSGatlas-gene-3235</v>
      </c>
      <c r="B3236" s="1" t="s">
        <v>2911</v>
      </c>
      <c r="C3236" s="1" t="s">
        <v>8</v>
      </c>
      <c r="D3236" s="1">
        <v>2814743</v>
      </c>
      <c r="E3236" s="1">
        <v>2816521</v>
      </c>
      <c r="F3236" s="1" t="s">
        <v>13</v>
      </c>
      <c r="G3236" s="1" t="s">
        <v>11409</v>
      </c>
    </row>
    <row r="3237" spans="1:7" ht="21" x14ac:dyDescent="0.25">
      <c r="A3237" s="2" t="str">
        <f>HYPERLINK("https://rth.dk/resources/bsgatlas/details.php?id=BSGatlas-gene-3236","BSGatlas-gene-3236")</f>
        <v>BSGatlas-gene-3236</v>
      </c>
      <c r="B3237" s="1" t="s">
        <v>2912</v>
      </c>
      <c r="C3237" s="1" t="s">
        <v>8</v>
      </c>
      <c r="D3237" s="1">
        <v>2816535</v>
      </c>
      <c r="E3237" s="1">
        <v>2817809</v>
      </c>
      <c r="F3237" s="1" t="s">
        <v>13</v>
      </c>
      <c r="G3237" s="1" t="s">
        <v>11409</v>
      </c>
    </row>
    <row r="3238" spans="1:7" ht="21" x14ac:dyDescent="0.25">
      <c r="A3238" s="2" t="str">
        <f>HYPERLINK("https://rth.dk/resources/bsgatlas/details.php?id=BSGatlas-gene-3237","BSGatlas-gene-3237")</f>
        <v>BSGatlas-gene-3237</v>
      </c>
      <c r="B3238" s="1" t="s">
        <v>2913</v>
      </c>
      <c r="C3238" s="1" t="s">
        <v>34</v>
      </c>
      <c r="D3238" s="1">
        <v>2817898</v>
      </c>
      <c r="E3238" s="1">
        <v>2818131</v>
      </c>
      <c r="F3238" s="1" t="s">
        <v>13</v>
      </c>
      <c r="G3238" s="1" t="s">
        <v>11412</v>
      </c>
    </row>
    <row r="3239" spans="1:7" ht="21" x14ac:dyDescent="0.25">
      <c r="A3239" s="2" t="str">
        <f>HYPERLINK("https://rth.dk/resources/bsgatlas/details.php?id=BSGatlas-gene-3238","BSGatlas-gene-3238")</f>
        <v>BSGatlas-gene-3238</v>
      </c>
      <c r="B3239" s="1" t="s">
        <v>2915</v>
      </c>
      <c r="C3239" s="1" t="s">
        <v>8</v>
      </c>
      <c r="D3239" s="1">
        <v>2818191</v>
      </c>
      <c r="E3239" s="1">
        <v>2818361</v>
      </c>
      <c r="F3239" s="1" t="s">
        <v>13</v>
      </c>
      <c r="G3239" s="1" t="s">
        <v>11409</v>
      </c>
    </row>
    <row r="3240" spans="1:7" ht="21" x14ac:dyDescent="0.25">
      <c r="A3240" s="2" t="str">
        <f>HYPERLINK("https://rth.dk/resources/bsgatlas/details.php?id=BSGatlas-gene-3239","BSGatlas-gene-3239")</f>
        <v>BSGatlas-gene-3239</v>
      </c>
      <c r="B3240" s="1" t="s">
        <v>2914</v>
      </c>
      <c r="C3240" s="1" t="s">
        <v>8</v>
      </c>
      <c r="D3240" s="1">
        <v>2818494</v>
      </c>
      <c r="E3240" s="1">
        <v>2820050</v>
      </c>
      <c r="F3240" s="1" t="s">
        <v>9</v>
      </c>
      <c r="G3240" s="1" t="s">
        <v>11409</v>
      </c>
    </row>
    <row r="3241" spans="1:7" ht="21" x14ac:dyDescent="0.25">
      <c r="A3241" s="2" t="str">
        <f>HYPERLINK("https://rth.dk/resources/bsgatlas/details.php?id=BSGatlas-gene-3240","BSGatlas-gene-3240")</f>
        <v>BSGatlas-gene-3240</v>
      </c>
      <c r="B3241" s="1" t="s">
        <v>2916</v>
      </c>
      <c r="C3241" s="1" t="s">
        <v>8</v>
      </c>
      <c r="D3241" s="1">
        <v>2820077</v>
      </c>
      <c r="E3241" s="1">
        <v>2820475</v>
      </c>
      <c r="F3241" s="1" t="s">
        <v>13</v>
      </c>
      <c r="G3241" s="1" t="s">
        <v>11409</v>
      </c>
    </row>
    <row r="3242" spans="1:7" ht="21" x14ac:dyDescent="0.25">
      <c r="A3242" s="2" t="str">
        <f>HYPERLINK("https://rth.dk/resources/bsgatlas/details.php?id=BSGatlas-gene-3241","BSGatlas-gene-3241")</f>
        <v>BSGatlas-gene-3241</v>
      </c>
      <c r="B3242" s="1" t="s">
        <v>2917</v>
      </c>
      <c r="C3242" s="1" t="s">
        <v>8</v>
      </c>
      <c r="D3242" s="1">
        <v>2820529</v>
      </c>
      <c r="E3242" s="1">
        <v>2822733</v>
      </c>
      <c r="F3242" s="1" t="s">
        <v>13</v>
      </c>
      <c r="G3242" s="1" t="s">
        <v>11409</v>
      </c>
    </row>
    <row r="3243" spans="1:7" ht="21" x14ac:dyDescent="0.25">
      <c r="A3243" s="2" t="str">
        <f>HYPERLINK("https://rth.dk/resources/bsgatlas/details.php?id=BSGatlas-gene-3242","BSGatlas-gene-3242")</f>
        <v>BSGatlas-gene-3242</v>
      </c>
      <c r="B3243" s="1" t="s">
        <v>2918</v>
      </c>
      <c r="C3243" s="1" t="s">
        <v>8</v>
      </c>
      <c r="D3243" s="1">
        <v>2822901</v>
      </c>
      <c r="E3243" s="1">
        <v>2823413</v>
      </c>
      <c r="F3243" s="1" t="s">
        <v>13</v>
      </c>
      <c r="G3243" s="1" t="s">
        <v>11409</v>
      </c>
    </row>
    <row r="3244" spans="1:7" ht="21" x14ac:dyDescent="0.25">
      <c r="A3244" s="2" t="str">
        <f>HYPERLINK("https://rth.dk/resources/bsgatlas/details.php?id=BSGatlas-gene-3243","BSGatlas-gene-3243")</f>
        <v>BSGatlas-gene-3243</v>
      </c>
      <c r="B3244" s="1" t="s">
        <v>2919</v>
      </c>
      <c r="C3244" s="1" t="s">
        <v>8</v>
      </c>
      <c r="D3244" s="1">
        <v>2823419</v>
      </c>
      <c r="E3244" s="1">
        <v>2825779</v>
      </c>
      <c r="F3244" s="1" t="s">
        <v>13</v>
      </c>
      <c r="G3244" s="1" t="s">
        <v>11409</v>
      </c>
    </row>
    <row r="3245" spans="1:7" ht="21" x14ac:dyDescent="0.25">
      <c r="A3245" s="2" t="str">
        <f>HYPERLINK("https://rth.dk/resources/bsgatlas/details.php?id=BSGatlas-gene-3244","BSGatlas-gene-3244")</f>
        <v>BSGatlas-gene-3244</v>
      </c>
      <c r="B3245" s="1" t="s">
        <v>2920</v>
      </c>
      <c r="C3245" s="1" t="s">
        <v>8</v>
      </c>
      <c r="D3245" s="1">
        <v>2825846</v>
      </c>
      <c r="E3245" s="1">
        <v>2826169</v>
      </c>
      <c r="F3245" s="1" t="s">
        <v>13</v>
      </c>
      <c r="G3245" s="1" t="s">
        <v>11409</v>
      </c>
    </row>
    <row r="3246" spans="1:7" ht="21" x14ac:dyDescent="0.25">
      <c r="A3246" s="2" t="str">
        <f>HYPERLINK("https://rth.dk/resources/bsgatlas/details.php?id=BSGatlas-gene-3245","BSGatlas-gene-3245")</f>
        <v>BSGatlas-gene-3245</v>
      </c>
      <c r="B3246" s="1" t="s">
        <v>2921</v>
      </c>
      <c r="C3246" s="1" t="s">
        <v>8</v>
      </c>
      <c r="D3246" s="1">
        <v>2826245</v>
      </c>
      <c r="E3246" s="1">
        <v>2826742</v>
      </c>
      <c r="F3246" s="1" t="s">
        <v>13</v>
      </c>
      <c r="G3246" s="1" t="s">
        <v>11409</v>
      </c>
    </row>
    <row r="3247" spans="1:7" ht="21" x14ac:dyDescent="0.25">
      <c r="A3247" s="2" t="str">
        <f>HYPERLINK("https://rth.dk/resources/bsgatlas/details.php?id=BSGatlas-gene-3246","BSGatlas-gene-3246")</f>
        <v>BSGatlas-gene-3246</v>
      </c>
      <c r="B3247" s="1" t="s">
        <v>2922</v>
      </c>
      <c r="C3247" s="1" t="s">
        <v>8</v>
      </c>
      <c r="D3247" s="1">
        <v>2826900</v>
      </c>
      <c r="E3247" s="1">
        <v>2829113</v>
      </c>
      <c r="F3247" s="1" t="s">
        <v>13</v>
      </c>
      <c r="G3247" s="1" t="s">
        <v>11409</v>
      </c>
    </row>
    <row r="3248" spans="1:7" ht="21" x14ac:dyDescent="0.25">
      <c r="A3248" s="2" t="str">
        <f>HYPERLINK("https://rth.dk/resources/bsgatlas/details.php?id=BSGatlas-gene-3247","BSGatlas-gene-3247")</f>
        <v>BSGatlas-gene-3247</v>
      </c>
      <c r="B3248" s="1" t="s">
        <v>2923</v>
      </c>
      <c r="C3248" s="1" t="s">
        <v>8</v>
      </c>
      <c r="D3248" s="1">
        <v>2829152</v>
      </c>
      <c r="E3248" s="1">
        <v>2829448</v>
      </c>
      <c r="F3248" s="1" t="s">
        <v>13</v>
      </c>
      <c r="G3248" s="1" t="s">
        <v>11409</v>
      </c>
    </row>
    <row r="3249" spans="1:7" ht="21" x14ac:dyDescent="0.25">
      <c r="A3249" s="2" t="str">
        <f>HYPERLINK("https://rth.dk/resources/bsgatlas/details.php?id=BSGatlas-gene-3248","BSGatlas-gene-3248")</f>
        <v>BSGatlas-gene-3248</v>
      </c>
      <c r="B3249" s="1" t="s">
        <v>2924</v>
      </c>
      <c r="C3249" s="1" t="s">
        <v>8</v>
      </c>
      <c r="D3249" s="1">
        <v>2829564</v>
      </c>
      <c r="E3249" s="1">
        <v>2831120</v>
      </c>
      <c r="F3249" s="1" t="s">
        <v>9</v>
      </c>
      <c r="G3249" s="1" t="s">
        <v>11409</v>
      </c>
    </row>
    <row r="3250" spans="1:7" ht="21" x14ac:dyDescent="0.25">
      <c r="A3250" s="2" t="str">
        <f>HYPERLINK("https://rth.dk/resources/bsgatlas/details.php?id=BSGatlas-gene-3249","BSGatlas-gene-3249")</f>
        <v>BSGatlas-gene-3249</v>
      </c>
      <c r="B3250" s="1" t="s">
        <v>2926</v>
      </c>
      <c r="C3250" s="1" t="s">
        <v>8</v>
      </c>
      <c r="D3250" s="1">
        <v>2831124</v>
      </c>
      <c r="E3250" s="1">
        <v>2831780</v>
      </c>
      <c r="F3250" s="1" t="s">
        <v>13</v>
      </c>
      <c r="G3250" s="1" t="s">
        <v>11409</v>
      </c>
    </row>
    <row r="3251" spans="1:7" ht="21" x14ac:dyDescent="0.25">
      <c r="A3251" s="2" t="str">
        <f>HYPERLINK("https://rth.dk/resources/bsgatlas/details.php?id=BSGatlas-gene-3250","BSGatlas-gene-3250")</f>
        <v>BSGatlas-gene-3250</v>
      </c>
      <c r="B3251" s="1" t="s">
        <v>2925</v>
      </c>
      <c r="C3251" s="1" t="s">
        <v>8</v>
      </c>
      <c r="D3251" s="1">
        <v>2831915</v>
      </c>
      <c r="E3251" s="1">
        <v>2832367</v>
      </c>
      <c r="F3251" s="1" t="s">
        <v>9</v>
      </c>
      <c r="G3251" s="1" t="s">
        <v>11409</v>
      </c>
    </row>
    <row r="3252" spans="1:7" ht="21" x14ac:dyDescent="0.25">
      <c r="A3252" s="2" t="str">
        <f>HYPERLINK("https://rth.dk/resources/bsgatlas/details.php?id=BSGatlas-gene-3251","BSGatlas-gene-3251")</f>
        <v>BSGatlas-gene-3251</v>
      </c>
      <c r="B3252" s="1" t="s">
        <v>2927</v>
      </c>
      <c r="C3252" s="1" t="s">
        <v>8</v>
      </c>
      <c r="D3252" s="1">
        <v>2832424</v>
      </c>
      <c r="E3252" s="1">
        <v>2832690</v>
      </c>
      <c r="F3252" s="1" t="s">
        <v>13</v>
      </c>
      <c r="G3252" s="1" t="s">
        <v>11409</v>
      </c>
    </row>
    <row r="3253" spans="1:7" ht="21" x14ac:dyDescent="0.25">
      <c r="A3253" s="2" t="str">
        <f>HYPERLINK("https://rth.dk/resources/bsgatlas/details.php?id=BSGatlas-gene-3252","BSGatlas-gene-3252")</f>
        <v>BSGatlas-gene-3252</v>
      </c>
      <c r="B3253" s="1" t="s">
        <v>2928</v>
      </c>
      <c r="C3253" s="1" t="s">
        <v>8</v>
      </c>
      <c r="D3253" s="1">
        <v>2832727</v>
      </c>
      <c r="E3253" s="1">
        <v>2833872</v>
      </c>
      <c r="F3253" s="1" t="s">
        <v>13</v>
      </c>
      <c r="G3253" s="1" t="s">
        <v>11409</v>
      </c>
    </row>
    <row r="3254" spans="1:7" ht="21" x14ac:dyDescent="0.25">
      <c r="A3254" s="2" t="str">
        <f>HYPERLINK("https://rth.dk/resources/bsgatlas/details.php?id=BSGatlas-gene-3253","BSGatlas-gene-3253")</f>
        <v>BSGatlas-gene-3253</v>
      </c>
      <c r="B3254" s="1" t="s">
        <v>2929</v>
      </c>
      <c r="C3254" s="1" t="s">
        <v>8</v>
      </c>
      <c r="D3254" s="1">
        <v>2833899</v>
      </c>
      <c r="E3254" s="1">
        <v>2834927</v>
      </c>
      <c r="F3254" s="1" t="s">
        <v>13</v>
      </c>
      <c r="G3254" s="1" t="s">
        <v>11409</v>
      </c>
    </row>
    <row r="3255" spans="1:7" ht="21" x14ac:dyDescent="0.25">
      <c r="A3255" s="2" t="str">
        <f>HYPERLINK("https://rth.dk/resources/bsgatlas/details.php?id=BSGatlas-gene-3254","BSGatlas-gene-3254")</f>
        <v>BSGatlas-gene-3254</v>
      </c>
      <c r="B3255" s="1" t="s">
        <v>2930</v>
      </c>
      <c r="C3255" s="1" t="s">
        <v>8</v>
      </c>
      <c r="D3255" s="1">
        <v>2834957</v>
      </c>
      <c r="E3255" s="1">
        <v>2835157</v>
      </c>
      <c r="F3255" s="1" t="s">
        <v>13</v>
      </c>
      <c r="G3255" s="1" t="s">
        <v>11409</v>
      </c>
    </row>
    <row r="3256" spans="1:7" ht="21" x14ac:dyDescent="0.25">
      <c r="A3256" s="2" t="str">
        <f>HYPERLINK("https://rth.dk/resources/bsgatlas/details.php?id=BSGatlas-gene-3255","BSGatlas-gene-3255")</f>
        <v>BSGatlas-gene-3255</v>
      </c>
      <c r="B3256" s="1" t="s">
        <v>2931</v>
      </c>
      <c r="C3256" s="1" t="s">
        <v>8</v>
      </c>
      <c r="D3256" s="1">
        <v>2835150</v>
      </c>
      <c r="E3256" s="1">
        <v>2836154</v>
      </c>
      <c r="F3256" s="1" t="s">
        <v>13</v>
      </c>
      <c r="G3256" s="1" t="s">
        <v>11409</v>
      </c>
    </row>
    <row r="3257" spans="1:7" ht="21" x14ac:dyDescent="0.25">
      <c r="A3257" s="2" t="str">
        <f>HYPERLINK("https://rth.dk/resources/bsgatlas/details.php?id=BSGatlas-gene-3256","BSGatlas-gene-3256")</f>
        <v>BSGatlas-gene-3256</v>
      </c>
      <c r="B3257" s="1" t="s">
        <v>2932</v>
      </c>
      <c r="C3257" s="1" t="s">
        <v>8</v>
      </c>
      <c r="D3257" s="1">
        <v>2836165</v>
      </c>
      <c r="E3257" s="1">
        <v>2836770</v>
      </c>
      <c r="F3257" s="1" t="s">
        <v>13</v>
      </c>
      <c r="G3257" s="1" t="s">
        <v>11409</v>
      </c>
    </row>
    <row r="3258" spans="1:7" ht="21" x14ac:dyDescent="0.25">
      <c r="A3258" s="2" t="str">
        <f>HYPERLINK("https://rth.dk/resources/bsgatlas/details.php?id=BSGatlas-gene-3257","BSGatlas-gene-3257")</f>
        <v>BSGatlas-gene-3257</v>
      </c>
      <c r="B3258" s="1" t="s">
        <v>2933</v>
      </c>
      <c r="C3258" s="1" t="s">
        <v>8</v>
      </c>
      <c r="D3258" s="1">
        <v>2836909</v>
      </c>
      <c r="E3258" s="1">
        <v>2837421</v>
      </c>
      <c r="F3258" s="1" t="s">
        <v>13</v>
      </c>
      <c r="G3258" s="1" t="s">
        <v>11409</v>
      </c>
    </row>
    <row r="3259" spans="1:7" ht="21" x14ac:dyDescent="0.25">
      <c r="A3259" s="2" t="str">
        <f>HYPERLINK("https://rth.dk/resources/bsgatlas/details.php?id=BSGatlas-gene-3258","BSGatlas-gene-3258")</f>
        <v>BSGatlas-gene-3258</v>
      </c>
      <c r="B3259" s="1" t="s">
        <v>2934</v>
      </c>
      <c r="C3259" s="1" t="s">
        <v>8</v>
      </c>
      <c r="D3259" s="1">
        <v>2837469</v>
      </c>
      <c r="E3259" s="1">
        <v>2838776</v>
      </c>
      <c r="F3259" s="1" t="s">
        <v>13</v>
      </c>
      <c r="G3259" s="1" t="s">
        <v>11409</v>
      </c>
    </row>
    <row r="3260" spans="1:7" ht="21" x14ac:dyDescent="0.25">
      <c r="A3260" s="2" t="str">
        <f>HYPERLINK("https://rth.dk/resources/bsgatlas/details.php?id=BSGatlas-gene-3259","BSGatlas-gene-3259")</f>
        <v>BSGatlas-gene-3259</v>
      </c>
      <c r="B3260" s="1" t="s">
        <v>2935</v>
      </c>
      <c r="C3260" s="1" t="s">
        <v>8</v>
      </c>
      <c r="D3260" s="1">
        <v>2838847</v>
      </c>
      <c r="E3260" s="1">
        <v>2839872</v>
      </c>
      <c r="F3260" s="1" t="s">
        <v>13</v>
      </c>
      <c r="G3260" s="1" t="s">
        <v>11409</v>
      </c>
    </row>
    <row r="3261" spans="1:7" ht="21" x14ac:dyDescent="0.25">
      <c r="A3261" s="2" t="str">
        <f>HYPERLINK("https://rth.dk/resources/bsgatlas/details.php?id=BSGatlas-gene-3260","BSGatlas-gene-3260")</f>
        <v>BSGatlas-gene-3260</v>
      </c>
      <c r="B3261" s="1" t="s">
        <v>2936</v>
      </c>
      <c r="C3261" s="1" t="s">
        <v>8</v>
      </c>
      <c r="D3261" s="1">
        <v>2840110</v>
      </c>
      <c r="E3261" s="1">
        <v>2840757</v>
      </c>
      <c r="F3261" s="1" t="s">
        <v>9</v>
      </c>
      <c r="G3261" s="1" t="s">
        <v>11409</v>
      </c>
    </row>
    <row r="3262" spans="1:7" ht="21" x14ac:dyDescent="0.25">
      <c r="A3262" s="2" t="str">
        <f>HYPERLINK("https://rth.dk/resources/bsgatlas/details.php?id=BSGatlas-gene-3261","BSGatlas-gene-3261")</f>
        <v>BSGatlas-gene-3261</v>
      </c>
      <c r="B3262" s="1" t="s">
        <v>2937</v>
      </c>
      <c r="C3262" s="1" t="s">
        <v>12</v>
      </c>
      <c r="D3262" s="1">
        <v>2840767</v>
      </c>
      <c r="E3262" s="1">
        <v>2840964</v>
      </c>
      <c r="F3262" s="1" t="s">
        <v>13</v>
      </c>
      <c r="G3262" s="1" t="s">
        <v>11406</v>
      </c>
    </row>
    <row r="3263" spans="1:7" ht="21" x14ac:dyDescent="0.25">
      <c r="A3263" s="2" t="str">
        <f>HYPERLINK("https://rth.dk/resources/bsgatlas/details.php?id=BSGatlas-gene-3262","BSGatlas-gene-3262")</f>
        <v>BSGatlas-gene-3262</v>
      </c>
      <c r="B3263" s="1" t="s">
        <v>318</v>
      </c>
      <c r="C3263" s="1" t="s">
        <v>8</v>
      </c>
      <c r="D3263" s="1">
        <v>2840803</v>
      </c>
      <c r="E3263" s="1">
        <v>2840925</v>
      </c>
      <c r="F3263" s="1" t="s">
        <v>13</v>
      </c>
      <c r="G3263" s="1" t="s">
        <v>11441</v>
      </c>
    </row>
    <row r="3264" spans="1:7" ht="21" x14ac:dyDescent="0.25">
      <c r="A3264" s="2" t="str">
        <f>HYPERLINK("https://rth.dk/resources/bsgatlas/details.php?id=BSGatlas-gene-3263","BSGatlas-gene-3263")</f>
        <v>BSGatlas-gene-3263</v>
      </c>
      <c r="B3264" s="1" t="s">
        <v>2938</v>
      </c>
      <c r="C3264" s="1" t="s">
        <v>8</v>
      </c>
      <c r="D3264" s="1">
        <v>2841010</v>
      </c>
      <c r="E3264" s="1">
        <v>2841300</v>
      </c>
      <c r="F3264" s="1" t="s">
        <v>9</v>
      </c>
      <c r="G3264" s="1" t="s">
        <v>11441</v>
      </c>
    </row>
    <row r="3265" spans="1:7" ht="21" x14ac:dyDescent="0.25">
      <c r="A3265" s="2" t="str">
        <f>HYPERLINK("https://rth.dk/resources/bsgatlas/details.php?id=BSGatlas-gene-3264","BSGatlas-gene-3264")</f>
        <v>BSGatlas-gene-3264</v>
      </c>
      <c r="B3265" s="1" t="s">
        <v>2938</v>
      </c>
      <c r="C3265" s="1" t="s">
        <v>8</v>
      </c>
      <c r="D3265" s="1">
        <v>2841169</v>
      </c>
      <c r="E3265" s="1">
        <v>2841300</v>
      </c>
      <c r="F3265" s="1" t="s">
        <v>9</v>
      </c>
      <c r="G3265" s="1" t="s">
        <v>11496</v>
      </c>
    </row>
    <row r="3266" spans="1:7" ht="21" x14ac:dyDescent="0.25">
      <c r="A3266" s="2" t="str">
        <f>HYPERLINK("https://rth.dk/resources/bsgatlas/details.php?id=BSGatlas-gene-3265","BSGatlas-gene-3265")</f>
        <v>BSGatlas-gene-3265</v>
      </c>
      <c r="B3266" s="1" t="s">
        <v>2939</v>
      </c>
      <c r="C3266" s="1" t="s">
        <v>8</v>
      </c>
      <c r="D3266" s="1">
        <v>2841307</v>
      </c>
      <c r="E3266" s="1">
        <v>2841447</v>
      </c>
      <c r="F3266" s="1" t="s">
        <v>9</v>
      </c>
      <c r="G3266" s="1" t="s">
        <v>11409</v>
      </c>
    </row>
    <row r="3267" spans="1:7" ht="21" x14ac:dyDescent="0.25">
      <c r="A3267" s="2" t="str">
        <f>HYPERLINK("https://rth.dk/resources/bsgatlas/details.php?id=BSGatlas-gene-3266","BSGatlas-gene-3266")</f>
        <v>BSGatlas-gene-3266</v>
      </c>
      <c r="B3267" s="1" t="s">
        <v>2940</v>
      </c>
      <c r="C3267" s="1" t="s">
        <v>8</v>
      </c>
      <c r="D3267" s="1">
        <v>2841611</v>
      </c>
      <c r="E3267" s="1">
        <v>2843065</v>
      </c>
      <c r="F3267" s="1" t="s">
        <v>9</v>
      </c>
      <c r="G3267" s="1" t="s">
        <v>11409</v>
      </c>
    </row>
    <row r="3268" spans="1:7" ht="21" x14ac:dyDescent="0.25">
      <c r="A3268" s="2" t="str">
        <f>HYPERLINK("https://rth.dk/resources/bsgatlas/details.php?id=BSGatlas-gene-3267","BSGatlas-gene-3267")</f>
        <v>BSGatlas-gene-3267</v>
      </c>
      <c r="B3268" s="1" t="s">
        <v>2941</v>
      </c>
      <c r="C3268" s="1" t="s">
        <v>8</v>
      </c>
      <c r="D3268" s="1">
        <v>2843106</v>
      </c>
      <c r="E3268" s="1">
        <v>2843828</v>
      </c>
      <c r="F3268" s="1" t="s">
        <v>13</v>
      </c>
      <c r="G3268" s="1" t="s">
        <v>11409</v>
      </c>
    </row>
    <row r="3269" spans="1:7" ht="21" x14ac:dyDescent="0.25">
      <c r="A3269" s="2" t="str">
        <f>HYPERLINK("https://rth.dk/resources/bsgatlas/details.php?id=BSGatlas-gene-3268","BSGatlas-gene-3268")</f>
        <v>BSGatlas-gene-3268</v>
      </c>
      <c r="B3269" s="1" t="s">
        <v>2942</v>
      </c>
      <c r="C3269" s="1" t="s">
        <v>8</v>
      </c>
      <c r="D3269" s="1">
        <v>2843931</v>
      </c>
      <c r="E3269" s="1">
        <v>2844527</v>
      </c>
      <c r="F3269" s="1" t="s">
        <v>13</v>
      </c>
      <c r="G3269" s="1" t="s">
        <v>11409</v>
      </c>
    </row>
    <row r="3270" spans="1:7" ht="21" x14ac:dyDescent="0.25">
      <c r="A3270" s="2" t="str">
        <f>HYPERLINK("https://rth.dk/resources/bsgatlas/details.php?id=BSGatlas-gene-3269","BSGatlas-gene-3269")</f>
        <v>BSGatlas-gene-3269</v>
      </c>
      <c r="B3270" s="1" t="s">
        <v>2943</v>
      </c>
      <c r="C3270" s="1" t="s">
        <v>8</v>
      </c>
      <c r="D3270" s="1">
        <v>2844675</v>
      </c>
      <c r="E3270" s="1">
        <v>2845838</v>
      </c>
      <c r="F3270" s="1" t="s">
        <v>13</v>
      </c>
      <c r="G3270" s="1" t="s">
        <v>11409</v>
      </c>
    </row>
    <row r="3271" spans="1:7" ht="21" x14ac:dyDescent="0.25">
      <c r="A3271" s="2" t="str">
        <f>HYPERLINK("https://rth.dk/resources/bsgatlas/details.php?id=BSGatlas-gene-3270","BSGatlas-gene-3270")</f>
        <v>BSGatlas-gene-3270</v>
      </c>
      <c r="B3271" s="1" t="s">
        <v>2944</v>
      </c>
      <c r="C3271" s="1" t="s">
        <v>8</v>
      </c>
      <c r="D3271" s="1">
        <v>2845955</v>
      </c>
      <c r="E3271" s="1">
        <v>2847061</v>
      </c>
      <c r="F3271" s="1" t="s">
        <v>13</v>
      </c>
      <c r="G3271" s="1" t="s">
        <v>11409</v>
      </c>
    </row>
    <row r="3272" spans="1:7" ht="21" x14ac:dyDescent="0.25">
      <c r="A3272" s="2" t="str">
        <f>HYPERLINK("https://rth.dk/resources/bsgatlas/details.php?id=BSGatlas-gene-3271","BSGatlas-gene-3271")</f>
        <v>BSGatlas-gene-3271</v>
      </c>
      <c r="B3272" s="1" t="s">
        <v>2945</v>
      </c>
      <c r="C3272" s="1" t="s">
        <v>8</v>
      </c>
      <c r="D3272" s="1">
        <v>2847048</v>
      </c>
      <c r="E3272" s="1">
        <v>2847917</v>
      </c>
      <c r="F3272" s="1" t="s">
        <v>13</v>
      </c>
      <c r="G3272" s="1" t="s">
        <v>11409</v>
      </c>
    </row>
    <row r="3273" spans="1:7" ht="21" x14ac:dyDescent="0.25">
      <c r="A3273" s="2" t="str">
        <f>HYPERLINK("https://rth.dk/resources/bsgatlas/details.php?id=BSGatlas-gene-3272","BSGatlas-gene-3272")</f>
        <v>BSGatlas-gene-3272</v>
      </c>
      <c r="B3273" s="1" t="s">
        <v>2946</v>
      </c>
      <c r="C3273" s="1" t="s">
        <v>8</v>
      </c>
      <c r="D3273" s="1">
        <v>2847871</v>
      </c>
      <c r="E3273" s="1">
        <v>2849466</v>
      </c>
      <c r="F3273" s="1" t="s">
        <v>13</v>
      </c>
      <c r="G3273" s="1" t="s">
        <v>11409</v>
      </c>
    </row>
    <row r="3274" spans="1:7" ht="21" x14ac:dyDescent="0.25">
      <c r="A3274" s="2" t="str">
        <f>HYPERLINK("https://rth.dk/resources/bsgatlas/details.php?id=BSGatlas-gene-3273","BSGatlas-gene-3273")</f>
        <v>BSGatlas-gene-3273</v>
      </c>
      <c r="B3274" s="1" t="s">
        <v>2947</v>
      </c>
      <c r="C3274" s="1" t="s">
        <v>8</v>
      </c>
      <c r="D3274" s="1">
        <v>2849569</v>
      </c>
      <c r="E3274" s="1">
        <v>2850756</v>
      </c>
      <c r="F3274" s="1" t="s">
        <v>9</v>
      </c>
      <c r="G3274" s="1" t="s">
        <v>11409</v>
      </c>
    </row>
    <row r="3275" spans="1:7" ht="21" x14ac:dyDescent="0.25">
      <c r="A3275" s="2" t="str">
        <f>HYPERLINK("https://rth.dk/resources/bsgatlas/details.php?id=BSGatlas-gene-3274","BSGatlas-gene-3274")</f>
        <v>BSGatlas-gene-3274</v>
      </c>
      <c r="B3275" s="1" t="s">
        <v>2948</v>
      </c>
      <c r="C3275" s="1" t="s">
        <v>8</v>
      </c>
      <c r="D3275" s="1">
        <v>2850716</v>
      </c>
      <c r="E3275" s="1">
        <v>2851258</v>
      </c>
      <c r="F3275" s="1" t="s">
        <v>9</v>
      </c>
      <c r="G3275" s="1" t="s">
        <v>11409</v>
      </c>
    </row>
    <row r="3276" spans="1:7" ht="21" x14ac:dyDescent="0.25">
      <c r="A3276" s="2" t="str">
        <f>HYPERLINK("https://rth.dk/resources/bsgatlas/details.php?id=BSGatlas-gene-3275","BSGatlas-gene-3275")</f>
        <v>BSGatlas-gene-3275</v>
      </c>
      <c r="B3276" s="1" t="s">
        <v>2949</v>
      </c>
      <c r="C3276" s="1" t="s">
        <v>8</v>
      </c>
      <c r="D3276" s="1">
        <v>2851283</v>
      </c>
      <c r="E3276" s="1">
        <v>2852140</v>
      </c>
      <c r="F3276" s="1" t="s">
        <v>13</v>
      </c>
      <c r="G3276" s="1" t="s">
        <v>11409</v>
      </c>
    </row>
    <row r="3277" spans="1:7" ht="21" x14ac:dyDescent="0.25">
      <c r="A3277" s="2" t="str">
        <f>HYPERLINK("https://rth.dk/resources/bsgatlas/details.php?id=BSGatlas-gene-3276","BSGatlas-gene-3276")</f>
        <v>BSGatlas-gene-3276</v>
      </c>
      <c r="B3277" s="1" t="s">
        <v>2950</v>
      </c>
      <c r="C3277" s="1" t="s">
        <v>8</v>
      </c>
      <c r="D3277" s="1">
        <v>2852157</v>
      </c>
      <c r="E3277" s="1">
        <v>2852600</v>
      </c>
      <c r="F3277" s="1" t="s">
        <v>13</v>
      </c>
      <c r="G3277" s="1" t="s">
        <v>11409</v>
      </c>
    </row>
    <row r="3278" spans="1:7" ht="21" x14ac:dyDescent="0.25">
      <c r="A3278" s="2" t="str">
        <f>HYPERLINK("https://rth.dk/resources/bsgatlas/details.php?id=BSGatlas-gene-3277","BSGatlas-gene-3277")</f>
        <v>BSGatlas-gene-3277</v>
      </c>
      <c r="B3278" s="1" t="s">
        <v>2951</v>
      </c>
      <c r="C3278" s="1" t="s">
        <v>8</v>
      </c>
      <c r="D3278" s="1">
        <v>2852661</v>
      </c>
      <c r="E3278" s="1">
        <v>2853947</v>
      </c>
      <c r="F3278" s="1" t="s">
        <v>13</v>
      </c>
      <c r="G3278" s="1" t="s">
        <v>11409</v>
      </c>
    </row>
    <row r="3279" spans="1:7" ht="21" x14ac:dyDescent="0.25">
      <c r="A3279" s="2" t="str">
        <f>HYPERLINK("https://rth.dk/resources/bsgatlas/details.php?id=BSGatlas-gene-3278","BSGatlas-gene-3278")</f>
        <v>BSGatlas-gene-3278</v>
      </c>
      <c r="B3279" s="1" t="s">
        <v>2952</v>
      </c>
      <c r="C3279" s="1" t="s">
        <v>8</v>
      </c>
      <c r="D3279" s="1">
        <v>2853981</v>
      </c>
      <c r="E3279" s="1">
        <v>2854559</v>
      </c>
      <c r="F3279" s="1" t="s">
        <v>13</v>
      </c>
      <c r="G3279" s="1" t="s">
        <v>11409</v>
      </c>
    </row>
    <row r="3280" spans="1:7" ht="21" x14ac:dyDescent="0.25">
      <c r="A3280" s="2" t="str">
        <f>HYPERLINK("https://rth.dk/resources/bsgatlas/details.php?id=BSGatlas-gene-3279","BSGatlas-gene-3279")</f>
        <v>BSGatlas-gene-3279</v>
      </c>
      <c r="B3280" s="1" t="s">
        <v>318</v>
      </c>
      <c r="C3280" s="1" t="s">
        <v>8</v>
      </c>
      <c r="D3280" s="1">
        <v>2854637</v>
      </c>
      <c r="E3280" s="1">
        <v>2854759</v>
      </c>
      <c r="F3280" s="1" t="s">
        <v>9</v>
      </c>
      <c r="G3280" s="1" t="s">
        <v>11441</v>
      </c>
    </row>
    <row r="3281" spans="1:7" ht="21" x14ac:dyDescent="0.25">
      <c r="A3281" s="2" t="str">
        <f>HYPERLINK("https://rth.dk/resources/bsgatlas/details.php?id=BSGatlas-gene-3280","BSGatlas-gene-3280")</f>
        <v>BSGatlas-gene-3280</v>
      </c>
      <c r="B3281" s="1" t="s">
        <v>2953</v>
      </c>
      <c r="C3281" s="1" t="s">
        <v>8</v>
      </c>
      <c r="D3281" s="1">
        <v>2854880</v>
      </c>
      <c r="E3281" s="1">
        <v>2855164</v>
      </c>
      <c r="F3281" s="1" t="s">
        <v>13</v>
      </c>
      <c r="G3281" s="1" t="s">
        <v>11409</v>
      </c>
    </row>
    <row r="3282" spans="1:7" ht="21" x14ac:dyDescent="0.25">
      <c r="A3282" s="2" t="str">
        <f>HYPERLINK("https://rth.dk/resources/bsgatlas/details.php?id=BSGatlas-gene-3281","BSGatlas-gene-3281")</f>
        <v>BSGatlas-gene-3281</v>
      </c>
      <c r="B3282" s="1" t="s">
        <v>2954</v>
      </c>
      <c r="C3282" s="1" t="s">
        <v>8</v>
      </c>
      <c r="D3282" s="1">
        <v>2855177</v>
      </c>
      <c r="E3282" s="1">
        <v>2855515</v>
      </c>
      <c r="F3282" s="1" t="s">
        <v>13</v>
      </c>
      <c r="G3282" s="1" t="s">
        <v>11409</v>
      </c>
    </row>
    <row r="3283" spans="1:7" ht="21" x14ac:dyDescent="0.25">
      <c r="A3283" s="2" t="str">
        <f>HYPERLINK("https://rth.dk/resources/bsgatlas/details.php?id=BSGatlas-gene-3282","BSGatlas-gene-3282")</f>
        <v>BSGatlas-gene-3282</v>
      </c>
      <c r="B3283" s="1" t="s">
        <v>2955</v>
      </c>
      <c r="C3283" s="1" t="s">
        <v>8</v>
      </c>
      <c r="D3283" s="1">
        <v>2855518</v>
      </c>
      <c r="E3283" s="1">
        <v>2855826</v>
      </c>
      <c r="F3283" s="1" t="s">
        <v>13</v>
      </c>
      <c r="G3283" s="1" t="s">
        <v>11409</v>
      </c>
    </row>
    <row r="3284" spans="1:7" ht="21" x14ac:dyDescent="0.25">
      <c r="A3284" s="2" t="str">
        <f>HYPERLINK("https://rth.dk/resources/bsgatlas/details.php?id=BSGatlas-gene-3283","BSGatlas-gene-3283")</f>
        <v>BSGatlas-gene-3283</v>
      </c>
      <c r="B3284" s="1" t="s">
        <v>2956</v>
      </c>
      <c r="C3284" s="1" t="s">
        <v>34</v>
      </c>
      <c r="D3284" s="1">
        <v>2855839</v>
      </c>
      <c r="E3284" s="1">
        <v>2855915</v>
      </c>
      <c r="F3284" s="1" t="s">
        <v>13</v>
      </c>
      <c r="G3284" s="1" t="s">
        <v>11411</v>
      </c>
    </row>
    <row r="3285" spans="1:7" ht="21" x14ac:dyDescent="0.25">
      <c r="A3285" s="2" t="str">
        <f>HYPERLINK("https://rth.dk/resources/bsgatlas/details.php?id=BSGatlas-gene-3284","BSGatlas-gene-3284")</f>
        <v>BSGatlas-gene-3284</v>
      </c>
      <c r="B3285" s="1" t="s">
        <v>2957</v>
      </c>
      <c r="C3285" s="1" t="s">
        <v>8</v>
      </c>
      <c r="D3285" s="1">
        <v>2855973</v>
      </c>
      <c r="E3285" s="1">
        <v>2856839</v>
      </c>
      <c r="F3285" s="1" t="s">
        <v>13</v>
      </c>
      <c r="G3285" s="1" t="s">
        <v>11409</v>
      </c>
    </row>
    <row r="3286" spans="1:7" ht="21" x14ac:dyDescent="0.25">
      <c r="A3286" s="2" t="str">
        <f>HYPERLINK("https://rth.dk/resources/bsgatlas/details.php?id=BSGatlas-gene-3285","BSGatlas-gene-3285")</f>
        <v>BSGatlas-gene-3285</v>
      </c>
      <c r="B3286" s="1" t="s">
        <v>2958</v>
      </c>
      <c r="C3286" s="1" t="s">
        <v>8</v>
      </c>
      <c r="D3286" s="1">
        <v>2856832</v>
      </c>
      <c r="E3286" s="1">
        <v>2857626</v>
      </c>
      <c r="F3286" s="1" t="s">
        <v>13</v>
      </c>
      <c r="G3286" s="1" t="s">
        <v>11409</v>
      </c>
    </row>
    <row r="3287" spans="1:7" ht="21" x14ac:dyDescent="0.25">
      <c r="A3287" s="2" t="str">
        <f>HYPERLINK("https://rth.dk/resources/bsgatlas/details.php?id=BSGatlas-gene-3286","BSGatlas-gene-3286")</f>
        <v>BSGatlas-gene-3286</v>
      </c>
      <c r="B3287" s="1" t="s">
        <v>2959</v>
      </c>
      <c r="C3287" s="1" t="s">
        <v>8</v>
      </c>
      <c r="D3287" s="1">
        <v>2857776</v>
      </c>
      <c r="E3287" s="1">
        <v>2858582</v>
      </c>
      <c r="F3287" s="1" t="s">
        <v>13</v>
      </c>
      <c r="G3287" s="1" t="s">
        <v>11409</v>
      </c>
    </row>
    <row r="3288" spans="1:7" ht="21" x14ac:dyDescent="0.25">
      <c r="A3288" s="2" t="str">
        <f>HYPERLINK("https://rth.dk/resources/bsgatlas/details.php?id=BSGatlas-gene-3287","BSGatlas-gene-3287")</f>
        <v>BSGatlas-gene-3287</v>
      </c>
      <c r="B3288" s="1" t="s">
        <v>2960</v>
      </c>
      <c r="C3288" s="1" t="s">
        <v>8</v>
      </c>
      <c r="D3288" s="1">
        <v>2858584</v>
      </c>
      <c r="E3288" s="1">
        <v>2859264</v>
      </c>
      <c r="F3288" s="1" t="s">
        <v>13</v>
      </c>
      <c r="G3288" s="1" t="s">
        <v>11409</v>
      </c>
    </row>
    <row r="3289" spans="1:7" ht="21" x14ac:dyDescent="0.25">
      <c r="A3289" s="2" t="str">
        <f>HYPERLINK("https://rth.dk/resources/bsgatlas/details.php?id=BSGatlas-gene-3288","BSGatlas-gene-3288")</f>
        <v>BSGatlas-gene-3288</v>
      </c>
      <c r="B3289" s="1" t="s">
        <v>2961</v>
      </c>
      <c r="C3289" s="1" t="s">
        <v>8</v>
      </c>
      <c r="D3289" s="1">
        <v>2859317</v>
      </c>
      <c r="E3289" s="1">
        <v>2859835</v>
      </c>
      <c r="F3289" s="1" t="s">
        <v>13</v>
      </c>
      <c r="G3289" s="1" t="s">
        <v>11409</v>
      </c>
    </row>
    <row r="3290" spans="1:7" ht="21" x14ac:dyDescent="0.25">
      <c r="A3290" s="2" t="str">
        <f>HYPERLINK("https://rth.dk/resources/bsgatlas/details.php?id=BSGatlas-gene-3289","BSGatlas-gene-3289")</f>
        <v>BSGatlas-gene-3289</v>
      </c>
      <c r="B3290" s="1" t="s">
        <v>2962</v>
      </c>
      <c r="C3290" s="1" t="s">
        <v>8</v>
      </c>
      <c r="D3290" s="1">
        <v>2859832</v>
      </c>
      <c r="E3290" s="1">
        <v>2860704</v>
      </c>
      <c r="F3290" s="1" t="s">
        <v>13</v>
      </c>
      <c r="G3290" s="1" t="s">
        <v>11409</v>
      </c>
    </row>
    <row r="3291" spans="1:7" ht="21" x14ac:dyDescent="0.25">
      <c r="A3291" s="2" t="str">
        <f>HYPERLINK("https://rth.dk/resources/bsgatlas/details.php?id=BSGatlas-gene-3290","BSGatlas-gene-3290")</f>
        <v>BSGatlas-gene-3290</v>
      </c>
      <c r="B3291" s="1" t="s">
        <v>2963</v>
      </c>
      <c r="C3291" s="1" t="s">
        <v>8</v>
      </c>
      <c r="D3291" s="1">
        <v>2860735</v>
      </c>
      <c r="E3291" s="1">
        <v>2861748</v>
      </c>
      <c r="F3291" s="1" t="s">
        <v>13</v>
      </c>
      <c r="G3291" s="1" t="s">
        <v>11409</v>
      </c>
    </row>
    <row r="3292" spans="1:7" ht="21" x14ac:dyDescent="0.25">
      <c r="A3292" s="2" t="str">
        <f>HYPERLINK("https://rth.dk/resources/bsgatlas/details.php?id=BSGatlas-gene-3291","BSGatlas-gene-3291")</f>
        <v>BSGatlas-gene-3291</v>
      </c>
      <c r="B3292" s="1" t="s">
        <v>2964</v>
      </c>
      <c r="C3292" s="1" t="s">
        <v>8</v>
      </c>
      <c r="D3292" s="1">
        <v>2861840</v>
      </c>
      <c r="E3292" s="1">
        <v>2862535</v>
      </c>
      <c r="F3292" s="1" t="s">
        <v>13</v>
      </c>
      <c r="G3292" s="1" t="s">
        <v>11409</v>
      </c>
    </row>
    <row r="3293" spans="1:7" ht="21" x14ac:dyDescent="0.25">
      <c r="A3293" s="2" t="str">
        <f>HYPERLINK("https://rth.dk/resources/bsgatlas/details.php?id=BSGatlas-gene-3292","BSGatlas-gene-3292")</f>
        <v>BSGatlas-gene-3292</v>
      </c>
      <c r="B3293" s="1" t="s">
        <v>2965</v>
      </c>
      <c r="C3293" s="1" t="s">
        <v>8</v>
      </c>
      <c r="D3293" s="1">
        <v>2862572</v>
      </c>
      <c r="E3293" s="1">
        <v>2863141</v>
      </c>
      <c r="F3293" s="1" t="s">
        <v>13</v>
      </c>
      <c r="G3293" s="1" t="s">
        <v>11409</v>
      </c>
    </row>
    <row r="3294" spans="1:7" ht="21" x14ac:dyDescent="0.25">
      <c r="A3294" s="2" t="str">
        <f>HYPERLINK("https://rth.dk/resources/bsgatlas/details.php?id=BSGatlas-gene-3293","BSGatlas-gene-3293")</f>
        <v>BSGatlas-gene-3293</v>
      </c>
      <c r="B3294" s="1" t="s">
        <v>2966</v>
      </c>
      <c r="C3294" s="1" t="s">
        <v>8</v>
      </c>
      <c r="D3294" s="1">
        <v>2863294</v>
      </c>
      <c r="E3294" s="1">
        <v>2864292</v>
      </c>
      <c r="F3294" s="1" t="s">
        <v>13</v>
      </c>
      <c r="G3294" s="1" t="s">
        <v>11409</v>
      </c>
    </row>
    <row r="3295" spans="1:7" ht="21" x14ac:dyDescent="0.25">
      <c r="A3295" s="2" t="str">
        <f>HYPERLINK("https://rth.dk/resources/bsgatlas/details.php?id=BSGatlas-gene-3294","BSGatlas-gene-3294")</f>
        <v>BSGatlas-gene-3294</v>
      </c>
      <c r="B3295" s="1" t="s">
        <v>2967</v>
      </c>
      <c r="C3295" s="1" t="s">
        <v>8</v>
      </c>
      <c r="D3295" s="1">
        <v>2864426</v>
      </c>
      <c r="E3295" s="1">
        <v>2865172</v>
      </c>
      <c r="F3295" s="1" t="s">
        <v>13</v>
      </c>
      <c r="G3295" s="1" t="s">
        <v>11409</v>
      </c>
    </row>
    <row r="3296" spans="1:7" ht="21" x14ac:dyDescent="0.25">
      <c r="A3296" s="2" t="str">
        <f>HYPERLINK("https://rth.dk/resources/bsgatlas/details.php?id=BSGatlas-gene-3295","BSGatlas-gene-3295")</f>
        <v>BSGatlas-gene-3295</v>
      </c>
      <c r="B3296" s="1" t="s">
        <v>2968</v>
      </c>
      <c r="C3296" s="1" t="s">
        <v>8</v>
      </c>
      <c r="D3296" s="1">
        <v>2865312</v>
      </c>
      <c r="E3296" s="1">
        <v>2866604</v>
      </c>
      <c r="F3296" s="1" t="s">
        <v>13</v>
      </c>
      <c r="G3296" s="1" t="s">
        <v>11409</v>
      </c>
    </row>
    <row r="3297" spans="1:7" ht="21" x14ac:dyDescent="0.25">
      <c r="A3297" s="2" t="str">
        <f>HYPERLINK("https://rth.dk/resources/bsgatlas/details.php?id=BSGatlas-gene-3296","BSGatlas-gene-3296")</f>
        <v>BSGatlas-gene-3296</v>
      </c>
      <c r="B3297" s="1" t="s">
        <v>2969</v>
      </c>
      <c r="C3297" s="1" t="s">
        <v>8</v>
      </c>
      <c r="D3297" s="1">
        <v>2866664</v>
      </c>
      <c r="E3297" s="1">
        <v>2869306</v>
      </c>
      <c r="F3297" s="1" t="s">
        <v>13</v>
      </c>
      <c r="G3297" s="1" t="s">
        <v>11409</v>
      </c>
    </row>
    <row r="3298" spans="1:7" ht="21" x14ac:dyDescent="0.25">
      <c r="A3298" s="2" t="str">
        <f>HYPERLINK("https://rth.dk/resources/bsgatlas/details.php?id=BSGatlas-gene-3297","BSGatlas-gene-3297")</f>
        <v>BSGatlas-gene-3297</v>
      </c>
      <c r="B3298" s="1" t="s">
        <v>2970</v>
      </c>
      <c r="C3298" s="1" t="s">
        <v>34</v>
      </c>
      <c r="D3298" s="1">
        <v>2869365</v>
      </c>
      <c r="E3298" s="1">
        <v>2869588</v>
      </c>
      <c r="F3298" s="1" t="s">
        <v>13</v>
      </c>
      <c r="G3298" s="1" t="s">
        <v>11412</v>
      </c>
    </row>
    <row r="3299" spans="1:7" ht="21" x14ac:dyDescent="0.25">
      <c r="A3299" s="2" t="str">
        <f>HYPERLINK("https://rth.dk/resources/bsgatlas/details.php?id=BSGatlas-gene-3298","BSGatlas-gene-3298")</f>
        <v>BSGatlas-gene-3298</v>
      </c>
      <c r="B3299" s="1" t="s">
        <v>2971</v>
      </c>
      <c r="C3299" s="1" t="s">
        <v>8</v>
      </c>
      <c r="D3299" s="1">
        <v>2869754</v>
      </c>
      <c r="E3299" s="1">
        <v>2869945</v>
      </c>
      <c r="F3299" s="1" t="s">
        <v>9</v>
      </c>
      <c r="G3299" s="1" t="s">
        <v>11409</v>
      </c>
    </row>
    <row r="3300" spans="1:7" ht="21" x14ac:dyDescent="0.25">
      <c r="A3300" s="2" t="str">
        <f>HYPERLINK("https://rth.dk/resources/bsgatlas/details.php?id=BSGatlas-gene-3299","BSGatlas-gene-3299")</f>
        <v>BSGatlas-gene-3299</v>
      </c>
      <c r="B3300" s="1" t="s">
        <v>2972</v>
      </c>
      <c r="C3300" s="1" t="s">
        <v>8</v>
      </c>
      <c r="D3300" s="1">
        <v>2869964</v>
      </c>
      <c r="E3300" s="1">
        <v>2870989</v>
      </c>
      <c r="F3300" s="1" t="s">
        <v>13</v>
      </c>
      <c r="G3300" s="1" t="s">
        <v>11409</v>
      </c>
    </row>
    <row r="3301" spans="1:7" ht="21" x14ac:dyDescent="0.25">
      <c r="A3301" s="2" t="str">
        <f>HYPERLINK("https://rth.dk/resources/bsgatlas/details.php?id=BSGatlas-gene-3300","BSGatlas-gene-3300")</f>
        <v>BSGatlas-gene-3300</v>
      </c>
      <c r="B3301" s="1" t="s">
        <v>2973</v>
      </c>
      <c r="C3301" s="1" t="s">
        <v>8</v>
      </c>
      <c r="D3301" s="1">
        <v>2871022</v>
      </c>
      <c r="E3301" s="1">
        <v>2872749</v>
      </c>
      <c r="F3301" s="1" t="s">
        <v>13</v>
      </c>
      <c r="G3301" s="1" t="s">
        <v>11409</v>
      </c>
    </row>
    <row r="3302" spans="1:7" ht="21" x14ac:dyDescent="0.25">
      <c r="A3302" s="2" t="str">
        <f>HYPERLINK("https://rth.dk/resources/bsgatlas/details.php?id=BSGatlas-gene-3301","BSGatlas-gene-3301")</f>
        <v>BSGatlas-gene-3301</v>
      </c>
      <c r="B3302" s="1" t="s">
        <v>2974</v>
      </c>
      <c r="C3302" s="1" t="s">
        <v>8</v>
      </c>
      <c r="D3302" s="1">
        <v>2872880</v>
      </c>
      <c r="E3302" s="1">
        <v>2874172</v>
      </c>
      <c r="F3302" s="1" t="s">
        <v>13</v>
      </c>
      <c r="G3302" s="1" t="s">
        <v>11409</v>
      </c>
    </row>
    <row r="3303" spans="1:7" ht="21" x14ac:dyDescent="0.25">
      <c r="A3303" s="2" t="str">
        <f>HYPERLINK("https://rth.dk/resources/bsgatlas/details.php?id=BSGatlas-gene-3302","BSGatlas-gene-3302")</f>
        <v>BSGatlas-gene-3302</v>
      </c>
      <c r="B3303" s="1" t="s">
        <v>2975</v>
      </c>
      <c r="C3303" s="1" t="s">
        <v>8</v>
      </c>
      <c r="D3303" s="1">
        <v>2874202</v>
      </c>
      <c r="E3303" s="1">
        <v>2875176</v>
      </c>
      <c r="F3303" s="1" t="s">
        <v>13</v>
      </c>
      <c r="G3303" s="1" t="s">
        <v>11409</v>
      </c>
    </row>
    <row r="3304" spans="1:7" ht="21" x14ac:dyDescent="0.25">
      <c r="A3304" s="2" t="str">
        <f>HYPERLINK("https://rth.dk/resources/bsgatlas/details.php?id=BSGatlas-gene-3303","BSGatlas-gene-3303")</f>
        <v>BSGatlas-gene-3303</v>
      </c>
      <c r="B3304" s="1" t="s">
        <v>2976</v>
      </c>
      <c r="C3304" s="1" t="s">
        <v>8</v>
      </c>
      <c r="D3304" s="1">
        <v>2875173</v>
      </c>
      <c r="E3304" s="1">
        <v>2875961</v>
      </c>
      <c r="F3304" s="1" t="s">
        <v>13</v>
      </c>
      <c r="G3304" s="1" t="s">
        <v>11409</v>
      </c>
    </row>
    <row r="3305" spans="1:7" ht="21" x14ac:dyDescent="0.25">
      <c r="A3305" s="2" t="str">
        <f>HYPERLINK("https://rth.dk/resources/bsgatlas/details.php?id=BSGatlas-gene-3304","BSGatlas-gene-3304")</f>
        <v>BSGatlas-gene-3304</v>
      </c>
      <c r="B3305" s="1" t="s">
        <v>2977</v>
      </c>
      <c r="C3305" s="1" t="s">
        <v>8</v>
      </c>
      <c r="D3305" s="1">
        <v>2875951</v>
      </c>
      <c r="E3305" s="1">
        <v>2876895</v>
      </c>
      <c r="F3305" s="1" t="s">
        <v>13</v>
      </c>
      <c r="G3305" s="1" t="s">
        <v>11409</v>
      </c>
    </row>
    <row r="3306" spans="1:7" ht="21" x14ac:dyDescent="0.25">
      <c r="A3306" s="2" t="str">
        <f>HYPERLINK("https://rth.dk/resources/bsgatlas/details.php?id=BSGatlas-gene-3305","BSGatlas-gene-3305")</f>
        <v>BSGatlas-gene-3305</v>
      </c>
      <c r="B3306" s="1" t="s">
        <v>2978</v>
      </c>
      <c r="C3306" s="1" t="s">
        <v>8</v>
      </c>
      <c r="D3306" s="1">
        <v>2876928</v>
      </c>
      <c r="E3306" s="1">
        <v>2877758</v>
      </c>
      <c r="F3306" s="1" t="s">
        <v>13</v>
      </c>
      <c r="G3306" s="1" t="s">
        <v>11409</v>
      </c>
    </row>
    <row r="3307" spans="1:7" ht="21" x14ac:dyDescent="0.25">
      <c r="A3307" s="2" t="str">
        <f>HYPERLINK("https://rth.dk/resources/bsgatlas/details.php?id=BSGatlas-gene-3306","BSGatlas-gene-3306")</f>
        <v>BSGatlas-gene-3306</v>
      </c>
      <c r="B3307" s="1" t="s">
        <v>2979</v>
      </c>
      <c r="C3307" s="1" t="s">
        <v>8</v>
      </c>
      <c r="D3307" s="1">
        <v>2877766</v>
      </c>
      <c r="E3307" s="1">
        <v>2879133</v>
      </c>
      <c r="F3307" s="1" t="s">
        <v>13</v>
      </c>
      <c r="G3307" s="1" t="s">
        <v>11409</v>
      </c>
    </row>
    <row r="3308" spans="1:7" ht="21" x14ac:dyDescent="0.25">
      <c r="A3308" s="2" t="str">
        <f>HYPERLINK("https://rth.dk/resources/bsgatlas/details.php?id=BSGatlas-gene-3307","BSGatlas-gene-3307")</f>
        <v>BSGatlas-gene-3307</v>
      </c>
      <c r="B3308" s="1" t="s">
        <v>2980</v>
      </c>
      <c r="C3308" s="1" t="s">
        <v>8</v>
      </c>
      <c r="D3308" s="1">
        <v>2879363</v>
      </c>
      <c r="E3308" s="1">
        <v>2879860</v>
      </c>
      <c r="F3308" s="1" t="s">
        <v>9</v>
      </c>
      <c r="G3308" s="1" t="s">
        <v>11409</v>
      </c>
    </row>
    <row r="3309" spans="1:7" ht="21" x14ac:dyDescent="0.25">
      <c r="A3309" s="2" t="str">
        <f>HYPERLINK("https://rth.dk/resources/bsgatlas/details.php?id=BSGatlas-gene-3308","BSGatlas-gene-3308")</f>
        <v>BSGatlas-gene-3308</v>
      </c>
      <c r="B3309" s="1" t="s">
        <v>2981</v>
      </c>
      <c r="C3309" s="1" t="s">
        <v>8</v>
      </c>
      <c r="D3309" s="1">
        <v>2879882</v>
      </c>
      <c r="E3309" s="1">
        <v>2880469</v>
      </c>
      <c r="F3309" s="1" t="s">
        <v>13</v>
      </c>
      <c r="G3309" s="1" t="s">
        <v>11409</v>
      </c>
    </row>
    <row r="3310" spans="1:7" ht="21" x14ac:dyDescent="0.25">
      <c r="A3310" s="2" t="str">
        <f>HYPERLINK("https://rth.dk/resources/bsgatlas/details.php?id=BSGatlas-gene-3309","BSGatlas-gene-3309")</f>
        <v>BSGatlas-gene-3309</v>
      </c>
      <c r="B3310" s="1" t="s">
        <v>2982</v>
      </c>
      <c r="C3310" s="1" t="s">
        <v>8</v>
      </c>
      <c r="D3310" s="1">
        <v>2880466</v>
      </c>
      <c r="E3310" s="1">
        <v>2882790</v>
      </c>
      <c r="F3310" s="1" t="s">
        <v>13</v>
      </c>
      <c r="G3310" s="1" t="s">
        <v>11409</v>
      </c>
    </row>
    <row r="3311" spans="1:7" ht="21" x14ac:dyDescent="0.25">
      <c r="A3311" s="2" t="str">
        <f>HYPERLINK("https://rth.dk/resources/bsgatlas/details.php?id=BSGatlas-gene-3310","BSGatlas-gene-3310")</f>
        <v>BSGatlas-gene-3310</v>
      </c>
      <c r="B3311" s="1" t="s">
        <v>2983</v>
      </c>
      <c r="C3311" s="1" t="s">
        <v>8</v>
      </c>
      <c r="D3311" s="1">
        <v>2882971</v>
      </c>
      <c r="E3311" s="1">
        <v>2884629</v>
      </c>
      <c r="F3311" s="1" t="s">
        <v>13</v>
      </c>
      <c r="G3311" s="1" t="s">
        <v>11409</v>
      </c>
    </row>
    <row r="3312" spans="1:7" ht="21" x14ac:dyDescent="0.25">
      <c r="A3312" s="2" t="str">
        <f>HYPERLINK("https://rth.dk/resources/bsgatlas/details.php?id=BSGatlas-gene-3311","BSGatlas-gene-3311")</f>
        <v>BSGatlas-gene-3311</v>
      </c>
      <c r="B3312" s="1" t="s">
        <v>2984</v>
      </c>
      <c r="C3312" s="1" t="s">
        <v>8</v>
      </c>
      <c r="D3312" s="1">
        <v>2884781</v>
      </c>
      <c r="E3312" s="1">
        <v>2886043</v>
      </c>
      <c r="F3312" s="1" t="s">
        <v>13</v>
      </c>
      <c r="G3312" s="1" t="s">
        <v>11409</v>
      </c>
    </row>
    <row r="3313" spans="1:7" ht="21" x14ac:dyDescent="0.25">
      <c r="A3313" s="2" t="str">
        <f>HYPERLINK("https://rth.dk/resources/bsgatlas/details.php?id=BSGatlas-gene-3312","BSGatlas-gene-3312")</f>
        <v>BSGatlas-gene-3312</v>
      </c>
      <c r="B3313" s="1" t="s">
        <v>2985</v>
      </c>
      <c r="C3313" s="1" t="s">
        <v>8</v>
      </c>
      <c r="D3313" s="1">
        <v>2886315</v>
      </c>
      <c r="E3313" s="1">
        <v>2887589</v>
      </c>
      <c r="F3313" s="1" t="s">
        <v>13</v>
      </c>
      <c r="G3313" s="1" t="s">
        <v>11409</v>
      </c>
    </row>
    <row r="3314" spans="1:7" ht="21" x14ac:dyDescent="0.25">
      <c r="A3314" s="2" t="str">
        <f>HYPERLINK("https://rth.dk/resources/bsgatlas/details.php?id=BSGatlas-gene-3313","BSGatlas-gene-3313")</f>
        <v>BSGatlas-gene-3313</v>
      </c>
      <c r="B3314" s="1" t="s">
        <v>2986</v>
      </c>
      <c r="C3314" s="1" t="s">
        <v>8</v>
      </c>
      <c r="D3314" s="1">
        <v>2887817</v>
      </c>
      <c r="E3314" s="1">
        <v>2888821</v>
      </c>
      <c r="F3314" s="1" t="s">
        <v>13</v>
      </c>
      <c r="G3314" s="1" t="s">
        <v>11409</v>
      </c>
    </row>
    <row r="3315" spans="1:7" ht="21" x14ac:dyDescent="0.25">
      <c r="A3315" s="2" t="str">
        <f>HYPERLINK("https://rth.dk/resources/bsgatlas/details.php?id=BSGatlas-gene-3314","BSGatlas-gene-3314")</f>
        <v>BSGatlas-gene-3314</v>
      </c>
      <c r="B3315" s="1" t="s">
        <v>2987</v>
      </c>
      <c r="C3315" s="1" t="s">
        <v>8</v>
      </c>
      <c r="D3315" s="1">
        <v>2888940</v>
      </c>
      <c r="E3315" s="1">
        <v>2889539</v>
      </c>
      <c r="F3315" s="1" t="s">
        <v>13</v>
      </c>
      <c r="G3315" s="1" t="s">
        <v>11409</v>
      </c>
    </row>
    <row r="3316" spans="1:7" ht="21" x14ac:dyDescent="0.25">
      <c r="A3316" s="2" t="str">
        <f>HYPERLINK("https://rth.dk/resources/bsgatlas/details.php?id=BSGatlas-gene-3315","BSGatlas-gene-3315")</f>
        <v>BSGatlas-gene-3315</v>
      </c>
      <c r="B3316" s="1" t="s">
        <v>2988</v>
      </c>
      <c r="C3316" s="1" t="s">
        <v>8</v>
      </c>
      <c r="D3316" s="1">
        <v>2889552</v>
      </c>
      <c r="E3316" s="1">
        <v>2890970</v>
      </c>
      <c r="F3316" s="1" t="s">
        <v>13</v>
      </c>
      <c r="G3316" s="1" t="s">
        <v>11409</v>
      </c>
    </row>
    <row r="3317" spans="1:7" ht="21" x14ac:dyDescent="0.25">
      <c r="A3317" s="2" t="str">
        <f>HYPERLINK("https://rth.dk/resources/bsgatlas/details.php?id=BSGatlas-gene-3316","BSGatlas-gene-3316")</f>
        <v>BSGatlas-gene-3316</v>
      </c>
      <c r="B3317" s="1" t="s">
        <v>2989</v>
      </c>
      <c r="C3317" s="1" t="s">
        <v>8</v>
      </c>
      <c r="D3317" s="1">
        <v>2891020</v>
      </c>
      <c r="E3317" s="1">
        <v>2892117</v>
      </c>
      <c r="F3317" s="1" t="s">
        <v>13</v>
      </c>
      <c r="G3317" s="1" t="s">
        <v>11409</v>
      </c>
    </row>
    <row r="3318" spans="1:7" ht="21" x14ac:dyDescent="0.25">
      <c r="A3318" s="2" t="str">
        <f>HYPERLINK("https://rth.dk/resources/bsgatlas/details.php?id=BSGatlas-gene-3317","BSGatlas-gene-3317")</f>
        <v>BSGatlas-gene-3317</v>
      </c>
      <c r="B3318" s="1" t="s">
        <v>2990</v>
      </c>
      <c r="C3318" s="1" t="s">
        <v>8</v>
      </c>
      <c r="D3318" s="1">
        <v>2892138</v>
      </c>
      <c r="E3318" s="1">
        <v>2893694</v>
      </c>
      <c r="F3318" s="1" t="s">
        <v>13</v>
      </c>
      <c r="G3318" s="1" t="s">
        <v>11409</v>
      </c>
    </row>
    <row r="3319" spans="1:7" ht="21" x14ac:dyDescent="0.25">
      <c r="A3319" s="2" t="str">
        <f>HYPERLINK("https://rth.dk/resources/bsgatlas/details.php?id=BSGatlas-gene-3318","BSGatlas-gene-3318")</f>
        <v>BSGatlas-gene-3318</v>
      </c>
      <c r="B3319" s="1" t="s">
        <v>2994</v>
      </c>
      <c r="C3319" s="1" t="s">
        <v>12</v>
      </c>
      <c r="D3319" s="1">
        <v>2892550</v>
      </c>
      <c r="E3319" s="1">
        <v>2894991</v>
      </c>
      <c r="F3319" s="1" t="s">
        <v>9</v>
      </c>
      <c r="G3319" s="1" t="s">
        <v>11406</v>
      </c>
    </row>
    <row r="3320" spans="1:7" ht="21" x14ac:dyDescent="0.25">
      <c r="A3320" s="2" t="str">
        <f>HYPERLINK("https://rth.dk/resources/bsgatlas/details.php?id=BSGatlas-gene-3319","BSGatlas-gene-3319")</f>
        <v>BSGatlas-gene-3319</v>
      </c>
      <c r="B3320" s="1" t="s">
        <v>2991</v>
      </c>
      <c r="C3320" s="1" t="s">
        <v>8</v>
      </c>
      <c r="D3320" s="1">
        <v>2893681</v>
      </c>
      <c r="E3320" s="1">
        <v>2894709</v>
      </c>
      <c r="F3320" s="1" t="s">
        <v>13</v>
      </c>
      <c r="G3320" s="1" t="s">
        <v>11409</v>
      </c>
    </row>
    <row r="3321" spans="1:7" ht="21" x14ac:dyDescent="0.25">
      <c r="A3321" s="2" t="str">
        <f>HYPERLINK("https://rth.dk/resources/bsgatlas/details.php?id=BSGatlas-gene-3320","BSGatlas-gene-3320")</f>
        <v>BSGatlas-gene-3320</v>
      </c>
      <c r="B3321" s="1" t="s">
        <v>2992</v>
      </c>
      <c r="C3321" s="1" t="s">
        <v>8</v>
      </c>
      <c r="D3321" s="1">
        <v>2894733</v>
      </c>
      <c r="E3321" s="1">
        <v>2895251</v>
      </c>
      <c r="F3321" s="1" t="s">
        <v>13</v>
      </c>
      <c r="G3321" s="1" t="s">
        <v>11409</v>
      </c>
    </row>
    <row r="3322" spans="1:7" ht="21" x14ac:dyDescent="0.25">
      <c r="A3322" s="2" t="str">
        <f>HYPERLINK("https://rth.dk/resources/bsgatlas/details.php?id=BSGatlas-gene-3321","BSGatlas-gene-3321")</f>
        <v>BSGatlas-gene-3321</v>
      </c>
      <c r="B3322" s="1" t="s">
        <v>2993</v>
      </c>
      <c r="C3322" s="1" t="s">
        <v>8</v>
      </c>
      <c r="D3322" s="1">
        <v>2895248</v>
      </c>
      <c r="E3322" s="1">
        <v>2896972</v>
      </c>
      <c r="F3322" s="1" t="s">
        <v>13</v>
      </c>
      <c r="G3322" s="1" t="s">
        <v>11409</v>
      </c>
    </row>
    <row r="3323" spans="1:7" ht="21" x14ac:dyDescent="0.25">
      <c r="A3323" s="2" t="str">
        <f>HYPERLINK("https://rth.dk/resources/bsgatlas/details.php?id=BSGatlas-gene-3322","BSGatlas-gene-3322")</f>
        <v>BSGatlas-gene-3322</v>
      </c>
      <c r="B3323" s="1" t="s">
        <v>2995</v>
      </c>
      <c r="C3323" s="1" t="s">
        <v>34</v>
      </c>
      <c r="D3323" s="1">
        <v>2897093</v>
      </c>
      <c r="E3323" s="1">
        <v>2897340</v>
      </c>
      <c r="F3323" s="1" t="s">
        <v>13</v>
      </c>
      <c r="G3323" s="1" t="s">
        <v>11412</v>
      </c>
    </row>
    <row r="3324" spans="1:7" ht="21" x14ac:dyDescent="0.25">
      <c r="A3324" s="2" t="str">
        <f>HYPERLINK("https://rth.dk/resources/bsgatlas/details.php?id=BSGatlas-gene-3323","BSGatlas-gene-3323")</f>
        <v>BSGatlas-gene-3323</v>
      </c>
      <c r="B3324" s="1" t="s">
        <v>2996</v>
      </c>
      <c r="C3324" s="1" t="s">
        <v>8</v>
      </c>
      <c r="D3324" s="1">
        <v>2897788</v>
      </c>
      <c r="E3324" s="1">
        <v>2898123</v>
      </c>
      <c r="F3324" s="1" t="s">
        <v>9</v>
      </c>
      <c r="G3324" s="1" t="s">
        <v>11409</v>
      </c>
    </row>
    <row r="3325" spans="1:7" ht="21" x14ac:dyDescent="0.25">
      <c r="A3325" s="2" t="str">
        <f>HYPERLINK("https://rth.dk/resources/bsgatlas/details.php?id=BSGatlas-gene-3324","BSGatlas-gene-3324")</f>
        <v>BSGatlas-gene-3324</v>
      </c>
      <c r="B3325" s="1" t="s">
        <v>2997</v>
      </c>
      <c r="C3325" s="1" t="s">
        <v>8</v>
      </c>
      <c r="D3325" s="1">
        <v>2898292</v>
      </c>
      <c r="E3325" s="1">
        <v>2898747</v>
      </c>
      <c r="F3325" s="1" t="s">
        <v>9</v>
      </c>
      <c r="G3325" s="1" t="s">
        <v>11409</v>
      </c>
    </row>
    <row r="3326" spans="1:7" ht="21" x14ac:dyDescent="0.25">
      <c r="A3326" s="2" t="str">
        <f>HYPERLINK("https://rth.dk/resources/bsgatlas/details.php?id=BSGatlas-gene-3325","BSGatlas-gene-3325")</f>
        <v>BSGatlas-gene-3325</v>
      </c>
      <c r="B3326" s="1" t="s">
        <v>2998</v>
      </c>
      <c r="C3326" s="1" t="s">
        <v>8</v>
      </c>
      <c r="D3326" s="1">
        <v>2898931</v>
      </c>
      <c r="E3326" s="1">
        <v>2899752</v>
      </c>
      <c r="F3326" s="1" t="s">
        <v>9</v>
      </c>
      <c r="G3326" s="1" t="s">
        <v>11409</v>
      </c>
    </row>
    <row r="3327" spans="1:7" ht="21" x14ac:dyDescent="0.25">
      <c r="A3327" s="2" t="str">
        <f>HYPERLINK("https://rth.dk/resources/bsgatlas/details.php?id=BSGatlas-gene-3326","BSGatlas-gene-3326")</f>
        <v>BSGatlas-gene-3326</v>
      </c>
      <c r="B3327" s="1" t="s">
        <v>2999</v>
      </c>
      <c r="C3327" s="1" t="s">
        <v>23</v>
      </c>
      <c r="D3327" s="1">
        <v>2899815</v>
      </c>
      <c r="E3327" s="1">
        <v>2899889</v>
      </c>
      <c r="F3327" s="1" t="s">
        <v>13</v>
      </c>
      <c r="G3327" s="1" t="s">
        <v>11411</v>
      </c>
    </row>
    <row r="3328" spans="1:7" ht="21" x14ac:dyDescent="0.25">
      <c r="A3328" s="2" t="str">
        <f>HYPERLINK("https://rth.dk/resources/bsgatlas/details.php?id=BSGatlas-gene-3327","BSGatlas-gene-3327")</f>
        <v>BSGatlas-gene-3327</v>
      </c>
      <c r="B3328" s="1" t="s">
        <v>3000</v>
      </c>
      <c r="C3328" s="1" t="s">
        <v>8</v>
      </c>
      <c r="D3328" s="1">
        <v>2900020</v>
      </c>
      <c r="E3328" s="1">
        <v>2900529</v>
      </c>
      <c r="F3328" s="1" t="s">
        <v>13</v>
      </c>
      <c r="G3328" s="1" t="s">
        <v>11409</v>
      </c>
    </row>
    <row r="3329" spans="1:7" ht="21" x14ac:dyDescent="0.25">
      <c r="A3329" s="2" t="str">
        <f>HYPERLINK("https://rth.dk/resources/bsgatlas/details.php?id=BSGatlas-gene-3328","BSGatlas-gene-3328")</f>
        <v>BSGatlas-gene-3328</v>
      </c>
      <c r="B3329" s="1" t="s">
        <v>3001</v>
      </c>
      <c r="C3329" s="1" t="s">
        <v>8</v>
      </c>
      <c r="D3329" s="1">
        <v>2900545</v>
      </c>
      <c r="E3329" s="1">
        <v>2901141</v>
      </c>
      <c r="F3329" s="1" t="s">
        <v>13</v>
      </c>
      <c r="G3329" s="1" t="s">
        <v>11409</v>
      </c>
    </row>
    <row r="3330" spans="1:7" ht="21" x14ac:dyDescent="0.25">
      <c r="A3330" s="2" t="str">
        <f>HYPERLINK("https://rth.dk/resources/bsgatlas/details.php?id=BSGatlas-gene-3329","BSGatlas-gene-3329")</f>
        <v>BSGatlas-gene-3329</v>
      </c>
      <c r="B3330" s="1" t="s">
        <v>3002</v>
      </c>
      <c r="C3330" s="1" t="s">
        <v>8</v>
      </c>
      <c r="D3330" s="1">
        <v>2901154</v>
      </c>
      <c r="E3330" s="1">
        <v>2901891</v>
      </c>
      <c r="F3330" s="1" t="s">
        <v>13</v>
      </c>
      <c r="G3330" s="1" t="s">
        <v>11409</v>
      </c>
    </row>
    <row r="3331" spans="1:7" ht="21" x14ac:dyDescent="0.25">
      <c r="A3331" s="2" t="str">
        <f>HYPERLINK("https://rth.dk/resources/bsgatlas/details.php?id=BSGatlas-gene-3330","BSGatlas-gene-3330")</f>
        <v>BSGatlas-gene-3330</v>
      </c>
      <c r="B3331" s="1" t="s">
        <v>3003</v>
      </c>
      <c r="C3331" s="1" t="s">
        <v>8</v>
      </c>
      <c r="D3331" s="1">
        <v>2902002</v>
      </c>
      <c r="E3331" s="1">
        <v>2903102</v>
      </c>
      <c r="F3331" s="1" t="s">
        <v>13</v>
      </c>
      <c r="G3331" s="1" t="s">
        <v>11409</v>
      </c>
    </row>
    <row r="3332" spans="1:7" ht="21" x14ac:dyDescent="0.25">
      <c r="A3332" s="2" t="str">
        <f>HYPERLINK("https://rth.dk/resources/bsgatlas/details.php?id=BSGatlas-gene-3331","BSGatlas-gene-3331")</f>
        <v>BSGatlas-gene-3331</v>
      </c>
      <c r="B3332" s="1" t="s">
        <v>3004</v>
      </c>
      <c r="C3332" s="1" t="s">
        <v>8</v>
      </c>
      <c r="D3332" s="1">
        <v>2903217</v>
      </c>
      <c r="E3332" s="1">
        <v>2904035</v>
      </c>
      <c r="F3332" s="1" t="s">
        <v>13</v>
      </c>
      <c r="G3332" s="1" t="s">
        <v>11409</v>
      </c>
    </row>
    <row r="3333" spans="1:7" ht="21" x14ac:dyDescent="0.25">
      <c r="A3333" s="2" t="str">
        <f>HYPERLINK("https://rth.dk/resources/bsgatlas/details.php?id=BSGatlas-gene-3332","BSGatlas-gene-3332")</f>
        <v>BSGatlas-gene-3332</v>
      </c>
      <c r="B3333" s="1" t="s">
        <v>3005</v>
      </c>
      <c r="C3333" s="1" t="s">
        <v>8</v>
      </c>
      <c r="D3333" s="1">
        <v>2904043</v>
      </c>
      <c r="E3333" s="1">
        <v>2904483</v>
      </c>
      <c r="F3333" s="1" t="s">
        <v>13</v>
      </c>
      <c r="G3333" s="1" t="s">
        <v>11409</v>
      </c>
    </row>
    <row r="3334" spans="1:7" ht="21" x14ac:dyDescent="0.25">
      <c r="A3334" s="2" t="str">
        <f>HYPERLINK("https://rth.dk/resources/bsgatlas/details.php?id=BSGatlas-gene-3333","BSGatlas-gene-3333")</f>
        <v>BSGatlas-gene-3333</v>
      </c>
      <c r="B3334" s="1" t="s">
        <v>3006</v>
      </c>
      <c r="C3334" s="1" t="s">
        <v>8</v>
      </c>
      <c r="D3334" s="1">
        <v>2904727</v>
      </c>
      <c r="E3334" s="1">
        <v>2904951</v>
      </c>
      <c r="F3334" s="1" t="s">
        <v>13</v>
      </c>
      <c r="G3334" s="1" t="s">
        <v>11409</v>
      </c>
    </row>
    <row r="3335" spans="1:7" ht="21" x14ac:dyDescent="0.25">
      <c r="A3335" s="2" t="str">
        <f>HYPERLINK("https://rth.dk/resources/bsgatlas/details.php?id=BSGatlas-gene-3334","BSGatlas-gene-3334")</f>
        <v>BSGatlas-gene-3334</v>
      </c>
      <c r="B3335" s="1" t="s">
        <v>11707</v>
      </c>
      <c r="C3335" s="1" t="s">
        <v>8</v>
      </c>
      <c r="D3335" s="1">
        <v>2905067</v>
      </c>
      <c r="E3335" s="1">
        <v>2905510</v>
      </c>
      <c r="F3335" s="1" t="s">
        <v>13</v>
      </c>
      <c r="G3335" s="1" t="s">
        <v>11409</v>
      </c>
    </row>
    <row r="3336" spans="1:7" ht="21" x14ac:dyDescent="0.25">
      <c r="A3336" s="2" t="str">
        <f>HYPERLINK("https://rth.dk/resources/bsgatlas/details.php?id=BSGatlas-gene-3335","BSGatlas-gene-3335")</f>
        <v>BSGatlas-gene-3335</v>
      </c>
      <c r="B3336" s="1" t="s">
        <v>3007</v>
      </c>
      <c r="C3336" s="1" t="s">
        <v>8</v>
      </c>
      <c r="D3336" s="1">
        <v>2905571</v>
      </c>
      <c r="E3336" s="1">
        <v>2906332</v>
      </c>
      <c r="F3336" s="1" t="s">
        <v>13</v>
      </c>
      <c r="G3336" s="1" t="s">
        <v>11409</v>
      </c>
    </row>
    <row r="3337" spans="1:7" ht="21" x14ac:dyDescent="0.25">
      <c r="A3337" s="2" t="str">
        <f>HYPERLINK("https://rth.dk/resources/bsgatlas/details.php?id=BSGatlas-gene-3336","BSGatlas-gene-3336")</f>
        <v>BSGatlas-gene-3336</v>
      </c>
      <c r="B3337" s="1" t="s">
        <v>3008</v>
      </c>
      <c r="C3337" s="1" t="s">
        <v>8</v>
      </c>
      <c r="D3337" s="1">
        <v>2906335</v>
      </c>
      <c r="E3337" s="1">
        <v>2908095</v>
      </c>
      <c r="F3337" s="1" t="s">
        <v>13</v>
      </c>
      <c r="G3337" s="1" t="s">
        <v>11409</v>
      </c>
    </row>
    <row r="3338" spans="1:7" ht="21" x14ac:dyDescent="0.25">
      <c r="A3338" s="2" t="str">
        <f>HYPERLINK("https://rth.dk/resources/bsgatlas/details.php?id=BSGatlas-gene-3337","BSGatlas-gene-3337")</f>
        <v>BSGatlas-gene-3337</v>
      </c>
      <c r="B3338" s="1" t="s">
        <v>3009</v>
      </c>
      <c r="C3338" s="1" t="s">
        <v>8</v>
      </c>
      <c r="D3338" s="1">
        <v>2908129</v>
      </c>
      <c r="E3338" s="1">
        <v>2908737</v>
      </c>
      <c r="F3338" s="1" t="s">
        <v>13</v>
      </c>
      <c r="G3338" s="1" t="s">
        <v>11409</v>
      </c>
    </row>
    <row r="3339" spans="1:7" ht="21" x14ac:dyDescent="0.25">
      <c r="A3339" s="2" t="str">
        <f>HYPERLINK("https://rth.dk/resources/bsgatlas/details.php?id=BSGatlas-gene-3338","BSGatlas-gene-3338")</f>
        <v>BSGatlas-gene-3338</v>
      </c>
      <c r="B3339" s="1" t="s">
        <v>3010</v>
      </c>
      <c r="C3339" s="1" t="s">
        <v>8</v>
      </c>
      <c r="D3339" s="1">
        <v>2909030</v>
      </c>
      <c r="E3339" s="1">
        <v>2909476</v>
      </c>
      <c r="F3339" s="1" t="s">
        <v>9</v>
      </c>
      <c r="G3339" s="1" t="s">
        <v>11409</v>
      </c>
    </row>
    <row r="3340" spans="1:7" ht="21" x14ac:dyDescent="0.25">
      <c r="A3340" s="2" t="str">
        <f>HYPERLINK("https://rth.dk/resources/bsgatlas/details.php?id=BSGatlas-gene-3339","BSGatlas-gene-3339")</f>
        <v>BSGatlas-gene-3339</v>
      </c>
      <c r="B3340" s="1" t="s">
        <v>3012</v>
      </c>
      <c r="C3340" s="1" t="s">
        <v>8</v>
      </c>
      <c r="D3340" s="1">
        <v>2909520</v>
      </c>
      <c r="E3340" s="1">
        <v>2910746</v>
      </c>
      <c r="F3340" s="1" t="s">
        <v>13</v>
      </c>
      <c r="G3340" s="1" t="s">
        <v>11409</v>
      </c>
    </row>
    <row r="3341" spans="1:7" ht="21" x14ac:dyDescent="0.25">
      <c r="A3341" s="2" t="str">
        <f>HYPERLINK("https://rth.dk/resources/bsgatlas/details.php?id=BSGatlas-gene-3340","BSGatlas-gene-3340")</f>
        <v>BSGatlas-gene-3340</v>
      </c>
      <c r="B3341" s="1" t="s">
        <v>3011</v>
      </c>
      <c r="C3341" s="1" t="s">
        <v>8</v>
      </c>
      <c r="D3341" s="1">
        <v>2909520</v>
      </c>
      <c r="E3341" s="1">
        <v>2910011</v>
      </c>
      <c r="F3341" s="1" t="s">
        <v>13</v>
      </c>
      <c r="G3341" s="1" t="s">
        <v>11441</v>
      </c>
    </row>
    <row r="3342" spans="1:7" ht="21" x14ac:dyDescent="0.25">
      <c r="A3342" s="2" t="str">
        <f>HYPERLINK("https://rth.dk/resources/bsgatlas/details.php?id=BSGatlas-gene-3341","BSGatlas-gene-3341")</f>
        <v>BSGatlas-gene-3341</v>
      </c>
      <c r="B3342" s="1" t="s">
        <v>3013</v>
      </c>
      <c r="C3342" s="1" t="s">
        <v>34</v>
      </c>
      <c r="D3342" s="1">
        <v>2910871</v>
      </c>
      <c r="E3342" s="1">
        <v>2911051</v>
      </c>
      <c r="F3342" s="1" t="s">
        <v>13</v>
      </c>
      <c r="G3342" s="1" t="s">
        <v>11412</v>
      </c>
    </row>
    <row r="3343" spans="1:7" ht="21" x14ac:dyDescent="0.25">
      <c r="A3343" s="2" t="str">
        <f>HYPERLINK("https://rth.dk/resources/bsgatlas/details.php?id=BSGatlas-gene-3342","BSGatlas-gene-3342")</f>
        <v>BSGatlas-gene-3342</v>
      </c>
      <c r="B3343" s="1" t="s">
        <v>3014</v>
      </c>
      <c r="C3343" s="1" t="s">
        <v>8</v>
      </c>
      <c r="D3343" s="1">
        <v>2911116</v>
      </c>
      <c r="E3343" s="1">
        <v>2912888</v>
      </c>
      <c r="F3343" s="1" t="s">
        <v>13</v>
      </c>
      <c r="G3343" s="1" t="s">
        <v>11409</v>
      </c>
    </row>
    <row r="3344" spans="1:7" ht="21" x14ac:dyDescent="0.25">
      <c r="A3344" s="2" t="str">
        <f>HYPERLINK("https://rth.dk/resources/bsgatlas/details.php?id=BSGatlas-gene-3343","BSGatlas-gene-3343")</f>
        <v>BSGatlas-gene-3343</v>
      </c>
      <c r="B3344" s="1" t="s">
        <v>3015</v>
      </c>
      <c r="C3344" s="1" t="s">
        <v>8</v>
      </c>
      <c r="D3344" s="1">
        <v>2913024</v>
      </c>
      <c r="E3344" s="1">
        <v>2913338</v>
      </c>
      <c r="F3344" s="1" t="s">
        <v>13</v>
      </c>
      <c r="G3344" s="1" t="s">
        <v>11409</v>
      </c>
    </row>
    <row r="3345" spans="1:7" ht="21" x14ac:dyDescent="0.25">
      <c r="A3345" s="2" t="str">
        <f>HYPERLINK("https://rth.dk/resources/bsgatlas/details.php?id=BSGatlas-gene-3344","BSGatlas-gene-3344")</f>
        <v>BSGatlas-gene-3344</v>
      </c>
      <c r="B3345" s="1" t="s">
        <v>318</v>
      </c>
      <c r="C3345" s="1" t="s">
        <v>276</v>
      </c>
      <c r="D3345" s="1">
        <v>2913483</v>
      </c>
      <c r="E3345" s="1">
        <v>2913593</v>
      </c>
      <c r="F3345" s="1" t="s">
        <v>13</v>
      </c>
      <c r="G3345" s="1" t="s">
        <v>11708</v>
      </c>
    </row>
    <row r="3346" spans="1:7" ht="21" x14ac:dyDescent="0.25">
      <c r="A3346" s="2" t="str">
        <f>HYPERLINK("https://rth.dk/resources/bsgatlas/details.php?id=BSGatlas-gene-3345","BSGatlas-gene-3345")</f>
        <v>BSGatlas-gene-3345</v>
      </c>
      <c r="B3346" s="1" t="s">
        <v>3016</v>
      </c>
      <c r="C3346" s="1" t="s">
        <v>8</v>
      </c>
      <c r="D3346" s="1">
        <v>2913661</v>
      </c>
      <c r="E3346" s="1">
        <v>2915148</v>
      </c>
      <c r="F3346" s="1" t="s">
        <v>13</v>
      </c>
      <c r="G3346" s="1" t="s">
        <v>11409</v>
      </c>
    </row>
    <row r="3347" spans="1:7" ht="21" x14ac:dyDescent="0.25">
      <c r="A3347" s="2" t="str">
        <f>HYPERLINK("https://rth.dk/resources/bsgatlas/details.php?id=BSGatlas-gene-3346","BSGatlas-gene-3346")</f>
        <v>BSGatlas-gene-3346</v>
      </c>
      <c r="B3347" s="1" t="s">
        <v>3017</v>
      </c>
      <c r="C3347" s="1" t="s">
        <v>8</v>
      </c>
      <c r="D3347" s="1">
        <v>2915365</v>
      </c>
      <c r="E3347" s="1">
        <v>2916342</v>
      </c>
      <c r="F3347" s="1" t="s">
        <v>13</v>
      </c>
      <c r="G3347" s="1" t="s">
        <v>11409</v>
      </c>
    </row>
    <row r="3348" spans="1:7" ht="21" x14ac:dyDescent="0.25">
      <c r="A3348" s="2" t="str">
        <f>HYPERLINK("https://rth.dk/resources/bsgatlas/details.php?id=BSGatlas-gene-3347","BSGatlas-gene-3347")</f>
        <v>BSGatlas-gene-3347</v>
      </c>
      <c r="B3348" s="1" t="s">
        <v>3018</v>
      </c>
      <c r="C3348" s="1" t="s">
        <v>8</v>
      </c>
      <c r="D3348" s="1">
        <v>2916378</v>
      </c>
      <c r="E3348" s="1">
        <v>2917151</v>
      </c>
      <c r="F3348" s="1" t="s">
        <v>13</v>
      </c>
      <c r="G3348" s="1" t="s">
        <v>11409</v>
      </c>
    </row>
    <row r="3349" spans="1:7" ht="21" x14ac:dyDescent="0.25">
      <c r="A3349" s="2" t="str">
        <f>HYPERLINK("https://rth.dk/resources/bsgatlas/details.php?id=BSGatlas-gene-3348","BSGatlas-gene-3348")</f>
        <v>BSGatlas-gene-3348</v>
      </c>
      <c r="B3349" s="1" t="s">
        <v>3019</v>
      </c>
      <c r="C3349" s="1" t="s">
        <v>8</v>
      </c>
      <c r="D3349" s="1">
        <v>2917166</v>
      </c>
      <c r="E3349" s="1">
        <v>2917942</v>
      </c>
      <c r="F3349" s="1" t="s">
        <v>13</v>
      </c>
      <c r="G3349" s="1" t="s">
        <v>11409</v>
      </c>
    </row>
    <row r="3350" spans="1:7" ht="21" x14ac:dyDescent="0.25">
      <c r="A3350" s="2" t="str">
        <f>HYPERLINK("https://rth.dk/resources/bsgatlas/details.php?id=BSGatlas-gene-3349","BSGatlas-gene-3349")</f>
        <v>BSGatlas-gene-3349</v>
      </c>
      <c r="B3350" s="1" t="s">
        <v>3020</v>
      </c>
      <c r="C3350" s="1" t="s">
        <v>8</v>
      </c>
      <c r="D3350" s="1">
        <v>2917957</v>
      </c>
      <c r="E3350" s="1">
        <v>2918541</v>
      </c>
      <c r="F3350" s="1" t="s">
        <v>13</v>
      </c>
      <c r="G3350" s="1" t="s">
        <v>11409</v>
      </c>
    </row>
    <row r="3351" spans="1:7" ht="21" x14ac:dyDescent="0.25">
      <c r="A3351" s="2" t="str">
        <f>HYPERLINK("https://rth.dk/resources/bsgatlas/details.php?id=BSGatlas-gene-3350","BSGatlas-gene-3350")</f>
        <v>BSGatlas-gene-3350</v>
      </c>
      <c r="B3351" s="1" t="s">
        <v>3021</v>
      </c>
      <c r="C3351" s="1" t="s">
        <v>8</v>
      </c>
      <c r="D3351" s="1">
        <v>2918646</v>
      </c>
      <c r="E3351" s="1">
        <v>2920328</v>
      </c>
      <c r="F3351" s="1" t="s">
        <v>13</v>
      </c>
      <c r="G3351" s="1" t="s">
        <v>11409</v>
      </c>
    </row>
    <row r="3352" spans="1:7" ht="21" x14ac:dyDescent="0.25">
      <c r="A3352" s="2" t="str">
        <f>HYPERLINK("https://rth.dk/resources/bsgatlas/details.php?id=BSGatlas-gene-3351","BSGatlas-gene-3351")</f>
        <v>BSGatlas-gene-3351</v>
      </c>
      <c r="B3352" s="1" t="s">
        <v>3022</v>
      </c>
      <c r="C3352" s="1" t="s">
        <v>8</v>
      </c>
      <c r="D3352" s="1">
        <v>2920517</v>
      </c>
      <c r="E3352" s="1">
        <v>2920921</v>
      </c>
      <c r="F3352" s="1" t="s">
        <v>13</v>
      </c>
      <c r="G3352" s="1" t="s">
        <v>11409</v>
      </c>
    </row>
    <row r="3353" spans="1:7" ht="21" x14ac:dyDescent="0.25">
      <c r="A3353" s="2" t="str">
        <f>HYPERLINK("https://rth.dk/resources/bsgatlas/details.php?id=BSGatlas-gene-3352","BSGatlas-gene-3352")</f>
        <v>BSGatlas-gene-3352</v>
      </c>
      <c r="B3353" s="1" t="s">
        <v>3023</v>
      </c>
      <c r="C3353" s="1" t="s">
        <v>8</v>
      </c>
      <c r="D3353" s="1">
        <v>2920936</v>
      </c>
      <c r="E3353" s="1">
        <v>2923293</v>
      </c>
      <c r="F3353" s="1" t="s">
        <v>13</v>
      </c>
      <c r="G3353" s="1" t="s">
        <v>11409</v>
      </c>
    </row>
    <row r="3354" spans="1:7" ht="21" x14ac:dyDescent="0.25">
      <c r="A3354" s="2" t="str">
        <f>HYPERLINK("https://rth.dk/resources/bsgatlas/details.php?id=BSGatlas-gene-3353","BSGatlas-gene-3353")</f>
        <v>BSGatlas-gene-3353</v>
      </c>
      <c r="B3354" s="1" t="s">
        <v>3024</v>
      </c>
      <c r="C3354" s="1" t="s">
        <v>8</v>
      </c>
      <c r="D3354" s="1">
        <v>2923314</v>
      </c>
      <c r="E3354" s="1">
        <v>2925026</v>
      </c>
      <c r="F3354" s="1" t="s">
        <v>13</v>
      </c>
      <c r="G3354" s="1" t="s">
        <v>11409</v>
      </c>
    </row>
    <row r="3355" spans="1:7" ht="21" x14ac:dyDescent="0.25">
      <c r="A3355" s="2" t="str">
        <f>HYPERLINK("https://rth.dk/resources/bsgatlas/details.php?id=BSGatlas-gene-3354","BSGatlas-gene-3354")</f>
        <v>BSGatlas-gene-3354</v>
      </c>
      <c r="B3355" s="1" t="s">
        <v>3025</v>
      </c>
      <c r="C3355" s="1" t="s">
        <v>8</v>
      </c>
      <c r="D3355" s="1">
        <v>2925100</v>
      </c>
      <c r="E3355" s="1">
        <v>2925633</v>
      </c>
      <c r="F3355" s="1" t="s">
        <v>13</v>
      </c>
      <c r="G3355" s="1" t="s">
        <v>11409</v>
      </c>
    </row>
    <row r="3356" spans="1:7" ht="21" x14ac:dyDescent="0.25">
      <c r="A3356" s="2" t="str">
        <f>HYPERLINK("https://rth.dk/resources/bsgatlas/details.php?id=BSGatlas-gene-3355","BSGatlas-gene-3355")</f>
        <v>BSGatlas-gene-3355</v>
      </c>
      <c r="B3356" s="1" t="s">
        <v>3026</v>
      </c>
      <c r="C3356" s="1" t="s">
        <v>8</v>
      </c>
      <c r="D3356" s="1">
        <v>2925640</v>
      </c>
      <c r="E3356" s="1">
        <v>2925897</v>
      </c>
      <c r="F3356" s="1" t="s">
        <v>13</v>
      </c>
      <c r="G3356" s="1" t="s">
        <v>11409</v>
      </c>
    </row>
    <row r="3357" spans="1:7" ht="21" x14ac:dyDescent="0.25">
      <c r="A3357" s="2" t="str">
        <f>HYPERLINK("https://rth.dk/resources/bsgatlas/details.php?id=BSGatlas-gene-3356","BSGatlas-gene-3356")</f>
        <v>BSGatlas-gene-3356</v>
      </c>
      <c r="B3357" s="1" t="s">
        <v>3027</v>
      </c>
      <c r="C3357" s="1" t="s">
        <v>8</v>
      </c>
      <c r="D3357" s="1">
        <v>2926031</v>
      </c>
      <c r="E3357" s="1">
        <v>2926972</v>
      </c>
      <c r="F3357" s="1" t="s">
        <v>9</v>
      </c>
      <c r="G3357" s="1" t="s">
        <v>11409</v>
      </c>
    </row>
    <row r="3358" spans="1:7" ht="21" x14ac:dyDescent="0.25">
      <c r="A3358" s="2" t="str">
        <f>HYPERLINK("https://rth.dk/resources/bsgatlas/details.php?id=BSGatlas-gene-3357","BSGatlas-gene-3357")</f>
        <v>BSGatlas-gene-3357</v>
      </c>
      <c r="B3358" s="1" t="s">
        <v>3028</v>
      </c>
      <c r="C3358" s="1" t="s">
        <v>8</v>
      </c>
      <c r="D3358" s="1">
        <v>2927008</v>
      </c>
      <c r="E3358" s="1">
        <v>2929422</v>
      </c>
      <c r="F3358" s="1" t="s">
        <v>13</v>
      </c>
      <c r="G3358" s="1" t="s">
        <v>11409</v>
      </c>
    </row>
    <row r="3359" spans="1:7" ht="21" x14ac:dyDescent="0.25">
      <c r="A3359" s="2" t="str">
        <f>HYPERLINK("https://rth.dk/resources/bsgatlas/details.php?id=BSGatlas-gene-3358","BSGatlas-gene-3358")</f>
        <v>BSGatlas-gene-3358</v>
      </c>
      <c r="B3359" s="1" t="s">
        <v>3029</v>
      </c>
      <c r="C3359" s="1" t="s">
        <v>8</v>
      </c>
      <c r="D3359" s="1">
        <v>2929438</v>
      </c>
      <c r="E3359" s="1">
        <v>2930472</v>
      </c>
      <c r="F3359" s="1" t="s">
        <v>13</v>
      </c>
      <c r="G3359" s="1" t="s">
        <v>11409</v>
      </c>
    </row>
    <row r="3360" spans="1:7" ht="21" x14ac:dyDescent="0.25">
      <c r="A3360" s="2" t="str">
        <f>HYPERLINK("https://rth.dk/resources/bsgatlas/details.php?id=BSGatlas-gene-3359","BSGatlas-gene-3359")</f>
        <v>BSGatlas-gene-3359</v>
      </c>
      <c r="B3360" s="1" t="s">
        <v>144</v>
      </c>
      <c r="C3360" s="1" t="s">
        <v>34</v>
      </c>
      <c r="D3360" s="1">
        <v>2930522</v>
      </c>
      <c r="E3360" s="1">
        <v>2930788</v>
      </c>
      <c r="F3360" s="1" t="s">
        <v>13</v>
      </c>
      <c r="G3360" s="1" t="s">
        <v>11709</v>
      </c>
    </row>
    <row r="3361" spans="1:7" ht="21" x14ac:dyDescent="0.25">
      <c r="A3361" s="2" t="str">
        <f>HYPERLINK("https://rth.dk/resources/bsgatlas/details.php?id=BSGatlas-gene-3360","BSGatlas-gene-3360")</f>
        <v>BSGatlas-gene-3360</v>
      </c>
      <c r="B3361" s="1" t="s">
        <v>318</v>
      </c>
      <c r="C3361" s="1" t="s">
        <v>8</v>
      </c>
      <c r="D3361" s="1">
        <v>2930554</v>
      </c>
      <c r="E3361" s="1">
        <v>2930760</v>
      </c>
      <c r="F3361" s="1" t="s">
        <v>9</v>
      </c>
      <c r="G3361" s="1" t="s">
        <v>11441</v>
      </c>
    </row>
    <row r="3362" spans="1:7" ht="21" x14ac:dyDescent="0.25">
      <c r="A3362" s="2" t="str">
        <f>HYPERLINK("https://rth.dk/resources/bsgatlas/details.php?id=BSGatlas-gene-3361","BSGatlas-gene-3361")</f>
        <v>BSGatlas-gene-3361</v>
      </c>
      <c r="B3362" s="1" t="s">
        <v>3030</v>
      </c>
      <c r="C3362" s="1" t="s">
        <v>12</v>
      </c>
      <c r="D3362" s="1">
        <v>2930783</v>
      </c>
      <c r="E3362" s="1">
        <v>2931047</v>
      </c>
      <c r="F3362" s="1" t="s">
        <v>9</v>
      </c>
      <c r="G3362" s="1" t="s">
        <v>11406</v>
      </c>
    </row>
    <row r="3363" spans="1:7" ht="21" x14ac:dyDescent="0.25">
      <c r="A3363" s="2" t="str">
        <f>HYPERLINK("https://rth.dk/resources/bsgatlas/details.php?id=BSGatlas-gene-3362","BSGatlas-gene-3362")</f>
        <v>BSGatlas-gene-3362</v>
      </c>
      <c r="B3363" s="1" t="s">
        <v>3031</v>
      </c>
      <c r="C3363" s="1" t="s">
        <v>8</v>
      </c>
      <c r="D3363" s="1">
        <v>2930827</v>
      </c>
      <c r="E3363" s="1">
        <v>2931573</v>
      </c>
      <c r="F3363" s="1" t="s">
        <v>13</v>
      </c>
      <c r="G3363" s="1" t="s">
        <v>11409</v>
      </c>
    </row>
    <row r="3364" spans="1:7" ht="21" x14ac:dyDescent="0.25">
      <c r="A3364" s="2" t="str">
        <f>HYPERLINK("https://rth.dk/resources/bsgatlas/details.php?id=BSGatlas-gene-3363","BSGatlas-gene-3363")</f>
        <v>BSGatlas-gene-3363</v>
      </c>
      <c r="B3364" s="1" t="s">
        <v>3032</v>
      </c>
      <c r="C3364" s="1" t="s">
        <v>8</v>
      </c>
      <c r="D3364" s="1">
        <v>2931692</v>
      </c>
      <c r="E3364" s="1">
        <v>2931907</v>
      </c>
      <c r="F3364" s="1" t="s">
        <v>9</v>
      </c>
      <c r="G3364" s="1" t="s">
        <v>11409</v>
      </c>
    </row>
    <row r="3365" spans="1:7" ht="21" x14ac:dyDescent="0.25">
      <c r="A3365" s="2" t="str">
        <f>HYPERLINK("https://rth.dk/resources/bsgatlas/details.php?id=BSGatlas-gene-3364","BSGatlas-gene-3364")</f>
        <v>BSGatlas-gene-3364</v>
      </c>
      <c r="B3365" s="1" t="s">
        <v>3033</v>
      </c>
      <c r="C3365" s="1" t="s">
        <v>12</v>
      </c>
      <c r="D3365" s="1">
        <v>2931889</v>
      </c>
      <c r="E3365" s="1">
        <v>2933301</v>
      </c>
      <c r="F3365" s="1" t="s">
        <v>13</v>
      </c>
      <c r="G3365" s="1" t="s">
        <v>11406</v>
      </c>
    </row>
    <row r="3366" spans="1:7" ht="21" x14ac:dyDescent="0.25">
      <c r="A3366" s="2" t="str">
        <f>HYPERLINK("https://rth.dk/resources/bsgatlas/details.php?id=BSGatlas-gene-3365","BSGatlas-gene-3365")</f>
        <v>BSGatlas-gene-3365</v>
      </c>
      <c r="B3366" s="1" t="s">
        <v>3034</v>
      </c>
      <c r="C3366" s="1" t="s">
        <v>8</v>
      </c>
      <c r="D3366" s="1">
        <v>2931976</v>
      </c>
      <c r="E3366" s="1">
        <v>2933082</v>
      </c>
      <c r="F3366" s="1" t="s">
        <v>9</v>
      </c>
      <c r="G3366" s="1" t="s">
        <v>11409</v>
      </c>
    </row>
    <row r="3367" spans="1:7" ht="21" x14ac:dyDescent="0.25">
      <c r="A3367" s="2" t="str">
        <f>HYPERLINK("https://rth.dk/resources/bsgatlas/details.php?id=BSGatlas-gene-3366","BSGatlas-gene-3366")</f>
        <v>BSGatlas-gene-3366</v>
      </c>
      <c r="B3367" s="1" t="s">
        <v>3035</v>
      </c>
      <c r="C3367" s="1" t="s">
        <v>8</v>
      </c>
      <c r="D3367" s="1">
        <v>2933185</v>
      </c>
      <c r="E3367" s="1">
        <v>2934597</v>
      </c>
      <c r="F3367" s="1" t="s">
        <v>9</v>
      </c>
      <c r="G3367" s="1" t="s">
        <v>11409</v>
      </c>
    </row>
    <row r="3368" spans="1:7" ht="21" x14ac:dyDescent="0.25">
      <c r="A3368" s="2" t="str">
        <f>HYPERLINK("https://rth.dk/resources/bsgatlas/details.php?id=BSGatlas-gene-3367","BSGatlas-gene-3367")</f>
        <v>BSGatlas-gene-3367</v>
      </c>
      <c r="B3368" s="1" t="s">
        <v>3036</v>
      </c>
      <c r="C3368" s="1" t="s">
        <v>8</v>
      </c>
      <c r="D3368" s="1">
        <v>2934594</v>
      </c>
      <c r="E3368" s="1">
        <v>2935928</v>
      </c>
      <c r="F3368" s="1" t="s">
        <v>9</v>
      </c>
      <c r="G3368" s="1" t="s">
        <v>11409</v>
      </c>
    </row>
    <row r="3369" spans="1:7" ht="21" x14ac:dyDescent="0.25">
      <c r="A3369" s="2" t="str">
        <f>HYPERLINK("https://rth.dk/resources/bsgatlas/details.php?id=BSGatlas-gene-3368","BSGatlas-gene-3368")</f>
        <v>BSGatlas-gene-3368</v>
      </c>
      <c r="B3369" s="1" t="s">
        <v>3037</v>
      </c>
      <c r="C3369" s="1" t="s">
        <v>8</v>
      </c>
      <c r="D3369" s="1">
        <v>2935967</v>
      </c>
      <c r="E3369" s="1">
        <v>2936209</v>
      </c>
      <c r="F3369" s="1" t="s">
        <v>13</v>
      </c>
      <c r="G3369" s="1" t="s">
        <v>11409</v>
      </c>
    </row>
    <row r="3370" spans="1:7" ht="21" x14ac:dyDescent="0.25">
      <c r="A3370" s="2" t="str">
        <f>HYPERLINK("https://rth.dk/resources/bsgatlas/details.php?id=BSGatlas-gene-3369","BSGatlas-gene-3369")</f>
        <v>BSGatlas-gene-3369</v>
      </c>
      <c r="B3370" s="1" t="s">
        <v>318</v>
      </c>
      <c r="C3370" s="1" t="s">
        <v>8</v>
      </c>
      <c r="D3370" s="1">
        <v>2936269</v>
      </c>
      <c r="E3370" s="1">
        <v>2936439</v>
      </c>
      <c r="F3370" s="1" t="s">
        <v>13</v>
      </c>
      <c r="G3370" s="1" t="s">
        <v>11441</v>
      </c>
    </row>
    <row r="3371" spans="1:7" ht="21" x14ac:dyDescent="0.25">
      <c r="A3371" s="2" t="str">
        <f>HYPERLINK("https://rth.dk/resources/bsgatlas/details.php?id=BSGatlas-gene-3370","BSGatlas-gene-3370")</f>
        <v>BSGatlas-gene-3370</v>
      </c>
      <c r="B3371" s="1" t="s">
        <v>3038</v>
      </c>
      <c r="C3371" s="1" t="s">
        <v>8</v>
      </c>
      <c r="D3371" s="1">
        <v>2936382</v>
      </c>
      <c r="E3371" s="1">
        <v>2938178</v>
      </c>
      <c r="F3371" s="1" t="s">
        <v>13</v>
      </c>
      <c r="G3371" s="1" t="s">
        <v>11409</v>
      </c>
    </row>
    <row r="3372" spans="1:7" ht="21" x14ac:dyDescent="0.25">
      <c r="A3372" s="2" t="str">
        <f>HYPERLINK("https://rth.dk/resources/bsgatlas/details.php?id=BSGatlas-gene-3371","BSGatlas-gene-3371")</f>
        <v>BSGatlas-gene-3371</v>
      </c>
      <c r="B3372" s="1" t="s">
        <v>3039</v>
      </c>
      <c r="C3372" s="1" t="s">
        <v>8</v>
      </c>
      <c r="D3372" s="1">
        <v>2938330</v>
      </c>
      <c r="E3372" s="1">
        <v>2939832</v>
      </c>
      <c r="F3372" s="1" t="s">
        <v>13</v>
      </c>
      <c r="G3372" s="1" t="s">
        <v>11409</v>
      </c>
    </row>
    <row r="3373" spans="1:7" ht="21" x14ac:dyDescent="0.25">
      <c r="A3373" s="2" t="str">
        <f>HYPERLINK("https://rth.dk/resources/bsgatlas/details.php?id=BSGatlas-gene-3372","BSGatlas-gene-3372")</f>
        <v>BSGatlas-gene-3372</v>
      </c>
      <c r="B3373" s="1" t="s">
        <v>3040</v>
      </c>
      <c r="C3373" s="1" t="s">
        <v>8</v>
      </c>
      <c r="D3373" s="1">
        <v>2939851</v>
      </c>
      <c r="E3373" s="1">
        <v>2940696</v>
      </c>
      <c r="F3373" s="1" t="s">
        <v>13</v>
      </c>
      <c r="G3373" s="1" t="s">
        <v>11409</v>
      </c>
    </row>
    <row r="3374" spans="1:7" ht="21" x14ac:dyDescent="0.25">
      <c r="A3374" s="2" t="str">
        <f>HYPERLINK("https://rth.dk/resources/bsgatlas/details.php?id=BSGatlas-gene-3373","BSGatlas-gene-3373")</f>
        <v>BSGatlas-gene-3373</v>
      </c>
      <c r="B3374" s="1" t="s">
        <v>3041</v>
      </c>
      <c r="C3374" s="1" t="s">
        <v>8</v>
      </c>
      <c r="D3374" s="1">
        <v>2940697</v>
      </c>
      <c r="E3374" s="1">
        <v>2941638</v>
      </c>
      <c r="F3374" s="1" t="s">
        <v>13</v>
      </c>
      <c r="G3374" s="1" t="s">
        <v>11409</v>
      </c>
    </row>
    <row r="3375" spans="1:7" ht="21" x14ac:dyDescent="0.25">
      <c r="A3375" s="2" t="str">
        <f>HYPERLINK("https://rth.dk/resources/bsgatlas/details.php?id=BSGatlas-gene-3374","BSGatlas-gene-3374")</f>
        <v>BSGatlas-gene-3374</v>
      </c>
      <c r="B3375" s="1" t="s">
        <v>3042</v>
      </c>
      <c r="C3375" s="1" t="s">
        <v>8</v>
      </c>
      <c r="D3375" s="1">
        <v>2941674</v>
      </c>
      <c r="E3375" s="1">
        <v>2942975</v>
      </c>
      <c r="F3375" s="1" t="s">
        <v>13</v>
      </c>
      <c r="G3375" s="1" t="s">
        <v>11409</v>
      </c>
    </row>
    <row r="3376" spans="1:7" ht="21" x14ac:dyDescent="0.25">
      <c r="A3376" s="2" t="str">
        <f>HYPERLINK("https://rth.dk/resources/bsgatlas/details.php?id=BSGatlas-gene-3375","BSGatlas-gene-3375")</f>
        <v>BSGatlas-gene-3375</v>
      </c>
      <c r="B3376" s="1" t="s">
        <v>3043</v>
      </c>
      <c r="C3376" s="1" t="s">
        <v>8</v>
      </c>
      <c r="D3376" s="1">
        <v>2943006</v>
      </c>
      <c r="E3376" s="1">
        <v>2944190</v>
      </c>
      <c r="F3376" s="1" t="s">
        <v>13</v>
      </c>
      <c r="G3376" s="1" t="s">
        <v>11409</v>
      </c>
    </row>
    <row r="3377" spans="1:7" ht="21" x14ac:dyDescent="0.25">
      <c r="A3377" s="2" t="str">
        <f>HYPERLINK("https://rth.dk/resources/bsgatlas/details.php?id=BSGatlas-gene-3376","BSGatlas-gene-3376")</f>
        <v>BSGatlas-gene-3376</v>
      </c>
      <c r="B3377" s="1" t="s">
        <v>3044</v>
      </c>
      <c r="C3377" s="1" t="s">
        <v>8</v>
      </c>
      <c r="D3377" s="1">
        <v>2944187</v>
      </c>
      <c r="E3377" s="1">
        <v>2945005</v>
      </c>
      <c r="F3377" s="1" t="s">
        <v>13</v>
      </c>
      <c r="G3377" s="1" t="s">
        <v>11409</v>
      </c>
    </row>
    <row r="3378" spans="1:7" ht="21" x14ac:dyDescent="0.25">
      <c r="A3378" s="2" t="str">
        <f>HYPERLINK("https://rth.dk/resources/bsgatlas/details.php?id=BSGatlas-gene-3377","BSGatlas-gene-3377")</f>
        <v>BSGatlas-gene-3377</v>
      </c>
      <c r="B3378" s="1" t="s">
        <v>3045</v>
      </c>
      <c r="C3378" s="1" t="s">
        <v>8</v>
      </c>
      <c r="D3378" s="1">
        <v>2944983</v>
      </c>
      <c r="E3378" s="1">
        <v>2945672</v>
      </c>
      <c r="F3378" s="1" t="s">
        <v>13</v>
      </c>
      <c r="G3378" s="1" t="s">
        <v>11409</v>
      </c>
    </row>
    <row r="3379" spans="1:7" ht="21" x14ac:dyDescent="0.25">
      <c r="A3379" s="2" t="str">
        <f>HYPERLINK("https://rth.dk/resources/bsgatlas/details.php?id=BSGatlas-gene-3378","BSGatlas-gene-3378")</f>
        <v>BSGatlas-gene-3378</v>
      </c>
      <c r="B3379" s="1" t="s">
        <v>3046</v>
      </c>
      <c r="C3379" s="1" t="s">
        <v>8</v>
      </c>
      <c r="D3379" s="1">
        <v>2945689</v>
      </c>
      <c r="E3379" s="1">
        <v>2947371</v>
      </c>
      <c r="F3379" s="1" t="s">
        <v>13</v>
      </c>
      <c r="G3379" s="1" t="s">
        <v>11409</v>
      </c>
    </row>
    <row r="3380" spans="1:7" ht="21" x14ac:dyDescent="0.25">
      <c r="A3380" s="2" t="str">
        <f>HYPERLINK("https://rth.dk/resources/bsgatlas/details.php?id=BSGatlas-gene-3379","BSGatlas-gene-3379")</f>
        <v>BSGatlas-gene-3379</v>
      </c>
      <c r="B3380" s="1" t="s">
        <v>3047</v>
      </c>
      <c r="C3380" s="1" t="s">
        <v>8</v>
      </c>
      <c r="D3380" s="1">
        <v>2947385</v>
      </c>
      <c r="E3380" s="1">
        <v>2948875</v>
      </c>
      <c r="F3380" s="1" t="s">
        <v>13</v>
      </c>
      <c r="G3380" s="1" t="s">
        <v>11409</v>
      </c>
    </row>
    <row r="3381" spans="1:7" ht="21" x14ac:dyDescent="0.25">
      <c r="A3381" s="2" t="str">
        <f>HYPERLINK("https://rth.dk/resources/bsgatlas/details.php?id=BSGatlas-gene-3380","BSGatlas-gene-3380")</f>
        <v>BSGatlas-gene-3380</v>
      </c>
      <c r="B3381" s="1" t="s">
        <v>3048</v>
      </c>
      <c r="C3381" s="1" t="s">
        <v>8</v>
      </c>
      <c r="D3381" s="1">
        <v>2949053</v>
      </c>
      <c r="E3381" s="1">
        <v>2950024</v>
      </c>
      <c r="F3381" s="1" t="s">
        <v>13</v>
      </c>
      <c r="G3381" s="1" t="s">
        <v>11409</v>
      </c>
    </row>
    <row r="3382" spans="1:7" ht="21" x14ac:dyDescent="0.25">
      <c r="A3382" s="2" t="str">
        <f>HYPERLINK("https://rth.dk/resources/bsgatlas/details.php?id=BSGatlas-gene-3381","BSGatlas-gene-3381")</f>
        <v>BSGatlas-gene-3381</v>
      </c>
      <c r="B3382" s="1" t="s">
        <v>3049</v>
      </c>
      <c r="C3382" s="1" t="s">
        <v>8</v>
      </c>
      <c r="D3382" s="1">
        <v>2950221</v>
      </c>
      <c r="E3382" s="1">
        <v>2951306</v>
      </c>
      <c r="F3382" s="1" t="s">
        <v>13</v>
      </c>
      <c r="G3382" s="1" t="s">
        <v>11409</v>
      </c>
    </row>
    <row r="3383" spans="1:7" ht="21" x14ac:dyDescent="0.25">
      <c r="A3383" s="2" t="str">
        <f>HYPERLINK("https://rth.dk/resources/bsgatlas/details.php?id=BSGatlas-gene-3382","BSGatlas-gene-3382")</f>
        <v>BSGatlas-gene-3382</v>
      </c>
      <c r="B3383" s="1" t="s">
        <v>3050</v>
      </c>
      <c r="C3383" s="1" t="s">
        <v>8</v>
      </c>
      <c r="D3383" s="1">
        <v>2951490</v>
      </c>
      <c r="E3383" s="1">
        <v>2951882</v>
      </c>
      <c r="F3383" s="1" t="s">
        <v>9</v>
      </c>
      <c r="G3383" s="1" t="s">
        <v>11409</v>
      </c>
    </row>
    <row r="3384" spans="1:7" ht="21" x14ac:dyDescent="0.25">
      <c r="A3384" s="2" t="str">
        <f>HYPERLINK("https://rth.dk/resources/bsgatlas/details.php?id=BSGatlas-gene-3383","BSGatlas-gene-3383")</f>
        <v>BSGatlas-gene-3383</v>
      </c>
      <c r="B3384" s="1" t="s">
        <v>3051</v>
      </c>
      <c r="C3384" s="1" t="s">
        <v>8</v>
      </c>
      <c r="D3384" s="1">
        <v>2951898</v>
      </c>
      <c r="E3384" s="1">
        <v>2952167</v>
      </c>
      <c r="F3384" s="1" t="s">
        <v>13</v>
      </c>
      <c r="G3384" s="1" t="s">
        <v>11409</v>
      </c>
    </row>
    <row r="3385" spans="1:7" ht="21" x14ac:dyDescent="0.25">
      <c r="A3385" s="2" t="str">
        <f>HYPERLINK("https://rth.dk/resources/bsgatlas/details.php?id=BSGatlas-gene-3384","BSGatlas-gene-3384")</f>
        <v>BSGatlas-gene-3384</v>
      </c>
      <c r="B3385" s="1" t="s">
        <v>3052</v>
      </c>
      <c r="C3385" s="1" t="s">
        <v>8</v>
      </c>
      <c r="D3385" s="1">
        <v>2952224</v>
      </c>
      <c r="E3385" s="1">
        <v>2952583</v>
      </c>
      <c r="F3385" s="1" t="s">
        <v>13</v>
      </c>
      <c r="G3385" s="1" t="s">
        <v>11409</v>
      </c>
    </row>
    <row r="3386" spans="1:7" ht="21" x14ac:dyDescent="0.25">
      <c r="A3386" s="2" t="str">
        <f>HYPERLINK("https://rth.dk/resources/bsgatlas/details.php?id=BSGatlas-gene-3385","BSGatlas-gene-3385")</f>
        <v>BSGatlas-gene-3385</v>
      </c>
      <c r="B3386" s="1" t="s">
        <v>3053</v>
      </c>
      <c r="C3386" s="1" t="s">
        <v>8</v>
      </c>
      <c r="D3386" s="1">
        <v>2952615</v>
      </c>
      <c r="E3386" s="1">
        <v>2952815</v>
      </c>
      <c r="F3386" s="1" t="s">
        <v>13</v>
      </c>
      <c r="G3386" s="1" t="s">
        <v>11409</v>
      </c>
    </row>
    <row r="3387" spans="1:7" ht="21" x14ac:dyDescent="0.25">
      <c r="A3387" s="2" t="str">
        <f>HYPERLINK("https://rth.dk/resources/bsgatlas/details.php?id=BSGatlas-gene-3386","BSGatlas-gene-3386")</f>
        <v>BSGatlas-gene-3386</v>
      </c>
      <c r="B3387" s="1" t="s">
        <v>3054</v>
      </c>
      <c r="C3387" s="1" t="s">
        <v>8</v>
      </c>
      <c r="D3387" s="1">
        <v>2952828</v>
      </c>
      <c r="E3387" s="1">
        <v>2953349</v>
      </c>
      <c r="F3387" s="1" t="s">
        <v>13</v>
      </c>
      <c r="G3387" s="1" t="s">
        <v>11409</v>
      </c>
    </row>
    <row r="3388" spans="1:7" ht="21" x14ac:dyDescent="0.25">
      <c r="A3388" s="2" t="str">
        <f>HYPERLINK("https://rth.dk/resources/bsgatlas/details.php?id=BSGatlas-gene-3387","BSGatlas-gene-3387")</f>
        <v>BSGatlas-gene-3387</v>
      </c>
      <c r="B3388" s="1" t="s">
        <v>318</v>
      </c>
      <c r="C3388" s="1" t="s">
        <v>34</v>
      </c>
      <c r="D3388" s="1">
        <v>2953407</v>
      </c>
      <c r="E3388" s="1">
        <v>2953550</v>
      </c>
      <c r="F3388" s="1" t="s">
        <v>13</v>
      </c>
      <c r="G3388" s="1" t="s">
        <v>11464</v>
      </c>
    </row>
    <row r="3389" spans="1:7" ht="21" x14ac:dyDescent="0.25">
      <c r="A3389" s="2" t="str">
        <f>HYPERLINK("https://rth.dk/resources/bsgatlas/details.php?id=BSGatlas-gene-3388","BSGatlas-gene-3388")</f>
        <v>BSGatlas-gene-3388</v>
      </c>
      <c r="B3389" s="1" t="s">
        <v>3055</v>
      </c>
      <c r="C3389" s="1" t="s">
        <v>8</v>
      </c>
      <c r="D3389" s="1">
        <v>2953795</v>
      </c>
      <c r="E3389" s="1">
        <v>2954460</v>
      </c>
      <c r="F3389" s="1" t="s">
        <v>9</v>
      </c>
      <c r="G3389" s="1" t="s">
        <v>11409</v>
      </c>
    </row>
    <row r="3390" spans="1:7" ht="21" x14ac:dyDescent="0.25">
      <c r="A3390" s="2" t="str">
        <f>HYPERLINK("https://rth.dk/resources/bsgatlas/details.php?id=BSGatlas-gene-3389","BSGatlas-gene-3389")</f>
        <v>BSGatlas-gene-3389</v>
      </c>
      <c r="B3390" s="1" t="s">
        <v>3056</v>
      </c>
      <c r="C3390" s="1" t="s">
        <v>8</v>
      </c>
      <c r="D3390" s="1">
        <v>2954492</v>
      </c>
      <c r="E3390" s="1">
        <v>2955187</v>
      </c>
      <c r="F3390" s="1" t="s">
        <v>13</v>
      </c>
      <c r="G3390" s="1" t="s">
        <v>11409</v>
      </c>
    </row>
    <row r="3391" spans="1:7" ht="21" x14ac:dyDescent="0.25">
      <c r="A3391" s="2" t="str">
        <f>HYPERLINK("https://rth.dk/resources/bsgatlas/details.php?id=BSGatlas-gene-3390","BSGatlas-gene-3390")</f>
        <v>BSGatlas-gene-3390</v>
      </c>
      <c r="B3391" s="1" t="s">
        <v>3057</v>
      </c>
      <c r="C3391" s="1" t="s">
        <v>8</v>
      </c>
      <c r="D3391" s="1">
        <v>2955209</v>
      </c>
      <c r="E3391" s="1">
        <v>2955649</v>
      </c>
      <c r="F3391" s="1" t="s">
        <v>13</v>
      </c>
      <c r="G3391" s="1" t="s">
        <v>11409</v>
      </c>
    </row>
    <row r="3392" spans="1:7" ht="21" x14ac:dyDescent="0.25">
      <c r="A3392" s="2" t="str">
        <f>HYPERLINK("https://rth.dk/resources/bsgatlas/details.php?id=BSGatlas-gene-3391","BSGatlas-gene-3391")</f>
        <v>BSGatlas-gene-3391</v>
      </c>
      <c r="B3392" s="1" t="s">
        <v>3058</v>
      </c>
      <c r="C3392" s="1" t="s">
        <v>8</v>
      </c>
      <c r="D3392" s="1">
        <v>2955783</v>
      </c>
      <c r="E3392" s="1">
        <v>2956508</v>
      </c>
      <c r="F3392" s="1" t="s">
        <v>13</v>
      </c>
      <c r="G3392" s="1" t="s">
        <v>11409</v>
      </c>
    </row>
    <row r="3393" spans="1:7" ht="21" x14ac:dyDescent="0.25">
      <c r="A3393" s="2" t="str">
        <f>HYPERLINK("https://rth.dk/resources/bsgatlas/details.php?id=BSGatlas-gene-3392","BSGatlas-gene-3392")</f>
        <v>BSGatlas-gene-3392</v>
      </c>
      <c r="B3393" s="1" t="s">
        <v>3059</v>
      </c>
      <c r="C3393" s="1" t="s">
        <v>8</v>
      </c>
      <c r="D3393" s="1">
        <v>2956486</v>
      </c>
      <c r="E3393" s="1">
        <v>2958267</v>
      </c>
      <c r="F3393" s="1" t="s">
        <v>13</v>
      </c>
      <c r="G3393" s="1" t="s">
        <v>11409</v>
      </c>
    </row>
    <row r="3394" spans="1:7" ht="21" x14ac:dyDescent="0.25">
      <c r="A3394" s="2" t="str">
        <f>HYPERLINK("https://rth.dk/resources/bsgatlas/details.php?id=BSGatlas-gene-3393","BSGatlas-gene-3393")</f>
        <v>BSGatlas-gene-3393</v>
      </c>
      <c r="B3394" s="1" t="s">
        <v>3060</v>
      </c>
      <c r="C3394" s="1" t="s">
        <v>8</v>
      </c>
      <c r="D3394" s="1">
        <v>2958434</v>
      </c>
      <c r="E3394" s="1">
        <v>2959216</v>
      </c>
      <c r="F3394" s="1" t="s">
        <v>9</v>
      </c>
      <c r="G3394" s="1" t="s">
        <v>11409</v>
      </c>
    </row>
    <row r="3395" spans="1:7" ht="21" x14ac:dyDescent="0.25">
      <c r="A3395" s="2" t="str">
        <f>HYPERLINK("https://rth.dk/resources/bsgatlas/details.php?id=BSGatlas-gene-3394","BSGatlas-gene-3394")</f>
        <v>BSGatlas-gene-3394</v>
      </c>
      <c r="B3395" s="1" t="s">
        <v>3061</v>
      </c>
      <c r="C3395" s="1" t="s">
        <v>8</v>
      </c>
      <c r="D3395" s="1">
        <v>2959257</v>
      </c>
      <c r="E3395" s="1">
        <v>2961188</v>
      </c>
      <c r="F3395" s="1" t="s">
        <v>13</v>
      </c>
      <c r="G3395" s="1" t="s">
        <v>11409</v>
      </c>
    </row>
    <row r="3396" spans="1:7" ht="21" x14ac:dyDescent="0.25">
      <c r="A3396" s="2" t="str">
        <f>HYPERLINK("https://rth.dk/resources/bsgatlas/details.php?id=BSGatlas-gene-3395","BSGatlas-gene-3395")</f>
        <v>BSGatlas-gene-3395</v>
      </c>
      <c r="B3396" s="1" t="s">
        <v>3062</v>
      </c>
      <c r="C3396" s="1" t="s">
        <v>34</v>
      </c>
      <c r="D3396" s="1">
        <v>2961232</v>
      </c>
      <c r="E3396" s="1">
        <v>2961479</v>
      </c>
      <c r="F3396" s="1" t="s">
        <v>13</v>
      </c>
      <c r="G3396" s="1" t="s">
        <v>11669</v>
      </c>
    </row>
    <row r="3397" spans="1:7" ht="21" x14ac:dyDescent="0.25">
      <c r="A3397" s="2" t="str">
        <f>HYPERLINK("https://rth.dk/resources/bsgatlas/details.php?id=BSGatlas-gene-3396","BSGatlas-gene-3396")</f>
        <v>BSGatlas-gene-3396</v>
      </c>
      <c r="B3397" s="1" t="s">
        <v>3063</v>
      </c>
      <c r="C3397" s="1" t="s">
        <v>8</v>
      </c>
      <c r="D3397" s="1">
        <v>2961586</v>
      </c>
      <c r="E3397" s="1">
        <v>2962431</v>
      </c>
      <c r="F3397" s="1" t="s">
        <v>13</v>
      </c>
      <c r="G3397" s="1" t="s">
        <v>11409</v>
      </c>
    </row>
    <row r="3398" spans="1:7" ht="21" x14ac:dyDescent="0.25">
      <c r="A3398" s="2" t="str">
        <f>HYPERLINK("https://rth.dk/resources/bsgatlas/details.php?id=BSGatlas-gene-3397","BSGatlas-gene-3397")</f>
        <v>BSGatlas-gene-3397</v>
      </c>
      <c r="B3398" s="1" t="s">
        <v>3064</v>
      </c>
      <c r="C3398" s="1" t="s">
        <v>8</v>
      </c>
      <c r="D3398" s="1">
        <v>2962510</v>
      </c>
      <c r="E3398" s="1">
        <v>2963151</v>
      </c>
      <c r="F3398" s="1" t="s">
        <v>13</v>
      </c>
      <c r="G3398" s="1" t="s">
        <v>11409</v>
      </c>
    </row>
    <row r="3399" spans="1:7" ht="21" x14ac:dyDescent="0.25">
      <c r="A3399" s="2" t="str">
        <f>HYPERLINK("https://rth.dk/resources/bsgatlas/details.php?id=BSGatlas-gene-3398","BSGatlas-gene-3398")</f>
        <v>BSGatlas-gene-3398</v>
      </c>
      <c r="B3399" s="1" t="s">
        <v>3065</v>
      </c>
      <c r="C3399" s="1" t="s">
        <v>8</v>
      </c>
      <c r="D3399" s="1">
        <v>2963185</v>
      </c>
      <c r="E3399" s="1">
        <v>2964120</v>
      </c>
      <c r="F3399" s="1" t="s">
        <v>13</v>
      </c>
      <c r="G3399" s="1" t="s">
        <v>11409</v>
      </c>
    </row>
    <row r="3400" spans="1:7" ht="21" x14ac:dyDescent="0.25">
      <c r="A3400" s="2" t="str">
        <f>HYPERLINK("https://rth.dk/resources/bsgatlas/details.php?id=BSGatlas-gene-3399","BSGatlas-gene-3399")</f>
        <v>BSGatlas-gene-3399</v>
      </c>
      <c r="B3400" s="1" t="s">
        <v>3066</v>
      </c>
      <c r="C3400" s="1" t="s">
        <v>8</v>
      </c>
      <c r="D3400" s="1">
        <v>2964148</v>
      </c>
      <c r="E3400" s="1">
        <v>2965566</v>
      </c>
      <c r="F3400" s="1" t="s">
        <v>13</v>
      </c>
      <c r="G3400" s="1" t="s">
        <v>11409</v>
      </c>
    </row>
    <row r="3401" spans="1:7" ht="21" x14ac:dyDescent="0.25">
      <c r="A3401" s="2" t="str">
        <f>HYPERLINK("https://rth.dk/resources/bsgatlas/details.php?id=BSGatlas-gene-3400","BSGatlas-gene-3400")</f>
        <v>BSGatlas-gene-3400</v>
      </c>
      <c r="B3401" s="1" t="s">
        <v>3067</v>
      </c>
      <c r="C3401" s="1" t="s">
        <v>8</v>
      </c>
      <c r="D3401" s="1">
        <v>2965681</v>
      </c>
      <c r="E3401" s="1">
        <v>2966139</v>
      </c>
      <c r="F3401" s="1" t="s">
        <v>13</v>
      </c>
      <c r="G3401" s="1" t="s">
        <v>11409</v>
      </c>
    </row>
    <row r="3402" spans="1:7" ht="21" x14ac:dyDescent="0.25">
      <c r="A3402" s="2" t="str">
        <f>HYPERLINK("https://rth.dk/resources/bsgatlas/details.php?id=BSGatlas-gene-3401","BSGatlas-gene-3401")</f>
        <v>BSGatlas-gene-3401</v>
      </c>
      <c r="B3402" s="1" t="s">
        <v>3068</v>
      </c>
      <c r="C3402" s="1" t="s">
        <v>8</v>
      </c>
      <c r="D3402" s="1">
        <v>2966413</v>
      </c>
      <c r="E3402" s="1">
        <v>2966793</v>
      </c>
      <c r="F3402" s="1" t="s">
        <v>13</v>
      </c>
      <c r="G3402" s="1" t="s">
        <v>11409</v>
      </c>
    </row>
    <row r="3403" spans="1:7" ht="21" x14ac:dyDescent="0.25">
      <c r="A3403" s="2" t="str">
        <f>HYPERLINK("https://rth.dk/resources/bsgatlas/details.php?id=BSGatlas-gene-3402","BSGatlas-gene-3402")</f>
        <v>BSGatlas-gene-3402</v>
      </c>
      <c r="B3403" s="1" t="s">
        <v>3069</v>
      </c>
      <c r="C3403" s="1" t="s">
        <v>8</v>
      </c>
      <c r="D3403" s="1">
        <v>2967032</v>
      </c>
      <c r="E3403" s="1">
        <v>2968054</v>
      </c>
      <c r="F3403" s="1" t="s">
        <v>13</v>
      </c>
      <c r="G3403" s="1" t="s">
        <v>11409</v>
      </c>
    </row>
    <row r="3404" spans="1:7" ht="21" x14ac:dyDescent="0.25">
      <c r="A3404" s="2" t="str">
        <f>HYPERLINK("https://rth.dk/resources/bsgatlas/details.php?id=BSGatlas-gene-3403","BSGatlas-gene-3403")</f>
        <v>BSGatlas-gene-3403</v>
      </c>
      <c r="B3404" s="1" t="s">
        <v>3072</v>
      </c>
      <c r="C3404" s="1" t="s">
        <v>8</v>
      </c>
      <c r="D3404" s="1">
        <v>2968260</v>
      </c>
      <c r="E3404" s="1">
        <v>2968640</v>
      </c>
      <c r="F3404" s="1" t="s">
        <v>13</v>
      </c>
      <c r="G3404" s="1" t="s">
        <v>11409</v>
      </c>
    </row>
    <row r="3405" spans="1:7" ht="21" x14ac:dyDescent="0.25">
      <c r="A3405" s="2" t="str">
        <f>HYPERLINK("https://rth.dk/resources/bsgatlas/details.php?id=BSGatlas-gene-3404","BSGatlas-gene-3404")</f>
        <v>BSGatlas-gene-3404</v>
      </c>
      <c r="B3405" s="1" t="s">
        <v>3070</v>
      </c>
      <c r="C3405" s="1" t="s">
        <v>8</v>
      </c>
      <c r="D3405" s="1">
        <v>2968824</v>
      </c>
      <c r="E3405" s="1">
        <v>2970014</v>
      </c>
      <c r="F3405" s="1" t="s">
        <v>9</v>
      </c>
      <c r="G3405" s="1" t="s">
        <v>11409</v>
      </c>
    </row>
    <row r="3406" spans="1:7" ht="21" x14ac:dyDescent="0.25">
      <c r="A3406" s="2" t="str">
        <f>HYPERLINK("https://rth.dk/resources/bsgatlas/details.php?id=BSGatlas-gene-3405","BSGatlas-gene-3405")</f>
        <v>BSGatlas-gene-3405</v>
      </c>
      <c r="B3406" s="1" t="s">
        <v>3071</v>
      </c>
      <c r="C3406" s="1" t="s">
        <v>8</v>
      </c>
      <c r="D3406" s="1">
        <v>2970038</v>
      </c>
      <c r="E3406" s="1">
        <v>2970880</v>
      </c>
      <c r="F3406" s="1" t="s">
        <v>9</v>
      </c>
      <c r="G3406" s="1" t="s">
        <v>11409</v>
      </c>
    </row>
    <row r="3407" spans="1:7" ht="21" x14ac:dyDescent="0.25">
      <c r="A3407" s="2" t="str">
        <f>HYPERLINK("https://rth.dk/resources/bsgatlas/details.php?id=BSGatlas-gene-3406","BSGatlas-gene-3406")</f>
        <v>BSGatlas-gene-3406</v>
      </c>
      <c r="B3407" s="1" t="s">
        <v>3073</v>
      </c>
      <c r="C3407" s="1" t="s">
        <v>8</v>
      </c>
      <c r="D3407" s="1">
        <v>2970922</v>
      </c>
      <c r="E3407" s="1">
        <v>2971515</v>
      </c>
      <c r="F3407" s="1" t="s">
        <v>13</v>
      </c>
      <c r="G3407" s="1" t="s">
        <v>11409</v>
      </c>
    </row>
    <row r="3408" spans="1:7" ht="21" x14ac:dyDescent="0.25">
      <c r="A3408" s="2" t="str">
        <f>HYPERLINK("https://rth.dk/resources/bsgatlas/details.php?id=BSGatlas-gene-3407","BSGatlas-gene-3407")</f>
        <v>BSGatlas-gene-3407</v>
      </c>
      <c r="B3408" s="1" t="s">
        <v>3074</v>
      </c>
      <c r="C3408" s="1" t="s">
        <v>8</v>
      </c>
      <c r="D3408" s="1">
        <v>2971531</v>
      </c>
      <c r="E3408" s="1">
        <v>2972163</v>
      </c>
      <c r="F3408" s="1" t="s">
        <v>13</v>
      </c>
      <c r="G3408" s="1" t="s">
        <v>11409</v>
      </c>
    </row>
    <row r="3409" spans="1:7" ht="21" x14ac:dyDescent="0.25">
      <c r="A3409" s="2" t="str">
        <f>HYPERLINK("https://rth.dk/resources/bsgatlas/details.php?id=BSGatlas-gene-3408","BSGatlas-gene-3408")</f>
        <v>BSGatlas-gene-3408</v>
      </c>
      <c r="B3409" s="1" t="s">
        <v>3075</v>
      </c>
      <c r="C3409" s="1" t="s">
        <v>8</v>
      </c>
      <c r="D3409" s="1">
        <v>2972329</v>
      </c>
      <c r="E3409" s="1">
        <v>2973159</v>
      </c>
      <c r="F3409" s="1" t="s">
        <v>13</v>
      </c>
      <c r="G3409" s="1" t="s">
        <v>11409</v>
      </c>
    </row>
    <row r="3410" spans="1:7" ht="21" x14ac:dyDescent="0.25">
      <c r="A3410" s="2" t="str">
        <f>HYPERLINK("https://rth.dk/resources/bsgatlas/details.php?id=BSGatlas-gene-3409","BSGatlas-gene-3409")</f>
        <v>BSGatlas-gene-3409</v>
      </c>
      <c r="B3410" s="1" t="s">
        <v>3076</v>
      </c>
      <c r="C3410" s="1" t="s">
        <v>8</v>
      </c>
      <c r="D3410" s="1">
        <v>2973182</v>
      </c>
      <c r="E3410" s="1">
        <v>2975824</v>
      </c>
      <c r="F3410" s="1" t="s">
        <v>13</v>
      </c>
      <c r="G3410" s="1" t="s">
        <v>11409</v>
      </c>
    </row>
    <row r="3411" spans="1:7" ht="21" x14ac:dyDescent="0.25">
      <c r="A3411" s="2" t="str">
        <f>HYPERLINK("https://rth.dk/resources/bsgatlas/details.php?id=BSGatlas-gene-3410","BSGatlas-gene-3410")</f>
        <v>BSGatlas-gene-3410</v>
      </c>
      <c r="B3411" s="1" t="s">
        <v>3077</v>
      </c>
      <c r="C3411" s="1" t="s">
        <v>8</v>
      </c>
      <c r="D3411" s="1">
        <v>2976068</v>
      </c>
      <c r="E3411" s="1">
        <v>2977807</v>
      </c>
      <c r="F3411" s="1" t="s">
        <v>13</v>
      </c>
      <c r="G3411" s="1" t="s">
        <v>11409</v>
      </c>
    </row>
    <row r="3412" spans="1:7" ht="21" x14ac:dyDescent="0.25">
      <c r="A3412" s="2" t="str">
        <f>HYPERLINK("https://rth.dk/resources/bsgatlas/details.php?id=BSGatlas-gene-3411","BSGatlas-gene-3411")</f>
        <v>BSGatlas-gene-3411</v>
      </c>
      <c r="B3412" s="1" t="s">
        <v>3078</v>
      </c>
      <c r="C3412" s="1" t="s">
        <v>8</v>
      </c>
      <c r="D3412" s="1">
        <v>2977800</v>
      </c>
      <c r="E3412" s="1">
        <v>2978522</v>
      </c>
      <c r="F3412" s="1" t="s">
        <v>13</v>
      </c>
      <c r="G3412" s="1" t="s">
        <v>11409</v>
      </c>
    </row>
    <row r="3413" spans="1:7" ht="21" x14ac:dyDescent="0.25">
      <c r="A3413" s="2" t="str">
        <f>HYPERLINK("https://rth.dk/resources/bsgatlas/details.php?id=BSGatlas-gene-3412","BSGatlas-gene-3412")</f>
        <v>BSGatlas-gene-3412</v>
      </c>
      <c r="B3413" s="1" t="s">
        <v>3079</v>
      </c>
      <c r="C3413" s="1" t="s">
        <v>8</v>
      </c>
      <c r="D3413" s="1">
        <v>2978734</v>
      </c>
      <c r="E3413" s="1">
        <v>2979672</v>
      </c>
      <c r="F3413" s="1" t="s">
        <v>13</v>
      </c>
      <c r="G3413" s="1" t="s">
        <v>11409</v>
      </c>
    </row>
    <row r="3414" spans="1:7" ht="21" x14ac:dyDescent="0.25">
      <c r="A3414" s="2" t="str">
        <f>HYPERLINK("https://rth.dk/resources/bsgatlas/details.php?id=BSGatlas-gene-3413","BSGatlas-gene-3413")</f>
        <v>BSGatlas-gene-3413</v>
      </c>
      <c r="B3414" s="1" t="s">
        <v>3080</v>
      </c>
      <c r="C3414" s="1" t="s">
        <v>8</v>
      </c>
      <c r="D3414" s="1">
        <v>2979716</v>
      </c>
      <c r="E3414" s="1">
        <v>2980987</v>
      </c>
      <c r="F3414" s="1" t="s">
        <v>13</v>
      </c>
      <c r="G3414" s="1" t="s">
        <v>11409</v>
      </c>
    </row>
    <row r="3415" spans="1:7" ht="21" x14ac:dyDescent="0.25">
      <c r="A3415" s="2" t="str">
        <f>HYPERLINK("https://rth.dk/resources/bsgatlas/details.php?id=BSGatlas-gene-3414","BSGatlas-gene-3414")</f>
        <v>BSGatlas-gene-3414</v>
      </c>
      <c r="B3415" s="1" t="s">
        <v>3081</v>
      </c>
      <c r="C3415" s="1" t="s">
        <v>8</v>
      </c>
      <c r="D3415" s="1">
        <v>2981151</v>
      </c>
      <c r="E3415" s="1">
        <v>2982269</v>
      </c>
      <c r="F3415" s="1" t="s">
        <v>13</v>
      </c>
      <c r="G3415" s="1" t="s">
        <v>11409</v>
      </c>
    </row>
    <row r="3416" spans="1:7" ht="21" x14ac:dyDescent="0.25">
      <c r="A3416" s="2" t="str">
        <f>HYPERLINK("https://rth.dk/resources/bsgatlas/details.php?id=BSGatlas-gene-3415","BSGatlas-gene-3415")</f>
        <v>BSGatlas-gene-3415</v>
      </c>
      <c r="B3416" s="1" t="s">
        <v>3083</v>
      </c>
      <c r="C3416" s="1" t="s">
        <v>8</v>
      </c>
      <c r="D3416" s="1">
        <v>2982603</v>
      </c>
      <c r="E3416" s="1">
        <v>2983067</v>
      </c>
      <c r="F3416" s="1" t="s">
        <v>13</v>
      </c>
      <c r="G3416" s="1" t="s">
        <v>11409</v>
      </c>
    </row>
    <row r="3417" spans="1:7" ht="21" x14ac:dyDescent="0.25">
      <c r="A3417" s="2" t="str">
        <f>HYPERLINK("https://rth.dk/resources/bsgatlas/details.php?id=BSGatlas-gene-3416","BSGatlas-gene-3416")</f>
        <v>BSGatlas-gene-3416</v>
      </c>
      <c r="B3417" s="1" t="s">
        <v>3082</v>
      </c>
      <c r="C3417" s="1" t="s">
        <v>8</v>
      </c>
      <c r="D3417" s="1">
        <v>2983164</v>
      </c>
      <c r="E3417" s="1">
        <v>2984279</v>
      </c>
      <c r="F3417" s="1" t="s">
        <v>9</v>
      </c>
      <c r="G3417" s="1" t="s">
        <v>11409</v>
      </c>
    </row>
    <row r="3418" spans="1:7" ht="21" x14ac:dyDescent="0.25">
      <c r="A3418" s="2" t="str">
        <f>HYPERLINK("https://rth.dk/resources/bsgatlas/details.php?id=BSGatlas-gene-3417","BSGatlas-gene-3417")</f>
        <v>BSGatlas-gene-3417</v>
      </c>
      <c r="B3418" s="1" t="s">
        <v>3084</v>
      </c>
      <c r="C3418" s="1" t="s">
        <v>8</v>
      </c>
      <c r="D3418" s="1">
        <v>2984312</v>
      </c>
      <c r="E3418" s="1">
        <v>2984695</v>
      </c>
      <c r="F3418" s="1" t="s">
        <v>13</v>
      </c>
      <c r="G3418" s="1" t="s">
        <v>11409</v>
      </c>
    </row>
    <row r="3419" spans="1:7" ht="21" x14ac:dyDescent="0.25">
      <c r="A3419" s="2" t="str">
        <f>HYPERLINK("https://rth.dk/resources/bsgatlas/details.php?id=BSGatlas-gene-3418","BSGatlas-gene-3418")</f>
        <v>BSGatlas-gene-3418</v>
      </c>
      <c r="B3419" s="1" t="s">
        <v>3085</v>
      </c>
      <c r="C3419" s="1" t="s">
        <v>8</v>
      </c>
      <c r="D3419" s="1">
        <v>2984788</v>
      </c>
      <c r="E3419" s="1">
        <v>2986545</v>
      </c>
      <c r="F3419" s="1" t="s">
        <v>13</v>
      </c>
      <c r="G3419" s="1" t="s">
        <v>11409</v>
      </c>
    </row>
    <row r="3420" spans="1:7" ht="21" x14ac:dyDescent="0.25">
      <c r="A3420" s="2" t="str">
        <f>HYPERLINK("https://rth.dk/resources/bsgatlas/details.php?id=BSGatlas-gene-3419","BSGatlas-gene-3419")</f>
        <v>BSGatlas-gene-3419</v>
      </c>
      <c r="B3420" s="1" t="s">
        <v>3086</v>
      </c>
      <c r="C3420" s="1" t="s">
        <v>8</v>
      </c>
      <c r="D3420" s="1">
        <v>2986588</v>
      </c>
      <c r="E3420" s="1">
        <v>2987547</v>
      </c>
      <c r="F3420" s="1" t="s">
        <v>13</v>
      </c>
      <c r="G3420" s="1" t="s">
        <v>11409</v>
      </c>
    </row>
    <row r="3421" spans="1:7" ht="21" x14ac:dyDescent="0.25">
      <c r="A3421" s="2" t="str">
        <f>HYPERLINK("https://rth.dk/resources/bsgatlas/details.php?id=BSGatlas-gene-3420","BSGatlas-gene-3420")</f>
        <v>BSGatlas-gene-3420</v>
      </c>
      <c r="B3421" s="1" t="s">
        <v>3087</v>
      </c>
      <c r="C3421" s="1" t="s">
        <v>8</v>
      </c>
      <c r="D3421" s="1">
        <v>2987731</v>
      </c>
      <c r="E3421" s="1">
        <v>2988708</v>
      </c>
      <c r="F3421" s="1" t="s">
        <v>13</v>
      </c>
      <c r="G3421" s="1" t="s">
        <v>11409</v>
      </c>
    </row>
    <row r="3422" spans="1:7" ht="21" x14ac:dyDescent="0.25">
      <c r="A3422" s="2" t="str">
        <f>HYPERLINK("https://rth.dk/resources/bsgatlas/details.php?id=BSGatlas-gene-3421","BSGatlas-gene-3421")</f>
        <v>BSGatlas-gene-3421</v>
      </c>
      <c r="B3422" s="1" t="s">
        <v>3088</v>
      </c>
      <c r="C3422" s="1" t="s">
        <v>8</v>
      </c>
      <c r="D3422" s="1">
        <v>2988693</v>
      </c>
      <c r="E3422" s="1">
        <v>2989565</v>
      </c>
      <c r="F3422" s="1" t="s">
        <v>13</v>
      </c>
      <c r="G3422" s="1" t="s">
        <v>11409</v>
      </c>
    </row>
    <row r="3423" spans="1:7" ht="21" x14ac:dyDescent="0.25">
      <c r="A3423" s="2" t="str">
        <f>HYPERLINK("https://rth.dk/resources/bsgatlas/details.php?id=BSGatlas-gene-3422","BSGatlas-gene-3422")</f>
        <v>BSGatlas-gene-3422</v>
      </c>
      <c r="B3423" s="1" t="s">
        <v>3089</v>
      </c>
      <c r="C3423" s="1" t="s">
        <v>12</v>
      </c>
      <c r="D3423" s="1">
        <v>2989649</v>
      </c>
      <c r="E3423" s="1">
        <v>2989801</v>
      </c>
      <c r="F3423" s="1" t="s">
        <v>9</v>
      </c>
      <c r="G3423" s="1" t="s">
        <v>11442</v>
      </c>
    </row>
    <row r="3424" spans="1:7" ht="21" x14ac:dyDescent="0.25">
      <c r="A3424" s="2" t="str">
        <f>HYPERLINK("https://rth.dk/resources/bsgatlas/details.php?id=BSGatlas-gene-3423","BSGatlas-gene-3423")</f>
        <v>BSGatlas-gene-3423</v>
      </c>
      <c r="B3424" s="1" t="s">
        <v>3090</v>
      </c>
      <c r="C3424" s="1" t="s">
        <v>8</v>
      </c>
      <c r="D3424" s="1">
        <v>2989900</v>
      </c>
      <c r="E3424" s="1">
        <v>2991132</v>
      </c>
      <c r="F3424" s="1" t="s">
        <v>13</v>
      </c>
      <c r="G3424" s="1" t="s">
        <v>11409</v>
      </c>
    </row>
    <row r="3425" spans="1:7" ht="21" x14ac:dyDescent="0.25">
      <c r="A3425" s="2" t="str">
        <f>HYPERLINK("https://rth.dk/resources/bsgatlas/details.php?id=BSGatlas-gene-3424","BSGatlas-gene-3424")</f>
        <v>BSGatlas-gene-3424</v>
      </c>
      <c r="B3425" s="1" t="s">
        <v>3091</v>
      </c>
      <c r="C3425" s="1" t="s">
        <v>12</v>
      </c>
      <c r="D3425" s="1">
        <v>2991183</v>
      </c>
      <c r="E3425" s="1">
        <v>2991239</v>
      </c>
      <c r="F3425" s="1" t="s">
        <v>13</v>
      </c>
      <c r="G3425" s="1" t="s">
        <v>11442</v>
      </c>
    </row>
    <row r="3426" spans="1:7" ht="21" x14ac:dyDescent="0.25">
      <c r="A3426" s="2" t="str">
        <f>HYPERLINK("https://rth.dk/resources/bsgatlas/details.php?id=BSGatlas-gene-3425","BSGatlas-gene-3425")</f>
        <v>BSGatlas-gene-3425</v>
      </c>
      <c r="B3426" s="1" t="s">
        <v>3092</v>
      </c>
      <c r="C3426" s="1" t="s">
        <v>8</v>
      </c>
      <c r="D3426" s="1">
        <v>2991269</v>
      </c>
      <c r="E3426" s="1">
        <v>2994616</v>
      </c>
      <c r="F3426" s="1" t="s">
        <v>13</v>
      </c>
      <c r="G3426" s="1" t="s">
        <v>11409</v>
      </c>
    </row>
    <row r="3427" spans="1:7" ht="21" x14ac:dyDescent="0.25">
      <c r="A3427" s="2" t="str">
        <f>HYPERLINK("https://rth.dk/resources/bsgatlas/details.php?id=BSGatlas-gene-3426","BSGatlas-gene-3426")</f>
        <v>BSGatlas-gene-3426</v>
      </c>
      <c r="B3427" s="1" t="s">
        <v>3093</v>
      </c>
      <c r="C3427" s="1" t="s">
        <v>8</v>
      </c>
      <c r="D3427" s="1">
        <v>2994756</v>
      </c>
      <c r="E3427" s="1">
        <v>2995097</v>
      </c>
      <c r="F3427" s="1" t="s">
        <v>9</v>
      </c>
      <c r="G3427" s="1" t="s">
        <v>11409</v>
      </c>
    </row>
    <row r="3428" spans="1:7" ht="21" x14ac:dyDescent="0.25">
      <c r="A3428" s="2" t="str">
        <f>HYPERLINK("https://rth.dk/resources/bsgatlas/details.php?id=BSGatlas-gene-3427","BSGatlas-gene-3427")</f>
        <v>BSGatlas-gene-3427</v>
      </c>
      <c r="B3428" s="1" t="s">
        <v>3094</v>
      </c>
      <c r="C3428" s="1" t="s">
        <v>8</v>
      </c>
      <c r="D3428" s="1">
        <v>2995094</v>
      </c>
      <c r="E3428" s="1">
        <v>2995597</v>
      </c>
      <c r="F3428" s="1" t="s">
        <v>9</v>
      </c>
      <c r="G3428" s="1" t="s">
        <v>11409</v>
      </c>
    </row>
    <row r="3429" spans="1:7" ht="21" x14ac:dyDescent="0.25">
      <c r="A3429" s="2" t="str">
        <f>HYPERLINK("https://rth.dk/resources/bsgatlas/details.php?id=BSGatlas-gene-3428","BSGatlas-gene-3428")</f>
        <v>BSGatlas-gene-3428</v>
      </c>
      <c r="B3429" s="1" t="s">
        <v>3095</v>
      </c>
      <c r="C3429" s="1" t="s">
        <v>8</v>
      </c>
      <c r="D3429" s="1">
        <v>2995699</v>
      </c>
      <c r="E3429" s="1">
        <v>2995890</v>
      </c>
      <c r="F3429" s="1" t="s">
        <v>9</v>
      </c>
      <c r="G3429" s="1" t="s">
        <v>11409</v>
      </c>
    </row>
    <row r="3430" spans="1:7" ht="21" x14ac:dyDescent="0.25">
      <c r="A3430" s="2" t="str">
        <f>HYPERLINK("https://rth.dk/resources/bsgatlas/details.php?id=BSGatlas-gene-3429","BSGatlas-gene-3429")</f>
        <v>BSGatlas-gene-3429</v>
      </c>
      <c r="B3430" s="1" t="s">
        <v>3096</v>
      </c>
      <c r="C3430" s="1" t="s">
        <v>8</v>
      </c>
      <c r="D3430" s="1">
        <v>2995908</v>
      </c>
      <c r="E3430" s="1">
        <v>2996849</v>
      </c>
      <c r="F3430" s="1" t="s">
        <v>13</v>
      </c>
      <c r="G3430" s="1" t="s">
        <v>11409</v>
      </c>
    </row>
    <row r="3431" spans="1:7" ht="21" x14ac:dyDescent="0.25">
      <c r="A3431" s="2" t="str">
        <f>HYPERLINK("https://rth.dk/resources/bsgatlas/details.php?id=BSGatlas-gene-3430","BSGatlas-gene-3430")</f>
        <v>BSGatlas-gene-3430</v>
      </c>
      <c r="B3431" s="1" t="s">
        <v>3097</v>
      </c>
      <c r="C3431" s="1" t="s">
        <v>8</v>
      </c>
      <c r="D3431" s="1">
        <v>2996980</v>
      </c>
      <c r="E3431" s="1">
        <v>2997282</v>
      </c>
      <c r="F3431" s="1" t="s">
        <v>9</v>
      </c>
      <c r="G3431" s="1" t="s">
        <v>11409</v>
      </c>
    </row>
    <row r="3432" spans="1:7" ht="21" x14ac:dyDescent="0.25">
      <c r="A3432" s="2" t="str">
        <f>HYPERLINK("https://rth.dk/resources/bsgatlas/details.php?id=BSGatlas-gene-3431","BSGatlas-gene-3431")</f>
        <v>BSGatlas-gene-3431</v>
      </c>
      <c r="B3432" s="1" t="s">
        <v>3098</v>
      </c>
      <c r="C3432" s="1" t="s">
        <v>8</v>
      </c>
      <c r="D3432" s="1">
        <v>2997301</v>
      </c>
      <c r="E3432" s="1">
        <v>2998620</v>
      </c>
      <c r="F3432" s="1" t="s">
        <v>13</v>
      </c>
      <c r="G3432" s="1" t="s">
        <v>11409</v>
      </c>
    </row>
    <row r="3433" spans="1:7" ht="21" x14ac:dyDescent="0.25">
      <c r="A3433" s="2" t="str">
        <f>HYPERLINK("https://rth.dk/resources/bsgatlas/details.php?id=BSGatlas-gene-3432","BSGatlas-gene-3432")</f>
        <v>BSGatlas-gene-3432</v>
      </c>
      <c r="B3433" s="1" t="s">
        <v>3099</v>
      </c>
      <c r="C3433" s="1" t="s">
        <v>8</v>
      </c>
      <c r="D3433" s="1">
        <v>2998796</v>
      </c>
      <c r="E3433" s="1">
        <v>2999698</v>
      </c>
      <c r="F3433" s="1" t="s">
        <v>13</v>
      </c>
      <c r="G3433" s="1" t="s">
        <v>11409</v>
      </c>
    </row>
    <row r="3434" spans="1:7" ht="21" x14ac:dyDescent="0.25">
      <c r="A3434" s="2" t="str">
        <f>HYPERLINK("https://rth.dk/resources/bsgatlas/details.php?id=BSGatlas-gene-3433","BSGatlas-gene-3433")</f>
        <v>BSGatlas-gene-3433</v>
      </c>
      <c r="B3434" s="1" t="s">
        <v>3100</v>
      </c>
      <c r="C3434" s="1" t="s">
        <v>8</v>
      </c>
      <c r="D3434" s="1">
        <v>2999717</v>
      </c>
      <c r="E3434" s="1">
        <v>3000967</v>
      </c>
      <c r="F3434" s="1" t="s">
        <v>13</v>
      </c>
      <c r="G3434" s="1" t="s">
        <v>11409</v>
      </c>
    </row>
    <row r="3435" spans="1:7" ht="21" x14ac:dyDescent="0.25">
      <c r="A3435" s="2" t="str">
        <f>HYPERLINK("https://rth.dk/resources/bsgatlas/details.php?id=BSGatlas-gene-3434","BSGatlas-gene-3434")</f>
        <v>BSGatlas-gene-3434</v>
      </c>
      <c r="B3435" s="1" t="s">
        <v>3101</v>
      </c>
      <c r="C3435" s="1" t="s">
        <v>8</v>
      </c>
      <c r="D3435" s="1">
        <v>3000985</v>
      </c>
      <c r="E3435" s="1">
        <v>3001677</v>
      </c>
      <c r="F3435" s="1" t="s">
        <v>13</v>
      </c>
      <c r="G3435" s="1" t="s">
        <v>11409</v>
      </c>
    </row>
    <row r="3436" spans="1:7" ht="21" x14ac:dyDescent="0.25">
      <c r="A3436" s="2" t="str">
        <f>HYPERLINK("https://rth.dk/resources/bsgatlas/details.php?id=BSGatlas-gene-3435","BSGatlas-gene-3435")</f>
        <v>BSGatlas-gene-3435</v>
      </c>
      <c r="B3436" s="1" t="s">
        <v>3102</v>
      </c>
      <c r="C3436" s="1" t="s">
        <v>8</v>
      </c>
      <c r="D3436" s="1">
        <v>3001724</v>
      </c>
      <c r="E3436" s="1">
        <v>3003052</v>
      </c>
      <c r="F3436" s="1" t="s">
        <v>13</v>
      </c>
      <c r="G3436" s="1" t="s">
        <v>11409</v>
      </c>
    </row>
    <row r="3437" spans="1:7" ht="21" x14ac:dyDescent="0.25">
      <c r="A3437" s="2" t="str">
        <f>HYPERLINK("https://rth.dk/resources/bsgatlas/details.php?id=BSGatlas-gene-3436","BSGatlas-gene-3436")</f>
        <v>BSGatlas-gene-3436</v>
      </c>
      <c r="B3437" s="1" t="s">
        <v>3103</v>
      </c>
      <c r="C3437" s="1" t="s">
        <v>8</v>
      </c>
      <c r="D3437" s="1">
        <v>3003049</v>
      </c>
      <c r="E3437" s="1">
        <v>3003330</v>
      </c>
      <c r="F3437" s="1" t="s">
        <v>13</v>
      </c>
      <c r="G3437" s="1" t="s">
        <v>11409</v>
      </c>
    </row>
    <row r="3438" spans="1:7" ht="21" x14ac:dyDescent="0.25">
      <c r="A3438" s="2" t="str">
        <f>HYPERLINK("https://rth.dk/resources/bsgatlas/details.php?id=BSGatlas-gene-3437","BSGatlas-gene-3437")</f>
        <v>BSGatlas-gene-3437</v>
      </c>
      <c r="B3438" s="1" t="s">
        <v>3104</v>
      </c>
      <c r="C3438" s="1" t="s">
        <v>8</v>
      </c>
      <c r="D3438" s="1">
        <v>3003345</v>
      </c>
      <c r="E3438" s="1">
        <v>3004349</v>
      </c>
      <c r="F3438" s="1" t="s">
        <v>13</v>
      </c>
      <c r="G3438" s="1" t="s">
        <v>11409</v>
      </c>
    </row>
    <row r="3439" spans="1:7" ht="21" x14ac:dyDescent="0.25">
      <c r="A3439" s="2" t="str">
        <f>HYPERLINK("https://rth.dk/resources/bsgatlas/details.php?id=BSGatlas-gene-3438","BSGatlas-gene-3438")</f>
        <v>BSGatlas-gene-3438</v>
      </c>
      <c r="B3439" s="1" t="s">
        <v>3105</v>
      </c>
      <c r="C3439" s="1" t="s">
        <v>8</v>
      </c>
      <c r="D3439" s="1">
        <v>3004346</v>
      </c>
      <c r="E3439" s="1">
        <v>3005125</v>
      </c>
      <c r="F3439" s="1" t="s">
        <v>13</v>
      </c>
      <c r="G3439" s="1" t="s">
        <v>11409</v>
      </c>
    </row>
    <row r="3440" spans="1:7" ht="21" x14ac:dyDescent="0.25">
      <c r="A3440" s="2" t="str">
        <f>HYPERLINK("https://rth.dk/resources/bsgatlas/details.php?id=BSGatlas-gene-3439","BSGatlas-gene-3439")</f>
        <v>BSGatlas-gene-3439</v>
      </c>
      <c r="B3440" s="1" t="s">
        <v>3106</v>
      </c>
      <c r="C3440" s="1" t="s">
        <v>8</v>
      </c>
      <c r="D3440" s="1">
        <v>3005122</v>
      </c>
      <c r="E3440" s="1">
        <v>3005829</v>
      </c>
      <c r="F3440" s="1" t="s">
        <v>13</v>
      </c>
      <c r="G3440" s="1" t="s">
        <v>11409</v>
      </c>
    </row>
    <row r="3441" spans="1:7" ht="21" x14ac:dyDescent="0.25">
      <c r="A3441" s="2" t="str">
        <f>HYPERLINK("https://rth.dk/resources/bsgatlas/details.php?id=BSGatlas-gene-3440","BSGatlas-gene-3440")</f>
        <v>BSGatlas-gene-3440</v>
      </c>
      <c r="B3441" s="1" t="s">
        <v>3107</v>
      </c>
      <c r="C3441" s="1" t="s">
        <v>8</v>
      </c>
      <c r="D3441" s="1">
        <v>3005859</v>
      </c>
      <c r="E3441" s="1">
        <v>3006578</v>
      </c>
      <c r="F3441" s="1" t="s">
        <v>13</v>
      </c>
      <c r="G3441" s="1" t="s">
        <v>11409</v>
      </c>
    </row>
    <row r="3442" spans="1:7" ht="21" x14ac:dyDescent="0.25">
      <c r="A3442" s="2" t="str">
        <f>HYPERLINK("https://rth.dk/resources/bsgatlas/details.php?id=BSGatlas-gene-3441","BSGatlas-gene-3441")</f>
        <v>BSGatlas-gene-3441</v>
      </c>
      <c r="B3442" s="1" t="s">
        <v>3108</v>
      </c>
      <c r="C3442" s="1" t="s">
        <v>8</v>
      </c>
      <c r="D3442" s="1">
        <v>3006600</v>
      </c>
      <c r="E3442" s="1">
        <v>3007412</v>
      </c>
      <c r="F3442" s="1" t="s">
        <v>13</v>
      </c>
      <c r="G3442" s="1" t="s">
        <v>11409</v>
      </c>
    </row>
    <row r="3443" spans="1:7" ht="21" x14ac:dyDescent="0.25">
      <c r="A3443" s="2" t="str">
        <f>HYPERLINK("https://rth.dk/resources/bsgatlas/details.php?id=BSGatlas-gene-3442","BSGatlas-gene-3442")</f>
        <v>BSGatlas-gene-3442</v>
      </c>
      <c r="B3443" s="1" t="s">
        <v>3109</v>
      </c>
      <c r="C3443" s="1" t="s">
        <v>8</v>
      </c>
      <c r="D3443" s="1">
        <v>3007426</v>
      </c>
      <c r="E3443" s="1">
        <v>3008235</v>
      </c>
      <c r="F3443" s="1" t="s">
        <v>13</v>
      </c>
      <c r="G3443" s="1" t="s">
        <v>11409</v>
      </c>
    </row>
    <row r="3444" spans="1:7" ht="21" x14ac:dyDescent="0.25">
      <c r="A3444" s="2" t="str">
        <f>HYPERLINK("https://rth.dk/resources/bsgatlas/details.php?id=BSGatlas-gene-3443","BSGatlas-gene-3443")</f>
        <v>BSGatlas-gene-3443</v>
      </c>
      <c r="B3444" s="1" t="s">
        <v>3110</v>
      </c>
      <c r="C3444" s="1" t="s">
        <v>8</v>
      </c>
      <c r="D3444" s="1">
        <v>3008249</v>
      </c>
      <c r="E3444" s="1">
        <v>3008785</v>
      </c>
      <c r="F3444" s="1" t="s">
        <v>13</v>
      </c>
      <c r="G3444" s="1" t="s">
        <v>11409</v>
      </c>
    </row>
    <row r="3445" spans="1:7" ht="21" x14ac:dyDescent="0.25">
      <c r="A3445" s="2" t="str">
        <f>HYPERLINK("https://rth.dk/resources/bsgatlas/details.php?id=BSGatlas-gene-3444","BSGatlas-gene-3444")</f>
        <v>BSGatlas-gene-3444</v>
      </c>
      <c r="B3445" s="1" t="s">
        <v>3111</v>
      </c>
      <c r="C3445" s="1" t="s">
        <v>8</v>
      </c>
      <c r="D3445" s="1">
        <v>3008938</v>
      </c>
      <c r="E3445" s="1">
        <v>3009864</v>
      </c>
      <c r="F3445" s="1" t="s">
        <v>9</v>
      </c>
      <c r="G3445" s="1" t="s">
        <v>11409</v>
      </c>
    </row>
    <row r="3446" spans="1:7" ht="21" x14ac:dyDescent="0.25">
      <c r="A3446" s="2" t="str">
        <f>HYPERLINK("https://rth.dk/resources/bsgatlas/details.php?id=BSGatlas-gene-3445","BSGatlas-gene-3445")</f>
        <v>BSGatlas-gene-3445</v>
      </c>
      <c r="B3446" s="1" t="s">
        <v>3112</v>
      </c>
      <c r="C3446" s="1" t="s">
        <v>8</v>
      </c>
      <c r="D3446" s="1">
        <v>3009915</v>
      </c>
      <c r="E3446" s="1">
        <v>3010598</v>
      </c>
      <c r="F3446" s="1" t="s">
        <v>13</v>
      </c>
      <c r="G3446" s="1" t="s">
        <v>11409</v>
      </c>
    </row>
    <row r="3447" spans="1:7" ht="21" x14ac:dyDescent="0.25">
      <c r="A3447" s="2" t="str">
        <f>HYPERLINK("https://rth.dk/resources/bsgatlas/details.php?id=BSGatlas-gene-3446","BSGatlas-gene-3446")</f>
        <v>BSGatlas-gene-3446</v>
      </c>
      <c r="B3447" s="1" t="s">
        <v>3113</v>
      </c>
      <c r="C3447" s="1" t="s">
        <v>8</v>
      </c>
      <c r="D3447" s="1">
        <v>3010661</v>
      </c>
      <c r="E3447" s="1">
        <v>3011428</v>
      </c>
      <c r="F3447" s="1" t="s">
        <v>13</v>
      </c>
      <c r="G3447" s="1" t="s">
        <v>11409</v>
      </c>
    </row>
    <row r="3448" spans="1:7" ht="21" x14ac:dyDescent="0.25">
      <c r="A3448" s="2" t="str">
        <f>HYPERLINK("https://rth.dk/resources/bsgatlas/details.php?id=BSGatlas-gene-3447","BSGatlas-gene-3447")</f>
        <v>BSGatlas-gene-3447</v>
      </c>
      <c r="B3448" s="1" t="s">
        <v>11710</v>
      </c>
      <c r="C3448" s="1" t="s">
        <v>8</v>
      </c>
      <c r="D3448" s="1">
        <v>3011555</v>
      </c>
      <c r="E3448" s="1">
        <v>3011791</v>
      </c>
      <c r="F3448" s="1" t="s">
        <v>13</v>
      </c>
      <c r="G3448" s="1" t="s">
        <v>11441</v>
      </c>
    </row>
    <row r="3449" spans="1:7" ht="21" x14ac:dyDescent="0.25">
      <c r="A3449" s="2" t="str">
        <f>HYPERLINK("https://rth.dk/resources/bsgatlas/details.php?id=BSGatlas-gene-3448","BSGatlas-gene-3448")</f>
        <v>BSGatlas-gene-3448</v>
      </c>
      <c r="B3449" s="1" t="s">
        <v>11710</v>
      </c>
      <c r="C3449" s="1" t="s">
        <v>8</v>
      </c>
      <c r="D3449" s="1">
        <v>3011555</v>
      </c>
      <c r="E3449" s="1">
        <v>3011689</v>
      </c>
      <c r="F3449" s="1" t="s">
        <v>13</v>
      </c>
      <c r="G3449" s="1" t="s">
        <v>11496</v>
      </c>
    </row>
    <row r="3450" spans="1:7" ht="21" x14ac:dyDescent="0.25">
      <c r="A3450" s="2" t="str">
        <f>HYPERLINK("https://rth.dk/resources/bsgatlas/details.php?id=BSGatlas-gene-3449","BSGatlas-gene-3449")</f>
        <v>BSGatlas-gene-3449</v>
      </c>
      <c r="B3450" s="1" t="s">
        <v>3114</v>
      </c>
      <c r="C3450" s="1" t="s">
        <v>8</v>
      </c>
      <c r="D3450" s="1">
        <v>3011751</v>
      </c>
      <c r="E3450" s="1">
        <v>3013136</v>
      </c>
      <c r="F3450" s="1" t="s">
        <v>13</v>
      </c>
      <c r="G3450" s="1" t="s">
        <v>11409</v>
      </c>
    </row>
    <row r="3451" spans="1:7" ht="21" x14ac:dyDescent="0.25">
      <c r="A3451" s="2" t="str">
        <f>HYPERLINK("https://rth.dk/resources/bsgatlas/details.php?id=BSGatlas-gene-3450","BSGatlas-gene-3450")</f>
        <v>BSGatlas-gene-3450</v>
      </c>
      <c r="B3451" s="1" t="s">
        <v>3115</v>
      </c>
      <c r="C3451" s="1" t="s">
        <v>8</v>
      </c>
      <c r="D3451" s="1">
        <v>3013133</v>
      </c>
      <c r="E3451" s="1">
        <v>3014344</v>
      </c>
      <c r="F3451" s="1" t="s">
        <v>13</v>
      </c>
      <c r="G3451" s="1" t="s">
        <v>11409</v>
      </c>
    </row>
    <row r="3452" spans="1:7" ht="21" x14ac:dyDescent="0.25">
      <c r="A3452" s="2" t="str">
        <f>HYPERLINK("https://rth.dk/resources/bsgatlas/details.php?id=BSGatlas-gene-3451","BSGatlas-gene-3451")</f>
        <v>BSGatlas-gene-3451</v>
      </c>
      <c r="B3452" s="1" t="s">
        <v>3116</v>
      </c>
      <c r="C3452" s="1" t="s">
        <v>8</v>
      </c>
      <c r="D3452" s="1">
        <v>3014514</v>
      </c>
      <c r="E3452" s="1">
        <v>3015026</v>
      </c>
      <c r="F3452" s="1" t="s">
        <v>13</v>
      </c>
      <c r="G3452" s="1" t="s">
        <v>11409</v>
      </c>
    </row>
    <row r="3453" spans="1:7" ht="21" x14ac:dyDescent="0.25">
      <c r="A3453" s="2" t="str">
        <f>HYPERLINK("https://rth.dk/resources/bsgatlas/details.php?id=BSGatlas-gene-3452","BSGatlas-gene-3452")</f>
        <v>BSGatlas-gene-3452</v>
      </c>
      <c r="B3453" s="1" t="s">
        <v>3117</v>
      </c>
      <c r="C3453" s="1" t="s">
        <v>8</v>
      </c>
      <c r="D3453" s="1">
        <v>3015111</v>
      </c>
      <c r="E3453" s="1">
        <v>3016298</v>
      </c>
      <c r="F3453" s="1" t="s">
        <v>13</v>
      </c>
      <c r="G3453" s="1" t="s">
        <v>11409</v>
      </c>
    </row>
    <row r="3454" spans="1:7" ht="21" x14ac:dyDescent="0.25">
      <c r="A3454" s="2" t="str">
        <f>HYPERLINK("https://rth.dk/resources/bsgatlas/details.php?id=BSGatlas-gene-3453","BSGatlas-gene-3453")</f>
        <v>BSGatlas-gene-3453</v>
      </c>
      <c r="B3454" s="1" t="s">
        <v>318</v>
      </c>
      <c r="C3454" s="1" t="s">
        <v>8</v>
      </c>
      <c r="D3454" s="1">
        <v>3016471</v>
      </c>
      <c r="E3454" s="1">
        <v>3016674</v>
      </c>
      <c r="F3454" s="1" t="s">
        <v>13</v>
      </c>
      <c r="G3454" s="1" t="s">
        <v>11441</v>
      </c>
    </row>
    <row r="3455" spans="1:7" ht="21" x14ac:dyDescent="0.25">
      <c r="A3455" s="2" t="str">
        <f>HYPERLINK("https://rth.dk/resources/bsgatlas/details.php?id=BSGatlas-gene-3454","BSGatlas-gene-3454")</f>
        <v>BSGatlas-gene-3454</v>
      </c>
      <c r="B3455" s="1" t="s">
        <v>3118</v>
      </c>
      <c r="C3455" s="1" t="s">
        <v>8</v>
      </c>
      <c r="D3455" s="1">
        <v>3016646</v>
      </c>
      <c r="E3455" s="1">
        <v>3017635</v>
      </c>
      <c r="F3455" s="1" t="s">
        <v>13</v>
      </c>
      <c r="G3455" s="1" t="s">
        <v>11409</v>
      </c>
    </row>
    <row r="3456" spans="1:7" ht="21" x14ac:dyDescent="0.25">
      <c r="A3456" s="2" t="str">
        <f>HYPERLINK("https://rth.dk/resources/bsgatlas/details.php?id=BSGatlas-gene-3455","BSGatlas-gene-3455")</f>
        <v>BSGatlas-gene-3455</v>
      </c>
      <c r="B3456" s="1" t="s">
        <v>3119</v>
      </c>
      <c r="C3456" s="1" t="s">
        <v>8</v>
      </c>
      <c r="D3456" s="1">
        <v>3017696</v>
      </c>
      <c r="E3456" s="1">
        <v>3018199</v>
      </c>
      <c r="F3456" s="1" t="s">
        <v>13</v>
      </c>
      <c r="G3456" s="1" t="s">
        <v>11409</v>
      </c>
    </row>
    <row r="3457" spans="1:7" ht="21" x14ac:dyDescent="0.25">
      <c r="A3457" s="2" t="str">
        <f>HYPERLINK("https://rth.dk/resources/bsgatlas/details.php?id=BSGatlas-gene-3456","BSGatlas-gene-3456")</f>
        <v>BSGatlas-gene-3456</v>
      </c>
      <c r="B3457" s="1" t="s">
        <v>3120</v>
      </c>
      <c r="C3457" s="1" t="s">
        <v>8</v>
      </c>
      <c r="D3457" s="1">
        <v>3018309</v>
      </c>
      <c r="E3457" s="1">
        <v>3018764</v>
      </c>
      <c r="F3457" s="1" t="s">
        <v>13</v>
      </c>
      <c r="G3457" s="1" t="s">
        <v>11409</v>
      </c>
    </row>
    <row r="3458" spans="1:7" ht="21" x14ac:dyDescent="0.25">
      <c r="A3458" s="2" t="str">
        <f>HYPERLINK("https://rth.dk/resources/bsgatlas/details.php?id=BSGatlas-gene-3457","BSGatlas-gene-3457")</f>
        <v>BSGatlas-gene-3457</v>
      </c>
      <c r="B3458" s="1" t="s">
        <v>3121</v>
      </c>
      <c r="C3458" s="1" t="s">
        <v>8</v>
      </c>
      <c r="D3458" s="1">
        <v>3018778</v>
      </c>
      <c r="E3458" s="1">
        <v>3019458</v>
      </c>
      <c r="F3458" s="1" t="s">
        <v>13</v>
      </c>
      <c r="G3458" s="1" t="s">
        <v>11409</v>
      </c>
    </row>
    <row r="3459" spans="1:7" ht="21" x14ac:dyDescent="0.25">
      <c r="A3459" s="2" t="str">
        <f>HYPERLINK("https://rth.dk/resources/bsgatlas/details.php?id=BSGatlas-gene-3458","BSGatlas-gene-3458")</f>
        <v>BSGatlas-gene-3458</v>
      </c>
      <c r="B3459" s="1" t="s">
        <v>3122</v>
      </c>
      <c r="C3459" s="1" t="s">
        <v>8</v>
      </c>
      <c r="D3459" s="1">
        <v>3019533</v>
      </c>
      <c r="E3459" s="1">
        <v>3020027</v>
      </c>
      <c r="F3459" s="1" t="s">
        <v>13</v>
      </c>
      <c r="G3459" s="1" t="s">
        <v>11409</v>
      </c>
    </row>
    <row r="3460" spans="1:7" ht="21" x14ac:dyDescent="0.25">
      <c r="A3460" s="2" t="str">
        <f>HYPERLINK("https://rth.dk/resources/bsgatlas/details.php?id=BSGatlas-gene-3459","BSGatlas-gene-3459")</f>
        <v>BSGatlas-gene-3459</v>
      </c>
      <c r="B3460" s="1" t="s">
        <v>3123</v>
      </c>
      <c r="C3460" s="1" t="s">
        <v>8</v>
      </c>
      <c r="D3460" s="1">
        <v>3020040</v>
      </c>
      <c r="E3460" s="1">
        <v>3021047</v>
      </c>
      <c r="F3460" s="1" t="s">
        <v>13</v>
      </c>
      <c r="G3460" s="1" t="s">
        <v>11409</v>
      </c>
    </row>
    <row r="3461" spans="1:7" ht="21" x14ac:dyDescent="0.25">
      <c r="A3461" s="2" t="str">
        <f>HYPERLINK("https://rth.dk/resources/bsgatlas/details.php?id=BSGatlas-gene-3460","BSGatlas-gene-3460")</f>
        <v>BSGatlas-gene-3460</v>
      </c>
      <c r="B3461" s="1" t="s">
        <v>3124</v>
      </c>
      <c r="C3461" s="1" t="s">
        <v>8</v>
      </c>
      <c r="D3461" s="1">
        <v>3021233</v>
      </c>
      <c r="E3461" s="1">
        <v>3022036</v>
      </c>
      <c r="F3461" s="1" t="s">
        <v>9</v>
      </c>
      <c r="G3461" s="1" t="s">
        <v>11409</v>
      </c>
    </row>
    <row r="3462" spans="1:7" ht="21" x14ac:dyDescent="0.25">
      <c r="A3462" s="2" t="str">
        <f>HYPERLINK("https://rth.dk/resources/bsgatlas/details.php?id=BSGatlas-gene-3461","BSGatlas-gene-3461")</f>
        <v>BSGatlas-gene-3461</v>
      </c>
      <c r="B3462" s="1" t="s">
        <v>3125</v>
      </c>
      <c r="C3462" s="1" t="s">
        <v>8</v>
      </c>
      <c r="D3462" s="1">
        <v>3022068</v>
      </c>
      <c r="E3462" s="1">
        <v>3023657</v>
      </c>
      <c r="F3462" s="1" t="s">
        <v>13</v>
      </c>
      <c r="G3462" s="1" t="s">
        <v>11409</v>
      </c>
    </row>
    <row r="3463" spans="1:7" ht="21" x14ac:dyDescent="0.25">
      <c r="A3463" s="2" t="str">
        <f>HYPERLINK("https://rth.dk/resources/bsgatlas/details.php?id=BSGatlas-gene-3462","BSGatlas-gene-3462")</f>
        <v>BSGatlas-gene-3462</v>
      </c>
      <c r="B3463" s="1" t="s">
        <v>3126</v>
      </c>
      <c r="C3463" s="1" t="s">
        <v>8</v>
      </c>
      <c r="D3463" s="1">
        <v>3023677</v>
      </c>
      <c r="E3463" s="1">
        <v>3025266</v>
      </c>
      <c r="F3463" s="1" t="s">
        <v>13</v>
      </c>
      <c r="G3463" s="1" t="s">
        <v>11409</v>
      </c>
    </row>
    <row r="3464" spans="1:7" ht="21" x14ac:dyDescent="0.25">
      <c r="A3464" s="2" t="str">
        <f>HYPERLINK("https://rth.dk/resources/bsgatlas/details.php?id=BSGatlas-gene-3463","BSGatlas-gene-3463")</f>
        <v>BSGatlas-gene-3463</v>
      </c>
      <c r="B3464" s="1" t="s">
        <v>3127</v>
      </c>
      <c r="C3464" s="1" t="s">
        <v>8</v>
      </c>
      <c r="D3464" s="1">
        <v>3025445</v>
      </c>
      <c r="E3464" s="1">
        <v>3025654</v>
      </c>
      <c r="F3464" s="1" t="s">
        <v>13</v>
      </c>
      <c r="G3464" s="1" t="s">
        <v>11409</v>
      </c>
    </row>
    <row r="3465" spans="1:7" ht="21" x14ac:dyDescent="0.25">
      <c r="A3465" s="2" t="str">
        <f>HYPERLINK("https://rth.dk/resources/bsgatlas/details.php?id=BSGatlas-gene-3464","BSGatlas-gene-3464")</f>
        <v>BSGatlas-gene-3464</v>
      </c>
      <c r="B3465" s="1" t="s">
        <v>3128</v>
      </c>
      <c r="C3465" s="1" t="s">
        <v>8</v>
      </c>
      <c r="D3465" s="1">
        <v>3025748</v>
      </c>
      <c r="E3465" s="1">
        <v>3026953</v>
      </c>
      <c r="F3465" s="1" t="s">
        <v>13</v>
      </c>
      <c r="G3465" s="1" t="s">
        <v>11409</v>
      </c>
    </row>
    <row r="3466" spans="1:7" ht="21" x14ac:dyDescent="0.25">
      <c r="A3466" s="2" t="str">
        <f>HYPERLINK("https://rth.dk/resources/bsgatlas/details.php?id=BSGatlas-gene-3465","BSGatlas-gene-3465")</f>
        <v>BSGatlas-gene-3465</v>
      </c>
      <c r="B3466" s="1" t="s">
        <v>3129</v>
      </c>
      <c r="C3466" s="1" t="s">
        <v>8</v>
      </c>
      <c r="D3466" s="1">
        <v>3026957</v>
      </c>
      <c r="E3466" s="1">
        <v>3028102</v>
      </c>
      <c r="F3466" s="1" t="s">
        <v>13</v>
      </c>
      <c r="G3466" s="1" t="s">
        <v>11409</v>
      </c>
    </row>
    <row r="3467" spans="1:7" ht="21" x14ac:dyDescent="0.25">
      <c r="A3467" s="2" t="str">
        <f>HYPERLINK("https://rth.dk/resources/bsgatlas/details.php?id=BSGatlas-gene-3466","BSGatlas-gene-3466")</f>
        <v>BSGatlas-gene-3466</v>
      </c>
      <c r="B3467" s="1" t="s">
        <v>3130</v>
      </c>
      <c r="C3467" s="1" t="s">
        <v>8</v>
      </c>
      <c r="D3467" s="1">
        <v>3028297</v>
      </c>
      <c r="E3467" s="1">
        <v>3029634</v>
      </c>
      <c r="F3467" s="1" t="s">
        <v>9</v>
      </c>
      <c r="G3467" s="1" t="s">
        <v>11409</v>
      </c>
    </row>
    <row r="3468" spans="1:7" ht="21" x14ac:dyDescent="0.25">
      <c r="A3468" s="2" t="str">
        <f>HYPERLINK("https://rth.dk/resources/bsgatlas/details.php?id=BSGatlas-gene-3467","BSGatlas-gene-3467")</f>
        <v>BSGatlas-gene-3467</v>
      </c>
      <c r="B3468" s="1" t="s">
        <v>3131</v>
      </c>
      <c r="C3468" s="1" t="s">
        <v>8</v>
      </c>
      <c r="D3468" s="1">
        <v>3029729</v>
      </c>
      <c r="E3468" s="1">
        <v>3031417</v>
      </c>
      <c r="F3468" s="1" t="s">
        <v>13</v>
      </c>
      <c r="G3468" s="1" t="s">
        <v>11409</v>
      </c>
    </row>
    <row r="3469" spans="1:7" ht="21" x14ac:dyDescent="0.25">
      <c r="A3469" s="2" t="str">
        <f>HYPERLINK("https://rth.dk/resources/bsgatlas/details.php?id=BSGatlas-gene-3468","BSGatlas-gene-3468")</f>
        <v>BSGatlas-gene-3468</v>
      </c>
      <c r="B3469" s="1" t="s">
        <v>3132</v>
      </c>
      <c r="C3469" s="1" t="s">
        <v>8</v>
      </c>
      <c r="D3469" s="1">
        <v>3031614</v>
      </c>
      <c r="E3469" s="1">
        <v>3032420</v>
      </c>
      <c r="F3469" s="1" t="s">
        <v>9</v>
      </c>
      <c r="G3469" s="1" t="s">
        <v>11409</v>
      </c>
    </row>
    <row r="3470" spans="1:7" ht="21" x14ac:dyDescent="0.25">
      <c r="A3470" s="2" t="str">
        <f>HYPERLINK("https://rth.dk/resources/bsgatlas/details.php?id=BSGatlas-gene-3469","BSGatlas-gene-3469")</f>
        <v>BSGatlas-gene-3469</v>
      </c>
      <c r="B3470" s="1" t="s">
        <v>3134</v>
      </c>
      <c r="C3470" s="1" t="s">
        <v>8</v>
      </c>
      <c r="D3470" s="1">
        <v>3032417</v>
      </c>
      <c r="E3470" s="1">
        <v>3033040</v>
      </c>
      <c r="F3470" s="1" t="s">
        <v>13</v>
      </c>
      <c r="G3470" s="1" t="s">
        <v>11409</v>
      </c>
    </row>
    <row r="3471" spans="1:7" ht="21" x14ac:dyDescent="0.25">
      <c r="A3471" s="2" t="str">
        <f>HYPERLINK("https://rth.dk/resources/bsgatlas/details.php?id=BSGatlas-gene-3470","BSGatlas-gene-3470")</f>
        <v>BSGatlas-gene-3470</v>
      </c>
      <c r="B3471" s="1" t="s">
        <v>3133</v>
      </c>
      <c r="C3471" s="1" t="s">
        <v>8</v>
      </c>
      <c r="D3471" s="1">
        <v>3033167</v>
      </c>
      <c r="E3471" s="1">
        <v>3033658</v>
      </c>
      <c r="F3471" s="1" t="s">
        <v>9</v>
      </c>
      <c r="G3471" s="1" t="s">
        <v>11409</v>
      </c>
    </row>
    <row r="3472" spans="1:7" ht="21" x14ac:dyDescent="0.25">
      <c r="A3472" s="2" t="str">
        <f>HYPERLINK("https://rth.dk/resources/bsgatlas/details.php?id=BSGatlas-gene-3471","BSGatlas-gene-3471")</f>
        <v>BSGatlas-gene-3471</v>
      </c>
      <c r="B3472" s="1" t="s">
        <v>3135</v>
      </c>
      <c r="C3472" s="1" t="s">
        <v>8</v>
      </c>
      <c r="D3472" s="1">
        <v>3033696</v>
      </c>
      <c r="E3472" s="1">
        <v>3035435</v>
      </c>
      <c r="F3472" s="1" t="s">
        <v>13</v>
      </c>
      <c r="G3472" s="1" t="s">
        <v>11409</v>
      </c>
    </row>
    <row r="3473" spans="1:7" ht="21" x14ac:dyDescent="0.25">
      <c r="A3473" s="2" t="str">
        <f>HYPERLINK("https://rth.dk/resources/bsgatlas/details.php?id=BSGatlas-gene-3472","BSGatlas-gene-3472")</f>
        <v>BSGatlas-gene-3472</v>
      </c>
      <c r="B3473" s="1" t="s">
        <v>11711</v>
      </c>
      <c r="C3473" s="1" t="s">
        <v>34</v>
      </c>
      <c r="D3473" s="1">
        <v>3035589</v>
      </c>
      <c r="E3473" s="1">
        <v>3035721</v>
      </c>
      <c r="F3473" s="1" t="s">
        <v>9</v>
      </c>
      <c r="G3473" s="1" t="s">
        <v>11712</v>
      </c>
    </row>
    <row r="3474" spans="1:7" ht="21" x14ac:dyDescent="0.25">
      <c r="A3474" s="2" t="str">
        <f>HYPERLINK("https://rth.dk/resources/bsgatlas/details.php?id=BSGatlas-gene-3473","BSGatlas-gene-3473")</f>
        <v>BSGatlas-gene-3473</v>
      </c>
      <c r="B3474" s="1" t="s">
        <v>3136</v>
      </c>
      <c r="C3474" s="1" t="s">
        <v>8</v>
      </c>
      <c r="D3474" s="1">
        <v>3035730</v>
      </c>
      <c r="E3474" s="1">
        <v>3036332</v>
      </c>
      <c r="F3474" s="1" t="s">
        <v>9</v>
      </c>
      <c r="G3474" s="1" t="s">
        <v>11409</v>
      </c>
    </row>
    <row r="3475" spans="1:7" ht="21" x14ac:dyDescent="0.25">
      <c r="A3475" s="2" t="str">
        <f>HYPERLINK("https://rth.dk/resources/bsgatlas/details.php?id=BSGatlas-gene-3474","BSGatlas-gene-3474")</f>
        <v>BSGatlas-gene-3474</v>
      </c>
      <c r="B3475" s="1" t="s">
        <v>3137</v>
      </c>
      <c r="C3475" s="1" t="s">
        <v>12</v>
      </c>
      <c r="D3475" s="1">
        <v>3036340</v>
      </c>
      <c r="E3475" s="1">
        <v>3036527</v>
      </c>
      <c r="F3475" s="1" t="s">
        <v>13</v>
      </c>
      <c r="G3475" s="1" t="s">
        <v>11442</v>
      </c>
    </row>
    <row r="3476" spans="1:7" ht="21" x14ac:dyDescent="0.25">
      <c r="A3476" s="2" t="str">
        <f>HYPERLINK("https://rth.dk/resources/bsgatlas/details.php?id=BSGatlas-gene-3475","BSGatlas-gene-3475")</f>
        <v>BSGatlas-gene-3475</v>
      </c>
      <c r="B3476" s="1" t="s">
        <v>3138</v>
      </c>
      <c r="C3476" s="1" t="s">
        <v>12</v>
      </c>
      <c r="D3476" s="1">
        <v>3036396</v>
      </c>
      <c r="E3476" s="1">
        <v>3036570</v>
      </c>
      <c r="F3476" s="1" t="s">
        <v>9</v>
      </c>
      <c r="G3476" s="1" t="s">
        <v>11442</v>
      </c>
    </row>
    <row r="3477" spans="1:7" ht="21" x14ac:dyDescent="0.25">
      <c r="A3477" s="2" t="str">
        <f>HYPERLINK("https://rth.dk/resources/bsgatlas/details.php?id=BSGatlas-gene-3476","BSGatlas-gene-3476")</f>
        <v>BSGatlas-gene-3476</v>
      </c>
      <c r="B3477" s="1" t="s">
        <v>3139</v>
      </c>
      <c r="C3477" s="1" t="s">
        <v>8</v>
      </c>
      <c r="D3477" s="1">
        <v>3036603</v>
      </c>
      <c r="E3477" s="1">
        <v>3037871</v>
      </c>
      <c r="F3477" s="1" t="s">
        <v>13</v>
      </c>
      <c r="G3477" s="1" t="s">
        <v>11409</v>
      </c>
    </row>
    <row r="3478" spans="1:7" ht="21" x14ac:dyDescent="0.25">
      <c r="A3478" s="2" t="str">
        <f>HYPERLINK("https://rth.dk/resources/bsgatlas/details.php?id=BSGatlas-gene-3477","BSGatlas-gene-3477")</f>
        <v>BSGatlas-gene-3477</v>
      </c>
      <c r="B3478" s="1" t="s">
        <v>3140</v>
      </c>
      <c r="C3478" s="1" t="s">
        <v>34</v>
      </c>
      <c r="D3478" s="1">
        <v>3037895</v>
      </c>
      <c r="E3478" s="1">
        <v>3038168</v>
      </c>
      <c r="F3478" s="1" t="s">
        <v>13</v>
      </c>
      <c r="G3478" s="1" t="s">
        <v>11464</v>
      </c>
    </row>
    <row r="3479" spans="1:7" ht="21" x14ac:dyDescent="0.25">
      <c r="A3479" s="2" t="str">
        <f>HYPERLINK("https://rth.dk/resources/bsgatlas/details.php?id=BSGatlas-gene-3478","BSGatlas-gene-3478")</f>
        <v>BSGatlas-gene-3478</v>
      </c>
      <c r="B3479" s="1" t="s">
        <v>3141</v>
      </c>
      <c r="C3479" s="1" t="s">
        <v>8</v>
      </c>
      <c r="D3479" s="1">
        <v>3038060</v>
      </c>
      <c r="E3479" s="1">
        <v>3038203</v>
      </c>
      <c r="F3479" s="1" t="s">
        <v>13</v>
      </c>
      <c r="G3479" s="1" t="s">
        <v>11496</v>
      </c>
    </row>
    <row r="3480" spans="1:7" ht="21" x14ac:dyDescent="0.25">
      <c r="A3480" s="2" t="str">
        <f>HYPERLINK("https://rth.dk/resources/bsgatlas/details.php?id=BSGatlas-gene-3479","BSGatlas-gene-3479")</f>
        <v>BSGatlas-gene-3479</v>
      </c>
      <c r="B3480" s="1" t="s">
        <v>3142</v>
      </c>
      <c r="C3480" s="1" t="s">
        <v>8</v>
      </c>
      <c r="D3480" s="1">
        <v>3038213</v>
      </c>
      <c r="E3480" s="1">
        <v>3039931</v>
      </c>
      <c r="F3480" s="1" t="s">
        <v>13</v>
      </c>
      <c r="G3480" s="1" t="s">
        <v>11409</v>
      </c>
    </row>
    <row r="3481" spans="1:7" ht="21" x14ac:dyDescent="0.25">
      <c r="A3481" s="2" t="str">
        <f>HYPERLINK("https://rth.dk/resources/bsgatlas/details.php?id=BSGatlas-gene-3480","BSGatlas-gene-3480")</f>
        <v>BSGatlas-gene-3480</v>
      </c>
      <c r="B3481" s="1" t="s">
        <v>3143</v>
      </c>
      <c r="C3481" s="1" t="s">
        <v>8</v>
      </c>
      <c r="D3481" s="1">
        <v>3040092</v>
      </c>
      <c r="E3481" s="1">
        <v>3040724</v>
      </c>
      <c r="F3481" s="1" t="s">
        <v>9</v>
      </c>
      <c r="G3481" s="1" t="s">
        <v>11409</v>
      </c>
    </row>
    <row r="3482" spans="1:7" ht="21" x14ac:dyDescent="0.25">
      <c r="A3482" s="2" t="str">
        <f>HYPERLINK("https://rth.dk/resources/bsgatlas/details.php?id=BSGatlas-gene-3481","BSGatlas-gene-3481")</f>
        <v>BSGatlas-gene-3481</v>
      </c>
      <c r="B3482" s="1" t="s">
        <v>3144</v>
      </c>
      <c r="C3482" s="1" t="s">
        <v>8</v>
      </c>
      <c r="D3482" s="1">
        <v>3040751</v>
      </c>
      <c r="E3482" s="1">
        <v>3041395</v>
      </c>
      <c r="F3482" s="1" t="s">
        <v>9</v>
      </c>
      <c r="G3482" s="1" t="s">
        <v>11409</v>
      </c>
    </row>
    <row r="3483" spans="1:7" ht="21" x14ac:dyDescent="0.25">
      <c r="A3483" s="2" t="str">
        <f>HYPERLINK("https://rth.dk/resources/bsgatlas/details.php?id=BSGatlas-gene-3482","BSGatlas-gene-3482")</f>
        <v>BSGatlas-gene-3482</v>
      </c>
      <c r="B3483" s="1" t="s">
        <v>3145</v>
      </c>
      <c r="C3483" s="1" t="s">
        <v>8</v>
      </c>
      <c r="D3483" s="1">
        <v>3041392</v>
      </c>
      <c r="E3483" s="1">
        <v>3042555</v>
      </c>
      <c r="F3483" s="1" t="s">
        <v>9</v>
      </c>
      <c r="G3483" s="1" t="s">
        <v>11409</v>
      </c>
    </row>
    <row r="3484" spans="1:7" ht="21" x14ac:dyDescent="0.25">
      <c r="A3484" s="2" t="str">
        <f>HYPERLINK("https://rth.dk/resources/bsgatlas/details.php?id=BSGatlas-gene-3483","BSGatlas-gene-3483")</f>
        <v>BSGatlas-gene-3483</v>
      </c>
      <c r="B3484" s="1" t="s">
        <v>3146</v>
      </c>
      <c r="C3484" s="1" t="s">
        <v>8</v>
      </c>
      <c r="D3484" s="1">
        <v>3042566</v>
      </c>
      <c r="E3484" s="1">
        <v>3043294</v>
      </c>
      <c r="F3484" s="1" t="s">
        <v>13</v>
      </c>
      <c r="G3484" s="1" t="s">
        <v>11409</v>
      </c>
    </row>
    <row r="3485" spans="1:7" ht="21" x14ac:dyDescent="0.25">
      <c r="A3485" s="2" t="str">
        <f>HYPERLINK("https://rth.dk/resources/bsgatlas/details.php?id=BSGatlas-gene-3484","BSGatlas-gene-3484")</f>
        <v>BSGatlas-gene-3484</v>
      </c>
      <c r="B3485" s="1" t="s">
        <v>3147</v>
      </c>
      <c r="C3485" s="1" t="s">
        <v>8</v>
      </c>
      <c r="D3485" s="1">
        <v>3043284</v>
      </c>
      <c r="E3485" s="1">
        <v>3044102</v>
      </c>
      <c r="F3485" s="1" t="s">
        <v>13</v>
      </c>
      <c r="G3485" s="1" t="s">
        <v>11409</v>
      </c>
    </row>
    <row r="3486" spans="1:7" ht="21" x14ac:dyDescent="0.25">
      <c r="A3486" s="2" t="str">
        <f>HYPERLINK("https://rth.dk/resources/bsgatlas/details.php?id=BSGatlas-gene-3485","BSGatlas-gene-3485")</f>
        <v>BSGatlas-gene-3485</v>
      </c>
      <c r="B3486" s="1" t="s">
        <v>3148</v>
      </c>
      <c r="C3486" s="1" t="s">
        <v>8</v>
      </c>
      <c r="D3486" s="1">
        <v>3044165</v>
      </c>
      <c r="E3486" s="1">
        <v>3045169</v>
      </c>
      <c r="F3486" s="1" t="s">
        <v>13</v>
      </c>
      <c r="G3486" s="1" t="s">
        <v>11409</v>
      </c>
    </row>
    <row r="3487" spans="1:7" ht="21" x14ac:dyDescent="0.25">
      <c r="A3487" s="2" t="str">
        <f>HYPERLINK("https://rth.dk/resources/bsgatlas/details.php?id=BSGatlas-gene-3486","BSGatlas-gene-3486")</f>
        <v>BSGatlas-gene-3486</v>
      </c>
      <c r="B3487" s="1" t="s">
        <v>3149</v>
      </c>
      <c r="C3487" s="1" t="s">
        <v>8</v>
      </c>
      <c r="D3487" s="1">
        <v>3045445</v>
      </c>
      <c r="E3487" s="1">
        <v>3046521</v>
      </c>
      <c r="F3487" s="1" t="s">
        <v>13</v>
      </c>
      <c r="G3487" s="1" t="s">
        <v>11409</v>
      </c>
    </row>
    <row r="3488" spans="1:7" ht="21" x14ac:dyDescent="0.25">
      <c r="A3488" s="2" t="str">
        <f>HYPERLINK("https://rth.dk/resources/bsgatlas/details.php?id=BSGatlas-gene-3487","BSGatlas-gene-3487")</f>
        <v>BSGatlas-gene-3487</v>
      </c>
      <c r="B3488" s="1" t="s">
        <v>3150</v>
      </c>
      <c r="C3488" s="1" t="s">
        <v>8</v>
      </c>
      <c r="D3488" s="1">
        <v>3046757</v>
      </c>
      <c r="E3488" s="1">
        <v>3047083</v>
      </c>
      <c r="F3488" s="1" t="s">
        <v>13</v>
      </c>
      <c r="G3488" s="1" t="s">
        <v>11409</v>
      </c>
    </row>
    <row r="3489" spans="1:7" ht="21" x14ac:dyDescent="0.25">
      <c r="A3489" s="2" t="str">
        <f>HYPERLINK("https://rth.dk/resources/bsgatlas/details.php?id=BSGatlas-gene-3488","BSGatlas-gene-3488")</f>
        <v>BSGatlas-gene-3488</v>
      </c>
      <c r="B3489" s="1" t="s">
        <v>3151</v>
      </c>
      <c r="C3489" s="1" t="s">
        <v>8</v>
      </c>
      <c r="D3489" s="1">
        <v>3047107</v>
      </c>
      <c r="E3489" s="1">
        <v>3047562</v>
      </c>
      <c r="F3489" s="1" t="s">
        <v>13</v>
      </c>
      <c r="G3489" s="1" t="s">
        <v>11409</v>
      </c>
    </row>
    <row r="3490" spans="1:7" ht="21" x14ac:dyDescent="0.25">
      <c r="A3490" s="2" t="str">
        <f>HYPERLINK("https://rth.dk/resources/bsgatlas/details.php?id=BSGatlas-gene-3489","BSGatlas-gene-3489")</f>
        <v>BSGatlas-gene-3489</v>
      </c>
      <c r="B3490" s="1" t="s">
        <v>3152</v>
      </c>
      <c r="C3490" s="1" t="s">
        <v>8</v>
      </c>
      <c r="D3490" s="1">
        <v>3047593</v>
      </c>
      <c r="E3490" s="1">
        <v>3048015</v>
      </c>
      <c r="F3490" s="1" t="s">
        <v>13</v>
      </c>
      <c r="G3490" s="1" t="s">
        <v>11409</v>
      </c>
    </row>
    <row r="3491" spans="1:7" ht="21" x14ac:dyDescent="0.25">
      <c r="A3491" s="2" t="str">
        <f>HYPERLINK("https://rth.dk/resources/bsgatlas/details.php?id=BSGatlas-gene-3490","BSGatlas-gene-3490")</f>
        <v>BSGatlas-gene-3490</v>
      </c>
      <c r="B3491" s="1" t="s">
        <v>3153</v>
      </c>
      <c r="C3491" s="1" t="s">
        <v>8</v>
      </c>
      <c r="D3491" s="1">
        <v>3048177</v>
      </c>
      <c r="E3491" s="1">
        <v>3049475</v>
      </c>
      <c r="F3491" s="1" t="s">
        <v>13</v>
      </c>
      <c r="G3491" s="1" t="s">
        <v>11409</v>
      </c>
    </row>
    <row r="3492" spans="1:7" ht="21" x14ac:dyDescent="0.25">
      <c r="A3492" s="2" t="str">
        <f>HYPERLINK("https://rth.dk/resources/bsgatlas/details.php?id=BSGatlas-gene-3491","BSGatlas-gene-3491")</f>
        <v>BSGatlas-gene-3491</v>
      </c>
      <c r="B3492" s="1" t="s">
        <v>3154</v>
      </c>
      <c r="C3492" s="1" t="s">
        <v>8</v>
      </c>
      <c r="D3492" s="1">
        <v>3049725</v>
      </c>
      <c r="E3492" s="1">
        <v>3052583</v>
      </c>
      <c r="F3492" s="1" t="s">
        <v>13</v>
      </c>
      <c r="G3492" s="1" t="s">
        <v>11409</v>
      </c>
    </row>
    <row r="3493" spans="1:7" ht="21" x14ac:dyDescent="0.25">
      <c r="A3493" s="2" t="str">
        <f>HYPERLINK("https://rth.dk/resources/bsgatlas/details.php?id=BSGatlas-gene-3492","BSGatlas-gene-3492")</f>
        <v>BSGatlas-gene-3492</v>
      </c>
      <c r="B3493" s="1" t="s">
        <v>3155</v>
      </c>
      <c r="C3493" s="1" t="s">
        <v>8</v>
      </c>
      <c r="D3493" s="1">
        <v>3052743</v>
      </c>
      <c r="E3493" s="1">
        <v>3053348</v>
      </c>
      <c r="F3493" s="1" t="s">
        <v>13</v>
      </c>
      <c r="G3493" s="1" t="s">
        <v>11409</v>
      </c>
    </row>
    <row r="3494" spans="1:7" ht="21" x14ac:dyDescent="0.25">
      <c r="A3494" s="2" t="str">
        <f>HYPERLINK("https://rth.dk/resources/bsgatlas/details.php?id=BSGatlas-gene-3493","BSGatlas-gene-3493")</f>
        <v>BSGatlas-gene-3493</v>
      </c>
      <c r="B3494" s="1" t="s">
        <v>3156</v>
      </c>
      <c r="C3494" s="1" t="s">
        <v>8</v>
      </c>
      <c r="D3494" s="1">
        <v>3053364</v>
      </c>
      <c r="E3494" s="1">
        <v>3054173</v>
      </c>
      <c r="F3494" s="1" t="s">
        <v>13</v>
      </c>
      <c r="G3494" s="1" t="s">
        <v>11409</v>
      </c>
    </row>
    <row r="3495" spans="1:7" ht="21" x14ac:dyDescent="0.25">
      <c r="A3495" s="2" t="str">
        <f>HYPERLINK("https://rth.dk/resources/bsgatlas/details.php?id=BSGatlas-gene-3494","BSGatlas-gene-3494")</f>
        <v>BSGatlas-gene-3494</v>
      </c>
      <c r="B3495" s="1" t="s">
        <v>3157</v>
      </c>
      <c r="C3495" s="1" t="s">
        <v>8</v>
      </c>
      <c r="D3495" s="1">
        <v>3054188</v>
      </c>
      <c r="E3495" s="1">
        <v>3054511</v>
      </c>
      <c r="F3495" s="1" t="s">
        <v>13</v>
      </c>
      <c r="G3495" s="1" t="s">
        <v>11409</v>
      </c>
    </row>
    <row r="3496" spans="1:7" ht="21" x14ac:dyDescent="0.25">
      <c r="A3496" s="2" t="str">
        <f>HYPERLINK("https://rth.dk/resources/bsgatlas/details.php?id=BSGatlas-gene-3495","BSGatlas-gene-3495")</f>
        <v>BSGatlas-gene-3495</v>
      </c>
      <c r="B3496" s="1" t="s">
        <v>318</v>
      </c>
      <c r="C3496" s="1" t="s">
        <v>8</v>
      </c>
      <c r="D3496" s="1">
        <v>3054550</v>
      </c>
      <c r="E3496" s="1">
        <v>3054666</v>
      </c>
      <c r="F3496" s="1" t="s">
        <v>13</v>
      </c>
      <c r="G3496" s="1" t="s">
        <v>11441</v>
      </c>
    </row>
    <row r="3497" spans="1:7" ht="21" x14ac:dyDescent="0.25">
      <c r="A3497" s="2" t="str">
        <f>HYPERLINK("https://rth.dk/resources/bsgatlas/details.php?id=BSGatlas-gene-3496","BSGatlas-gene-3496")</f>
        <v>BSGatlas-gene-3496</v>
      </c>
      <c r="B3497" s="1" t="s">
        <v>3158</v>
      </c>
      <c r="C3497" s="1" t="s">
        <v>8</v>
      </c>
      <c r="D3497" s="1">
        <v>3054746</v>
      </c>
      <c r="E3497" s="1">
        <v>3055192</v>
      </c>
      <c r="F3497" s="1" t="s">
        <v>9</v>
      </c>
      <c r="G3497" s="1" t="s">
        <v>11409</v>
      </c>
    </row>
    <row r="3498" spans="1:7" ht="21" x14ac:dyDescent="0.25">
      <c r="A3498" s="2" t="str">
        <f>HYPERLINK("https://rth.dk/resources/bsgatlas/details.php?id=BSGatlas-gene-3497","BSGatlas-gene-3497")</f>
        <v>BSGatlas-gene-3497</v>
      </c>
      <c r="B3498" s="1" t="s">
        <v>3159</v>
      </c>
      <c r="C3498" s="1" t="s">
        <v>8</v>
      </c>
      <c r="D3498" s="1">
        <v>3055247</v>
      </c>
      <c r="E3498" s="1">
        <v>3056320</v>
      </c>
      <c r="F3498" s="1" t="s">
        <v>13</v>
      </c>
      <c r="G3498" s="1" t="s">
        <v>11409</v>
      </c>
    </row>
    <row r="3499" spans="1:7" ht="21" x14ac:dyDescent="0.25">
      <c r="A3499" s="2" t="str">
        <f>HYPERLINK("https://rth.dk/resources/bsgatlas/details.php?id=BSGatlas-gene-3498","BSGatlas-gene-3498")</f>
        <v>BSGatlas-gene-3498</v>
      </c>
      <c r="B3499" s="1" t="s">
        <v>3160</v>
      </c>
      <c r="C3499" s="1" t="s">
        <v>8</v>
      </c>
      <c r="D3499" s="1">
        <v>3056479</v>
      </c>
      <c r="E3499" s="1">
        <v>3056796</v>
      </c>
      <c r="F3499" s="1" t="s">
        <v>9</v>
      </c>
      <c r="G3499" s="1" t="s">
        <v>11409</v>
      </c>
    </row>
    <row r="3500" spans="1:7" ht="21" x14ac:dyDescent="0.25">
      <c r="A3500" s="2" t="str">
        <f>HYPERLINK("https://rth.dk/resources/bsgatlas/details.php?id=BSGatlas-gene-3499","BSGatlas-gene-3499")</f>
        <v>BSGatlas-gene-3499</v>
      </c>
      <c r="B3500" s="1" t="s">
        <v>3161</v>
      </c>
      <c r="C3500" s="1" t="s">
        <v>8</v>
      </c>
      <c r="D3500" s="1">
        <v>3056849</v>
      </c>
      <c r="E3500" s="1">
        <v>3058549</v>
      </c>
      <c r="F3500" s="1" t="s">
        <v>13</v>
      </c>
      <c r="G3500" s="1" t="s">
        <v>11409</v>
      </c>
    </row>
    <row r="3501" spans="1:7" ht="21" x14ac:dyDescent="0.25">
      <c r="A3501" s="2" t="str">
        <f>HYPERLINK("https://rth.dk/resources/bsgatlas/details.php?id=BSGatlas-gene-3500","BSGatlas-gene-3500")</f>
        <v>BSGatlas-gene-3500</v>
      </c>
      <c r="B3501" s="1" t="s">
        <v>3162</v>
      </c>
      <c r="C3501" s="1" t="s">
        <v>8</v>
      </c>
      <c r="D3501" s="1">
        <v>3058631</v>
      </c>
      <c r="E3501" s="1">
        <v>3059401</v>
      </c>
      <c r="F3501" s="1" t="s">
        <v>13</v>
      </c>
      <c r="G3501" s="1" t="s">
        <v>11409</v>
      </c>
    </row>
    <row r="3502" spans="1:7" ht="21" x14ac:dyDescent="0.25">
      <c r="A3502" s="2" t="str">
        <f>HYPERLINK("https://rth.dk/resources/bsgatlas/details.php?id=BSGatlas-gene-3501","BSGatlas-gene-3501")</f>
        <v>BSGatlas-gene-3501</v>
      </c>
      <c r="B3502" s="1" t="s">
        <v>3163</v>
      </c>
      <c r="C3502" s="1" t="s">
        <v>8</v>
      </c>
      <c r="D3502" s="1">
        <v>3059547</v>
      </c>
      <c r="E3502" s="1">
        <v>3060188</v>
      </c>
      <c r="F3502" s="1" t="s">
        <v>13</v>
      </c>
      <c r="G3502" s="1" t="s">
        <v>11409</v>
      </c>
    </row>
    <row r="3503" spans="1:7" ht="21" x14ac:dyDescent="0.25">
      <c r="A3503" s="2" t="str">
        <f>HYPERLINK("https://rth.dk/resources/bsgatlas/details.php?id=BSGatlas-gene-3502","BSGatlas-gene-3502")</f>
        <v>BSGatlas-gene-3502</v>
      </c>
      <c r="B3503" s="1" t="s">
        <v>3164</v>
      </c>
      <c r="C3503" s="1" t="s">
        <v>8</v>
      </c>
      <c r="D3503" s="1">
        <v>3060395</v>
      </c>
      <c r="E3503" s="1">
        <v>3060673</v>
      </c>
      <c r="F3503" s="1" t="s">
        <v>9</v>
      </c>
      <c r="G3503" s="1" t="s">
        <v>11409</v>
      </c>
    </row>
    <row r="3504" spans="1:7" ht="21" x14ac:dyDescent="0.25">
      <c r="A3504" s="2" t="str">
        <f>HYPERLINK("https://rth.dk/resources/bsgatlas/details.php?id=BSGatlas-gene-3503","BSGatlas-gene-3503")</f>
        <v>BSGatlas-gene-3503</v>
      </c>
      <c r="B3504" s="1" t="s">
        <v>3165</v>
      </c>
      <c r="C3504" s="1" t="s">
        <v>8</v>
      </c>
      <c r="D3504" s="1">
        <v>3060674</v>
      </c>
      <c r="E3504" s="1">
        <v>3061288</v>
      </c>
      <c r="F3504" s="1" t="s">
        <v>13</v>
      </c>
      <c r="G3504" s="1" t="s">
        <v>11409</v>
      </c>
    </row>
    <row r="3505" spans="1:7" ht="21" x14ac:dyDescent="0.25">
      <c r="A3505" s="2" t="str">
        <f>HYPERLINK("https://rth.dk/resources/bsgatlas/details.php?id=BSGatlas-gene-3504","BSGatlas-gene-3504")</f>
        <v>BSGatlas-gene-3504</v>
      </c>
      <c r="B3505" s="1" t="s">
        <v>3166</v>
      </c>
      <c r="C3505" s="1" t="s">
        <v>8</v>
      </c>
      <c r="D3505" s="1">
        <v>3061651</v>
      </c>
      <c r="E3505" s="1">
        <v>3063807</v>
      </c>
      <c r="F3505" s="1" t="s">
        <v>13</v>
      </c>
      <c r="G3505" s="1" t="s">
        <v>11409</v>
      </c>
    </row>
    <row r="3506" spans="1:7" ht="21" x14ac:dyDescent="0.25">
      <c r="A3506" s="2" t="str">
        <f>HYPERLINK("https://rth.dk/resources/bsgatlas/details.php?id=BSGatlas-gene-3505","BSGatlas-gene-3505")</f>
        <v>BSGatlas-gene-3505</v>
      </c>
      <c r="B3506" s="1" t="s">
        <v>3167</v>
      </c>
      <c r="C3506" s="1" t="s">
        <v>8</v>
      </c>
      <c r="D3506" s="1">
        <v>3063833</v>
      </c>
      <c r="E3506" s="1">
        <v>3064762</v>
      </c>
      <c r="F3506" s="1" t="s">
        <v>13</v>
      </c>
      <c r="G3506" s="1" t="s">
        <v>11409</v>
      </c>
    </row>
    <row r="3507" spans="1:7" ht="21" x14ac:dyDescent="0.25">
      <c r="A3507" s="2" t="str">
        <f>HYPERLINK("https://rth.dk/resources/bsgatlas/details.php?id=BSGatlas-gene-3506","BSGatlas-gene-3506")</f>
        <v>BSGatlas-gene-3506</v>
      </c>
      <c r="B3507" s="1" t="s">
        <v>3168</v>
      </c>
      <c r="C3507" s="1" t="s">
        <v>8</v>
      </c>
      <c r="D3507" s="1">
        <v>3064811</v>
      </c>
      <c r="E3507" s="1">
        <v>3065725</v>
      </c>
      <c r="F3507" s="1" t="s">
        <v>13</v>
      </c>
      <c r="G3507" s="1" t="s">
        <v>11409</v>
      </c>
    </row>
    <row r="3508" spans="1:7" ht="21" x14ac:dyDescent="0.25">
      <c r="A3508" s="2" t="str">
        <f>HYPERLINK("https://rth.dk/resources/bsgatlas/details.php?id=BSGatlas-gene-3507","BSGatlas-gene-3507")</f>
        <v>BSGatlas-gene-3507</v>
      </c>
      <c r="B3508" s="1" t="s">
        <v>3169</v>
      </c>
      <c r="C3508" s="1" t="s">
        <v>8</v>
      </c>
      <c r="D3508" s="1">
        <v>3065751</v>
      </c>
      <c r="E3508" s="1">
        <v>3066302</v>
      </c>
      <c r="F3508" s="1" t="s">
        <v>13</v>
      </c>
      <c r="G3508" s="1" t="s">
        <v>11409</v>
      </c>
    </row>
    <row r="3509" spans="1:7" ht="21" x14ac:dyDescent="0.25">
      <c r="A3509" s="2" t="str">
        <f>HYPERLINK("https://rth.dk/resources/bsgatlas/details.php?id=BSGatlas-gene-3508","BSGatlas-gene-3508")</f>
        <v>BSGatlas-gene-3508</v>
      </c>
      <c r="B3509" s="1" t="s">
        <v>3170</v>
      </c>
      <c r="C3509" s="1" t="s">
        <v>8</v>
      </c>
      <c r="D3509" s="1">
        <v>3066451</v>
      </c>
      <c r="E3509" s="1">
        <v>3067386</v>
      </c>
      <c r="F3509" s="1" t="s">
        <v>9</v>
      </c>
      <c r="G3509" s="1" t="s">
        <v>11409</v>
      </c>
    </row>
    <row r="3510" spans="1:7" ht="21" x14ac:dyDescent="0.25">
      <c r="A3510" s="2" t="str">
        <f>HYPERLINK("https://rth.dk/resources/bsgatlas/details.php?id=BSGatlas-gene-3509","BSGatlas-gene-3509")</f>
        <v>BSGatlas-gene-3509</v>
      </c>
      <c r="B3510" s="1" t="s">
        <v>3171</v>
      </c>
      <c r="C3510" s="1" t="s">
        <v>8</v>
      </c>
      <c r="D3510" s="1">
        <v>3067420</v>
      </c>
      <c r="E3510" s="1">
        <v>3068811</v>
      </c>
      <c r="F3510" s="1" t="s">
        <v>13</v>
      </c>
      <c r="G3510" s="1" t="s">
        <v>11409</v>
      </c>
    </row>
    <row r="3511" spans="1:7" ht="21" x14ac:dyDescent="0.25">
      <c r="A3511" s="2" t="str">
        <f>HYPERLINK("https://rth.dk/resources/bsgatlas/details.php?id=BSGatlas-gene-3510","BSGatlas-gene-3510")</f>
        <v>BSGatlas-gene-3510</v>
      </c>
      <c r="B3511" s="1" t="s">
        <v>3172</v>
      </c>
      <c r="C3511" s="1" t="s">
        <v>8</v>
      </c>
      <c r="D3511" s="1">
        <v>3068908</v>
      </c>
      <c r="E3511" s="1">
        <v>3070206</v>
      </c>
      <c r="F3511" s="1" t="s">
        <v>9</v>
      </c>
      <c r="G3511" s="1" t="s">
        <v>11409</v>
      </c>
    </row>
    <row r="3512" spans="1:7" ht="21" x14ac:dyDescent="0.25">
      <c r="A3512" s="2" t="str">
        <f>HYPERLINK("https://rth.dk/resources/bsgatlas/details.php?id=BSGatlas-gene-3511","BSGatlas-gene-3511")</f>
        <v>BSGatlas-gene-3511</v>
      </c>
      <c r="B3512" s="1" t="s">
        <v>3173</v>
      </c>
      <c r="C3512" s="1" t="s">
        <v>8</v>
      </c>
      <c r="D3512" s="1">
        <v>3070246</v>
      </c>
      <c r="E3512" s="1">
        <v>3071403</v>
      </c>
      <c r="F3512" s="1" t="s">
        <v>13</v>
      </c>
      <c r="G3512" s="1" t="s">
        <v>11409</v>
      </c>
    </row>
    <row r="3513" spans="1:7" ht="21" x14ac:dyDescent="0.25">
      <c r="A3513" s="2" t="str">
        <f>HYPERLINK("https://rth.dk/resources/bsgatlas/details.php?id=BSGatlas-gene-3512","BSGatlas-gene-3512")</f>
        <v>BSGatlas-gene-3512</v>
      </c>
      <c r="B3513" s="1" t="s">
        <v>3174</v>
      </c>
      <c r="C3513" s="1" t="s">
        <v>8</v>
      </c>
      <c r="D3513" s="1">
        <v>3071400</v>
      </c>
      <c r="E3513" s="1">
        <v>3072110</v>
      </c>
      <c r="F3513" s="1" t="s">
        <v>13</v>
      </c>
      <c r="G3513" s="1" t="s">
        <v>11409</v>
      </c>
    </row>
    <row r="3514" spans="1:7" ht="21" x14ac:dyDescent="0.25">
      <c r="A3514" s="2" t="str">
        <f>HYPERLINK("https://rth.dk/resources/bsgatlas/details.php?id=BSGatlas-gene-3513","BSGatlas-gene-3513")</f>
        <v>BSGatlas-gene-3513</v>
      </c>
      <c r="B3514" s="1" t="s">
        <v>3175</v>
      </c>
      <c r="C3514" s="1" t="s">
        <v>12</v>
      </c>
      <c r="D3514" s="1">
        <v>3072289</v>
      </c>
      <c r="E3514" s="1">
        <v>3072361</v>
      </c>
      <c r="F3514" s="1" t="s">
        <v>9</v>
      </c>
      <c r="G3514" s="1" t="s">
        <v>11442</v>
      </c>
    </row>
    <row r="3515" spans="1:7" ht="21" x14ac:dyDescent="0.25">
      <c r="A3515" s="2" t="str">
        <f>HYPERLINK("https://rth.dk/resources/bsgatlas/details.php?id=BSGatlas-gene-3514","BSGatlas-gene-3514")</f>
        <v>BSGatlas-gene-3514</v>
      </c>
      <c r="B3515" s="1" t="s">
        <v>3176</v>
      </c>
      <c r="C3515" s="1" t="s">
        <v>8</v>
      </c>
      <c r="D3515" s="1">
        <v>3072401</v>
      </c>
      <c r="E3515" s="1">
        <v>3072622</v>
      </c>
      <c r="F3515" s="1" t="s">
        <v>9</v>
      </c>
      <c r="G3515" s="1" t="s">
        <v>11409</v>
      </c>
    </row>
    <row r="3516" spans="1:7" ht="21" x14ac:dyDescent="0.25">
      <c r="A3516" s="2" t="str">
        <f>HYPERLINK("https://rth.dk/resources/bsgatlas/details.php?id=BSGatlas-gene-3515","BSGatlas-gene-3515")</f>
        <v>BSGatlas-gene-3515</v>
      </c>
      <c r="B3516" s="1" t="s">
        <v>3177</v>
      </c>
      <c r="C3516" s="1" t="s">
        <v>8</v>
      </c>
      <c r="D3516" s="1">
        <v>3072743</v>
      </c>
      <c r="E3516" s="1">
        <v>3073462</v>
      </c>
      <c r="F3516" s="1" t="s">
        <v>13</v>
      </c>
      <c r="G3516" s="1" t="s">
        <v>11409</v>
      </c>
    </row>
    <row r="3517" spans="1:7" ht="21" x14ac:dyDescent="0.25">
      <c r="A3517" s="2" t="str">
        <f>HYPERLINK("https://rth.dk/resources/bsgatlas/details.php?id=BSGatlas-gene-3516","BSGatlas-gene-3516")</f>
        <v>BSGatlas-gene-3516</v>
      </c>
      <c r="B3517" s="1" t="s">
        <v>3178</v>
      </c>
      <c r="C3517" s="1" t="s">
        <v>8</v>
      </c>
      <c r="D3517" s="1">
        <v>3073531</v>
      </c>
      <c r="E3517" s="1">
        <v>3075165</v>
      </c>
      <c r="F3517" s="1" t="s">
        <v>13</v>
      </c>
      <c r="G3517" s="1" t="s">
        <v>11409</v>
      </c>
    </row>
    <row r="3518" spans="1:7" ht="21" x14ac:dyDescent="0.25">
      <c r="A3518" s="2" t="str">
        <f>HYPERLINK("https://rth.dk/resources/bsgatlas/details.php?id=BSGatlas-gene-3517","BSGatlas-gene-3517")</f>
        <v>BSGatlas-gene-3517</v>
      </c>
      <c r="B3518" s="1" t="s">
        <v>3179</v>
      </c>
      <c r="C3518" s="1" t="s">
        <v>8</v>
      </c>
      <c r="D3518" s="1">
        <v>3075367</v>
      </c>
      <c r="E3518" s="1">
        <v>3076629</v>
      </c>
      <c r="F3518" s="1" t="s">
        <v>9</v>
      </c>
      <c r="G3518" s="1" t="s">
        <v>11409</v>
      </c>
    </row>
    <row r="3519" spans="1:7" ht="21" x14ac:dyDescent="0.25">
      <c r="A3519" s="2" t="str">
        <f>HYPERLINK("https://rth.dk/resources/bsgatlas/details.php?id=BSGatlas-gene-3518","BSGatlas-gene-3518")</f>
        <v>BSGatlas-gene-3518</v>
      </c>
      <c r="B3519" s="1" t="s">
        <v>3180</v>
      </c>
      <c r="C3519" s="1" t="s">
        <v>8</v>
      </c>
      <c r="D3519" s="1">
        <v>3076818</v>
      </c>
      <c r="E3519" s="1">
        <v>3078356</v>
      </c>
      <c r="F3519" s="1" t="s">
        <v>9</v>
      </c>
      <c r="G3519" s="1" t="s">
        <v>11409</v>
      </c>
    </row>
    <row r="3520" spans="1:7" ht="21" x14ac:dyDescent="0.25">
      <c r="A3520" s="2" t="str">
        <f>HYPERLINK("https://rth.dk/resources/bsgatlas/details.php?id=BSGatlas-gene-3519","BSGatlas-gene-3519")</f>
        <v>BSGatlas-gene-3519</v>
      </c>
      <c r="B3520" s="1" t="s">
        <v>3181</v>
      </c>
      <c r="C3520" s="1" t="s">
        <v>8</v>
      </c>
      <c r="D3520" s="1">
        <v>3078393</v>
      </c>
      <c r="E3520" s="1">
        <v>3078575</v>
      </c>
      <c r="F3520" s="1" t="s">
        <v>13</v>
      </c>
      <c r="G3520" s="1" t="s">
        <v>11409</v>
      </c>
    </row>
    <row r="3521" spans="1:7" ht="21" x14ac:dyDescent="0.25">
      <c r="A3521" s="2" t="str">
        <f>HYPERLINK("https://rth.dk/resources/bsgatlas/details.php?id=BSGatlas-gene-3520","BSGatlas-gene-3520")</f>
        <v>BSGatlas-gene-3520</v>
      </c>
      <c r="B3521" s="1" t="s">
        <v>3182</v>
      </c>
      <c r="C3521" s="1" t="s">
        <v>8</v>
      </c>
      <c r="D3521" s="1">
        <v>3078643</v>
      </c>
      <c r="E3521" s="1">
        <v>3079311</v>
      </c>
      <c r="F3521" s="1" t="s">
        <v>13</v>
      </c>
      <c r="G3521" s="1" t="s">
        <v>11409</v>
      </c>
    </row>
    <row r="3522" spans="1:7" ht="21" x14ac:dyDescent="0.25">
      <c r="A3522" s="2" t="str">
        <f>HYPERLINK("https://rth.dk/resources/bsgatlas/details.php?id=BSGatlas-gene-3521","BSGatlas-gene-3521")</f>
        <v>BSGatlas-gene-3521</v>
      </c>
      <c r="B3522" s="1" t="s">
        <v>3183</v>
      </c>
      <c r="C3522" s="1" t="s">
        <v>8</v>
      </c>
      <c r="D3522" s="1">
        <v>3079333</v>
      </c>
      <c r="E3522" s="1">
        <v>3080619</v>
      </c>
      <c r="F3522" s="1" t="s">
        <v>13</v>
      </c>
      <c r="G3522" s="1" t="s">
        <v>11409</v>
      </c>
    </row>
    <row r="3523" spans="1:7" ht="21" x14ac:dyDescent="0.25">
      <c r="A3523" s="2" t="str">
        <f>HYPERLINK("https://rth.dk/resources/bsgatlas/details.php?id=BSGatlas-gene-3522","BSGatlas-gene-3522")</f>
        <v>BSGatlas-gene-3522</v>
      </c>
      <c r="B3523" s="1" t="s">
        <v>3184</v>
      </c>
      <c r="C3523" s="1" t="s">
        <v>8</v>
      </c>
      <c r="D3523" s="1">
        <v>3080631</v>
      </c>
      <c r="E3523" s="1">
        <v>3081134</v>
      </c>
      <c r="F3523" s="1" t="s">
        <v>13</v>
      </c>
      <c r="G3523" s="1" t="s">
        <v>11409</v>
      </c>
    </row>
    <row r="3524" spans="1:7" ht="21" x14ac:dyDescent="0.25">
      <c r="A3524" s="2" t="str">
        <f>HYPERLINK("https://rth.dk/resources/bsgatlas/details.php?id=BSGatlas-gene-3523","BSGatlas-gene-3523")</f>
        <v>BSGatlas-gene-3523</v>
      </c>
      <c r="B3524" s="1" t="s">
        <v>3185</v>
      </c>
      <c r="C3524" s="1" t="s">
        <v>8</v>
      </c>
      <c r="D3524" s="1">
        <v>3081131</v>
      </c>
      <c r="E3524" s="1">
        <v>3082252</v>
      </c>
      <c r="F3524" s="1" t="s">
        <v>13</v>
      </c>
      <c r="G3524" s="1" t="s">
        <v>11409</v>
      </c>
    </row>
    <row r="3525" spans="1:7" ht="21" x14ac:dyDescent="0.25">
      <c r="A3525" s="2" t="str">
        <f>HYPERLINK("https://rth.dk/resources/bsgatlas/details.php?id=BSGatlas-gene-3524","BSGatlas-gene-3524")</f>
        <v>BSGatlas-gene-3524</v>
      </c>
      <c r="B3525" s="1" t="s">
        <v>3186</v>
      </c>
      <c r="C3525" s="1" t="s">
        <v>8</v>
      </c>
      <c r="D3525" s="1">
        <v>3082260</v>
      </c>
      <c r="E3525" s="1">
        <v>3083225</v>
      </c>
      <c r="F3525" s="1" t="s">
        <v>13</v>
      </c>
      <c r="G3525" s="1" t="s">
        <v>11409</v>
      </c>
    </row>
    <row r="3526" spans="1:7" ht="21" x14ac:dyDescent="0.25">
      <c r="A3526" s="2" t="str">
        <f>HYPERLINK("https://rth.dk/resources/bsgatlas/details.php?id=BSGatlas-gene-3525","BSGatlas-gene-3525")</f>
        <v>BSGatlas-gene-3525</v>
      </c>
      <c r="B3526" s="1" t="s">
        <v>3187</v>
      </c>
      <c r="C3526" s="1" t="s">
        <v>8</v>
      </c>
      <c r="D3526" s="1">
        <v>3083441</v>
      </c>
      <c r="E3526" s="1">
        <v>3085759</v>
      </c>
      <c r="F3526" s="1" t="s">
        <v>9</v>
      </c>
      <c r="G3526" s="1" t="s">
        <v>11409</v>
      </c>
    </row>
    <row r="3527" spans="1:7" ht="21" x14ac:dyDescent="0.25">
      <c r="A3527" s="2" t="str">
        <f>HYPERLINK("https://rth.dk/resources/bsgatlas/details.php?id=BSGatlas-gene-3526","BSGatlas-gene-3526")</f>
        <v>BSGatlas-gene-3526</v>
      </c>
      <c r="B3527" s="1" t="s">
        <v>3188</v>
      </c>
      <c r="C3527" s="1" t="s">
        <v>8</v>
      </c>
      <c r="D3527" s="1">
        <v>3085800</v>
      </c>
      <c r="E3527" s="1">
        <v>3087296</v>
      </c>
      <c r="F3527" s="1" t="s">
        <v>13</v>
      </c>
      <c r="G3527" s="1" t="s">
        <v>11409</v>
      </c>
    </row>
    <row r="3528" spans="1:7" ht="21" x14ac:dyDescent="0.25">
      <c r="A3528" s="2" t="str">
        <f>HYPERLINK("https://rth.dk/resources/bsgatlas/details.php?id=BSGatlas-gene-3527","BSGatlas-gene-3527")</f>
        <v>BSGatlas-gene-3527</v>
      </c>
      <c r="B3528" s="1" t="s">
        <v>3189</v>
      </c>
      <c r="C3528" s="1" t="s">
        <v>8</v>
      </c>
      <c r="D3528" s="1">
        <v>3087321</v>
      </c>
      <c r="E3528" s="1">
        <v>3088181</v>
      </c>
      <c r="F3528" s="1" t="s">
        <v>13</v>
      </c>
      <c r="G3528" s="1" t="s">
        <v>11409</v>
      </c>
    </row>
    <row r="3529" spans="1:7" ht="21" x14ac:dyDescent="0.25">
      <c r="A3529" s="2" t="str">
        <f>HYPERLINK("https://rth.dk/resources/bsgatlas/details.php?id=BSGatlas-gene-3528","BSGatlas-gene-3528")</f>
        <v>BSGatlas-gene-3528</v>
      </c>
      <c r="B3529" s="1" t="s">
        <v>3190</v>
      </c>
      <c r="C3529" s="1" t="s">
        <v>8</v>
      </c>
      <c r="D3529" s="1">
        <v>3088388</v>
      </c>
      <c r="E3529" s="1">
        <v>3089149</v>
      </c>
      <c r="F3529" s="1" t="s">
        <v>13</v>
      </c>
      <c r="G3529" s="1" t="s">
        <v>11409</v>
      </c>
    </row>
    <row r="3530" spans="1:7" ht="21" x14ac:dyDescent="0.25">
      <c r="A3530" s="2" t="str">
        <f>HYPERLINK("https://rth.dk/resources/bsgatlas/details.php?id=BSGatlas-gene-3529","BSGatlas-gene-3529")</f>
        <v>BSGatlas-gene-3529</v>
      </c>
      <c r="B3530" s="1" t="s">
        <v>3191</v>
      </c>
      <c r="C3530" s="1" t="s">
        <v>8</v>
      </c>
      <c r="D3530" s="1">
        <v>3089226</v>
      </c>
      <c r="E3530" s="1">
        <v>3090413</v>
      </c>
      <c r="F3530" s="1" t="s">
        <v>13</v>
      </c>
      <c r="G3530" s="1" t="s">
        <v>11409</v>
      </c>
    </row>
    <row r="3531" spans="1:7" ht="21" x14ac:dyDescent="0.25">
      <c r="A3531" s="2" t="str">
        <f>HYPERLINK("https://rth.dk/resources/bsgatlas/details.php?id=BSGatlas-gene-3530","BSGatlas-gene-3530")</f>
        <v>BSGatlas-gene-3530</v>
      </c>
      <c r="B3531" s="1" t="s">
        <v>3192</v>
      </c>
      <c r="C3531" s="1" t="s">
        <v>8</v>
      </c>
      <c r="D3531" s="1">
        <v>3090482</v>
      </c>
      <c r="E3531" s="1">
        <v>3091489</v>
      </c>
      <c r="F3531" s="1" t="s">
        <v>13</v>
      </c>
      <c r="G3531" s="1" t="s">
        <v>11409</v>
      </c>
    </row>
    <row r="3532" spans="1:7" ht="21" x14ac:dyDescent="0.25">
      <c r="A3532" s="2" t="str">
        <f>HYPERLINK("https://rth.dk/resources/bsgatlas/details.php?id=BSGatlas-gene-3531","BSGatlas-gene-3531")</f>
        <v>BSGatlas-gene-3531</v>
      </c>
      <c r="B3532" s="1" t="s">
        <v>3193</v>
      </c>
      <c r="C3532" s="1" t="s">
        <v>8</v>
      </c>
      <c r="D3532" s="1">
        <v>3091492</v>
      </c>
      <c r="E3532" s="1">
        <v>3092187</v>
      </c>
      <c r="F3532" s="1" t="s">
        <v>13</v>
      </c>
      <c r="G3532" s="1" t="s">
        <v>11409</v>
      </c>
    </row>
    <row r="3533" spans="1:7" ht="21" x14ac:dyDescent="0.25">
      <c r="A3533" s="2" t="str">
        <f>HYPERLINK("https://rth.dk/resources/bsgatlas/details.php?id=BSGatlas-gene-3532","BSGatlas-gene-3532")</f>
        <v>BSGatlas-gene-3532</v>
      </c>
      <c r="B3533" s="1" t="s">
        <v>3194</v>
      </c>
      <c r="C3533" s="1" t="s">
        <v>8</v>
      </c>
      <c r="D3533" s="1">
        <v>3092184</v>
      </c>
      <c r="E3533" s="1">
        <v>3093353</v>
      </c>
      <c r="F3533" s="1" t="s">
        <v>13</v>
      </c>
      <c r="G3533" s="1" t="s">
        <v>11409</v>
      </c>
    </row>
    <row r="3534" spans="1:7" ht="21" x14ac:dyDescent="0.25">
      <c r="A3534" s="2" t="str">
        <f>HYPERLINK("https://rth.dk/resources/bsgatlas/details.php?id=BSGatlas-gene-3533","BSGatlas-gene-3533")</f>
        <v>BSGatlas-gene-3533</v>
      </c>
      <c r="B3534" s="1" t="s">
        <v>3195</v>
      </c>
      <c r="C3534" s="1" t="s">
        <v>8</v>
      </c>
      <c r="D3534" s="1">
        <v>3093343</v>
      </c>
      <c r="E3534" s="1">
        <v>3094689</v>
      </c>
      <c r="F3534" s="1" t="s">
        <v>13</v>
      </c>
      <c r="G3534" s="1" t="s">
        <v>11409</v>
      </c>
    </row>
    <row r="3535" spans="1:7" ht="21" x14ac:dyDescent="0.25">
      <c r="A3535" s="2" t="str">
        <f>HYPERLINK("https://rth.dk/resources/bsgatlas/details.php?id=BSGatlas-gene-3534","BSGatlas-gene-3534")</f>
        <v>BSGatlas-gene-3534</v>
      </c>
      <c r="B3535" s="1" t="s">
        <v>3196</v>
      </c>
      <c r="C3535" s="1" t="s">
        <v>8</v>
      </c>
      <c r="D3535" s="1">
        <v>3094679</v>
      </c>
      <c r="E3535" s="1">
        <v>3095455</v>
      </c>
      <c r="F3535" s="1" t="s">
        <v>13</v>
      </c>
      <c r="G3535" s="1" t="s">
        <v>11409</v>
      </c>
    </row>
    <row r="3536" spans="1:7" ht="21" x14ac:dyDescent="0.25">
      <c r="A3536" s="2" t="str">
        <f>HYPERLINK("https://rth.dk/resources/bsgatlas/details.php?id=BSGatlas-gene-3535","BSGatlas-gene-3535")</f>
        <v>BSGatlas-gene-3535</v>
      </c>
      <c r="B3536" s="1" t="s">
        <v>3197</v>
      </c>
      <c r="C3536" s="1" t="s">
        <v>8</v>
      </c>
      <c r="D3536" s="1">
        <v>3095665</v>
      </c>
      <c r="E3536" s="1">
        <v>3096564</v>
      </c>
      <c r="F3536" s="1" t="s">
        <v>13</v>
      </c>
      <c r="G3536" s="1" t="s">
        <v>11409</v>
      </c>
    </row>
    <row r="3537" spans="1:7" ht="21" x14ac:dyDescent="0.25">
      <c r="A3537" s="2" t="str">
        <f>HYPERLINK("https://rth.dk/resources/bsgatlas/details.php?id=BSGatlas-gene-3536","BSGatlas-gene-3536")</f>
        <v>BSGatlas-gene-3536</v>
      </c>
      <c r="B3537" s="1" t="s">
        <v>3198</v>
      </c>
      <c r="C3537" s="1" t="s">
        <v>8</v>
      </c>
      <c r="D3537" s="1">
        <v>3096782</v>
      </c>
      <c r="E3537" s="1">
        <v>3097816</v>
      </c>
      <c r="F3537" s="1" t="s">
        <v>9</v>
      </c>
      <c r="G3537" s="1" t="s">
        <v>11409</v>
      </c>
    </row>
    <row r="3538" spans="1:7" ht="21" x14ac:dyDescent="0.25">
      <c r="A3538" s="2" t="str">
        <f>HYPERLINK("https://rth.dk/resources/bsgatlas/details.php?id=BSGatlas-gene-3537","BSGatlas-gene-3537")</f>
        <v>BSGatlas-gene-3537</v>
      </c>
      <c r="B3538" s="1" t="s">
        <v>3199</v>
      </c>
      <c r="C3538" s="1" t="s">
        <v>8</v>
      </c>
      <c r="D3538" s="1">
        <v>3097850</v>
      </c>
      <c r="E3538" s="1">
        <v>3099130</v>
      </c>
      <c r="F3538" s="1" t="s">
        <v>9</v>
      </c>
      <c r="G3538" s="1" t="s">
        <v>11409</v>
      </c>
    </row>
    <row r="3539" spans="1:7" ht="21" x14ac:dyDescent="0.25">
      <c r="A3539" s="2" t="str">
        <f>HYPERLINK("https://rth.dk/resources/bsgatlas/details.php?id=BSGatlas-gene-3538","BSGatlas-gene-3538")</f>
        <v>BSGatlas-gene-3538</v>
      </c>
      <c r="B3539" s="1" t="s">
        <v>3200</v>
      </c>
      <c r="C3539" s="1" t="s">
        <v>8</v>
      </c>
      <c r="D3539" s="1">
        <v>3099123</v>
      </c>
      <c r="E3539" s="1">
        <v>3100034</v>
      </c>
      <c r="F3539" s="1" t="s">
        <v>9</v>
      </c>
      <c r="G3539" s="1" t="s">
        <v>11409</v>
      </c>
    </row>
    <row r="3540" spans="1:7" ht="21" x14ac:dyDescent="0.25">
      <c r="A3540" s="2" t="str">
        <f>HYPERLINK("https://rth.dk/resources/bsgatlas/details.php?id=BSGatlas-gene-3539","BSGatlas-gene-3539")</f>
        <v>BSGatlas-gene-3539</v>
      </c>
      <c r="B3540" s="1" t="s">
        <v>3201</v>
      </c>
      <c r="C3540" s="1" t="s">
        <v>8</v>
      </c>
      <c r="D3540" s="1">
        <v>3100031</v>
      </c>
      <c r="E3540" s="1">
        <v>3100861</v>
      </c>
      <c r="F3540" s="1" t="s">
        <v>9</v>
      </c>
      <c r="G3540" s="1" t="s">
        <v>11409</v>
      </c>
    </row>
    <row r="3541" spans="1:7" ht="21" x14ac:dyDescent="0.25">
      <c r="A3541" s="2" t="str">
        <f>HYPERLINK("https://rth.dk/resources/bsgatlas/details.php?id=BSGatlas-gene-3540","BSGatlas-gene-3540")</f>
        <v>BSGatlas-gene-3540</v>
      </c>
      <c r="B3541" s="1" t="s">
        <v>3202</v>
      </c>
      <c r="C3541" s="1" t="s">
        <v>8</v>
      </c>
      <c r="D3541" s="1">
        <v>3100881</v>
      </c>
      <c r="E3541" s="1">
        <v>3102179</v>
      </c>
      <c r="F3541" s="1" t="s">
        <v>9</v>
      </c>
      <c r="G3541" s="1" t="s">
        <v>11409</v>
      </c>
    </row>
    <row r="3542" spans="1:7" ht="21" x14ac:dyDescent="0.25">
      <c r="A3542" s="2" t="str">
        <f>HYPERLINK("https://rth.dk/resources/bsgatlas/details.php?id=BSGatlas-gene-3541","BSGatlas-gene-3541")</f>
        <v>BSGatlas-gene-3541</v>
      </c>
      <c r="B3542" s="1" t="s">
        <v>3203</v>
      </c>
      <c r="C3542" s="1" t="s">
        <v>8</v>
      </c>
      <c r="D3542" s="1">
        <v>3102201</v>
      </c>
      <c r="E3542" s="1">
        <v>3102512</v>
      </c>
      <c r="F3542" s="1" t="s">
        <v>13</v>
      </c>
      <c r="G3542" s="1" t="s">
        <v>11409</v>
      </c>
    </row>
    <row r="3543" spans="1:7" ht="21" x14ac:dyDescent="0.25">
      <c r="A3543" s="2" t="str">
        <f>HYPERLINK("https://rth.dk/resources/bsgatlas/details.php?id=BSGatlas-gene-3542","BSGatlas-gene-3542")</f>
        <v>BSGatlas-gene-3542</v>
      </c>
      <c r="B3543" s="1" t="s">
        <v>3204</v>
      </c>
      <c r="C3543" s="1" t="s">
        <v>8</v>
      </c>
      <c r="D3543" s="1">
        <v>3102629</v>
      </c>
      <c r="E3543" s="1">
        <v>3105043</v>
      </c>
      <c r="F3543" s="1" t="s">
        <v>13</v>
      </c>
      <c r="G3543" s="1" t="s">
        <v>11409</v>
      </c>
    </row>
    <row r="3544" spans="1:7" ht="21" x14ac:dyDescent="0.25">
      <c r="A3544" s="2" t="str">
        <f>HYPERLINK("https://rth.dk/resources/bsgatlas/details.php?id=BSGatlas-gene-3543","BSGatlas-gene-3543")</f>
        <v>BSGatlas-gene-3543</v>
      </c>
      <c r="B3544" s="1" t="s">
        <v>3205</v>
      </c>
      <c r="C3544" s="1" t="s">
        <v>34</v>
      </c>
      <c r="D3544" s="1">
        <v>3105152</v>
      </c>
      <c r="E3544" s="1">
        <v>3105367</v>
      </c>
      <c r="F3544" s="1" t="s">
        <v>13</v>
      </c>
      <c r="G3544" s="1" t="s">
        <v>11412</v>
      </c>
    </row>
    <row r="3545" spans="1:7" ht="21" x14ac:dyDescent="0.25">
      <c r="A3545" s="2" t="str">
        <f>HYPERLINK("https://rth.dk/resources/bsgatlas/details.php?id=BSGatlas-gene-3544","BSGatlas-gene-3544")</f>
        <v>BSGatlas-gene-3544</v>
      </c>
      <c r="B3545" s="1" t="s">
        <v>3206</v>
      </c>
      <c r="C3545" s="1" t="s">
        <v>12</v>
      </c>
      <c r="D3545" s="1">
        <v>3105438</v>
      </c>
      <c r="E3545" s="1">
        <v>3105878</v>
      </c>
      <c r="F3545" s="1" t="s">
        <v>9</v>
      </c>
      <c r="G3545" s="1" t="s">
        <v>11406</v>
      </c>
    </row>
    <row r="3546" spans="1:7" ht="21" x14ac:dyDescent="0.25">
      <c r="A3546" s="2" t="str">
        <f>HYPERLINK("https://rth.dk/resources/bsgatlas/details.php?id=BSGatlas-gene-3545","BSGatlas-gene-3545")</f>
        <v>BSGatlas-gene-3545</v>
      </c>
      <c r="B3546" s="1" t="s">
        <v>3207</v>
      </c>
      <c r="C3546" s="1" t="s">
        <v>8</v>
      </c>
      <c r="D3546" s="1">
        <v>3105470</v>
      </c>
      <c r="E3546" s="1">
        <v>3105805</v>
      </c>
      <c r="F3546" s="1" t="s">
        <v>13</v>
      </c>
      <c r="G3546" s="1" t="s">
        <v>11409</v>
      </c>
    </row>
    <row r="3547" spans="1:7" ht="21" x14ac:dyDescent="0.25">
      <c r="A3547" s="2" t="str">
        <f>HYPERLINK("https://rth.dk/resources/bsgatlas/details.php?id=BSGatlas-gene-3546","BSGatlas-gene-3546")</f>
        <v>BSGatlas-gene-3546</v>
      </c>
      <c r="B3547" s="1" t="s">
        <v>3208</v>
      </c>
      <c r="C3547" s="1" t="s">
        <v>8</v>
      </c>
      <c r="D3547" s="1">
        <v>3106210</v>
      </c>
      <c r="E3547" s="1">
        <v>3106995</v>
      </c>
      <c r="F3547" s="1" t="s">
        <v>9</v>
      </c>
      <c r="G3547" s="1" t="s">
        <v>11409</v>
      </c>
    </row>
    <row r="3548" spans="1:7" ht="21" x14ac:dyDescent="0.25">
      <c r="A3548" s="2" t="str">
        <f>HYPERLINK("https://rth.dk/resources/bsgatlas/details.php?id=BSGatlas-gene-3547","BSGatlas-gene-3547")</f>
        <v>BSGatlas-gene-3547</v>
      </c>
      <c r="B3548" s="1" t="s">
        <v>3209</v>
      </c>
      <c r="C3548" s="1" t="s">
        <v>8</v>
      </c>
      <c r="D3548" s="1">
        <v>3107232</v>
      </c>
      <c r="E3548" s="1">
        <v>3108425</v>
      </c>
      <c r="F3548" s="1" t="s">
        <v>13</v>
      </c>
      <c r="G3548" s="1" t="s">
        <v>11409</v>
      </c>
    </row>
    <row r="3549" spans="1:7" ht="21" x14ac:dyDescent="0.25">
      <c r="A3549" s="2" t="str">
        <f>HYPERLINK("https://rth.dk/resources/bsgatlas/details.php?id=BSGatlas-gene-3548","BSGatlas-gene-3548")</f>
        <v>BSGatlas-gene-3548</v>
      </c>
      <c r="B3549" s="1" t="s">
        <v>3210</v>
      </c>
      <c r="C3549" s="1" t="s">
        <v>8</v>
      </c>
      <c r="D3549" s="1">
        <v>3108614</v>
      </c>
      <c r="E3549" s="1">
        <v>3109360</v>
      </c>
      <c r="F3549" s="1" t="s">
        <v>9</v>
      </c>
      <c r="G3549" s="1" t="s">
        <v>11409</v>
      </c>
    </row>
    <row r="3550" spans="1:7" ht="21" x14ac:dyDescent="0.25">
      <c r="A3550" s="2" t="str">
        <f>HYPERLINK("https://rth.dk/resources/bsgatlas/details.php?id=BSGatlas-gene-3549","BSGatlas-gene-3549")</f>
        <v>BSGatlas-gene-3549</v>
      </c>
      <c r="B3550" s="1" t="s">
        <v>3211</v>
      </c>
      <c r="C3550" s="1" t="s">
        <v>8</v>
      </c>
      <c r="D3550" s="1">
        <v>3109397</v>
      </c>
      <c r="E3550" s="1">
        <v>3111337</v>
      </c>
      <c r="F3550" s="1" t="s">
        <v>13</v>
      </c>
      <c r="G3550" s="1" t="s">
        <v>11409</v>
      </c>
    </row>
    <row r="3551" spans="1:7" ht="21" x14ac:dyDescent="0.25">
      <c r="A3551" s="2" t="str">
        <f>HYPERLINK("https://rth.dk/resources/bsgatlas/details.php?id=BSGatlas-gene-3550","BSGatlas-gene-3550")</f>
        <v>BSGatlas-gene-3550</v>
      </c>
      <c r="B3551" s="1" t="s">
        <v>3212</v>
      </c>
      <c r="C3551" s="1" t="s">
        <v>8</v>
      </c>
      <c r="D3551" s="1">
        <v>3111327</v>
      </c>
      <c r="E3551" s="1">
        <v>3112088</v>
      </c>
      <c r="F3551" s="1" t="s">
        <v>13</v>
      </c>
      <c r="G3551" s="1" t="s">
        <v>11409</v>
      </c>
    </row>
    <row r="3552" spans="1:7" ht="21" x14ac:dyDescent="0.25">
      <c r="A3552" s="2" t="str">
        <f>HYPERLINK("https://rth.dk/resources/bsgatlas/details.php?id=BSGatlas-gene-3551","BSGatlas-gene-3551")</f>
        <v>BSGatlas-gene-3551</v>
      </c>
      <c r="B3552" s="1" t="s">
        <v>3213</v>
      </c>
      <c r="C3552" s="1" t="s">
        <v>8</v>
      </c>
      <c r="D3552" s="1">
        <v>3112190</v>
      </c>
      <c r="E3552" s="1">
        <v>3113194</v>
      </c>
      <c r="F3552" s="1" t="s">
        <v>13</v>
      </c>
      <c r="G3552" s="1" t="s">
        <v>11409</v>
      </c>
    </row>
    <row r="3553" spans="1:7" ht="21" x14ac:dyDescent="0.25">
      <c r="A3553" s="2" t="str">
        <f>HYPERLINK("https://rth.dk/resources/bsgatlas/details.php?id=BSGatlas-gene-3552","BSGatlas-gene-3552")</f>
        <v>BSGatlas-gene-3552</v>
      </c>
      <c r="B3553" s="1" t="s">
        <v>3214</v>
      </c>
      <c r="C3553" s="1" t="s">
        <v>8</v>
      </c>
      <c r="D3553" s="1">
        <v>3113187</v>
      </c>
      <c r="E3553" s="1">
        <v>3113882</v>
      </c>
      <c r="F3553" s="1" t="s">
        <v>13</v>
      </c>
      <c r="G3553" s="1" t="s">
        <v>11409</v>
      </c>
    </row>
    <row r="3554" spans="1:7" ht="21" x14ac:dyDescent="0.25">
      <c r="A3554" s="2" t="str">
        <f>HYPERLINK("https://rth.dk/resources/bsgatlas/details.php?id=BSGatlas-gene-3553","BSGatlas-gene-3553")</f>
        <v>BSGatlas-gene-3553</v>
      </c>
      <c r="B3554" s="1" t="s">
        <v>3215</v>
      </c>
      <c r="C3554" s="1" t="s">
        <v>8</v>
      </c>
      <c r="D3554" s="1">
        <v>3113979</v>
      </c>
      <c r="E3554" s="1">
        <v>3115289</v>
      </c>
      <c r="F3554" s="1" t="s">
        <v>13</v>
      </c>
      <c r="G3554" s="1" t="s">
        <v>11409</v>
      </c>
    </row>
    <row r="3555" spans="1:7" ht="21" x14ac:dyDescent="0.25">
      <c r="A3555" s="2" t="str">
        <f>HYPERLINK("https://rth.dk/resources/bsgatlas/details.php?id=BSGatlas-gene-3554","BSGatlas-gene-3554")</f>
        <v>BSGatlas-gene-3554</v>
      </c>
      <c r="B3555" s="1" t="s">
        <v>3216</v>
      </c>
      <c r="C3555" s="1" t="s">
        <v>8</v>
      </c>
      <c r="D3555" s="1">
        <v>3115279</v>
      </c>
      <c r="E3555" s="1">
        <v>3115974</v>
      </c>
      <c r="F3555" s="1" t="s">
        <v>13</v>
      </c>
      <c r="G3555" s="1" t="s">
        <v>11409</v>
      </c>
    </row>
    <row r="3556" spans="1:7" ht="21" x14ac:dyDescent="0.25">
      <c r="A3556" s="2" t="str">
        <f>HYPERLINK("https://rth.dk/resources/bsgatlas/details.php?id=BSGatlas-gene-3555","BSGatlas-gene-3555")</f>
        <v>BSGatlas-gene-3555</v>
      </c>
      <c r="B3556" s="1" t="s">
        <v>3217</v>
      </c>
      <c r="C3556" s="1" t="s">
        <v>8</v>
      </c>
      <c r="D3556" s="1">
        <v>3115989</v>
      </c>
      <c r="E3556" s="1">
        <v>3116966</v>
      </c>
      <c r="F3556" s="1" t="s">
        <v>13</v>
      </c>
      <c r="G3556" s="1" t="s">
        <v>11409</v>
      </c>
    </row>
    <row r="3557" spans="1:7" ht="21" x14ac:dyDescent="0.25">
      <c r="A3557" s="2" t="str">
        <f>HYPERLINK("https://rth.dk/resources/bsgatlas/details.php?id=BSGatlas-gene-3556","BSGatlas-gene-3556")</f>
        <v>BSGatlas-gene-3556</v>
      </c>
      <c r="B3557" s="1" t="s">
        <v>3218</v>
      </c>
      <c r="C3557" s="1" t="s">
        <v>8</v>
      </c>
      <c r="D3557" s="1">
        <v>3116996</v>
      </c>
      <c r="E3557" s="1">
        <v>3117982</v>
      </c>
      <c r="F3557" s="1" t="s">
        <v>13</v>
      </c>
      <c r="G3557" s="1" t="s">
        <v>11409</v>
      </c>
    </row>
    <row r="3558" spans="1:7" ht="21" x14ac:dyDescent="0.25">
      <c r="A3558" s="2" t="str">
        <f>HYPERLINK("https://rth.dk/resources/bsgatlas/details.php?id=BSGatlas-gene-3557","BSGatlas-gene-3557")</f>
        <v>BSGatlas-gene-3557</v>
      </c>
      <c r="B3558" s="1" t="s">
        <v>3219</v>
      </c>
      <c r="C3558" s="1" t="s">
        <v>8</v>
      </c>
      <c r="D3558" s="1">
        <v>3117976</v>
      </c>
      <c r="E3558" s="1">
        <v>3118854</v>
      </c>
      <c r="F3558" s="1" t="s">
        <v>13</v>
      </c>
      <c r="G3558" s="1" t="s">
        <v>11409</v>
      </c>
    </row>
    <row r="3559" spans="1:7" ht="21" x14ac:dyDescent="0.25">
      <c r="A3559" s="2" t="str">
        <f>HYPERLINK("https://rth.dk/resources/bsgatlas/details.php?id=BSGatlas-gene-3558","BSGatlas-gene-3558")</f>
        <v>BSGatlas-gene-3558</v>
      </c>
      <c r="B3559" s="1" t="s">
        <v>3220</v>
      </c>
      <c r="C3559" s="1" t="s">
        <v>8</v>
      </c>
      <c r="D3559" s="1">
        <v>3118847</v>
      </c>
      <c r="E3559" s="1">
        <v>3119239</v>
      </c>
      <c r="F3559" s="1" t="s">
        <v>13</v>
      </c>
      <c r="G3559" s="1" t="s">
        <v>11409</v>
      </c>
    </row>
    <row r="3560" spans="1:7" ht="21" x14ac:dyDescent="0.25">
      <c r="A3560" s="2" t="str">
        <f>HYPERLINK("https://rth.dk/resources/bsgatlas/details.php?id=BSGatlas-gene-3559","BSGatlas-gene-3559")</f>
        <v>BSGatlas-gene-3559</v>
      </c>
      <c r="B3560" s="1" t="s">
        <v>318</v>
      </c>
      <c r="C3560" s="1" t="s">
        <v>8</v>
      </c>
      <c r="D3560" s="1">
        <v>3119273</v>
      </c>
      <c r="E3560" s="1">
        <v>3119410</v>
      </c>
      <c r="F3560" s="1" t="s">
        <v>13</v>
      </c>
      <c r="G3560" s="1" t="s">
        <v>11409</v>
      </c>
    </row>
    <row r="3561" spans="1:7" ht="21" x14ac:dyDescent="0.25">
      <c r="A3561" s="2" t="str">
        <f>HYPERLINK("https://rth.dk/resources/bsgatlas/details.php?id=BSGatlas-gene-3560","BSGatlas-gene-3560")</f>
        <v>BSGatlas-gene-3560</v>
      </c>
      <c r="B3561" s="1" t="s">
        <v>3221</v>
      </c>
      <c r="C3561" s="1" t="s">
        <v>8</v>
      </c>
      <c r="D3561" s="1">
        <v>3119565</v>
      </c>
      <c r="E3561" s="1">
        <v>3119837</v>
      </c>
      <c r="F3561" s="1" t="s">
        <v>13</v>
      </c>
      <c r="G3561" s="1" t="s">
        <v>11409</v>
      </c>
    </row>
    <row r="3562" spans="1:7" ht="21" x14ac:dyDescent="0.25">
      <c r="A3562" s="2" t="str">
        <f>HYPERLINK("https://rth.dk/resources/bsgatlas/details.php?id=BSGatlas-gene-3561","BSGatlas-gene-3561")</f>
        <v>BSGatlas-gene-3561</v>
      </c>
      <c r="B3562" s="1" t="s">
        <v>3222</v>
      </c>
      <c r="C3562" s="1" t="s">
        <v>8</v>
      </c>
      <c r="D3562" s="1">
        <v>3119999</v>
      </c>
      <c r="E3562" s="1">
        <v>3120967</v>
      </c>
      <c r="F3562" s="1" t="s">
        <v>9</v>
      </c>
      <c r="G3562" s="1" t="s">
        <v>11409</v>
      </c>
    </row>
    <row r="3563" spans="1:7" ht="21" x14ac:dyDescent="0.25">
      <c r="A3563" s="2" t="str">
        <f>HYPERLINK("https://rth.dk/resources/bsgatlas/details.php?id=BSGatlas-gene-3562","BSGatlas-gene-3562")</f>
        <v>BSGatlas-gene-3562</v>
      </c>
      <c r="B3563" s="1" t="s">
        <v>3223</v>
      </c>
      <c r="C3563" s="1" t="s">
        <v>8</v>
      </c>
      <c r="D3563" s="1">
        <v>3120964</v>
      </c>
      <c r="E3563" s="1">
        <v>3121548</v>
      </c>
      <c r="F3563" s="1" t="s">
        <v>9</v>
      </c>
      <c r="G3563" s="1" t="s">
        <v>11409</v>
      </c>
    </row>
    <row r="3564" spans="1:7" ht="21" x14ac:dyDescent="0.25">
      <c r="A3564" s="2" t="str">
        <f>HYPERLINK("https://rth.dk/resources/bsgatlas/details.php?id=BSGatlas-gene-3563","BSGatlas-gene-3563")</f>
        <v>BSGatlas-gene-3563</v>
      </c>
      <c r="B3564" s="1" t="s">
        <v>3224</v>
      </c>
      <c r="C3564" s="1" t="s">
        <v>8</v>
      </c>
      <c r="D3564" s="1">
        <v>3121538</v>
      </c>
      <c r="E3564" s="1">
        <v>3122641</v>
      </c>
      <c r="F3564" s="1" t="s">
        <v>13</v>
      </c>
      <c r="G3564" s="1" t="s">
        <v>11409</v>
      </c>
    </row>
    <row r="3565" spans="1:7" ht="21" x14ac:dyDescent="0.25">
      <c r="A3565" s="2" t="str">
        <f>HYPERLINK("https://rth.dk/resources/bsgatlas/details.php?id=BSGatlas-gene-3564","BSGatlas-gene-3564")</f>
        <v>BSGatlas-gene-3564</v>
      </c>
      <c r="B3565" s="1" t="s">
        <v>3225</v>
      </c>
      <c r="C3565" s="1" t="s">
        <v>8</v>
      </c>
      <c r="D3565" s="1">
        <v>3122662</v>
      </c>
      <c r="E3565" s="1">
        <v>3123441</v>
      </c>
      <c r="F3565" s="1" t="s">
        <v>13</v>
      </c>
      <c r="G3565" s="1" t="s">
        <v>11409</v>
      </c>
    </row>
    <row r="3566" spans="1:7" ht="21" x14ac:dyDescent="0.25">
      <c r="A3566" s="2" t="str">
        <f>HYPERLINK("https://rth.dk/resources/bsgatlas/details.php?id=BSGatlas-gene-3565","BSGatlas-gene-3565")</f>
        <v>BSGatlas-gene-3565</v>
      </c>
      <c r="B3566" s="1" t="s">
        <v>3226</v>
      </c>
      <c r="C3566" s="1" t="s">
        <v>8</v>
      </c>
      <c r="D3566" s="1">
        <v>3123490</v>
      </c>
      <c r="E3566" s="1">
        <v>3124005</v>
      </c>
      <c r="F3566" s="1" t="s">
        <v>9</v>
      </c>
      <c r="G3566" s="1" t="s">
        <v>11409</v>
      </c>
    </row>
    <row r="3567" spans="1:7" ht="21" x14ac:dyDescent="0.25">
      <c r="A3567" s="2" t="str">
        <f>HYPERLINK("https://rth.dk/resources/bsgatlas/details.php?id=BSGatlas-gene-3566","BSGatlas-gene-3566")</f>
        <v>BSGatlas-gene-3566</v>
      </c>
      <c r="B3567" s="1" t="s">
        <v>3227</v>
      </c>
      <c r="C3567" s="1" t="s">
        <v>8</v>
      </c>
      <c r="D3567" s="1">
        <v>3124250</v>
      </c>
      <c r="E3567" s="1">
        <v>3125641</v>
      </c>
      <c r="F3567" s="1" t="s">
        <v>13</v>
      </c>
      <c r="G3567" s="1" t="s">
        <v>11409</v>
      </c>
    </row>
    <row r="3568" spans="1:7" ht="21" x14ac:dyDescent="0.25">
      <c r="A3568" s="2" t="str">
        <f>HYPERLINK("https://rth.dk/resources/bsgatlas/details.php?id=BSGatlas-gene-3567","BSGatlas-gene-3567")</f>
        <v>BSGatlas-gene-3567</v>
      </c>
      <c r="B3568" s="1" t="s">
        <v>3228</v>
      </c>
      <c r="C3568" s="1" t="s">
        <v>8</v>
      </c>
      <c r="D3568" s="1">
        <v>3125777</v>
      </c>
      <c r="E3568" s="1">
        <v>3127675</v>
      </c>
      <c r="F3568" s="1" t="s">
        <v>13</v>
      </c>
      <c r="G3568" s="1" t="s">
        <v>11409</v>
      </c>
    </row>
    <row r="3569" spans="1:7" ht="21" x14ac:dyDescent="0.25">
      <c r="A3569" s="2" t="str">
        <f>HYPERLINK("https://rth.dk/resources/bsgatlas/details.php?id=BSGatlas-gene-3568","BSGatlas-gene-3568")</f>
        <v>BSGatlas-gene-3568</v>
      </c>
      <c r="B3569" s="1" t="s">
        <v>3229</v>
      </c>
      <c r="C3569" s="1" t="s">
        <v>8</v>
      </c>
      <c r="D3569" s="1">
        <v>3127825</v>
      </c>
      <c r="E3569" s="1">
        <v>3129027</v>
      </c>
      <c r="F3569" s="1" t="s">
        <v>13</v>
      </c>
      <c r="G3569" s="1" t="s">
        <v>11409</v>
      </c>
    </row>
    <row r="3570" spans="1:7" ht="21" x14ac:dyDescent="0.25">
      <c r="A3570" s="2" t="str">
        <f>HYPERLINK("https://rth.dk/resources/bsgatlas/details.php?id=BSGatlas-gene-3569","BSGatlas-gene-3569")</f>
        <v>BSGatlas-gene-3569</v>
      </c>
      <c r="B3570" s="1" t="s">
        <v>11713</v>
      </c>
      <c r="C3570" s="1" t="s">
        <v>34</v>
      </c>
      <c r="D3570" s="1">
        <v>3129194</v>
      </c>
      <c r="E3570" s="1">
        <v>3129333</v>
      </c>
      <c r="F3570" s="1" t="s">
        <v>13</v>
      </c>
      <c r="G3570" s="1" t="s">
        <v>11412</v>
      </c>
    </row>
    <row r="3571" spans="1:7" ht="21" x14ac:dyDescent="0.25">
      <c r="A3571" s="2" t="str">
        <f>HYPERLINK("https://rth.dk/resources/bsgatlas/details.php?id=BSGatlas-gene-3570","BSGatlas-gene-3570")</f>
        <v>BSGatlas-gene-3570</v>
      </c>
      <c r="B3571" s="1" t="s">
        <v>3230</v>
      </c>
      <c r="C3571" s="1" t="s">
        <v>8</v>
      </c>
      <c r="D3571" s="1">
        <v>3129530</v>
      </c>
      <c r="E3571" s="1">
        <v>3131113</v>
      </c>
      <c r="F3571" s="1" t="s">
        <v>9</v>
      </c>
      <c r="G3571" s="1" t="s">
        <v>11409</v>
      </c>
    </row>
    <row r="3572" spans="1:7" ht="21" x14ac:dyDescent="0.25">
      <c r="A3572" s="2" t="str">
        <f>HYPERLINK("https://rth.dk/resources/bsgatlas/details.php?id=BSGatlas-gene-3571","BSGatlas-gene-3571")</f>
        <v>BSGatlas-gene-3571</v>
      </c>
      <c r="B3572" s="1" t="s">
        <v>3231</v>
      </c>
      <c r="C3572" s="1" t="s">
        <v>8</v>
      </c>
      <c r="D3572" s="1">
        <v>3131152</v>
      </c>
      <c r="E3572" s="1">
        <v>3131394</v>
      </c>
      <c r="F3572" s="1" t="s">
        <v>13</v>
      </c>
      <c r="G3572" s="1" t="s">
        <v>11409</v>
      </c>
    </row>
    <row r="3573" spans="1:7" ht="21" x14ac:dyDescent="0.25">
      <c r="A3573" s="2" t="str">
        <f>HYPERLINK("https://rth.dk/resources/bsgatlas/details.php?id=BSGatlas-gene-3572","BSGatlas-gene-3572")</f>
        <v>BSGatlas-gene-3572</v>
      </c>
      <c r="B3573" s="1" t="s">
        <v>3232</v>
      </c>
      <c r="C3573" s="1" t="s">
        <v>8</v>
      </c>
      <c r="D3573" s="1">
        <v>3131446</v>
      </c>
      <c r="E3573" s="1">
        <v>3132219</v>
      </c>
      <c r="F3573" s="1" t="s">
        <v>13</v>
      </c>
      <c r="G3573" s="1" t="s">
        <v>11409</v>
      </c>
    </row>
    <row r="3574" spans="1:7" ht="21" x14ac:dyDescent="0.25">
      <c r="A3574" s="2" t="str">
        <f>HYPERLINK("https://rth.dk/resources/bsgatlas/details.php?id=BSGatlas-gene-3573","BSGatlas-gene-3573")</f>
        <v>BSGatlas-gene-3573</v>
      </c>
      <c r="B3574" s="1" t="s">
        <v>3233</v>
      </c>
      <c r="C3574" s="1" t="s">
        <v>8</v>
      </c>
      <c r="D3574" s="1">
        <v>3132370</v>
      </c>
      <c r="E3574" s="1">
        <v>3133374</v>
      </c>
      <c r="F3574" s="1" t="s">
        <v>9</v>
      </c>
      <c r="G3574" s="1" t="s">
        <v>11409</v>
      </c>
    </row>
    <row r="3575" spans="1:7" ht="21" x14ac:dyDescent="0.25">
      <c r="A3575" s="2" t="str">
        <f>HYPERLINK("https://rth.dk/resources/bsgatlas/details.php?id=BSGatlas-gene-3574","BSGatlas-gene-3574")</f>
        <v>BSGatlas-gene-3574</v>
      </c>
      <c r="B3575" s="1" t="s">
        <v>3234</v>
      </c>
      <c r="C3575" s="1" t="s">
        <v>8</v>
      </c>
      <c r="D3575" s="1">
        <v>3133387</v>
      </c>
      <c r="E3575" s="1">
        <v>3134169</v>
      </c>
      <c r="F3575" s="1" t="s">
        <v>9</v>
      </c>
      <c r="G3575" s="1" t="s">
        <v>11409</v>
      </c>
    </row>
    <row r="3576" spans="1:7" ht="21" x14ac:dyDescent="0.25">
      <c r="A3576" s="2" t="str">
        <f>HYPERLINK("https://rth.dk/resources/bsgatlas/details.php?id=BSGatlas-gene-3575","BSGatlas-gene-3575")</f>
        <v>BSGatlas-gene-3575</v>
      </c>
      <c r="B3576" s="1" t="s">
        <v>3235</v>
      </c>
      <c r="C3576" s="1" t="s">
        <v>8</v>
      </c>
      <c r="D3576" s="1">
        <v>3134144</v>
      </c>
      <c r="E3576" s="1">
        <v>3134956</v>
      </c>
      <c r="F3576" s="1" t="s">
        <v>9</v>
      </c>
      <c r="G3576" s="1" t="s">
        <v>11409</v>
      </c>
    </row>
    <row r="3577" spans="1:7" ht="21" x14ac:dyDescent="0.25">
      <c r="A3577" s="2" t="str">
        <f>HYPERLINK("https://rth.dk/resources/bsgatlas/details.php?id=BSGatlas-gene-3576","BSGatlas-gene-3576")</f>
        <v>BSGatlas-gene-3576</v>
      </c>
      <c r="B3577" s="1" t="s">
        <v>3236</v>
      </c>
      <c r="C3577" s="1" t="s">
        <v>8</v>
      </c>
      <c r="D3577" s="1">
        <v>3134983</v>
      </c>
      <c r="E3577" s="1">
        <v>3135459</v>
      </c>
      <c r="F3577" s="1" t="s">
        <v>13</v>
      </c>
      <c r="G3577" s="1" t="s">
        <v>11409</v>
      </c>
    </row>
    <row r="3578" spans="1:7" ht="21" x14ac:dyDescent="0.25">
      <c r="A3578" s="2" t="str">
        <f>HYPERLINK("https://rth.dk/resources/bsgatlas/details.php?id=BSGatlas-gene-3577","BSGatlas-gene-3577")</f>
        <v>BSGatlas-gene-3577</v>
      </c>
      <c r="B3578" s="1" t="s">
        <v>3237</v>
      </c>
      <c r="C3578" s="1" t="s">
        <v>8</v>
      </c>
      <c r="D3578" s="1">
        <v>3135668</v>
      </c>
      <c r="E3578" s="1">
        <v>3136072</v>
      </c>
      <c r="F3578" s="1" t="s">
        <v>13</v>
      </c>
      <c r="G3578" s="1" t="s">
        <v>11409</v>
      </c>
    </row>
    <row r="3579" spans="1:7" ht="21" x14ac:dyDescent="0.25">
      <c r="A3579" s="2" t="str">
        <f>HYPERLINK("https://rth.dk/resources/bsgatlas/details.php?id=BSGatlas-gene-3578","BSGatlas-gene-3578")</f>
        <v>BSGatlas-gene-3578</v>
      </c>
      <c r="B3579" s="1" t="s">
        <v>3238</v>
      </c>
      <c r="C3579" s="1" t="s">
        <v>8</v>
      </c>
      <c r="D3579" s="1">
        <v>3136238</v>
      </c>
      <c r="E3579" s="1">
        <v>3136675</v>
      </c>
      <c r="F3579" s="1" t="s">
        <v>13</v>
      </c>
      <c r="G3579" s="1" t="s">
        <v>11409</v>
      </c>
    </row>
    <row r="3580" spans="1:7" ht="21" x14ac:dyDescent="0.25">
      <c r="A3580" s="2" t="str">
        <f>HYPERLINK("https://rth.dk/resources/bsgatlas/details.php?id=BSGatlas-gene-3579","BSGatlas-gene-3579")</f>
        <v>BSGatlas-gene-3579</v>
      </c>
      <c r="B3580" s="1" t="s">
        <v>3240</v>
      </c>
      <c r="C3580" s="1" t="s">
        <v>8</v>
      </c>
      <c r="D3580" s="1">
        <v>3136768</v>
      </c>
      <c r="E3580" s="1">
        <v>3136944</v>
      </c>
      <c r="F3580" s="1" t="s">
        <v>9</v>
      </c>
      <c r="G3580" s="1" t="s">
        <v>11409</v>
      </c>
    </row>
    <row r="3581" spans="1:7" ht="21" x14ac:dyDescent="0.25">
      <c r="A3581" s="2" t="str">
        <f>HYPERLINK("https://rth.dk/resources/bsgatlas/details.php?id=BSGatlas-gene-3580","BSGatlas-gene-3580")</f>
        <v>BSGatlas-gene-3580</v>
      </c>
      <c r="B3581" s="1" t="s">
        <v>3239</v>
      </c>
      <c r="C3581" s="1" t="s">
        <v>8</v>
      </c>
      <c r="D3581" s="1">
        <v>3136938</v>
      </c>
      <c r="E3581" s="1">
        <v>3137375</v>
      </c>
      <c r="F3581" s="1" t="s">
        <v>13</v>
      </c>
      <c r="G3581" s="1" t="s">
        <v>11409</v>
      </c>
    </row>
    <row r="3582" spans="1:7" ht="21" x14ac:dyDescent="0.25">
      <c r="A3582" s="2" t="str">
        <f>HYPERLINK("https://rth.dk/resources/bsgatlas/details.php?id=BSGatlas-gene-3581","BSGatlas-gene-3581")</f>
        <v>BSGatlas-gene-3581</v>
      </c>
      <c r="B3582" s="1" t="s">
        <v>3241</v>
      </c>
      <c r="C3582" s="1" t="s">
        <v>8</v>
      </c>
      <c r="D3582" s="1">
        <v>3137495</v>
      </c>
      <c r="E3582" s="1">
        <v>3137968</v>
      </c>
      <c r="F3582" s="1" t="s">
        <v>13</v>
      </c>
      <c r="G3582" s="1" t="s">
        <v>11409</v>
      </c>
    </row>
    <row r="3583" spans="1:7" ht="21" x14ac:dyDescent="0.25">
      <c r="A3583" s="2" t="str">
        <f>HYPERLINK("https://rth.dk/resources/bsgatlas/details.php?id=BSGatlas-gene-3582","BSGatlas-gene-3582")</f>
        <v>BSGatlas-gene-3582</v>
      </c>
      <c r="B3583" s="1" t="s">
        <v>3243</v>
      </c>
      <c r="C3583" s="1" t="s">
        <v>8</v>
      </c>
      <c r="D3583" s="1">
        <v>3138097</v>
      </c>
      <c r="E3583" s="1">
        <v>3138324</v>
      </c>
      <c r="F3583" s="1" t="s">
        <v>9</v>
      </c>
      <c r="G3583" s="1" t="s">
        <v>11409</v>
      </c>
    </row>
    <row r="3584" spans="1:7" ht="21" x14ac:dyDescent="0.25">
      <c r="A3584" s="2" t="str">
        <f>HYPERLINK("https://rth.dk/resources/bsgatlas/details.php?id=BSGatlas-gene-3583","BSGatlas-gene-3583")</f>
        <v>BSGatlas-gene-3583</v>
      </c>
      <c r="B3584" s="1" t="s">
        <v>3242</v>
      </c>
      <c r="C3584" s="1" t="s">
        <v>8</v>
      </c>
      <c r="D3584" s="1">
        <v>3138321</v>
      </c>
      <c r="E3584" s="1">
        <v>3138884</v>
      </c>
      <c r="F3584" s="1" t="s">
        <v>13</v>
      </c>
      <c r="G3584" s="1" t="s">
        <v>11409</v>
      </c>
    </row>
    <row r="3585" spans="1:7" ht="21" x14ac:dyDescent="0.25">
      <c r="A3585" s="2" t="str">
        <f>HYPERLINK("https://rth.dk/resources/bsgatlas/details.php?id=BSGatlas-gene-3584","BSGatlas-gene-3584")</f>
        <v>BSGatlas-gene-3584</v>
      </c>
      <c r="B3585" s="1" t="s">
        <v>3244</v>
      </c>
      <c r="C3585" s="1" t="s">
        <v>8</v>
      </c>
      <c r="D3585" s="1">
        <v>3138978</v>
      </c>
      <c r="E3585" s="1">
        <v>3139226</v>
      </c>
      <c r="F3585" s="1" t="s">
        <v>13</v>
      </c>
      <c r="G3585" s="1" t="s">
        <v>11409</v>
      </c>
    </row>
    <row r="3586" spans="1:7" ht="21" x14ac:dyDescent="0.25">
      <c r="A3586" s="2" t="str">
        <f>HYPERLINK("https://rth.dk/resources/bsgatlas/details.php?id=BSGatlas-gene-3585","BSGatlas-gene-3585")</f>
        <v>BSGatlas-gene-3585</v>
      </c>
      <c r="B3586" s="1" t="s">
        <v>3245</v>
      </c>
      <c r="C3586" s="1" t="s">
        <v>8</v>
      </c>
      <c r="D3586" s="1">
        <v>3139431</v>
      </c>
      <c r="E3586" s="1">
        <v>3140762</v>
      </c>
      <c r="F3586" s="1" t="s">
        <v>9</v>
      </c>
      <c r="G3586" s="1" t="s">
        <v>11409</v>
      </c>
    </row>
    <row r="3587" spans="1:7" ht="21" x14ac:dyDescent="0.25">
      <c r="A3587" s="2" t="str">
        <f>HYPERLINK("https://rth.dk/resources/bsgatlas/details.php?id=BSGatlas-gene-3586","BSGatlas-gene-3586")</f>
        <v>BSGatlas-gene-3586</v>
      </c>
      <c r="B3587" s="1" t="s">
        <v>3246</v>
      </c>
      <c r="C3587" s="1" t="s">
        <v>8</v>
      </c>
      <c r="D3587" s="1">
        <v>3140806</v>
      </c>
      <c r="E3587" s="1">
        <v>3141846</v>
      </c>
      <c r="F3587" s="1" t="s">
        <v>9</v>
      </c>
      <c r="G3587" s="1" t="s">
        <v>11409</v>
      </c>
    </row>
    <row r="3588" spans="1:7" ht="21" x14ac:dyDescent="0.25">
      <c r="A3588" s="2" t="str">
        <f>HYPERLINK("https://rth.dk/resources/bsgatlas/details.php?id=BSGatlas-gene-3587","BSGatlas-gene-3587")</f>
        <v>BSGatlas-gene-3587</v>
      </c>
      <c r="B3588" s="1" t="s">
        <v>3247</v>
      </c>
      <c r="C3588" s="1" t="s">
        <v>8</v>
      </c>
      <c r="D3588" s="1">
        <v>3141900</v>
      </c>
      <c r="E3588" s="1">
        <v>3142058</v>
      </c>
      <c r="F3588" s="1" t="s">
        <v>9</v>
      </c>
      <c r="G3588" s="1" t="s">
        <v>11409</v>
      </c>
    </row>
    <row r="3589" spans="1:7" ht="21" x14ac:dyDescent="0.25">
      <c r="A3589" s="2" t="str">
        <f>HYPERLINK("https://rth.dk/resources/bsgatlas/details.php?id=BSGatlas-gene-3588","BSGatlas-gene-3588")</f>
        <v>BSGatlas-gene-3588</v>
      </c>
      <c r="B3589" s="1" t="s">
        <v>3248</v>
      </c>
      <c r="C3589" s="1" t="s">
        <v>8</v>
      </c>
      <c r="D3589" s="1">
        <v>3142077</v>
      </c>
      <c r="E3589" s="1">
        <v>3142964</v>
      </c>
      <c r="F3589" s="1" t="s">
        <v>13</v>
      </c>
      <c r="G3589" s="1" t="s">
        <v>11409</v>
      </c>
    </row>
    <row r="3590" spans="1:7" ht="21" x14ac:dyDescent="0.25">
      <c r="A3590" s="2" t="str">
        <f>HYPERLINK("https://rth.dk/resources/bsgatlas/details.php?id=BSGatlas-gene-3589","BSGatlas-gene-3589")</f>
        <v>BSGatlas-gene-3589</v>
      </c>
      <c r="B3590" s="1" t="s">
        <v>3249</v>
      </c>
      <c r="C3590" s="1" t="s">
        <v>8</v>
      </c>
      <c r="D3590" s="1">
        <v>3142954</v>
      </c>
      <c r="E3590" s="1">
        <v>3144261</v>
      </c>
      <c r="F3590" s="1" t="s">
        <v>13</v>
      </c>
      <c r="G3590" s="1" t="s">
        <v>11409</v>
      </c>
    </row>
    <row r="3591" spans="1:7" ht="21" x14ac:dyDescent="0.25">
      <c r="A3591" s="2" t="str">
        <f>HYPERLINK("https://rth.dk/resources/bsgatlas/details.php?id=BSGatlas-gene-3590","BSGatlas-gene-3590")</f>
        <v>BSGatlas-gene-3590</v>
      </c>
      <c r="B3591" s="1" t="s">
        <v>3250</v>
      </c>
      <c r="C3591" s="1" t="s">
        <v>8</v>
      </c>
      <c r="D3591" s="1">
        <v>3144267</v>
      </c>
      <c r="E3591" s="1">
        <v>3145019</v>
      </c>
      <c r="F3591" s="1" t="s">
        <v>13</v>
      </c>
      <c r="G3591" s="1" t="s">
        <v>11409</v>
      </c>
    </row>
    <row r="3592" spans="1:7" ht="21" x14ac:dyDescent="0.25">
      <c r="A3592" s="2" t="str">
        <f>HYPERLINK("https://rth.dk/resources/bsgatlas/details.php?id=BSGatlas-gene-3591","BSGatlas-gene-3591")</f>
        <v>BSGatlas-gene-3591</v>
      </c>
      <c r="B3592" s="1" t="s">
        <v>3251</v>
      </c>
      <c r="C3592" s="1" t="s">
        <v>8</v>
      </c>
      <c r="D3592" s="1">
        <v>3145038</v>
      </c>
      <c r="E3592" s="1">
        <v>3145958</v>
      </c>
      <c r="F3592" s="1" t="s">
        <v>13</v>
      </c>
      <c r="G3592" s="1" t="s">
        <v>11409</v>
      </c>
    </row>
    <row r="3593" spans="1:7" ht="21" x14ac:dyDescent="0.25">
      <c r="A3593" s="2" t="str">
        <f>HYPERLINK("https://rth.dk/resources/bsgatlas/details.php?id=BSGatlas-gene-3592","BSGatlas-gene-3592")</f>
        <v>BSGatlas-gene-3592</v>
      </c>
      <c r="B3593" s="1" t="s">
        <v>3252</v>
      </c>
      <c r="C3593" s="1" t="s">
        <v>12</v>
      </c>
      <c r="D3593" s="1">
        <v>3146126</v>
      </c>
      <c r="E3593" s="1">
        <v>3146183</v>
      </c>
      <c r="F3593" s="1" t="s">
        <v>13</v>
      </c>
      <c r="G3593" s="1" t="s">
        <v>11442</v>
      </c>
    </row>
    <row r="3594" spans="1:7" ht="21" x14ac:dyDescent="0.25">
      <c r="A3594" s="2" t="str">
        <f>HYPERLINK("https://rth.dk/resources/bsgatlas/details.php?id=BSGatlas-gene-3593","BSGatlas-gene-3593")</f>
        <v>BSGatlas-gene-3593</v>
      </c>
      <c r="B3594" s="1" t="s">
        <v>3253</v>
      </c>
      <c r="C3594" s="1" t="s">
        <v>8</v>
      </c>
      <c r="D3594" s="1">
        <v>3146238</v>
      </c>
      <c r="E3594" s="1">
        <v>3147353</v>
      </c>
      <c r="F3594" s="1" t="s">
        <v>13</v>
      </c>
      <c r="G3594" s="1" t="s">
        <v>11409</v>
      </c>
    </row>
    <row r="3595" spans="1:7" ht="21" x14ac:dyDescent="0.25">
      <c r="A3595" s="2" t="str">
        <f>HYPERLINK("https://rth.dk/resources/bsgatlas/details.php?id=BSGatlas-gene-3594","BSGatlas-gene-3594")</f>
        <v>BSGatlas-gene-3594</v>
      </c>
      <c r="B3595" s="1" t="s">
        <v>3254</v>
      </c>
      <c r="C3595" s="1" t="s">
        <v>8</v>
      </c>
      <c r="D3595" s="1">
        <v>3147350</v>
      </c>
      <c r="E3595" s="1">
        <v>3148810</v>
      </c>
      <c r="F3595" s="1" t="s">
        <v>13</v>
      </c>
      <c r="G3595" s="1" t="s">
        <v>11409</v>
      </c>
    </row>
    <row r="3596" spans="1:7" ht="21" x14ac:dyDescent="0.25">
      <c r="A3596" s="2" t="str">
        <f>HYPERLINK("https://rth.dk/resources/bsgatlas/details.php?id=BSGatlas-gene-3595","BSGatlas-gene-3595")</f>
        <v>BSGatlas-gene-3595</v>
      </c>
      <c r="B3596" s="1" t="s">
        <v>3255</v>
      </c>
      <c r="C3596" s="1" t="s">
        <v>8</v>
      </c>
      <c r="D3596" s="1">
        <v>3148901</v>
      </c>
      <c r="E3596" s="1">
        <v>3149716</v>
      </c>
      <c r="F3596" s="1" t="s">
        <v>13</v>
      </c>
      <c r="G3596" s="1" t="s">
        <v>11409</v>
      </c>
    </row>
    <row r="3597" spans="1:7" ht="21" x14ac:dyDescent="0.25">
      <c r="A3597" s="2" t="str">
        <f>HYPERLINK("https://rth.dk/resources/bsgatlas/details.php?id=BSGatlas-gene-3596","BSGatlas-gene-3596")</f>
        <v>BSGatlas-gene-3596</v>
      </c>
      <c r="B3597" s="1" t="s">
        <v>3256</v>
      </c>
      <c r="C3597" s="1" t="s">
        <v>8</v>
      </c>
      <c r="D3597" s="1">
        <v>3149751</v>
      </c>
      <c r="E3597" s="1">
        <v>3150575</v>
      </c>
      <c r="F3597" s="1" t="s">
        <v>13</v>
      </c>
      <c r="G3597" s="1" t="s">
        <v>11409</v>
      </c>
    </row>
    <row r="3598" spans="1:7" ht="21" x14ac:dyDescent="0.25">
      <c r="A3598" s="2" t="str">
        <f>HYPERLINK("https://rth.dk/resources/bsgatlas/details.php?id=BSGatlas-gene-3597","BSGatlas-gene-3597")</f>
        <v>BSGatlas-gene-3597</v>
      </c>
      <c r="B3598" s="1" t="s">
        <v>3257</v>
      </c>
      <c r="C3598" s="1" t="s">
        <v>8</v>
      </c>
      <c r="D3598" s="1">
        <v>3150563</v>
      </c>
      <c r="E3598" s="1">
        <v>3152305</v>
      </c>
      <c r="F3598" s="1" t="s">
        <v>13</v>
      </c>
      <c r="G3598" s="1" t="s">
        <v>11409</v>
      </c>
    </row>
    <row r="3599" spans="1:7" ht="21" x14ac:dyDescent="0.25">
      <c r="A3599" s="2" t="str">
        <f>HYPERLINK("https://rth.dk/resources/bsgatlas/details.php?id=BSGatlas-gene-3598","BSGatlas-gene-3598")</f>
        <v>BSGatlas-gene-3598</v>
      </c>
      <c r="B3599" s="1" t="s">
        <v>3258</v>
      </c>
      <c r="C3599" s="1" t="s">
        <v>8</v>
      </c>
      <c r="D3599" s="1">
        <v>3152302</v>
      </c>
      <c r="E3599" s="1">
        <v>3153717</v>
      </c>
      <c r="F3599" s="1" t="s">
        <v>13</v>
      </c>
      <c r="G3599" s="1" t="s">
        <v>11409</v>
      </c>
    </row>
    <row r="3600" spans="1:7" ht="21" x14ac:dyDescent="0.25">
      <c r="A3600" s="2" t="str">
        <f>HYPERLINK("https://rth.dk/resources/bsgatlas/details.php?id=BSGatlas-gene-3599","BSGatlas-gene-3599")</f>
        <v>BSGatlas-gene-3599</v>
      </c>
      <c r="B3600" s="1" t="s">
        <v>3259</v>
      </c>
      <c r="C3600" s="1" t="s">
        <v>8</v>
      </c>
      <c r="D3600" s="1">
        <v>3154007</v>
      </c>
      <c r="E3600" s="1">
        <v>3154726</v>
      </c>
      <c r="F3600" s="1" t="s">
        <v>9</v>
      </c>
      <c r="G3600" s="1" t="s">
        <v>11409</v>
      </c>
    </row>
    <row r="3601" spans="1:7" ht="21" x14ac:dyDescent="0.25">
      <c r="A3601" s="2" t="str">
        <f>HYPERLINK("https://rth.dk/resources/bsgatlas/details.php?id=BSGatlas-gene-3600","BSGatlas-gene-3600")</f>
        <v>BSGatlas-gene-3600</v>
      </c>
      <c r="B3601" s="1" t="s">
        <v>3260</v>
      </c>
      <c r="C3601" s="1" t="s">
        <v>8</v>
      </c>
      <c r="D3601" s="1">
        <v>3154735</v>
      </c>
      <c r="E3601" s="1">
        <v>3155553</v>
      </c>
      <c r="F3601" s="1" t="s">
        <v>13</v>
      </c>
      <c r="G3601" s="1" t="s">
        <v>11409</v>
      </c>
    </row>
    <row r="3602" spans="1:7" ht="21" x14ac:dyDescent="0.25">
      <c r="A3602" s="2" t="str">
        <f>HYPERLINK("https://rth.dk/resources/bsgatlas/details.php?id=BSGatlas-gene-3601","BSGatlas-gene-3601")</f>
        <v>BSGatlas-gene-3601</v>
      </c>
      <c r="B3602" s="1" t="s">
        <v>3261</v>
      </c>
      <c r="C3602" s="1" t="s">
        <v>8</v>
      </c>
      <c r="D3602" s="1">
        <v>3155725</v>
      </c>
      <c r="E3602" s="1">
        <v>3157011</v>
      </c>
      <c r="F3602" s="1" t="s">
        <v>9</v>
      </c>
      <c r="G3602" s="1" t="s">
        <v>11409</v>
      </c>
    </row>
    <row r="3603" spans="1:7" ht="21" x14ac:dyDescent="0.25">
      <c r="A3603" s="2" t="str">
        <f>HYPERLINK("https://rth.dk/resources/bsgatlas/details.php?id=BSGatlas-gene-3602","BSGatlas-gene-3602")</f>
        <v>BSGatlas-gene-3602</v>
      </c>
      <c r="B3603" s="1" t="s">
        <v>3262</v>
      </c>
      <c r="C3603" s="1" t="s">
        <v>8</v>
      </c>
      <c r="D3603" s="1">
        <v>3157008</v>
      </c>
      <c r="E3603" s="1">
        <v>3157958</v>
      </c>
      <c r="F3603" s="1" t="s">
        <v>9</v>
      </c>
      <c r="G3603" s="1" t="s">
        <v>11409</v>
      </c>
    </row>
    <row r="3604" spans="1:7" ht="21" x14ac:dyDescent="0.25">
      <c r="A3604" s="2" t="str">
        <f>HYPERLINK("https://rth.dk/resources/bsgatlas/details.php?id=BSGatlas-gene-3603","BSGatlas-gene-3603")</f>
        <v>BSGatlas-gene-3603</v>
      </c>
      <c r="B3604" s="1" t="s">
        <v>3263</v>
      </c>
      <c r="C3604" s="1" t="s">
        <v>8</v>
      </c>
      <c r="D3604" s="1">
        <v>3157961</v>
      </c>
      <c r="E3604" s="1">
        <v>3159184</v>
      </c>
      <c r="F3604" s="1" t="s">
        <v>9</v>
      </c>
      <c r="G3604" s="1" t="s">
        <v>11409</v>
      </c>
    </row>
    <row r="3605" spans="1:7" ht="21" x14ac:dyDescent="0.25">
      <c r="A3605" s="2" t="str">
        <f>HYPERLINK("https://rth.dk/resources/bsgatlas/details.php?id=BSGatlas-gene-3604","BSGatlas-gene-3604")</f>
        <v>BSGatlas-gene-3604</v>
      </c>
      <c r="B3605" s="1" t="s">
        <v>3264</v>
      </c>
      <c r="C3605" s="1" t="s">
        <v>8</v>
      </c>
      <c r="D3605" s="1">
        <v>3159258</v>
      </c>
      <c r="E3605" s="1">
        <v>3159689</v>
      </c>
      <c r="F3605" s="1" t="s">
        <v>13</v>
      </c>
      <c r="G3605" s="1" t="s">
        <v>11409</v>
      </c>
    </row>
    <row r="3606" spans="1:7" ht="21" x14ac:dyDescent="0.25">
      <c r="A3606" s="2" t="str">
        <f>HYPERLINK("https://rth.dk/resources/bsgatlas/details.php?id=BSGatlas-gene-3605","BSGatlas-gene-3605")</f>
        <v>BSGatlas-gene-3605</v>
      </c>
      <c r="B3606" s="1" t="s">
        <v>3265</v>
      </c>
      <c r="C3606" s="1" t="s">
        <v>8</v>
      </c>
      <c r="D3606" s="1">
        <v>3159691</v>
      </c>
      <c r="E3606" s="1">
        <v>3160746</v>
      </c>
      <c r="F3606" s="1" t="s">
        <v>13</v>
      </c>
      <c r="G3606" s="1" t="s">
        <v>11409</v>
      </c>
    </row>
    <row r="3607" spans="1:7" ht="21" x14ac:dyDescent="0.25">
      <c r="A3607" s="2" t="str">
        <f>HYPERLINK("https://rth.dk/resources/bsgatlas/details.php?id=BSGatlas-gene-3606","BSGatlas-gene-3606")</f>
        <v>BSGatlas-gene-3606</v>
      </c>
      <c r="B3607" s="1" t="s">
        <v>3266</v>
      </c>
      <c r="C3607" s="1" t="s">
        <v>8</v>
      </c>
      <c r="D3607" s="1">
        <v>3160761</v>
      </c>
      <c r="E3607" s="1">
        <v>3161894</v>
      </c>
      <c r="F3607" s="1" t="s">
        <v>13</v>
      </c>
      <c r="G3607" s="1" t="s">
        <v>11409</v>
      </c>
    </row>
    <row r="3608" spans="1:7" ht="21" x14ac:dyDescent="0.25">
      <c r="A3608" s="2" t="str">
        <f>HYPERLINK("https://rth.dk/resources/bsgatlas/details.php?id=BSGatlas-gene-3607","BSGatlas-gene-3607")</f>
        <v>BSGatlas-gene-3607</v>
      </c>
      <c r="B3608" s="1" t="s">
        <v>3267</v>
      </c>
      <c r="C3608" s="1" t="s">
        <v>8</v>
      </c>
      <c r="D3608" s="1">
        <v>3162084</v>
      </c>
      <c r="E3608" s="1">
        <v>3163157</v>
      </c>
      <c r="F3608" s="1" t="s">
        <v>9</v>
      </c>
      <c r="G3608" s="1" t="s">
        <v>11409</v>
      </c>
    </row>
    <row r="3609" spans="1:7" ht="21" x14ac:dyDescent="0.25">
      <c r="A3609" s="2" t="str">
        <f>HYPERLINK("https://rth.dk/resources/bsgatlas/details.php?id=BSGatlas-gene-3608","BSGatlas-gene-3608")</f>
        <v>BSGatlas-gene-3608</v>
      </c>
      <c r="B3609" s="1" t="s">
        <v>3268</v>
      </c>
      <c r="C3609" s="1" t="s">
        <v>8</v>
      </c>
      <c r="D3609" s="1">
        <v>3163237</v>
      </c>
      <c r="E3609" s="1">
        <v>3163704</v>
      </c>
      <c r="F3609" s="1" t="s">
        <v>9</v>
      </c>
      <c r="G3609" s="1" t="s">
        <v>11409</v>
      </c>
    </row>
    <row r="3610" spans="1:7" ht="21" x14ac:dyDescent="0.25">
      <c r="A3610" s="2" t="str">
        <f>HYPERLINK("https://rth.dk/resources/bsgatlas/details.php?id=BSGatlas-gene-3609","BSGatlas-gene-3609")</f>
        <v>BSGatlas-gene-3609</v>
      </c>
      <c r="B3610" s="1" t="s">
        <v>3269</v>
      </c>
      <c r="C3610" s="1" t="s">
        <v>8</v>
      </c>
      <c r="D3610" s="1">
        <v>3163735</v>
      </c>
      <c r="E3610" s="1">
        <v>3166131</v>
      </c>
      <c r="F3610" s="1" t="s">
        <v>13</v>
      </c>
      <c r="G3610" s="1" t="s">
        <v>11409</v>
      </c>
    </row>
    <row r="3611" spans="1:7" ht="21" x14ac:dyDescent="0.25">
      <c r="A3611" s="2" t="str">
        <f>HYPERLINK("https://rth.dk/resources/bsgatlas/details.php?id=BSGatlas-gene-3610","BSGatlas-gene-3610")</f>
        <v>BSGatlas-gene-3610</v>
      </c>
      <c r="B3611" s="1" t="s">
        <v>3270</v>
      </c>
      <c r="C3611" s="1" t="s">
        <v>8</v>
      </c>
      <c r="D3611" s="1">
        <v>3166118</v>
      </c>
      <c r="E3611" s="1">
        <v>3167572</v>
      </c>
      <c r="F3611" s="1" t="s">
        <v>13</v>
      </c>
      <c r="G3611" s="1" t="s">
        <v>11409</v>
      </c>
    </row>
    <row r="3612" spans="1:7" ht="21" x14ac:dyDescent="0.25">
      <c r="A3612" s="2" t="str">
        <f>HYPERLINK("https://rth.dk/resources/bsgatlas/details.php?id=BSGatlas-gene-3611","BSGatlas-gene-3611")</f>
        <v>BSGatlas-gene-3611</v>
      </c>
      <c r="B3612" s="1" t="s">
        <v>3271</v>
      </c>
      <c r="C3612" s="1" t="s">
        <v>8</v>
      </c>
      <c r="D3612" s="1">
        <v>3167569</v>
      </c>
      <c r="E3612" s="1">
        <v>3168600</v>
      </c>
      <c r="F3612" s="1" t="s">
        <v>13</v>
      </c>
      <c r="G3612" s="1" t="s">
        <v>11409</v>
      </c>
    </row>
    <row r="3613" spans="1:7" ht="21" x14ac:dyDescent="0.25">
      <c r="A3613" s="2" t="str">
        <f>HYPERLINK("https://rth.dk/resources/bsgatlas/details.php?id=BSGatlas-gene-3612","BSGatlas-gene-3612")</f>
        <v>BSGatlas-gene-3612</v>
      </c>
      <c r="B3613" s="1" t="s">
        <v>3272</v>
      </c>
      <c r="C3613" s="1" t="s">
        <v>8</v>
      </c>
      <c r="D3613" s="1">
        <v>3168624</v>
      </c>
      <c r="E3613" s="1">
        <v>3169766</v>
      </c>
      <c r="F3613" s="1" t="s">
        <v>13</v>
      </c>
      <c r="G3613" s="1" t="s">
        <v>11409</v>
      </c>
    </row>
    <row r="3614" spans="1:7" ht="21" x14ac:dyDescent="0.25">
      <c r="A3614" s="2" t="str">
        <f>HYPERLINK("https://rth.dk/resources/bsgatlas/details.php?id=BSGatlas-gene-3613","BSGatlas-gene-3613")</f>
        <v>BSGatlas-gene-3613</v>
      </c>
      <c r="B3614" s="1" t="s">
        <v>3273</v>
      </c>
      <c r="C3614" s="1" t="s">
        <v>8</v>
      </c>
      <c r="D3614" s="1">
        <v>3169763</v>
      </c>
      <c r="E3614" s="1">
        <v>3171646</v>
      </c>
      <c r="F3614" s="1" t="s">
        <v>13</v>
      </c>
      <c r="G3614" s="1" t="s">
        <v>11409</v>
      </c>
    </row>
    <row r="3615" spans="1:7" ht="21" x14ac:dyDescent="0.25">
      <c r="A3615" s="2" t="str">
        <f>HYPERLINK("https://rth.dk/resources/bsgatlas/details.php?id=BSGatlas-gene-3614","BSGatlas-gene-3614")</f>
        <v>BSGatlas-gene-3614</v>
      </c>
      <c r="B3615" s="1" t="s">
        <v>11714</v>
      </c>
      <c r="C3615" s="1" t="s">
        <v>12</v>
      </c>
      <c r="D3615" s="1">
        <v>3170472</v>
      </c>
      <c r="E3615" s="1">
        <v>3171891</v>
      </c>
      <c r="F3615" s="1" t="s">
        <v>9</v>
      </c>
      <c r="G3615" s="1" t="s">
        <v>11406</v>
      </c>
    </row>
    <row r="3616" spans="1:7" ht="21" x14ac:dyDescent="0.25">
      <c r="A3616" s="2" t="str">
        <f>HYPERLINK("https://rth.dk/resources/bsgatlas/details.php?id=BSGatlas-gene-3615","BSGatlas-gene-3615")</f>
        <v>BSGatlas-gene-3615</v>
      </c>
      <c r="B3616" s="1" t="s">
        <v>3274</v>
      </c>
      <c r="C3616" s="1" t="s">
        <v>23</v>
      </c>
      <c r="D3616" s="1">
        <v>3171878</v>
      </c>
      <c r="E3616" s="1">
        <v>3171950</v>
      </c>
      <c r="F3616" s="1" t="s">
        <v>13</v>
      </c>
      <c r="G3616" s="1" t="s">
        <v>11411</v>
      </c>
    </row>
    <row r="3617" spans="1:7" ht="21" x14ac:dyDescent="0.25">
      <c r="A3617" s="2" t="str">
        <f>HYPERLINK("https://rth.dk/resources/bsgatlas/details.php?id=BSGatlas-gene-3616","BSGatlas-gene-3616")</f>
        <v>BSGatlas-gene-3616</v>
      </c>
      <c r="B3617" s="1" t="s">
        <v>3275</v>
      </c>
      <c r="C3617" s="1" t="s">
        <v>23</v>
      </c>
      <c r="D3617" s="1">
        <v>3171976</v>
      </c>
      <c r="E3617" s="1">
        <v>3172066</v>
      </c>
      <c r="F3617" s="1" t="s">
        <v>13</v>
      </c>
      <c r="G3617" s="1" t="s">
        <v>11411</v>
      </c>
    </row>
    <row r="3618" spans="1:7" ht="21" x14ac:dyDescent="0.25">
      <c r="A3618" s="2" t="str">
        <f>HYPERLINK("https://rth.dk/resources/bsgatlas/details.php?id=BSGatlas-gene-3617","BSGatlas-gene-3617")</f>
        <v>BSGatlas-gene-3617</v>
      </c>
      <c r="B3618" s="1" t="s">
        <v>3276</v>
      </c>
      <c r="C3618" s="1" t="s">
        <v>23</v>
      </c>
      <c r="D3618" s="1">
        <v>3172070</v>
      </c>
      <c r="E3618" s="1">
        <v>3172144</v>
      </c>
      <c r="F3618" s="1" t="s">
        <v>13</v>
      </c>
      <c r="G3618" s="1" t="s">
        <v>11411</v>
      </c>
    </row>
    <row r="3619" spans="1:7" ht="21" x14ac:dyDescent="0.25">
      <c r="A3619" s="2" t="str">
        <f>HYPERLINK("https://rth.dk/resources/bsgatlas/details.php?id=BSGatlas-gene-3618","BSGatlas-gene-3618")</f>
        <v>BSGatlas-gene-3618</v>
      </c>
      <c r="B3619" s="1" t="s">
        <v>3277</v>
      </c>
      <c r="C3619" s="1" t="s">
        <v>23</v>
      </c>
      <c r="D3619" s="1">
        <v>3172155</v>
      </c>
      <c r="E3619" s="1">
        <v>3172231</v>
      </c>
      <c r="F3619" s="1" t="s">
        <v>13</v>
      </c>
      <c r="G3619" s="1" t="s">
        <v>11411</v>
      </c>
    </row>
    <row r="3620" spans="1:7" ht="21" x14ac:dyDescent="0.25">
      <c r="A3620" s="2" t="str">
        <f>HYPERLINK("https://rth.dk/resources/bsgatlas/details.php?id=BSGatlas-gene-3619","BSGatlas-gene-3619")</f>
        <v>BSGatlas-gene-3619</v>
      </c>
      <c r="B3620" s="1" t="s">
        <v>3278</v>
      </c>
      <c r="C3620" s="1" t="s">
        <v>23</v>
      </c>
      <c r="D3620" s="1">
        <v>3172247</v>
      </c>
      <c r="E3620" s="1">
        <v>3172320</v>
      </c>
      <c r="F3620" s="1" t="s">
        <v>13</v>
      </c>
      <c r="G3620" s="1" t="s">
        <v>11411</v>
      </c>
    </row>
    <row r="3621" spans="1:7" ht="21" x14ac:dyDescent="0.25">
      <c r="A3621" s="2" t="str">
        <f>HYPERLINK("https://rth.dk/resources/bsgatlas/details.php?id=BSGatlas-gene-3620","BSGatlas-gene-3620")</f>
        <v>BSGatlas-gene-3620</v>
      </c>
      <c r="B3621" s="1" t="s">
        <v>3279</v>
      </c>
      <c r="C3621" s="1" t="s">
        <v>23</v>
      </c>
      <c r="D3621" s="1">
        <v>3172331</v>
      </c>
      <c r="E3621" s="1">
        <v>3172406</v>
      </c>
      <c r="F3621" s="1" t="s">
        <v>13</v>
      </c>
      <c r="G3621" s="1" t="s">
        <v>11411</v>
      </c>
    </row>
    <row r="3622" spans="1:7" ht="21" x14ac:dyDescent="0.25">
      <c r="A3622" s="2" t="str">
        <f>HYPERLINK("https://rth.dk/resources/bsgatlas/details.php?id=BSGatlas-gene-3621","BSGatlas-gene-3621")</f>
        <v>BSGatlas-gene-3621</v>
      </c>
      <c r="B3622" s="1" t="s">
        <v>3280</v>
      </c>
      <c r="C3622" s="1" t="s">
        <v>23</v>
      </c>
      <c r="D3622" s="1">
        <v>3172424</v>
      </c>
      <c r="E3622" s="1">
        <v>3172499</v>
      </c>
      <c r="F3622" s="1" t="s">
        <v>13</v>
      </c>
      <c r="G3622" s="1" t="s">
        <v>11411</v>
      </c>
    </row>
    <row r="3623" spans="1:7" ht="21" x14ac:dyDescent="0.25">
      <c r="A3623" s="2" t="str">
        <f>HYPERLINK("https://rth.dk/resources/bsgatlas/details.php?id=BSGatlas-gene-3622","BSGatlas-gene-3622")</f>
        <v>BSGatlas-gene-3622</v>
      </c>
      <c r="B3623" s="1" t="s">
        <v>3281</v>
      </c>
      <c r="C3623" s="1" t="s">
        <v>23</v>
      </c>
      <c r="D3623" s="1">
        <v>3172512</v>
      </c>
      <c r="E3623" s="1">
        <v>3172588</v>
      </c>
      <c r="F3623" s="1" t="s">
        <v>13</v>
      </c>
      <c r="G3623" s="1" t="s">
        <v>11411</v>
      </c>
    </row>
    <row r="3624" spans="1:7" ht="21" x14ac:dyDescent="0.25">
      <c r="A3624" s="2" t="str">
        <f>HYPERLINK("https://rth.dk/resources/bsgatlas/details.php?id=BSGatlas-gene-3623","BSGatlas-gene-3623")</f>
        <v>BSGatlas-gene-3623</v>
      </c>
      <c r="B3624" s="1" t="s">
        <v>3282</v>
      </c>
      <c r="C3624" s="1" t="s">
        <v>23</v>
      </c>
      <c r="D3624" s="1">
        <v>3172600</v>
      </c>
      <c r="E3624" s="1">
        <v>3172676</v>
      </c>
      <c r="F3624" s="1" t="s">
        <v>13</v>
      </c>
      <c r="G3624" s="1" t="s">
        <v>11411</v>
      </c>
    </row>
    <row r="3625" spans="1:7" ht="21" x14ac:dyDescent="0.25">
      <c r="A3625" s="2" t="str">
        <f>HYPERLINK("https://rth.dk/resources/bsgatlas/details.php?id=BSGatlas-gene-3624","BSGatlas-gene-3624")</f>
        <v>BSGatlas-gene-3624</v>
      </c>
      <c r="B3625" s="1" t="s">
        <v>3283</v>
      </c>
      <c r="C3625" s="1" t="s">
        <v>23</v>
      </c>
      <c r="D3625" s="1">
        <v>3172694</v>
      </c>
      <c r="E3625" s="1">
        <v>3172786</v>
      </c>
      <c r="F3625" s="1" t="s">
        <v>13</v>
      </c>
      <c r="G3625" s="1" t="s">
        <v>11411</v>
      </c>
    </row>
    <row r="3626" spans="1:7" ht="21" x14ac:dyDescent="0.25">
      <c r="A3626" s="2" t="str">
        <f>HYPERLINK("https://rth.dk/resources/bsgatlas/details.php?id=BSGatlas-gene-3625","BSGatlas-gene-3625")</f>
        <v>BSGatlas-gene-3625</v>
      </c>
      <c r="B3626" s="1" t="s">
        <v>3284</v>
      </c>
      <c r="C3626" s="1" t="s">
        <v>23</v>
      </c>
      <c r="D3626" s="1">
        <v>3172793</v>
      </c>
      <c r="E3626" s="1">
        <v>3172869</v>
      </c>
      <c r="F3626" s="1" t="s">
        <v>13</v>
      </c>
      <c r="G3626" s="1" t="s">
        <v>11411</v>
      </c>
    </row>
    <row r="3627" spans="1:7" ht="21" x14ac:dyDescent="0.25">
      <c r="A3627" s="2" t="str">
        <f>HYPERLINK("https://rth.dk/resources/bsgatlas/details.php?id=BSGatlas-gene-3626","BSGatlas-gene-3626")</f>
        <v>BSGatlas-gene-3626</v>
      </c>
      <c r="B3627" s="1" t="s">
        <v>3285</v>
      </c>
      <c r="C3627" s="1" t="s">
        <v>23</v>
      </c>
      <c r="D3627" s="1">
        <v>3172872</v>
      </c>
      <c r="E3627" s="1">
        <v>3172948</v>
      </c>
      <c r="F3627" s="1" t="s">
        <v>13</v>
      </c>
      <c r="G3627" s="1" t="s">
        <v>11411</v>
      </c>
    </row>
    <row r="3628" spans="1:7" ht="21" x14ac:dyDescent="0.25">
      <c r="A3628" s="2" t="str">
        <f>HYPERLINK("https://rth.dk/resources/bsgatlas/details.php?id=BSGatlas-gene-3627","BSGatlas-gene-3627")</f>
        <v>BSGatlas-gene-3627</v>
      </c>
      <c r="B3628" s="1" t="s">
        <v>3286</v>
      </c>
      <c r="C3628" s="1" t="s">
        <v>23</v>
      </c>
      <c r="D3628" s="1">
        <v>3172967</v>
      </c>
      <c r="E3628" s="1">
        <v>3173040</v>
      </c>
      <c r="F3628" s="1" t="s">
        <v>13</v>
      </c>
      <c r="G3628" s="1" t="s">
        <v>11411</v>
      </c>
    </row>
    <row r="3629" spans="1:7" ht="21" x14ac:dyDescent="0.25">
      <c r="A3629" s="2" t="str">
        <f>HYPERLINK("https://rth.dk/resources/bsgatlas/details.php?id=BSGatlas-gene-3628","BSGatlas-gene-3628")</f>
        <v>BSGatlas-gene-3628</v>
      </c>
      <c r="B3629" s="1" t="s">
        <v>3287</v>
      </c>
      <c r="C3629" s="1" t="s">
        <v>23</v>
      </c>
      <c r="D3629" s="1">
        <v>3173046</v>
      </c>
      <c r="E3629" s="1">
        <v>3173122</v>
      </c>
      <c r="F3629" s="1" t="s">
        <v>13</v>
      </c>
      <c r="G3629" s="1" t="s">
        <v>11411</v>
      </c>
    </row>
    <row r="3630" spans="1:7" ht="21" x14ac:dyDescent="0.25">
      <c r="A3630" s="2" t="str">
        <f>HYPERLINK("https://rth.dk/resources/bsgatlas/details.php?id=BSGatlas-gene-3629","BSGatlas-gene-3629")</f>
        <v>BSGatlas-gene-3629</v>
      </c>
      <c r="B3630" s="1" t="s">
        <v>3288</v>
      </c>
      <c r="C3630" s="1" t="s">
        <v>23</v>
      </c>
      <c r="D3630" s="1">
        <v>3173138</v>
      </c>
      <c r="E3630" s="1">
        <v>3173214</v>
      </c>
      <c r="F3630" s="1" t="s">
        <v>13</v>
      </c>
      <c r="G3630" s="1" t="s">
        <v>11411</v>
      </c>
    </row>
    <row r="3631" spans="1:7" ht="21" x14ac:dyDescent="0.25">
      <c r="A3631" s="2" t="str">
        <f>HYPERLINK("https://rth.dk/resources/bsgatlas/details.php?id=BSGatlas-gene-3630","BSGatlas-gene-3630")</f>
        <v>BSGatlas-gene-3630</v>
      </c>
      <c r="B3631" s="1" t="s">
        <v>3289</v>
      </c>
      <c r="C3631" s="1" t="s">
        <v>23</v>
      </c>
      <c r="D3631" s="1">
        <v>3173223</v>
      </c>
      <c r="E3631" s="1">
        <v>3173309</v>
      </c>
      <c r="F3631" s="1" t="s">
        <v>13</v>
      </c>
      <c r="G3631" s="1" t="s">
        <v>11411</v>
      </c>
    </row>
    <row r="3632" spans="1:7" ht="21" x14ac:dyDescent="0.25">
      <c r="A3632" s="2" t="str">
        <f>HYPERLINK("https://rth.dk/resources/bsgatlas/details.php?id=BSGatlas-gene-3631","BSGatlas-gene-3631")</f>
        <v>BSGatlas-gene-3631</v>
      </c>
      <c r="B3632" s="1" t="s">
        <v>3290</v>
      </c>
      <c r="C3632" s="1" t="s">
        <v>23</v>
      </c>
      <c r="D3632" s="1">
        <v>3173324</v>
      </c>
      <c r="E3632" s="1">
        <v>3173398</v>
      </c>
      <c r="F3632" s="1" t="s">
        <v>13</v>
      </c>
      <c r="G3632" s="1" t="s">
        <v>11411</v>
      </c>
    </row>
    <row r="3633" spans="1:7" ht="21" x14ac:dyDescent="0.25">
      <c r="A3633" s="2" t="str">
        <f>HYPERLINK("https://rth.dk/resources/bsgatlas/details.php?id=BSGatlas-gene-3632","BSGatlas-gene-3632")</f>
        <v>BSGatlas-gene-3632</v>
      </c>
      <c r="B3633" s="1" t="s">
        <v>3291</v>
      </c>
      <c r="C3633" s="1" t="s">
        <v>23</v>
      </c>
      <c r="D3633" s="1">
        <v>3173404</v>
      </c>
      <c r="E3633" s="1">
        <v>3173490</v>
      </c>
      <c r="F3633" s="1" t="s">
        <v>13</v>
      </c>
      <c r="G3633" s="1" t="s">
        <v>11411</v>
      </c>
    </row>
    <row r="3634" spans="1:7" ht="21" x14ac:dyDescent="0.25">
      <c r="A3634" s="2" t="str">
        <f>HYPERLINK("https://rth.dk/resources/bsgatlas/details.php?id=BSGatlas-gene-3633","BSGatlas-gene-3633")</f>
        <v>BSGatlas-gene-3633</v>
      </c>
      <c r="B3634" s="1" t="s">
        <v>3292</v>
      </c>
      <c r="C3634" s="1" t="s">
        <v>23</v>
      </c>
      <c r="D3634" s="1">
        <v>3173501</v>
      </c>
      <c r="E3634" s="1">
        <v>3173576</v>
      </c>
      <c r="F3634" s="1" t="s">
        <v>13</v>
      </c>
      <c r="G3634" s="1" t="s">
        <v>11411</v>
      </c>
    </row>
    <row r="3635" spans="1:7" ht="21" x14ac:dyDescent="0.25">
      <c r="A3635" s="2" t="str">
        <f>HYPERLINK("https://rth.dk/resources/bsgatlas/details.php?id=BSGatlas-gene-3634","BSGatlas-gene-3634")</f>
        <v>BSGatlas-gene-3634</v>
      </c>
      <c r="B3635" s="1" t="s">
        <v>3293</v>
      </c>
      <c r="C3635" s="1" t="s">
        <v>23</v>
      </c>
      <c r="D3635" s="1">
        <v>3173614</v>
      </c>
      <c r="E3635" s="1">
        <v>3173689</v>
      </c>
      <c r="F3635" s="1" t="s">
        <v>13</v>
      </c>
      <c r="G3635" s="1" t="s">
        <v>11411</v>
      </c>
    </row>
    <row r="3636" spans="1:7" ht="21" x14ac:dyDescent="0.25">
      <c r="A3636" s="2" t="str">
        <f>HYPERLINK("https://rth.dk/resources/bsgatlas/details.php?id=BSGatlas-gene-3635","BSGatlas-gene-3635")</f>
        <v>BSGatlas-gene-3635</v>
      </c>
      <c r="B3636" s="1" t="s">
        <v>3294</v>
      </c>
      <c r="C3636" s="1" t="s">
        <v>23</v>
      </c>
      <c r="D3636" s="1">
        <v>3173722</v>
      </c>
      <c r="E3636" s="1">
        <v>3173797</v>
      </c>
      <c r="F3636" s="1" t="s">
        <v>13</v>
      </c>
      <c r="G3636" s="1" t="s">
        <v>11411</v>
      </c>
    </row>
    <row r="3637" spans="1:7" ht="21" x14ac:dyDescent="0.25">
      <c r="A3637" s="2" t="str">
        <f>HYPERLINK("https://rth.dk/resources/bsgatlas/details.php?id=BSGatlas-gene-3636","BSGatlas-gene-3636")</f>
        <v>BSGatlas-gene-3636</v>
      </c>
      <c r="B3637" s="1" t="s">
        <v>3295</v>
      </c>
      <c r="C3637" s="1" t="s">
        <v>21</v>
      </c>
      <c r="D3637" s="1">
        <v>3173818</v>
      </c>
      <c r="E3637" s="1">
        <v>3173935</v>
      </c>
      <c r="F3637" s="1" t="s">
        <v>13</v>
      </c>
      <c r="G3637" s="1" t="s">
        <v>11411</v>
      </c>
    </row>
    <row r="3638" spans="1:7" ht="21" x14ac:dyDescent="0.25">
      <c r="A3638" s="2" t="str">
        <f>HYPERLINK("https://rth.dk/resources/bsgatlas/details.php?id=BSGatlas-gene-3637","BSGatlas-gene-3637")</f>
        <v>BSGatlas-gene-3637</v>
      </c>
      <c r="B3638" s="1" t="s">
        <v>3296</v>
      </c>
      <c r="C3638" s="1" t="s">
        <v>21</v>
      </c>
      <c r="D3638" s="1">
        <v>3173984</v>
      </c>
      <c r="E3638" s="1">
        <v>3176918</v>
      </c>
      <c r="F3638" s="1" t="s">
        <v>13</v>
      </c>
      <c r="G3638" s="1" t="s">
        <v>11411</v>
      </c>
    </row>
    <row r="3639" spans="1:7" ht="21" x14ac:dyDescent="0.25">
      <c r="A3639" s="2" t="str">
        <f>HYPERLINK("https://rth.dk/resources/bsgatlas/details.php?id=BSGatlas-gene-3638","BSGatlas-gene-3638")</f>
        <v>BSGatlas-gene-3638</v>
      </c>
      <c r="B3639" s="1" t="s">
        <v>3297</v>
      </c>
      <c r="C3639" s="1" t="s">
        <v>21</v>
      </c>
      <c r="D3639" s="1">
        <v>3177086</v>
      </c>
      <c r="E3639" s="1">
        <v>3178640</v>
      </c>
      <c r="F3639" s="1" t="s">
        <v>13</v>
      </c>
      <c r="G3639" s="1" t="s">
        <v>11411</v>
      </c>
    </row>
    <row r="3640" spans="1:7" ht="21" x14ac:dyDescent="0.25">
      <c r="A3640" s="2" t="str">
        <f>HYPERLINK("https://rth.dk/resources/bsgatlas/details.php?id=BSGatlas-gene-3639","BSGatlas-gene-3639")</f>
        <v>BSGatlas-gene-3639</v>
      </c>
      <c r="B3640" s="1" t="s">
        <v>54</v>
      </c>
      <c r="C3640" s="1" t="s">
        <v>55</v>
      </c>
      <c r="D3640" s="1">
        <v>3178634</v>
      </c>
      <c r="E3640" s="1">
        <v>3178701</v>
      </c>
      <c r="F3640" s="1" t="s">
        <v>9</v>
      </c>
      <c r="G3640" s="1" t="s">
        <v>11410</v>
      </c>
    </row>
    <row r="3641" spans="1:7" ht="21" x14ac:dyDescent="0.25">
      <c r="A3641" s="2" t="str">
        <f>HYPERLINK("https://rth.dk/resources/bsgatlas/details.php?id=BSGatlas-gene-3640","BSGatlas-gene-3640")</f>
        <v>BSGatlas-gene-3640</v>
      </c>
      <c r="B3641" s="1" t="s">
        <v>3299</v>
      </c>
      <c r="C3641" s="1" t="s">
        <v>34</v>
      </c>
      <c r="D3641" s="1">
        <v>3179104</v>
      </c>
      <c r="E3641" s="1">
        <v>3179206</v>
      </c>
      <c r="F3641" s="1" t="s">
        <v>9</v>
      </c>
      <c r="G3641" s="1" t="s">
        <v>11412</v>
      </c>
    </row>
    <row r="3642" spans="1:7" ht="21" x14ac:dyDescent="0.25">
      <c r="A3642" s="2" t="str">
        <f>HYPERLINK("https://rth.dk/resources/bsgatlas/details.php?id=BSGatlas-gene-3641","BSGatlas-gene-3641")</f>
        <v>BSGatlas-gene-3641</v>
      </c>
      <c r="B3642" s="1" t="s">
        <v>3298</v>
      </c>
      <c r="C3642" s="1" t="s">
        <v>8</v>
      </c>
      <c r="D3642" s="1">
        <v>3179306</v>
      </c>
      <c r="E3642" s="1">
        <v>3179884</v>
      </c>
      <c r="F3642" s="1" t="s">
        <v>9</v>
      </c>
      <c r="G3642" s="1" t="s">
        <v>11409</v>
      </c>
    </row>
    <row r="3643" spans="1:7" ht="21" x14ac:dyDescent="0.25">
      <c r="A3643" s="2" t="str">
        <f>HYPERLINK("https://rth.dk/resources/bsgatlas/details.php?id=BSGatlas-gene-3642","BSGatlas-gene-3642")</f>
        <v>BSGatlas-gene-3642</v>
      </c>
      <c r="B3643" s="1" t="s">
        <v>3300</v>
      </c>
      <c r="C3643" s="1" t="s">
        <v>8</v>
      </c>
      <c r="D3643" s="1">
        <v>3179926</v>
      </c>
      <c r="E3643" s="1">
        <v>3180447</v>
      </c>
      <c r="F3643" s="1" t="s">
        <v>13</v>
      </c>
      <c r="G3643" s="1" t="s">
        <v>11409</v>
      </c>
    </row>
    <row r="3644" spans="1:7" ht="21" x14ac:dyDescent="0.25">
      <c r="A3644" s="2" t="str">
        <f>HYPERLINK("https://rth.dk/resources/bsgatlas/details.php?id=BSGatlas-gene-3643","BSGatlas-gene-3643")</f>
        <v>BSGatlas-gene-3643</v>
      </c>
      <c r="B3644" s="1" t="s">
        <v>3301</v>
      </c>
      <c r="C3644" s="1" t="s">
        <v>8</v>
      </c>
      <c r="D3644" s="1">
        <v>3180465</v>
      </c>
      <c r="E3644" s="1">
        <v>3181994</v>
      </c>
      <c r="F3644" s="1" t="s">
        <v>13</v>
      </c>
      <c r="G3644" s="1" t="s">
        <v>11409</v>
      </c>
    </row>
    <row r="3645" spans="1:7" ht="21" x14ac:dyDescent="0.25">
      <c r="A3645" s="2" t="str">
        <f>HYPERLINK("https://rth.dk/resources/bsgatlas/details.php?id=BSGatlas-gene-3644","BSGatlas-gene-3644")</f>
        <v>BSGatlas-gene-3644</v>
      </c>
      <c r="B3645" s="1" t="s">
        <v>3302</v>
      </c>
      <c r="C3645" s="1" t="s">
        <v>8</v>
      </c>
      <c r="D3645" s="1">
        <v>3182015</v>
      </c>
      <c r="E3645" s="1">
        <v>3182539</v>
      </c>
      <c r="F3645" s="1" t="s">
        <v>13</v>
      </c>
      <c r="G3645" s="1" t="s">
        <v>11409</v>
      </c>
    </row>
    <row r="3646" spans="1:7" ht="21" x14ac:dyDescent="0.25">
      <c r="A3646" s="2" t="str">
        <f>HYPERLINK("https://rth.dk/resources/bsgatlas/details.php?id=BSGatlas-gene-3645","BSGatlas-gene-3645")</f>
        <v>BSGatlas-gene-3645</v>
      </c>
      <c r="B3646" s="1" t="s">
        <v>3303</v>
      </c>
      <c r="C3646" s="1" t="s">
        <v>8</v>
      </c>
      <c r="D3646" s="1">
        <v>3182707</v>
      </c>
      <c r="E3646" s="1">
        <v>3183195</v>
      </c>
      <c r="F3646" s="1" t="s">
        <v>9</v>
      </c>
      <c r="G3646" s="1" t="s">
        <v>11409</v>
      </c>
    </row>
    <row r="3647" spans="1:7" ht="21" x14ac:dyDescent="0.25">
      <c r="A3647" s="2" t="str">
        <f>HYPERLINK("https://rth.dk/resources/bsgatlas/details.php?id=BSGatlas-gene-3646","BSGatlas-gene-3646")</f>
        <v>BSGatlas-gene-3646</v>
      </c>
      <c r="B3647" s="1" t="s">
        <v>3304</v>
      </c>
      <c r="C3647" s="1" t="s">
        <v>8</v>
      </c>
      <c r="D3647" s="1">
        <v>3183201</v>
      </c>
      <c r="E3647" s="1">
        <v>3183779</v>
      </c>
      <c r="F3647" s="1" t="s">
        <v>13</v>
      </c>
      <c r="G3647" s="1" t="s">
        <v>11409</v>
      </c>
    </row>
    <row r="3648" spans="1:7" ht="21" x14ac:dyDescent="0.25">
      <c r="A3648" s="2" t="str">
        <f>HYPERLINK("https://rth.dk/resources/bsgatlas/details.php?id=BSGatlas-gene-3647","BSGatlas-gene-3647")</f>
        <v>BSGatlas-gene-3647</v>
      </c>
      <c r="B3648" s="1" t="s">
        <v>3305</v>
      </c>
      <c r="C3648" s="1" t="s">
        <v>8</v>
      </c>
      <c r="D3648" s="1">
        <v>3183867</v>
      </c>
      <c r="E3648" s="1">
        <v>3185075</v>
      </c>
      <c r="F3648" s="1" t="s">
        <v>13</v>
      </c>
      <c r="G3648" s="1" t="s">
        <v>11409</v>
      </c>
    </row>
    <row r="3649" spans="1:7" ht="21" x14ac:dyDescent="0.25">
      <c r="A3649" s="2" t="str">
        <f>HYPERLINK("https://rth.dk/resources/bsgatlas/details.php?id=BSGatlas-gene-3648","BSGatlas-gene-3648")</f>
        <v>BSGatlas-gene-3648</v>
      </c>
      <c r="B3649" s="1" t="s">
        <v>3306</v>
      </c>
      <c r="C3649" s="1" t="s">
        <v>8</v>
      </c>
      <c r="D3649" s="1">
        <v>3185092</v>
      </c>
      <c r="E3649" s="1">
        <v>3186564</v>
      </c>
      <c r="F3649" s="1" t="s">
        <v>13</v>
      </c>
      <c r="G3649" s="1" t="s">
        <v>11409</v>
      </c>
    </row>
    <row r="3650" spans="1:7" ht="21" x14ac:dyDescent="0.25">
      <c r="A3650" s="2" t="str">
        <f>HYPERLINK("https://rth.dk/resources/bsgatlas/details.php?id=BSGatlas-gene-3649","BSGatlas-gene-3649")</f>
        <v>BSGatlas-gene-3649</v>
      </c>
      <c r="B3650" s="1" t="s">
        <v>3307</v>
      </c>
      <c r="C3650" s="1" t="s">
        <v>8</v>
      </c>
      <c r="D3650" s="1">
        <v>3186763</v>
      </c>
      <c r="E3650" s="1">
        <v>3187305</v>
      </c>
      <c r="F3650" s="1" t="s">
        <v>9</v>
      </c>
      <c r="G3650" s="1" t="s">
        <v>11409</v>
      </c>
    </row>
    <row r="3651" spans="1:7" ht="21" x14ac:dyDescent="0.25">
      <c r="A3651" s="2" t="str">
        <f>HYPERLINK("https://rth.dk/resources/bsgatlas/details.php?id=BSGatlas-gene-3650","BSGatlas-gene-3650")</f>
        <v>BSGatlas-gene-3650</v>
      </c>
      <c r="B3651" s="1" t="s">
        <v>3308</v>
      </c>
      <c r="C3651" s="1" t="s">
        <v>8</v>
      </c>
      <c r="D3651" s="1">
        <v>3187503</v>
      </c>
      <c r="E3651" s="1">
        <v>3188048</v>
      </c>
      <c r="F3651" s="1" t="s">
        <v>9</v>
      </c>
      <c r="G3651" s="1" t="s">
        <v>11409</v>
      </c>
    </row>
    <row r="3652" spans="1:7" ht="21" x14ac:dyDescent="0.25">
      <c r="A3652" s="2" t="str">
        <f>HYPERLINK("https://rth.dk/resources/bsgatlas/details.php?id=BSGatlas-gene-3651","BSGatlas-gene-3651")</f>
        <v>BSGatlas-gene-3651</v>
      </c>
      <c r="B3652" s="1" t="s">
        <v>3311</v>
      </c>
      <c r="C3652" s="1" t="s">
        <v>34</v>
      </c>
      <c r="D3652" s="1">
        <v>3188173</v>
      </c>
      <c r="E3652" s="1">
        <v>3188341</v>
      </c>
      <c r="F3652" s="1" t="s">
        <v>9</v>
      </c>
      <c r="G3652" s="1" t="s">
        <v>11412</v>
      </c>
    </row>
    <row r="3653" spans="1:7" ht="21" x14ac:dyDescent="0.25">
      <c r="A3653" s="2" t="str">
        <f>HYPERLINK("https://rth.dk/resources/bsgatlas/details.php?id=BSGatlas-gene-3652","BSGatlas-gene-3652")</f>
        <v>BSGatlas-gene-3652</v>
      </c>
      <c r="B3653" s="1" t="s">
        <v>3309</v>
      </c>
      <c r="C3653" s="1" t="s">
        <v>8</v>
      </c>
      <c r="D3653" s="1">
        <v>3188414</v>
      </c>
      <c r="E3653" s="1">
        <v>3189082</v>
      </c>
      <c r="F3653" s="1" t="s">
        <v>9</v>
      </c>
      <c r="G3653" s="1" t="s">
        <v>11409</v>
      </c>
    </row>
    <row r="3654" spans="1:7" ht="21" x14ac:dyDescent="0.25">
      <c r="A3654" s="2" t="str">
        <f>HYPERLINK("https://rth.dk/resources/bsgatlas/details.php?id=BSGatlas-gene-3653","BSGatlas-gene-3653")</f>
        <v>BSGatlas-gene-3653</v>
      </c>
      <c r="B3654" s="1" t="s">
        <v>3310</v>
      </c>
      <c r="C3654" s="1" t="s">
        <v>8</v>
      </c>
      <c r="D3654" s="1">
        <v>3189089</v>
      </c>
      <c r="E3654" s="1">
        <v>3190426</v>
      </c>
      <c r="F3654" s="1" t="s">
        <v>9</v>
      </c>
      <c r="G3654" s="1" t="s">
        <v>11409</v>
      </c>
    </row>
    <row r="3655" spans="1:7" ht="21" x14ac:dyDescent="0.25">
      <c r="A3655" s="2" t="str">
        <f>HYPERLINK("https://rth.dk/resources/bsgatlas/details.php?id=BSGatlas-gene-3654","BSGatlas-gene-3654")</f>
        <v>BSGatlas-gene-3654</v>
      </c>
      <c r="B3655" s="1" t="s">
        <v>3312</v>
      </c>
      <c r="C3655" s="1" t="s">
        <v>8</v>
      </c>
      <c r="D3655" s="1">
        <v>3190462</v>
      </c>
      <c r="E3655" s="1">
        <v>3190725</v>
      </c>
      <c r="F3655" s="1" t="s">
        <v>13</v>
      </c>
      <c r="G3655" s="1" t="s">
        <v>11409</v>
      </c>
    </row>
    <row r="3656" spans="1:7" ht="21" x14ac:dyDescent="0.25">
      <c r="A3656" s="2" t="str">
        <f>HYPERLINK("https://rth.dk/resources/bsgatlas/details.php?id=BSGatlas-gene-3655","BSGatlas-gene-3655")</f>
        <v>BSGatlas-gene-3655</v>
      </c>
      <c r="B3656" s="1" t="s">
        <v>3313</v>
      </c>
      <c r="C3656" s="1" t="s">
        <v>8</v>
      </c>
      <c r="D3656" s="1">
        <v>3190834</v>
      </c>
      <c r="E3656" s="1">
        <v>3191682</v>
      </c>
      <c r="F3656" s="1" t="s">
        <v>13</v>
      </c>
      <c r="G3656" s="1" t="s">
        <v>11409</v>
      </c>
    </row>
    <row r="3657" spans="1:7" ht="21" x14ac:dyDescent="0.25">
      <c r="A3657" s="2" t="str">
        <f>HYPERLINK("https://rth.dk/resources/bsgatlas/details.php?id=BSGatlas-gene-3656","BSGatlas-gene-3656")</f>
        <v>BSGatlas-gene-3656</v>
      </c>
      <c r="B3657" s="1" t="s">
        <v>3314</v>
      </c>
      <c r="C3657" s="1" t="s">
        <v>8</v>
      </c>
      <c r="D3657" s="1">
        <v>3191843</v>
      </c>
      <c r="E3657" s="1">
        <v>3193378</v>
      </c>
      <c r="F3657" s="1" t="s">
        <v>13</v>
      </c>
      <c r="G3657" s="1" t="s">
        <v>11409</v>
      </c>
    </row>
    <row r="3658" spans="1:7" ht="21" x14ac:dyDescent="0.25">
      <c r="A3658" s="2" t="str">
        <f>HYPERLINK("https://rth.dk/resources/bsgatlas/details.php?id=BSGatlas-gene-3657","BSGatlas-gene-3657")</f>
        <v>BSGatlas-gene-3657</v>
      </c>
      <c r="B3658" s="1" t="s">
        <v>522</v>
      </c>
      <c r="C3658" s="1" t="s">
        <v>34</v>
      </c>
      <c r="D3658" s="1">
        <v>3193430</v>
      </c>
      <c r="E3658" s="1">
        <v>3193540</v>
      </c>
      <c r="F3658" s="1" t="s">
        <v>13</v>
      </c>
      <c r="G3658" s="1" t="s">
        <v>11414</v>
      </c>
    </row>
    <row r="3659" spans="1:7" ht="21" x14ac:dyDescent="0.25">
      <c r="A3659" s="2" t="str">
        <f>HYPERLINK("https://rth.dk/resources/bsgatlas/details.php?id=BSGatlas-gene-3658","BSGatlas-gene-3658")</f>
        <v>BSGatlas-gene-3658</v>
      </c>
      <c r="B3659" s="1" t="s">
        <v>3315</v>
      </c>
      <c r="C3659" s="1" t="s">
        <v>8</v>
      </c>
      <c r="D3659" s="1">
        <v>3193863</v>
      </c>
      <c r="E3659" s="1">
        <v>3194348</v>
      </c>
      <c r="F3659" s="1" t="s">
        <v>9</v>
      </c>
      <c r="G3659" s="1" t="s">
        <v>11409</v>
      </c>
    </row>
    <row r="3660" spans="1:7" ht="21" x14ac:dyDescent="0.25">
      <c r="A3660" s="2" t="str">
        <f>HYPERLINK("https://rth.dk/resources/bsgatlas/details.php?id=BSGatlas-gene-3659","BSGatlas-gene-3659")</f>
        <v>BSGatlas-gene-3659</v>
      </c>
      <c r="B3660" s="1" t="s">
        <v>3318</v>
      </c>
      <c r="C3660" s="1" t="s">
        <v>23</v>
      </c>
      <c r="D3660" s="1">
        <v>3194454</v>
      </c>
      <c r="E3660" s="1">
        <v>3194527</v>
      </c>
      <c r="F3660" s="1" t="s">
        <v>13</v>
      </c>
      <c r="G3660" s="1" t="s">
        <v>11411</v>
      </c>
    </row>
    <row r="3661" spans="1:7" ht="21" x14ac:dyDescent="0.25">
      <c r="A3661" s="2" t="str">
        <f>HYPERLINK("https://rth.dk/resources/bsgatlas/details.php?id=BSGatlas-gene-3660","BSGatlas-gene-3660")</f>
        <v>BSGatlas-gene-3660</v>
      </c>
      <c r="B3661" s="1" t="s">
        <v>3316</v>
      </c>
      <c r="C3661" s="1" t="s">
        <v>8</v>
      </c>
      <c r="D3661" s="1">
        <v>3194635</v>
      </c>
      <c r="E3661" s="1">
        <v>3195465</v>
      </c>
      <c r="F3661" s="1" t="s">
        <v>13</v>
      </c>
      <c r="G3661" s="1" t="s">
        <v>11409</v>
      </c>
    </row>
    <row r="3662" spans="1:7" ht="21" x14ac:dyDescent="0.25">
      <c r="A3662" s="2" t="str">
        <f>HYPERLINK("https://rth.dk/resources/bsgatlas/details.php?id=BSGatlas-gene-3661","BSGatlas-gene-3661")</f>
        <v>BSGatlas-gene-3661</v>
      </c>
      <c r="B3662" s="1" t="s">
        <v>3317</v>
      </c>
      <c r="C3662" s="1" t="s">
        <v>8</v>
      </c>
      <c r="D3662" s="1">
        <v>3195558</v>
      </c>
      <c r="E3662" s="1">
        <v>3196724</v>
      </c>
      <c r="F3662" s="1" t="s">
        <v>13</v>
      </c>
      <c r="G3662" s="1" t="s">
        <v>11409</v>
      </c>
    </row>
    <row r="3663" spans="1:7" ht="21" x14ac:dyDescent="0.25">
      <c r="A3663" s="2" t="str">
        <f>HYPERLINK("https://rth.dk/resources/bsgatlas/details.php?id=BSGatlas-gene-3662","BSGatlas-gene-3662")</f>
        <v>BSGatlas-gene-3662</v>
      </c>
      <c r="B3663" s="1" t="s">
        <v>3319</v>
      </c>
      <c r="C3663" s="1" t="s">
        <v>8</v>
      </c>
      <c r="D3663" s="1">
        <v>3196906</v>
      </c>
      <c r="E3663" s="1">
        <v>3197892</v>
      </c>
      <c r="F3663" s="1" t="s">
        <v>9</v>
      </c>
      <c r="G3663" s="1" t="s">
        <v>11409</v>
      </c>
    </row>
    <row r="3664" spans="1:7" ht="21" x14ac:dyDescent="0.25">
      <c r="A3664" s="2" t="str">
        <f>HYPERLINK("https://rth.dk/resources/bsgatlas/details.php?id=BSGatlas-gene-3663","BSGatlas-gene-3663")</f>
        <v>BSGatlas-gene-3663</v>
      </c>
      <c r="B3664" s="1" t="s">
        <v>3320</v>
      </c>
      <c r="C3664" s="1" t="s">
        <v>8</v>
      </c>
      <c r="D3664" s="1">
        <v>3197933</v>
      </c>
      <c r="E3664" s="1">
        <v>3199207</v>
      </c>
      <c r="F3664" s="1" t="s">
        <v>13</v>
      </c>
      <c r="G3664" s="1" t="s">
        <v>11409</v>
      </c>
    </row>
    <row r="3665" spans="1:7" ht="21" x14ac:dyDescent="0.25">
      <c r="A3665" s="2" t="str">
        <f>HYPERLINK("https://rth.dk/resources/bsgatlas/details.php?id=BSGatlas-gene-3664","BSGatlas-gene-3664")</f>
        <v>BSGatlas-gene-3664</v>
      </c>
      <c r="B3665" s="1" t="s">
        <v>3321</v>
      </c>
      <c r="C3665" s="1" t="s">
        <v>8</v>
      </c>
      <c r="D3665" s="1">
        <v>3199233</v>
      </c>
      <c r="E3665" s="1">
        <v>3199547</v>
      </c>
      <c r="F3665" s="1" t="s">
        <v>13</v>
      </c>
      <c r="G3665" s="1" t="s">
        <v>11409</v>
      </c>
    </row>
    <row r="3666" spans="1:7" ht="21" x14ac:dyDescent="0.25">
      <c r="A3666" s="2" t="str">
        <f>HYPERLINK("https://rth.dk/resources/bsgatlas/details.php?id=BSGatlas-gene-3665","BSGatlas-gene-3665")</f>
        <v>BSGatlas-gene-3665</v>
      </c>
      <c r="B3666" s="1" t="s">
        <v>3322</v>
      </c>
      <c r="C3666" s="1" t="s">
        <v>8</v>
      </c>
      <c r="D3666" s="1">
        <v>3199565</v>
      </c>
      <c r="E3666" s="1">
        <v>3201022</v>
      </c>
      <c r="F3666" s="1" t="s">
        <v>13</v>
      </c>
      <c r="G3666" s="1" t="s">
        <v>11409</v>
      </c>
    </row>
    <row r="3667" spans="1:7" ht="21" x14ac:dyDescent="0.25">
      <c r="A3667" s="2" t="str">
        <f>HYPERLINK("https://rth.dk/resources/bsgatlas/details.php?id=BSGatlas-gene-3666","BSGatlas-gene-3666")</f>
        <v>BSGatlas-gene-3666</v>
      </c>
      <c r="B3667" s="1" t="s">
        <v>3323</v>
      </c>
      <c r="C3667" s="1" t="s">
        <v>8</v>
      </c>
      <c r="D3667" s="1">
        <v>3201027</v>
      </c>
      <c r="E3667" s="1">
        <v>3201803</v>
      </c>
      <c r="F3667" s="1" t="s">
        <v>13</v>
      </c>
      <c r="G3667" s="1" t="s">
        <v>11409</v>
      </c>
    </row>
    <row r="3668" spans="1:7" ht="21" x14ac:dyDescent="0.25">
      <c r="A3668" s="2" t="str">
        <f>HYPERLINK("https://rth.dk/resources/bsgatlas/details.php?id=BSGatlas-gene-3667","BSGatlas-gene-3667")</f>
        <v>BSGatlas-gene-3667</v>
      </c>
      <c r="B3668" s="1" t="s">
        <v>3324</v>
      </c>
      <c r="C3668" s="1" t="s">
        <v>8</v>
      </c>
      <c r="D3668" s="1">
        <v>3201860</v>
      </c>
      <c r="E3668" s="1">
        <v>3203929</v>
      </c>
      <c r="F3668" s="1" t="s">
        <v>13</v>
      </c>
      <c r="G3668" s="1" t="s">
        <v>11409</v>
      </c>
    </row>
    <row r="3669" spans="1:7" ht="21" x14ac:dyDescent="0.25">
      <c r="A3669" s="2" t="str">
        <f>HYPERLINK("https://rth.dk/resources/bsgatlas/details.php?id=BSGatlas-gene-3668","BSGatlas-gene-3668")</f>
        <v>BSGatlas-gene-3668</v>
      </c>
      <c r="B3669" s="1" t="s">
        <v>3325</v>
      </c>
      <c r="C3669" s="1" t="s">
        <v>8</v>
      </c>
      <c r="D3669" s="1">
        <v>3204067</v>
      </c>
      <c r="E3669" s="1">
        <v>3206055</v>
      </c>
      <c r="F3669" s="1" t="s">
        <v>13</v>
      </c>
      <c r="G3669" s="1" t="s">
        <v>11409</v>
      </c>
    </row>
    <row r="3670" spans="1:7" ht="21" x14ac:dyDescent="0.25">
      <c r="A3670" s="2" t="str">
        <f>HYPERLINK("https://rth.dk/resources/bsgatlas/details.php?id=BSGatlas-gene-3669","BSGatlas-gene-3669")</f>
        <v>BSGatlas-gene-3669</v>
      </c>
      <c r="B3670" s="1" t="s">
        <v>3326</v>
      </c>
      <c r="C3670" s="1" t="s">
        <v>8</v>
      </c>
      <c r="D3670" s="1">
        <v>3206169</v>
      </c>
      <c r="E3670" s="1">
        <v>3208154</v>
      </c>
      <c r="F3670" s="1" t="s">
        <v>13</v>
      </c>
      <c r="G3670" s="1" t="s">
        <v>11409</v>
      </c>
    </row>
    <row r="3671" spans="1:7" ht="21" x14ac:dyDescent="0.25">
      <c r="A3671" s="2" t="str">
        <f>HYPERLINK("https://rth.dk/resources/bsgatlas/details.php?id=BSGatlas-gene-3670","BSGatlas-gene-3670")</f>
        <v>BSGatlas-gene-3670</v>
      </c>
      <c r="B3671" s="1" t="s">
        <v>3327</v>
      </c>
      <c r="C3671" s="1" t="s">
        <v>8</v>
      </c>
      <c r="D3671" s="1">
        <v>3208280</v>
      </c>
      <c r="E3671" s="1">
        <v>3210268</v>
      </c>
      <c r="F3671" s="1" t="s">
        <v>13</v>
      </c>
      <c r="G3671" s="1" t="s">
        <v>11409</v>
      </c>
    </row>
    <row r="3672" spans="1:7" ht="21" x14ac:dyDescent="0.25">
      <c r="A3672" s="2" t="str">
        <f>HYPERLINK("https://rth.dk/resources/bsgatlas/details.php?id=BSGatlas-gene-3671","BSGatlas-gene-3671")</f>
        <v>BSGatlas-gene-3671</v>
      </c>
      <c r="B3672" s="1" t="s">
        <v>3328</v>
      </c>
      <c r="C3672" s="1" t="s">
        <v>8</v>
      </c>
      <c r="D3672" s="1">
        <v>3210445</v>
      </c>
      <c r="E3672" s="1">
        <v>3212433</v>
      </c>
      <c r="F3672" s="1" t="s">
        <v>13</v>
      </c>
      <c r="G3672" s="1" t="s">
        <v>11409</v>
      </c>
    </row>
    <row r="3673" spans="1:7" ht="21" x14ac:dyDescent="0.25">
      <c r="A3673" s="2" t="str">
        <f>HYPERLINK("https://rth.dk/resources/bsgatlas/details.php?id=BSGatlas-gene-3672","BSGatlas-gene-3672")</f>
        <v>BSGatlas-gene-3672</v>
      </c>
      <c r="B3673" s="1" t="s">
        <v>3329</v>
      </c>
      <c r="C3673" s="1" t="s">
        <v>8</v>
      </c>
      <c r="D3673" s="1">
        <v>3212591</v>
      </c>
      <c r="E3673" s="1">
        <v>3213328</v>
      </c>
      <c r="F3673" s="1" t="s">
        <v>9</v>
      </c>
      <c r="G3673" s="1" t="s">
        <v>11409</v>
      </c>
    </row>
    <row r="3674" spans="1:7" ht="21" x14ac:dyDescent="0.25">
      <c r="A3674" s="2" t="str">
        <f>HYPERLINK("https://rth.dk/resources/bsgatlas/details.php?id=BSGatlas-gene-3673","BSGatlas-gene-3673")</f>
        <v>BSGatlas-gene-3673</v>
      </c>
      <c r="B3674" s="1" t="s">
        <v>3330</v>
      </c>
      <c r="C3674" s="1" t="s">
        <v>8</v>
      </c>
      <c r="D3674" s="1">
        <v>3213342</v>
      </c>
      <c r="E3674" s="1">
        <v>3213596</v>
      </c>
      <c r="F3674" s="1" t="s">
        <v>13</v>
      </c>
      <c r="G3674" s="1" t="s">
        <v>11409</v>
      </c>
    </row>
    <row r="3675" spans="1:7" ht="21" x14ac:dyDescent="0.25">
      <c r="A3675" s="2" t="str">
        <f>HYPERLINK("https://rth.dk/resources/bsgatlas/details.php?id=BSGatlas-gene-3674","BSGatlas-gene-3674")</f>
        <v>BSGatlas-gene-3674</v>
      </c>
      <c r="B3675" s="1" t="s">
        <v>3331</v>
      </c>
      <c r="C3675" s="1" t="s">
        <v>8</v>
      </c>
      <c r="D3675" s="1">
        <v>3213854</v>
      </c>
      <c r="E3675" s="1">
        <v>3214252</v>
      </c>
      <c r="F3675" s="1" t="s">
        <v>13</v>
      </c>
      <c r="G3675" s="1" t="s">
        <v>11409</v>
      </c>
    </row>
    <row r="3676" spans="1:7" ht="21" x14ac:dyDescent="0.25">
      <c r="A3676" s="2" t="str">
        <f>HYPERLINK("https://rth.dk/resources/bsgatlas/details.php?id=BSGatlas-gene-3675","BSGatlas-gene-3675")</f>
        <v>BSGatlas-gene-3675</v>
      </c>
      <c r="B3676" s="1" t="s">
        <v>318</v>
      </c>
      <c r="C3676" s="1" t="s">
        <v>8</v>
      </c>
      <c r="D3676" s="1">
        <v>3214212</v>
      </c>
      <c r="E3676" s="1">
        <v>3214346</v>
      </c>
      <c r="F3676" s="1" t="s">
        <v>13</v>
      </c>
      <c r="G3676" s="1" t="s">
        <v>11441</v>
      </c>
    </row>
    <row r="3677" spans="1:7" ht="21" x14ac:dyDescent="0.25">
      <c r="A3677" s="2" t="str">
        <f>HYPERLINK("https://rth.dk/resources/bsgatlas/details.php?id=BSGatlas-gene-3676","BSGatlas-gene-3676")</f>
        <v>BSGatlas-gene-3676</v>
      </c>
      <c r="B3677" s="1" t="s">
        <v>3332</v>
      </c>
      <c r="C3677" s="1" t="s">
        <v>8</v>
      </c>
      <c r="D3677" s="1">
        <v>3214372</v>
      </c>
      <c r="E3677" s="1">
        <v>3216036</v>
      </c>
      <c r="F3677" s="1" t="s">
        <v>13</v>
      </c>
      <c r="G3677" s="1" t="s">
        <v>11409</v>
      </c>
    </row>
    <row r="3678" spans="1:7" ht="21" x14ac:dyDescent="0.25">
      <c r="A3678" s="2" t="str">
        <f>HYPERLINK("https://rth.dk/resources/bsgatlas/details.php?id=BSGatlas-gene-3677","BSGatlas-gene-3677")</f>
        <v>BSGatlas-gene-3677</v>
      </c>
      <c r="B3678" s="1" t="s">
        <v>3333</v>
      </c>
      <c r="C3678" s="1" t="s">
        <v>8</v>
      </c>
      <c r="D3678" s="1">
        <v>3216163</v>
      </c>
      <c r="E3678" s="1">
        <v>3217452</v>
      </c>
      <c r="F3678" s="1" t="s">
        <v>13</v>
      </c>
      <c r="G3678" s="1" t="s">
        <v>11409</v>
      </c>
    </row>
    <row r="3679" spans="1:7" ht="21" x14ac:dyDescent="0.25">
      <c r="A3679" s="2" t="str">
        <f>HYPERLINK("https://rth.dk/resources/bsgatlas/details.php?id=BSGatlas-gene-3678","BSGatlas-gene-3678")</f>
        <v>BSGatlas-gene-3678</v>
      </c>
      <c r="B3679" s="1" t="s">
        <v>3334</v>
      </c>
      <c r="C3679" s="1" t="s">
        <v>12</v>
      </c>
      <c r="D3679" s="1">
        <v>3217011</v>
      </c>
      <c r="E3679" s="1">
        <v>3217663</v>
      </c>
      <c r="F3679" s="1" t="s">
        <v>9</v>
      </c>
      <c r="G3679" s="1" t="s">
        <v>11406</v>
      </c>
    </row>
    <row r="3680" spans="1:7" ht="21" x14ac:dyDescent="0.25">
      <c r="A3680" s="2" t="str">
        <f>HYPERLINK("https://rth.dk/resources/bsgatlas/details.php?id=BSGatlas-gene-3679","BSGatlas-gene-3679")</f>
        <v>BSGatlas-gene-3679</v>
      </c>
      <c r="B3680" s="1" t="s">
        <v>3335</v>
      </c>
      <c r="C3680" s="1" t="s">
        <v>8</v>
      </c>
      <c r="D3680" s="1">
        <v>3217496</v>
      </c>
      <c r="E3680" s="1">
        <v>3218173</v>
      </c>
      <c r="F3680" s="1" t="s">
        <v>13</v>
      </c>
      <c r="G3680" s="1" t="s">
        <v>11409</v>
      </c>
    </row>
    <row r="3681" spans="1:7" ht="21" x14ac:dyDescent="0.25">
      <c r="A3681" s="2" t="str">
        <f>HYPERLINK("https://rth.dk/resources/bsgatlas/details.php?id=BSGatlas-gene-3680","BSGatlas-gene-3680")</f>
        <v>BSGatlas-gene-3680</v>
      </c>
      <c r="B3681" s="1" t="s">
        <v>3336</v>
      </c>
      <c r="C3681" s="1" t="s">
        <v>8</v>
      </c>
      <c r="D3681" s="1">
        <v>3218215</v>
      </c>
      <c r="E3681" s="1">
        <v>3218478</v>
      </c>
      <c r="F3681" s="1" t="s">
        <v>13</v>
      </c>
      <c r="G3681" s="1" t="s">
        <v>11409</v>
      </c>
    </row>
    <row r="3682" spans="1:7" ht="21" x14ac:dyDescent="0.25">
      <c r="A3682" s="2" t="str">
        <f>HYPERLINK("https://rth.dk/resources/bsgatlas/details.php?id=BSGatlas-gene-3681","BSGatlas-gene-3681")</f>
        <v>BSGatlas-gene-3681</v>
      </c>
      <c r="B3682" s="1" t="s">
        <v>3337</v>
      </c>
      <c r="C3682" s="1" t="s">
        <v>8</v>
      </c>
      <c r="D3682" s="1">
        <v>3218525</v>
      </c>
      <c r="E3682" s="1">
        <v>3218857</v>
      </c>
      <c r="F3682" s="1" t="s">
        <v>9</v>
      </c>
      <c r="G3682" s="1" t="s">
        <v>11409</v>
      </c>
    </row>
    <row r="3683" spans="1:7" ht="21" x14ac:dyDescent="0.25">
      <c r="A3683" s="2" t="str">
        <f>HYPERLINK("https://rth.dk/resources/bsgatlas/details.php?id=BSGatlas-gene-3682","BSGatlas-gene-3682")</f>
        <v>BSGatlas-gene-3682</v>
      </c>
      <c r="B3683" s="1" t="s">
        <v>3338</v>
      </c>
      <c r="C3683" s="1" t="s">
        <v>8</v>
      </c>
      <c r="D3683" s="1">
        <v>3218854</v>
      </c>
      <c r="E3683" s="1">
        <v>3219840</v>
      </c>
      <c r="F3683" s="1" t="s">
        <v>9</v>
      </c>
      <c r="G3683" s="1" t="s">
        <v>11409</v>
      </c>
    </row>
    <row r="3684" spans="1:7" ht="21" x14ac:dyDescent="0.25">
      <c r="A3684" s="2" t="str">
        <f>HYPERLINK("https://rth.dk/resources/bsgatlas/details.php?id=BSGatlas-gene-3683","BSGatlas-gene-3683")</f>
        <v>BSGatlas-gene-3683</v>
      </c>
      <c r="B3684" s="1" t="s">
        <v>3339</v>
      </c>
      <c r="C3684" s="1" t="s">
        <v>8</v>
      </c>
      <c r="D3684" s="1">
        <v>3219837</v>
      </c>
      <c r="E3684" s="1">
        <v>3220241</v>
      </c>
      <c r="F3684" s="1" t="s">
        <v>13</v>
      </c>
      <c r="G3684" s="1" t="s">
        <v>11409</v>
      </c>
    </row>
    <row r="3685" spans="1:7" ht="21" x14ac:dyDescent="0.25">
      <c r="A3685" s="2" t="str">
        <f>HYPERLINK("https://rth.dk/resources/bsgatlas/details.php?id=BSGatlas-gene-3684","BSGatlas-gene-3684")</f>
        <v>BSGatlas-gene-3684</v>
      </c>
      <c r="B3685" s="1" t="s">
        <v>3340</v>
      </c>
      <c r="C3685" s="1" t="s">
        <v>8</v>
      </c>
      <c r="D3685" s="1">
        <v>3220301</v>
      </c>
      <c r="E3685" s="1">
        <v>3220672</v>
      </c>
      <c r="F3685" s="1" t="s">
        <v>13</v>
      </c>
      <c r="G3685" s="1" t="s">
        <v>11409</v>
      </c>
    </row>
    <row r="3686" spans="1:7" ht="21" x14ac:dyDescent="0.25">
      <c r="A3686" s="2" t="str">
        <f>HYPERLINK("https://rth.dk/resources/bsgatlas/details.php?id=BSGatlas-gene-3685","BSGatlas-gene-3685")</f>
        <v>BSGatlas-gene-3685</v>
      </c>
      <c r="B3686" s="1" t="s">
        <v>3341</v>
      </c>
      <c r="C3686" s="1" t="s">
        <v>8</v>
      </c>
      <c r="D3686" s="1">
        <v>3220731</v>
      </c>
      <c r="E3686" s="1">
        <v>3222083</v>
      </c>
      <c r="F3686" s="1" t="s">
        <v>13</v>
      </c>
      <c r="G3686" s="1" t="s">
        <v>11409</v>
      </c>
    </row>
    <row r="3687" spans="1:7" ht="21" x14ac:dyDescent="0.25">
      <c r="A3687" s="2" t="str">
        <f>HYPERLINK("https://rth.dk/resources/bsgatlas/details.php?id=BSGatlas-gene-3686","BSGatlas-gene-3686")</f>
        <v>BSGatlas-gene-3686</v>
      </c>
      <c r="B3687" s="1" t="s">
        <v>3342</v>
      </c>
      <c r="C3687" s="1" t="s">
        <v>8</v>
      </c>
      <c r="D3687" s="1">
        <v>3222195</v>
      </c>
      <c r="E3687" s="1">
        <v>3223367</v>
      </c>
      <c r="F3687" s="1" t="s">
        <v>13</v>
      </c>
      <c r="G3687" s="1" t="s">
        <v>11409</v>
      </c>
    </row>
    <row r="3688" spans="1:7" ht="21" x14ac:dyDescent="0.25">
      <c r="A3688" s="2" t="str">
        <f>HYPERLINK("https://rth.dk/resources/bsgatlas/details.php?id=BSGatlas-gene-3687","BSGatlas-gene-3687")</f>
        <v>BSGatlas-gene-3687</v>
      </c>
      <c r="B3688" s="1" t="s">
        <v>11715</v>
      </c>
      <c r="C3688" s="1" t="s">
        <v>12</v>
      </c>
      <c r="D3688" s="1">
        <v>3222530</v>
      </c>
      <c r="E3688" s="1">
        <v>3223451</v>
      </c>
      <c r="F3688" s="1" t="s">
        <v>9</v>
      </c>
      <c r="G3688" s="1" t="s">
        <v>11406</v>
      </c>
    </row>
    <row r="3689" spans="1:7" ht="21" x14ac:dyDescent="0.25">
      <c r="A3689" s="2" t="str">
        <f>HYPERLINK("https://rth.dk/resources/bsgatlas/details.php?id=BSGatlas-gene-3688","BSGatlas-gene-3688")</f>
        <v>BSGatlas-gene-3688</v>
      </c>
      <c r="B3689" s="1" t="s">
        <v>3343</v>
      </c>
      <c r="C3689" s="1" t="s">
        <v>8</v>
      </c>
      <c r="D3689" s="1">
        <v>3223471</v>
      </c>
      <c r="E3689" s="1">
        <v>3224634</v>
      </c>
      <c r="F3689" s="1" t="s">
        <v>13</v>
      </c>
      <c r="G3689" s="1" t="s">
        <v>11409</v>
      </c>
    </row>
    <row r="3690" spans="1:7" ht="21" x14ac:dyDescent="0.25">
      <c r="A3690" s="2" t="str">
        <f>HYPERLINK("https://rth.dk/resources/bsgatlas/details.php?id=BSGatlas-gene-3689","BSGatlas-gene-3689")</f>
        <v>BSGatlas-gene-3689</v>
      </c>
      <c r="B3690" s="1" t="s">
        <v>3344</v>
      </c>
      <c r="C3690" s="1" t="s">
        <v>8</v>
      </c>
      <c r="D3690" s="1">
        <v>3224864</v>
      </c>
      <c r="E3690" s="1">
        <v>3225100</v>
      </c>
      <c r="F3690" s="1" t="s">
        <v>9</v>
      </c>
      <c r="G3690" s="1" t="s">
        <v>11409</v>
      </c>
    </row>
    <row r="3691" spans="1:7" ht="21" x14ac:dyDescent="0.25">
      <c r="A3691" s="2" t="str">
        <f>HYPERLINK("https://rth.dk/resources/bsgatlas/details.php?id=BSGatlas-gene-3690","BSGatlas-gene-3690")</f>
        <v>BSGatlas-gene-3690</v>
      </c>
      <c r="B3691" s="1" t="s">
        <v>3345</v>
      </c>
      <c r="C3691" s="1" t="s">
        <v>8</v>
      </c>
      <c r="D3691" s="1">
        <v>3225178</v>
      </c>
      <c r="E3691" s="1">
        <v>3225570</v>
      </c>
      <c r="F3691" s="1" t="s">
        <v>13</v>
      </c>
      <c r="G3691" s="1" t="s">
        <v>11409</v>
      </c>
    </row>
    <row r="3692" spans="1:7" ht="21" x14ac:dyDescent="0.25">
      <c r="A3692" s="2" t="str">
        <f>HYPERLINK("https://rth.dk/resources/bsgatlas/details.php?id=BSGatlas-gene-3691","BSGatlas-gene-3691")</f>
        <v>BSGatlas-gene-3691</v>
      </c>
      <c r="B3692" s="1" t="s">
        <v>3346</v>
      </c>
      <c r="C3692" s="1" t="s">
        <v>55</v>
      </c>
      <c r="D3692" s="1">
        <v>3225697</v>
      </c>
      <c r="E3692" s="1">
        <v>3225824</v>
      </c>
      <c r="F3692" s="1" t="s">
        <v>9</v>
      </c>
      <c r="G3692" s="1" t="s">
        <v>11526</v>
      </c>
    </row>
    <row r="3693" spans="1:7" ht="21" x14ac:dyDescent="0.25">
      <c r="A3693" s="2" t="str">
        <f>HYPERLINK("https://rth.dk/resources/bsgatlas/details.php?id=BSGatlas-gene-3692","BSGatlas-gene-3692")</f>
        <v>BSGatlas-gene-3692</v>
      </c>
      <c r="B3693" s="1" t="s">
        <v>3347</v>
      </c>
      <c r="C3693" s="1" t="s">
        <v>8</v>
      </c>
      <c r="D3693" s="1">
        <v>3225772</v>
      </c>
      <c r="E3693" s="1">
        <v>3226932</v>
      </c>
      <c r="F3693" s="1" t="s">
        <v>13</v>
      </c>
      <c r="G3693" s="1" t="s">
        <v>11409</v>
      </c>
    </row>
    <row r="3694" spans="1:7" ht="21" x14ac:dyDescent="0.25">
      <c r="A3694" s="2" t="str">
        <f>HYPERLINK("https://rth.dk/resources/bsgatlas/details.php?id=BSGatlas-gene-3693","BSGatlas-gene-3693")</f>
        <v>BSGatlas-gene-3693</v>
      </c>
      <c r="B3694" s="1" t="s">
        <v>3348</v>
      </c>
      <c r="C3694" s="1" t="s">
        <v>8</v>
      </c>
      <c r="D3694" s="1">
        <v>3226933</v>
      </c>
      <c r="E3694" s="1">
        <v>3227433</v>
      </c>
      <c r="F3694" s="1" t="s">
        <v>13</v>
      </c>
      <c r="G3694" s="1" t="s">
        <v>11409</v>
      </c>
    </row>
    <row r="3695" spans="1:7" ht="21" x14ac:dyDescent="0.25">
      <c r="A3695" s="2" t="str">
        <f>HYPERLINK("https://rth.dk/resources/bsgatlas/details.php?id=BSGatlas-gene-3694","BSGatlas-gene-3694")</f>
        <v>BSGatlas-gene-3694</v>
      </c>
      <c r="B3695" s="1" t="s">
        <v>3349</v>
      </c>
      <c r="C3695" s="1" t="s">
        <v>8</v>
      </c>
      <c r="D3695" s="1">
        <v>3227581</v>
      </c>
      <c r="E3695" s="1">
        <v>3228402</v>
      </c>
      <c r="F3695" s="1" t="s">
        <v>9</v>
      </c>
      <c r="G3695" s="1" t="s">
        <v>11409</v>
      </c>
    </row>
    <row r="3696" spans="1:7" ht="21" x14ac:dyDescent="0.25">
      <c r="A3696" s="2" t="str">
        <f>HYPERLINK("https://rth.dk/resources/bsgatlas/details.php?id=BSGatlas-gene-3695","BSGatlas-gene-3695")</f>
        <v>BSGatlas-gene-3695</v>
      </c>
      <c r="B3696" s="1" t="s">
        <v>3350</v>
      </c>
      <c r="C3696" s="1" t="s">
        <v>8</v>
      </c>
      <c r="D3696" s="1">
        <v>3228431</v>
      </c>
      <c r="E3696" s="1">
        <v>3228691</v>
      </c>
      <c r="F3696" s="1" t="s">
        <v>13</v>
      </c>
      <c r="G3696" s="1" t="s">
        <v>11409</v>
      </c>
    </row>
    <row r="3697" spans="1:7" ht="21" x14ac:dyDescent="0.25">
      <c r="A3697" s="2" t="str">
        <f>HYPERLINK("https://rth.dk/resources/bsgatlas/details.php?id=BSGatlas-gene-3696","BSGatlas-gene-3696")</f>
        <v>BSGatlas-gene-3696</v>
      </c>
      <c r="B3697" s="1" t="s">
        <v>3351</v>
      </c>
      <c r="C3697" s="1" t="s">
        <v>8</v>
      </c>
      <c r="D3697" s="1">
        <v>3228778</v>
      </c>
      <c r="E3697" s="1">
        <v>3229941</v>
      </c>
      <c r="F3697" s="1" t="s">
        <v>9</v>
      </c>
      <c r="G3697" s="1" t="s">
        <v>11409</v>
      </c>
    </row>
    <row r="3698" spans="1:7" ht="21" x14ac:dyDescent="0.25">
      <c r="A3698" s="2" t="str">
        <f>HYPERLINK("https://rth.dk/resources/bsgatlas/details.php?id=BSGatlas-gene-3697","BSGatlas-gene-3697")</f>
        <v>BSGatlas-gene-3697</v>
      </c>
      <c r="B3698" s="1" t="s">
        <v>3352</v>
      </c>
      <c r="C3698" s="1" t="s">
        <v>8</v>
      </c>
      <c r="D3698" s="1">
        <v>3230067</v>
      </c>
      <c r="E3698" s="1">
        <v>3231353</v>
      </c>
      <c r="F3698" s="1" t="s">
        <v>9</v>
      </c>
      <c r="G3698" s="1" t="s">
        <v>11409</v>
      </c>
    </row>
    <row r="3699" spans="1:7" ht="21" x14ac:dyDescent="0.25">
      <c r="A3699" s="2" t="str">
        <f>HYPERLINK("https://rth.dk/resources/bsgatlas/details.php?id=BSGatlas-gene-3698","BSGatlas-gene-3698")</f>
        <v>BSGatlas-gene-3698</v>
      </c>
      <c r="B3699" s="1" t="s">
        <v>3353</v>
      </c>
      <c r="C3699" s="1" t="s">
        <v>8</v>
      </c>
      <c r="D3699" s="1">
        <v>3231399</v>
      </c>
      <c r="E3699" s="1">
        <v>3231785</v>
      </c>
      <c r="F3699" s="1" t="s">
        <v>9</v>
      </c>
      <c r="G3699" s="1" t="s">
        <v>11409</v>
      </c>
    </row>
    <row r="3700" spans="1:7" ht="21" x14ac:dyDescent="0.25">
      <c r="A3700" s="2" t="str">
        <f>HYPERLINK("https://rth.dk/resources/bsgatlas/details.php?id=BSGatlas-gene-3699","BSGatlas-gene-3699")</f>
        <v>BSGatlas-gene-3699</v>
      </c>
      <c r="B3700" s="1" t="s">
        <v>3354</v>
      </c>
      <c r="C3700" s="1" t="s">
        <v>8</v>
      </c>
      <c r="D3700" s="1">
        <v>3231812</v>
      </c>
      <c r="E3700" s="1">
        <v>3232429</v>
      </c>
      <c r="F3700" s="1" t="s">
        <v>13</v>
      </c>
      <c r="G3700" s="1" t="s">
        <v>11409</v>
      </c>
    </row>
    <row r="3701" spans="1:7" ht="21" x14ac:dyDescent="0.25">
      <c r="A3701" s="2" t="str">
        <f>HYPERLINK("https://rth.dk/resources/bsgatlas/details.php?id=BSGatlas-gene-3700","BSGatlas-gene-3700")</f>
        <v>BSGatlas-gene-3700</v>
      </c>
      <c r="B3701" s="1" t="s">
        <v>3355</v>
      </c>
      <c r="C3701" s="1" t="s">
        <v>8</v>
      </c>
      <c r="D3701" s="1">
        <v>3232640</v>
      </c>
      <c r="E3701" s="1">
        <v>3233818</v>
      </c>
      <c r="F3701" s="1" t="s">
        <v>9</v>
      </c>
      <c r="G3701" s="1" t="s">
        <v>11409</v>
      </c>
    </row>
    <row r="3702" spans="1:7" ht="21" x14ac:dyDescent="0.25">
      <c r="A3702" s="2" t="str">
        <f>HYPERLINK("https://rth.dk/resources/bsgatlas/details.php?id=BSGatlas-gene-3701","BSGatlas-gene-3701")</f>
        <v>BSGatlas-gene-3701</v>
      </c>
      <c r="B3702" s="1" t="s">
        <v>3356</v>
      </c>
      <c r="C3702" s="1" t="s">
        <v>8</v>
      </c>
      <c r="D3702" s="1">
        <v>3233911</v>
      </c>
      <c r="E3702" s="1">
        <v>3235785</v>
      </c>
      <c r="F3702" s="1" t="s">
        <v>9</v>
      </c>
      <c r="G3702" s="1" t="s">
        <v>11409</v>
      </c>
    </row>
    <row r="3703" spans="1:7" ht="21" x14ac:dyDescent="0.25">
      <c r="A3703" s="2" t="str">
        <f>HYPERLINK("https://rth.dk/resources/bsgatlas/details.php?id=BSGatlas-gene-3702","BSGatlas-gene-3702")</f>
        <v>BSGatlas-gene-3702</v>
      </c>
      <c r="B3703" s="1" t="s">
        <v>3357</v>
      </c>
      <c r="C3703" s="1" t="s">
        <v>8</v>
      </c>
      <c r="D3703" s="1">
        <v>3235806</v>
      </c>
      <c r="E3703" s="1">
        <v>3236219</v>
      </c>
      <c r="F3703" s="1" t="s">
        <v>9</v>
      </c>
      <c r="G3703" s="1" t="s">
        <v>11409</v>
      </c>
    </row>
    <row r="3704" spans="1:7" ht="21" x14ac:dyDescent="0.25">
      <c r="A3704" s="2" t="str">
        <f>HYPERLINK("https://rth.dk/resources/bsgatlas/details.php?id=BSGatlas-gene-3703","BSGatlas-gene-3703")</f>
        <v>BSGatlas-gene-3703</v>
      </c>
      <c r="B3704" s="1" t="s">
        <v>3358</v>
      </c>
      <c r="C3704" s="1" t="s">
        <v>8</v>
      </c>
      <c r="D3704" s="1">
        <v>3236422</v>
      </c>
      <c r="E3704" s="1">
        <v>3236979</v>
      </c>
      <c r="F3704" s="1" t="s">
        <v>13</v>
      </c>
      <c r="G3704" s="1" t="s">
        <v>11409</v>
      </c>
    </row>
    <row r="3705" spans="1:7" ht="21" x14ac:dyDescent="0.25">
      <c r="A3705" s="2" t="str">
        <f>HYPERLINK("https://rth.dk/resources/bsgatlas/details.php?id=BSGatlas-gene-3704","BSGatlas-gene-3704")</f>
        <v>BSGatlas-gene-3704</v>
      </c>
      <c r="B3705" s="1" t="s">
        <v>3359</v>
      </c>
      <c r="C3705" s="1" t="s">
        <v>8</v>
      </c>
      <c r="D3705" s="1">
        <v>3237157</v>
      </c>
      <c r="E3705" s="1">
        <v>3238758</v>
      </c>
      <c r="F3705" s="1" t="s">
        <v>9</v>
      </c>
      <c r="G3705" s="1" t="s">
        <v>11409</v>
      </c>
    </row>
    <row r="3706" spans="1:7" ht="21" x14ac:dyDescent="0.25">
      <c r="A3706" s="2" t="str">
        <f>HYPERLINK("https://rth.dk/resources/bsgatlas/details.php?id=BSGatlas-gene-3705","BSGatlas-gene-3705")</f>
        <v>BSGatlas-gene-3705</v>
      </c>
      <c r="B3706" s="1" t="s">
        <v>3360</v>
      </c>
      <c r="C3706" s="1" t="s">
        <v>8</v>
      </c>
      <c r="D3706" s="1">
        <v>3238751</v>
      </c>
      <c r="E3706" s="1">
        <v>3239458</v>
      </c>
      <c r="F3706" s="1" t="s">
        <v>9</v>
      </c>
      <c r="G3706" s="1" t="s">
        <v>11409</v>
      </c>
    </row>
    <row r="3707" spans="1:7" ht="21" x14ac:dyDescent="0.25">
      <c r="A3707" s="2" t="str">
        <f>HYPERLINK("https://rth.dk/resources/bsgatlas/details.php?id=BSGatlas-gene-3706","BSGatlas-gene-3706")</f>
        <v>BSGatlas-gene-3706</v>
      </c>
      <c r="B3707" s="1" t="s">
        <v>3361</v>
      </c>
      <c r="C3707" s="1" t="s">
        <v>8</v>
      </c>
      <c r="D3707" s="1">
        <v>3239930</v>
      </c>
      <c r="E3707" s="1">
        <v>3241009</v>
      </c>
      <c r="F3707" s="1" t="s">
        <v>9</v>
      </c>
      <c r="G3707" s="1" t="s">
        <v>11409</v>
      </c>
    </row>
    <row r="3708" spans="1:7" ht="21" x14ac:dyDescent="0.25">
      <c r="A3708" s="2" t="str">
        <f>HYPERLINK("https://rth.dk/resources/bsgatlas/details.php?id=BSGatlas-gene-3707","BSGatlas-gene-3707")</f>
        <v>BSGatlas-gene-3707</v>
      </c>
      <c r="B3708" s="1" t="s">
        <v>3362</v>
      </c>
      <c r="C3708" s="1" t="s">
        <v>8</v>
      </c>
      <c r="D3708" s="1">
        <v>3241085</v>
      </c>
      <c r="E3708" s="1">
        <v>3242617</v>
      </c>
      <c r="F3708" s="1" t="s">
        <v>9</v>
      </c>
      <c r="G3708" s="1" t="s">
        <v>11409</v>
      </c>
    </row>
    <row r="3709" spans="1:7" ht="21" x14ac:dyDescent="0.25">
      <c r="A3709" s="2" t="str">
        <f>HYPERLINK("https://rth.dk/resources/bsgatlas/details.php?id=BSGatlas-gene-3708","BSGatlas-gene-3708")</f>
        <v>BSGatlas-gene-3708</v>
      </c>
      <c r="B3709" s="1" t="s">
        <v>3363</v>
      </c>
      <c r="C3709" s="1" t="s">
        <v>8</v>
      </c>
      <c r="D3709" s="1">
        <v>3242610</v>
      </c>
      <c r="E3709" s="1">
        <v>3243656</v>
      </c>
      <c r="F3709" s="1" t="s">
        <v>9</v>
      </c>
      <c r="G3709" s="1" t="s">
        <v>11409</v>
      </c>
    </row>
    <row r="3710" spans="1:7" ht="21" x14ac:dyDescent="0.25">
      <c r="A3710" s="2" t="str">
        <f>HYPERLINK("https://rth.dk/resources/bsgatlas/details.php?id=BSGatlas-gene-3709","BSGatlas-gene-3709")</f>
        <v>BSGatlas-gene-3709</v>
      </c>
      <c r="B3710" s="1" t="s">
        <v>3364</v>
      </c>
      <c r="C3710" s="1" t="s">
        <v>8</v>
      </c>
      <c r="D3710" s="1">
        <v>3243657</v>
      </c>
      <c r="E3710" s="1">
        <v>3244616</v>
      </c>
      <c r="F3710" s="1" t="s">
        <v>9</v>
      </c>
      <c r="G3710" s="1" t="s">
        <v>11409</v>
      </c>
    </row>
    <row r="3711" spans="1:7" ht="21" x14ac:dyDescent="0.25">
      <c r="A3711" s="2" t="str">
        <f>HYPERLINK("https://rth.dk/resources/bsgatlas/details.php?id=BSGatlas-gene-3710","BSGatlas-gene-3710")</f>
        <v>BSGatlas-gene-3710</v>
      </c>
      <c r="B3711" s="1" t="s">
        <v>3365</v>
      </c>
      <c r="C3711" s="1" t="s">
        <v>8</v>
      </c>
      <c r="D3711" s="1">
        <v>3244770</v>
      </c>
      <c r="E3711" s="1">
        <v>3246116</v>
      </c>
      <c r="F3711" s="1" t="s">
        <v>9</v>
      </c>
      <c r="G3711" s="1" t="s">
        <v>11409</v>
      </c>
    </row>
    <row r="3712" spans="1:7" ht="21" x14ac:dyDescent="0.25">
      <c r="A3712" s="2" t="str">
        <f>HYPERLINK("https://rth.dk/resources/bsgatlas/details.php?id=BSGatlas-gene-3711","BSGatlas-gene-3711")</f>
        <v>BSGatlas-gene-3711</v>
      </c>
      <c r="B3712" s="1" t="s">
        <v>3366</v>
      </c>
      <c r="C3712" s="1" t="s">
        <v>8</v>
      </c>
      <c r="D3712" s="1">
        <v>3246152</v>
      </c>
      <c r="E3712" s="1">
        <v>3246367</v>
      </c>
      <c r="F3712" s="1" t="s">
        <v>13</v>
      </c>
      <c r="G3712" s="1" t="s">
        <v>11409</v>
      </c>
    </row>
    <row r="3713" spans="1:7" ht="21" x14ac:dyDescent="0.25">
      <c r="A3713" s="2" t="str">
        <f>HYPERLINK("https://rth.dk/resources/bsgatlas/details.php?id=BSGatlas-gene-3712","BSGatlas-gene-3712")</f>
        <v>BSGatlas-gene-3712</v>
      </c>
      <c r="B3713" s="1" t="s">
        <v>3367</v>
      </c>
      <c r="C3713" s="1" t="s">
        <v>8</v>
      </c>
      <c r="D3713" s="1">
        <v>3246598</v>
      </c>
      <c r="E3713" s="1">
        <v>3249003</v>
      </c>
      <c r="F3713" s="1" t="s">
        <v>9</v>
      </c>
      <c r="G3713" s="1" t="s">
        <v>11409</v>
      </c>
    </row>
    <row r="3714" spans="1:7" ht="21" x14ac:dyDescent="0.25">
      <c r="A3714" s="2" t="str">
        <f>HYPERLINK("https://rth.dk/resources/bsgatlas/details.php?id=BSGatlas-gene-3713","BSGatlas-gene-3713")</f>
        <v>BSGatlas-gene-3713</v>
      </c>
      <c r="B3714" s="1" t="s">
        <v>3368</v>
      </c>
      <c r="C3714" s="1" t="s">
        <v>8</v>
      </c>
      <c r="D3714" s="1">
        <v>3248996</v>
      </c>
      <c r="E3714" s="1">
        <v>3249427</v>
      </c>
      <c r="F3714" s="1" t="s">
        <v>9</v>
      </c>
      <c r="G3714" s="1" t="s">
        <v>11409</v>
      </c>
    </row>
    <row r="3715" spans="1:7" ht="21" x14ac:dyDescent="0.25">
      <c r="A3715" s="2" t="str">
        <f>HYPERLINK("https://rth.dk/resources/bsgatlas/details.php?id=BSGatlas-gene-3714","BSGatlas-gene-3714")</f>
        <v>BSGatlas-gene-3714</v>
      </c>
      <c r="B3715" s="1" t="s">
        <v>3369</v>
      </c>
      <c r="C3715" s="1" t="s">
        <v>8</v>
      </c>
      <c r="D3715" s="1">
        <v>3249427</v>
      </c>
      <c r="E3715" s="1">
        <v>3249768</v>
      </c>
      <c r="F3715" s="1" t="s">
        <v>9</v>
      </c>
      <c r="G3715" s="1" t="s">
        <v>11409</v>
      </c>
    </row>
    <row r="3716" spans="1:7" ht="21" x14ac:dyDescent="0.25">
      <c r="A3716" s="2" t="str">
        <f>HYPERLINK("https://rth.dk/resources/bsgatlas/details.php?id=BSGatlas-gene-3715","BSGatlas-gene-3715")</f>
        <v>BSGatlas-gene-3715</v>
      </c>
      <c r="B3716" s="1" t="s">
        <v>3370</v>
      </c>
      <c r="C3716" s="1" t="s">
        <v>8</v>
      </c>
      <c r="D3716" s="1">
        <v>3249761</v>
      </c>
      <c r="E3716" s="1">
        <v>3251242</v>
      </c>
      <c r="F3716" s="1" t="s">
        <v>9</v>
      </c>
      <c r="G3716" s="1" t="s">
        <v>11409</v>
      </c>
    </row>
    <row r="3717" spans="1:7" ht="21" x14ac:dyDescent="0.25">
      <c r="A3717" s="2" t="str">
        <f>HYPERLINK("https://rth.dk/resources/bsgatlas/details.php?id=BSGatlas-gene-3716","BSGatlas-gene-3716")</f>
        <v>BSGatlas-gene-3716</v>
      </c>
      <c r="B3717" s="1" t="s">
        <v>3371</v>
      </c>
      <c r="C3717" s="1" t="s">
        <v>8</v>
      </c>
      <c r="D3717" s="1">
        <v>3251248</v>
      </c>
      <c r="E3717" s="1">
        <v>3251724</v>
      </c>
      <c r="F3717" s="1" t="s">
        <v>9</v>
      </c>
      <c r="G3717" s="1" t="s">
        <v>11409</v>
      </c>
    </row>
    <row r="3718" spans="1:7" ht="21" x14ac:dyDescent="0.25">
      <c r="A3718" s="2" t="str">
        <f>HYPERLINK("https://rth.dk/resources/bsgatlas/details.php?id=BSGatlas-gene-3717","BSGatlas-gene-3717")</f>
        <v>BSGatlas-gene-3717</v>
      </c>
      <c r="B3718" s="1" t="s">
        <v>3372</v>
      </c>
      <c r="C3718" s="1" t="s">
        <v>8</v>
      </c>
      <c r="D3718" s="1">
        <v>3251724</v>
      </c>
      <c r="E3718" s="1">
        <v>3252008</v>
      </c>
      <c r="F3718" s="1" t="s">
        <v>9</v>
      </c>
      <c r="G3718" s="1" t="s">
        <v>11409</v>
      </c>
    </row>
    <row r="3719" spans="1:7" ht="21" x14ac:dyDescent="0.25">
      <c r="A3719" s="2" t="str">
        <f>HYPERLINK("https://rth.dk/resources/bsgatlas/details.php?id=BSGatlas-gene-3718","BSGatlas-gene-3718")</f>
        <v>BSGatlas-gene-3718</v>
      </c>
      <c r="B3719" s="1" t="s">
        <v>3373</v>
      </c>
      <c r="C3719" s="1" t="s">
        <v>8</v>
      </c>
      <c r="D3719" s="1">
        <v>3251992</v>
      </c>
      <c r="E3719" s="1">
        <v>3252366</v>
      </c>
      <c r="F3719" s="1" t="s">
        <v>9</v>
      </c>
      <c r="G3719" s="1" t="s">
        <v>11409</v>
      </c>
    </row>
    <row r="3720" spans="1:7" ht="21" x14ac:dyDescent="0.25">
      <c r="A3720" s="2" t="str">
        <f>HYPERLINK("https://rth.dk/resources/bsgatlas/details.php?id=BSGatlas-gene-3719","BSGatlas-gene-3719")</f>
        <v>BSGatlas-gene-3719</v>
      </c>
      <c r="B3720" s="1" t="s">
        <v>3374</v>
      </c>
      <c r="C3720" s="1" t="s">
        <v>8</v>
      </c>
      <c r="D3720" s="1">
        <v>3252405</v>
      </c>
      <c r="E3720" s="1">
        <v>3252785</v>
      </c>
      <c r="F3720" s="1" t="s">
        <v>13</v>
      </c>
      <c r="G3720" s="1" t="s">
        <v>11409</v>
      </c>
    </row>
    <row r="3721" spans="1:7" ht="21" x14ac:dyDescent="0.25">
      <c r="A3721" s="2" t="str">
        <f>HYPERLINK("https://rth.dk/resources/bsgatlas/details.php?id=BSGatlas-gene-3720","BSGatlas-gene-3720")</f>
        <v>BSGatlas-gene-3720</v>
      </c>
      <c r="B3721" s="1" t="s">
        <v>3375</v>
      </c>
      <c r="C3721" s="1" t="s">
        <v>8</v>
      </c>
      <c r="D3721" s="1">
        <v>3252804</v>
      </c>
      <c r="E3721" s="1">
        <v>3253448</v>
      </c>
      <c r="F3721" s="1" t="s">
        <v>13</v>
      </c>
      <c r="G3721" s="1" t="s">
        <v>11409</v>
      </c>
    </row>
    <row r="3722" spans="1:7" ht="21" x14ac:dyDescent="0.25">
      <c r="A3722" s="2" t="str">
        <f>HYPERLINK("https://rth.dk/resources/bsgatlas/details.php?id=BSGatlas-gene-3721","BSGatlas-gene-3721")</f>
        <v>BSGatlas-gene-3721</v>
      </c>
      <c r="B3722" s="1" t="s">
        <v>3376</v>
      </c>
      <c r="C3722" s="1" t="s">
        <v>8</v>
      </c>
      <c r="D3722" s="1">
        <v>3253529</v>
      </c>
      <c r="E3722" s="1">
        <v>3255838</v>
      </c>
      <c r="F3722" s="1" t="s">
        <v>13</v>
      </c>
      <c r="G3722" s="1" t="s">
        <v>11409</v>
      </c>
    </row>
    <row r="3723" spans="1:7" ht="21" x14ac:dyDescent="0.25">
      <c r="A3723" s="2" t="str">
        <f>HYPERLINK("https://rth.dk/resources/bsgatlas/details.php?id=BSGatlas-gene-3722","BSGatlas-gene-3722")</f>
        <v>BSGatlas-gene-3722</v>
      </c>
      <c r="B3723" s="1" t="s">
        <v>3379</v>
      </c>
      <c r="C3723" s="1" t="s">
        <v>12</v>
      </c>
      <c r="D3723" s="1">
        <v>3255432</v>
      </c>
      <c r="E3723" s="1">
        <v>3256404</v>
      </c>
      <c r="F3723" s="1" t="s">
        <v>9</v>
      </c>
      <c r="G3723" s="1" t="s">
        <v>11406</v>
      </c>
    </row>
    <row r="3724" spans="1:7" ht="21" x14ac:dyDescent="0.25">
      <c r="A3724" s="2" t="str">
        <f>HYPERLINK("https://rth.dk/resources/bsgatlas/details.php?id=BSGatlas-gene-3723","BSGatlas-gene-3723")</f>
        <v>BSGatlas-gene-3723</v>
      </c>
      <c r="B3724" s="1" t="s">
        <v>3377</v>
      </c>
      <c r="C3724" s="1" t="s">
        <v>8</v>
      </c>
      <c r="D3724" s="1">
        <v>3255853</v>
      </c>
      <c r="E3724" s="1">
        <v>3256020</v>
      </c>
      <c r="F3724" s="1" t="s">
        <v>13</v>
      </c>
      <c r="G3724" s="1" t="s">
        <v>11409</v>
      </c>
    </row>
    <row r="3725" spans="1:7" ht="21" x14ac:dyDescent="0.25">
      <c r="A3725" s="2" t="str">
        <f>HYPERLINK("https://rth.dk/resources/bsgatlas/details.php?id=BSGatlas-gene-3724","BSGatlas-gene-3724")</f>
        <v>BSGatlas-gene-3724</v>
      </c>
      <c r="B3725" s="1" t="s">
        <v>3378</v>
      </c>
      <c r="C3725" s="1" t="s">
        <v>8</v>
      </c>
      <c r="D3725" s="1">
        <v>3256008</v>
      </c>
      <c r="E3725" s="1">
        <v>3256907</v>
      </c>
      <c r="F3725" s="1" t="s">
        <v>13</v>
      </c>
      <c r="G3725" s="1" t="s">
        <v>11409</v>
      </c>
    </row>
    <row r="3726" spans="1:7" ht="21" x14ac:dyDescent="0.25">
      <c r="A3726" s="2" t="str">
        <f>HYPERLINK("https://rth.dk/resources/bsgatlas/details.php?id=BSGatlas-gene-3725","BSGatlas-gene-3725")</f>
        <v>BSGatlas-gene-3725</v>
      </c>
      <c r="B3726" s="1" t="s">
        <v>3380</v>
      </c>
      <c r="C3726" s="1" t="s">
        <v>8</v>
      </c>
      <c r="D3726" s="1">
        <v>3257092</v>
      </c>
      <c r="E3726" s="1">
        <v>3257232</v>
      </c>
      <c r="F3726" s="1" t="s">
        <v>13</v>
      </c>
      <c r="G3726" s="1" t="s">
        <v>11409</v>
      </c>
    </row>
    <row r="3727" spans="1:7" ht="21" x14ac:dyDescent="0.25">
      <c r="A3727" s="2" t="str">
        <f>HYPERLINK("https://rth.dk/resources/bsgatlas/details.php?id=BSGatlas-gene-3726","BSGatlas-gene-3726")</f>
        <v>BSGatlas-gene-3726</v>
      </c>
      <c r="B3727" s="1" t="s">
        <v>318</v>
      </c>
      <c r="C3727" s="1" t="s">
        <v>8</v>
      </c>
      <c r="D3727" s="1">
        <v>3257454</v>
      </c>
      <c r="E3727" s="1">
        <v>3257579</v>
      </c>
      <c r="F3727" s="1" t="s">
        <v>9</v>
      </c>
      <c r="G3727" s="1" t="s">
        <v>11441</v>
      </c>
    </row>
    <row r="3728" spans="1:7" ht="21" x14ac:dyDescent="0.25">
      <c r="A3728" s="2" t="str">
        <f>HYPERLINK("https://rth.dk/resources/bsgatlas/details.php?id=BSGatlas-gene-3727","BSGatlas-gene-3727")</f>
        <v>BSGatlas-gene-3727</v>
      </c>
      <c r="B3728" s="1" t="s">
        <v>3382</v>
      </c>
      <c r="C3728" s="1" t="s">
        <v>8</v>
      </c>
      <c r="D3728" s="1">
        <v>3257693</v>
      </c>
      <c r="E3728" s="1">
        <v>3258061</v>
      </c>
      <c r="F3728" s="1" t="s">
        <v>9</v>
      </c>
      <c r="G3728" s="1" t="s">
        <v>11409</v>
      </c>
    </row>
    <row r="3729" spans="1:7" ht="21" x14ac:dyDescent="0.25">
      <c r="A3729" s="2" t="str">
        <f>HYPERLINK("https://rth.dk/resources/bsgatlas/details.php?id=BSGatlas-gene-3728","BSGatlas-gene-3728")</f>
        <v>BSGatlas-gene-3728</v>
      </c>
      <c r="B3729" s="1" t="s">
        <v>3381</v>
      </c>
      <c r="C3729" s="1" t="s">
        <v>8</v>
      </c>
      <c r="D3729" s="1">
        <v>3258037</v>
      </c>
      <c r="E3729" s="1">
        <v>3259266</v>
      </c>
      <c r="F3729" s="1" t="s">
        <v>13</v>
      </c>
      <c r="G3729" s="1" t="s">
        <v>11409</v>
      </c>
    </row>
    <row r="3730" spans="1:7" ht="21" x14ac:dyDescent="0.25">
      <c r="A3730" s="2" t="str">
        <f>HYPERLINK("https://rth.dk/resources/bsgatlas/details.php?id=BSGatlas-gene-3729","BSGatlas-gene-3729")</f>
        <v>BSGatlas-gene-3729</v>
      </c>
      <c r="B3730" s="1" t="s">
        <v>3383</v>
      </c>
      <c r="C3730" s="1" t="s">
        <v>8</v>
      </c>
      <c r="D3730" s="1">
        <v>3259403</v>
      </c>
      <c r="E3730" s="1">
        <v>3260875</v>
      </c>
      <c r="F3730" s="1" t="s">
        <v>13</v>
      </c>
      <c r="G3730" s="1" t="s">
        <v>11409</v>
      </c>
    </row>
    <row r="3731" spans="1:7" ht="21" x14ac:dyDescent="0.25">
      <c r="A3731" s="2" t="str">
        <f>HYPERLINK("https://rth.dk/resources/bsgatlas/details.php?id=BSGatlas-gene-3730","BSGatlas-gene-3730")</f>
        <v>BSGatlas-gene-3730</v>
      </c>
      <c r="B3731" s="1" t="s">
        <v>3384</v>
      </c>
      <c r="C3731" s="1" t="s">
        <v>8</v>
      </c>
      <c r="D3731" s="1">
        <v>3260891</v>
      </c>
      <c r="E3731" s="1">
        <v>3261442</v>
      </c>
      <c r="F3731" s="1" t="s">
        <v>13</v>
      </c>
      <c r="G3731" s="1" t="s">
        <v>11409</v>
      </c>
    </row>
    <row r="3732" spans="1:7" ht="21" x14ac:dyDescent="0.25">
      <c r="A3732" s="2" t="str">
        <f>HYPERLINK("https://rth.dk/resources/bsgatlas/details.php?id=BSGatlas-gene-3731","BSGatlas-gene-3731")</f>
        <v>BSGatlas-gene-3731</v>
      </c>
      <c r="B3732" s="1" t="s">
        <v>3385</v>
      </c>
      <c r="C3732" s="1" t="s">
        <v>8</v>
      </c>
      <c r="D3732" s="1">
        <v>3261539</v>
      </c>
      <c r="E3732" s="1">
        <v>3261937</v>
      </c>
      <c r="F3732" s="1" t="s">
        <v>13</v>
      </c>
      <c r="G3732" s="1" t="s">
        <v>11409</v>
      </c>
    </row>
    <row r="3733" spans="1:7" ht="21" x14ac:dyDescent="0.25">
      <c r="A3733" s="2" t="str">
        <f>HYPERLINK("https://rth.dk/resources/bsgatlas/details.php?id=BSGatlas-gene-3732","BSGatlas-gene-3732")</f>
        <v>BSGatlas-gene-3732</v>
      </c>
      <c r="B3733" s="1" t="s">
        <v>3386</v>
      </c>
      <c r="C3733" s="1" t="s">
        <v>8</v>
      </c>
      <c r="D3733" s="1">
        <v>3262009</v>
      </c>
      <c r="E3733" s="1">
        <v>3262257</v>
      </c>
      <c r="F3733" s="1" t="s">
        <v>13</v>
      </c>
      <c r="G3733" s="1" t="s">
        <v>11409</v>
      </c>
    </row>
    <row r="3734" spans="1:7" ht="21" x14ac:dyDescent="0.25">
      <c r="A3734" s="2" t="str">
        <f>HYPERLINK("https://rth.dk/resources/bsgatlas/details.php?id=BSGatlas-gene-3733","BSGatlas-gene-3733")</f>
        <v>BSGatlas-gene-3733</v>
      </c>
      <c r="B3734" s="1" t="s">
        <v>3387</v>
      </c>
      <c r="C3734" s="1" t="s">
        <v>8</v>
      </c>
      <c r="D3734" s="1">
        <v>3262330</v>
      </c>
      <c r="E3734" s="1">
        <v>3262551</v>
      </c>
      <c r="F3734" s="1" t="s">
        <v>13</v>
      </c>
      <c r="G3734" s="1" t="s">
        <v>11409</v>
      </c>
    </row>
    <row r="3735" spans="1:7" ht="21" x14ac:dyDescent="0.25">
      <c r="A3735" s="2" t="str">
        <f>HYPERLINK("https://rth.dk/resources/bsgatlas/details.php?id=BSGatlas-gene-3734","BSGatlas-gene-3734")</f>
        <v>BSGatlas-gene-3734</v>
      </c>
      <c r="B3735" s="1" t="s">
        <v>3388</v>
      </c>
      <c r="C3735" s="1" t="s">
        <v>8</v>
      </c>
      <c r="D3735" s="1">
        <v>3262611</v>
      </c>
      <c r="E3735" s="1">
        <v>3263720</v>
      </c>
      <c r="F3735" s="1" t="s">
        <v>13</v>
      </c>
      <c r="G3735" s="1" t="s">
        <v>11409</v>
      </c>
    </row>
    <row r="3736" spans="1:7" ht="21" x14ac:dyDescent="0.25">
      <c r="A3736" s="2" t="str">
        <f>HYPERLINK("https://rth.dk/resources/bsgatlas/details.php?id=BSGatlas-gene-3735","BSGatlas-gene-3735")</f>
        <v>BSGatlas-gene-3735</v>
      </c>
      <c r="B3736" s="1" t="s">
        <v>3389</v>
      </c>
      <c r="C3736" s="1" t="s">
        <v>8</v>
      </c>
      <c r="D3736" s="1">
        <v>3263835</v>
      </c>
      <c r="E3736" s="1">
        <v>3264224</v>
      </c>
      <c r="F3736" s="1" t="s">
        <v>9</v>
      </c>
      <c r="G3736" s="1" t="s">
        <v>11409</v>
      </c>
    </row>
    <row r="3737" spans="1:7" ht="21" x14ac:dyDescent="0.25">
      <c r="A3737" s="2" t="str">
        <f>HYPERLINK("https://rth.dk/resources/bsgatlas/details.php?id=BSGatlas-gene-3736","BSGatlas-gene-3736")</f>
        <v>BSGatlas-gene-3736</v>
      </c>
      <c r="B3737" s="1" t="s">
        <v>3390</v>
      </c>
      <c r="C3737" s="1" t="s">
        <v>8</v>
      </c>
      <c r="D3737" s="1">
        <v>3264265</v>
      </c>
      <c r="E3737" s="1">
        <v>3264501</v>
      </c>
      <c r="F3737" s="1" t="s">
        <v>13</v>
      </c>
      <c r="G3737" s="1" t="s">
        <v>11409</v>
      </c>
    </row>
    <row r="3738" spans="1:7" ht="21" x14ac:dyDescent="0.25">
      <c r="A3738" s="2" t="str">
        <f>HYPERLINK("https://rth.dk/resources/bsgatlas/details.php?id=BSGatlas-gene-3737","BSGatlas-gene-3737")</f>
        <v>BSGatlas-gene-3737</v>
      </c>
      <c r="B3738" s="1" t="s">
        <v>3391</v>
      </c>
      <c r="C3738" s="1" t="s">
        <v>8</v>
      </c>
      <c r="D3738" s="1">
        <v>3264678</v>
      </c>
      <c r="E3738" s="1">
        <v>3265208</v>
      </c>
      <c r="F3738" s="1" t="s">
        <v>13</v>
      </c>
      <c r="G3738" s="1" t="s">
        <v>11409</v>
      </c>
    </row>
    <row r="3739" spans="1:7" ht="21" x14ac:dyDescent="0.25">
      <c r="A3739" s="2" t="str">
        <f>HYPERLINK("https://rth.dk/resources/bsgatlas/details.php?id=BSGatlas-gene-3738","BSGatlas-gene-3738")</f>
        <v>BSGatlas-gene-3738</v>
      </c>
      <c r="B3739" s="1" t="s">
        <v>3392</v>
      </c>
      <c r="C3739" s="1" t="s">
        <v>8</v>
      </c>
      <c r="D3739" s="1">
        <v>3265406</v>
      </c>
      <c r="E3739" s="1">
        <v>3266137</v>
      </c>
      <c r="F3739" s="1" t="s">
        <v>13</v>
      </c>
      <c r="G3739" s="1" t="s">
        <v>11409</v>
      </c>
    </row>
    <row r="3740" spans="1:7" ht="21" x14ac:dyDescent="0.25">
      <c r="A3740" s="2" t="str">
        <f>HYPERLINK("https://rth.dk/resources/bsgatlas/details.php?id=BSGatlas-gene-3739","BSGatlas-gene-3739")</f>
        <v>BSGatlas-gene-3739</v>
      </c>
      <c r="B3740" s="1" t="s">
        <v>3393</v>
      </c>
      <c r="C3740" s="1" t="s">
        <v>8</v>
      </c>
      <c r="D3740" s="1">
        <v>3266200</v>
      </c>
      <c r="E3740" s="1">
        <v>3266655</v>
      </c>
      <c r="F3740" s="1" t="s">
        <v>13</v>
      </c>
      <c r="G3740" s="1" t="s">
        <v>11409</v>
      </c>
    </row>
    <row r="3741" spans="1:7" ht="21" x14ac:dyDescent="0.25">
      <c r="A3741" s="2" t="str">
        <f>HYPERLINK("https://rth.dk/resources/bsgatlas/details.php?id=BSGatlas-gene-3740","BSGatlas-gene-3740")</f>
        <v>BSGatlas-gene-3740</v>
      </c>
      <c r="B3741" s="1" t="s">
        <v>3399</v>
      </c>
      <c r="C3741" s="1" t="s">
        <v>12</v>
      </c>
      <c r="D3741" s="1">
        <v>3266637</v>
      </c>
      <c r="E3741" s="1">
        <v>3269004</v>
      </c>
      <c r="F3741" s="1" t="s">
        <v>9</v>
      </c>
      <c r="G3741" s="1" t="s">
        <v>11406</v>
      </c>
    </row>
    <row r="3742" spans="1:7" ht="21" x14ac:dyDescent="0.25">
      <c r="A3742" s="2" t="str">
        <f>HYPERLINK("https://rth.dk/resources/bsgatlas/details.php?id=BSGatlas-gene-3741","BSGatlas-gene-3741")</f>
        <v>BSGatlas-gene-3741</v>
      </c>
      <c r="B3742" s="1" t="s">
        <v>3394</v>
      </c>
      <c r="C3742" s="1" t="s">
        <v>8</v>
      </c>
      <c r="D3742" s="1">
        <v>3266687</v>
      </c>
      <c r="E3742" s="1">
        <v>3269917</v>
      </c>
      <c r="F3742" s="1" t="s">
        <v>13</v>
      </c>
      <c r="G3742" s="1" t="s">
        <v>11409</v>
      </c>
    </row>
    <row r="3743" spans="1:7" ht="21" x14ac:dyDescent="0.25">
      <c r="A3743" s="2" t="str">
        <f>HYPERLINK("https://rth.dk/resources/bsgatlas/details.php?id=BSGatlas-gene-3742","BSGatlas-gene-3742")</f>
        <v>BSGatlas-gene-3742</v>
      </c>
      <c r="B3743" s="1" t="s">
        <v>3395</v>
      </c>
      <c r="C3743" s="1" t="s">
        <v>8</v>
      </c>
      <c r="D3743" s="1">
        <v>3269914</v>
      </c>
      <c r="E3743" s="1">
        <v>3274401</v>
      </c>
      <c r="F3743" s="1" t="s">
        <v>13</v>
      </c>
      <c r="G3743" s="1" t="s">
        <v>11409</v>
      </c>
    </row>
    <row r="3744" spans="1:7" ht="21" x14ac:dyDescent="0.25">
      <c r="A3744" s="2" t="str">
        <f>HYPERLINK("https://rth.dk/resources/bsgatlas/details.php?id=BSGatlas-gene-3743","BSGatlas-gene-3743")</f>
        <v>BSGatlas-gene-3743</v>
      </c>
      <c r="B3744" s="1" t="s">
        <v>3400</v>
      </c>
      <c r="C3744" s="1" t="s">
        <v>12</v>
      </c>
      <c r="D3744" s="1">
        <v>3273703</v>
      </c>
      <c r="E3744" s="1">
        <v>3274665</v>
      </c>
      <c r="F3744" s="1" t="s">
        <v>9</v>
      </c>
      <c r="G3744" s="1" t="s">
        <v>11406</v>
      </c>
    </row>
    <row r="3745" spans="1:7" ht="21" x14ac:dyDescent="0.25">
      <c r="A3745" s="2" t="str">
        <f>HYPERLINK("https://rth.dk/resources/bsgatlas/details.php?id=BSGatlas-gene-3744","BSGatlas-gene-3744")</f>
        <v>BSGatlas-gene-3744</v>
      </c>
      <c r="B3745" s="1" t="s">
        <v>3396</v>
      </c>
      <c r="C3745" s="1" t="s">
        <v>8</v>
      </c>
      <c r="D3745" s="1">
        <v>3274462</v>
      </c>
      <c r="E3745" s="1">
        <v>3275817</v>
      </c>
      <c r="F3745" s="1" t="s">
        <v>13</v>
      </c>
      <c r="G3745" s="1" t="s">
        <v>11409</v>
      </c>
    </row>
    <row r="3746" spans="1:7" ht="21" x14ac:dyDescent="0.25">
      <c r="A3746" s="2" t="str">
        <f>HYPERLINK("https://rth.dk/resources/bsgatlas/details.php?id=BSGatlas-gene-3745","BSGatlas-gene-3745")</f>
        <v>BSGatlas-gene-3745</v>
      </c>
      <c r="B3746" s="1" t="s">
        <v>3397</v>
      </c>
      <c r="C3746" s="1" t="s">
        <v>8</v>
      </c>
      <c r="D3746" s="1">
        <v>3275832</v>
      </c>
      <c r="E3746" s="1">
        <v>3276071</v>
      </c>
      <c r="F3746" s="1" t="s">
        <v>13</v>
      </c>
      <c r="G3746" s="1" t="s">
        <v>11409</v>
      </c>
    </row>
    <row r="3747" spans="1:7" ht="21" x14ac:dyDescent="0.25">
      <c r="A3747" s="2" t="str">
        <f>HYPERLINK("https://rth.dk/resources/bsgatlas/details.php?id=BSGatlas-gene-3746","BSGatlas-gene-3746")</f>
        <v>BSGatlas-gene-3746</v>
      </c>
      <c r="B3747" s="1" t="s">
        <v>3398</v>
      </c>
      <c r="C3747" s="1" t="s">
        <v>8</v>
      </c>
      <c r="D3747" s="1">
        <v>3276141</v>
      </c>
      <c r="E3747" s="1">
        <v>3276434</v>
      </c>
      <c r="F3747" s="1" t="s">
        <v>13</v>
      </c>
      <c r="G3747" s="1" t="s">
        <v>11409</v>
      </c>
    </row>
    <row r="3748" spans="1:7" ht="21" x14ac:dyDescent="0.25">
      <c r="A3748" s="2" t="str">
        <f>HYPERLINK("https://rth.dk/resources/bsgatlas/details.php?id=BSGatlas-gene-3747","BSGatlas-gene-3747")</f>
        <v>BSGatlas-gene-3747</v>
      </c>
      <c r="B3748" s="1" t="s">
        <v>3401</v>
      </c>
      <c r="C3748" s="1" t="s">
        <v>12</v>
      </c>
      <c r="D3748" s="1">
        <v>3276604</v>
      </c>
      <c r="E3748" s="1">
        <v>3276710</v>
      </c>
      <c r="F3748" s="1" t="s">
        <v>9</v>
      </c>
      <c r="G3748" s="1" t="s">
        <v>11406</v>
      </c>
    </row>
    <row r="3749" spans="1:7" ht="21" x14ac:dyDescent="0.25">
      <c r="A3749" s="2" t="str">
        <f>HYPERLINK("https://rth.dk/resources/bsgatlas/details.php?id=BSGatlas-gene-3748","BSGatlas-gene-3748")</f>
        <v>BSGatlas-gene-3748</v>
      </c>
      <c r="B3749" s="1" t="s">
        <v>3402</v>
      </c>
      <c r="C3749" s="1" t="s">
        <v>8</v>
      </c>
      <c r="D3749" s="1">
        <v>3276955</v>
      </c>
      <c r="E3749" s="1">
        <v>3278223</v>
      </c>
      <c r="F3749" s="1" t="s">
        <v>9</v>
      </c>
      <c r="G3749" s="1" t="s">
        <v>11409</v>
      </c>
    </row>
    <row r="3750" spans="1:7" ht="21" x14ac:dyDescent="0.25">
      <c r="A3750" s="2" t="str">
        <f>HYPERLINK("https://rth.dk/resources/bsgatlas/details.php?id=BSGatlas-gene-3749","BSGatlas-gene-3749")</f>
        <v>BSGatlas-gene-3749</v>
      </c>
      <c r="B3750" s="1" t="s">
        <v>3403</v>
      </c>
      <c r="C3750" s="1" t="s">
        <v>8</v>
      </c>
      <c r="D3750" s="1">
        <v>3278325</v>
      </c>
      <c r="E3750" s="1">
        <v>3279461</v>
      </c>
      <c r="F3750" s="1" t="s">
        <v>9</v>
      </c>
      <c r="G3750" s="1" t="s">
        <v>11409</v>
      </c>
    </row>
    <row r="3751" spans="1:7" ht="21" x14ac:dyDescent="0.25">
      <c r="A3751" s="2" t="str">
        <f>HYPERLINK("https://rth.dk/resources/bsgatlas/details.php?id=BSGatlas-gene-3750","BSGatlas-gene-3750")</f>
        <v>BSGatlas-gene-3750</v>
      </c>
      <c r="B3751" s="1" t="s">
        <v>3404</v>
      </c>
      <c r="C3751" s="1" t="s">
        <v>8</v>
      </c>
      <c r="D3751" s="1">
        <v>3279573</v>
      </c>
      <c r="E3751" s="1">
        <v>3280250</v>
      </c>
      <c r="F3751" s="1" t="s">
        <v>9</v>
      </c>
      <c r="G3751" s="1" t="s">
        <v>11409</v>
      </c>
    </row>
    <row r="3752" spans="1:7" ht="21" x14ac:dyDescent="0.25">
      <c r="A3752" s="2" t="str">
        <f>HYPERLINK("https://rth.dk/resources/bsgatlas/details.php?id=BSGatlas-gene-3751","BSGatlas-gene-3751")</f>
        <v>BSGatlas-gene-3751</v>
      </c>
      <c r="B3752" s="1" t="s">
        <v>3405</v>
      </c>
      <c r="C3752" s="1" t="s">
        <v>8</v>
      </c>
      <c r="D3752" s="1">
        <v>3280294</v>
      </c>
      <c r="E3752" s="1">
        <v>3280503</v>
      </c>
      <c r="F3752" s="1" t="s">
        <v>13</v>
      </c>
      <c r="G3752" s="1" t="s">
        <v>11409</v>
      </c>
    </row>
    <row r="3753" spans="1:7" ht="21" x14ac:dyDescent="0.25">
      <c r="A3753" s="2" t="str">
        <f>HYPERLINK("https://rth.dk/resources/bsgatlas/details.php?id=BSGatlas-gene-3752","BSGatlas-gene-3752")</f>
        <v>BSGatlas-gene-3752</v>
      </c>
      <c r="B3753" s="1" t="s">
        <v>3406</v>
      </c>
      <c r="C3753" s="1" t="s">
        <v>8</v>
      </c>
      <c r="D3753" s="1">
        <v>3280519</v>
      </c>
      <c r="E3753" s="1">
        <v>3287655</v>
      </c>
      <c r="F3753" s="1" t="s">
        <v>13</v>
      </c>
      <c r="G3753" s="1" t="s">
        <v>11409</v>
      </c>
    </row>
    <row r="3754" spans="1:7" ht="21" x14ac:dyDescent="0.25">
      <c r="A3754" s="2" t="str">
        <f>HYPERLINK("https://rth.dk/resources/bsgatlas/details.php?id=BSGatlas-gene-3753","BSGatlas-gene-3753")</f>
        <v>BSGatlas-gene-3753</v>
      </c>
      <c r="B3754" s="1" t="s">
        <v>3407</v>
      </c>
      <c r="C3754" s="1" t="s">
        <v>8</v>
      </c>
      <c r="D3754" s="1">
        <v>3287675</v>
      </c>
      <c r="E3754" s="1">
        <v>3288613</v>
      </c>
      <c r="F3754" s="1" t="s">
        <v>13</v>
      </c>
      <c r="G3754" s="1" t="s">
        <v>11409</v>
      </c>
    </row>
    <row r="3755" spans="1:7" ht="21" x14ac:dyDescent="0.25">
      <c r="A3755" s="2" t="str">
        <f>HYPERLINK("https://rth.dk/resources/bsgatlas/details.php?id=BSGatlas-gene-3754","BSGatlas-gene-3754")</f>
        <v>BSGatlas-gene-3754</v>
      </c>
      <c r="B3755" s="1" t="s">
        <v>3408</v>
      </c>
      <c r="C3755" s="1" t="s">
        <v>8</v>
      </c>
      <c r="D3755" s="1">
        <v>3288641</v>
      </c>
      <c r="E3755" s="1">
        <v>3290260</v>
      </c>
      <c r="F3755" s="1" t="s">
        <v>13</v>
      </c>
      <c r="G3755" s="1" t="s">
        <v>11409</v>
      </c>
    </row>
    <row r="3756" spans="1:7" ht="21" x14ac:dyDescent="0.25">
      <c r="A3756" s="2" t="str">
        <f>HYPERLINK("https://rth.dk/resources/bsgatlas/details.php?id=BSGatlas-gene-3755","BSGatlas-gene-3755")</f>
        <v>BSGatlas-gene-3755</v>
      </c>
      <c r="B3756" s="1" t="s">
        <v>3409</v>
      </c>
      <c r="C3756" s="1" t="s">
        <v>8</v>
      </c>
      <c r="D3756" s="1">
        <v>3290289</v>
      </c>
      <c r="E3756" s="1">
        <v>3291485</v>
      </c>
      <c r="F3756" s="1" t="s">
        <v>13</v>
      </c>
      <c r="G3756" s="1" t="s">
        <v>11409</v>
      </c>
    </row>
    <row r="3757" spans="1:7" ht="21" x14ac:dyDescent="0.25">
      <c r="A3757" s="2" t="str">
        <f>HYPERLINK("https://rth.dk/resources/bsgatlas/details.php?id=BSGatlas-gene-3756","BSGatlas-gene-3756")</f>
        <v>BSGatlas-gene-3756</v>
      </c>
      <c r="B3757" s="1" t="s">
        <v>3410</v>
      </c>
      <c r="C3757" s="1" t="s">
        <v>8</v>
      </c>
      <c r="D3757" s="1">
        <v>3291511</v>
      </c>
      <c r="E3757" s="1">
        <v>3292296</v>
      </c>
      <c r="F3757" s="1" t="s">
        <v>13</v>
      </c>
      <c r="G3757" s="1" t="s">
        <v>11409</v>
      </c>
    </row>
    <row r="3758" spans="1:7" ht="21" x14ac:dyDescent="0.25">
      <c r="A3758" s="2" t="str">
        <f>HYPERLINK("https://rth.dk/resources/bsgatlas/details.php?id=BSGatlas-gene-3757","BSGatlas-gene-3757")</f>
        <v>BSGatlas-gene-3757</v>
      </c>
      <c r="B3758" s="1" t="s">
        <v>3411</v>
      </c>
      <c r="C3758" s="1" t="s">
        <v>8</v>
      </c>
      <c r="D3758" s="1">
        <v>3292490</v>
      </c>
      <c r="E3758" s="1">
        <v>3293359</v>
      </c>
      <c r="F3758" s="1" t="s">
        <v>13</v>
      </c>
      <c r="G3758" s="1" t="s">
        <v>11409</v>
      </c>
    </row>
    <row r="3759" spans="1:7" ht="21" x14ac:dyDescent="0.25">
      <c r="A3759" s="2" t="str">
        <f>HYPERLINK("https://rth.dk/resources/bsgatlas/details.php?id=BSGatlas-gene-3758","BSGatlas-gene-3758")</f>
        <v>BSGatlas-gene-3758</v>
      </c>
      <c r="B3759" s="1" t="s">
        <v>3412</v>
      </c>
      <c r="C3759" s="1" t="s">
        <v>8</v>
      </c>
      <c r="D3759" s="1">
        <v>3293573</v>
      </c>
      <c r="E3759" s="1">
        <v>3294169</v>
      </c>
      <c r="F3759" s="1" t="s">
        <v>13</v>
      </c>
      <c r="G3759" s="1" t="s">
        <v>11409</v>
      </c>
    </row>
    <row r="3760" spans="1:7" ht="21" x14ac:dyDescent="0.25">
      <c r="A3760" s="2" t="str">
        <f>HYPERLINK("https://rth.dk/resources/bsgatlas/details.php?id=BSGatlas-gene-3759","BSGatlas-gene-3759")</f>
        <v>BSGatlas-gene-3759</v>
      </c>
      <c r="B3760" s="1" t="s">
        <v>3413</v>
      </c>
      <c r="C3760" s="1" t="s">
        <v>8</v>
      </c>
      <c r="D3760" s="1">
        <v>3294270</v>
      </c>
      <c r="E3760" s="1">
        <v>3294872</v>
      </c>
      <c r="F3760" s="1" t="s">
        <v>9</v>
      </c>
      <c r="G3760" s="1" t="s">
        <v>11409</v>
      </c>
    </row>
    <row r="3761" spans="1:7" ht="21" x14ac:dyDescent="0.25">
      <c r="A3761" s="2" t="str">
        <f>HYPERLINK("https://rth.dk/resources/bsgatlas/details.php?id=BSGatlas-gene-3760","BSGatlas-gene-3760")</f>
        <v>BSGatlas-gene-3760</v>
      </c>
      <c r="B3761" s="1" t="s">
        <v>3414</v>
      </c>
      <c r="C3761" s="1" t="s">
        <v>8</v>
      </c>
      <c r="D3761" s="1">
        <v>3294942</v>
      </c>
      <c r="E3761" s="1">
        <v>3296270</v>
      </c>
      <c r="F3761" s="1" t="s">
        <v>13</v>
      </c>
      <c r="G3761" s="1" t="s">
        <v>11409</v>
      </c>
    </row>
    <row r="3762" spans="1:7" ht="21" x14ac:dyDescent="0.25">
      <c r="A3762" s="2" t="str">
        <f>HYPERLINK("https://rth.dk/resources/bsgatlas/details.php?id=BSGatlas-gene-3761","BSGatlas-gene-3761")</f>
        <v>BSGatlas-gene-3761</v>
      </c>
      <c r="B3762" s="1" t="s">
        <v>3415</v>
      </c>
      <c r="C3762" s="1" t="s">
        <v>8</v>
      </c>
      <c r="D3762" s="1">
        <v>3296417</v>
      </c>
      <c r="E3762" s="1">
        <v>3297919</v>
      </c>
      <c r="F3762" s="1" t="s">
        <v>13</v>
      </c>
      <c r="G3762" s="1" t="s">
        <v>11409</v>
      </c>
    </row>
    <row r="3763" spans="1:7" ht="21" x14ac:dyDescent="0.25">
      <c r="A3763" s="2" t="str">
        <f>HYPERLINK("https://rth.dk/resources/bsgatlas/details.php?id=BSGatlas-gene-3762","BSGatlas-gene-3762")</f>
        <v>BSGatlas-gene-3762</v>
      </c>
      <c r="B3763" s="1" t="s">
        <v>3416</v>
      </c>
      <c r="C3763" s="1" t="s">
        <v>8</v>
      </c>
      <c r="D3763" s="1">
        <v>3298077</v>
      </c>
      <c r="E3763" s="1">
        <v>3298553</v>
      </c>
      <c r="F3763" s="1" t="s">
        <v>9</v>
      </c>
      <c r="G3763" s="1" t="s">
        <v>11409</v>
      </c>
    </row>
    <row r="3764" spans="1:7" ht="21" x14ac:dyDescent="0.25">
      <c r="A3764" s="2" t="str">
        <f>HYPERLINK("https://rth.dk/resources/bsgatlas/details.php?id=BSGatlas-gene-3763","BSGatlas-gene-3763")</f>
        <v>BSGatlas-gene-3763</v>
      </c>
      <c r="B3764" s="1" t="s">
        <v>3417</v>
      </c>
      <c r="C3764" s="1" t="s">
        <v>8</v>
      </c>
      <c r="D3764" s="1">
        <v>3298584</v>
      </c>
      <c r="E3764" s="1">
        <v>3299240</v>
      </c>
      <c r="F3764" s="1" t="s">
        <v>13</v>
      </c>
      <c r="G3764" s="1" t="s">
        <v>11409</v>
      </c>
    </row>
    <row r="3765" spans="1:7" ht="21" x14ac:dyDescent="0.25">
      <c r="A3765" s="2" t="str">
        <f>HYPERLINK("https://rth.dk/resources/bsgatlas/details.php?id=BSGatlas-gene-3764","BSGatlas-gene-3764")</f>
        <v>BSGatlas-gene-3764</v>
      </c>
      <c r="B3765" s="1" t="s">
        <v>3418</v>
      </c>
      <c r="C3765" s="1" t="s">
        <v>12</v>
      </c>
      <c r="D3765" s="1">
        <v>3298930</v>
      </c>
      <c r="E3765" s="1">
        <v>3299376</v>
      </c>
      <c r="F3765" s="1" t="s">
        <v>9</v>
      </c>
      <c r="G3765" s="1" t="s">
        <v>11406</v>
      </c>
    </row>
    <row r="3766" spans="1:7" ht="21" x14ac:dyDescent="0.25">
      <c r="A3766" s="2" t="str">
        <f>HYPERLINK("https://rth.dk/resources/bsgatlas/details.php?id=BSGatlas-gene-3765","BSGatlas-gene-3765")</f>
        <v>BSGatlas-gene-3765</v>
      </c>
      <c r="B3766" s="1" t="s">
        <v>3419</v>
      </c>
      <c r="C3766" s="1" t="s">
        <v>8</v>
      </c>
      <c r="D3766" s="1">
        <v>3299344</v>
      </c>
      <c r="E3766" s="1">
        <v>3299664</v>
      </c>
      <c r="F3766" s="1" t="s">
        <v>13</v>
      </c>
      <c r="G3766" s="1" t="s">
        <v>11409</v>
      </c>
    </row>
    <row r="3767" spans="1:7" ht="21" x14ac:dyDescent="0.25">
      <c r="A3767" s="2" t="str">
        <f>HYPERLINK("https://rth.dk/resources/bsgatlas/details.php?id=BSGatlas-gene-3766","BSGatlas-gene-3766")</f>
        <v>BSGatlas-gene-3766</v>
      </c>
      <c r="B3767" s="1" t="s">
        <v>3421</v>
      </c>
      <c r="C3767" s="1" t="s">
        <v>12</v>
      </c>
      <c r="D3767" s="1">
        <v>3299590</v>
      </c>
      <c r="E3767" s="1">
        <v>3299699</v>
      </c>
      <c r="F3767" s="1" t="s">
        <v>9</v>
      </c>
      <c r="G3767" s="1" t="s">
        <v>11406</v>
      </c>
    </row>
    <row r="3768" spans="1:7" ht="21" x14ac:dyDescent="0.25">
      <c r="A3768" s="2" t="str">
        <f>HYPERLINK("https://rth.dk/resources/bsgatlas/details.php?id=BSGatlas-gene-3767","BSGatlas-gene-3767")</f>
        <v>BSGatlas-gene-3767</v>
      </c>
      <c r="B3768" s="1" t="s">
        <v>3420</v>
      </c>
      <c r="C3768" s="1" t="s">
        <v>8</v>
      </c>
      <c r="D3768" s="1">
        <v>3299718</v>
      </c>
      <c r="E3768" s="1">
        <v>3299861</v>
      </c>
      <c r="F3768" s="1" t="s">
        <v>13</v>
      </c>
      <c r="G3768" s="1" t="s">
        <v>11409</v>
      </c>
    </row>
    <row r="3769" spans="1:7" ht="21" x14ac:dyDescent="0.25">
      <c r="A3769" s="2" t="str">
        <f>HYPERLINK("https://rth.dk/resources/bsgatlas/details.php?id=BSGatlas-gene-3768","BSGatlas-gene-3768")</f>
        <v>BSGatlas-gene-3768</v>
      </c>
      <c r="B3769" s="1" t="s">
        <v>3422</v>
      </c>
      <c r="C3769" s="1" t="s">
        <v>8</v>
      </c>
      <c r="D3769" s="1">
        <v>3300034</v>
      </c>
      <c r="E3769" s="1">
        <v>3301254</v>
      </c>
      <c r="F3769" s="1" t="s">
        <v>13</v>
      </c>
      <c r="G3769" s="1" t="s">
        <v>11409</v>
      </c>
    </row>
    <row r="3770" spans="1:7" ht="21" x14ac:dyDescent="0.25">
      <c r="A3770" s="2" t="str">
        <f>HYPERLINK("https://rth.dk/resources/bsgatlas/details.php?id=BSGatlas-gene-3769","BSGatlas-gene-3769")</f>
        <v>BSGatlas-gene-3769</v>
      </c>
      <c r="B3770" s="1" t="s">
        <v>3423</v>
      </c>
      <c r="C3770" s="1" t="s">
        <v>8</v>
      </c>
      <c r="D3770" s="1">
        <v>3301586</v>
      </c>
      <c r="E3770" s="1">
        <v>3302584</v>
      </c>
      <c r="F3770" s="1" t="s">
        <v>9</v>
      </c>
      <c r="G3770" s="1" t="s">
        <v>11409</v>
      </c>
    </row>
    <row r="3771" spans="1:7" ht="21" x14ac:dyDescent="0.25">
      <c r="A3771" s="2" t="str">
        <f>HYPERLINK("https://rth.dk/resources/bsgatlas/details.php?id=BSGatlas-gene-3770","BSGatlas-gene-3770")</f>
        <v>BSGatlas-gene-3770</v>
      </c>
      <c r="B3771" s="1" t="s">
        <v>3424</v>
      </c>
      <c r="C3771" s="1" t="s">
        <v>8</v>
      </c>
      <c r="D3771" s="1">
        <v>3302623</v>
      </c>
      <c r="E3771" s="1">
        <v>3302763</v>
      </c>
      <c r="F3771" s="1" t="s">
        <v>13</v>
      </c>
      <c r="G3771" s="1" t="s">
        <v>11409</v>
      </c>
    </row>
    <row r="3772" spans="1:7" ht="21" x14ac:dyDescent="0.25">
      <c r="A3772" s="2" t="str">
        <f>HYPERLINK("https://rth.dk/resources/bsgatlas/details.php?id=BSGatlas-gene-3771","BSGatlas-gene-3771")</f>
        <v>BSGatlas-gene-3771</v>
      </c>
      <c r="B3772" s="1" t="s">
        <v>11716</v>
      </c>
      <c r="C3772" s="1" t="s">
        <v>34</v>
      </c>
      <c r="D3772" s="1">
        <v>3302792</v>
      </c>
      <c r="E3772" s="1">
        <v>3302876</v>
      </c>
      <c r="F3772" s="1" t="s">
        <v>13</v>
      </c>
      <c r="G3772" s="1" t="s">
        <v>11408</v>
      </c>
    </row>
    <row r="3773" spans="1:7" ht="21" x14ac:dyDescent="0.25">
      <c r="A3773" s="2" t="str">
        <f>HYPERLINK("https://rth.dk/resources/bsgatlas/details.php?id=BSGatlas-gene-3772","BSGatlas-gene-3772")</f>
        <v>BSGatlas-gene-3772</v>
      </c>
      <c r="B3773" s="1" t="s">
        <v>3425</v>
      </c>
      <c r="C3773" s="1" t="s">
        <v>8</v>
      </c>
      <c r="D3773" s="1">
        <v>3303042</v>
      </c>
      <c r="E3773" s="1">
        <v>3304022</v>
      </c>
      <c r="F3773" s="1" t="s">
        <v>9</v>
      </c>
      <c r="G3773" s="1" t="s">
        <v>11409</v>
      </c>
    </row>
    <row r="3774" spans="1:7" ht="21" x14ac:dyDescent="0.25">
      <c r="A3774" s="2" t="str">
        <f>HYPERLINK("https://rth.dk/resources/bsgatlas/details.php?id=BSGatlas-gene-3773","BSGatlas-gene-3773")</f>
        <v>BSGatlas-gene-3773</v>
      </c>
      <c r="B3774" s="1" t="s">
        <v>3426</v>
      </c>
      <c r="C3774" s="1" t="s">
        <v>8</v>
      </c>
      <c r="D3774" s="1">
        <v>3304096</v>
      </c>
      <c r="E3774" s="1">
        <v>3304719</v>
      </c>
      <c r="F3774" s="1" t="s">
        <v>13</v>
      </c>
      <c r="G3774" s="1" t="s">
        <v>11409</v>
      </c>
    </row>
    <row r="3775" spans="1:7" ht="21" x14ac:dyDescent="0.25">
      <c r="A3775" s="2" t="str">
        <f>HYPERLINK("https://rth.dk/resources/bsgatlas/details.php?id=BSGatlas-gene-3774","BSGatlas-gene-3774")</f>
        <v>BSGatlas-gene-3774</v>
      </c>
      <c r="B3775" s="1" t="s">
        <v>3427</v>
      </c>
      <c r="C3775" s="1" t="s">
        <v>8</v>
      </c>
      <c r="D3775" s="1">
        <v>3304743</v>
      </c>
      <c r="E3775" s="1">
        <v>3305261</v>
      </c>
      <c r="F3775" s="1" t="s">
        <v>13</v>
      </c>
      <c r="G3775" s="1" t="s">
        <v>11409</v>
      </c>
    </row>
    <row r="3776" spans="1:7" ht="21" x14ac:dyDescent="0.25">
      <c r="A3776" s="2" t="str">
        <f>HYPERLINK("https://rth.dk/resources/bsgatlas/details.php?id=BSGatlas-gene-3775","BSGatlas-gene-3775")</f>
        <v>BSGatlas-gene-3775</v>
      </c>
      <c r="B3776" s="1" t="s">
        <v>3428</v>
      </c>
      <c r="C3776" s="1" t="s">
        <v>8</v>
      </c>
      <c r="D3776" s="1">
        <v>3305599</v>
      </c>
      <c r="E3776" s="1">
        <v>3305961</v>
      </c>
      <c r="F3776" s="1" t="s">
        <v>13</v>
      </c>
      <c r="G3776" s="1" t="s">
        <v>11409</v>
      </c>
    </row>
    <row r="3777" spans="1:7" ht="21" x14ac:dyDescent="0.25">
      <c r="A3777" s="2" t="str">
        <f>HYPERLINK("https://rth.dk/resources/bsgatlas/details.php?id=BSGatlas-gene-3776","BSGatlas-gene-3776")</f>
        <v>BSGatlas-gene-3776</v>
      </c>
      <c r="B3777" s="1" t="s">
        <v>3429</v>
      </c>
      <c r="C3777" s="1" t="s">
        <v>8</v>
      </c>
      <c r="D3777" s="1">
        <v>3306040</v>
      </c>
      <c r="E3777" s="1">
        <v>3306894</v>
      </c>
      <c r="F3777" s="1" t="s">
        <v>13</v>
      </c>
      <c r="G3777" s="1" t="s">
        <v>11409</v>
      </c>
    </row>
    <row r="3778" spans="1:7" ht="21" x14ac:dyDescent="0.25">
      <c r="A3778" s="2" t="str">
        <f>HYPERLINK("https://rth.dk/resources/bsgatlas/details.php?id=BSGatlas-gene-3777","BSGatlas-gene-3777")</f>
        <v>BSGatlas-gene-3777</v>
      </c>
      <c r="B3778" s="1" t="s">
        <v>3430</v>
      </c>
      <c r="C3778" s="1" t="s">
        <v>8</v>
      </c>
      <c r="D3778" s="1">
        <v>3307017</v>
      </c>
      <c r="E3778" s="1">
        <v>3308231</v>
      </c>
      <c r="F3778" s="1" t="s">
        <v>13</v>
      </c>
      <c r="G3778" s="1" t="s">
        <v>11409</v>
      </c>
    </row>
    <row r="3779" spans="1:7" ht="21" x14ac:dyDescent="0.25">
      <c r="A3779" s="2" t="str">
        <f>HYPERLINK("https://rth.dk/resources/bsgatlas/details.php?id=BSGatlas-gene-3778","BSGatlas-gene-3778")</f>
        <v>BSGatlas-gene-3778</v>
      </c>
      <c r="B3779" s="1" t="s">
        <v>3431</v>
      </c>
      <c r="C3779" s="1" t="s">
        <v>12</v>
      </c>
      <c r="D3779" s="1">
        <v>3307598</v>
      </c>
      <c r="E3779" s="1">
        <v>3308367</v>
      </c>
      <c r="F3779" s="1" t="s">
        <v>9</v>
      </c>
      <c r="G3779" s="1" t="s">
        <v>11406</v>
      </c>
    </row>
    <row r="3780" spans="1:7" ht="21" x14ac:dyDescent="0.25">
      <c r="A3780" s="2" t="str">
        <f>HYPERLINK("https://rth.dk/resources/bsgatlas/details.php?id=BSGatlas-gene-3779","BSGatlas-gene-3779")</f>
        <v>BSGatlas-gene-3779</v>
      </c>
      <c r="B3780" s="1" t="s">
        <v>3432</v>
      </c>
      <c r="C3780" s="1" t="s">
        <v>8</v>
      </c>
      <c r="D3780" s="1">
        <v>3308368</v>
      </c>
      <c r="E3780" s="1">
        <v>3308604</v>
      </c>
      <c r="F3780" s="1" t="s">
        <v>13</v>
      </c>
      <c r="G3780" s="1" t="s">
        <v>11409</v>
      </c>
    </row>
    <row r="3781" spans="1:7" ht="21" x14ac:dyDescent="0.25">
      <c r="A3781" s="2" t="str">
        <f>HYPERLINK("https://rth.dk/resources/bsgatlas/details.php?id=BSGatlas-gene-3780","BSGatlas-gene-3780")</f>
        <v>BSGatlas-gene-3780</v>
      </c>
      <c r="B3781" s="1" t="s">
        <v>3433</v>
      </c>
      <c r="C3781" s="1" t="s">
        <v>8</v>
      </c>
      <c r="D3781" s="1">
        <v>3308867</v>
      </c>
      <c r="E3781" s="1">
        <v>3309934</v>
      </c>
      <c r="F3781" s="1" t="s">
        <v>9</v>
      </c>
      <c r="G3781" s="1" t="s">
        <v>11409</v>
      </c>
    </row>
    <row r="3782" spans="1:7" ht="21" x14ac:dyDescent="0.25">
      <c r="A3782" s="2" t="str">
        <f>HYPERLINK("https://rth.dk/resources/bsgatlas/details.php?id=BSGatlas-gene-3781","BSGatlas-gene-3781")</f>
        <v>BSGatlas-gene-3781</v>
      </c>
      <c r="B3782" s="1" t="s">
        <v>3434</v>
      </c>
      <c r="C3782" s="1" t="s">
        <v>8</v>
      </c>
      <c r="D3782" s="1">
        <v>3309960</v>
      </c>
      <c r="E3782" s="1">
        <v>3310286</v>
      </c>
      <c r="F3782" s="1" t="s">
        <v>13</v>
      </c>
      <c r="G3782" s="1" t="s">
        <v>11409</v>
      </c>
    </row>
    <row r="3783" spans="1:7" ht="21" x14ac:dyDescent="0.25">
      <c r="A3783" s="2" t="str">
        <f>HYPERLINK("https://rth.dk/resources/bsgatlas/details.php?id=BSGatlas-gene-3782","BSGatlas-gene-3782")</f>
        <v>BSGatlas-gene-3782</v>
      </c>
      <c r="B3783" s="1" t="s">
        <v>3435</v>
      </c>
      <c r="C3783" s="1" t="s">
        <v>8</v>
      </c>
      <c r="D3783" s="1">
        <v>3310386</v>
      </c>
      <c r="E3783" s="1">
        <v>3310721</v>
      </c>
      <c r="F3783" s="1" t="s">
        <v>9</v>
      </c>
      <c r="G3783" s="1" t="s">
        <v>11409</v>
      </c>
    </row>
    <row r="3784" spans="1:7" ht="21" x14ac:dyDescent="0.25">
      <c r="A3784" s="2" t="str">
        <f>HYPERLINK("https://rth.dk/resources/bsgatlas/details.php?id=BSGatlas-gene-3783","BSGatlas-gene-3783")</f>
        <v>BSGatlas-gene-3783</v>
      </c>
      <c r="B3784" s="1" t="s">
        <v>3436</v>
      </c>
      <c r="C3784" s="1" t="s">
        <v>8</v>
      </c>
      <c r="D3784" s="1">
        <v>3310763</v>
      </c>
      <c r="E3784" s="1">
        <v>3312736</v>
      </c>
      <c r="F3784" s="1" t="s">
        <v>13</v>
      </c>
      <c r="G3784" s="1" t="s">
        <v>11409</v>
      </c>
    </row>
    <row r="3785" spans="1:7" ht="21" x14ac:dyDescent="0.25">
      <c r="A3785" s="2" t="str">
        <f>HYPERLINK("https://rth.dk/resources/bsgatlas/details.php?id=BSGatlas-gene-3784","BSGatlas-gene-3784")</f>
        <v>BSGatlas-gene-3784</v>
      </c>
      <c r="B3785" s="1" t="s">
        <v>3437</v>
      </c>
      <c r="C3785" s="1" t="s">
        <v>8</v>
      </c>
      <c r="D3785" s="1">
        <v>3312844</v>
      </c>
      <c r="E3785" s="1">
        <v>3313773</v>
      </c>
      <c r="F3785" s="1" t="s">
        <v>13</v>
      </c>
      <c r="G3785" s="1" t="s">
        <v>11409</v>
      </c>
    </row>
    <row r="3786" spans="1:7" ht="21" x14ac:dyDescent="0.25">
      <c r="A3786" s="2" t="str">
        <f>HYPERLINK("https://rth.dk/resources/bsgatlas/details.php?id=BSGatlas-gene-3785","BSGatlas-gene-3785")</f>
        <v>BSGatlas-gene-3785</v>
      </c>
      <c r="B3786" s="1" t="s">
        <v>3438</v>
      </c>
      <c r="C3786" s="1" t="s">
        <v>8</v>
      </c>
      <c r="D3786" s="1">
        <v>3313770</v>
      </c>
      <c r="E3786" s="1">
        <v>3314828</v>
      </c>
      <c r="F3786" s="1" t="s">
        <v>13</v>
      </c>
      <c r="G3786" s="1" t="s">
        <v>11409</v>
      </c>
    </row>
    <row r="3787" spans="1:7" ht="21" x14ac:dyDescent="0.25">
      <c r="A3787" s="2" t="str">
        <f>HYPERLINK("https://rth.dk/resources/bsgatlas/details.php?id=BSGatlas-gene-3786","BSGatlas-gene-3786")</f>
        <v>BSGatlas-gene-3786</v>
      </c>
      <c r="B3787" s="1" t="s">
        <v>3439</v>
      </c>
      <c r="C3787" s="1" t="s">
        <v>8</v>
      </c>
      <c r="D3787" s="1">
        <v>3314828</v>
      </c>
      <c r="E3787" s="1">
        <v>3316129</v>
      </c>
      <c r="F3787" s="1" t="s">
        <v>13</v>
      </c>
      <c r="G3787" s="1" t="s">
        <v>11409</v>
      </c>
    </row>
    <row r="3788" spans="1:7" ht="21" x14ac:dyDescent="0.25">
      <c r="A3788" s="2" t="str">
        <f>HYPERLINK("https://rth.dk/resources/bsgatlas/details.php?id=BSGatlas-gene-3787","BSGatlas-gene-3787")</f>
        <v>BSGatlas-gene-3787</v>
      </c>
      <c r="B3788" s="1" t="s">
        <v>3440</v>
      </c>
      <c r="C3788" s="1" t="s">
        <v>8</v>
      </c>
      <c r="D3788" s="1">
        <v>3316330</v>
      </c>
      <c r="E3788" s="1">
        <v>3317349</v>
      </c>
      <c r="F3788" s="1" t="s">
        <v>13</v>
      </c>
      <c r="G3788" s="1" t="s">
        <v>11409</v>
      </c>
    </row>
    <row r="3789" spans="1:7" ht="21" x14ac:dyDescent="0.25">
      <c r="A3789" s="2" t="str">
        <f>HYPERLINK("https://rth.dk/resources/bsgatlas/details.php?id=BSGatlas-gene-3788","BSGatlas-gene-3788")</f>
        <v>BSGatlas-gene-3788</v>
      </c>
      <c r="B3789" s="1" t="s">
        <v>3441</v>
      </c>
      <c r="C3789" s="1" t="s">
        <v>8</v>
      </c>
      <c r="D3789" s="1">
        <v>3317502</v>
      </c>
      <c r="E3789" s="1">
        <v>3318002</v>
      </c>
      <c r="F3789" s="1" t="s">
        <v>9</v>
      </c>
      <c r="G3789" s="1" t="s">
        <v>11409</v>
      </c>
    </row>
    <row r="3790" spans="1:7" ht="21" x14ac:dyDescent="0.25">
      <c r="A3790" s="2" t="str">
        <f>HYPERLINK("https://rth.dk/resources/bsgatlas/details.php?id=BSGatlas-gene-3789","BSGatlas-gene-3789")</f>
        <v>BSGatlas-gene-3789</v>
      </c>
      <c r="B3790" s="1" t="s">
        <v>3442</v>
      </c>
      <c r="C3790" s="1" t="s">
        <v>8</v>
      </c>
      <c r="D3790" s="1">
        <v>3318029</v>
      </c>
      <c r="E3790" s="1">
        <v>3318799</v>
      </c>
      <c r="F3790" s="1" t="s">
        <v>13</v>
      </c>
      <c r="G3790" s="1" t="s">
        <v>11409</v>
      </c>
    </row>
    <row r="3791" spans="1:7" ht="21" x14ac:dyDescent="0.25">
      <c r="A3791" s="2" t="str">
        <f>HYPERLINK("https://rth.dk/resources/bsgatlas/details.php?id=BSGatlas-gene-3790","BSGatlas-gene-3790")</f>
        <v>BSGatlas-gene-3790</v>
      </c>
      <c r="B3791" s="1" t="s">
        <v>3443</v>
      </c>
      <c r="C3791" s="1" t="s">
        <v>8</v>
      </c>
      <c r="D3791" s="1">
        <v>3318828</v>
      </c>
      <c r="E3791" s="1">
        <v>3319262</v>
      </c>
      <c r="F3791" s="1" t="s">
        <v>13</v>
      </c>
      <c r="G3791" s="1" t="s">
        <v>11409</v>
      </c>
    </row>
    <row r="3792" spans="1:7" ht="21" x14ac:dyDescent="0.25">
      <c r="A3792" s="2" t="str">
        <f>HYPERLINK("https://rth.dk/resources/bsgatlas/details.php?id=BSGatlas-gene-3791","BSGatlas-gene-3791")</f>
        <v>BSGatlas-gene-3791</v>
      </c>
      <c r="B3792" s="1" t="s">
        <v>3444</v>
      </c>
      <c r="C3792" s="1" t="s">
        <v>8</v>
      </c>
      <c r="D3792" s="1">
        <v>3319286</v>
      </c>
      <c r="E3792" s="1">
        <v>3319561</v>
      </c>
      <c r="F3792" s="1" t="s">
        <v>13</v>
      </c>
      <c r="G3792" s="1" t="s">
        <v>11409</v>
      </c>
    </row>
    <row r="3793" spans="1:7" ht="21" x14ac:dyDescent="0.25">
      <c r="A3793" s="2" t="str">
        <f>HYPERLINK("https://rth.dk/resources/bsgatlas/details.php?id=BSGatlas-gene-3792","BSGatlas-gene-3792")</f>
        <v>BSGatlas-gene-3792</v>
      </c>
      <c r="B3793" s="1" t="s">
        <v>3445</v>
      </c>
      <c r="C3793" s="1" t="s">
        <v>8</v>
      </c>
      <c r="D3793" s="1">
        <v>3319676</v>
      </c>
      <c r="E3793" s="1">
        <v>3320308</v>
      </c>
      <c r="F3793" s="1" t="s">
        <v>9</v>
      </c>
      <c r="G3793" s="1" t="s">
        <v>11409</v>
      </c>
    </row>
    <row r="3794" spans="1:7" ht="21" x14ac:dyDescent="0.25">
      <c r="A3794" s="2" t="str">
        <f>HYPERLINK("https://rth.dk/resources/bsgatlas/details.php?id=BSGatlas-gene-3793","BSGatlas-gene-3793")</f>
        <v>BSGatlas-gene-3793</v>
      </c>
      <c r="B3794" s="1" t="s">
        <v>3446</v>
      </c>
      <c r="C3794" s="1" t="s">
        <v>8</v>
      </c>
      <c r="D3794" s="1">
        <v>3320324</v>
      </c>
      <c r="E3794" s="1">
        <v>3321220</v>
      </c>
      <c r="F3794" s="1" t="s">
        <v>13</v>
      </c>
      <c r="G3794" s="1" t="s">
        <v>11409</v>
      </c>
    </row>
    <row r="3795" spans="1:7" ht="21" x14ac:dyDescent="0.25">
      <c r="A3795" s="2" t="str">
        <f>HYPERLINK("https://rth.dk/resources/bsgatlas/details.php?id=BSGatlas-gene-3794","BSGatlas-gene-3794")</f>
        <v>BSGatlas-gene-3794</v>
      </c>
      <c r="B3795" s="1" t="s">
        <v>3447</v>
      </c>
      <c r="C3795" s="1" t="s">
        <v>8</v>
      </c>
      <c r="D3795" s="1">
        <v>3321455</v>
      </c>
      <c r="E3795" s="1">
        <v>3322435</v>
      </c>
      <c r="F3795" s="1" t="s">
        <v>9</v>
      </c>
      <c r="G3795" s="1" t="s">
        <v>11409</v>
      </c>
    </row>
    <row r="3796" spans="1:7" ht="21" x14ac:dyDescent="0.25">
      <c r="A3796" s="2" t="str">
        <f>HYPERLINK("https://rth.dk/resources/bsgatlas/details.php?id=BSGatlas-gene-3795","BSGatlas-gene-3795")</f>
        <v>BSGatlas-gene-3795</v>
      </c>
      <c r="B3796" s="1" t="s">
        <v>3448</v>
      </c>
      <c r="C3796" s="1" t="s">
        <v>8</v>
      </c>
      <c r="D3796" s="1">
        <v>3322463</v>
      </c>
      <c r="E3796" s="1">
        <v>3323227</v>
      </c>
      <c r="F3796" s="1" t="s">
        <v>13</v>
      </c>
      <c r="G3796" s="1" t="s">
        <v>11409</v>
      </c>
    </row>
    <row r="3797" spans="1:7" ht="21" x14ac:dyDescent="0.25">
      <c r="A3797" s="2" t="str">
        <f>HYPERLINK("https://rth.dk/resources/bsgatlas/details.php?id=BSGatlas-gene-3796","BSGatlas-gene-3796")</f>
        <v>BSGatlas-gene-3796</v>
      </c>
      <c r="B3797" s="1" t="s">
        <v>3449</v>
      </c>
      <c r="C3797" s="1" t="s">
        <v>8</v>
      </c>
      <c r="D3797" s="1">
        <v>3323300</v>
      </c>
      <c r="E3797" s="1">
        <v>3323605</v>
      </c>
      <c r="F3797" s="1" t="s">
        <v>13</v>
      </c>
      <c r="G3797" s="1" t="s">
        <v>11409</v>
      </c>
    </row>
    <row r="3798" spans="1:7" ht="21" x14ac:dyDescent="0.25">
      <c r="A3798" s="2" t="str">
        <f>HYPERLINK("https://rth.dk/resources/bsgatlas/details.php?id=BSGatlas-gene-3797","BSGatlas-gene-3797")</f>
        <v>BSGatlas-gene-3797</v>
      </c>
      <c r="B3798" s="1" t="s">
        <v>3450</v>
      </c>
      <c r="C3798" s="1" t="s">
        <v>8</v>
      </c>
      <c r="D3798" s="1">
        <v>3323670</v>
      </c>
      <c r="E3798" s="1">
        <v>3325058</v>
      </c>
      <c r="F3798" s="1" t="s">
        <v>13</v>
      </c>
      <c r="G3798" s="1" t="s">
        <v>11409</v>
      </c>
    </row>
    <row r="3799" spans="1:7" ht="21" x14ac:dyDescent="0.25">
      <c r="A3799" s="2" t="str">
        <f>HYPERLINK("https://rth.dk/resources/bsgatlas/details.php?id=BSGatlas-gene-3798","BSGatlas-gene-3798")</f>
        <v>BSGatlas-gene-3798</v>
      </c>
      <c r="B3799" s="1" t="s">
        <v>3451</v>
      </c>
      <c r="C3799" s="1" t="s">
        <v>8</v>
      </c>
      <c r="D3799" s="1">
        <v>3325078</v>
      </c>
      <c r="E3799" s="1">
        <v>3325899</v>
      </c>
      <c r="F3799" s="1" t="s">
        <v>13</v>
      </c>
      <c r="G3799" s="1" t="s">
        <v>11409</v>
      </c>
    </row>
    <row r="3800" spans="1:7" ht="21" x14ac:dyDescent="0.25">
      <c r="A3800" s="2" t="str">
        <f>HYPERLINK("https://rth.dk/resources/bsgatlas/details.php?id=BSGatlas-gene-3799","BSGatlas-gene-3799")</f>
        <v>BSGatlas-gene-3799</v>
      </c>
      <c r="B3800" s="1" t="s">
        <v>3452</v>
      </c>
      <c r="C3800" s="1" t="s">
        <v>8</v>
      </c>
      <c r="D3800" s="1">
        <v>3325917</v>
      </c>
      <c r="E3800" s="1">
        <v>3326765</v>
      </c>
      <c r="F3800" s="1" t="s">
        <v>13</v>
      </c>
      <c r="G3800" s="1" t="s">
        <v>11409</v>
      </c>
    </row>
    <row r="3801" spans="1:7" ht="21" x14ac:dyDescent="0.25">
      <c r="A3801" s="2" t="str">
        <f>HYPERLINK("https://rth.dk/resources/bsgatlas/details.php?id=BSGatlas-gene-3800","BSGatlas-gene-3800")</f>
        <v>BSGatlas-gene-3800</v>
      </c>
      <c r="B3801" s="1" t="s">
        <v>3453</v>
      </c>
      <c r="C3801" s="1" t="s">
        <v>8</v>
      </c>
      <c r="D3801" s="1">
        <v>3326803</v>
      </c>
      <c r="E3801" s="1">
        <v>3327150</v>
      </c>
      <c r="F3801" s="1" t="s">
        <v>13</v>
      </c>
      <c r="G3801" s="1" t="s">
        <v>11409</v>
      </c>
    </row>
    <row r="3802" spans="1:7" ht="21" x14ac:dyDescent="0.25">
      <c r="A3802" s="2" t="str">
        <f>HYPERLINK("https://rth.dk/resources/bsgatlas/details.php?id=BSGatlas-gene-3801","BSGatlas-gene-3801")</f>
        <v>BSGatlas-gene-3801</v>
      </c>
      <c r="B3802" s="1" t="s">
        <v>3454</v>
      </c>
      <c r="C3802" s="1" t="s">
        <v>8</v>
      </c>
      <c r="D3802" s="1">
        <v>3327247</v>
      </c>
      <c r="E3802" s="1">
        <v>3328587</v>
      </c>
      <c r="F3802" s="1" t="s">
        <v>13</v>
      </c>
      <c r="G3802" s="1" t="s">
        <v>11409</v>
      </c>
    </row>
    <row r="3803" spans="1:7" ht="21" x14ac:dyDescent="0.25">
      <c r="A3803" s="2" t="str">
        <f>HYPERLINK("https://rth.dk/resources/bsgatlas/details.php?id=BSGatlas-gene-3802","BSGatlas-gene-3802")</f>
        <v>BSGatlas-gene-3802</v>
      </c>
      <c r="B3803" s="1" t="s">
        <v>3455</v>
      </c>
      <c r="C3803" s="1" t="s">
        <v>8</v>
      </c>
      <c r="D3803" s="1">
        <v>3328762</v>
      </c>
      <c r="E3803" s="1">
        <v>3330357</v>
      </c>
      <c r="F3803" s="1" t="s">
        <v>9</v>
      </c>
      <c r="G3803" s="1" t="s">
        <v>11409</v>
      </c>
    </row>
    <row r="3804" spans="1:7" ht="21" x14ac:dyDescent="0.25">
      <c r="A3804" s="2" t="str">
        <f>HYPERLINK("https://rth.dk/resources/bsgatlas/details.php?id=BSGatlas-gene-3803","BSGatlas-gene-3803")</f>
        <v>BSGatlas-gene-3803</v>
      </c>
      <c r="B3804" s="1" t="s">
        <v>3456</v>
      </c>
      <c r="C3804" s="1" t="s">
        <v>8</v>
      </c>
      <c r="D3804" s="1">
        <v>3330502</v>
      </c>
      <c r="E3804" s="1">
        <v>3331851</v>
      </c>
      <c r="F3804" s="1" t="s">
        <v>9</v>
      </c>
      <c r="G3804" s="1" t="s">
        <v>11409</v>
      </c>
    </row>
    <row r="3805" spans="1:7" ht="21" x14ac:dyDescent="0.25">
      <c r="A3805" s="2" t="str">
        <f>HYPERLINK("https://rth.dk/resources/bsgatlas/details.php?id=BSGatlas-gene-3804","BSGatlas-gene-3804")</f>
        <v>BSGatlas-gene-3804</v>
      </c>
      <c r="B3805" s="1" t="s">
        <v>3457</v>
      </c>
      <c r="C3805" s="1" t="s">
        <v>8</v>
      </c>
      <c r="D3805" s="1">
        <v>3331857</v>
      </c>
      <c r="E3805" s="1">
        <v>3333149</v>
      </c>
      <c r="F3805" s="1" t="s">
        <v>9</v>
      </c>
      <c r="G3805" s="1" t="s">
        <v>11409</v>
      </c>
    </row>
    <row r="3806" spans="1:7" ht="21" x14ac:dyDescent="0.25">
      <c r="A3806" s="2" t="str">
        <f>HYPERLINK("https://rth.dk/resources/bsgatlas/details.php?id=BSGatlas-gene-3805","BSGatlas-gene-3805")</f>
        <v>BSGatlas-gene-3805</v>
      </c>
      <c r="B3806" s="1" t="s">
        <v>3458</v>
      </c>
      <c r="C3806" s="1" t="s">
        <v>8</v>
      </c>
      <c r="D3806" s="1">
        <v>3333162</v>
      </c>
      <c r="E3806" s="1">
        <v>3334646</v>
      </c>
      <c r="F3806" s="1" t="s">
        <v>9</v>
      </c>
      <c r="G3806" s="1" t="s">
        <v>11409</v>
      </c>
    </row>
    <row r="3807" spans="1:7" ht="21" x14ac:dyDescent="0.25">
      <c r="A3807" s="2" t="str">
        <f>HYPERLINK("https://rth.dk/resources/bsgatlas/details.php?id=BSGatlas-gene-3806","BSGatlas-gene-3806")</f>
        <v>BSGatlas-gene-3806</v>
      </c>
      <c r="B3807" s="1" t="s">
        <v>3459</v>
      </c>
      <c r="C3807" s="1" t="s">
        <v>8</v>
      </c>
      <c r="D3807" s="1">
        <v>3334646</v>
      </c>
      <c r="E3807" s="1">
        <v>3334990</v>
      </c>
      <c r="F3807" s="1" t="s">
        <v>9</v>
      </c>
      <c r="G3807" s="1" t="s">
        <v>11409</v>
      </c>
    </row>
    <row r="3808" spans="1:7" ht="21" x14ac:dyDescent="0.25">
      <c r="A3808" s="2" t="str">
        <f>HYPERLINK("https://rth.dk/resources/bsgatlas/details.php?id=BSGatlas-gene-3807","BSGatlas-gene-3807")</f>
        <v>BSGatlas-gene-3807</v>
      </c>
      <c r="B3808" s="1" t="s">
        <v>11717</v>
      </c>
      <c r="C3808" s="1" t="s">
        <v>12</v>
      </c>
      <c r="D3808" s="1">
        <v>3335006</v>
      </c>
      <c r="E3808" s="1">
        <v>3335393</v>
      </c>
      <c r="F3808" s="1" t="s">
        <v>13</v>
      </c>
      <c r="G3808" s="1" t="s">
        <v>11406</v>
      </c>
    </row>
    <row r="3809" spans="1:7" ht="21" x14ac:dyDescent="0.25">
      <c r="A3809" s="2" t="str">
        <f>HYPERLINK("https://rth.dk/resources/bsgatlas/details.php?id=BSGatlas-gene-3808","BSGatlas-gene-3808")</f>
        <v>BSGatlas-gene-3808</v>
      </c>
      <c r="B3809" s="1" t="s">
        <v>3460</v>
      </c>
      <c r="C3809" s="1" t="s">
        <v>8</v>
      </c>
      <c r="D3809" s="1">
        <v>3335414</v>
      </c>
      <c r="E3809" s="1">
        <v>3335545</v>
      </c>
      <c r="F3809" s="1" t="s">
        <v>9</v>
      </c>
      <c r="G3809" s="1" t="s">
        <v>11409</v>
      </c>
    </row>
    <row r="3810" spans="1:7" ht="21" x14ac:dyDescent="0.25">
      <c r="A3810" s="2" t="str">
        <f>HYPERLINK("https://rth.dk/resources/bsgatlas/details.php?id=BSGatlas-gene-3809","BSGatlas-gene-3809")</f>
        <v>BSGatlas-gene-3809</v>
      </c>
      <c r="B3810" s="1" t="s">
        <v>11718</v>
      </c>
      <c r="C3810" s="1" t="s">
        <v>12</v>
      </c>
      <c r="D3810" s="1">
        <v>3335414</v>
      </c>
      <c r="E3810" s="1">
        <v>3335545</v>
      </c>
      <c r="F3810" s="1" t="s">
        <v>13</v>
      </c>
      <c r="G3810" s="1" t="s">
        <v>11517</v>
      </c>
    </row>
    <row r="3811" spans="1:7" ht="21" x14ac:dyDescent="0.25">
      <c r="A3811" s="2" t="str">
        <f>HYPERLINK("https://rth.dk/resources/bsgatlas/details.php?id=BSGatlas-gene-3810","BSGatlas-gene-3810")</f>
        <v>BSGatlas-gene-3810</v>
      </c>
      <c r="B3811" s="1" t="s">
        <v>3461</v>
      </c>
      <c r="C3811" s="1" t="s">
        <v>8</v>
      </c>
      <c r="D3811" s="1">
        <v>3335751</v>
      </c>
      <c r="E3811" s="1">
        <v>3336272</v>
      </c>
      <c r="F3811" s="1" t="s">
        <v>13</v>
      </c>
      <c r="G3811" s="1" t="s">
        <v>11409</v>
      </c>
    </row>
    <row r="3812" spans="1:7" ht="21" x14ac:dyDescent="0.25">
      <c r="A3812" s="2" t="str">
        <f>HYPERLINK("https://rth.dk/resources/bsgatlas/details.php?id=BSGatlas-gene-3811","BSGatlas-gene-3811")</f>
        <v>BSGatlas-gene-3811</v>
      </c>
      <c r="B3812" s="1" t="s">
        <v>3462</v>
      </c>
      <c r="C3812" s="1" t="s">
        <v>8</v>
      </c>
      <c r="D3812" s="1">
        <v>3336263</v>
      </c>
      <c r="E3812" s="1">
        <v>3338500</v>
      </c>
      <c r="F3812" s="1" t="s">
        <v>13</v>
      </c>
      <c r="G3812" s="1" t="s">
        <v>11409</v>
      </c>
    </row>
    <row r="3813" spans="1:7" ht="21" x14ac:dyDescent="0.25">
      <c r="A3813" s="2" t="str">
        <f>HYPERLINK("https://rth.dk/resources/bsgatlas/details.php?id=BSGatlas-gene-3812","BSGatlas-gene-3812")</f>
        <v>BSGatlas-gene-3812</v>
      </c>
      <c r="B3813" s="1" t="s">
        <v>3463</v>
      </c>
      <c r="C3813" s="1" t="s">
        <v>8</v>
      </c>
      <c r="D3813" s="1">
        <v>3338501</v>
      </c>
      <c r="E3813" s="1">
        <v>3339334</v>
      </c>
      <c r="F3813" s="1" t="s">
        <v>13</v>
      </c>
      <c r="G3813" s="1" t="s">
        <v>11409</v>
      </c>
    </row>
    <row r="3814" spans="1:7" ht="21" x14ac:dyDescent="0.25">
      <c r="A3814" s="2" t="str">
        <f>HYPERLINK("https://rth.dk/resources/bsgatlas/details.php?id=BSGatlas-gene-3813","BSGatlas-gene-3813")</f>
        <v>BSGatlas-gene-3813</v>
      </c>
      <c r="B3814" s="1" t="s">
        <v>3464</v>
      </c>
      <c r="C3814" s="1" t="s">
        <v>8</v>
      </c>
      <c r="D3814" s="1">
        <v>3339331</v>
      </c>
      <c r="E3814" s="1">
        <v>3339948</v>
      </c>
      <c r="F3814" s="1" t="s">
        <v>13</v>
      </c>
      <c r="G3814" s="1" t="s">
        <v>11409</v>
      </c>
    </row>
    <row r="3815" spans="1:7" ht="21" x14ac:dyDescent="0.25">
      <c r="A3815" s="2" t="str">
        <f>HYPERLINK("https://rth.dk/resources/bsgatlas/details.php?id=BSGatlas-gene-3814","BSGatlas-gene-3814")</f>
        <v>BSGatlas-gene-3814</v>
      </c>
      <c r="B3815" s="1" t="s">
        <v>3465</v>
      </c>
      <c r="C3815" s="1" t="s">
        <v>8</v>
      </c>
      <c r="D3815" s="1">
        <v>3339945</v>
      </c>
      <c r="E3815" s="1">
        <v>3340937</v>
      </c>
      <c r="F3815" s="1" t="s">
        <v>13</v>
      </c>
      <c r="G3815" s="1" t="s">
        <v>11409</v>
      </c>
    </row>
    <row r="3816" spans="1:7" ht="21" x14ac:dyDescent="0.25">
      <c r="A3816" s="2" t="str">
        <f>HYPERLINK("https://rth.dk/resources/bsgatlas/details.php?id=BSGatlas-gene-3815","BSGatlas-gene-3815")</f>
        <v>BSGatlas-gene-3815</v>
      </c>
      <c r="B3816" s="1" t="s">
        <v>3466</v>
      </c>
      <c r="C3816" s="1" t="s">
        <v>8</v>
      </c>
      <c r="D3816" s="1">
        <v>3341166</v>
      </c>
      <c r="E3816" s="1">
        <v>3342416</v>
      </c>
      <c r="F3816" s="1" t="s">
        <v>13</v>
      </c>
      <c r="G3816" s="1" t="s">
        <v>11409</v>
      </c>
    </row>
    <row r="3817" spans="1:7" ht="21" x14ac:dyDescent="0.25">
      <c r="A3817" s="2" t="str">
        <f>HYPERLINK("https://rth.dk/resources/bsgatlas/details.php?id=BSGatlas-gene-3816","BSGatlas-gene-3816")</f>
        <v>BSGatlas-gene-3816</v>
      </c>
      <c r="B3817" s="1" t="s">
        <v>3467</v>
      </c>
      <c r="C3817" s="1" t="s">
        <v>8</v>
      </c>
      <c r="D3817" s="1">
        <v>3342433</v>
      </c>
      <c r="E3817" s="1">
        <v>3343671</v>
      </c>
      <c r="F3817" s="1" t="s">
        <v>13</v>
      </c>
      <c r="G3817" s="1" t="s">
        <v>11409</v>
      </c>
    </row>
    <row r="3818" spans="1:7" ht="21" x14ac:dyDescent="0.25">
      <c r="A3818" s="2" t="str">
        <f>HYPERLINK("https://rth.dk/resources/bsgatlas/details.php?id=BSGatlas-gene-3817","BSGatlas-gene-3817")</f>
        <v>BSGatlas-gene-3817</v>
      </c>
      <c r="B3818" s="1" t="s">
        <v>318</v>
      </c>
      <c r="C3818" s="1" t="s">
        <v>8</v>
      </c>
      <c r="D3818" s="1">
        <v>3343894</v>
      </c>
      <c r="E3818" s="1">
        <v>3344031</v>
      </c>
      <c r="F3818" s="1" t="s">
        <v>9</v>
      </c>
      <c r="G3818" s="1" t="s">
        <v>11441</v>
      </c>
    </row>
    <row r="3819" spans="1:7" ht="21" x14ac:dyDescent="0.25">
      <c r="A3819" s="2" t="str">
        <f>HYPERLINK("https://rth.dk/resources/bsgatlas/details.php?id=BSGatlas-gene-3818","BSGatlas-gene-3818")</f>
        <v>BSGatlas-gene-3818</v>
      </c>
      <c r="B3819" s="1" t="s">
        <v>3468</v>
      </c>
      <c r="C3819" s="1" t="s">
        <v>8</v>
      </c>
      <c r="D3819" s="1">
        <v>3344113</v>
      </c>
      <c r="E3819" s="1">
        <v>3344979</v>
      </c>
      <c r="F3819" s="1" t="s">
        <v>9</v>
      </c>
      <c r="G3819" s="1" t="s">
        <v>11409</v>
      </c>
    </row>
    <row r="3820" spans="1:7" ht="21" x14ac:dyDescent="0.25">
      <c r="A3820" s="2" t="str">
        <f>HYPERLINK("https://rth.dk/resources/bsgatlas/details.php?id=BSGatlas-gene-3819","BSGatlas-gene-3819")</f>
        <v>BSGatlas-gene-3819</v>
      </c>
      <c r="B3820" s="1" t="s">
        <v>3469</v>
      </c>
      <c r="C3820" s="1" t="s">
        <v>8</v>
      </c>
      <c r="D3820" s="1">
        <v>3345013</v>
      </c>
      <c r="E3820" s="1">
        <v>3346116</v>
      </c>
      <c r="F3820" s="1" t="s">
        <v>13</v>
      </c>
      <c r="G3820" s="1" t="s">
        <v>11409</v>
      </c>
    </row>
    <row r="3821" spans="1:7" ht="21" x14ac:dyDescent="0.25">
      <c r="A3821" s="2" t="str">
        <f>HYPERLINK("https://rth.dk/resources/bsgatlas/details.php?id=BSGatlas-gene-3820","BSGatlas-gene-3820")</f>
        <v>BSGatlas-gene-3820</v>
      </c>
      <c r="B3821" s="1" t="s">
        <v>3477</v>
      </c>
      <c r="C3821" s="1" t="s">
        <v>8</v>
      </c>
      <c r="D3821" s="1">
        <v>3346298</v>
      </c>
      <c r="E3821" s="1">
        <v>3347026</v>
      </c>
      <c r="F3821" s="1" t="s">
        <v>9</v>
      </c>
      <c r="G3821" s="1" t="s">
        <v>11409</v>
      </c>
    </row>
    <row r="3822" spans="1:7" ht="21" x14ac:dyDescent="0.25">
      <c r="A3822" s="2" t="str">
        <f>HYPERLINK("https://rth.dk/resources/bsgatlas/details.php?id=BSGatlas-gene-3821","BSGatlas-gene-3821")</f>
        <v>BSGatlas-gene-3821</v>
      </c>
      <c r="B3822" s="1" t="s">
        <v>3470</v>
      </c>
      <c r="C3822" s="1" t="s">
        <v>8</v>
      </c>
      <c r="D3822" s="1">
        <v>3347051</v>
      </c>
      <c r="E3822" s="1">
        <v>3347905</v>
      </c>
      <c r="F3822" s="1" t="s">
        <v>13</v>
      </c>
      <c r="G3822" s="1" t="s">
        <v>11409</v>
      </c>
    </row>
    <row r="3823" spans="1:7" ht="21" x14ac:dyDescent="0.25">
      <c r="A3823" s="2" t="str">
        <f>HYPERLINK("https://rth.dk/resources/bsgatlas/details.php?id=BSGatlas-gene-3822","BSGatlas-gene-3822")</f>
        <v>BSGatlas-gene-3822</v>
      </c>
      <c r="B3823" s="1" t="s">
        <v>3471</v>
      </c>
      <c r="C3823" s="1" t="s">
        <v>8</v>
      </c>
      <c r="D3823" s="1">
        <v>3347919</v>
      </c>
      <c r="E3823" s="1">
        <v>3348821</v>
      </c>
      <c r="F3823" s="1" t="s">
        <v>13</v>
      </c>
      <c r="G3823" s="1" t="s">
        <v>11409</v>
      </c>
    </row>
    <row r="3824" spans="1:7" ht="21" x14ac:dyDescent="0.25">
      <c r="A3824" s="2" t="str">
        <f>HYPERLINK("https://rth.dk/resources/bsgatlas/details.php?id=BSGatlas-gene-3823","BSGatlas-gene-3823")</f>
        <v>BSGatlas-gene-3823</v>
      </c>
      <c r="B3824" s="1" t="s">
        <v>3472</v>
      </c>
      <c r="C3824" s="1" t="s">
        <v>8</v>
      </c>
      <c r="D3824" s="1">
        <v>3348825</v>
      </c>
      <c r="E3824" s="1">
        <v>3349703</v>
      </c>
      <c r="F3824" s="1" t="s">
        <v>13</v>
      </c>
      <c r="G3824" s="1" t="s">
        <v>11409</v>
      </c>
    </row>
    <row r="3825" spans="1:7" ht="21" x14ac:dyDescent="0.25">
      <c r="A3825" s="2" t="str">
        <f>HYPERLINK("https://rth.dk/resources/bsgatlas/details.php?id=BSGatlas-gene-3824","BSGatlas-gene-3824")</f>
        <v>BSGatlas-gene-3824</v>
      </c>
      <c r="B3825" s="1" t="s">
        <v>3473</v>
      </c>
      <c r="C3825" s="1" t="s">
        <v>8</v>
      </c>
      <c r="D3825" s="1">
        <v>3349761</v>
      </c>
      <c r="E3825" s="1">
        <v>3351029</v>
      </c>
      <c r="F3825" s="1" t="s">
        <v>13</v>
      </c>
      <c r="G3825" s="1" t="s">
        <v>11409</v>
      </c>
    </row>
    <row r="3826" spans="1:7" ht="21" x14ac:dyDescent="0.25">
      <c r="A3826" s="2" t="str">
        <f>HYPERLINK("https://rth.dk/resources/bsgatlas/details.php?id=BSGatlas-gene-3825","BSGatlas-gene-3825")</f>
        <v>BSGatlas-gene-3825</v>
      </c>
      <c r="B3826" s="1" t="s">
        <v>3474</v>
      </c>
      <c r="C3826" s="1" t="s">
        <v>8</v>
      </c>
      <c r="D3826" s="1">
        <v>3351110</v>
      </c>
      <c r="E3826" s="1">
        <v>3352096</v>
      </c>
      <c r="F3826" s="1" t="s">
        <v>13</v>
      </c>
      <c r="G3826" s="1" t="s">
        <v>11409</v>
      </c>
    </row>
    <row r="3827" spans="1:7" ht="21" x14ac:dyDescent="0.25">
      <c r="A3827" s="2" t="str">
        <f>HYPERLINK("https://rth.dk/resources/bsgatlas/details.php?id=BSGatlas-gene-3826","BSGatlas-gene-3826")</f>
        <v>BSGatlas-gene-3826</v>
      </c>
      <c r="B3827" s="1" t="s">
        <v>3475</v>
      </c>
      <c r="C3827" s="1" t="s">
        <v>8</v>
      </c>
      <c r="D3827" s="1">
        <v>3352312</v>
      </c>
      <c r="E3827" s="1">
        <v>3352686</v>
      </c>
      <c r="F3827" s="1" t="s">
        <v>13</v>
      </c>
      <c r="G3827" s="1" t="s">
        <v>11409</v>
      </c>
    </row>
    <row r="3828" spans="1:7" ht="21" x14ac:dyDescent="0.25">
      <c r="A3828" s="2" t="str">
        <f>HYPERLINK("https://rth.dk/resources/bsgatlas/details.php?id=BSGatlas-gene-3827","BSGatlas-gene-3827")</f>
        <v>BSGatlas-gene-3827</v>
      </c>
      <c r="B3828" s="1" t="s">
        <v>3476</v>
      </c>
      <c r="C3828" s="1" t="s">
        <v>8</v>
      </c>
      <c r="D3828" s="1">
        <v>3352789</v>
      </c>
      <c r="E3828" s="1">
        <v>3353907</v>
      </c>
      <c r="F3828" s="1" t="s">
        <v>13</v>
      </c>
      <c r="G3828" s="1" t="s">
        <v>11409</v>
      </c>
    </row>
    <row r="3829" spans="1:7" ht="21" x14ac:dyDescent="0.25">
      <c r="A3829" s="2" t="str">
        <f>HYPERLINK("https://rth.dk/resources/bsgatlas/details.php?id=BSGatlas-gene-3828","BSGatlas-gene-3828")</f>
        <v>BSGatlas-gene-3828</v>
      </c>
      <c r="B3829" s="1" t="s">
        <v>3478</v>
      </c>
      <c r="C3829" s="1" t="s">
        <v>8</v>
      </c>
      <c r="D3829" s="1">
        <v>3354066</v>
      </c>
      <c r="E3829" s="1">
        <v>3354212</v>
      </c>
      <c r="F3829" s="1" t="s">
        <v>9</v>
      </c>
      <c r="G3829" s="1" t="s">
        <v>11409</v>
      </c>
    </row>
    <row r="3830" spans="1:7" ht="21" x14ac:dyDescent="0.25">
      <c r="A3830" s="2" t="str">
        <f>HYPERLINK("https://rth.dk/resources/bsgatlas/details.php?id=BSGatlas-gene-3829","BSGatlas-gene-3829")</f>
        <v>BSGatlas-gene-3829</v>
      </c>
      <c r="B3830" s="1" t="s">
        <v>3479</v>
      </c>
      <c r="C3830" s="1" t="s">
        <v>8</v>
      </c>
      <c r="D3830" s="1">
        <v>3354212</v>
      </c>
      <c r="E3830" s="1">
        <v>3354487</v>
      </c>
      <c r="F3830" s="1" t="s">
        <v>9</v>
      </c>
      <c r="G3830" s="1" t="s">
        <v>11409</v>
      </c>
    </row>
    <row r="3831" spans="1:7" ht="21" x14ac:dyDescent="0.25">
      <c r="A3831" s="2" t="str">
        <f>HYPERLINK("https://rth.dk/resources/bsgatlas/details.php?id=BSGatlas-gene-3830","BSGatlas-gene-3830")</f>
        <v>BSGatlas-gene-3830</v>
      </c>
      <c r="B3831" s="1" t="s">
        <v>3480</v>
      </c>
      <c r="C3831" s="1" t="s">
        <v>8</v>
      </c>
      <c r="D3831" s="1">
        <v>3354551</v>
      </c>
      <c r="E3831" s="1">
        <v>3354934</v>
      </c>
      <c r="F3831" s="1" t="s">
        <v>13</v>
      </c>
      <c r="G3831" s="1" t="s">
        <v>11409</v>
      </c>
    </row>
    <row r="3832" spans="1:7" ht="21" x14ac:dyDescent="0.25">
      <c r="A3832" s="2" t="str">
        <f>HYPERLINK("https://rth.dk/resources/bsgatlas/details.php?id=BSGatlas-gene-3831","BSGatlas-gene-3831")</f>
        <v>BSGatlas-gene-3831</v>
      </c>
      <c r="B3832" s="1" t="s">
        <v>3481</v>
      </c>
      <c r="C3832" s="1" t="s">
        <v>8</v>
      </c>
      <c r="D3832" s="1">
        <v>3355045</v>
      </c>
      <c r="E3832" s="1">
        <v>3355323</v>
      </c>
      <c r="F3832" s="1" t="s">
        <v>13</v>
      </c>
      <c r="G3832" s="1" t="s">
        <v>11409</v>
      </c>
    </row>
    <row r="3833" spans="1:7" ht="21" x14ac:dyDescent="0.25">
      <c r="A3833" s="2" t="str">
        <f>HYPERLINK("https://rth.dk/resources/bsgatlas/details.php?id=BSGatlas-gene-3832","BSGatlas-gene-3832")</f>
        <v>BSGatlas-gene-3832</v>
      </c>
      <c r="B3833" s="1" t="s">
        <v>3482</v>
      </c>
      <c r="C3833" s="1" t="s">
        <v>8</v>
      </c>
      <c r="D3833" s="1">
        <v>3355593</v>
      </c>
      <c r="E3833" s="1">
        <v>3356990</v>
      </c>
      <c r="F3833" s="1" t="s">
        <v>13</v>
      </c>
      <c r="G3833" s="1" t="s">
        <v>11409</v>
      </c>
    </row>
    <row r="3834" spans="1:7" ht="21" x14ac:dyDescent="0.25">
      <c r="A3834" s="2" t="str">
        <f>HYPERLINK("https://rth.dk/resources/bsgatlas/details.php?id=BSGatlas-gene-3833","BSGatlas-gene-3833")</f>
        <v>BSGatlas-gene-3833</v>
      </c>
      <c r="B3834" s="1" t="s">
        <v>3483</v>
      </c>
      <c r="C3834" s="1" t="s">
        <v>8</v>
      </c>
      <c r="D3834" s="1">
        <v>3357011</v>
      </c>
      <c r="E3834" s="1">
        <v>3357454</v>
      </c>
      <c r="F3834" s="1" t="s">
        <v>13</v>
      </c>
      <c r="G3834" s="1" t="s">
        <v>11409</v>
      </c>
    </row>
    <row r="3835" spans="1:7" ht="21" x14ac:dyDescent="0.25">
      <c r="A3835" s="2" t="str">
        <f>HYPERLINK("https://rth.dk/resources/bsgatlas/details.php?id=BSGatlas-gene-3834","BSGatlas-gene-3834")</f>
        <v>BSGatlas-gene-3834</v>
      </c>
      <c r="B3835" s="1" t="s">
        <v>3484</v>
      </c>
      <c r="C3835" s="1" t="s">
        <v>8</v>
      </c>
      <c r="D3835" s="1">
        <v>3357444</v>
      </c>
      <c r="E3835" s="1">
        <v>3358664</v>
      </c>
      <c r="F3835" s="1" t="s">
        <v>13</v>
      </c>
      <c r="G3835" s="1" t="s">
        <v>11409</v>
      </c>
    </row>
    <row r="3836" spans="1:7" ht="21" x14ac:dyDescent="0.25">
      <c r="A3836" s="2" t="str">
        <f>HYPERLINK("https://rth.dk/resources/bsgatlas/details.php?id=BSGatlas-gene-3835","BSGatlas-gene-3835")</f>
        <v>BSGatlas-gene-3835</v>
      </c>
      <c r="B3836" s="1" t="s">
        <v>3485</v>
      </c>
      <c r="C3836" s="1" t="s">
        <v>8</v>
      </c>
      <c r="D3836" s="1">
        <v>3358664</v>
      </c>
      <c r="E3836" s="1">
        <v>3359977</v>
      </c>
      <c r="F3836" s="1" t="s">
        <v>13</v>
      </c>
      <c r="G3836" s="1" t="s">
        <v>11409</v>
      </c>
    </row>
    <row r="3837" spans="1:7" ht="21" x14ac:dyDescent="0.25">
      <c r="A3837" s="2" t="str">
        <f>HYPERLINK("https://rth.dk/resources/bsgatlas/details.php?id=BSGatlas-gene-3836","BSGatlas-gene-3836")</f>
        <v>BSGatlas-gene-3836</v>
      </c>
      <c r="B3837" s="1" t="s">
        <v>3486</v>
      </c>
      <c r="C3837" s="1" t="s">
        <v>8</v>
      </c>
      <c r="D3837" s="1">
        <v>3359995</v>
      </c>
      <c r="E3837" s="1">
        <v>3360780</v>
      </c>
      <c r="F3837" s="1" t="s">
        <v>13</v>
      </c>
      <c r="G3837" s="1" t="s">
        <v>11409</v>
      </c>
    </row>
    <row r="3838" spans="1:7" ht="21" x14ac:dyDescent="0.25">
      <c r="A3838" s="2" t="str">
        <f>HYPERLINK("https://rth.dk/resources/bsgatlas/details.php?id=BSGatlas-gene-3837","BSGatlas-gene-3837")</f>
        <v>BSGatlas-gene-3837</v>
      </c>
      <c r="B3838" s="1" t="s">
        <v>3487</v>
      </c>
      <c r="C3838" s="1" t="s">
        <v>55</v>
      </c>
      <c r="D3838" s="1">
        <v>3360937</v>
      </c>
      <c r="E3838" s="1">
        <v>3361184</v>
      </c>
      <c r="F3838" s="1" t="s">
        <v>13</v>
      </c>
      <c r="G3838" s="1" t="s">
        <v>11517</v>
      </c>
    </row>
    <row r="3839" spans="1:7" ht="21" x14ac:dyDescent="0.25">
      <c r="A3839" s="2" t="str">
        <f>HYPERLINK("https://rth.dk/resources/bsgatlas/details.php?id=BSGatlas-gene-3838","BSGatlas-gene-3838")</f>
        <v>BSGatlas-gene-3838</v>
      </c>
      <c r="B3839" s="1" t="s">
        <v>3488</v>
      </c>
      <c r="C3839" s="1" t="s">
        <v>8</v>
      </c>
      <c r="D3839" s="1">
        <v>3360974</v>
      </c>
      <c r="E3839" s="1">
        <v>3361111</v>
      </c>
      <c r="F3839" s="1" t="s">
        <v>13</v>
      </c>
      <c r="G3839" s="1" t="s">
        <v>11409</v>
      </c>
    </row>
    <row r="3840" spans="1:7" ht="21" x14ac:dyDescent="0.25">
      <c r="A3840" s="2" t="str">
        <f>HYPERLINK("https://rth.dk/resources/bsgatlas/details.php?id=BSGatlas-gene-3839","BSGatlas-gene-3839")</f>
        <v>BSGatlas-gene-3839</v>
      </c>
      <c r="B3840" s="1" t="s">
        <v>3489</v>
      </c>
      <c r="C3840" s="1" t="s">
        <v>8</v>
      </c>
      <c r="D3840" s="1">
        <v>3361305</v>
      </c>
      <c r="E3840" s="1">
        <v>3361682</v>
      </c>
      <c r="F3840" s="1" t="s">
        <v>13</v>
      </c>
      <c r="G3840" s="1" t="s">
        <v>11409</v>
      </c>
    </row>
    <row r="3841" spans="1:7" ht="21" x14ac:dyDescent="0.25">
      <c r="A3841" s="2" t="str">
        <f>HYPERLINK("https://rth.dk/resources/bsgatlas/details.php?id=BSGatlas-gene-3840","BSGatlas-gene-3840")</f>
        <v>BSGatlas-gene-3840</v>
      </c>
      <c r="B3841" s="1" t="s">
        <v>3490</v>
      </c>
      <c r="C3841" s="1" t="s">
        <v>8</v>
      </c>
      <c r="D3841" s="1">
        <v>3361767</v>
      </c>
      <c r="E3841" s="1">
        <v>3362591</v>
      </c>
      <c r="F3841" s="1" t="s">
        <v>13</v>
      </c>
      <c r="G3841" s="1" t="s">
        <v>11409</v>
      </c>
    </row>
    <row r="3842" spans="1:7" ht="21" x14ac:dyDescent="0.25">
      <c r="A3842" s="2" t="str">
        <f>HYPERLINK("https://rth.dk/resources/bsgatlas/details.php?id=BSGatlas-gene-3841","BSGatlas-gene-3841")</f>
        <v>BSGatlas-gene-3841</v>
      </c>
      <c r="B3842" s="1" t="s">
        <v>3491</v>
      </c>
      <c r="C3842" s="1" t="s">
        <v>8</v>
      </c>
      <c r="D3842" s="1">
        <v>3362605</v>
      </c>
      <c r="E3842" s="1">
        <v>3363273</v>
      </c>
      <c r="F3842" s="1" t="s">
        <v>13</v>
      </c>
      <c r="G3842" s="1" t="s">
        <v>11409</v>
      </c>
    </row>
    <row r="3843" spans="1:7" ht="21" x14ac:dyDescent="0.25">
      <c r="A3843" s="2" t="str">
        <f>HYPERLINK("https://rth.dk/resources/bsgatlas/details.php?id=BSGatlas-gene-3842","BSGatlas-gene-3842")</f>
        <v>BSGatlas-gene-3842</v>
      </c>
      <c r="B3843" s="1" t="s">
        <v>3492</v>
      </c>
      <c r="C3843" s="1" t="s">
        <v>8</v>
      </c>
      <c r="D3843" s="1">
        <v>3363266</v>
      </c>
      <c r="E3843" s="1">
        <v>3364291</v>
      </c>
      <c r="F3843" s="1" t="s">
        <v>13</v>
      </c>
      <c r="G3843" s="1" t="s">
        <v>11409</v>
      </c>
    </row>
    <row r="3844" spans="1:7" ht="21" x14ac:dyDescent="0.25">
      <c r="A3844" s="2" t="str">
        <f>HYPERLINK("https://rth.dk/resources/bsgatlas/details.php?id=BSGatlas-gene-3843","BSGatlas-gene-3843")</f>
        <v>BSGatlas-gene-3843</v>
      </c>
      <c r="B3844" s="1" t="s">
        <v>3493</v>
      </c>
      <c r="C3844" s="1" t="s">
        <v>34</v>
      </c>
      <c r="D3844" s="1">
        <v>3364396</v>
      </c>
      <c r="E3844" s="1">
        <v>3364503</v>
      </c>
      <c r="F3844" s="1" t="s">
        <v>13</v>
      </c>
      <c r="G3844" s="1" t="s">
        <v>11412</v>
      </c>
    </row>
    <row r="3845" spans="1:7" ht="21" x14ac:dyDescent="0.25">
      <c r="A3845" s="2" t="str">
        <f>HYPERLINK("https://rth.dk/resources/bsgatlas/details.php?id=BSGatlas-gene-3844","BSGatlas-gene-3844")</f>
        <v>BSGatlas-gene-3844</v>
      </c>
      <c r="B3845" s="1" t="s">
        <v>3494</v>
      </c>
      <c r="C3845" s="1" t="s">
        <v>8</v>
      </c>
      <c r="D3845" s="1">
        <v>3364618</v>
      </c>
      <c r="E3845" s="1">
        <v>3364962</v>
      </c>
      <c r="F3845" s="1" t="s">
        <v>13</v>
      </c>
      <c r="G3845" s="1" t="s">
        <v>11409</v>
      </c>
    </row>
    <row r="3846" spans="1:7" ht="21" x14ac:dyDescent="0.25">
      <c r="A3846" s="2" t="str">
        <f>HYPERLINK("https://rth.dk/resources/bsgatlas/details.php?id=BSGatlas-gene-3845","BSGatlas-gene-3845")</f>
        <v>BSGatlas-gene-3845</v>
      </c>
      <c r="B3846" s="1" t="s">
        <v>3495</v>
      </c>
      <c r="C3846" s="1" t="s">
        <v>8</v>
      </c>
      <c r="D3846" s="1">
        <v>3365069</v>
      </c>
      <c r="E3846" s="1">
        <v>3365389</v>
      </c>
      <c r="F3846" s="1" t="s">
        <v>13</v>
      </c>
      <c r="G3846" s="1" t="s">
        <v>11409</v>
      </c>
    </row>
    <row r="3847" spans="1:7" ht="21" x14ac:dyDescent="0.25">
      <c r="A3847" s="2" t="str">
        <f>HYPERLINK("https://rth.dk/resources/bsgatlas/details.php?id=BSGatlas-gene-3846","BSGatlas-gene-3846")</f>
        <v>BSGatlas-gene-3846</v>
      </c>
      <c r="B3847" s="1" t="s">
        <v>11719</v>
      </c>
      <c r="C3847" s="1" t="s">
        <v>8</v>
      </c>
      <c r="D3847" s="1">
        <v>3365391</v>
      </c>
      <c r="E3847" s="1">
        <v>3365831</v>
      </c>
      <c r="F3847" s="1" t="s">
        <v>13</v>
      </c>
      <c r="G3847" s="1" t="s">
        <v>11409</v>
      </c>
    </row>
    <row r="3848" spans="1:7" ht="21" x14ac:dyDescent="0.25">
      <c r="A3848" s="2" t="str">
        <f>HYPERLINK("https://rth.dk/resources/bsgatlas/details.php?id=BSGatlas-gene-3847","BSGatlas-gene-3847")</f>
        <v>BSGatlas-gene-3847</v>
      </c>
      <c r="B3848" s="1" t="s">
        <v>3496</v>
      </c>
      <c r="C3848" s="1" t="s">
        <v>8</v>
      </c>
      <c r="D3848" s="1">
        <v>3365831</v>
      </c>
      <c r="E3848" s="1">
        <v>3366067</v>
      </c>
      <c r="F3848" s="1" t="s">
        <v>13</v>
      </c>
      <c r="G3848" s="1" t="s">
        <v>11409</v>
      </c>
    </row>
    <row r="3849" spans="1:7" ht="21" x14ac:dyDescent="0.25">
      <c r="A3849" s="2" t="str">
        <f>HYPERLINK("https://rth.dk/resources/bsgatlas/details.php?id=BSGatlas-gene-3848","BSGatlas-gene-3848")</f>
        <v>BSGatlas-gene-3848</v>
      </c>
      <c r="B3849" s="1" t="s">
        <v>3497</v>
      </c>
      <c r="C3849" s="1" t="s">
        <v>8</v>
      </c>
      <c r="D3849" s="1">
        <v>3366123</v>
      </c>
      <c r="E3849" s="1">
        <v>3366506</v>
      </c>
      <c r="F3849" s="1" t="s">
        <v>13</v>
      </c>
      <c r="G3849" s="1" t="s">
        <v>11409</v>
      </c>
    </row>
    <row r="3850" spans="1:7" ht="21" x14ac:dyDescent="0.25">
      <c r="A3850" s="2" t="str">
        <f>HYPERLINK("https://rth.dk/resources/bsgatlas/details.php?id=BSGatlas-gene-3849","BSGatlas-gene-3849")</f>
        <v>BSGatlas-gene-3849</v>
      </c>
      <c r="B3850" s="1" t="s">
        <v>3498</v>
      </c>
      <c r="C3850" s="1" t="s">
        <v>8</v>
      </c>
      <c r="D3850" s="1">
        <v>3366573</v>
      </c>
      <c r="E3850" s="1">
        <v>3366929</v>
      </c>
      <c r="F3850" s="1" t="s">
        <v>13</v>
      </c>
      <c r="G3850" s="1" t="s">
        <v>11409</v>
      </c>
    </row>
    <row r="3851" spans="1:7" ht="21" x14ac:dyDescent="0.25">
      <c r="A3851" s="2" t="str">
        <f>HYPERLINK("https://rth.dk/resources/bsgatlas/details.php?id=BSGatlas-gene-3850","BSGatlas-gene-3850")</f>
        <v>BSGatlas-gene-3850</v>
      </c>
      <c r="B3851" s="1" t="s">
        <v>3499</v>
      </c>
      <c r="C3851" s="1" t="s">
        <v>8</v>
      </c>
      <c r="D3851" s="1">
        <v>3367040</v>
      </c>
      <c r="E3851" s="1">
        <v>3368824</v>
      </c>
      <c r="F3851" s="1" t="s">
        <v>13</v>
      </c>
      <c r="G3851" s="1" t="s">
        <v>11409</v>
      </c>
    </row>
    <row r="3852" spans="1:7" ht="21" x14ac:dyDescent="0.25">
      <c r="A3852" s="2" t="str">
        <f>HYPERLINK("https://rth.dk/resources/bsgatlas/details.php?id=BSGatlas-gene-3851","BSGatlas-gene-3851")</f>
        <v>BSGatlas-gene-3851</v>
      </c>
      <c r="B3852" s="1" t="s">
        <v>3500</v>
      </c>
      <c r="C3852" s="1" t="s">
        <v>8</v>
      </c>
      <c r="D3852" s="1">
        <v>3368839</v>
      </c>
      <c r="E3852" s="1">
        <v>3370014</v>
      </c>
      <c r="F3852" s="1" t="s">
        <v>13</v>
      </c>
      <c r="G3852" s="1" t="s">
        <v>11409</v>
      </c>
    </row>
    <row r="3853" spans="1:7" ht="21" x14ac:dyDescent="0.25">
      <c r="A3853" s="2" t="str">
        <f>HYPERLINK("https://rth.dk/resources/bsgatlas/details.php?id=BSGatlas-gene-3852","BSGatlas-gene-3852")</f>
        <v>BSGatlas-gene-3852</v>
      </c>
      <c r="B3853" s="1" t="s">
        <v>3501</v>
      </c>
      <c r="C3853" s="1" t="s">
        <v>8</v>
      </c>
      <c r="D3853" s="1">
        <v>3370025</v>
      </c>
      <c r="E3853" s="1">
        <v>3372394</v>
      </c>
      <c r="F3853" s="1" t="s">
        <v>13</v>
      </c>
      <c r="G3853" s="1" t="s">
        <v>11409</v>
      </c>
    </row>
    <row r="3854" spans="1:7" ht="21" x14ac:dyDescent="0.25">
      <c r="A3854" s="2" t="str">
        <f>HYPERLINK("https://rth.dk/resources/bsgatlas/details.php?id=BSGatlas-gene-3853","BSGatlas-gene-3853")</f>
        <v>BSGatlas-gene-3853</v>
      </c>
      <c r="B3854" s="1" t="s">
        <v>3503</v>
      </c>
      <c r="C3854" s="1" t="s">
        <v>8</v>
      </c>
      <c r="D3854" s="1">
        <v>3372569</v>
      </c>
      <c r="E3854" s="1">
        <v>3372715</v>
      </c>
      <c r="F3854" s="1" t="s">
        <v>9</v>
      </c>
      <c r="G3854" s="1" t="s">
        <v>11409</v>
      </c>
    </row>
    <row r="3855" spans="1:7" ht="21" x14ac:dyDescent="0.25">
      <c r="A3855" s="2" t="str">
        <f>HYPERLINK("https://rth.dk/resources/bsgatlas/details.php?id=BSGatlas-gene-3854","BSGatlas-gene-3854")</f>
        <v>BSGatlas-gene-3854</v>
      </c>
      <c r="B3855" s="1" t="s">
        <v>3502</v>
      </c>
      <c r="C3855" s="1" t="s">
        <v>8</v>
      </c>
      <c r="D3855" s="1">
        <v>3372740</v>
      </c>
      <c r="E3855" s="1">
        <v>3373648</v>
      </c>
      <c r="F3855" s="1" t="s">
        <v>13</v>
      </c>
      <c r="G3855" s="1" t="s">
        <v>11409</v>
      </c>
    </row>
    <row r="3856" spans="1:7" ht="21" x14ac:dyDescent="0.25">
      <c r="A3856" s="2" t="str">
        <f>HYPERLINK("https://rth.dk/resources/bsgatlas/details.php?id=BSGatlas-gene-3855","BSGatlas-gene-3855")</f>
        <v>BSGatlas-gene-3855</v>
      </c>
      <c r="B3856" s="1" t="s">
        <v>3504</v>
      </c>
      <c r="C3856" s="1" t="s">
        <v>8</v>
      </c>
      <c r="D3856" s="1">
        <v>3373743</v>
      </c>
      <c r="E3856" s="1">
        <v>3373988</v>
      </c>
      <c r="F3856" s="1" t="s">
        <v>9</v>
      </c>
      <c r="G3856" s="1" t="s">
        <v>11409</v>
      </c>
    </row>
    <row r="3857" spans="1:7" ht="21" x14ac:dyDescent="0.25">
      <c r="A3857" s="2" t="str">
        <f>HYPERLINK("https://rth.dk/resources/bsgatlas/details.php?id=BSGatlas-gene-3856","BSGatlas-gene-3856")</f>
        <v>BSGatlas-gene-3856</v>
      </c>
      <c r="B3857" s="1" t="s">
        <v>3505</v>
      </c>
      <c r="C3857" s="1" t="s">
        <v>8</v>
      </c>
      <c r="D3857" s="1">
        <v>3374001</v>
      </c>
      <c r="E3857" s="1">
        <v>3374333</v>
      </c>
      <c r="F3857" s="1" t="s">
        <v>9</v>
      </c>
      <c r="G3857" s="1" t="s">
        <v>11409</v>
      </c>
    </row>
    <row r="3858" spans="1:7" ht="21" x14ac:dyDescent="0.25">
      <c r="A3858" s="2" t="str">
        <f>HYPERLINK("https://rth.dk/resources/bsgatlas/details.php?id=BSGatlas-gene-3857","BSGatlas-gene-3857")</f>
        <v>BSGatlas-gene-3857</v>
      </c>
      <c r="B3858" s="1" t="s">
        <v>3506</v>
      </c>
      <c r="C3858" s="1" t="s">
        <v>8</v>
      </c>
      <c r="D3858" s="1">
        <v>3374492</v>
      </c>
      <c r="E3858" s="1">
        <v>3374959</v>
      </c>
      <c r="F3858" s="1" t="s">
        <v>9</v>
      </c>
      <c r="G3858" s="1" t="s">
        <v>11409</v>
      </c>
    </row>
    <row r="3859" spans="1:7" ht="21" x14ac:dyDescent="0.25">
      <c r="A3859" s="2" t="str">
        <f>HYPERLINK("https://rth.dk/resources/bsgatlas/details.php?id=BSGatlas-gene-3858","BSGatlas-gene-3858")</f>
        <v>BSGatlas-gene-3858</v>
      </c>
      <c r="B3859" s="1" t="s">
        <v>3507</v>
      </c>
      <c r="C3859" s="1" t="s">
        <v>8</v>
      </c>
      <c r="D3859" s="1">
        <v>3374956</v>
      </c>
      <c r="E3859" s="1">
        <v>3376581</v>
      </c>
      <c r="F3859" s="1" t="s">
        <v>9</v>
      </c>
      <c r="G3859" s="1" t="s">
        <v>11409</v>
      </c>
    </row>
    <row r="3860" spans="1:7" ht="21" x14ac:dyDescent="0.25">
      <c r="A3860" s="2" t="str">
        <f>HYPERLINK("https://rth.dk/resources/bsgatlas/details.php?id=BSGatlas-gene-3859","BSGatlas-gene-3859")</f>
        <v>BSGatlas-gene-3859</v>
      </c>
      <c r="B3860" s="1" t="s">
        <v>3508</v>
      </c>
      <c r="C3860" s="1" t="s">
        <v>8</v>
      </c>
      <c r="D3860" s="1">
        <v>3376617</v>
      </c>
      <c r="E3860" s="1">
        <v>3377000</v>
      </c>
      <c r="F3860" s="1" t="s">
        <v>13</v>
      </c>
      <c r="G3860" s="1" t="s">
        <v>11409</v>
      </c>
    </row>
    <row r="3861" spans="1:7" ht="21" x14ac:dyDescent="0.25">
      <c r="A3861" s="2" t="str">
        <f>HYPERLINK("https://rth.dk/resources/bsgatlas/details.php?id=BSGatlas-gene-3860","BSGatlas-gene-3860")</f>
        <v>BSGatlas-gene-3860</v>
      </c>
      <c r="B3861" s="1" t="s">
        <v>3509</v>
      </c>
      <c r="C3861" s="1" t="s">
        <v>8</v>
      </c>
      <c r="D3861" s="1">
        <v>3377019</v>
      </c>
      <c r="E3861" s="1">
        <v>3377408</v>
      </c>
      <c r="F3861" s="1" t="s">
        <v>13</v>
      </c>
      <c r="G3861" s="1" t="s">
        <v>11409</v>
      </c>
    </row>
    <row r="3862" spans="1:7" ht="21" x14ac:dyDescent="0.25">
      <c r="A3862" s="2" t="str">
        <f>HYPERLINK("https://rth.dk/resources/bsgatlas/details.php?id=BSGatlas-gene-3861","BSGatlas-gene-3861")</f>
        <v>BSGatlas-gene-3861</v>
      </c>
      <c r="B3862" s="1" t="s">
        <v>3510</v>
      </c>
      <c r="C3862" s="1" t="s">
        <v>8</v>
      </c>
      <c r="D3862" s="1">
        <v>3377430</v>
      </c>
      <c r="E3862" s="1">
        <v>3377759</v>
      </c>
      <c r="F3862" s="1" t="s">
        <v>13</v>
      </c>
      <c r="G3862" s="1" t="s">
        <v>11409</v>
      </c>
    </row>
    <row r="3863" spans="1:7" ht="21" x14ac:dyDescent="0.25">
      <c r="A3863" s="2" t="str">
        <f>HYPERLINK("https://rth.dk/resources/bsgatlas/details.php?id=BSGatlas-gene-3862","BSGatlas-gene-3862")</f>
        <v>BSGatlas-gene-3862</v>
      </c>
      <c r="B3863" s="1" t="s">
        <v>3511</v>
      </c>
      <c r="C3863" s="1" t="s">
        <v>8</v>
      </c>
      <c r="D3863" s="1">
        <v>3377893</v>
      </c>
      <c r="E3863" s="1">
        <v>3378780</v>
      </c>
      <c r="F3863" s="1" t="s">
        <v>9</v>
      </c>
      <c r="G3863" s="1" t="s">
        <v>11409</v>
      </c>
    </row>
    <row r="3864" spans="1:7" ht="21" x14ac:dyDescent="0.25">
      <c r="A3864" s="2" t="str">
        <f>HYPERLINK("https://rth.dk/resources/bsgatlas/details.php?id=BSGatlas-gene-3863","BSGatlas-gene-3863")</f>
        <v>BSGatlas-gene-3863</v>
      </c>
      <c r="B3864" s="1" t="s">
        <v>3512</v>
      </c>
      <c r="C3864" s="1" t="s">
        <v>8</v>
      </c>
      <c r="D3864" s="1">
        <v>3378800</v>
      </c>
      <c r="E3864" s="1">
        <v>3379087</v>
      </c>
      <c r="F3864" s="1" t="s">
        <v>13</v>
      </c>
      <c r="G3864" s="1" t="s">
        <v>11409</v>
      </c>
    </row>
    <row r="3865" spans="1:7" ht="21" x14ac:dyDescent="0.25">
      <c r="A3865" s="2" t="str">
        <f>HYPERLINK("https://rth.dk/resources/bsgatlas/details.php?id=BSGatlas-gene-3864","BSGatlas-gene-3864")</f>
        <v>BSGatlas-gene-3864</v>
      </c>
      <c r="B3865" s="1" t="s">
        <v>3513</v>
      </c>
      <c r="C3865" s="1" t="s">
        <v>8</v>
      </c>
      <c r="D3865" s="1">
        <v>3379112</v>
      </c>
      <c r="E3865" s="1">
        <v>3379939</v>
      </c>
      <c r="F3865" s="1" t="s">
        <v>13</v>
      </c>
      <c r="G3865" s="1" t="s">
        <v>11409</v>
      </c>
    </row>
    <row r="3866" spans="1:7" ht="21" x14ac:dyDescent="0.25">
      <c r="A3866" s="2" t="str">
        <f>HYPERLINK("https://rth.dk/resources/bsgatlas/details.php?id=BSGatlas-gene-3865","BSGatlas-gene-3865")</f>
        <v>BSGatlas-gene-3865</v>
      </c>
      <c r="B3866" s="1" t="s">
        <v>3514</v>
      </c>
      <c r="C3866" s="1" t="s">
        <v>8</v>
      </c>
      <c r="D3866" s="1">
        <v>3380157</v>
      </c>
      <c r="E3866" s="1">
        <v>3380594</v>
      </c>
      <c r="F3866" s="1" t="s">
        <v>13</v>
      </c>
      <c r="G3866" s="1" t="s">
        <v>11409</v>
      </c>
    </row>
    <row r="3867" spans="1:7" ht="21" x14ac:dyDescent="0.25">
      <c r="A3867" s="2" t="str">
        <f>HYPERLINK("https://rth.dk/resources/bsgatlas/details.php?id=BSGatlas-gene-3866","BSGatlas-gene-3866")</f>
        <v>BSGatlas-gene-3866</v>
      </c>
      <c r="B3867" s="1" t="s">
        <v>3515</v>
      </c>
      <c r="C3867" s="1" t="s">
        <v>276</v>
      </c>
      <c r="D3867" s="1">
        <v>3380704</v>
      </c>
      <c r="E3867" s="1">
        <v>3382212</v>
      </c>
      <c r="F3867" s="1" t="s">
        <v>13</v>
      </c>
      <c r="G3867" s="1" t="s">
        <v>11441</v>
      </c>
    </row>
    <row r="3868" spans="1:7" ht="21" x14ac:dyDescent="0.25">
      <c r="A3868" s="2" t="str">
        <f>HYPERLINK("https://rth.dk/resources/bsgatlas/details.php?id=BSGatlas-gene-3867","BSGatlas-gene-3867")</f>
        <v>BSGatlas-gene-3867</v>
      </c>
      <c r="B3868" s="1" t="s">
        <v>3516</v>
      </c>
      <c r="C3868" s="1" t="s">
        <v>276</v>
      </c>
      <c r="D3868" s="1">
        <v>3382209</v>
      </c>
      <c r="E3868" s="1">
        <v>3382499</v>
      </c>
      <c r="F3868" s="1" t="s">
        <v>13</v>
      </c>
      <c r="G3868" s="1" t="s">
        <v>11441</v>
      </c>
    </row>
    <row r="3869" spans="1:7" ht="21" x14ac:dyDescent="0.25">
      <c r="A3869" s="2" t="str">
        <f>HYPERLINK("https://rth.dk/resources/bsgatlas/details.php?id=BSGatlas-gene-3868","BSGatlas-gene-3868")</f>
        <v>BSGatlas-gene-3868</v>
      </c>
      <c r="B3869" s="1" t="s">
        <v>3517</v>
      </c>
      <c r="C3869" s="1" t="s">
        <v>8</v>
      </c>
      <c r="D3869" s="1">
        <v>3382633</v>
      </c>
      <c r="E3869" s="1">
        <v>3383475</v>
      </c>
      <c r="F3869" s="1" t="s">
        <v>9</v>
      </c>
      <c r="G3869" s="1" t="s">
        <v>11409</v>
      </c>
    </row>
    <row r="3870" spans="1:7" ht="21" x14ac:dyDescent="0.25">
      <c r="A3870" s="2" t="str">
        <f>HYPERLINK("https://rth.dk/resources/bsgatlas/details.php?id=BSGatlas-gene-3869","BSGatlas-gene-3869")</f>
        <v>BSGatlas-gene-3869</v>
      </c>
      <c r="B3870" s="1" t="s">
        <v>3518</v>
      </c>
      <c r="C3870" s="1" t="s">
        <v>8</v>
      </c>
      <c r="D3870" s="1">
        <v>3383565</v>
      </c>
      <c r="E3870" s="1">
        <v>3384026</v>
      </c>
      <c r="F3870" s="1" t="s">
        <v>9</v>
      </c>
      <c r="G3870" s="1" t="s">
        <v>11409</v>
      </c>
    </row>
    <row r="3871" spans="1:7" ht="21" x14ac:dyDescent="0.25">
      <c r="A3871" s="2" t="str">
        <f>HYPERLINK("https://rth.dk/resources/bsgatlas/details.php?id=BSGatlas-gene-3870","BSGatlas-gene-3870")</f>
        <v>BSGatlas-gene-3870</v>
      </c>
      <c r="B3871" s="1" t="s">
        <v>3519</v>
      </c>
      <c r="C3871" s="1" t="s">
        <v>8</v>
      </c>
      <c r="D3871" s="1">
        <v>3384070</v>
      </c>
      <c r="E3871" s="1">
        <v>3385446</v>
      </c>
      <c r="F3871" s="1" t="s">
        <v>13</v>
      </c>
      <c r="G3871" s="1" t="s">
        <v>11409</v>
      </c>
    </row>
    <row r="3872" spans="1:7" ht="21" x14ac:dyDescent="0.25">
      <c r="A3872" s="2" t="str">
        <f>HYPERLINK("https://rth.dk/resources/bsgatlas/details.php?id=BSGatlas-gene-3871","BSGatlas-gene-3871")</f>
        <v>BSGatlas-gene-3871</v>
      </c>
      <c r="B3872" s="1" t="s">
        <v>3520</v>
      </c>
      <c r="C3872" s="1" t="s">
        <v>8</v>
      </c>
      <c r="D3872" s="1">
        <v>3385724</v>
      </c>
      <c r="E3872" s="1">
        <v>3386401</v>
      </c>
      <c r="F3872" s="1" t="s">
        <v>9</v>
      </c>
      <c r="G3872" s="1" t="s">
        <v>11409</v>
      </c>
    </row>
    <row r="3873" spans="1:7" ht="21" x14ac:dyDescent="0.25">
      <c r="A3873" s="2" t="str">
        <f>HYPERLINK("https://rth.dk/resources/bsgatlas/details.php?id=BSGatlas-gene-3872","BSGatlas-gene-3872")</f>
        <v>BSGatlas-gene-3872</v>
      </c>
      <c r="B3873" s="1" t="s">
        <v>3521</v>
      </c>
      <c r="C3873" s="1" t="s">
        <v>8</v>
      </c>
      <c r="D3873" s="1">
        <v>3386398</v>
      </c>
      <c r="E3873" s="1">
        <v>3387753</v>
      </c>
      <c r="F3873" s="1" t="s">
        <v>9</v>
      </c>
      <c r="G3873" s="1" t="s">
        <v>11409</v>
      </c>
    </row>
    <row r="3874" spans="1:7" ht="21" x14ac:dyDescent="0.25">
      <c r="A3874" s="2" t="str">
        <f>HYPERLINK("https://rth.dk/resources/bsgatlas/details.php?id=BSGatlas-gene-3873","BSGatlas-gene-3873")</f>
        <v>BSGatlas-gene-3873</v>
      </c>
      <c r="B3874" s="1" t="s">
        <v>3522</v>
      </c>
      <c r="C3874" s="1" t="s">
        <v>8</v>
      </c>
      <c r="D3874" s="1">
        <v>3387781</v>
      </c>
      <c r="E3874" s="1">
        <v>3387945</v>
      </c>
      <c r="F3874" s="1" t="s">
        <v>13</v>
      </c>
      <c r="G3874" s="1" t="s">
        <v>11409</v>
      </c>
    </row>
    <row r="3875" spans="1:7" ht="21" x14ac:dyDescent="0.25">
      <c r="A3875" s="2" t="str">
        <f>HYPERLINK("https://rth.dk/resources/bsgatlas/details.php?id=BSGatlas-gene-3874","BSGatlas-gene-3874")</f>
        <v>BSGatlas-gene-3874</v>
      </c>
      <c r="B3875" s="1" t="s">
        <v>3523</v>
      </c>
      <c r="C3875" s="1" t="s">
        <v>8</v>
      </c>
      <c r="D3875" s="1">
        <v>3388113</v>
      </c>
      <c r="E3875" s="1">
        <v>3388988</v>
      </c>
      <c r="F3875" s="1" t="s">
        <v>9</v>
      </c>
      <c r="G3875" s="1" t="s">
        <v>11409</v>
      </c>
    </row>
    <row r="3876" spans="1:7" ht="21" x14ac:dyDescent="0.25">
      <c r="A3876" s="2" t="str">
        <f>HYPERLINK("https://rth.dk/resources/bsgatlas/details.php?id=BSGatlas-gene-3875","BSGatlas-gene-3875")</f>
        <v>BSGatlas-gene-3875</v>
      </c>
      <c r="B3876" s="1" t="s">
        <v>3524</v>
      </c>
      <c r="C3876" s="1" t="s">
        <v>8</v>
      </c>
      <c r="D3876" s="1">
        <v>3389024</v>
      </c>
      <c r="E3876" s="1">
        <v>3390412</v>
      </c>
      <c r="F3876" s="1" t="s">
        <v>13</v>
      </c>
      <c r="G3876" s="1" t="s">
        <v>11409</v>
      </c>
    </row>
    <row r="3877" spans="1:7" ht="21" x14ac:dyDescent="0.25">
      <c r="A3877" s="2" t="str">
        <f>HYPERLINK("https://rth.dk/resources/bsgatlas/details.php?id=BSGatlas-gene-3876","BSGatlas-gene-3876")</f>
        <v>BSGatlas-gene-3876</v>
      </c>
      <c r="B3877" s="1" t="s">
        <v>3525</v>
      </c>
      <c r="C3877" s="1" t="s">
        <v>8</v>
      </c>
      <c r="D3877" s="1">
        <v>3390479</v>
      </c>
      <c r="E3877" s="1">
        <v>3390664</v>
      </c>
      <c r="F3877" s="1" t="s">
        <v>13</v>
      </c>
      <c r="G3877" s="1" t="s">
        <v>11409</v>
      </c>
    </row>
    <row r="3878" spans="1:7" ht="21" x14ac:dyDescent="0.25">
      <c r="A3878" s="2" t="str">
        <f>HYPERLINK("https://rth.dk/resources/bsgatlas/details.php?id=BSGatlas-gene-3877","BSGatlas-gene-3877")</f>
        <v>BSGatlas-gene-3877</v>
      </c>
      <c r="B3878" s="1" t="s">
        <v>3526</v>
      </c>
      <c r="C3878" s="1" t="s">
        <v>8</v>
      </c>
      <c r="D3878" s="1">
        <v>3390782</v>
      </c>
      <c r="E3878" s="1">
        <v>3392230</v>
      </c>
      <c r="F3878" s="1" t="s">
        <v>9</v>
      </c>
      <c r="G3878" s="1" t="s">
        <v>11409</v>
      </c>
    </row>
    <row r="3879" spans="1:7" ht="21" x14ac:dyDescent="0.25">
      <c r="A3879" s="2" t="str">
        <f>HYPERLINK("https://rth.dk/resources/bsgatlas/details.php?id=BSGatlas-gene-3878","BSGatlas-gene-3878")</f>
        <v>BSGatlas-gene-3878</v>
      </c>
      <c r="B3879" s="1" t="s">
        <v>3527</v>
      </c>
      <c r="C3879" s="1" t="s">
        <v>8</v>
      </c>
      <c r="D3879" s="1">
        <v>3392199</v>
      </c>
      <c r="E3879" s="1">
        <v>3393296</v>
      </c>
      <c r="F3879" s="1" t="s">
        <v>9</v>
      </c>
      <c r="G3879" s="1" t="s">
        <v>11409</v>
      </c>
    </row>
    <row r="3880" spans="1:7" ht="21" x14ac:dyDescent="0.25">
      <c r="A3880" s="2" t="str">
        <f>HYPERLINK("https://rth.dk/resources/bsgatlas/details.php?id=BSGatlas-gene-3879","BSGatlas-gene-3879")</f>
        <v>BSGatlas-gene-3879</v>
      </c>
      <c r="B3880" s="1" t="s">
        <v>3528</v>
      </c>
      <c r="C3880" s="1" t="s">
        <v>8</v>
      </c>
      <c r="D3880" s="1">
        <v>3393293</v>
      </c>
      <c r="E3880" s="1">
        <v>3394414</v>
      </c>
      <c r="F3880" s="1" t="s">
        <v>9</v>
      </c>
      <c r="G3880" s="1" t="s">
        <v>11409</v>
      </c>
    </row>
    <row r="3881" spans="1:7" ht="21" x14ac:dyDescent="0.25">
      <c r="A3881" s="2" t="str">
        <f>HYPERLINK("https://rth.dk/resources/bsgatlas/details.php?id=BSGatlas-gene-3880","BSGatlas-gene-3880")</f>
        <v>BSGatlas-gene-3880</v>
      </c>
      <c r="B3881" s="1" t="s">
        <v>3529</v>
      </c>
      <c r="C3881" s="1" t="s">
        <v>8</v>
      </c>
      <c r="D3881" s="1">
        <v>3394422</v>
      </c>
      <c r="E3881" s="1">
        <v>3395057</v>
      </c>
      <c r="F3881" s="1" t="s">
        <v>13</v>
      </c>
      <c r="G3881" s="1" t="s">
        <v>11409</v>
      </c>
    </row>
    <row r="3882" spans="1:7" ht="21" x14ac:dyDescent="0.25">
      <c r="A3882" s="2" t="str">
        <f>HYPERLINK("https://rth.dk/resources/bsgatlas/details.php?id=BSGatlas-gene-3881","BSGatlas-gene-3881")</f>
        <v>BSGatlas-gene-3881</v>
      </c>
      <c r="B3882" s="1" t="s">
        <v>3530</v>
      </c>
      <c r="C3882" s="1" t="s">
        <v>8</v>
      </c>
      <c r="D3882" s="1">
        <v>3395035</v>
      </c>
      <c r="E3882" s="1">
        <v>3396117</v>
      </c>
      <c r="F3882" s="1" t="s">
        <v>13</v>
      </c>
      <c r="G3882" s="1" t="s">
        <v>11409</v>
      </c>
    </row>
    <row r="3883" spans="1:7" ht="21" x14ac:dyDescent="0.25">
      <c r="A3883" s="2" t="str">
        <f>HYPERLINK("https://rth.dk/resources/bsgatlas/details.php?id=BSGatlas-gene-3882","BSGatlas-gene-3882")</f>
        <v>BSGatlas-gene-3882</v>
      </c>
      <c r="B3883" s="1" t="s">
        <v>3531</v>
      </c>
      <c r="C3883" s="1" t="s">
        <v>8</v>
      </c>
      <c r="D3883" s="1">
        <v>3396114</v>
      </c>
      <c r="E3883" s="1">
        <v>3396839</v>
      </c>
      <c r="F3883" s="1" t="s">
        <v>13</v>
      </c>
      <c r="G3883" s="1" t="s">
        <v>11409</v>
      </c>
    </row>
    <row r="3884" spans="1:7" ht="21" x14ac:dyDescent="0.25">
      <c r="A3884" s="2" t="str">
        <f>HYPERLINK("https://rth.dk/resources/bsgatlas/details.php?id=BSGatlas-gene-3883","BSGatlas-gene-3883")</f>
        <v>BSGatlas-gene-3883</v>
      </c>
      <c r="B3884" s="1" t="s">
        <v>3532</v>
      </c>
      <c r="C3884" s="1" t="s">
        <v>8</v>
      </c>
      <c r="D3884" s="1">
        <v>3396873</v>
      </c>
      <c r="E3884" s="1">
        <v>3397745</v>
      </c>
      <c r="F3884" s="1" t="s">
        <v>13</v>
      </c>
      <c r="G3884" s="1" t="s">
        <v>11409</v>
      </c>
    </row>
    <row r="3885" spans="1:7" ht="21" x14ac:dyDescent="0.25">
      <c r="A3885" s="2" t="str">
        <f>HYPERLINK("https://rth.dk/resources/bsgatlas/details.php?id=BSGatlas-gene-3884","BSGatlas-gene-3884")</f>
        <v>BSGatlas-gene-3884</v>
      </c>
      <c r="B3885" s="1" t="s">
        <v>3533</v>
      </c>
      <c r="C3885" s="1" t="s">
        <v>8</v>
      </c>
      <c r="D3885" s="1">
        <v>3397846</v>
      </c>
      <c r="E3885" s="1">
        <v>3398523</v>
      </c>
      <c r="F3885" s="1" t="s">
        <v>13</v>
      </c>
      <c r="G3885" s="1" t="s">
        <v>11409</v>
      </c>
    </row>
    <row r="3886" spans="1:7" ht="21" x14ac:dyDescent="0.25">
      <c r="A3886" s="2" t="str">
        <f>HYPERLINK("https://rth.dk/resources/bsgatlas/details.php?id=BSGatlas-gene-3885","BSGatlas-gene-3885")</f>
        <v>BSGatlas-gene-3885</v>
      </c>
      <c r="B3886" s="1" t="s">
        <v>3534</v>
      </c>
      <c r="C3886" s="1" t="s">
        <v>8</v>
      </c>
      <c r="D3886" s="1">
        <v>3398550</v>
      </c>
      <c r="E3886" s="1">
        <v>3398930</v>
      </c>
      <c r="F3886" s="1" t="s">
        <v>13</v>
      </c>
      <c r="G3886" s="1" t="s">
        <v>11409</v>
      </c>
    </row>
    <row r="3887" spans="1:7" ht="21" x14ac:dyDescent="0.25">
      <c r="A3887" s="2" t="str">
        <f>HYPERLINK("https://rth.dk/resources/bsgatlas/details.php?id=BSGatlas-gene-3886","BSGatlas-gene-3886")</f>
        <v>BSGatlas-gene-3886</v>
      </c>
      <c r="B3887" s="1" t="s">
        <v>3535</v>
      </c>
      <c r="C3887" s="1" t="s">
        <v>8</v>
      </c>
      <c r="D3887" s="1">
        <v>3399092</v>
      </c>
      <c r="E3887" s="1">
        <v>3400360</v>
      </c>
      <c r="F3887" s="1" t="s">
        <v>13</v>
      </c>
      <c r="G3887" s="1" t="s">
        <v>11409</v>
      </c>
    </row>
    <row r="3888" spans="1:7" ht="21" x14ac:dyDescent="0.25">
      <c r="A3888" s="2" t="str">
        <f>HYPERLINK("https://rth.dk/resources/bsgatlas/details.php?id=BSGatlas-gene-3887","BSGatlas-gene-3887")</f>
        <v>BSGatlas-gene-3887</v>
      </c>
      <c r="B3888" s="1" t="s">
        <v>3536</v>
      </c>
      <c r="C3888" s="1" t="s">
        <v>8</v>
      </c>
      <c r="D3888" s="1">
        <v>3400537</v>
      </c>
      <c r="E3888" s="1">
        <v>3401118</v>
      </c>
      <c r="F3888" s="1" t="s">
        <v>13</v>
      </c>
      <c r="G3888" s="1" t="s">
        <v>11409</v>
      </c>
    </row>
    <row r="3889" spans="1:7" ht="21" x14ac:dyDescent="0.25">
      <c r="A3889" s="2" t="str">
        <f>HYPERLINK("https://rth.dk/resources/bsgatlas/details.php?id=BSGatlas-gene-3888","BSGatlas-gene-3888")</f>
        <v>BSGatlas-gene-3888</v>
      </c>
      <c r="B3889" s="1" t="s">
        <v>3537</v>
      </c>
      <c r="C3889" s="1" t="s">
        <v>8</v>
      </c>
      <c r="D3889" s="1">
        <v>3401141</v>
      </c>
      <c r="E3889" s="1">
        <v>3402469</v>
      </c>
      <c r="F3889" s="1" t="s">
        <v>13</v>
      </c>
      <c r="G3889" s="1" t="s">
        <v>11409</v>
      </c>
    </row>
    <row r="3890" spans="1:7" ht="21" x14ac:dyDescent="0.25">
      <c r="A3890" s="2" t="str">
        <f>HYPERLINK("https://rth.dk/resources/bsgatlas/details.php?id=BSGatlas-gene-3889","BSGatlas-gene-3889")</f>
        <v>BSGatlas-gene-3889</v>
      </c>
      <c r="B3890" s="1" t="s">
        <v>3538</v>
      </c>
      <c r="C3890" s="1" t="s">
        <v>8</v>
      </c>
      <c r="D3890" s="1">
        <v>3402469</v>
      </c>
      <c r="E3890" s="1">
        <v>3403530</v>
      </c>
      <c r="F3890" s="1" t="s">
        <v>13</v>
      </c>
      <c r="G3890" s="1" t="s">
        <v>11409</v>
      </c>
    </row>
    <row r="3891" spans="1:7" ht="21" x14ac:dyDescent="0.25">
      <c r="A3891" s="2" t="str">
        <f>HYPERLINK("https://rth.dk/resources/bsgatlas/details.php?id=BSGatlas-gene-3890","BSGatlas-gene-3890")</f>
        <v>BSGatlas-gene-3890</v>
      </c>
      <c r="B3891" s="1" t="s">
        <v>3539</v>
      </c>
      <c r="C3891" s="1" t="s">
        <v>8</v>
      </c>
      <c r="D3891" s="1">
        <v>3403493</v>
      </c>
      <c r="E3891" s="1">
        <v>3404437</v>
      </c>
      <c r="F3891" s="1" t="s">
        <v>13</v>
      </c>
      <c r="G3891" s="1" t="s">
        <v>11409</v>
      </c>
    </row>
    <row r="3892" spans="1:7" ht="21" x14ac:dyDescent="0.25">
      <c r="A3892" s="2" t="str">
        <f>HYPERLINK("https://rth.dk/resources/bsgatlas/details.php?id=BSGatlas-gene-3891","BSGatlas-gene-3891")</f>
        <v>BSGatlas-gene-3891</v>
      </c>
      <c r="B3892" s="1" t="s">
        <v>11720</v>
      </c>
      <c r="C3892" s="1" t="s">
        <v>34</v>
      </c>
      <c r="D3892" s="1">
        <v>3404541</v>
      </c>
      <c r="E3892" s="1">
        <v>3404681</v>
      </c>
      <c r="F3892" s="1" t="s">
        <v>13</v>
      </c>
      <c r="G3892" s="1" t="s">
        <v>11464</v>
      </c>
    </row>
    <row r="3893" spans="1:7" ht="21" x14ac:dyDescent="0.25">
      <c r="A3893" s="2" t="str">
        <f>HYPERLINK("https://rth.dk/resources/bsgatlas/details.php?id=BSGatlas-gene-3892","BSGatlas-gene-3892")</f>
        <v>BSGatlas-gene-3892</v>
      </c>
      <c r="B3893" s="1" t="s">
        <v>3540</v>
      </c>
      <c r="C3893" s="1" t="s">
        <v>8</v>
      </c>
      <c r="D3893" s="1">
        <v>3404835</v>
      </c>
      <c r="E3893" s="1">
        <v>3405626</v>
      </c>
      <c r="F3893" s="1" t="s">
        <v>9</v>
      </c>
      <c r="G3893" s="1" t="s">
        <v>11409</v>
      </c>
    </row>
    <row r="3894" spans="1:7" ht="21" x14ac:dyDescent="0.25">
      <c r="A3894" s="2" t="str">
        <f>HYPERLINK("https://rth.dk/resources/bsgatlas/details.php?id=BSGatlas-gene-3893","BSGatlas-gene-3893")</f>
        <v>BSGatlas-gene-3893</v>
      </c>
      <c r="B3894" s="1" t="s">
        <v>3541</v>
      </c>
      <c r="C3894" s="1" t="s">
        <v>8</v>
      </c>
      <c r="D3894" s="1">
        <v>3405664</v>
      </c>
      <c r="E3894" s="1">
        <v>3406542</v>
      </c>
      <c r="F3894" s="1" t="s">
        <v>13</v>
      </c>
      <c r="G3894" s="1" t="s">
        <v>11409</v>
      </c>
    </row>
    <row r="3895" spans="1:7" ht="21" x14ac:dyDescent="0.25">
      <c r="A3895" s="2" t="str">
        <f>HYPERLINK("https://rth.dk/resources/bsgatlas/details.php?id=BSGatlas-gene-3894","BSGatlas-gene-3894")</f>
        <v>BSGatlas-gene-3894</v>
      </c>
      <c r="B3895" s="1" t="s">
        <v>3542</v>
      </c>
      <c r="C3895" s="1" t="s">
        <v>8</v>
      </c>
      <c r="D3895" s="1">
        <v>3406614</v>
      </c>
      <c r="E3895" s="1">
        <v>3408356</v>
      </c>
      <c r="F3895" s="1" t="s">
        <v>13</v>
      </c>
      <c r="G3895" s="1" t="s">
        <v>11409</v>
      </c>
    </row>
    <row r="3896" spans="1:7" ht="21" x14ac:dyDescent="0.25">
      <c r="A3896" s="2" t="str">
        <f>HYPERLINK("https://rth.dk/resources/bsgatlas/details.php?id=BSGatlas-gene-3895","BSGatlas-gene-3895")</f>
        <v>BSGatlas-gene-3895</v>
      </c>
      <c r="B3896" s="1" t="s">
        <v>3543</v>
      </c>
      <c r="C3896" s="1" t="s">
        <v>8</v>
      </c>
      <c r="D3896" s="1">
        <v>3408353</v>
      </c>
      <c r="E3896" s="1">
        <v>3409066</v>
      </c>
      <c r="F3896" s="1" t="s">
        <v>13</v>
      </c>
      <c r="G3896" s="1" t="s">
        <v>11409</v>
      </c>
    </row>
    <row r="3897" spans="1:7" ht="21" x14ac:dyDescent="0.25">
      <c r="A3897" s="2" t="str">
        <f>HYPERLINK("https://rth.dk/resources/bsgatlas/details.php?id=BSGatlas-gene-3896","BSGatlas-gene-3896")</f>
        <v>BSGatlas-gene-3896</v>
      </c>
      <c r="B3897" s="1" t="s">
        <v>3544</v>
      </c>
      <c r="C3897" s="1" t="s">
        <v>8</v>
      </c>
      <c r="D3897" s="1">
        <v>3409219</v>
      </c>
      <c r="E3897" s="1">
        <v>3409458</v>
      </c>
      <c r="F3897" s="1" t="s">
        <v>13</v>
      </c>
      <c r="G3897" s="1" t="s">
        <v>11409</v>
      </c>
    </row>
    <row r="3898" spans="1:7" ht="21" x14ac:dyDescent="0.25">
      <c r="A3898" s="2" t="str">
        <f>HYPERLINK("https://rth.dk/resources/bsgatlas/details.php?id=BSGatlas-gene-3897","BSGatlas-gene-3897")</f>
        <v>BSGatlas-gene-3897</v>
      </c>
      <c r="B3898" s="1" t="s">
        <v>3545</v>
      </c>
      <c r="C3898" s="1" t="s">
        <v>8</v>
      </c>
      <c r="D3898" s="1">
        <v>3409462</v>
      </c>
      <c r="E3898" s="1">
        <v>3409992</v>
      </c>
      <c r="F3898" s="1" t="s">
        <v>13</v>
      </c>
      <c r="G3898" s="1" t="s">
        <v>11409</v>
      </c>
    </row>
    <row r="3899" spans="1:7" ht="21" x14ac:dyDescent="0.25">
      <c r="A3899" s="2" t="str">
        <f>HYPERLINK("https://rth.dk/resources/bsgatlas/details.php?id=BSGatlas-gene-3898","BSGatlas-gene-3898")</f>
        <v>BSGatlas-gene-3898</v>
      </c>
      <c r="B3899" s="1" t="s">
        <v>3546</v>
      </c>
      <c r="C3899" s="1" t="s">
        <v>8</v>
      </c>
      <c r="D3899" s="1">
        <v>3410007</v>
      </c>
      <c r="E3899" s="1">
        <v>3410345</v>
      </c>
      <c r="F3899" s="1" t="s">
        <v>9</v>
      </c>
      <c r="G3899" s="1" t="s">
        <v>11409</v>
      </c>
    </row>
    <row r="3900" spans="1:7" ht="21" x14ac:dyDescent="0.25">
      <c r="A3900" s="2" t="str">
        <f>HYPERLINK("https://rth.dk/resources/bsgatlas/details.php?id=BSGatlas-gene-3899","BSGatlas-gene-3899")</f>
        <v>BSGatlas-gene-3899</v>
      </c>
      <c r="B3900" s="1" t="s">
        <v>3547</v>
      </c>
      <c r="C3900" s="1" t="s">
        <v>8</v>
      </c>
      <c r="D3900" s="1">
        <v>3410466</v>
      </c>
      <c r="E3900" s="1">
        <v>3411623</v>
      </c>
      <c r="F3900" s="1" t="s">
        <v>9</v>
      </c>
      <c r="G3900" s="1" t="s">
        <v>11409</v>
      </c>
    </row>
    <row r="3901" spans="1:7" ht="21" x14ac:dyDescent="0.25">
      <c r="A3901" s="2" t="str">
        <f>HYPERLINK("https://rth.dk/resources/bsgatlas/details.php?id=BSGatlas-gene-3900","BSGatlas-gene-3900")</f>
        <v>BSGatlas-gene-3900</v>
      </c>
      <c r="B3901" s="1" t="s">
        <v>3548</v>
      </c>
      <c r="C3901" s="1" t="s">
        <v>8</v>
      </c>
      <c r="D3901" s="1">
        <v>3411684</v>
      </c>
      <c r="E3901" s="1">
        <v>3412094</v>
      </c>
      <c r="F3901" s="1" t="s">
        <v>9</v>
      </c>
      <c r="G3901" s="1" t="s">
        <v>11409</v>
      </c>
    </row>
    <row r="3902" spans="1:7" ht="21" x14ac:dyDescent="0.25">
      <c r="A3902" s="2" t="str">
        <f>HYPERLINK("https://rth.dk/resources/bsgatlas/details.php?id=BSGatlas-gene-3901","BSGatlas-gene-3901")</f>
        <v>BSGatlas-gene-3901</v>
      </c>
      <c r="B3902" s="1" t="s">
        <v>3549</v>
      </c>
      <c r="C3902" s="1" t="s">
        <v>8</v>
      </c>
      <c r="D3902" s="1">
        <v>3412128</v>
      </c>
      <c r="E3902" s="1">
        <v>3413357</v>
      </c>
      <c r="F3902" s="1" t="s">
        <v>13</v>
      </c>
      <c r="G3902" s="1" t="s">
        <v>11409</v>
      </c>
    </row>
    <row r="3903" spans="1:7" ht="21" x14ac:dyDescent="0.25">
      <c r="A3903" s="2" t="str">
        <f>HYPERLINK("https://rth.dk/resources/bsgatlas/details.php?id=BSGatlas-gene-3902","BSGatlas-gene-3902")</f>
        <v>BSGatlas-gene-3902</v>
      </c>
      <c r="B3903" s="1" t="s">
        <v>3550</v>
      </c>
      <c r="C3903" s="1" t="s">
        <v>8</v>
      </c>
      <c r="D3903" s="1">
        <v>3413350</v>
      </c>
      <c r="E3903" s="1">
        <v>3414039</v>
      </c>
      <c r="F3903" s="1" t="s">
        <v>13</v>
      </c>
      <c r="G3903" s="1" t="s">
        <v>11409</v>
      </c>
    </row>
    <row r="3904" spans="1:7" ht="21" x14ac:dyDescent="0.25">
      <c r="A3904" s="2" t="str">
        <f>HYPERLINK("https://rth.dk/resources/bsgatlas/details.php?id=BSGatlas-gene-3903","BSGatlas-gene-3903")</f>
        <v>BSGatlas-gene-3903</v>
      </c>
      <c r="B3904" s="1" t="s">
        <v>3551</v>
      </c>
      <c r="C3904" s="1" t="s">
        <v>8</v>
      </c>
      <c r="D3904" s="1">
        <v>3414023</v>
      </c>
      <c r="E3904" s="1">
        <v>3415216</v>
      </c>
      <c r="F3904" s="1" t="s">
        <v>13</v>
      </c>
      <c r="G3904" s="1" t="s">
        <v>11409</v>
      </c>
    </row>
    <row r="3905" spans="1:7" ht="21" x14ac:dyDescent="0.25">
      <c r="A3905" s="2" t="str">
        <f>HYPERLINK("https://rth.dk/resources/bsgatlas/details.php?id=BSGatlas-gene-3904","BSGatlas-gene-3904")</f>
        <v>BSGatlas-gene-3904</v>
      </c>
      <c r="B3905" s="1" t="s">
        <v>3552</v>
      </c>
      <c r="C3905" s="1" t="s">
        <v>8</v>
      </c>
      <c r="D3905" s="1">
        <v>3415387</v>
      </c>
      <c r="E3905" s="1">
        <v>3416196</v>
      </c>
      <c r="F3905" s="1" t="s">
        <v>13</v>
      </c>
      <c r="G3905" s="1" t="s">
        <v>11409</v>
      </c>
    </row>
    <row r="3906" spans="1:7" ht="21" x14ac:dyDescent="0.25">
      <c r="A3906" s="2" t="str">
        <f>HYPERLINK("https://rth.dk/resources/bsgatlas/details.php?id=BSGatlas-gene-3905","BSGatlas-gene-3905")</f>
        <v>BSGatlas-gene-3905</v>
      </c>
      <c r="B3906" s="1" t="s">
        <v>3553</v>
      </c>
      <c r="C3906" s="1" t="s">
        <v>8</v>
      </c>
      <c r="D3906" s="1">
        <v>3416212</v>
      </c>
      <c r="E3906" s="1">
        <v>3417222</v>
      </c>
      <c r="F3906" s="1" t="s">
        <v>13</v>
      </c>
      <c r="G3906" s="1" t="s">
        <v>11409</v>
      </c>
    </row>
    <row r="3907" spans="1:7" ht="21" x14ac:dyDescent="0.25">
      <c r="A3907" s="2" t="str">
        <f>HYPERLINK("https://rth.dk/resources/bsgatlas/details.php?id=BSGatlas-gene-3906","BSGatlas-gene-3906")</f>
        <v>BSGatlas-gene-3906</v>
      </c>
      <c r="B3907" s="1" t="s">
        <v>3554</v>
      </c>
      <c r="C3907" s="1" t="s">
        <v>8</v>
      </c>
      <c r="D3907" s="1">
        <v>3417222</v>
      </c>
      <c r="E3907" s="1">
        <v>3418376</v>
      </c>
      <c r="F3907" s="1" t="s">
        <v>13</v>
      </c>
      <c r="G3907" s="1" t="s">
        <v>11409</v>
      </c>
    </row>
    <row r="3908" spans="1:7" ht="21" x14ac:dyDescent="0.25">
      <c r="A3908" s="2" t="str">
        <f>HYPERLINK("https://rth.dk/resources/bsgatlas/details.php?id=BSGatlas-gene-3907","BSGatlas-gene-3907")</f>
        <v>BSGatlas-gene-3907</v>
      </c>
      <c r="B3908" s="1" t="s">
        <v>3555</v>
      </c>
      <c r="C3908" s="1" t="s">
        <v>8</v>
      </c>
      <c r="D3908" s="1">
        <v>3418474</v>
      </c>
      <c r="E3908" s="1">
        <v>3419421</v>
      </c>
      <c r="F3908" s="1" t="s">
        <v>9</v>
      </c>
      <c r="G3908" s="1" t="s">
        <v>11409</v>
      </c>
    </row>
    <row r="3909" spans="1:7" ht="21" x14ac:dyDescent="0.25">
      <c r="A3909" s="2" t="str">
        <f>HYPERLINK("https://rth.dk/resources/bsgatlas/details.php?id=BSGatlas-gene-3908","BSGatlas-gene-3908")</f>
        <v>BSGatlas-gene-3908</v>
      </c>
      <c r="B3909" s="1" t="s">
        <v>3556</v>
      </c>
      <c r="C3909" s="1" t="s">
        <v>8</v>
      </c>
      <c r="D3909" s="1">
        <v>3419656</v>
      </c>
      <c r="E3909" s="1">
        <v>3421065</v>
      </c>
      <c r="F3909" s="1" t="s">
        <v>13</v>
      </c>
      <c r="G3909" s="1" t="s">
        <v>11409</v>
      </c>
    </row>
    <row r="3910" spans="1:7" ht="21" x14ac:dyDescent="0.25">
      <c r="A3910" s="2" t="str">
        <f>HYPERLINK("https://rth.dk/resources/bsgatlas/details.php?id=BSGatlas-gene-3909","BSGatlas-gene-3909")</f>
        <v>BSGatlas-gene-3909</v>
      </c>
      <c r="B3910" s="1" t="s">
        <v>3557</v>
      </c>
      <c r="C3910" s="1" t="s">
        <v>12</v>
      </c>
      <c r="D3910" s="1">
        <v>3420519</v>
      </c>
      <c r="E3910" s="1">
        <v>3421486</v>
      </c>
      <c r="F3910" s="1" t="s">
        <v>9</v>
      </c>
      <c r="G3910" s="1" t="s">
        <v>11406</v>
      </c>
    </row>
    <row r="3911" spans="1:7" ht="21" x14ac:dyDescent="0.25">
      <c r="A3911" s="2" t="str">
        <f>HYPERLINK("https://rth.dk/resources/bsgatlas/details.php?id=BSGatlas-gene-3910","BSGatlas-gene-3910")</f>
        <v>BSGatlas-gene-3910</v>
      </c>
      <c r="B3911" s="1" t="s">
        <v>3558</v>
      </c>
      <c r="C3911" s="1" t="s">
        <v>34</v>
      </c>
      <c r="D3911" s="1">
        <v>3421168</v>
      </c>
      <c r="E3911" s="1">
        <v>3421348</v>
      </c>
      <c r="F3911" s="1" t="s">
        <v>13</v>
      </c>
      <c r="G3911" s="1" t="s">
        <v>11412</v>
      </c>
    </row>
    <row r="3912" spans="1:7" ht="21" x14ac:dyDescent="0.25">
      <c r="A3912" s="2" t="str">
        <f>HYPERLINK("https://rth.dk/resources/bsgatlas/details.php?id=BSGatlas-gene-3911","BSGatlas-gene-3911")</f>
        <v>BSGatlas-gene-3911</v>
      </c>
      <c r="B3912" s="1" t="s">
        <v>3559</v>
      </c>
      <c r="C3912" s="1" t="s">
        <v>8</v>
      </c>
      <c r="D3912" s="1">
        <v>3421465</v>
      </c>
      <c r="E3912" s="1">
        <v>3421605</v>
      </c>
      <c r="F3912" s="1" t="s">
        <v>13</v>
      </c>
      <c r="G3912" s="1" t="s">
        <v>11409</v>
      </c>
    </row>
    <row r="3913" spans="1:7" ht="21" x14ac:dyDescent="0.25">
      <c r="A3913" s="2" t="str">
        <f>HYPERLINK("https://rth.dk/resources/bsgatlas/details.php?id=BSGatlas-gene-3912","BSGatlas-gene-3912")</f>
        <v>BSGatlas-gene-3912</v>
      </c>
      <c r="B3913" s="1" t="s">
        <v>3560</v>
      </c>
      <c r="C3913" s="1" t="s">
        <v>8</v>
      </c>
      <c r="D3913" s="1">
        <v>3421772</v>
      </c>
      <c r="E3913" s="1">
        <v>3422254</v>
      </c>
      <c r="F3913" s="1" t="s">
        <v>9</v>
      </c>
      <c r="G3913" s="1" t="s">
        <v>11409</v>
      </c>
    </row>
    <row r="3914" spans="1:7" ht="21" x14ac:dyDescent="0.25">
      <c r="A3914" s="2" t="str">
        <f>HYPERLINK("https://rth.dk/resources/bsgatlas/details.php?id=BSGatlas-gene-3913","BSGatlas-gene-3913")</f>
        <v>BSGatlas-gene-3913</v>
      </c>
      <c r="B3914" s="1" t="s">
        <v>3561</v>
      </c>
      <c r="C3914" s="1" t="s">
        <v>8</v>
      </c>
      <c r="D3914" s="1">
        <v>3422354</v>
      </c>
      <c r="E3914" s="1">
        <v>3424207</v>
      </c>
      <c r="F3914" s="1" t="s">
        <v>9</v>
      </c>
      <c r="G3914" s="1" t="s">
        <v>11409</v>
      </c>
    </row>
    <row r="3915" spans="1:7" ht="21" x14ac:dyDescent="0.25">
      <c r="A3915" s="2" t="str">
        <f>HYPERLINK("https://rth.dk/resources/bsgatlas/details.php?id=BSGatlas-gene-3914","BSGatlas-gene-3914")</f>
        <v>BSGatlas-gene-3914</v>
      </c>
      <c r="B3915" s="1" t="s">
        <v>3562</v>
      </c>
      <c r="C3915" s="1" t="s">
        <v>8</v>
      </c>
      <c r="D3915" s="1">
        <v>3424235</v>
      </c>
      <c r="E3915" s="1">
        <v>3425161</v>
      </c>
      <c r="F3915" s="1" t="s">
        <v>13</v>
      </c>
      <c r="G3915" s="1" t="s">
        <v>11409</v>
      </c>
    </row>
    <row r="3916" spans="1:7" ht="21" x14ac:dyDescent="0.25">
      <c r="A3916" s="2" t="str">
        <f>HYPERLINK("https://rth.dk/resources/bsgatlas/details.php?id=BSGatlas-gene-3915","BSGatlas-gene-3915")</f>
        <v>BSGatlas-gene-3915</v>
      </c>
      <c r="B3916" s="1" t="s">
        <v>3563</v>
      </c>
      <c r="C3916" s="1" t="s">
        <v>8</v>
      </c>
      <c r="D3916" s="1">
        <v>3425272</v>
      </c>
      <c r="E3916" s="1">
        <v>3426054</v>
      </c>
      <c r="F3916" s="1" t="s">
        <v>9</v>
      </c>
      <c r="G3916" s="1" t="s">
        <v>11409</v>
      </c>
    </row>
    <row r="3917" spans="1:7" ht="21" x14ac:dyDescent="0.25">
      <c r="A3917" s="2" t="str">
        <f>HYPERLINK("https://rth.dk/resources/bsgatlas/details.php?id=BSGatlas-gene-3916","BSGatlas-gene-3916")</f>
        <v>BSGatlas-gene-3916</v>
      </c>
      <c r="B3917" s="1" t="s">
        <v>3564</v>
      </c>
      <c r="C3917" s="1" t="s">
        <v>8</v>
      </c>
      <c r="D3917" s="1">
        <v>3426026</v>
      </c>
      <c r="E3917" s="1">
        <v>3426718</v>
      </c>
      <c r="F3917" s="1" t="s">
        <v>9</v>
      </c>
      <c r="G3917" s="1" t="s">
        <v>11409</v>
      </c>
    </row>
    <row r="3918" spans="1:7" ht="21" x14ac:dyDescent="0.25">
      <c r="A3918" s="2" t="str">
        <f>HYPERLINK("https://rth.dk/resources/bsgatlas/details.php?id=BSGatlas-gene-3917","BSGatlas-gene-3917")</f>
        <v>BSGatlas-gene-3917</v>
      </c>
      <c r="B3918" s="1" t="s">
        <v>3565</v>
      </c>
      <c r="C3918" s="1" t="s">
        <v>8</v>
      </c>
      <c r="D3918" s="1">
        <v>3426749</v>
      </c>
      <c r="E3918" s="1">
        <v>3427579</v>
      </c>
      <c r="F3918" s="1" t="s">
        <v>13</v>
      </c>
      <c r="G3918" s="1" t="s">
        <v>11409</v>
      </c>
    </row>
    <row r="3919" spans="1:7" ht="21" x14ac:dyDescent="0.25">
      <c r="A3919" s="2" t="str">
        <f>HYPERLINK("https://rth.dk/resources/bsgatlas/details.php?id=BSGatlas-gene-3918","BSGatlas-gene-3918")</f>
        <v>BSGatlas-gene-3918</v>
      </c>
      <c r="B3919" s="1" t="s">
        <v>3566</v>
      </c>
      <c r="C3919" s="1" t="s">
        <v>8</v>
      </c>
      <c r="D3919" s="1">
        <v>3427802</v>
      </c>
      <c r="E3919" s="1">
        <v>3428287</v>
      </c>
      <c r="F3919" s="1" t="s">
        <v>9</v>
      </c>
      <c r="G3919" s="1" t="s">
        <v>11409</v>
      </c>
    </row>
    <row r="3920" spans="1:7" ht="21" x14ac:dyDescent="0.25">
      <c r="A3920" s="2" t="str">
        <f>HYPERLINK("https://rth.dk/resources/bsgatlas/details.php?id=BSGatlas-gene-3919","BSGatlas-gene-3919")</f>
        <v>BSGatlas-gene-3919</v>
      </c>
      <c r="B3920" s="1" t="s">
        <v>3567</v>
      </c>
      <c r="C3920" s="1" t="s">
        <v>8</v>
      </c>
      <c r="D3920" s="1">
        <v>3428331</v>
      </c>
      <c r="E3920" s="1">
        <v>3430343</v>
      </c>
      <c r="F3920" s="1" t="s">
        <v>13</v>
      </c>
      <c r="G3920" s="1" t="s">
        <v>11409</v>
      </c>
    </row>
    <row r="3921" spans="1:7" ht="21" x14ac:dyDescent="0.25">
      <c r="A3921" s="2" t="str">
        <f>HYPERLINK("https://rth.dk/resources/bsgatlas/details.php?id=BSGatlas-gene-3920","BSGatlas-gene-3920")</f>
        <v>BSGatlas-gene-3920</v>
      </c>
      <c r="B3921" s="1" t="s">
        <v>3568</v>
      </c>
      <c r="C3921" s="1" t="s">
        <v>8</v>
      </c>
      <c r="D3921" s="1">
        <v>3430598</v>
      </c>
      <c r="E3921" s="1">
        <v>3432313</v>
      </c>
      <c r="F3921" s="1" t="s">
        <v>13</v>
      </c>
      <c r="G3921" s="1" t="s">
        <v>11409</v>
      </c>
    </row>
    <row r="3922" spans="1:7" ht="21" x14ac:dyDescent="0.25">
      <c r="A3922" s="2" t="str">
        <f>HYPERLINK("https://rth.dk/resources/bsgatlas/details.php?id=BSGatlas-gene-3921","BSGatlas-gene-3921")</f>
        <v>BSGatlas-gene-3921</v>
      </c>
      <c r="B3922" s="1" t="s">
        <v>3569</v>
      </c>
      <c r="C3922" s="1" t="s">
        <v>8</v>
      </c>
      <c r="D3922" s="1">
        <v>3432339</v>
      </c>
      <c r="E3922" s="1">
        <v>3434156</v>
      </c>
      <c r="F3922" s="1" t="s">
        <v>13</v>
      </c>
      <c r="G3922" s="1" t="s">
        <v>11409</v>
      </c>
    </row>
    <row r="3923" spans="1:7" ht="21" x14ac:dyDescent="0.25">
      <c r="A3923" s="2" t="str">
        <f>HYPERLINK("https://rth.dk/resources/bsgatlas/details.php?id=BSGatlas-gene-3922","BSGatlas-gene-3922")</f>
        <v>BSGatlas-gene-3922</v>
      </c>
      <c r="B3923" s="1" t="s">
        <v>3570</v>
      </c>
      <c r="C3923" s="1" t="s">
        <v>8</v>
      </c>
      <c r="D3923" s="1">
        <v>3434327</v>
      </c>
      <c r="E3923" s="1">
        <v>3436651</v>
      </c>
      <c r="F3923" s="1" t="s">
        <v>13</v>
      </c>
      <c r="G3923" s="1" t="s">
        <v>11409</v>
      </c>
    </row>
    <row r="3924" spans="1:7" ht="21" x14ac:dyDescent="0.25">
      <c r="A3924" s="2" t="str">
        <f>HYPERLINK("https://rth.dk/resources/bsgatlas/details.php?id=BSGatlas-gene-3923","BSGatlas-gene-3923")</f>
        <v>BSGatlas-gene-3923</v>
      </c>
      <c r="B3924" s="1" t="s">
        <v>3571</v>
      </c>
      <c r="C3924" s="1" t="s">
        <v>8</v>
      </c>
      <c r="D3924" s="1">
        <v>3436849</v>
      </c>
      <c r="E3924" s="1">
        <v>3437457</v>
      </c>
      <c r="F3924" s="1" t="s">
        <v>13</v>
      </c>
      <c r="G3924" s="1" t="s">
        <v>11409</v>
      </c>
    </row>
    <row r="3925" spans="1:7" ht="21" x14ac:dyDescent="0.25">
      <c r="A3925" s="2" t="str">
        <f>HYPERLINK("https://rth.dk/resources/bsgatlas/details.php?id=BSGatlas-gene-3924","BSGatlas-gene-3924")</f>
        <v>BSGatlas-gene-3924</v>
      </c>
      <c r="B3925" s="1" t="s">
        <v>3572</v>
      </c>
      <c r="C3925" s="1" t="s">
        <v>8</v>
      </c>
      <c r="D3925" s="1">
        <v>3437644</v>
      </c>
      <c r="E3925" s="1">
        <v>3438060</v>
      </c>
      <c r="F3925" s="1" t="s">
        <v>13</v>
      </c>
      <c r="G3925" s="1" t="s">
        <v>11409</v>
      </c>
    </row>
    <row r="3926" spans="1:7" ht="21" x14ac:dyDescent="0.25">
      <c r="A3926" s="2" t="str">
        <f>HYPERLINK("https://rth.dk/resources/bsgatlas/details.php?id=BSGatlas-gene-3925","BSGatlas-gene-3925")</f>
        <v>BSGatlas-gene-3925</v>
      </c>
      <c r="B3926" s="1" t="s">
        <v>3573</v>
      </c>
      <c r="C3926" s="1" t="s">
        <v>8</v>
      </c>
      <c r="D3926" s="1">
        <v>3438065</v>
      </c>
      <c r="E3926" s="1">
        <v>3438733</v>
      </c>
      <c r="F3926" s="1" t="s">
        <v>13</v>
      </c>
      <c r="G3926" s="1" t="s">
        <v>11409</v>
      </c>
    </row>
    <row r="3927" spans="1:7" ht="21" x14ac:dyDescent="0.25">
      <c r="A3927" s="2" t="str">
        <f>HYPERLINK("https://rth.dk/resources/bsgatlas/details.php?id=BSGatlas-gene-3926","BSGatlas-gene-3926")</f>
        <v>BSGatlas-gene-3926</v>
      </c>
      <c r="B3927" s="1" t="s">
        <v>3574</v>
      </c>
      <c r="C3927" s="1" t="s">
        <v>8</v>
      </c>
      <c r="D3927" s="1">
        <v>3438853</v>
      </c>
      <c r="E3927" s="1">
        <v>3440961</v>
      </c>
      <c r="F3927" s="1" t="s">
        <v>13</v>
      </c>
      <c r="G3927" s="1" t="s">
        <v>11409</v>
      </c>
    </row>
    <row r="3928" spans="1:7" ht="21" x14ac:dyDescent="0.25">
      <c r="A3928" s="2" t="str">
        <f>HYPERLINK("https://rth.dk/resources/bsgatlas/details.php?id=BSGatlas-gene-3927","BSGatlas-gene-3927")</f>
        <v>BSGatlas-gene-3927</v>
      </c>
      <c r="B3928" s="1" t="s">
        <v>3575</v>
      </c>
      <c r="C3928" s="1" t="s">
        <v>8</v>
      </c>
      <c r="D3928" s="1">
        <v>3441121</v>
      </c>
      <c r="E3928" s="1">
        <v>3443529</v>
      </c>
      <c r="F3928" s="1" t="s">
        <v>13</v>
      </c>
      <c r="G3928" s="1" t="s">
        <v>11409</v>
      </c>
    </row>
    <row r="3929" spans="1:7" ht="21" x14ac:dyDescent="0.25">
      <c r="A3929" s="2" t="str">
        <f>HYPERLINK("https://rth.dk/resources/bsgatlas/details.php?id=BSGatlas-gene-3928","BSGatlas-gene-3928")</f>
        <v>BSGatlas-gene-3928</v>
      </c>
      <c r="B3929" s="1" t="s">
        <v>3576</v>
      </c>
      <c r="C3929" s="1" t="s">
        <v>8</v>
      </c>
      <c r="D3929" s="1">
        <v>3443613</v>
      </c>
      <c r="E3929" s="1">
        <v>3443822</v>
      </c>
      <c r="F3929" s="1" t="s">
        <v>13</v>
      </c>
      <c r="G3929" s="1" t="s">
        <v>11409</v>
      </c>
    </row>
    <row r="3930" spans="1:7" ht="21" x14ac:dyDescent="0.25">
      <c r="A3930" s="2" t="str">
        <f>HYPERLINK("https://rth.dk/resources/bsgatlas/details.php?id=BSGatlas-gene-3929","BSGatlas-gene-3929")</f>
        <v>BSGatlas-gene-3929</v>
      </c>
      <c r="B3930" s="1" t="s">
        <v>3577</v>
      </c>
      <c r="C3930" s="1" t="s">
        <v>8</v>
      </c>
      <c r="D3930" s="1">
        <v>3443896</v>
      </c>
      <c r="E3930" s="1">
        <v>3444201</v>
      </c>
      <c r="F3930" s="1" t="s">
        <v>13</v>
      </c>
      <c r="G3930" s="1" t="s">
        <v>11409</v>
      </c>
    </row>
    <row r="3931" spans="1:7" ht="21" x14ac:dyDescent="0.25">
      <c r="A3931" s="2" t="str">
        <f>HYPERLINK("https://rth.dk/resources/bsgatlas/details.php?id=BSGatlas-gene-3930","BSGatlas-gene-3930")</f>
        <v>BSGatlas-gene-3930</v>
      </c>
      <c r="B3931" s="1" t="s">
        <v>3578</v>
      </c>
      <c r="C3931" s="1" t="s">
        <v>8</v>
      </c>
      <c r="D3931" s="1">
        <v>3444329</v>
      </c>
      <c r="E3931" s="1">
        <v>3445405</v>
      </c>
      <c r="F3931" s="1" t="s">
        <v>9</v>
      </c>
      <c r="G3931" s="1" t="s">
        <v>11409</v>
      </c>
    </row>
    <row r="3932" spans="1:7" ht="21" x14ac:dyDescent="0.25">
      <c r="A3932" s="2" t="str">
        <f>HYPERLINK("https://rth.dk/resources/bsgatlas/details.php?id=BSGatlas-gene-3931","BSGatlas-gene-3931")</f>
        <v>BSGatlas-gene-3931</v>
      </c>
      <c r="B3932" s="1" t="s">
        <v>3579</v>
      </c>
      <c r="C3932" s="1" t="s">
        <v>8</v>
      </c>
      <c r="D3932" s="1">
        <v>3445442</v>
      </c>
      <c r="E3932" s="1">
        <v>3446077</v>
      </c>
      <c r="F3932" s="1" t="s">
        <v>13</v>
      </c>
      <c r="G3932" s="1" t="s">
        <v>11409</v>
      </c>
    </row>
    <row r="3933" spans="1:7" ht="21" x14ac:dyDescent="0.25">
      <c r="A3933" s="2" t="str">
        <f>HYPERLINK("https://rth.dk/resources/bsgatlas/details.php?id=BSGatlas-gene-3932","BSGatlas-gene-3932")</f>
        <v>BSGatlas-gene-3932</v>
      </c>
      <c r="B3933" s="1" t="s">
        <v>3580</v>
      </c>
      <c r="C3933" s="1" t="s">
        <v>8</v>
      </c>
      <c r="D3933" s="1">
        <v>3446237</v>
      </c>
      <c r="E3933" s="1">
        <v>3448132</v>
      </c>
      <c r="F3933" s="1" t="s">
        <v>13</v>
      </c>
      <c r="G3933" s="1" t="s">
        <v>11409</v>
      </c>
    </row>
    <row r="3934" spans="1:7" ht="21" x14ac:dyDescent="0.25">
      <c r="A3934" s="2" t="str">
        <f>HYPERLINK("https://rth.dk/resources/bsgatlas/details.php?id=BSGatlas-gene-3933","BSGatlas-gene-3933")</f>
        <v>BSGatlas-gene-3933</v>
      </c>
      <c r="B3934" s="1" t="s">
        <v>3581</v>
      </c>
      <c r="C3934" s="1" t="s">
        <v>8</v>
      </c>
      <c r="D3934" s="1">
        <v>3448295</v>
      </c>
      <c r="E3934" s="1">
        <v>3448696</v>
      </c>
      <c r="F3934" s="1" t="s">
        <v>13</v>
      </c>
      <c r="G3934" s="1" t="s">
        <v>11409</v>
      </c>
    </row>
    <row r="3935" spans="1:7" ht="21" x14ac:dyDescent="0.25">
      <c r="A3935" s="2" t="str">
        <f>HYPERLINK("https://rth.dk/resources/bsgatlas/details.php?id=BSGatlas-gene-3934","BSGatlas-gene-3934")</f>
        <v>BSGatlas-gene-3934</v>
      </c>
      <c r="B3935" s="1" t="s">
        <v>3582</v>
      </c>
      <c r="C3935" s="1" t="s">
        <v>8</v>
      </c>
      <c r="D3935" s="1">
        <v>3448693</v>
      </c>
      <c r="E3935" s="1">
        <v>3449052</v>
      </c>
      <c r="F3935" s="1" t="s">
        <v>13</v>
      </c>
      <c r="G3935" s="1" t="s">
        <v>11409</v>
      </c>
    </row>
    <row r="3936" spans="1:7" ht="21" x14ac:dyDescent="0.25">
      <c r="A3936" s="2" t="str">
        <f>HYPERLINK("https://rth.dk/resources/bsgatlas/details.php?id=BSGatlas-gene-3935","BSGatlas-gene-3935")</f>
        <v>BSGatlas-gene-3935</v>
      </c>
      <c r="B3936" s="1" t="s">
        <v>3583</v>
      </c>
      <c r="C3936" s="1" t="s">
        <v>8</v>
      </c>
      <c r="D3936" s="1">
        <v>3449049</v>
      </c>
      <c r="E3936" s="1">
        <v>3449621</v>
      </c>
      <c r="F3936" s="1" t="s">
        <v>13</v>
      </c>
      <c r="G3936" s="1" t="s">
        <v>11409</v>
      </c>
    </row>
    <row r="3937" spans="1:7" ht="21" x14ac:dyDescent="0.25">
      <c r="A3937" s="2" t="str">
        <f>HYPERLINK("https://rth.dk/resources/bsgatlas/details.php?id=BSGatlas-gene-3936","BSGatlas-gene-3936")</f>
        <v>BSGatlas-gene-3936</v>
      </c>
      <c r="B3937" s="1" t="s">
        <v>3584</v>
      </c>
      <c r="C3937" s="1" t="s">
        <v>8</v>
      </c>
      <c r="D3937" s="1">
        <v>3449732</v>
      </c>
      <c r="E3937" s="1">
        <v>3450526</v>
      </c>
      <c r="F3937" s="1" t="s">
        <v>13</v>
      </c>
      <c r="G3937" s="1" t="s">
        <v>11409</v>
      </c>
    </row>
    <row r="3938" spans="1:7" ht="21" x14ac:dyDescent="0.25">
      <c r="A3938" s="2" t="str">
        <f>HYPERLINK("https://rth.dk/resources/bsgatlas/details.php?id=BSGatlas-gene-3937","BSGatlas-gene-3937")</f>
        <v>BSGatlas-gene-3937</v>
      </c>
      <c r="B3938" s="1" t="s">
        <v>3585</v>
      </c>
      <c r="C3938" s="1" t="s">
        <v>3586</v>
      </c>
      <c r="D3938" s="1">
        <v>3450708</v>
      </c>
      <c r="E3938" s="1">
        <v>3451071</v>
      </c>
      <c r="F3938" s="1" t="s">
        <v>13</v>
      </c>
      <c r="G3938" s="1" t="s">
        <v>11413</v>
      </c>
    </row>
    <row r="3939" spans="1:7" ht="21" x14ac:dyDescent="0.25">
      <c r="A3939" s="2" t="str">
        <f>HYPERLINK("https://rth.dk/resources/bsgatlas/details.php?id=BSGatlas-gene-3938","BSGatlas-gene-3938")</f>
        <v>BSGatlas-gene-3938</v>
      </c>
      <c r="B3939" s="1" t="s">
        <v>3587</v>
      </c>
      <c r="C3939" s="1" t="s">
        <v>8</v>
      </c>
      <c r="D3939" s="1">
        <v>3451248</v>
      </c>
      <c r="E3939" s="1">
        <v>3451718</v>
      </c>
      <c r="F3939" s="1" t="s">
        <v>13</v>
      </c>
      <c r="G3939" s="1" t="s">
        <v>11409</v>
      </c>
    </row>
    <row r="3940" spans="1:7" ht="21" x14ac:dyDescent="0.25">
      <c r="A3940" s="2" t="str">
        <f>HYPERLINK("https://rth.dk/resources/bsgatlas/details.php?id=BSGatlas-gene-3939","BSGatlas-gene-3939")</f>
        <v>BSGatlas-gene-3939</v>
      </c>
      <c r="B3940" s="1" t="s">
        <v>3588</v>
      </c>
      <c r="C3940" s="1" t="s">
        <v>8</v>
      </c>
      <c r="D3940" s="1">
        <v>3451863</v>
      </c>
      <c r="E3940" s="1">
        <v>3454202</v>
      </c>
      <c r="F3940" s="1" t="s">
        <v>13</v>
      </c>
      <c r="G3940" s="1" t="s">
        <v>11409</v>
      </c>
    </row>
    <row r="3941" spans="1:7" ht="21" x14ac:dyDescent="0.25">
      <c r="A3941" s="2" t="str">
        <f>HYPERLINK("https://rth.dk/resources/bsgatlas/details.php?id=BSGatlas-gene-3940","BSGatlas-gene-3940")</f>
        <v>BSGatlas-gene-3940</v>
      </c>
      <c r="B3941" s="1" t="s">
        <v>330</v>
      </c>
      <c r="C3941" s="1" t="s">
        <v>8</v>
      </c>
      <c r="D3941" s="1">
        <v>3454221</v>
      </c>
      <c r="E3941" s="1">
        <v>3454961</v>
      </c>
      <c r="F3941" s="1" t="s">
        <v>13</v>
      </c>
      <c r="G3941" s="1" t="s">
        <v>11409</v>
      </c>
    </row>
    <row r="3942" spans="1:7" ht="21" x14ac:dyDescent="0.25">
      <c r="A3942" s="2" t="str">
        <f>HYPERLINK("https://rth.dk/resources/bsgatlas/details.php?id=BSGatlas-gene-3941","BSGatlas-gene-3941")</f>
        <v>BSGatlas-gene-3941</v>
      </c>
      <c r="B3942" s="1" t="s">
        <v>3589</v>
      </c>
      <c r="C3942" s="1" t="s">
        <v>8</v>
      </c>
      <c r="D3942" s="1">
        <v>3455093</v>
      </c>
      <c r="E3942" s="1">
        <v>3455323</v>
      </c>
      <c r="F3942" s="1" t="s">
        <v>13</v>
      </c>
      <c r="G3942" s="1" t="s">
        <v>11409</v>
      </c>
    </row>
    <row r="3943" spans="1:7" ht="21" x14ac:dyDescent="0.25">
      <c r="A3943" s="2" t="str">
        <f>HYPERLINK("https://rth.dk/resources/bsgatlas/details.php?id=BSGatlas-gene-3942","BSGatlas-gene-3942")</f>
        <v>BSGatlas-gene-3942</v>
      </c>
      <c r="B3943" s="1" t="s">
        <v>3590</v>
      </c>
      <c r="C3943" s="1" t="s">
        <v>8</v>
      </c>
      <c r="D3943" s="1">
        <v>3455472</v>
      </c>
      <c r="E3943" s="1">
        <v>3456242</v>
      </c>
      <c r="F3943" s="1" t="s">
        <v>9</v>
      </c>
      <c r="G3943" s="1" t="s">
        <v>11409</v>
      </c>
    </row>
    <row r="3944" spans="1:7" ht="21" x14ac:dyDescent="0.25">
      <c r="A3944" s="2" t="str">
        <f>HYPERLINK("https://rth.dk/resources/bsgatlas/details.php?id=BSGatlas-gene-3943","BSGatlas-gene-3943")</f>
        <v>BSGatlas-gene-3943</v>
      </c>
      <c r="B3944" s="1" t="s">
        <v>3591</v>
      </c>
      <c r="C3944" s="1" t="s">
        <v>8</v>
      </c>
      <c r="D3944" s="1">
        <v>3456282</v>
      </c>
      <c r="E3944" s="1">
        <v>3456515</v>
      </c>
      <c r="F3944" s="1" t="s">
        <v>13</v>
      </c>
      <c r="G3944" s="1" t="s">
        <v>11409</v>
      </c>
    </row>
    <row r="3945" spans="1:7" ht="21" x14ac:dyDescent="0.25">
      <c r="A3945" s="2" t="str">
        <f>HYPERLINK("https://rth.dk/resources/bsgatlas/details.php?id=BSGatlas-gene-3944","BSGatlas-gene-3944")</f>
        <v>BSGatlas-gene-3944</v>
      </c>
      <c r="B3945" s="1" t="s">
        <v>3592</v>
      </c>
      <c r="C3945" s="1" t="s">
        <v>8</v>
      </c>
      <c r="D3945" s="1">
        <v>3456667</v>
      </c>
      <c r="E3945" s="1">
        <v>3457074</v>
      </c>
      <c r="F3945" s="1" t="s">
        <v>9</v>
      </c>
      <c r="G3945" s="1" t="s">
        <v>11409</v>
      </c>
    </row>
    <row r="3946" spans="1:7" ht="21" x14ac:dyDescent="0.25">
      <c r="A3946" s="2" t="str">
        <f>HYPERLINK("https://rth.dk/resources/bsgatlas/details.php?id=BSGatlas-gene-3945","BSGatlas-gene-3945")</f>
        <v>BSGatlas-gene-3945</v>
      </c>
      <c r="B3946" s="1" t="s">
        <v>11721</v>
      </c>
      <c r="C3946" s="1" t="s">
        <v>8</v>
      </c>
      <c r="D3946" s="1">
        <v>3457104</v>
      </c>
      <c r="E3946" s="1">
        <v>3457523</v>
      </c>
      <c r="F3946" s="1" t="s">
        <v>9</v>
      </c>
      <c r="G3946" s="1" t="s">
        <v>11409</v>
      </c>
    </row>
    <row r="3947" spans="1:7" ht="21" x14ac:dyDescent="0.25">
      <c r="A3947" s="2" t="str">
        <f>HYPERLINK("https://rth.dk/resources/bsgatlas/details.php?id=BSGatlas-gene-3946","BSGatlas-gene-3946")</f>
        <v>BSGatlas-gene-3946</v>
      </c>
      <c r="B3947" s="1" t="s">
        <v>3593</v>
      </c>
      <c r="C3947" s="1" t="s">
        <v>8</v>
      </c>
      <c r="D3947" s="1">
        <v>3457615</v>
      </c>
      <c r="E3947" s="1">
        <v>3457941</v>
      </c>
      <c r="F3947" s="1" t="s">
        <v>9</v>
      </c>
      <c r="G3947" s="1" t="s">
        <v>11409</v>
      </c>
    </row>
    <row r="3948" spans="1:7" ht="21" x14ac:dyDescent="0.25">
      <c r="A3948" s="2" t="str">
        <f>HYPERLINK("https://rth.dk/resources/bsgatlas/details.php?id=BSGatlas-gene-3947","BSGatlas-gene-3947")</f>
        <v>BSGatlas-gene-3947</v>
      </c>
      <c r="B3948" s="1" t="s">
        <v>3594</v>
      </c>
      <c r="C3948" s="1" t="s">
        <v>8</v>
      </c>
      <c r="D3948" s="1">
        <v>3458066</v>
      </c>
      <c r="E3948" s="1">
        <v>3459766</v>
      </c>
      <c r="F3948" s="1" t="s">
        <v>9</v>
      </c>
      <c r="G3948" s="1" t="s">
        <v>11409</v>
      </c>
    </row>
    <row r="3949" spans="1:7" ht="21" x14ac:dyDescent="0.25">
      <c r="A3949" s="2" t="str">
        <f>HYPERLINK("https://rth.dk/resources/bsgatlas/details.php?id=BSGatlas-gene-3948","BSGatlas-gene-3948")</f>
        <v>BSGatlas-gene-3948</v>
      </c>
      <c r="B3949" s="1" t="s">
        <v>3595</v>
      </c>
      <c r="C3949" s="1" t="s">
        <v>8</v>
      </c>
      <c r="D3949" s="1">
        <v>3459806</v>
      </c>
      <c r="E3949" s="1">
        <v>3460486</v>
      </c>
      <c r="F3949" s="1" t="s">
        <v>13</v>
      </c>
      <c r="G3949" s="1" t="s">
        <v>11409</v>
      </c>
    </row>
    <row r="3950" spans="1:7" ht="21" x14ac:dyDescent="0.25">
      <c r="A3950" s="2" t="str">
        <f>HYPERLINK("https://rth.dk/resources/bsgatlas/details.php?id=BSGatlas-gene-3949","BSGatlas-gene-3949")</f>
        <v>BSGatlas-gene-3949</v>
      </c>
      <c r="B3950" s="1" t="s">
        <v>3599</v>
      </c>
      <c r="C3950" s="1" t="s">
        <v>12</v>
      </c>
      <c r="D3950" s="1">
        <v>3460206</v>
      </c>
      <c r="E3950" s="1">
        <v>3462957</v>
      </c>
      <c r="F3950" s="1" t="s">
        <v>9</v>
      </c>
      <c r="G3950" s="1" t="s">
        <v>11406</v>
      </c>
    </row>
    <row r="3951" spans="1:7" ht="21" x14ac:dyDescent="0.25">
      <c r="A3951" s="2" t="str">
        <f>HYPERLINK("https://rth.dk/resources/bsgatlas/details.php?id=BSGatlas-gene-3950","BSGatlas-gene-3950")</f>
        <v>BSGatlas-gene-3950</v>
      </c>
      <c r="B3951" s="1" t="s">
        <v>3596</v>
      </c>
      <c r="C3951" s="1" t="s">
        <v>8</v>
      </c>
      <c r="D3951" s="1">
        <v>3460503</v>
      </c>
      <c r="E3951" s="1">
        <v>3461423</v>
      </c>
      <c r="F3951" s="1" t="s">
        <v>13</v>
      </c>
      <c r="G3951" s="1" t="s">
        <v>11409</v>
      </c>
    </row>
    <row r="3952" spans="1:7" ht="21" x14ac:dyDescent="0.25">
      <c r="A3952" s="2" t="str">
        <f>HYPERLINK("https://rth.dk/resources/bsgatlas/details.php?id=BSGatlas-gene-3951","BSGatlas-gene-3951")</f>
        <v>BSGatlas-gene-3951</v>
      </c>
      <c r="B3952" s="1" t="s">
        <v>3597</v>
      </c>
      <c r="C3952" s="1" t="s">
        <v>8</v>
      </c>
      <c r="D3952" s="1">
        <v>3461435</v>
      </c>
      <c r="E3952" s="1">
        <v>3462088</v>
      </c>
      <c r="F3952" s="1" t="s">
        <v>13</v>
      </c>
      <c r="G3952" s="1" t="s">
        <v>11409</v>
      </c>
    </row>
    <row r="3953" spans="1:7" ht="21" x14ac:dyDescent="0.25">
      <c r="A3953" s="2" t="str">
        <f>HYPERLINK("https://rth.dk/resources/bsgatlas/details.php?id=BSGatlas-gene-3952","BSGatlas-gene-3952")</f>
        <v>BSGatlas-gene-3952</v>
      </c>
      <c r="B3953" s="1" t="s">
        <v>3598</v>
      </c>
      <c r="C3953" s="1" t="s">
        <v>8</v>
      </c>
      <c r="D3953" s="1">
        <v>3462105</v>
      </c>
      <c r="E3953" s="1">
        <v>3463250</v>
      </c>
      <c r="F3953" s="1" t="s">
        <v>13</v>
      </c>
      <c r="G3953" s="1" t="s">
        <v>11409</v>
      </c>
    </row>
    <row r="3954" spans="1:7" ht="21" x14ac:dyDescent="0.25">
      <c r="A3954" s="2" t="str">
        <f>HYPERLINK("https://rth.dk/resources/bsgatlas/details.php?id=BSGatlas-gene-3953","BSGatlas-gene-3953")</f>
        <v>BSGatlas-gene-3953</v>
      </c>
      <c r="B3954" s="1" t="s">
        <v>3600</v>
      </c>
      <c r="C3954" s="1" t="s">
        <v>8</v>
      </c>
      <c r="D3954" s="1">
        <v>3463534</v>
      </c>
      <c r="E3954" s="1">
        <v>3464067</v>
      </c>
      <c r="F3954" s="1" t="s">
        <v>9</v>
      </c>
      <c r="G3954" s="1" t="s">
        <v>11409</v>
      </c>
    </row>
    <row r="3955" spans="1:7" ht="21" x14ac:dyDescent="0.25">
      <c r="A3955" s="2" t="str">
        <f>HYPERLINK("https://rth.dk/resources/bsgatlas/details.php?id=BSGatlas-gene-3954","BSGatlas-gene-3954")</f>
        <v>BSGatlas-gene-3954</v>
      </c>
      <c r="B3955" s="1" t="s">
        <v>3601</v>
      </c>
      <c r="C3955" s="1" t="s">
        <v>12</v>
      </c>
      <c r="D3955" s="1">
        <v>3463734</v>
      </c>
      <c r="E3955" s="1">
        <v>3464253</v>
      </c>
      <c r="F3955" s="1" t="s">
        <v>13</v>
      </c>
      <c r="G3955" s="1" t="s">
        <v>11406</v>
      </c>
    </row>
    <row r="3956" spans="1:7" ht="21" x14ac:dyDescent="0.25">
      <c r="A3956" s="2" t="str">
        <f>HYPERLINK("https://rth.dk/resources/bsgatlas/details.php?id=BSGatlas-gene-3955","BSGatlas-gene-3955")</f>
        <v>BSGatlas-gene-3955</v>
      </c>
      <c r="B3956" s="1" t="s">
        <v>3602</v>
      </c>
      <c r="C3956" s="1" t="s">
        <v>8</v>
      </c>
      <c r="D3956" s="1">
        <v>3464289</v>
      </c>
      <c r="E3956" s="1">
        <v>3464765</v>
      </c>
      <c r="F3956" s="1" t="s">
        <v>9</v>
      </c>
      <c r="G3956" s="1" t="s">
        <v>11409</v>
      </c>
    </row>
    <row r="3957" spans="1:7" ht="21" x14ac:dyDescent="0.25">
      <c r="A3957" s="2" t="str">
        <f>HYPERLINK("https://rth.dk/resources/bsgatlas/details.php?id=BSGatlas-gene-3956","BSGatlas-gene-3956")</f>
        <v>BSGatlas-gene-3956</v>
      </c>
      <c r="B3957" s="1" t="s">
        <v>3603</v>
      </c>
      <c r="C3957" s="1" t="s">
        <v>8</v>
      </c>
      <c r="D3957" s="1">
        <v>3464762</v>
      </c>
      <c r="E3957" s="1">
        <v>3465733</v>
      </c>
      <c r="F3957" s="1" t="s">
        <v>9</v>
      </c>
      <c r="G3957" s="1" t="s">
        <v>11409</v>
      </c>
    </row>
    <row r="3958" spans="1:7" ht="21" x14ac:dyDescent="0.25">
      <c r="A3958" s="2" t="str">
        <f>HYPERLINK("https://rth.dk/resources/bsgatlas/details.php?id=BSGatlas-gene-3957","BSGatlas-gene-3957")</f>
        <v>BSGatlas-gene-3957</v>
      </c>
      <c r="B3958" s="1" t="s">
        <v>3604</v>
      </c>
      <c r="C3958" s="1" t="s">
        <v>8</v>
      </c>
      <c r="D3958" s="1">
        <v>3465776</v>
      </c>
      <c r="E3958" s="1">
        <v>3466387</v>
      </c>
      <c r="F3958" s="1" t="s">
        <v>9</v>
      </c>
      <c r="G3958" s="1" t="s">
        <v>11409</v>
      </c>
    </row>
    <row r="3959" spans="1:7" ht="21" x14ac:dyDescent="0.25">
      <c r="A3959" s="2" t="str">
        <f>HYPERLINK("https://rth.dk/resources/bsgatlas/details.php?id=BSGatlas-gene-3958","BSGatlas-gene-3958")</f>
        <v>BSGatlas-gene-3958</v>
      </c>
      <c r="B3959" s="1" t="s">
        <v>3605</v>
      </c>
      <c r="C3959" s="1" t="s">
        <v>8</v>
      </c>
      <c r="D3959" s="1">
        <v>3466434</v>
      </c>
      <c r="E3959" s="1">
        <v>3467057</v>
      </c>
      <c r="F3959" s="1" t="s">
        <v>13</v>
      </c>
      <c r="G3959" s="1" t="s">
        <v>11409</v>
      </c>
    </row>
    <row r="3960" spans="1:7" ht="21" x14ac:dyDescent="0.25">
      <c r="A3960" s="2" t="str">
        <f>HYPERLINK("https://rth.dk/resources/bsgatlas/details.php?id=BSGatlas-gene-3959","BSGatlas-gene-3959")</f>
        <v>BSGatlas-gene-3959</v>
      </c>
      <c r="B3960" s="1" t="s">
        <v>3606</v>
      </c>
      <c r="C3960" s="1" t="s">
        <v>8</v>
      </c>
      <c r="D3960" s="1">
        <v>3467054</v>
      </c>
      <c r="E3960" s="1">
        <v>3467326</v>
      </c>
      <c r="F3960" s="1" t="s">
        <v>13</v>
      </c>
      <c r="G3960" s="1" t="s">
        <v>11409</v>
      </c>
    </row>
    <row r="3961" spans="1:7" ht="21" x14ac:dyDescent="0.25">
      <c r="A3961" s="2" t="str">
        <f>HYPERLINK("https://rth.dk/resources/bsgatlas/details.php?id=BSGatlas-gene-3960","BSGatlas-gene-3960")</f>
        <v>BSGatlas-gene-3960</v>
      </c>
      <c r="B3961" s="1" t="s">
        <v>3607</v>
      </c>
      <c r="C3961" s="1" t="s">
        <v>8</v>
      </c>
      <c r="D3961" s="1">
        <v>3467546</v>
      </c>
      <c r="E3961" s="1">
        <v>3468235</v>
      </c>
      <c r="F3961" s="1" t="s">
        <v>13</v>
      </c>
      <c r="G3961" s="1" t="s">
        <v>11409</v>
      </c>
    </row>
    <row r="3962" spans="1:7" ht="21" x14ac:dyDescent="0.25">
      <c r="A3962" s="2" t="str">
        <f>HYPERLINK("https://rth.dk/resources/bsgatlas/details.php?id=BSGatlas-gene-3961","BSGatlas-gene-3961")</f>
        <v>BSGatlas-gene-3961</v>
      </c>
      <c r="B3962" s="1" t="s">
        <v>3608</v>
      </c>
      <c r="C3962" s="1" t="s">
        <v>8</v>
      </c>
      <c r="D3962" s="1">
        <v>3468253</v>
      </c>
      <c r="E3962" s="1">
        <v>3469164</v>
      </c>
      <c r="F3962" s="1" t="s">
        <v>13</v>
      </c>
      <c r="G3962" s="1" t="s">
        <v>11409</v>
      </c>
    </row>
    <row r="3963" spans="1:7" ht="21" x14ac:dyDescent="0.25">
      <c r="A3963" s="2" t="str">
        <f>HYPERLINK("https://rth.dk/resources/bsgatlas/details.php?id=BSGatlas-gene-3962","BSGatlas-gene-3962")</f>
        <v>BSGatlas-gene-3962</v>
      </c>
      <c r="B3963" s="1" t="s">
        <v>3609</v>
      </c>
      <c r="C3963" s="1" t="s">
        <v>8</v>
      </c>
      <c r="D3963" s="1">
        <v>3469184</v>
      </c>
      <c r="E3963" s="1">
        <v>3469837</v>
      </c>
      <c r="F3963" s="1" t="s">
        <v>13</v>
      </c>
      <c r="G3963" s="1" t="s">
        <v>11409</v>
      </c>
    </row>
    <row r="3964" spans="1:7" ht="21" x14ac:dyDescent="0.25">
      <c r="A3964" s="2" t="str">
        <f>HYPERLINK("https://rth.dk/resources/bsgatlas/details.php?id=BSGatlas-gene-3963","BSGatlas-gene-3963")</f>
        <v>BSGatlas-gene-3963</v>
      </c>
      <c r="B3964" s="1" t="s">
        <v>3610</v>
      </c>
      <c r="C3964" s="1" t="s">
        <v>8</v>
      </c>
      <c r="D3964" s="1">
        <v>3469860</v>
      </c>
      <c r="E3964" s="1">
        <v>3471002</v>
      </c>
      <c r="F3964" s="1" t="s">
        <v>13</v>
      </c>
      <c r="G3964" s="1" t="s">
        <v>11409</v>
      </c>
    </row>
    <row r="3965" spans="1:7" ht="21" x14ac:dyDescent="0.25">
      <c r="A3965" s="2" t="str">
        <f>HYPERLINK("https://rth.dk/resources/bsgatlas/details.php?id=BSGatlas-gene-3964","BSGatlas-gene-3964")</f>
        <v>BSGatlas-gene-3964</v>
      </c>
      <c r="B3965" s="1" t="s">
        <v>3611</v>
      </c>
      <c r="C3965" s="1" t="s">
        <v>8</v>
      </c>
      <c r="D3965" s="1">
        <v>3471266</v>
      </c>
      <c r="E3965" s="1">
        <v>3471823</v>
      </c>
      <c r="F3965" s="1" t="s">
        <v>9</v>
      </c>
      <c r="G3965" s="1" t="s">
        <v>11409</v>
      </c>
    </row>
    <row r="3966" spans="1:7" ht="21" x14ac:dyDescent="0.25">
      <c r="A3966" s="2" t="str">
        <f>HYPERLINK("https://rth.dk/resources/bsgatlas/details.php?id=BSGatlas-gene-3965","BSGatlas-gene-3965")</f>
        <v>BSGatlas-gene-3965</v>
      </c>
      <c r="B3966" s="1" t="s">
        <v>3612</v>
      </c>
      <c r="C3966" s="1" t="s">
        <v>8</v>
      </c>
      <c r="D3966" s="1">
        <v>3471841</v>
      </c>
      <c r="E3966" s="1">
        <v>3472476</v>
      </c>
      <c r="F3966" s="1" t="s">
        <v>13</v>
      </c>
      <c r="G3966" s="1" t="s">
        <v>11409</v>
      </c>
    </row>
    <row r="3967" spans="1:7" ht="21" x14ac:dyDescent="0.25">
      <c r="A3967" s="2" t="str">
        <f>HYPERLINK("https://rth.dk/resources/bsgatlas/details.php?id=BSGatlas-gene-3966","BSGatlas-gene-3966")</f>
        <v>BSGatlas-gene-3966</v>
      </c>
      <c r="B3967" s="1" t="s">
        <v>3613</v>
      </c>
      <c r="C3967" s="1" t="s">
        <v>8</v>
      </c>
      <c r="D3967" s="1">
        <v>3472626</v>
      </c>
      <c r="E3967" s="1">
        <v>3473240</v>
      </c>
      <c r="F3967" s="1" t="s">
        <v>9</v>
      </c>
      <c r="G3967" s="1" t="s">
        <v>11409</v>
      </c>
    </row>
    <row r="3968" spans="1:7" ht="21" x14ac:dyDescent="0.25">
      <c r="A3968" s="2" t="str">
        <f>HYPERLINK("https://rth.dk/resources/bsgatlas/details.php?id=BSGatlas-gene-3967","BSGatlas-gene-3967")</f>
        <v>BSGatlas-gene-3967</v>
      </c>
      <c r="B3968" s="1" t="s">
        <v>3614</v>
      </c>
      <c r="C3968" s="1" t="s">
        <v>8</v>
      </c>
      <c r="D3968" s="1">
        <v>3473372</v>
      </c>
      <c r="E3968" s="1">
        <v>3474070</v>
      </c>
      <c r="F3968" s="1" t="s">
        <v>9</v>
      </c>
      <c r="G3968" s="1" t="s">
        <v>11409</v>
      </c>
    </row>
    <row r="3969" spans="1:7" ht="21" x14ac:dyDescent="0.25">
      <c r="A3969" s="2" t="str">
        <f>HYPERLINK("https://rth.dk/resources/bsgatlas/details.php?id=BSGatlas-gene-3968","BSGatlas-gene-3968")</f>
        <v>BSGatlas-gene-3968</v>
      </c>
      <c r="B3969" s="1" t="s">
        <v>3615</v>
      </c>
      <c r="C3969" s="1" t="s">
        <v>8</v>
      </c>
      <c r="D3969" s="1">
        <v>3474106</v>
      </c>
      <c r="E3969" s="1">
        <v>3475923</v>
      </c>
      <c r="F3969" s="1" t="s">
        <v>13</v>
      </c>
      <c r="G3969" s="1" t="s">
        <v>11409</v>
      </c>
    </row>
    <row r="3970" spans="1:7" ht="21" x14ac:dyDescent="0.25">
      <c r="A3970" s="2" t="str">
        <f>HYPERLINK("https://rth.dk/resources/bsgatlas/details.php?id=BSGatlas-gene-3969","BSGatlas-gene-3969")</f>
        <v>BSGatlas-gene-3969</v>
      </c>
      <c r="B3970" s="1" t="s">
        <v>3616</v>
      </c>
      <c r="C3970" s="1" t="s">
        <v>8</v>
      </c>
      <c r="D3970" s="1">
        <v>3476043</v>
      </c>
      <c r="E3970" s="1">
        <v>3476510</v>
      </c>
      <c r="F3970" s="1" t="s">
        <v>9</v>
      </c>
      <c r="G3970" s="1" t="s">
        <v>11409</v>
      </c>
    </row>
    <row r="3971" spans="1:7" ht="21" x14ac:dyDescent="0.25">
      <c r="A3971" s="2" t="str">
        <f>HYPERLINK("https://rth.dk/resources/bsgatlas/details.php?id=BSGatlas-gene-3970","BSGatlas-gene-3970")</f>
        <v>BSGatlas-gene-3970</v>
      </c>
      <c r="B3971" s="1" t="s">
        <v>3617</v>
      </c>
      <c r="C3971" s="1" t="s">
        <v>8</v>
      </c>
      <c r="D3971" s="1">
        <v>3476555</v>
      </c>
      <c r="E3971" s="1">
        <v>3477847</v>
      </c>
      <c r="F3971" s="1" t="s">
        <v>13</v>
      </c>
      <c r="G3971" s="1" t="s">
        <v>11409</v>
      </c>
    </row>
    <row r="3972" spans="1:7" ht="21" x14ac:dyDescent="0.25">
      <c r="A3972" s="2" t="str">
        <f>HYPERLINK("https://rth.dk/resources/bsgatlas/details.php?id=BSGatlas-gene-3971","BSGatlas-gene-3971")</f>
        <v>BSGatlas-gene-3971</v>
      </c>
      <c r="B3972" s="1" t="s">
        <v>3618</v>
      </c>
      <c r="C3972" s="1" t="s">
        <v>8</v>
      </c>
      <c r="D3972" s="1">
        <v>3477877</v>
      </c>
      <c r="E3972" s="1">
        <v>3479412</v>
      </c>
      <c r="F3972" s="1" t="s">
        <v>13</v>
      </c>
      <c r="G3972" s="1" t="s">
        <v>11409</v>
      </c>
    </row>
    <row r="3973" spans="1:7" ht="21" x14ac:dyDescent="0.25">
      <c r="A3973" s="2" t="str">
        <f>HYPERLINK("https://rth.dk/resources/bsgatlas/details.php?id=BSGatlas-gene-3972","BSGatlas-gene-3972")</f>
        <v>BSGatlas-gene-3972</v>
      </c>
      <c r="B3973" s="1" t="s">
        <v>3619</v>
      </c>
      <c r="C3973" s="1" t="s">
        <v>8</v>
      </c>
      <c r="D3973" s="1">
        <v>3479405</v>
      </c>
      <c r="E3973" s="1">
        <v>3480166</v>
      </c>
      <c r="F3973" s="1" t="s">
        <v>13</v>
      </c>
      <c r="G3973" s="1" t="s">
        <v>11409</v>
      </c>
    </row>
    <row r="3974" spans="1:7" ht="21" x14ac:dyDescent="0.25">
      <c r="A3974" s="2" t="str">
        <f>HYPERLINK("https://rth.dk/resources/bsgatlas/details.php?id=BSGatlas-gene-3973","BSGatlas-gene-3973")</f>
        <v>BSGatlas-gene-3973</v>
      </c>
      <c r="B3974" s="1" t="s">
        <v>3620</v>
      </c>
      <c r="C3974" s="1" t="s">
        <v>8</v>
      </c>
      <c r="D3974" s="1">
        <v>3480197</v>
      </c>
      <c r="E3974" s="1">
        <v>3481381</v>
      </c>
      <c r="F3974" s="1" t="s">
        <v>13</v>
      </c>
      <c r="G3974" s="1" t="s">
        <v>11409</v>
      </c>
    </row>
    <row r="3975" spans="1:7" ht="21" x14ac:dyDescent="0.25">
      <c r="A3975" s="2" t="str">
        <f>HYPERLINK("https://rth.dk/resources/bsgatlas/details.php?id=BSGatlas-gene-3974","BSGatlas-gene-3974")</f>
        <v>BSGatlas-gene-3974</v>
      </c>
      <c r="B3975" s="1" t="s">
        <v>3621</v>
      </c>
      <c r="C3975" s="1" t="s">
        <v>8</v>
      </c>
      <c r="D3975" s="1">
        <v>3481698</v>
      </c>
      <c r="E3975" s="1">
        <v>3482705</v>
      </c>
      <c r="F3975" s="1" t="s">
        <v>13</v>
      </c>
      <c r="G3975" s="1" t="s">
        <v>11409</v>
      </c>
    </row>
    <row r="3976" spans="1:7" ht="21" x14ac:dyDescent="0.25">
      <c r="A3976" s="2" t="str">
        <f>HYPERLINK("https://rth.dk/resources/bsgatlas/details.php?id=BSGatlas-gene-3975","BSGatlas-gene-3975")</f>
        <v>BSGatlas-gene-3975</v>
      </c>
      <c r="B3976" s="1" t="s">
        <v>3622</v>
      </c>
      <c r="C3976" s="1" t="s">
        <v>8</v>
      </c>
      <c r="D3976" s="1">
        <v>3482752</v>
      </c>
      <c r="E3976" s="1">
        <v>3483774</v>
      </c>
      <c r="F3976" s="1" t="s">
        <v>13</v>
      </c>
      <c r="G3976" s="1" t="s">
        <v>11409</v>
      </c>
    </row>
    <row r="3977" spans="1:7" ht="21" x14ac:dyDescent="0.25">
      <c r="A3977" s="2" t="str">
        <f>HYPERLINK("https://rth.dk/resources/bsgatlas/details.php?id=BSGatlas-gene-3976","BSGatlas-gene-3976")</f>
        <v>BSGatlas-gene-3976</v>
      </c>
      <c r="B3977" s="1" t="s">
        <v>3623</v>
      </c>
      <c r="C3977" s="1" t="s">
        <v>8</v>
      </c>
      <c r="D3977" s="1">
        <v>3484072</v>
      </c>
      <c r="E3977" s="1">
        <v>3485466</v>
      </c>
      <c r="F3977" s="1" t="s">
        <v>13</v>
      </c>
      <c r="G3977" s="1" t="s">
        <v>11409</v>
      </c>
    </row>
    <row r="3978" spans="1:7" ht="21" x14ac:dyDescent="0.25">
      <c r="A3978" s="2" t="str">
        <f>HYPERLINK("https://rth.dk/resources/bsgatlas/details.php?id=BSGatlas-gene-3977","BSGatlas-gene-3977")</f>
        <v>BSGatlas-gene-3977</v>
      </c>
      <c r="B3978" s="1" t="s">
        <v>3624</v>
      </c>
      <c r="C3978" s="1" t="s">
        <v>8</v>
      </c>
      <c r="D3978" s="1">
        <v>3485670</v>
      </c>
      <c r="E3978" s="1">
        <v>3486758</v>
      </c>
      <c r="F3978" s="1" t="s">
        <v>9</v>
      </c>
      <c r="G3978" s="1" t="s">
        <v>11409</v>
      </c>
    </row>
    <row r="3979" spans="1:7" ht="21" x14ac:dyDescent="0.25">
      <c r="A3979" s="2" t="str">
        <f>HYPERLINK("https://rth.dk/resources/bsgatlas/details.php?id=BSGatlas-gene-3978","BSGatlas-gene-3978")</f>
        <v>BSGatlas-gene-3978</v>
      </c>
      <c r="B3979" s="1" t="s">
        <v>3625</v>
      </c>
      <c r="C3979" s="1" t="s">
        <v>8</v>
      </c>
      <c r="D3979" s="1">
        <v>3486807</v>
      </c>
      <c r="E3979" s="1">
        <v>3487817</v>
      </c>
      <c r="F3979" s="1" t="s">
        <v>13</v>
      </c>
      <c r="G3979" s="1" t="s">
        <v>11409</v>
      </c>
    </row>
    <row r="3980" spans="1:7" ht="21" x14ac:dyDescent="0.25">
      <c r="A3980" s="2" t="str">
        <f>HYPERLINK("https://rth.dk/resources/bsgatlas/details.php?id=BSGatlas-gene-3979","BSGatlas-gene-3979")</f>
        <v>BSGatlas-gene-3979</v>
      </c>
      <c r="B3980" s="1" t="s">
        <v>3626</v>
      </c>
      <c r="C3980" s="1" t="s">
        <v>8</v>
      </c>
      <c r="D3980" s="1">
        <v>3487974</v>
      </c>
      <c r="E3980" s="1">
        <v>3488852</v>
      </c>
      <c r="F3980" s="1" t="s">
        <v>13</v>
      </c>
      <c r="G3980" s="1" t="s">
        <v>11409</v>
      </c>
    </row>
    <row r="3981" spans="1:7" ht="21" x14ac:dyDescent="0.25">
      <c r="A3981" s="2" t="str">
        <f>HYPERLINK("https://rth.dk/resources/bsgatlas/details.php?id=BSGatlas-gene-3980","BSGatlas-gene-3980")</f>
        <v>BSGatlas-gene-3980</v>
      </c>
      <c r="B3981" s="1" t="s">
        <v>3627</v>
      </c>
      <c r="C3981" s="1" t="s">
        <v>8</v>
      </c>
      <c r="D3981" s="1">
        <v>3488952</v>
      </c>
      <c r="E3981" s="1">
        <v>3489869</v>
      </c>
      <c r="F3981" s="1" t="s">
        <v>9</v>
      </c>
      <c r="G3981" s="1" t="s">
        <v>11409</v>
      </c>
    </row>
    <row r="3982" spans="1:7" ht="21" x14ac:dyDescent="0.25">
      <c r="A3982" s="2" t="str">
        <f>HYPERLINK("https://rth.dk/resources/bsgatlas/details.php?id=BSGatlas-gene-3981","BSGatlas-gene-3981")</f>
        <v>BSGatlas-gene-3981</v>
      </c>
      <c r="B3982" s="1" t="s">
        <v>3628</v>
      </c>
      <c r="C3982" s="1" t="s">
        <v>8</v>
      </c>
      <c r="D3982" s="1">
        <v>3489910</v>
      </c>
      <c r="E3982" s="1">
        <v>3491253</v>
      </c>
      <c r="F3982" s="1" t="s">
        <v>13</v>
      </c>
      <c r="G3982" s="1" t="s">
        <v>11409</v>
      </c>
    </row>
    <row r="3983" spans="1:7" ht="21" x14ac:dyDescent="0.25">
      <c r="A3983" s="2" t="str">
        <f>HYPERLINK("https://rth.dk/resources/bsgatlas/details.php?id=BSGatlas-gene-3982","BSGatlas-gene-3982")</f>
        <v>BSGatlas-gene-3982</v>
      </c>
      <c r="B3983" s="1" t="s">
        <v>3629</v>
      </c>
      <c r="C3983" s="1" t="s">
        <v>34</v>
      </c>
      <c r="D3983" s="1">
        <v>3491321</v>
      </c>
      <c r="E3983" s="1">
        <v>3491557</v>
      </c>
      <c r="F3983" s="1" t="s">
        <v>13</v>
      </c>
      <c r="G3983" s="1" t="s">
        <v>11412</v>
      </c>
    </row>
    <row r="3984" spans="1:7" ht="21" x14ac:dyDescent="0.25">
      <c r="A3984" s="2" t="str">
        <f>HYPERLINK("https://rth.dk/resources/bsgatlas/details.php?id=BSGatlas-gene-3983","BSGatlas-gene-3983")</f>
        <v>BSGatlas-gene-3983</v>
      </c>
      <c r="B3984" s="1" t="s">
        <v>3630</v>
      </c>
      <c r="C3984" s="1" t="s">
        <v>8</v>
      </c>
      <c r="D3984" s="1">
        <v>3491655</v>
      </c>
      <c r="E3984" s="1">
        <v>3492689</v>
      </c>
      <c r="F3984" s="1" t="s">
        <v>13</v>
      </c>
      <c r="G3984" s="1" t="s">
        <v>11409</v>
      </c>
    </row>
    <row r="3985" spans="1:7" ht="21" x14ac:dyDescent="0.25">
      <c r="A3985" s="2" t="str">
        <f>HYPERLINK("https://rth.dk/resources/bsgatlas/details.php?id=BSGatlas-gene-3984","BSGatlas-gene-3984")</f>
        <v>BSGatlas-gene-3984</v>
      </c>
      <c r="B3985" s="1" t="s">
        <v>3631</v>
      </c>
      <c r="C3985" s="1" t="s">
        <v>8</v>
      </c>
      <c r="D3985" s="1">
        <v>3492797</v>
      </c>
      <c r="E3985" s="1">
        <v>3493519</v>
      </c>
      <c r="F3985" s="1" t="s">
        <v>13</v>
      </c>
      <c r="G3985" s="1" t="s">
        <v>11409</v>
      </c>
    </row>
    <row r="3986" spans="1:7" ht="21" x14ac:dyDescent="0.25">
      <c r="A3986" s="2" t="str">
        <f>HYPERLINK("https://rth.dk/resources/bsgatlas/details.php?id=BSGatlas-gene-3985","BSGatlas-gene-3985")</f>
        <v>BSGatlas-gene-3985</v>
      </c>
      <c r="B3986" s="1" t="s">
        <v>3632</v>
      </c>
      <c r="C3986" s="1" t="s">
        <v>8</v>
      </c>
      <c r="D3986" s="1">
        <v>3493519</v>
      </c>
      <c r="E3986" s="1">
        <v>3494958</v>
      </c>
      <c r="F3986" s="1" t="s">
        <v>13</v>
      </c>
      <c r="G3986" s="1" t="s">
        <v>11409</v>
      </c>
    </row>
    <row r="3987" spans="1:7" ht="21" x14ac:dyDescent="0.25">
      <c r="A3987" s="2" t="str">
        <f>HYPERLINK("https://rth.dk/resources/bsgatlas/details.php?id=BSGatlas-gene-3986","BSGatlas-gene-3986")</f>
        <v>BSGatlas-gene-3986</v>
      </c>
      <c r="B3987" s="1" t="s">
        <v>3633</v>
      </c>
      <c r="C3987" s="1" t="s">
        <v>8</v>
      </c>
      <c r="D3987" s="1">
        <v>3494985</v>
      </c>
      <c r="E3987" s="1">
        <v>3495701</v>
      </c>
      <c r="F3987" s="1" t="s">
        <v>13</v>
      </c>
      <c r="G3987" s="1" t="s">
        <v>11409</v>
      </c>
    </row>
    <row r="3988" spans="1:7" ht="21" x14ac:dyDescent="0.25">
      <c r="A3988" s="2" t="str">
        <f>HYPERLINK("https://rth.dk/resources/bsgatlas/details.php?id=BSGatlas-gene-3987","BSGatlas-gene-3987")</f>
        <v>BSGatlas-gene-3987</v>
      </c>
      <c r="B3988" s="1" t="s">
        <v>11722</v>
      </c>
      <c r="C3988" s="1" t="s">
        <v>8</v>
      </c>
      <c r="D3988" s="1">
        <v>3495876</v>
      </c>
      <c r="E3988" s="1">
        <v>3496478</v>
      </c>
      <c r="F3988" s="1" t="s">
        <v>13</v>
      </c>
      <c r="G3988" s="1" t="s">
        <v>11409</v>
      </c>
    </row>
    <row r="3989" spans="1:7" ht="21" x14ac:dyDescent="0.25">
      <c r="A3989" s="2" t="str">
        <f>HYPERLINK("https://rth.dk/resources/bsgatlas/details.php?id=BSGatlas-gene-3988","BSGatlas-gene-3988")</f>
        <v>BSGatlas-gene-3988</v>
      </c>
      <c r="B3989" s="1" t="s">
        <v>3634</v>
      </c>
      <c r="C3989" s="1" t="s">
        <v>8</v>
      </c>
      <c r="D3989" s="1">
        <v>3496495</v>
      </c>
      <c r="E3989" s="1">
        <v>3497610</v>
      </c>
      <c r="F3989" s="1" t="s">
        <v>13</v>
      </c>
      <c r="G3989" s="1" t="s">
        <v>11409</v>
      </c>
    </row>
    <row r="3990" spans="1:7" ht="21" x14ac:dyDescent="0.25">
      <c r="A3990" s="2" t="str">
        <f>HYPERLINK("https://rth.dk/resources/bsgatlas/details.php?id=BSGatlas-gene-3989","BSGatlas-gene-3989")</f>
        <v>BSGatlas-gene-3989</v>
      </c>
      <c r="B3990" s="1" t="s">
        <v>3635</v>
      </c>
      <c r="C3990" s="1" t="s">
        <v>8</v>
      </c>
      <c r="D3990" s="1">
        <v>3497614</v>
      </c>
      <c r="E3990" s="1">
        <v>3498351</v>
      </c>
      <c r="F3990" s="1" t="s">
        <v>13</v>
      </c>
      <c r="G3990" s="1" t="s">
        <v>11409</v>
      </c>
    </row>
    <row r="3991" spans="1:7" ht="21" x14ac:dyDescent="0.25">
      <c r="A3991" s="2" t="str">
        <f>HYPERLINK("https://rth.dk/resources/bsgatlas/details.php?id=BSGatlas-gene-3990","BSGatlas-gene-3990")</f>
        <v>BSGatlas-gene-3990</v>
      </c>
      <c r="B3991" s="1" t="s">
        <v>3636</v>
      </c>
      <c r="C3991" s="1" t="s">
        <v>8</v>
      </c>
      <c r="D3991" s="1">
        <v>3498352</v>
      </c>
      <c r="E3991" s="1">
        <v>3499257</v>
      </c>
      <c r="F3991" s="1" t="s">
        <v>13</v>
      </c>
      <c r="G3991" s="1" t="s">
        <v>11409</v>
      </c>
    </row>
    <row r="3992" spans="1:7" ht="21" x14ac:dyDescent="0.25">
      <c r="A3992" s="2" t="str">
        <f>HYPERLINK("https://rth.dk/resources/bsgatlas/details.php?id=BSGatlas-gene-3991","BSGatlas-gene-3991")</f>
        <v>BSGatlas-gene-3991</v>
      </c>
      <c r="B3992" s="1" t="s">
        <v>3637</v>
      </c>
      <c r="C3992" s="1" t="s">
        <v>8</v>
      </c>
      <c r="D3992" s="1">
        <v>3499541</v>
      </c>
      <c r="E3992" s="1">
        <v>3500350</v>
      </c>
      <c r="F3992" s="1" t="s">
        <v>9</v>
      </c>
      <c r="G3992" s="1" t="s">
        <v>11409</v>
      </c>
    </row>
    <row r="3993" spans="1:7" ht="21" x14ac:dyDescent="0.25">
      <c r="A3993" s="2" t="str">
        <f>HYPERLINK("https://rth.dk/resources/bsgatlas/details.php?id=BSGatlas-gene-3992","BSGatlas-gene-3992")</f>
        <v>BSGatlas-gene-3992</v>
      </c>
      <c r="B3993" s="1" t="s">
        <v>3638</v>
      </c>
      <c r="C3993" s="1" t="s">
        <v>8</v>
      </c>
      <c r="D3993" s="1">
        <v>3500386</v>
      </c>
      <c r="E3993" s="1">
        <v>3501597</v>
      </c>
      <c r="F3993" s="1" t="s">
        <v>9</v>
      </c>
      <c r="G3993" s="1" t="s">
        <v>11409</v>
      </c>
    </row>
    <row r="3994" spans="1:7" ht="21" x14ac:dyDescent="0.25">
      <c r="A3994" s="2" t="str">
        <f>HYPERLINK("https://rth.dk/resources/bsgatlas/details.php?id=BSGatlas-gene-3993","BSGatlas-gene-3993")</f>
        <v>BSGatlas-gene-3993</v>
      </c>
      <c r="B3994" s="1" t="s">
        <v>3639</v>
      </c>
      <c r="C3994" s="1" t="s">
        <v>8</v>
      </c>
      <c r="D3994" s="1">
        <v>3501651</v>
      </c>
      <c r="E3994" s="1">
        <v>3502940</v>
      </c>
      <c r="F3994" s="1" t="s">
        <v>13</v>
      </c>
      <c r="G3994" s="1" t="s">
        <v>11409</v>
      </c>
    </row>
    <row r="3995" spans="1:7" ht="21" x14ac:dyDescent="0.25">
      <c r="A3995" s="2" t="str">
        <f>HYPERLINK("https://rth.dk/resources/bsgatlas/details.php?id=BSGatlas-gene-3994","BSGatlas-gene-3994")</f>
        <v>BSGatlas-gene-3994</v>
      </c>
      <c r="B3995" s="1" t="s">
        <v>3640</v>
      </c>
      <c r="C3995" s="1" t="s">
        <v>8</v>
      </c>
      <c r="D3995" s="1">
        <v>3503020</v>
      </c>
      <c r="E3995" s="1">
        <v>3505083</v>
      </c>
      <c r="F3995" s="1" t="s">
        <v>13</v>
      </c>
      <c r="G3995" s="1" t="s">
        <v>11409</v>
      </c>
    </row>
    <row r="3996" spans="1:7" ht="21" x14ac:dyDescent="0.25">
      <c r="A3996" s="2" t="str">
        <f>HYPERLINK("https://rth.dk/resources/bsgatlas/details.php?id=BSGatlas-gene-3995","BSGatlas-gene-3995")</f>
        <v>BSGatlas-gene-3995</v>
      </c>
      <c r="B3996" s="1" t="s">
        <v>3641</v>
      </c>
      <c r="C3996" s="1" t="s">
        <v>8</v>
      </c>
      <c r="D3996" s="1">
        <v>3505102</v>
      </c>
      <c r="E3996" s="1">
        <v>3505953</v>
      </c>
      <c r="F3996" s="1" t="s">
        <v>13</v>
      </c>
      <c r="G3996" s="1" t="s">
        <v>11409</v>
      </c>
    </row>
    <row r="3997" spans="1:7" ht="21" x14ac:dyDescent="0.25">
      <c r="A3997" s="2" t="str">
        <f>HYPERLINK("https://rth.dk/resources/bsgatlas/details.php?id=BSGatlas-gene-3996","BSGatlas-gene-3996")</f>
        <v>BSGatlas-gene-3996</v>
      </c>
      <c r="B3997" s="1" t="s">
        <v>3642</v>
      </c>
      <c r="C3997" s="1" t="s">
        <v>8</v>
      </c>
      <c r="D3997" s="1">
        <v>3505957</v>
      </c>
      <c r="E3997" s="1">
        <v>3507213</v>
      </c>
      <c r="F3997" s="1" t="s">
        <v>13</v>
      </c>
      <c r="G3997" s="1" t="s">
        <v>11409</v>
      </c>
    </row>
    <row r="3998" spans="1:7" ht="21" x14ac:dyDescent="0.25">
      <c r="A3998" s="2" t="str">
        <f>HYPERLINK("https://rth.dk/resources/bsgatlas/details.php?id=BSGatlas-gene-3997","BSGatlas-gene-3997")</f>
        <v>BSGatlas-gene-3997</v>
      </c>
      <c r="B3998" s="1" t="s">
        <v>3643</v>
      </c>
      <c r="C3998" s="1" t="s">
        <v>8</v>
      </c>
      <c r="D3998" s="1">
        <v>3507253</v>
      </c>
      <c r="E3998" s="1">
        <v>3508518</v>
      </c>
      <c r="F3998" s="1" t="s">
        <v>13</v>
      </c>
      <c r="G3998" s="1" t="s">
        <v>11409</v>
      </c>
    </row>
    <row r="3999" spans="1:7" ht="21" x14ac:dyDescent="0.25">
      <c r="A3999" s="2" t="str">
        <f>HYPERLINK("https://rth.dk/resources/bsgatlas/details.php?id=BSGatlas-gene-3998","BSGatlas-gene-3998")</f>
        <v>BSGatlas-gene-3998</v>
      </c>
      <c r="B3999" s="1" t="s">
        <v>3644</v>
      </c>
      <c r="C3999" s="1" t="s">
        <v>8</v>
      </c>
      <c r="D3999" s="1">
        <v>3508659</v>
      </c>
      <c r="E3999" s="1">
        <v>3509651</v>
      </c>
      <c r="F3999" s="1" t="s">
        <v>13</v>
      </c>
      <c r="G3999" s="1" t="s">
        <v>11409</v>
      </c>
    </row>
    <row r="4000" spans="1:7" ht="21" x14ac:dyDescent="0.25">
      <c r="A4000" s="2" t="str">
        <f>HYPERLINK("https://rth.dk/resources/bsgatlas/details.php?id=BSGatlas-gene-3999","BSGatlas-gene-3999")</f>
        <v>BSGatlas-gene-3999</v>
      </c>
      <c r="B4000" s="1" t="s">
        <v>3645</v>
      </c>
      <c r="C4000" s="1" t="s">
        <v>8</v>
      </c>
      <c r="D4000" s="1">
        <v>3509831</v>
      </c>
      <c r="E4000" s="1">
        <v>3510490</v>
      </c>
      <c r="F4000" s="1" t="s">
        <v>13</v>
      </c>
      <c r="G4000" s="1" t="s">
        <v>11409</v>
      </c>
    </row>
    <row r="4001" spans="1:7" ht="21" x14ac:dyDescent="0.25">
      <c r="A4001" s="2" t="str">
        <f>HYPERLINK("https://rth.dk/resources/bsgatlas/details.php?id=BSGatlas-gene-4000","BSGatlas-gene-4000")</f>
        <v>BSGatlas-gene-4000</v>
      </c>
      <c r="B4001" s="1" t="s">
        <v>3646</v>
      </c>
      <c r="C4001" s="1" t="s">
        <v>8</v>
      </c>
      <c r="D4001" s="1">
        <v>3510780</v>
      </c>
      <c r="E4001" s="1">
        <v>3512471</v>
      </c>
      <c r="F4001" s="1" t="s">
        <v>9</v>
      </c>
      <c r="G4001" s="1" t="s">
        <v>11409</v>
      </c>
    </row>
    <row r="4002" spans="1:7" ht="21" x14ac:dyDescent="0.25">
      <c r="A4002" s="2" t="str">
        <f>HYPERLINK("https://rth.dk/resources/bsgatlas/details.php?id=BSGatlas-gene-4001","BSGatlas-gene-4001")</f>
        <v>BSGatlas-gene-4001</v>
      </c>
      <c r="B4002" s="1" t="s">
        <v>3647</v>
      </c>
      <c r="C4002" s="1" t="s">
        <v>8</v>
      </c>
      <c r="D4002" s="1">
        <v>3512498</v>
      </c>
      <c r="E4002" s="1">
        <v>3513808</v>
      </c>
      <c r="F4002" s="1" t="s">
        <v>13</v>
      </c>
      <c r="G4002" s="1" t="s">
        <v>11409</v>
      </c>
    </row>
    <row r="4003" spans="1:7" ht="21" x14ac:dyDescent="0.25">
      <c r="A4003" s="2" t="str">
        <f>HYPERLINK("https://rth.dk/resources/bsgatlas/details.php?id=BSGatlas-gene-4002","BSGatlas-gene-4002")</f>
        <v>BSGatlas-gene-4002</v>
      </c>
      <c r="B4003" s="1" t="s">
        <v>3648</v>
      </c>
      <c r="C4003" s="1" t="s">
        <v>8</v>
      </c>
      <c r="D4003" s="1">
        <v>3513887</v>
      </c>
      <c r="E4003" s="1">
        <v>3514105</v>
      </c>
      <c r="F4003" s="1" t="s">
        <v>9</v>
      </c>
      <c r="G4003" s="1" t="s">
        <v>11409</v>
      </c>
    </row>
    <row r="4004" spans="1:7" ht="21" x14ac:dyDescent="0.25">
      <c r="A4004" s="2" t="str">
        <f>HYPERLINK("https://rth.dk/resources/bsgatlas/details.php?id=BSGatlas-gene-4003","BSGatlas-gene-4003")</f>
        <v>BSGatlas-gene-4003</v>
      </c>
      <c r="B4004" s="1" t="s">
        <v>3649</v>
      </c>
      <c r="C4004" s="1" t="s">
        <v>8</v>
      </c>
      <c r="D4004" s="1">
        <v>3514115</v>
      </c>
      <c r="E4004" s="1">
        <v>3515083</v>
      </c>
      <c r="F4004" s="1" t="s">
        <v>13</v>
      </c>
      <c r="G4004" s="1" t="s">
        <v>11409</v>
      </c>
    </row>
    <row r="4005" spans="1:7" ht="21" x14ac:dyDescent="0.25">
      <c r="A4005" s="2" t="str">
        <f>HYPERLINK("https://rth.dk/resources/bsgatlas/details.php?id=BSGatlas-gene-4004","BSGatlas-gene-4004")</f>
        <v>BSGatlas-gene-4004</v>
      </c>
      <c r="B4005" s="1" t="s">
        <v>3650</v>
      </c>
      <c r="C4005" s="1" t="s">
        <v>8</v>
      </c>
      <c r="D4005" s="1">
        <v>3515062</v>
      </c>
      <c r="E4005" s="1">
        <v>3516228</v>
      </c>
      <c r="F4005" s="1" t="s">
        <v>13</v>
      </c>
      <c r="G4005" s="1" t="s">
        <v>11409</v>
      </c>
    </row>
    <row r="4006" spans="1:7" ht="21" x14ac:dyDescent="0.25">
      <c r="A4006" s="2" t="str">
        <f>HYPERLINK("https://rth.dk/resources/bsgatlas/details.php?id=BSGatlas-gene-4005","BSGatlas-gene-4005")</f>
        <v>BSGatlas-gene-4005</v>
      </c>
      <c r="B4006" s="1" t="s">
        <v>3651</v>
      </c>
      <c r="C4006" s="1" t="s">
        <v>8</v>
      </c>
      <c r="D4006" s="1">
        <v>3516233</v>
      </c>
      <c r="E4006" s="1">
        <v>3516883</v>
      </c>
      <c r="F4006" s="1" t="s">
        <v>13</v>
      </c>
      <c r="G4006" s="1" t="s">
        <v>11409</v>
      </c>
    </row>
    <row r="4007" spans="1:7" ht="21" x14ac:dyDescent="0.25">
      <c r="A4007" s="2" t="str">
        <f>HYPERLINK("https://rth.dk/resources/bsgatlas/details.php?id=BSGatlas-gene-4006","BSGatlas-gene-4006")</f>
        <v>BSGatlas-gene-4006</v>
      </c>
      <c r="B4007" s="1" t="s">
        <v>3652</v>
      </c>
      <c r="C4007" s="1" t="s">
        <v>8</v>
      </c>
      <c r="D4007" s="1">
        <v>3516880</v>
      </c>
      <c r="E4007" s="1">
        <v>3517488</v>
      </c>
      <c r="F4007" s="1" t="s">
        <v>13</v>
      </c>
      <c r="G4007" s="1" t="s">
        <v>11409</v>
      </c>
    </row>
    <row r="4008" spans="1:7" ht="21" x14ac:dyDescent="0.25">
      <c r="A4008" s="2" t="str">
        <f>HYPERLINK("https://rth.dk/resources/bsgatlas/details.php?id=BSGatlas-gene-4007","BSGatlas-gene-4007")</f>
        <v>BSGatlas-gene-4007</v>
      </c>
      <c r="B4008" s="1" t="s">
        <v>499</v>
      </c>
      <c r="C4008" s="1" t="s">
        <v>8</v>
      </c>
      <c r="D4008" s="1">
        <v>3517485</v>
      </c>
      <c r="E4008" s="1">
        <v>3519002</v>
      </c>
      <c r="F4008" s="1" t="s">
        <v>13</v>
      </c>
      <c r="G4008" s="1" t="s">
        <v>11409</v>
      </c>
    </row>
    <row r="4009" spans="1:7" ht="21" x14ac:dyDescent="0.25">
      <c r="A4009" s="2" t="str">
        <f>HYPERLINK("https://rth.dk/resources/bsgatlas/details.php?id=BSGatlas-gene-4008","BSGatlas-gene-4008")</f>
        <v>BSGatlas-gene-4008</v>
      </c>
      <c r="B4009" s="1" t="s">
        <v>498</v>
      </c>
      <c r="C4009" s="1" t="s">
        <v>8</v>
      </c>
      <c r="D4009" s="1">
        <v>3518999</v>
      </c>
      <c r="E4009" s="1">
        <v>3520033</v>
      </c>
      <c r="F4009" s="1" t="s">
        <v>13</v>
      </c>
      <c r="G4009" s="1" t="s">
        <v>11409</v>
      </c>
    </row>
    <row r="4010" spans="1:7" ht="21" x14ac:dyDescent="0.25">
      <c r="A4010" s="2" t="str">
        <f>HYPERLINK("https://rth.dk/resources/bsgatlas/details.php?id=BSGatlas-gene-4009","BSGatlas-gene-4009")</f>
        <v>BSGatlas-gene-4009</v>
      </c>
      <c r="B4010" s="1" t="s">
        <v>3653</v>
      </c>
      <c r="C4010" s="1" t="s">
        <v>8</v>
      </c>
      <c r="D4010" s="1">
        <v>3520030</v>
      </c>
      <c r="E4010" s="1">
        <v>3521106</v>
      </c>
      <c r="F4010" s="1" t="s">
        <v>13</v>
      </c>
      <c r="G4010" s="1" t="s">
        <v>11409</v>
      </c>
    </row>
    <row r="4011" spans="1:7" ht="21" x14ac:dyDescent="0.25">
      <c r="A4011" s="2" t="str">
        <f>HYPERLINK("https://rth.dk/resources/bsgatlas/details.php?id=BSGatlas-gene-4010","BSGatlas-gene-4010")</f>
        <v>BSGatlas-gene-4010</v>
      </c>
      <c r="B4011" s="1" t="s">
        <v>3654</v>
      </c>
      <c r="C4011" s="1" t="s">
        <v>8</v>
      </c>
      <c r="D4011" s="1">
        <v>3521111</v>
      </c>
      <c r="E4011" s="1">
        <v>3522145</v>
      </c>
      <c r="F4011" s="1" t="s">
        <v>13</v>
      </c>
      <c r="G4011" s="1" t="s">
        <v>11409</v>
      </c>
    </row>
    <row r="4012" spans="1:7" ht="21" x14ac:dyDescent="0.25">
      <c r="A4012" s="2" t="str">
        <f>HYPERLINK("https://rth.dk/resources/bsgatlas/details.php?id=BSGatlas-gene-4011","BSGatlas-gene-4011")</f>
        <v>BSGatlas-gene-4011</v>
      </c>
      <c r="B4012" s="1" t="s">
        <v>3655</v>
      </c>
      <c r="C4012" s="1" t="s">
        <v>8</v>
      </c>
      <c r="D4012" s="1">
        <v>3522170</v>
      </c>
      <c r="E4012" s="1">
        <v>3523273</v>
      </c>
      <c r="F4012" s="1" t="s">
        <v>13</v>
      </c>
      <c r="G4012" s="1" t="s">
        <v>11409</v>
      </c>
    </row>
    <row r="4013" spans="1:7" ht="21" x14ac:dyDescent="0.25">
      <c r="A4013" s="2" t="str">
        <f>HYPERLINK("https://rth.dk/resources/bsgatlas/details.php?id=BSGatlas-gene-4012","BSGatlas-gene-4012")</f>
        <v>BSGatlas-gene-4012</v>
      </c>
      <c r="B4013" s="1" t="s">
        <v>3656</v>
      </c>
      <c r="C4013" s="1" t="s">
        <v>8</v>
      </c>
      <c r="D4013" s="1">
        <v>3523270</v>
      </c>
      <c r="E4013" s="1">
        <v>3524424</v>
      </c>
      <c r="F4013" s="1" t="s">
        <v>13</v>
      </c>
      <c r="G4013" s="1" t="s">
        <v>11409</v>
      </c>
    </row>
    <row r="4014" spans="1:7" ht="21" x14ac:dyDescent="0.25">
      <c r="A4014" s="2" t="str">
        <f>HYPERLINK("https://rth.dk/resources/bsgatlas/details.php?id=BSGatlas-gene-4013","BSGatlas-gene-4013")</f>
        <v>BSGatlas-gene-4013</v>
      </c>
      <c r="B4014" s="1" t="s">
        <v>3657</v>
      </c>
      <c r="C4014" s="1" t="s">
        <v>8</v>
      </c>
      <c r="D4014" s="1">
        <v>3524417</v>
      </c>
      <c r="E4014" s="1">
        <v>3525253</v>
      </c>
      <c r="F4014" s="1" t="s">
        <v>13</v>
      </c>
      <c r="G4014" s="1" t="s">
        <v>11409</v>
      </c>
    </row>
    <row r="4015" spans="1:7" ht="21" x14ac:dyDescent="0.25">
      <c r="A4015" s="2" t="str">
        <f>HYPERLINK("https://rth.dk/resources/bsgatlas/details.php?id=BSGatlas-gene-4014","BSGatlas-gene-4014")</f>
        <v>BSGatlas-gene-4014</v>
      </c>
      <c r="B4015" s="1" t="s">
        <v>3658</v>
      </c>
      <c r="C4015" s="1" t="s">
        <v>8</v>
      </c>
      <c r="D4015" s="1">
        <v>3525250</v>
      </c>
      <c r="E4015" s="1">
        <v>3526395</v>
      </c>
      <c r="F4015" s="1" t="s">
        <v>13</v>
      </c>
      <c r="G4015" s="1" t="s">
        <v>11409</v>
      </c>
    </row>
    <row r="4016" spans="1:7" ht="21" x14ac:dyDescent="0.25">
      <c r="A4016" s="2" t="str">
        <f>HYPERLINK("https://rth.dk/resources/bsgatlas/details.php?id=BSGatlas-gene-4015","BSGatlas-gene-4015")</f>
        <v>BSGatlas-gene-4015</v>
      </c>
      <c r="B4016" s="1" t="s">
        <v>3659</v>
      </c>
      <c r="C4016" s="1" t="s">
        <v>8</v>
      </c>
      <c r="D4016" s="1">
        <v>3526407</v>
      </c>
      <c r="E4016" s="1">
        <v>3528203</v>
      </c>
      <c r="F4016" s="1" t="s">
        <v>13</v>
      </c>
      <c r="G4016" s="1" t="s">
        <v>11409</v>
      </c>
    </row>
    <row r="4017" spans="1:7" ht="21" x14ac:dyDescent="0.25">
      <c r="A4017" s="2" t="str">
        <f>HYPERLINK("https://rth.dk/resources/bsgatlas/details.php?id=BSGatlas-gene-4016","BSGatlas-gene-4016")</f>
        <v>BSGatlas-gene-4016</v>
      </c>
      <c r="B4017" s="1" t="s">
        <v>3659</v>
      </c>
      <c r="C4017" s="1" t="s">
        <v>34</v>
      </c>
      <c r="D4017" s="1">
        <v>3528335</v>
      </c>
      <c r="E4017" s="1">
        <v>3528452</v>
      </c>
      <c r="F4017" s="1" t="s">
        <v>13</v>
      </c>
      <c r="G4017" s="1" t="s">
        <v>11410</v>
      </c>
    </row>
    <row r="4018" spans="1:7" ht="21" x14ac:dyDescent="0.25">
      <c r="A4018" s="2" t="str">
        <f>HYPERLINK("https://rth.dk/resources/bsgatlas/details.php?id=BSGatlas-gene-4017","BSGatlas-gene-4017")</f>
        <v>BSGatlas-gene-4017</v>
      </c>
      <c r="B4018" s="1" t="s">
        <v>3660</v>
      </c>
      <c r="C4018" s="1" t="s">
        <v>8</v>
      </c>
      <c r="D4018" s="1">
        <v>3528462</v>
      </c>
      <c r="E4018" s="1">
        <v>3529145</v>
      </c>
      <c r="F4018" s="1" t="s">
        <v>13</v>
      </c>
      <c r="G4018" s="1" t="s">
        <v>11409</v>
      </c>
    </row>
    <row r="4019" spans="1:7" ht="21" x14ac:dyDescent="0.25">
      <c r="A4019" s="2" t="str">
        <f>HYPERLINK("https://rth.dk/resources/bsgatlas/details.php?id=BSGatlas-gene-4018","BSGatlas-gene-4018")</f>
        <v>BSGatlas-gene-4018</v>
      </c>
      <c r="B4019" s="1" t="s">
        <v>3661</v>
      </c>
      <c r="C4019" s="1" t="s">
        <v>8</v>
      </c>
      <c r="D4019" s="1">
        <v>3529151</v>
      </c>
      <c r="E4019" s="1">
        <v>3529855</v>
      </c>
      <c r="F4019" s="1" t="s">
        <v>13</v>
      </c>
      <c r="G4019" s="1" t="s">
        <v>11409</v>
      </c>
    </row>
    <row r="4020" spans="1:7" ht="21" x14ac:dyDescent="0.25">
      <c r="A4020" s="2" t="str">
        <f>HYPERLINK("https://rth.dk/resources/bsgatlas/details.php?id=BSGatlas-gene-4019","BSGatlas-gene-4019")</f>
        <v>BSGatlas-gene-4019</v>
      </c>
      <c r="B4020" s="1" t="s">
        <v>3662</v>
      </c>
      <c r="C4020" s="1" t="s">
        <v>8</v>
      </c>
      <c r="D4020" s="1">
        <v>3530101</v>
      </c>
      <c r="E4020" s="1">
        <v>3530559</v>
      </c>
      <c r="F4020" s="1" t="s">
        <v>9</v>
      </c>
      <c r="G4020" s="1" t="s">
        <v>11409</v>
      </c>
    </row>
    <row r="4021" spans="1:7" ht="21" x14ac:dyDescent="0.25">
      <c r="A4021" s="2" t="str">
        <f>HYPERLINK("https://rth.dk/resources/bsgatlas/details.php?id=BSGatlas-gene-4020","BSGatlas-gene-4020")</f>
        <v>BSGatlas-gene-4020</v>
      </c>
      <c r="B4021" s="1" t="s">
        <v>3663</v>
      </c>
      <c r="C4021" s="1" t="s">
        <v>8</v>
      </c>
      <c r="D4021" s="1">
        <v>3530635</v>
      </c>
      <c r="E4021" s="1">
        <v>3532104</v>
      </c>
      <c r="F4021" s="1" t="s">
        <v>9</v>
      </c>
      <c r="G4021" s="1" t="s">
        <v>11409</v>
      </c>
    </row>
    <row r="4022" spans="1:7" ht="21" x14ac:dyDescent="0.25">
      <c r="A4022" s="2" t="str">
        <f>HYPERLINK("https://rth.dk/resources/bsgatlas/details.php?id=BSGatlas-gene-4021","BSGatlas-gene-4021")</f>
        <v>BSGatlas-gene-4021</v>
      </c>
      <c r="B4022" s="1" t="s">
        <v>318</v>
      </c>
      <c r="C4022" s="1" t="s">
        <v>8</v>
      </c>
      <c r="D4022" s="1">
        <v>3532107</v>
      </c>
      <c r="E4022" s="1">
        <v>3532298</v>
      </c>
      <c r="F4022" s="1" t="s">
        <v>9</v>
      </c>
      <c r="G4022" s="1" t="s">
        <v>11441</v>
      </c>
    </row>
    <row r="4023" spans="1:7" ht="21" x14ac:dyDescent="0.25">
      <c r="A4023" s="2" t="str">
        <f>HYPERLINK("https://rth.dk/resources/bsgatlas/details.php?id=BSGatlas-gene-4022","BSGatlas-gene-4022")</f>
        <v>BSGatlas-gene-4022</v>
      </c>
      <c r="B4023" s="1" t="s">
        <v>3664</v>
      </c>
      <c r="C4023" s="1" t="s">
        <v>8</v>
      </c>
      <c r="D4023" s="1">
        <v>3532325</v>
      </c>
      <c r="E4023" s="1">
        <v>3532810</v>
      </c>
      <c r="F4023" s="1" t="s">
        <v>13</v>
      </c>
      <c r="G4023" s="1" t="s">
        <v>11409</v>
      </c>
    </row>
    <row r="4024" spans="1:7" ht="21" x14ac:dyDescent="0.25">
      <c r="A4024" s="2" t="str">
        <f>HYPERLINK("https://rth.dk/resources/bsgatlas/details.php?id=BSGatlas-gene-4023","BSGatlas-gene-4023")</f>
        <v>BSGatlas-gene-4023</v>
      </c>
      <c r="B4024" s="1" t="s">
        <v>3665</v>
      </c>
      <c r="C4024" s="1" t="s">
        <v>8</v>
      </c>
      <c r="D4024" s="1">
        <v>3532833</v>
      </c>
      <c r="E4024" s="1">
        <v>3533144</v>
      </c>
      <c r="F4024" s="1" t="s">
        <v>13</v>
      </c>
      <c r="G4024" s="1" t="s">
        <v>11409</v>
      </c>
    </row>
    <row r="4025" spans="1:7" ht="21" x14ac:dyDescent="0.25">
      <c r="A4025" s="2" t="str">
        <f>HYPERLINK("https://rth.dk/resources/bsgatlas/details.php?id=BSGatlas-gene-4024","BSGatlas-gene-4024")</f>
        <v>BSGatlas-gene-4024</v>
      </c>
      <c r="B4025" s="1" t="s">
        <v>3666</v>
      </c>
      <c r="C4025" s="1" t="s">
        <v>8</v>
      </c>
      <c r="D4025" s="1">
        <v>3533196</v>
      </c>
      <c r="E4025" s="1">
        <v>3533288</v>
      </c>
      <c r="F4025" s="1" t="s">
        <v>13</v>
      </c>
      <c r="G4025" s="1" t="s">
        <v>11409</v>
      </c>
    </row>
    <row r="4026" spans="1:7" ht="21" x14ac:dyDescent="0.25">
      <c r="A4026" s="2" t="str">
        <f>HYPERLINK("https://rth.dk/resources/bsgatlas/details.php?id=BSGatlas-gene-4025","BSGatlas-gene-4025")</f>
        <v>BSGatlas-gene-4025</v>
      </c>
      <c r="B4026" s="1" t="s">
        <v>3667</v>
      </c>
      <c r="C4026" s="1" t="s">
        <v>8</v>
      </c>
      <c r="D4026" s="1">
        <v>3533419</v>
      </c>
      <c r="E4026" s="1">
        <v>3534102</v>
      </c>
      <c r="F4026" s="1" t="s">
        <v>13</v>
      </c>
      <c r="G4026" s="1" t="s">
        <v>11409</v>
      </c>
    </row>
    <row r="4027" spans="1:7" ht="21" x14ac:dyDescent="0.25">
      <c r="A4027" s="2" t="str">
        <f>HYPERLINK("https://rth.dk/resources/bsgatlas/details.php?id=BSGatlas-gene-4026","BSGatlas-gene-4026")</f>
        <v>BSGatlas-gene-4026</v>
      </c>
      <c r="B4027" s="1" t="s">
        <v>3668</v>
      </c>
      <c r="C4027" s="1" t="s">
        <v>8</v>
      </c>
      <c r="D4027" s="1">
        <v>3534118</v>
      </c>
      <c r="E4027" s="1">
        <v>3535473</v>
      </c>
      <c r="F4027" s="1" t="s">
        <v>13</v>
      </c>
      <c r="G4027" s="1" t="s">
        <v>11409</v>
      </c>
    </row>
    <row r="4028" spans="1:7" ht="21" x14ac:dyDescent="0.25">
      <c r="A4028" s="2" t="str">
        <f>HYPERLINK("https://rth.dk/resources/bsgatlas/details.php?id=BSGatlas-gene-4027","BSGatlas-gene-4027")</f>
        <v>BSGatlas-gene-4027</v>
      </c>
      <c r="B4028" s="1" t="s">
        <v>3669</v>
      </c>
      <c r="C4028" s="1" t="s">
        <v>34</v>
      </c>
      <c r="D4028" s="1">
        <v>3535813</v>
      </c>
      <c r="E4028" s="1">
        <v>3535923</v>
      </c>
      <c r="F4028" s="1" t="s">
        <v>9</v>
      </c>
      <c r="G4028" s="1" t="s">
        <v>11414</v>
      </c>
    </row>
    <row r="4029" spans="1:7" ht="21" x14ac:dyDescent="0.25">
      <c r="A4029" s="2" t="str">
        <f>HYPERLINK("https://rth.dk/resources/bsgatlas/details.php?id=BSGatlas-gene-4028","BSGatlas-gene-4028")</f>
        <v>BSGatlas-gene-4028</v>
      </c>
      <c r="B4029" s="1" t="s">
        <v>3670</v>
      </c>
      <c r="C4029" s="1" t="s">
        <v>8</v>
      </c>
      <c r="D4029" s="1">
        <v>3536012</v>
      </c>
      <c r="E4029" s="1">
        <v>3537433</v>
      </c>
      <c r="F4029" s="1" t="s">
        <v>9</v>
      </c>
      <c r="G4029" s="1" t="s">
        <v>11409</v>
      </c>
    </row>
    <row r="4030" spans="1:7" ht="21" x14ac:dyDescent="0.25">
      <c r="A4030" s="2" t="str">
        <f>HYPERLINK("https://rth.dk/resources/bsgatlas/details.php?id=BSGatlas-gene-4029","BSGatlas-gene-4029")</f>
        <v>BSGatlas-gene-4029</v>
      </c>
      <c r="B4030" s="1" t="s">
        <v>3671</v>
      </c>
      <c r="C4030" s="1" t="s">
        <v>8</v>
      </c>
      <c r="D4030" s="1">
        <v>3537507</v>
      </c>
      <c r="E4030" s="1">
        <v>3539057</v>
      </c>
      <c r="F4030" s="1" t="s">
        <v>9</v>
      </c>
      <c r="G4030" s="1" t="s">
        <v>11409</v>
      </c>
    </row>
    <row r="4031" spans="1:7" ht="21" x14ac:dyDescent="0.25">
      <c r="A4031" s="2" t="str">
        <f>HYPERLINK("https://rth.dk/resources/bsgatlas/details.php?id=BSGatlas-gene-4030","BSGatlas-gene-4030")</f>
        <v>BSGatlas-gene-4030</v>
      </c>
      <c r="B4031" s="1" t="s">
        <v>3672</v>
      </c>
      <c r="C4031" s="1" t="s">
        <v>8</v>
      </c>
      <c r="D4031" s="1">
        <v>3539165</v>
      </c>
      <c r="E4031" s="1">
        <v>3540727</v>
      </c>
      <c r="F4031" s="1" t="s">
        <v>9</v>
      </c>
      <c r="G4031" s="1" t="s">
        <v>11409</v>
      </c>
    </row>
    <row r="4032" spans="1:7" ht="21" x14ac:dyDescent="0.25">
      <c r="A4032" s="2" t="str">
        <f>HYPERLINK("https://rth.dk/resources/bsgatlas/details.php?id=BSGatlas-gene-4031","BSGatlas-gene-4031")</f>
        <v>BSGatlas-gene-4031</v>
      </c>
      <c r="B4032" s="1" t="s">
        <v>3673</v>
      </c>
      <c r="C4032" s="1" t="s">
        <v>8</v>
      </c>
      <c r="D4032" s="1">
        <v>3540717</v>
      </c>
      <c r="E4032" s="1">
        <v>3541406</v>
      </c>
      <c r="F4032" s="1" t="s">
        <v>9</v>
      </c>
      <c r="G4032" s="1" t="s">
        <v>11409</v>
      </c>
    </row>
    <row r="4033" spans="1:7" ht="21" x14ac:dyDescent="0.25">
      <c r="A4033" s="2" t="str">
        <f>HYPERLINK("https://rth.dk/resources/bsgatlas/details.php?id=BSGatlas-gene-4032","BSGatlas-gene-4032")</f>
        <v>BSGatlas-gene-4032</v>
      </c>
      <c r="B4033" s="1" t="s">
        <v>3674</v>
      </c>
      <c r="C4033" s="1" t="s">
        <v>8</v>
      </c>
      <c r="D4033" s="1">
        <v>3541488</v>
      </c>
      <c r="E4033" s="1">
        <v>3541823</v>
      </c>
      <c r="F4033" s="1" t="s">
        <v>9</v>
      </c>
      <c r="G4033" s="1" t="s">
        <v>11409</v>
      </c>
    </row>
    <row r="4034" spans="1:7" ht="21" x14ac:dyDescent="0.25">
      <c r="A4034" s="2" t="str">
        <f>HYPERLINK("https://rth.dk/resources/bsgatlas/details.php?id=BSGatlas-gene-4033","BSGatlas-gene-4033")</f>
        <v>BSGatlas-gene-4033</v>
      </c>
      <c r="B4034" s="1" t="s">
        <v>3675</v>
      </c>
      <c r="C4034" s="1" t="s">
        <v>8</v>
      </c>
      <c r="D4034" s="1">
        <v>3541823</v>
      </c>
      <c r="E4034" s="1">
        <v>3542143</v>
      </c>
      <c r="F4034" s="1" t="s">
        <v>9</v>
      </c>
      <c r="G4034" s="1" t="s">
        <v>11409</v>
      </c>
    </row>
    <row r="4035" spans="1:7" ht="21" x14ac:dyDescent="0.25">
      <c r="A4035" s="2" t="str">
        <f>HYPERLINK("https://rth.dk/resources/bsgatlas/details.php?id=BSGatlas-gene-4034","BSGatlas-gene-4034")</f>
        <v>BSGatlas-gene-4034</v>
      </c>
      <c r="B4035" s="1" t="s">
        <v>3676</v>
      </c>
      <c r="C4035" s="1" t="s">
        <v>8</v>
      </c>
      <c r="D4035" s="1">
        <v>3542179</v>
      </c>
      <c r="E4035" s="1">
        <v>3542691</v>
      </c>
      <c r="F4035" s="1" t="s">
        <v>13</v>
      </c>
      <c r="G4035" s="1" t="s">
        <v>11409</v>
      </c>
    </row>
    <row r="4036" spans="1:7" ht="21" x14ac:dyDescent="0.25">
      <c r="A4036" s="2" t="str">
        <f>HYPERLINK("https://rth.dk/resources/bsgatlas/details.php?id=BSGatlas-gene-4035","BSGatlas-gene-4035")</f>
        <v>BSGatlas-gene-4035</v>
      </c>
      <c r="B4036" s="1" t="s">
        <v>3677</v>
      </c>
      <c r="C4036" s="1" t="s">
        <v>8</v>
      </c>
      <c r="D4036" s="1">
        <v>3542943</v>
      </c>
      <c r="E4036" s="1">
        <v>3544286</v>
      </c>
      <c r="F4036" s="1" t="s">
        <v>13</v>
      </c>
      <c r="G4036" s="1" t="s">
        <v>11409</v>
      </c>
    </row>
    <row r="4037" spans="1:7" ht="21" x14ac:dyDescent="0.25">
      <c r="A4037" s="2" t="str">
        <f>HYPERLINK("https://rth.dk/resources/bsgatlas/details.php?id=BSGatlas-gene-4036","BSGatlas-gene-4036")</f>
        <v>BSGatlas-gene-4036</v>
      </c>
      <c r="B4037" s="1" t="s">
        <v>3678</v>
      </c>
      <c r="C4037" s="1" t="s">
        <v>8</v>
      </c>
      <c r="D4037" s="1">
        <v>3544642</v>
      </c>
      <c r="E4037" s="1">
        <v>3545604</v>
      </c>
      <c r="F4037" s="1" t="s">
        <v>9</v>
      </c>
      <c r="G4037" s="1" t="s">
        <v>11409</v>
      </c>
    </row>
    <row r="4038" spans="1:7" ht="21" x14ac:dyDescent="0.25">
      <c r="A4038" s="2" t="str">
        <f>HYPERLINK("https://rth.dk/resources/bsgatlas/details.php?id=BSGatlas-gene-4037","BSGatlas-gene-4037")</f>
        <v>BSGatlas-gene-4037</v>
      </c>
      <c r="B4038" s="1" t="s">
        <v>3679</v>
      </c>
      <c r="C4038" s="1" t="s">
        <v>23</v>
      </c>
      <c r="D4038" s="1">
        <v>3545888</v>
      </c>
      <c r="E4038" s="1">
        <v>3545964</v>
      </c>
      <c r="F4038" s="1" t="s">
        <v>13</v>
      </c>
      <c r="G4038" s="1" t="s">
        <v>11411</v>
      </c>
    </row>
    <row r="4039" spans="1:7" ht="21" x14ac:dyDescent="0.25">
      <c r="A4039" s="2" t="str">
        <f>HYPERLINK("https://rth.dk/resources/bsgatlas/details.php?id=BSGatlas-gene-4038","BSGatlas-gene-4038")</f>
        <v>BSGatlas-gene-4038</v>
      </c>
      <c r="B4039" s="1" t="s">
        <v>3680</v>
      </c>
      <c r="C4039" s="1" t="s">
        <v>8</v>
      </c>
      <c r="D4039" s="1">
        <v>3546234</v>
      </c>
      <c r="E4039" s="1">
        <v>3546827</v>
      </c>
      <c r="F4039" s="1" t="s">
        <v>9</v>
      </c>
      <c r="G4039" s="1" t="s">
        <v>11409</v>
      </c>
    </row>
    <row r="4040" spans="1:7" ht="21" x14ac:dyDescent="0.25">
      <c r="A4040" s="2" t="str">
        <f>HYPERLINK("https://rth.dk/resources/bsgatlas/details.php?id=BSGatlas-gene-4039","BSGatlas-gene-4039")</f>
        <v>BSGatlas-gene-4039</v>
      </c>
      <c r="B4040" s="1" t="s">
        <v>3681</v>
      </c>
      <c r="C4040" s="1" t="s">
        <v>8</v>
      </c>
      <c r="D4040" s="1">
        <v>3546873</v>
      </c>
      <c r="E4040" s="1">
        <v>3547553</v>
      </c>
      <c r="F4040" s="1" t="s">
        <v>13</v>
      </c>
      <c r="G4040" s="1" t="s">
        <v>11409</v>
      </c>
    </row>
    <row r="4041" spans="1:7" ht="21" x14ac:dyDescent="0.25">
      <c r="A4041" s="2" t="str">
        <f>HYPERLINK("https://rth.dk/resources/bsgatlas/details.php?id=BSGatlas-gene-4040","BSGatlas-gene-4040")</f>
        <v>BSGatlas-gene-4040</v>
      </c>
      <c r="B4041" s="1" t="s">
        <v>3682</v>
      </c>
      <c r="C4041" s="1" t="s">
        <v>8</v>
      </c>
      <c r="D4041" s="1">
        <v>3547550</v>
      </c>
      <c r="E4041" s="1">
        <v>3549235</v>
      </c>
      <c r="F4041" s="1" t="s">
        <v>13</v>
      </c>
      <c r="G4041" s="1" t="s">
        <v>11409</v>
      </c>
    </row>
    <row r="4042" spans="1:7" ht="21" x14ac:dyDescent="0.25">
      <c r="A4042" s="2" t="str">
        <f>HYPERLINK("https://rth.dk/resources/bsgatlas/details.php?id=BSGatlas-gene-4041","BSGatlas-gene-4041")</f>
        <v>BSGatlas-gene-4041</v>
      </c>
      <c r="B4042" s="1" t="s">
        <v>3683</v>
      </c>
      <c r="C4042" s="1" t="s">
        <v>8</v>
      </c>
      <c r="D4042" s="1">
        <v>3549228</v>
      </c>
      <c r="E4042" s="1">
        <v>3551501</v>
      </c>
      <c r="F4042" s="1" t="s">
        <v>13</v>
      </c>
      <c r="G4042" s="1" t="s">
        <v>11409</v>
      </c>
    </row>
    <row r="4043" spans="1:7" ht="21" x14ac:dyDescent="0.25">
      <c r="A4043" s="2" t="str">
        <f>HYPERLINK("https://rth.dk/resources/bsgatlas/details.php?id=BSGatlas-gene-4042","BSGatlas-gene-4042")</f>
        <v>BSGatlas-gene-4042</v>
      </c>
      <c r="B4043" s="1" t="s">
        <v>3684</v>
      </c>
      <c r="C4043" s="1" t="s">
        <v>8</v>
      </c>
      <c r="D4043" s="1">
        <v>3551479</v>
      </c>
      <c r="E4043" s="1">
        <v>3552363</v>
      </c>
      <c r="F4043" s="1" t="s">
        <v>13</v>
      </c>
      <c r="G4043" s="1" t="s">
        <v>11409</v>
      </c>
    </row>
    <row r="4044" spans="1:7" ht="21" x14ac:dyDescent="0.25">
      <c r="A4044" s="2" t="str">
        <f>HYPERLINK("https://rth.dk/resources/bsgatlas/details.php?id=BSGatlas-gene-4043","BSGatlas-gene-4043")</f>
        <v>BSGatlas-gene-4043</v>
      </c>
      <c r="B4044" s="1" t="s">
        <v>3685</v>
      </c>
      <c r="C4044" s="1" t="s">
        <v>8</v>
      </c>
      <c r="D4044" s="1">
        <v>3552369</v>
      </c>
      <c r="E4044" s="1">
        <v>3553205</v>
      </c>
      <c r="F4044" s="1" t="s">
        <v>13</v>
      </c>
      <c r="G4044" s="1" t="s">
        <v>11409</v>
      </c>
    </row>
    <row r="4045" spans="1:7" ht="21" x14ac:dyDescent="0.25">
      <c r="A4045" s="2" t="str">
        <f>HYPERLINK("https://rth.dk/resources/bsgatlas/details.php?id=BSGatlas-gene-4044","BSGatlas-gene-4044")</f>
        <v>BSGatlas-gene-4044</v>
      </c>
      <c r="B4045" s="1" t="s">
        <v>3686</v>
      </c>
      <c r="C4045" s="1" t="s">
        <v>8</v>
      </c>
      <c r="D4045" s="1">
        <v>3553206</v>
      </c>
      <c r="E4045" s="1">
        <v>3554513</v>
      </c>
      <c r="F4045" s="1" t="s">
        <v>13</v>
      </c>
      <c r="G4045" s="1" t="s">
        <v>11409</v>
      </c>
    </row>
    <row r="4046" spans="1:7" ht="21" x14ac:dyDescent="0.25">
      <c r="A4046" s="2" t="str">
        <f>HYPERLINK("https://rth.dk/resources/bsgatlas/details.php?id=BSGatlas-gene-4045","BSGatlas-gene-4045")</f>
        <v>BSGatlas-gene-4045</v>
      </c>
      <c r="B4046" s="1" t="s">
        <v>3687</v>
      </c>
      <c r="C4046" s="1" t="s">
        <v>8</v>
      </c>
      <c r="D4046" s="1">
        <v>3554553</v>
      </c>
      <c r="E4046" s="1">
        <v>3555806</v>
      </c>
      <c r="F4046" s="1" t="s">
        <v>13</v>
      </c>
      <c r="G4046" s="1" t="s">
        <v>11409</v>
      </c>
    </row>
    <row r="4047" spans="1:7" ht="21" x14ac:dyDescent="0.25">
      <c r="A4047" s="2" t="str">
        <f>HYPERLINK("https://rth.dk/resources/bsgatlas/details.php?id=BSGatlas-gene-4046","BSGatlas-gene-4046")</f>
        <v>BSGatlas-gene-4046</v>
      </c>
      <c r="B4047" s="1" t="s">
        <v>3688</v>
      </c>
      <c r="C4047" s="1" t="s">
        <v>8</v>
      </c>
      <c r="D4047" s="1">
        <v>3555902</v>
      </c>
      <c r="E4047" s="1">
        <v>3557671</v>
      </c>
      <c r="F4047" s="1" t="s">
        <v>13</v>
      </c>
      <c r="G4047" s="1" t="s">
        <v>11409</v>
      </c>
    </row>
    <row r="4048" spans="1:7" ht="21" x14ac:dyDescent="0.25">
      <c r="A4048" s="2" t="str">
        <f>HYPERLINK("https://rth.dk/resources/bsgatlas/details.php?id=BSGatlas-gene-4047","BSGatlas-gene-4047")</f>
        <v>BSGatlas-gene-4047</v>
      </c>
      <c r="B4048" s="1" t="s">
        <v>3689</v>
      </c>
      <c r="C4048" s="1" t="s">
        <v>8</v>
      </c>
      <c r="D4048" s="1">
        <v>3557784</v>
      </c>
      <c r="E4048" s="1">
        <v>3558734</v>
      </c>
      <c r="F4048" s="1" t="s">
        <v>13</v>
      </c>
      <c r="G4048" s="1" t="s">
        <v>11409</v>
      </c>
    </row>
    <row r="4049" spans="1:7" ht="21" x14ac:dyDescent="0.25">
      <c r="A4049" s="2" t="str">
        <f>HYPERLINK("https://rth.dk/resources/bsgatlas/details.php?id=BSGatlas-gene-4048","BSGatlas-gene-4048")</f>
        <v>BSGatlas-gene-4048</v>
      </c>
      <c r="B4049" s="1" t="s">
        <v>3690</v>
      </c>
      <c r="C4049" s="1" t="s">
        <v>8</v>
      </c>
      <c r="D4049" s="1">
        <v>3558940</v>
      </c>
      <c r="E4049" s="1">
        <v>3559515</v>
      </c>
      <c r="F4049" s="1" t="s">
        <v>13</v>
      </c>
      <c r="G4049" s="1" t="s">
        <v>11409</v>
      </c>
    </row>
    <row r="4050" spans="1:7" ht="21" x14ac:dyDescent="0.25">
      <c r="A4050" s="2" t="str">
        <f>HYPERLINK("https://rth.dk/resources/bsgatlas/details.php?id=BSGatlas-gene-4049","BSGatlas-gene-4049")</f>
        <v>BSGatlas-gene-4049</v>
      </c>
      <c r="B4050" s="1" t="s">
        <v>3691</v>
      </c>
      <c r="C4050" s="1" t="s">
        <v>8</v>
      </c>
      <c r="D4050" s="1">
        <v>3559632</v>
      </c>
      <c r="E4050" s="1">
        <v>3559952</v>
      </c>
      <c r="F4050" s="1" t="s">
        <v>9</v>
      </c>
      <c r="G4050" s="1" t="s">
        <v>11409</v>
      </c>
    </row>
    <row r="4051" spans="1:7" ht="21" x14ac:dyDescent="0.25">
      <c r="A4051" s="2" t="str">
        <f>HYPERLINK("https://rth.dk/resources/bsgatlas/details.php?id=BSGatlas-gene-4050","BSGatlas-gene-4050")</f>
        <v>BSGatlas-gene-4050</v>
      </c>
      <c r="B4051" s="1" t="s">
        <v>3692</v>
      </c>
      <c r="C4051" s="1" t="s">
        <v>8</v>
      </c>
      <c r="D4051" s="1">
        <v>3559979</v>
      </c>
      <c r="E4051" s="1">
        <v>3561571</v>
      </c>
      <c r="F4051" s="1" t="s">
        <v>13</v>
      </c>
      <c r="G4051" s="1" t="s">
        <v>11409</v>
      </c>
    </row>
    <row r="4052" spans="1:7" ht="21" x14ac:dyDescent="0.25">
      <c r="A4052" s="2" t="str">
        <f>HYPERLINK("https://rth.dk/resources/bsgatlas/details.php?id=BSGatlas-gene-4051","BSGatlas-gene-4051")</f>
        <v>BSGatlas-gene-4051</v>
      </c>
      <c r="B4052" s="1" t="s">
        <v>3693</v>
      </c>
      <c r="C4052" s="1" t="s">
        <v>8</v>
      </c>
      <c r="D4052" s="1">
        <v>3561590</v>
      </c>
      <c r="E4052" s="1">
        <v>3562183</v>
      </c>
      <c r="F4052" s="1" t="s">
        <v>13</v>
      </c>
      <c r="G4052" s="1" t="s">
        <v>11409</v>
      </c>
    </row>
    <row r="4053" spans="1:7" ht="21" x14ac:dyDescent="0.25">
      <c r="A4053" s="2" t="str">
        <f>HYPERLINK("https://rth.dk/resources/bsgatlas/details.php?id=BSGatlas-gene-4052","BSGatlas-gene-4052")</f>
        <v>BSGatlas-gene-4052</v>
      </c>
      <c r="B4053" s="1" t="s">
        <v>3694</v>
      </c>
      <c r="C4053" s="1" t="s">
        <v>8</v>
      </c>
      <c r="D4053" s="1">
        <v>3562566</v>
      </c>
      <c r="E4053" s="1">
        <v>3563543</v>
      </c>
      <c r="F4053" s="1" t="s">
        <v>9</v>
      </c>
      <c r="G4053" s="1" t="s">
        <v>11409</v>
      </c>
    </row>
    <row r="4054" spans="1:7" ht="21" x14ac:dyDescent="0.25">
      <c r="A4054" s="2" t="str">
        <f>HYPERLINK("https://rth.dk/resources/bsgatlas/details.php?id=BSGatlas-gene-4053","BSGatlas-gene-4053")</f>
        <v>BSGatlas-gene-4053</v>
      </c>
      <c r="B4054" s="1" t="s">
        <v>3695</v>
      </c>
      <c r="C4054" s="1" t="s">
        <v>8</v>
      </c>
      <c r="D4054" s="1">
        <v>3563581</v>
      </c>
      <c r="E4054" s="1">
        <v>3565521</v>
      </c>
      <c r="F4054" s="1" t="s">
        <v>13</v>
      </c>
      <c r="G4054" s="1" t="s">
        <v>11409</v>
      </c>
    </row>
    <row r="4055" spans="1:7" ht="21" x14ac:dyDescent="0.25">
      <c r="A4055" s="2" t="str">
        <f>HYPERLINK("https://rth.dk/resources/bsgatlas/details.php?id=BSGatlas-gene-4054","BSGatlas-gene-4054")</f>
        <v>BSGatlas-gene-4054</v>
      </c>
      <c r="B4055" s="1" t="s">
        <v>3696</v>
      </c>
      <c r="C4055" s="1" t="s">
        <v>8</v>
      </c>
      <c r="D4055" s="1">
        <v>3565496</v>
      </c>
      <c r="E4055" s="1">
        <v>3566275</v>
      </c>
      <c r="F4055" s="1" t="s">
        <v>13</v>
      </c>
      <c r="G4055" s="1" t="s">
        <v>11409</v>
      </c>
    </row>
    <row r="4056" spans="1:7" ht="21" x14ac:dyDescent="0.25">
      <c r="A4056" s="2" t="str">
        <f>HYPERLINK("https://rth.dk/resources/bsgatlas/details.php?id=BSGatlas-gene-4055","BSGatlas-gene-4055")</f>
        <v>BSGatlas-gene-4055</v>
      </c>
      <c r="B4056" s="1" t="s">
        <v>3697</v>
      </c>
      <c r="C4056" s="1" t="s">
        <v>8</v>
      </c>
      <c r="D4056" s="1">
        <v>3566358</v>
      </c>
      <c r="E4056" s="1">
        <v>3567428</v>
      </c>
      <c r="F4056" s="1" t="s">
        <v>13</v>
      </c>
      <c r="G4056" s="1" t="s">
        <v>11409</v>
      </c>
    </row>
    <row r="4057" spans="1:7" ht="21" x14ac:dyDescent="0.25">
      <c r="A4057" s="2" t="str">
        <f>HYPERLINK("https://rth.dk/resources/bsgatlas/details.php?id=BSGatlas-gene-4056","BSGatlas-gene-4056")</f>
        <v>BSGatlas-gene-4056</v>
      </c>
      <c r="B4057" s="1" t="s">
        <v>3698</v>
      </c>
      <c r="C4057" s="1" t="s">
        <v>8</v>
      </c>
      <c r="D4057" s="1">
        <v>3567422</v>
      </c>
      <c r="E4057" s="1">
        <v>3568135</v>
      </c>
      <c r="F4057" s="1" t="s">
        <v>13</v>
      </c>
      <c r="G4057" s="1" t="s">
        <v>11409</v>
      </c>
    </row>
    <row r="4058" spans="1:7" ht="21" x14ac:dyDescent="0.25">
      <c r="A4058" s="2" t="str">
        <f>HYPERLINK("https://rth.dk/resources/bsgatlas/details.php?id=BSGatlas-gene-4057","BSGatlas-gene-4057")</f>
        <v>BSGatlas-gene-4057</v>
      </c>
      <c r="B4058" s="1" t="s">
        <v>3699</v>
      </c>
      <c r="C4058" s="1" t="s">
        <v>8</v>
      </c>
      <c r="D4058" s="1">
        <v>3568282</v>
      </c>
      <c r="E4058" s="1">
        <v>3568491</v>
      </c>
      <c r="F4058" s="1" t="s">
        <v>9</v>
      </c>
      <c r="G4058" s="1" t="s">
        <v>11409</v>
      </c>
    </row>
    <row r="4059" spans="1:7" ht="21" x14ac:dyDescent="0.25">
      <c r="A4059" s="2" t="str">
        <f>HYPERLINK("https://rth.dk/resources/bsgatlas/details.php?id=BSGatlas-gene-4058","BSGatlas-gene-4058")</f>
        <v>BSGatlas-gene-4058</v>
      </c>
      <c r="B4059" s="1" t="s">
        <v>3700</v>
      </c>
      <c r="C4059" s="1" t="s">
        <v>8</v>
      </c>
      <c r="D4059" s="1">
        <v>3568527</v>
      </c>
      <c r="E4059" s="1">
        <v>3569291</v>
      </c>
      <c r="F4059" s="1" t="s">
        <v>13</v>
      </c>
      <c r="G4059" s="1" t="s">
        <v>11409</v>
      </c>
    </row>
    <row r="4060" spans="1:7" ht="21" x14ac:dyDescent="0.25">
      <c r="A4060" s="2" t="str">
        <f>HYPERLINK("https://rth.dk/resources/bsgatlas/details.php?id=BSGatlas-gene-4059","BSGatlas-gene-4059")</f>
        <v>BSGatlas-gene-4059</v>
      </c>
      <c r="B4060" s="1" t="s">
        <v>3701</v>
      </c>
      <c r="C4060" s="1" t="s">
        <v>8</v>
      </c>
      <c r="D4060" s="1">
        <v>3569292</v>
      </c>
      <c r="E4060" s="1">
        <v>3569549</v>
      </c>
      <c r="F4060" s="1" t="s">
        <v>13</v>
      </c>
      <c r="G4060" s="1" t="s">
        <v>11409</v>
      </c>
    </row>
    <row r="4061" spans="1:7" ht="21" x14ac:dyDescent="0.25">
      <c r="A4061" s="2" t="str">
        <f>HYPERLINK("https://rth.dk/resources/bsgatlas/details.php?id=BSGatlas-gene-4060","BSGatlas-gene-4060")</f>
        <v>BSGatlas-gene-4060</v>
      </c>
      <c r="B4061" s="1" t="s">
        <v>3702</v>
      </c>
      <c r="C4061" s="1" t="s">
        <v>8</v>
      </c>
      <c r="D4061" s="1">
        <v>3569573</v>
      </c>
      <c r="E4061" s="1">
        <v>3570523</v>
      </c>
      <c r="F4061" s="1" t="s">
        <v>13</v>
      </c>
      <c r="G4061" s="1" t="s">
        <v>11409</v>
      </c>
    </row>
    <row r="4062" spans="1:7" ht="21" x14ac:dyDescent="0.25">
      <c r="A4062" s="2" t="str">
        <f>HYPERLINK("https://rth.dk/resources/bsgatlas/details.php?id=BSGatlas-gene-4061","BSGatlas-gene-4061")</f>
        <v>BSGatlas-gene-4061</v>
      </c>
      <c r="B4062" s="1" t="s">
        <v>3703</v>
      </c>
      <c r="C4062" s="1" t="s">
        <v>8</v>
      </c>
      <c r="D4062" s="1">
        <v>3570546</v>
      </c>
      <c r="E4062" s="1">
        <v>3571499</v>
      </c>
      <c r="F4062" s="1" t="s">
        <v>13</v>
      </c>
      <c r="G4062" s="1" t="s">
        <v>11409</v>
      </c>
    </row>
    <row r="4063" spans="1:7" ht="21" x14ac:dyDescent="0.25">
      <c r="A4063" s="2" t="str">
        <f>HYPERLINK("https://rth.dk/resources/bsgatlas/details.php?id=BSGatlas-gene-4062","BSGatlas-gene-4062")</f>
        <v>BSGatlas-gene-4062</v>
      </c>
      <c r="B4063" s="1" t="s">
        <v>3704</v>
      </c>
      <c r="C4063" s="1" t="s">
        <v>8</v>
      </c>
      <c r="D4063" s="1">
        <v>3571501</v>
      </c>
      <c r="E4063" s="1">
        <v>3572388</v>
      </c>
      <c r="F4063" s="1" t="s">
        <v>13</v>
      </c>
      <c r="G4063" s="1" t="s">
        <v>11409</v>
      </c>
    </row>
    <row r="4064" spans="1:7" ht="21" x14ac:dyDescent="0.25">
      <c r="A4064" s="2" t="str">
        <f>HYPERLINK("https://rth.dk/resources/bsgatlas/details.php?id=BSGatlas-gene-4063","BSGatlas-gene-4063")</f>
        <v>BSGatlas-gene-4063</v>
      </c>
      <c r="B4064" s="1" t="s">
        <v>3705</v>
      </c>
      <c r="C4064" s="1" t="s">
        <v>8</v>
      </c>
      <c r="D4064" s="1">
        <v>3572413</v>
      </c>
      <c r="E4064" s="1">
        <v>3572889</v>
      </c>
      <c r="F4064" s="1" t="s">
        <v>13</v>
      </c>
      <c r="G4064" s="1" t="s">
        <v>11409</v>
      </c>
    </row>
    <row r="4065" spans="1:7" ht="21" x14ac:dyDescent="0.25">
      <c r="A4065" s="2" t="str">
        <f>HYPERLINK("https://rth.dk/resources/bsgatlas/details.php?id=BSGatlas-gene-4064","BSGatlas-gene-4064")</f>
        <v>BSGatlas-gene-4064</v>
      </c>
      <c r="B4065" s="1" t="s">
        <v>11723</v>
      </c>
      <c r="C4065" s="1" t="s">
        <v>12</v>
      </c>
      <c r="D4065" s="1">
        <v>3573045</v>
      </c>
      <c r="E4065" s="1">
        <v>3573118</v>
      </c>
      <c r="F4065" s="1" t="s">
        <v>13</v>
      </c>
      <c r="G4065" s="1" t="s">
        <v>11442</v>
      </c>
    </row>
    <row r="4066" spans="1:7" ht="21" x14ac:dyDescent="0.25">
      <c r="A4066" s="2" t="str">
        <f>HYPERLINK("https://rth.dk/resources/bsgatlas/details.php?id=BSGatlas-gene-4065","BSGatlas-gene-4065")</f>
        <v>BSGatlas-gene-4065</v>
      </c>
      <c r="B4066" s="1" t="s">
        <v>3706</v>
      </c>
      <c r="C4066" s="1" t="s">
        <v>8</v>
      </c>
      <c r="D4066" s="1">
        <v>3573207</v>
      </c>
      <c r="E4066" s="1">
        <v>3574157</v>
      </c>
      <c r="F4066" s="1" t="s">
        <v>13</v>
      </c>
      <c r="G4066" s="1" t="s">
        <v>11409</v>
      </c>
    </row>
    <row r="4067" spans="1:7" ht="21" x14ac:dyDescent="0.25">
      <c r="A4067" s="2" t="str">
        <f>HYPERLINK("https://rth.dk/resources/bsgatlas/details.php?id=BSGatlas-gene-4066","BSGatlas-gene-4066")</f>
        <v>BSGatlas-gene-4066</v>
      </c>
      <c r="B4067" s="1" t="s">
        <v>3707</v>
      </c>
      <c r="C4067" s="1" t="s">
        <v>12</v>
      </c>
      <c r="D4067" s="1">
        <v>3574321</v>
      </c>
      <c r="E4067" s="1">
        <v>3577707</v>
      </c>
      <c r="F4067" s="1" t="s">
        <v>9</v>
      </c>
      <c r="G4067" s="1" t="s">
        <v>11406</v>
      </c>
    </row>
    <row r="4068" spans="1:7" ht="21" x14ac:dyDescent="0.25">
      <c r="A4068" s="2" t="str">
        <f>HYPERLINK("https://rth.dk/resources/bsgatlas/details.php?id=BSGatlas-gene-4067","BSGatlas-gene-4067")</f>
        <v>BSGatlas-gene-4067</v>
      </c>
      <c r="B4068" s="1" t="s">
        <v>3708</v>
      </c>
      <c r="C4068" s="1" t="s">
        <v>8</v>
      </c>
      <c r="D4068" s="1">
        <v>3574363</v>
      </c>
      <c r="E4068" s="1">
        <v>3575784</v>
      </c>
      <c r="F4068" s="1" t="s">
        <v>13</v>
      </c>
      <c r="G4068" s="1" t="s">
        <v>11409</v>
      </c>
    </row>
    <row r="4069" spans="1:7" ht="21" x14ac:dyDescent="0.25">
      <c r="A4069" s="2" t="str">
        <f>HYPERLINK("https://rth.dk/resources/bsgatlas/details.php?id=BSGatlas-gene-4068","BSGatlas-gene-4068")</f>
        <v>BSGatlas-gene-4068</v>
      </c>
      <c r="B4069" s="1" t="s">
        <v>3709</v>
      </c>
      <c r="C4069" s="1" t="s">
        <v>8</v>
      </c>
      <c r="D4069" s="1">
        <v>3576165</v>
      </c>
      <c r="E4069" s="1">
        <v>3577619</v>
      </c>
      <c r="F4069" s="1" t="s">
        <v>13</v>
      </c>
      <c r="G4069" s="1" t="s">
        <v>11409</v>
      </c>
    </row>
    <row r="4070" spans="1:7" ht="21" x14ac:dyDescent="0.25">
      <c r="A4070" s="2" t="str">
        <f>HYPERLINK("https://rth.dk/resources/bsgatlas/details.php?id=BSGatlas-gene-4069","BSGatlas-gene-4069")</f>
        <v>BSGatlas-gene-4069</v>
      </c>
      <c r="B4070" s="1" t="s">
        <v>3710</v>
      </c>
      <c r="C4070" s="1" t="s">
        <v>8</v>
      </c>
      <c r="D4070" s="1">
        <v>3577745</v>
      </c>
      <c r="E4070" s="1">
        <v>3579514</v>
      </c>
      <c r="F4070" s="1" t="s">
        <v>13</v>
      </c>
      <c r="G4070" s="1" t="s">
        <v>11409</v>
      </c>
    </row>
    <row r="4071" spans="1:7" ht="21" x14ac:dyDescent="0.25">
      <c r="A4071" s="2" t="str">
        <f>HYPERLINK("https://rth.dk/resources/bsgatlas/details.php?id=BSGatlas-gene-4070","BSGatlas-gene-4070")</f>
        <v>BSGatlas-gene-4070</v>
      </c>
      <c r="B4071" s="1" t="s">
        <v>3711</v>
      </c>
      <c r="C4071" s="1" t="s">
        <v>8</v>
      </c>
      <c r="D4071" s="1">
        <v>3579679</v>
      </c>
      <c r="E4071" s="1">
        <v>3580038</v>
      </c>
      <c r="F4071" s="1" t="s">
        <v>13</v>
      </c>
      <c r="G4071" s="1" t="s">
        <v>11409</v>
      </c>
    </row>
    <row r="4072" spans="1:7" ht="21" x14ac:dyDescent="0.25">
      <c r="A4072" s="2" t="str">
        <f>HYPERLINK("https://rth.dk/resources/bsgatlas/details.php?id=BSGatlas-gene-4071","BSGatlas-gene-4071")</f>
        <v>BSGatlas-gene-4071</v>
      </c>
      <c r="B4072" s="1" t="s">
        <v>3712</v>
      </c>
      <c r="C4072" s="1" t="s">
        <v>8</v>
      </c>
      <c r="D4072" s="1">
        <v>3580053</v>
      </c>
      <c r="E4072" s="1">
        <v>3581963</v>
      </c>
      <c r="F4072" s="1" t="s">
        <v>13</v>
      </c>
      <c r="G4072" s="1" t="s">
        <v>11409</v>
      </c>
    </row>
    <row r="4073" spans="1:7" ht="21" x14ac:dyDescent="0.25">
      <c r="A4073" s="2" t="str">
        <f>HYPERLINK("https://rth.dk/resources/bsgatlas/details.php?id=BSGatlas-gene-4072","BSGatlas-gene-4072")</f>
        <v>BSGatlas-gene-4072</v>
      </c>
      <c r="B4073" s="1" t="s">
        <v>3713</v>
      </c>
      <c r="C4073" s="1" t="s">
        <v>8</v>
      </c>
      <c r="D4073" s="1">
        <v>3581965</v>
      </c>
      <c r="E4073" s="1">
        <v>3582690</v>
      </c>
      <c r="F4073" s="1" t="s">
        <v>13</v>
      </c>
      <c r="G4073" s="1" t="s">
        <v>11409</v>
      </c>
    </row>
    <row r="4074" spans="1:7" ht="21" x14ac:dyDescent="0.25">
      <c r="A4074" s="2" t="str">
        <f>HYPERLINK("https://rth.dk/resources/bsgatlas/details.php?id=BSGatlas-gene-4073","BSGatlas-gene-4073")</f>
        <v>BSGatlas-gene-4073</v>
      </c>
      <c r="B4074" s="1" t="s">
        <v>3714</v>
      </c>
      <c r="C4074" s="1" t="s">
        <v>8</v>
      </c>
      <c r="D4074" s="1">
        <v>3582936</v>
      </c>
      <c r="E4074" s="1">
        <v>3583565</v>
      </c>
      <c r="F4074" s="1" t="s">
        <v>13</v>
      </c>
      <c r="G4074" s="1" t="s">
        <v>11409</v>
      </c>
    </row>
    <row r="4075" spans="1:7" ht="21" x14ac:dyDescent="0.25">
      <c r="A4075" s="2" t="str">
        <f>HYPERLINK("https://rth.dk/resources/bsgatlas/details.php?id=BSGatlas-gene-4074","BSGatlas-gene-4074")</f>
        <v>BSGatlas-gene-4074</v>
      </c>
      <c r="B4075" s="1" t="s">
        <v>3715</v>
      </c>
      <c r="C4075" s="1" t="s">
        <v>8</v>
      </c>
      <c r="D4075" s="1">
        <v>3583562</v>
      </c>
      <c r="E4075" s="1">
        <v>3584320</v>
      </c>
      <c r="F4075" s="1" t="s">
        <v>13</v>
      </c>
      <c r="G4075" s="1" t="s">
        <v>11409</v>
      </c>
    </row>
    <row r="4076" spans="1:7" ht="21" x14ac:dyDescent="0.25">
      <c r="A4076" s="2" t="str">
        <f>HYPERLINK("https://rth.dk/resources/bsgatlas/details.php?id=BSGatlas-gene-4075","BSGatlas-gene-4075")</f>
        <v>BSGatlas-gene-4075</v>
      </c>
      <c r="B4076" s="1" t="s">
        <v>3716</v>
      </c>
      <c r="C4076" s="1" t="s">
        <v>8</v>
      </c>
      <c r="D4076" s="1">
        <v>3584317</v>
      </c>
      <c r="E4076" s="1">
        <v>3585054</v>
      </c>
      <c r="F4076" s="1" t="s">
        <v>13</v>
      </c>
      <c r="G4076" s="1" t="s">
        <v>11409</v>
      </c>
    </row>
    <row r="4077" spans="1:7" ht="21" x14ac:dyDescent="0.25">
      <c r="A4077" s="2" t="str">
        <f>HYPERLINK("https://rth.dk/resources/bsgatlas/details.php?id=BSGatlas-gene-4076","BSGatlas-gene-4076")</f>
        <v>BSGatlas-gene-4076</v>
      </c>
      <c r="B4077" s="1" t="s">
        <v>3717</v>
      </c>
      <c r="C4077" s="1" t="s">
        <v>8</v>
      </c>
      <c r="D4077" s="1">
        <v>3585051</v>
      </c>
      <c r="E4077" s="1">
        <v>3585689</v>
      </c>
      <c r="F4077" s="1" t="s">
        <v>13</v>
      </c>
      <c r="G4077" s="1" t="s">
        <v>11409</v>
      </c>
    </row>
    <row r="4078" spans="1:7" ht="21" x14ac:dyDescent="0.25">
      <c r="A4078" s="2" t="str">
        <f>HYPERLINK("https://rth.dk/resources/bsgatlas/details.php?id=BSGatlas-gene-4077","BSGatlas-gene-4077")</f>
        <v>BSGatlas-gene-4077</v>
      </c>
      <c r="B4078" s="1" t="s">
        <v>3718</v>
      </c>
      <c r="C4078" s="1" t="s">
        <v>8</v>
      </c>
      <c r="D4078" s="1">
        <v>3585690</v>
      </c>
      <c r="E4078" s="1">
        <v>3586274</v>
      </c>
      <c r="F4078" s="1" t="s">
        <v>13</v>
      </c>
      <c r="G4078" s="1" t="s">
        <v>11409</v>
      </c>
    </row>
    <row r="4079" spans="1:7" ht="21" x14ac:dyDescent="0.25">
      <c r="A4079" s="2" t="str">
        <f>HYPERLINK("https://rth.dk/resources/bsgatlas/details.php?id=BSGatlas-gene-4078","BSGatlas-gene-4078")</f>
        <v>BSGatlas-gene-4078</v>
      </c>
      <c r="B4079" s="1" t="s">
        <v>3719</v>
      </c>
      <c r="C4079" s="1" t="s">
        <v>8</v>
      </c>
      <c r="D4079" s="1">
        <v>3586271</v>
      </c>
      <c r="E4079" s="1">
        <v>3587554</v>
      </c>
      <c r="F4079" s="1" t="s">
        <v>13</v>
      </c>
      <c r="G4079" s="1" t="s">
        <v>11409</v>
      </c>
    </row>
    <row r="4080" spans="1:7" ht="21" x14ac:dyDescent="0.25">
      <c r="A4080" s="2" t="str">
        <f>HYPERLINK("https://rth.dk/resources/bsgatlas/details.php?id=BSGatlas-gene-4079","BSGatlas-gene-4079")</f>
        <v>BSGatlas-gene-4079</v>
      </c>
      <c r="B4080" s="1" t="s">
        <v>3720</v>
      </c>
      <c r="C4080" s="1" t="s">
        <v>8</v>
      </c>
      <c r="D4080" s="1">
        <v>3587551</v>
      </c>
      <c r="E4080" s="1">
        <v>3588192</v>
      </c>
      <c r="F4080" s="1" t="s">
        <v>13</v>
      </c>
      <c r="G4080" s="1" t="s">
        <v>11409</v>
      </c>
    </row>
    <row r="4081" spans="1:7" ht="21" x14ac:dyDescent="0.25">
      <c r="A4081" s="2" t="str">
        <f>HYPERLINK("https://rth.dk/resources/bsgatlas/details.php?id=BSGatlas-gene-4080","BSGatlas-gene-4080")</f>
        <v>BSGatlas-gene-4080</v>
      </c>
      <c r="B4081" s="1" t="s">
        <v>3721</v>
      </c>
      <c r="C4081" s="1" t="s">
        <v>8</v>
      </c>
      <c r="D4081" s="1">
        <v>3588185</v>
      </c>
      <c r="E4081" s="1">
        <v>3589360</v>
      </c>
      <c r="F4081" s="1" t="s">
        <v>13</v>
      </c>
      <c r="G4081" s="1" t="s">
        <v>11409</v>
      </c>
    </row>
    <row r="4082" spans="1:7" ht="21" x14ac:dyDescent="0.25">
      <c r="A4082" s="2" t="str">
        <f>HYPERLINK("https://rth.dk/resources/bsgatlas/details.php?id=BSGatlas-gene-4081","BSGatlas-gene-4081")</f>
        <v>BSGatlas-gene-4081</v>
      </c>
      <c r="B4082" s="1" t="s">
        <v>3722</v>
      </c>
      <c r="C4082" s="1" t="s">
        <v>8</v>
      </c>
      <c r="D4082" s="1">
        <v>3589611</v>
      </c>
      <c r="E4082" s="1">
        <v>3590363</v>
      </c>
      <c r="F4082" s="1" t="s">
        <v>9</v>
      </c>
      <c r="G4082" s="1" t="s">
        <v>11409</v>
      </c>
    </row>
    <row r="4083" spans="1:7" ht="21" x14ac:dyDescent="0.25">
      <c r="A4083" s="2" t="str">
        <f>HYPERLINK("https://rth.dk/resources/bsgatlas/details.php?id=BSGatlas-gene-4082","BSGatlas-gene-4082")</f>
        <v>BSGatlas-gene-4082</v>
      </c>
      <c r="B4083" s="1" t="s">
        <v>3723</v>
      </c>
      <c r="C4083" s="1" t="s">
        <v>8</v>
      </c>
      <c r="D4083" s="1">
        <v>3590603</v>
      </c>
      <c r="E4083" s="1">
        <v>3591268</v>
      </c>
      <c r="F4083" s="1" t="s">
        <v>9</v>
      </c>
      <c r="G4083" s="1" t="s">
        <v>11409</v>
      </c>
    </row>
    <row r="4084" spans="1:7" ht="21" x14ac:dyDescent="0.25">
      <c r="A4084" s="2" t="str">
        <f>HYPERLINK("https://rth.dk/resources/bsgatlas/details.php?id=BSGatlas-gene-4083","BSGatlas-gene-4083")</f>
        <v>BSGatlas-gene-4083</v>
      </c>
      <c r="B4084" s="1" t="s">
        <v>3724</v>
      </c>
      <c r="C4084" s="1" t="s">
        <v>8</v>
      </c>
      <c r="D4084" s="1">
        <v>3591288</v>
      </c>
      <c r="E4084" s="1">
        <v>3591806</v>
      </c>
      <c r="F4084" s="1" t="s">
        <v>13</v>
      </c>
      <c r="G4084" s="1" t="s">
        <v>11409</v>
      </c>
    </row>
    <row r="4085" spans="1:7" ht="21" x14ac:dyDescent="0.25">
      <c r="A4085" s="2" t="str">
        <f>HYPERLINK("https://rth.dk/resources/bsgatlas/details.php?id=BSGatlas-gene-4084","BSGatlas-gene-4084")</f>
        <v>BSGatlas-gene-4084</v>
      </c>
      <c r="B4085" s="1" t="s">
        <v>3725</v>
      </c>
      <c r="C4085" s="1" t="s">
        <v>8</v>
      </c>
      <c r="D4085" s="1">
        <v>3591810</v>
      </c>
      <c r="E4085" s="1">
        <v>3592460</v>
      </c>
      <c r="F4085" s="1" t="s">
        <v>13</v>
      </c>
      <c r="G4085" s="1" t="s">
        <v>11409</v>
      </c>
    </row>
    <row r="4086" spans="1:7" ht="21" x14ac:dyDescent="0.25">
      <c r="A4086" s="2" t="str">
        <f>HYPERLINK("https://rth.dk/resources/bsgatlas/details.php?id=BSGatlas-gene-4085","BSGatlas-gene-4085")</f>
        <v>BSGatlas-gene-4085</v>
      </c>
      <c r="B4086" s="1" t="s">
        <v>3726</v>
      </c>
      <c r="C4086" s="1" t="s">
        <v>8</v>
      </c>
      <c r="D4086" s="1">
        <v>3592457</v>
      </c>
      <c r="E4086" s="1">
        <v>3593395</v>
      </c>
      <c r="F4086" s="1" t="s">
        <v>13</v>
      </c>
      <c r="G4086" s="1" t="s">
        <v>11409</v>
      </c>
    </row>
    <row r="4087" spans="1:7" ht="21" x14ac:dyDescent="0.25">
      <c r="A4087" s="2" t="str">
        <f>HYPERLINK("https://rth.dk/resources/bsgatlas/details.php?id=BSGatlas-gene-4086","BSGatlas-gene-4086")</f>
        <v>BSGatlas-gene-4086</v>
      </c>
      <c r="B4087" s="1" t="s">
        <v>3727</v>
      </c>
      <c r="C4087" s="1" t="s">
        <v>8</v>
      </c>
      <c r="D4087" s="1">
        <v>3593419</v>
      </c>
      <c r="E4087" s="1">
        <v>3594228</v>
      </c>
      <c r="F4087" s="1" t="s">
        <v>13</v>
      </c>
      <c r="G4087" s="1" t="s">
        <v>11409</v>
      </c>
    </row>
    <row r="4088" spans="1:7" ht="21" x14ac:dyDescent="0.25">
      <c r="A4088" s="2" t="str">
        <f>HYPERLINK("https://rth.dk/resources/bsgatlas/details.php?id=BSGatlas-gene-4087","BSGatlas-gene-4087")</f>
        <v>BSGatlas-gene-4087</v>
      </c>
      <c r="B4088" s="1" t="s">
        <v>3728</v>
      </c>
      <c r="C4088" s="1" t="s">
        <v>8</v>
      </c>
      <c r="D4088" s="1">
        <v>3594242</v>
      </c>
      <c r="E4088" s="1">
        <v>3595174</v>
      </c>
      <c r="F4088" s="1" t="s">
        <v>13</v>
      </c>
      <c r="G4088" s="1" t="s">
        <v>11409</v>
      </c>
    </row>
    <row r="4089" spans="1:7" ht="21" x14ac:dyDescent="0.25">
      <c r="A4089" s="2" t="str">
        <f>HYPERLINK("https://rth.dk/resources/bsgatlas/details.php?id=BSGatlas-gene-4088","BSGatlas-gene-4088")</f>
        <v>BSGatlas-gene-4088</v>
      </c>
      <c r="B4089" s="1" t="s">
        <v>3729</v>
      </c>
      <c r="C4089" s="1" t="s">
        <v>8</v>
      </c>
      <c r="D4089" s="1">
        <v>3595356</v>
      </c>
      <c r="E4089" s="1">
        <v>3596546</v>
      </c>
      <c r="F4089" s="1" t="s">
        <v>9</v>
      </c>
      <c r="G4089" s="1" t="s">
        <v>11409</v>
      </c>
    </row>
    <row r="4090" spans="1:7" ht="21" x14ac:dyDescent="0.25">
      <c r="A4090" s="2" t="str">
        <f>HYPERLINK("https://rth.dk/resources/bsgatlas/details.php?id=BSGatlas-gene-4089","BSGatlas-gene-4089")</f>
        <v>BSGatlas-gene-4089</v>
      </c>
      <c r="B4090" s="1" t="s">
        <v>3730</v>
      </c>
      <c r="C4090" s="1" t="s">
        <v>8</v>
      </c>
      <c r="D4090" s="1">
        <v>3596543</v>
      </c>
      <c r="E4090" s="1">
        <v>3597271</v>
      </c>
      <c r="F4090" s="1" t="s">
        <v>9</v>
      </c>
      <c r="G4090" s="1" t="s">
        <v>11409</v>
      </c>
    </row>
    <row r="4091" spans="1:7" ht="21" x14ac:dyDescent="0.25">
      <c r="A4091" s="2" t="str">
        <f>HYPERLINK("https://rth.dk/resources/bsgatlas/details.php?id=BSGatlas-gene-4090","BSGatlas-gene-4090")</f>
        <v>BSGatlas-gene-4090</v>
      </c>
      <c r="B4091" s="1" t="s">
        <v>3731</v>
      </c>
      <c r="C4091" s="1" t="s">
        <v>8</v>
      </c>
      <c r="D4091" s="1">
        <v>3597289</v>
      </c>
      <c r="E4091" s="1">
        <v>3598020</v>
      </c>
      <c r="F4091" s="1" t="s">
        <v>9</v>
      </c>
      <c r="G4091" s="1" t="s">
        <v>11409</v>
      </c>
    </row>
    <row r="4092" spans="1:7" ht="21" x14ac:dyDescent="0.25">
      <c r="A4092" s="2" t="str">
        <f>HYPERLINK("https://rth.dk/resources/bsgatlas/details.php?id=BSGatlas-gene-4091","BSGatlas-gene-4091")</f>
        <v>BSGatlas-gene-4091</v>
      </c>
      <c r="B4092" s="1" t="s">
        <v>3732</v>
      </c>
      <c r="C4092" s="1" t="s">
        <v>8</v>
      </c>
      <c r="D4092" s="1">
        <v>3598040</v>
      </c>
      <c r="E4092" s="1">
        <v>3601909</v>
      </c>
      <c r="F4092" s="1" t="s">
        <v>13</v>
      </c>
      <c r="G4092" s="1" t="s">
        <v>11409</v>
      </c>
    </row>
    <row r="4093" spans="1:7" ht="21" x14ac:dyDescent="0.25">
      <c r="A4093" s="2" t="str">
        <f>HYPERLINK("https://rth.dk/resources/bsgatlas/details.php?id=BSGatlas-gene-4092","BSGatlas-gene-4092")</f>
        <v>BSGatlas-gene-4092</v>
      </c>
      <c r="B4093" s="1" t="s">
        <v>3733</v>
      </c>
      <c r="C4093" s="1" t="s">
        <v>8</v>
      </c>
      <c r="D4093" s="1">
        <v>3602074</v>
      </c>
      <c r="E4093" s="1">
        <v>3602547</v>
      </c>
      <c r="F4093" s="1" t="s">
        <v>9</v>
      </c>
      <c r="G4093" s="1" t="s">
        <v>11409</v>
      </c>
    </row>
    <row r="4094" spans="1:7" ht="21" x14ac:dyDescent="0.25">
      <c r="A4094" s="2" t="str">
        <f>HYPERLINK("https://rth.dk/resources/bsgatlas/details.php?id=BSGatlas-gene-4093","BSGatlas-gene-4093")</f>
        <v>BSGatlas-gene-4093</v>
      </c>
      <c r="B4094" s="1" t="s">
        <v>3734</v>
      </c>
      <c r="C4094" s="1" t="s">
        <v>8</v>
      </c>
      <c r="D4094" s="1">
        <v>3602588</v>
      </c>
      <c r="E4094" s="1">
        <v>3603805</v>
      </c>
      <c r="F4094" s="1" t="s">
        <v>13</v>
      </c>
      <c r="G4094" s="1" t="s">
        <v>11409</v>
      </c>
    </row>
    <row r="4095" spans="1:7" ht="21" x14ac:dyDescent="0.25">
      <c r="A4095" s="2" t="str">
        <f>HYPERLINK("https://rth.dk/resources/bsgatlas/details.php?id=BSGatlas-gene-4094","BSGatlas-gene-4094")</f>
        <v>BSGatlas-gene-4094</v>
      </c>
      <c r="B4095" s="1" t="s">
        <v>3736</v>
      </c>
      <c r="C4095" s="1" t="s">
        <v>12</v>
      </c>
      <c r="D4095" s="1">
        <v>3602657</v>
      </c>
      <c r="E4095" s="1">
        <v>3602942</v>
      </c>
      <c r="F4095" s="1" t="s">
        <v>9</v>
      </c>
      <c r="G4095" s="1" t="s">
        <v>11406</v>
      </c>
    </row>
    <row r="4096" spans="1:7" ht="21" x14ac:dyDescent="0.25">
      <c r="A4096" s="2" t="str">
        <f>HYPERLINK("https://rth.dk/resources/bsgatlas/details.php?id=BSGatlas-gene-4095","BSGatlas-gene-4095")</f>
        <v>BSGatlas-gene-4095</v>
      </c>
      <c r="B4096" s="1" t="s">
        <v>3735</v>
      </c>
      <c r="C4096" s="1" t="s">
        <v>8</v>
      </c>
      <c r="D4096" s="1">
        <v>3603821</v>
      </c>
      <c r="E4096" s="1">
        <v>3604567</v>
      </c>
      <c r="F4096" s="1" t="s">
        <v>13</v>
      </c>
      <c r="G4096" s="1" t="s">
        <v>11409</v>
      </c>
    </row>
    <row r="4097" spans="1:7" ht="21" x14ac:dyDescent="0.25">
      <c r="A4097" s="2" t="str">
        <f>HYPERLINK("https://rth.dk/resources/bsgatlas/details.php?id=BSGatlas-gene-4096","BSGatlas-gene-4096")</f>
        <v>BSGatlas-gene-4096</v>
      </c>
      <c r="B4097" s="1" t="s">
        <v>3737</v>
      </c>
      <c r="C4097" s="1" t="s">
        <v>8</v>
      </c>
      <c r="D4097" s="1">
        <v>3604993</v>
      </c>
      <c r="E4097" s="1">
        <v>3605502</v>
      </c>
      <c r="F4097" s="1" t="s">
        <v>9</v>
      </c>
      <c r="G4097" s="1" t="s">
        <v>11409</v>
      </c>
    </row>
    <row r="4098" spans="1:7" ht="21" x14ac:dyDescent="0.25">
      <c r="A4098" s="2" t="str">
        <f>HYPERLINK("https://rth.dk/resources/bsgatlas/details.php?id=BSGatlas-gene-4097","BSGatlas-gene-4097")</f>
        <v>BSGatlas-gene-4097</v>
      </c>
      <c r="B4098" s="1" t="s">
        <v>3738</v>
      </c>
      <c r="C4098" s="1" t="s">
        <v>8</v>
      </c>
      <c r="D4098" s="1">
        <v>3605523</v>
      </c>
      <c r="E4098" s="1">
        <v>3606734</v>
      </c>
      <c r="F4098" s="1" t="s">
        <v>9</v>
      </c>
      <c r="G4098" s="1" t="s">
        <v>11409</v>
      </c>
    </row>
    <row r="4099" spans="1:7" ht="21" x14ac:dyDescent="0.25">
      <c r="A4099" s="2" t="str">
        <f>HYPERLINK("https://rth.dk/resources/bsgatlas/details.php?id=BSGatlas-gene-4098","BSGatlas-gene-4098")</f>
        <v>BSGatlas-gene-4098</v>
      </c>
      <c r="B4099" s="1" t="s">
        <v>3739</v>
      </c>
      <c r="C4099" s="1" t="s">
        <v>8</v>
      </c>
      <c r="D4099" s="1">
        <v>3606762</v>
      </c>
      <c r="E4099" s="1">
        <v>3607121</v>
      </c>
      <c r="F4099" s="1" t="s">
        <v>13</v>
      </c>
      <c r="G4099" s="1" t="s">
        <v>11409</v>
      </c>
    </row>
    <row r="4100" spans="1:7" ht="21" x14ac:dyDescent="0.25">
      <c r="A4100" s="2" t="str">
        <f>HYPERLINK("https://rth.dk/resources/bsgatlas/details.php?id=BSGatlas-gene-4099","BSGatlas-gene-4099")</f>
        <v>BSGatlas-gene-4099</v>
      </c>
      <c r="B4100" s="1" t="s">
        <v>3740</v>
      </c>
      <c r="C4100" s="1" t="s">
        <v>8</v>
      </c>
      <c r="D4100" s="1">
        <v>3607123</v>
      </c>
      <c r="E4100" s="1">
        <v>3607320</v>
      </c>
      <c r="F4100" s="1" t="s">
        <v>13</v>
      </c>
      <c r="G4100" s="1" t="s">
        <v>11409</v>
      </c>
    </row>
    <row r="4101" spans="1:7" ht="21" x14ac:dyDescent="0.25">
      <c r="A4101" s="2" t="str">
        <f>HYPERLINK("https://rth.dk/resources/bsgatlas/details.php?id=BSGatlas-gene-4100","BSGatlas-gene-4100")</f>
        <v>BSGatlas-gene-4100</v>
      </c>
      <c r="B4101" s="1" t="s">
        <v>3741</v>
      </c>
      <c r="C4101" s="1" t="s">
        <v>8</v>
      </c>
      <c r="D4101" s="1">
        <v>3607325</v>
      </c>
      <c r="E4101" s="1">
        <v>3608422</v>
      </c>
      <c r="F4101" s="1" t="s">
        <v>13</v>
      </c>
      <c r="G4101" s="1" t="s">
        <v>11409</v>
      </c>
    </row>
    <row r="4102" spans="1:7" ht="21" x14ac:dyDescent="0.25">
      <c r="A4102" s="2" t="str">
        <f>HYPERLINK("https://rth.dk/resources/bsgatlas/details.php?id=BSGatlas-gene-4101","BSGatlas-gene-4101")</f>
        <v>BSGatlas-gene-4101</v>
      </c>
      <c r="B4102" s="1" t="s">
        <v>3742</v>
      </c>
      <c r="C4102" s="1" t="s">
        <v>8</v>
      </c>
      <c r="D4102" s="1">
        <v>3608447</v>
      </c>
      <c r="E4102" s="1">
        <v>3608773</v>
      </c>
      <c r="F4102" s="1" t="s">
        <v>13</v>
      </c>
      <c r="G4102" s="1" t="s">
        <v>11409</v>
      </c>
    </row>
    <row r="4103" spans="1:7" ht="21" x14ac:dyDescent="0.25">
      <c r="A4103" s="2" t="str">
        <f>HYPERLINK("https://rth.dk/resources/bsgatlas/details.php?id=BSGatlas-gene-4102","BSGatlas-gene-4102")</f>
        <v>BSGatlas-gene-4102</v>
      </c>
      <c r="B4103" s="1" t="s">
        <v>3743</v>
      </c>
      <c r="C4103" s="1" t="s">
        <v>8</v>
      </c>
      <c r="D4103" s="1">
        <v>3608991</v>
      </c>
      <c r="E4103" s="1">
        <v>3609221</v>
      </c>
      <c r="F4103" s="1" t="s">
        <v>9</v>
      </c>
      <c r="G4103" s="1" t="s">
        <v>11409</v>
      </c>
    </row>
    <row r="4104" spans="1:7" ht="21" x14ac:dyDescent="0.25">
      <c r="A4104" s="2" t="str">
        <f>HYPERLINK("https://rth.dk/resources/bsgatlas/details.php?id=BSGatlas-gene-4103","BSGatlas-gene-4103")</f>
        <v>BSGatlas-gene-4103</v>
      </c>
      <c r="B4104" s="1" t="s">
        <v>3744</v>
      </c>
      <c r="C4104" s="1" t="s">
        <v>276</v>
      </c>
      <c r="D4104" s="1">
        <v>3609420</v>
      </c>
      <c r="E4104" s="1">
        <v>3609902</v>
      </c>
      <c r="F4104" s="1" t="s">
        <v>13</v>
      </c>
      <c r="G4104" s="1" t="s">
        <v>11409</v>
      </c>
    </row>
    <row r="4105" spans="1:7" ht="21" x14ac:dyDescent="0.25">
      <c r="A4105" s="2" t="str">
        <f>HYPERLINK("https://rth.dk/resources/bsgatlas/details.php?id=BSGatlas-gene-4104","BSGatlas-gene-4104")</f>
        <v>BSGatlas-gene-4104</v>
      </c>
      <c r="B4105" s="1" t="s">
        <v>3745</v>
      </c>
      <c r="C4105" s="1" t="s">
        <v>8</v>
      </c>
      <c r="D4105" s="1">
        <v>3610064</v>
      </c>
      <c r="E4105" s="1">
        <v>3612937</v>
      </c>
      <c r="F4105" s="1" t="s">
        <v>13</v>
      </c>
      <c r="G4105" s="1" t="s">
        <v>11409</v>
      </c>
    </row>
    <row r="4106" spans="1:7" ht="21" x14ac:dyDescent="0.25">
      <c r="A4106" s="2" t="str">
        <f>HYPERLINK("https://rth.dk/resources/bsgatlas/details.php?id=BSGatlas-gene-4105","BSGatlas-gene-4105")</f>
        <v>BSGatlas-gene-4105</v>
      </c>
      <c r="B4106" s="1" t="s">
        <v>3746</v>
      </c>
      <c r="C4106" s="1" t="s">
        <v>8</v>
      </c>
      <c r="D4106" s="1">
        <v>3612945</v>
      </c>
      <c r="E4106" s="1">
        <v>3614930</v>
      </c>
      <c r="F4106" s="1" t="s">
        <v>13</v>
      </c>
      <c r="G4106" s="1" t="s">
        <v>11409</v>
      </c>
    </row>
    <row r="4107" spans="1:7" ht="21" x14ac:dyDescent="0.25">
      <c r="A4107" s="2" t="str">
        <f>HYPERLINK("https://rth.dk/resources/bsgatlas/details.php?id=BSGatlas-gene-4106","BSGatlas-gene-4106")</f>
        <v>BSGatlas-gene-4106</v>
      </c>
      <c r="B4107" s="1" t="s">
        <v>3747</v>
      </c>
      <c r="C4107" s="1" t="s">
        <v>8</v>
      </c>
      <c r="D4107" s="1">
        <v>3615116</v>
      </c>
      <c r="E4107" s="1">
        <v>3615346</v>
      </c>
      <c r="F4107" s="1" t="s">
        <v>13</v>
      </c>
      <c r="G4107" s="1" t="s">
        <v>11409</v>
      </c>
    </row>
    <row r="4108" spans="1:7" ht="21" x14ac:dyDescent="0.25">
      <c r="A4108" s="2" t="str">
        <f>HYPERLINK("https://rth.dk/resources/bsgatlas/details.php?id=BSGatlas-gene-4107","BSGatlas-gene-4107")</f>
        <v>BSGatlas-gene-4107</v>
      </c>
      <c r="B4108" s="1" t="s">
        <v>3748</v>
      </c>
      <c r="C4108" s="1" t="s">
        <v>8</v>
      </c>
      <c r="D4108" s="1">
        <v>3615793</v>
      </c>
      <c r="E4108" s="1">
        <v>3618288</v>
      </c>
      <c r="F4108" s="1" t="s">
        <v>9</v>
      </c>
      <c r="G4108" s="1" t="s">
        <v>11409</v>
      </c>
    </row>
    <row r="4109" spans="1:7" ht="21" x14ac:dyDescent="0.25">
      <c r="A4109" s="2" t="str">
        <f>HYPERLINK("https://rth.dk/resources/bsgatlas/details.php?id=BSGatlas-gene-4108","BSGatlas-gene-4108")</f>
        <v>BSGatlas-gene-4108</v>
      </c>
      <c r="B4109" s="1" t="s">
        <v>3749</v>
      </c>
      <c r="C4109" s="1" t="s">
        <v>8</v>
      </c>
      <c r="D4109" s="1">
        <v>3618364</v>
      </c>
      <c r="E4109" s="1">
        <v>3618933</v>
      </c>
      <c r="F4109" s="1" t="s">
        <v>9</v>
      </c>
      <c r="G4109" s="1" t="s">
        <v>11409</v>
      </c>
    </row>
    <row r="4110" spans="1:7" ht="21" x14ac:dyDescent="0.25">
      <c r="A4110" s="2" t="str">
        <f>HYPERLINK("https://rth.dk/resources/bsgatlas/details.php?id=BSGatlas-gene-4109","BSGatlas-gene-4109")</f>
        <v>BSGatlas-gene-4109</v>
      </c>
      <c r="B4110" s="1" t="s">
        <v>3750</v>
      </c>
      <c r="C4110" s="1" t="s">
        <v>8</v>
      </c>
      <c r="D4110" s="1">
        <v>3618964</v>
      </c>
      <c r="E4110" s="1">
        <v>3620298</v>
      </c>
      <c r="F4110" s="1" t="s">
        <v>9</v>
      </c>
      <c r="G4110" s="1" t="s">
        <v>11409</v>
      </c>
    </row>
    <row r="4111" spans="1:7" ht="21" x14ac:dyDescent="0.25">
      <c r="A4111" s="2" t="str">
        <f>HYPERLINK("https://rth.dk/resources/bsgatlas/details.php?id=BSGatlas-gene-4110","BSGatlas-gene-4110")</f>
        <v>BSGatlas-gene-4110</v>
      </c>
      <c r="B4111" s="1" t="s">
        <v>3751</v>
      </c>
      <c r="C4111" s="1" t="s">
        <v>8</v>
      </c>
      <c r="D4111" s="1">
        <v>3620346</v>
      </c>
      <c r="E4111" s="1">
        <v>3621539</v>
      </c>
      <c r="F4111" s="1" t="s">
        <v>13</v>
      </c>
      <c r="G4111" s="1" t="s">
        <v>11409</v>
      </c>
    </row>
    <row r="4112" spans="1:7" ht="21" x14ac:dyDescent="0.25">
      <c r="A4112" s="2" t="str">
        <f>HYPERLINK("https://rth.dk/resources/bsgatlas/details.php?id=BSGatlas-gene-4111","BSGatlas-gene-4111")</f>
        <v>BSGatlas-gene-4111</v>
      </c>
      <c r="B4112" s="1" t="s">
        <v>3752</v>
      </c>
      <c r="C4112" s="1" t="s">
        <v>276</v>
      </c>
      <c r="D4112" s="1">
        <v>3621618</v>
      </c>
      <c r="E4112" s="1">
        <v>3621956</v>
      </c>
      <c r="F4112" s="1" t="s">
        <v>13</v>
      </c>
      <c r="G4112" s="1" t="s">
        <v>11441</v>
      </c>
    </row>
    <row r="4113" spans="1:7" ht="21" x14ac:dyDescent="0.25">
      <c r="A4113" s="2" t="str">
        <f>HYPERLINK("https://rth.dk/resources/bsgatlas/details.php?id=BSGatlas-gene-4112","BSGatlas-gene-4112")</f>
        <v>BSGatlas-gene-4112</v>
      </c>
      <c r="B4113" s="1" t="s">
        <v>3753</v>
      </c>
      <c r="C4113" s="1" t="s">
        <v>276</v>
      </c>
      <c r="D4113" s="1">
        <v>3621931</v>
      </c>
      <c r="E4113" s="1">
        <v>3622047</v>
      </c>
      <c r="F4113" s="1" t="s">
        <v>13</v>
      </c>
      <c r="G4113" s="1" t="s">
        <v>11441</v>
      </c>
    </row>
    <row r="4114" spans="1:7" ht="21" x14ac:dyDescent="0.25">
      <c r="A4114" s="2" t="str">
        <f>HYPERLINK("https://rth.dk/resources/bsgatlas/details.php?id=BSGatlas-gene-4113","BSGatlas-gene-4113")</f>
        <v>BSGatlas-gene-4113</v>
      </c>
      <c r="B4114" s="1" t="s">
        <v>3754</v>
      </c>
      <c r="C4114" s="1" t="s">
        <v>8</v>
      </c>
      <c r="D4114" s="1">
        <v>3622356</v>
      </c>
      <c r="E4114" s="1">
        <v>3623798</v>
      </c>
      <c r="F4114" s="1" t="s">
        <v>13</v>
      </c>
      <c r="G4114" s="1" t="s">
        <v>11409</v>
      </c>
    </row>
    <row r="4115" spans="1:7" ht="21" x14ac:dyDescent="0.25">
      <c r="A4115" s="2" t="str">
        <f>HYPERLINK("https://rth.dk/resources/bsgatlas/details.php?id=BSGatlas-gene-4114","BSGatlas-gene-4114")</f>
        <v>BSGatlas-gene-4114</v>
      </c>
      <c r="B4115" s="1" t="s">
        <v>3755</v>
      </c>
      <c r="C4115" s="1" t="s">
        <v>8</v>
      </c>
      <c r="D4115" s="1">
        <v>3623938</v>
      </c>
      <c r="E4115" s="1">
        <v>3624828</v>
      </c>
      <c r="F4115" s="1" t="s">
        <v>13</v>
      </c>
      <c r="G4115" s="1" t="s">
        <v>11409</v>
      </c>
    </row>
    <row r="4116" spans="1:7" ht="21" x14ac:dyDescent="0.25">
      <c r="A4116" s="2" t="str">
        <f>HYPERLINK("https://rth.dk/resources/bsgatlas/details.php?id=BSGatlas-gene-4115","BSGatlas-gene-4115")</f>
        <v>BSGatlas-gene-4115</v>
      </c>
      <c r="B4116" s="1" t="s">
        <v>3756</v>
      </c>
      <c r="C4116" s="1" t="s">
        <v>8</v>
      </c>
      <c r="D4116" s="1">
        <v>3624821</v>
      </c>
      <c r="E4116" s="1">
        <v>3625507</v>
      </c>
      <c r="F4116" s="1" t="s">
        <v>13</v>
      </c>
      <c r="G4116" s="1" t="s">
        <v>11409</v>
      </c>
    </row>
    <row r="4117" spans="1:7" ht="21" x14ac:dyDescent="0.25">
      <c r="A4117" s="2" t="str">
        <f>HYPERLINK("https://rth.dk/resources/bsgatlas/details.php?id=BSGatlas-gene-4116","BSGatlas-gene-4116")</f>
        <v>BSGatlas-gene-4116</v>
      </c>
      <c r="B4117" s="1" t="s">
        <v>3757</v>
      </c>
      <c r="C4117" s="1" t="s">
        <v>12</v>
      </c>
      <c r="D4117" s="1">
        <v>3625573</v>
      </c>
      <c r="E4117" s="1">
        <v>3625632</v>
      </c>
      <c r="F4117" s="1" t="s">
        <v>13</v>
      </c>
      <c r="G4117" s="1" t="s">
        <v>11442</v>
      </c>
    </row>
    <row r="4118" spans="1:7" ht="21" x14ac:dyDescent="0.25">
      <c r="A4118" s="2" t="str">
        <f>HYPERLINK("https://rth.dk/resources/bsgatlas/details.php?id=BSGatlas-gene-4117","BSGatlas-gene-4117")</f>
        <v>BSGatlas-gene-4117</v>
      </c>
      <c r="B4118" s="1" t="s">
        <v>3758</v>
      </c>
      <c r="C4118" s="1" t="s">
        <v>8</v>
      </c>
      <c r="D4118" s="1">
        <v>3625741</v>
      </c>
      <c r="E4118" s="1">
        <v>3626079</v>
      </c>
      <c r="F4118" s="1" t="s">
        <v>13</v>
      </c>
      <c r="G4118" s="1" t="s">
        <v>11409</v>
      </c>
    </row>
    <row r="4119" spans="1:7" ht="21" x14ac:dyDescent="0.25">
      <c r="A4119" s="2" t="str">
        <f>HYPERLINK("https://rth.dk/resources/bsgatlas/details.php?id=BSGatlas-gene-4118","BSGatlas-gene-4118")</f>
        <v>BSGatlas-gene-4118</v>
      </c>
      <c r="B4119" s="1" t="s">
        <v>3759</v>
      </c>
      <c r="C4119" s="1" t="s">
        <v>8</v>
      </c>
      <c r="D4119" s="1">
        <v>3626128</v>
      </c>
      <c r="E4119" s="1">
        <v>3627012</v>
      </c>
      <c r="F4119" s="1" t="s">
        <v>13</v>
      </c>
      <c r="G4119" s="1" t="s">
        <v>11409</v>
      </c>
    </row>
    <row r="4120" spans="1:7" ht="21" x14ac:dyDescent="0.25">
      <c r="A4120" s="2" t="str">
        <f>HYPERLINK("https://rth.dk/resources/bsgatlas/details.php?id=BSGatlas-gene-4119","BSGatlas-gene-4119")</f>
        <v>BSGatlas-gene-4119</v>
      </c>
      <c r="B4120" s="1" t="s">
        <v>3760</v>
      </c>
      <c r="C4120" s="1" t="s">
        <v>8</v>
      </c>
      <c r="D4120" s="1">
        <v>3627139</v>
      </c>
      <c r="E4120" s="1">
        <v>3628240</v>
      </c>
      <c r="F4120" s="1" t="s">
        <v>13</v>
      </c>
      <c r="G4120" s="1" t="s">
        <v>11409</v>
      </c>
    </row>
    <row r="4121" spans="1:7" ht="21" x14ac:dyDescent="0.25">
      <c r="A4121" s="2" t="str">
        <f>HYPERLINK("https://rth.dk/resources/bsgatlas/details.php?id=BSGatlas-gene-4120","BSGatlas-gene-4120")</f>
        <v>BSGatlas-gene-4120</v>
      </c>
      <c r="B4121" s="1" t="s">
        <v>3761</v>
      </c>
      <c r="C4121" s="1" t="s">
        <v>8</v>
      </c>
      <c r="D4121" s="1">
        <v>3628310</v>
      </c>
      <c r="E4121" s="1">
        <v>3630835</v>
      </c>
      <c r="F4121" s="1" t="s">
        <v>13</v>
      </c>
      <c r="G4121" s="1" t="s">
        <v>11409</v>
      </c>
    </row>
    <row r="4122" spans="1:7" ht="21" x14ac:dyDescent="0.25">
      <c r="A4122" s="2" t="str">
        <f>HYPERLINK("https://rth.dk/resources/bsgatlas/details.php?id=BSGatlas-gene-4121","BSGatlas-gene-4121")</f>
        <v>BSGatlas-gene-4121</v>
      </c>
      <c r="B4122" s="1" t="s">
        <v>3762</v>
      </c>
      <c r="C4122" s="1" t="s">
        <v>8</v>
      </c>
      <c r="D4122" s="1">
        <v>3631003</v>
      </c>
      <c r="E4122" s="1">
        <v>3631572</v>
      </c>
      <c r="F4122" s="1" t="s">
        <v>13</v>
      </c>
      <c r="G4122" s="1" t="s">
        <v>11409</v>
      </c>
    </row>
    <row r="4123" spans="1:7" ht="21" x14ac:dyDescent="0.25">
      <c r="A4123" s="2" t="str">
        <f>HYPERLINK("https://rth.dk/resources/bsgatlas/details.php?id=BSGatlas-gene-4122","BSGatlas-gene-4122")</f>
        <v>BSGatlas-gene-4122</v>
      </c>
      <c r="B4123" s="1" t="s">
        <v>3763</v>
      </c>
      <c r="C4123" s="1" t="s">
        <v>12</v>
      </c>
      <c r="D4123" s="1">
        <v>3631679</v>
      </c>
      <c r="E4123" s="1">
        <v>3631755</v>
      </c>
      <c r="F4123" s="1" t="s">
        <v>13</v>
      </c>
      <c r="G4123" s="1" t="s">
        <v>11442</v>
      </c>
    </row>
    <row r="4124" spans="1:7" ht="21" x14ac:dyDescent="0.25">
      <c r="A4124" s="2" t="str">
        <f>HYPERLINK("https://rth.dk/resources/bsgatlas/details.php?id=BSGatlas-gene-4123","BSGatlas-gene-4123")</f>
        <v>BSGatlas-gene-4123</v>
      </c>
      <c r="B4124" s="1" t="s">
        <v>3764</v>
      </c>
      <c r="C4124" s="1" t="s">
        <v>8</v>
      </c>
      <c r="D4124" s="1">
        <v>3631763</v>
      </c>
      <c r="E4124" s="1">
        <v>3632140</v>
      </c>
      <c r="F4124" s="1" t="s">
        <v>13</v>
      </c>
      <c r="G4124" s="1" t="s">
        <v>11409</v>
      </c>
    </row>
    <row r="4125" spans="1:7" ht="21" x14ac:dyDescent="0.25">
      <c r="A4125" s="2" t="str">
        <f>HYPERLINK("https://rth.dk/resources/bsgatlas/details.php?id=BSGatlas-gene-4124","BSGatlas-gene-4124")</f>
        <v>BSGatlas-gene-4124</v>
      </c>
      <c r="B4125" s="1" t="s">
        <v>3765</v>
      </c>
      <c r="C4125" s="1" t="s">
        <v>8</v>
      </c>
      <c r="D4125" s="1">
        <v>3632150</v>
      </c>
      <c r="E4125" s="1">
        <v>3632491</v>
      </c>
      <c r="F4125" s="1" t="s">
        <v>13</v>
      </c>
      <c r="G4125" s="1" t="s">
        <v>11409</v>
      </c>
    </row>
    <row r="4126" spans="1:7" ht="21" x14ac:dyDescent="0.25">
      <c r="A4126" s="2" t="str">
        <f>HYPERLINK("https://rth.dk/resources/bsgatlas/details.php?id=BSGatlas-gene-4125","BSGatlas-gene-4125")</f>
        <v>BSGatlas-gene-4125</v>
      </c>
      <c r="B4126" s="1" t="s">
        <v>3766</v>
      </c>
      <c r="C4126" s="1" t="s">
        <v>8</v>
      </c>
      <c r="D4126" s="1">
        <v>3632488</v>
      </c>
      <c r="E4126" s="1">
        <v>3632889</v>
      </c>
      <c r="F4126" s="1" t="s">
        <v>13</v>
      </c>
      <c r="G4126" s="1" t="s">
        <v>11409</v>
      </c>
    </row>
    <row r="4127" spans="1:7" ht="21" x14ac:dyDescent="0.25">
      <c r="A4127" s="2" t="str">
        <f>HYPERLINK("https://rth.dk/resources/bsgatlas/details.php?id=BSGatlas-gene-4126","BSGatlas-gene-4126")</f>
        <v>BSGatlas-gene-4126</v>
      </c>
      <c r="B4127" s="1" t="s">
        <v>3767</v>
      </c>
      <c r="C4127" s="1" t="s">
        <v>8</v>
      </c>
      <c r="D4127" s="1">
        <v>3632911</v>
      </c>
      <c r="E4127" s="1">
        <v>3634407</v>
      </c>
      <c r="F4127" s="1" t="s">
        <v>13</v>
      </c>
      <c r="G4127" s="1" t="s">
        <v>11409</v>
      </c>
    </row>
    <row r="4128" spans="1:7" ht="21" x14ac:dyDescent="0.25">
      <c r="A4128" s="2" t="str">
        <f>HYPERLINK("https://rth.dk/resources/bsgatlas/details.php?id=BSGatlas-gene-4127","BSGatlas-gene-4127")</f>
        <v>BSGatlas-gene-4127</v>
      </c>
      <c r="B4128" s="1" t="s">
        <v>3768</v>
      </c>
      <c r="C4128" s="1" t="s">
        <v>8</v>
      </c>
      <c r="D4128" s="1">
        <v>3634425</v>
      </c>
      <c r="E4128" s="1">
        <v>3634754</v>
      </c>
      <c r="F4128" s="1" t="s">
        <v>13</v>
      </c>
      <c r="G4128" s="1" t="s">
        <v>11409</v>
      </c>
    </row>
    <row r="4129" spans="1:7" ht="21" x14ac:dyDescent="0.25">
      <c r="A4129" s="2" t="str">
        <f>HYPERLINK("https://rth.dk/resources/bsgatlas/details.php?id=BSGatlas-gene-4128","BSGatlas-gene-4128")</f>
        <v>BSGatlas-gene-4128</v>
      </c>
      <c r="B4129" s="1" t="s">
        <v>3769</v>
      </c>
      <c r="C4129" s="1" t="s">
        <v>8</v>
      </c>
      <c r="D4129" s="1">
        <v>3634987</v>
      </c>
      <c r="E4129" s="1">
        <v>3635901</v>
      </c>
      <c r="F4129" s="1" t="s">
        <v>13</v>
      </c>
      <c r="G4129" s="1" t="s">
        <v>11409</v>
      </c>
    </row>
    <row r="4130" spans="1:7" ht="21" x14ac:dyDescent="0.25">
      <c r="A4130" s="2" t="str">
        <f>HYPERLINK("https://rth.dk/resources/bsgatlas/details.php?id=BSGatlas-gene-4129","BSGatlas-gene-4129")</f>
        <v>BSGatlas-gene-4129</v>
      </c>
      <c r="B4130" s="1" t="s">
        <v>3770</v>
      </c>
      <c r="C4130" s="1" t="s">
        <v>8</v>
      </c>
      <c r="D4130" s="1">
        <v>3636046</v>
      </c>
      <c r="E4130" s="1">
        <v>3636270</v>
      </c>
      <c r="F4130" s="1" t="s">
        <v>13</v>
      </c>
      <c r="G4130" s="1" t="s">
        <v>11409</v>
      </c>
    </row>
    <row r="4131" spans="1:7" ht="21" x14ac:dyDescent="0.25">
      <c r="A4131" s="2" t="str">
        <f>HYPERLINK("https://rth.dk/resources/bsgatlas/details.php?id=BSGatlas-gene-4130","BSGatlas-gene-4130")</f>
        <v>BSGatlas-gene-4130</v>
      </c>
      <c r="B4131" s="1" t="s">
        <v>3771</v>
      </c>
      <c r="C4131" s="1" t="s">
        <v>8</v>
      </c>
      <c r="D4131" s="1">
        <v>3636264</v>
      </c>
      <c r="E4131" s="1">
        <v>3636695</v>
      </c>
      <c r="F4131" s="1" t="s">
        <v>13</v>
      </c>
      <c r="G4131" s="1" t="s">
        <v>11409</v>
      </c>
    </row>
    <row r="4132" spans="1:7" ht="21" x14ac:dyDescent="0.25">
      <c r="A4132" s="2" t="str">
        <f>HYPERLINK("https://rth.dk/resources/bsgatlas/details.php?id=BSGatlas-gene-4131","BSGatlas-gene-4131")</f>
        <v>BSGatlas-gene-4131</v>
      </c>
      <c r="B4132" s="1" t="s">
        <v>3772</v>
      </c>
      <c r="C4132" s="1" t="s">
        <v>8</v>
      </c>
      <c r="D4132" s="1">
        <v>3636716</v>
      </c>
      <c r="E4132" s="1">
        <v>3637291</v>
      </c>
      <c r="F4132" s="1" t="s">
        <v>13</v>
      </c>
      <c r="G4132" s="1" t="s">
        <v>11409</v>
      </c>
    </row>
    <row r="4133" spans="1:7" ht="21" x14ac:dyDescent="0.25">
      <c r="A4133" s="2" t="str">
        <f>HYPERLINK("https://rth.dk/resources/bsgatlas/details.php?id=BSGatlas-gene-4132","BSGatlas-gene-4132")</f>
        <v>BSGatlas-gene-4132</v>
      </c>
      <c r="B4133" s="1" t="s">
        <v>3773</v>
      </c>
      <c r="C4133" s="1" t="s">
        <v>8</v>
      </c>
      <c r="D4133" s="1">
        <v>3637338</v>
      </c>
      <c r="E4133" s="1">
        <v>3638234</v>
      </c>
      <c r="F4133" s="1" t="s">
        <v>13</v>
      </c>
      <c r="G4133" s="1" t="s">
        <v>11409</v>
      </c>
    </row>
    <row r="4134" spans="1:7" ht="21" x14ac:dyDescent="0.25">
      <c r="A4134" s="2" t="str">
        <f>HYPERLINK("https://rth.dk/resources/bsgatlas/details.php?id=BSGatlas-gene-4133","BSGatlas-gene-4133")</f>
        <v>BSGatlas-gene-4133</v>
      </c>
      <c r="B4134" s="1" t="s">
        <v>3774</v>
      </c>
      <c r="C4134" s="1" t="s">
        <v>8</v>
      </c>
      <c r="D4134" s="1">
        <v>3638245</v>
      </c>
      <c r="E4134" s="1">
        <v>3639768</v>
      </c>
      <c r="F4134" s="1" t="s">
        <v>13</v>
      </c>
      <c r="G4134" s="1" t="s">
        <v>11409</v>
      </c>
    </row>
    <row r="4135" spans="1:7" ht="21" x14ac:dyDescent="0.25">
      <c r="A4135" s="2" t="str">
        <f>HYPERLINK("https://rth.dk/resources/bsgatlas/details.php?id=BSGatlas-gene-4134","BSGatlas-gene-4134")</f>
        <v>BSGatlas-gene-4134</v>
      </c>
      <c r="B4135" s="1" t="s">
        <v>3775</v>
      </c>
      <c r="C4135" s="1" t="s">
        <v>8</v>
      </c>
      <c r="D4135" s="1">
        <v>3639787</v>
      </c>
      <c r="E4135" s="1">
        <v>3640269</v>
      </c>
      <c r="F4135" s="1" t="s">
        <v>13</v>
      </c>
      <c r="G4135" s="1" t="s">
        <v>11409</v>
      </c>
    </row>
    <row r="4136" spans="1:7" ht="21" x14ac:dyDescent="0.25">
      <c r="A4136" s="2" t="str">
        <f>HYPERLINK("https://rth.dk/resources/bsgatlas/details.php?id=BSGatlas-gene-4135","BSGatlas-gene-4135")</f>
        <v>BSGatlas-gene-4135</v>
      </c>
      <c r="B4136" s="1" t="s">
        <v>3776</v>
      </c>
      <c r="C4136" s="1" t="s">
        <v>8</v>
      </c>
      <c r="D4136" s="1">
        <v>3640285</v>
      </c>
      <c r="E4136" s="1">
        <v>3640551</v>
      </c>
      <c r="F4136" s="1" t="s">
        <v>13</v>
      </c>
      <c r="G4136" s="1" t="s">
        <v>11409</v>
      </c>
    </row>
    <row r="4137" spans="1:7" ht="21" x14ac:dyDescent="0.25">
      <c r="A4137" s="2" t="str">
        <f>HYPERLINK("https://rth.dk/resources/bsgatlas/details.php?id=BSGatlas-gene-4136","BSGatlas-gene-4136")</f>
        <v>BSGatlas-gene-4136</v>
      </c>
      <c r="B4137" s="1" t="s">
        <v>3777</v>
      </c>
      <c r="C4137" s="1" t="s">
        <v>8</v>
      </c>
      <c r="D4137" s="1">
        <v>3640632</v>
      </c>
      <c r="E4137" s="1">
        <v>3641051</v>
      </c>
      <c r="F4137" s="1" t="s">
        <v>13</v>
      </c>
      <c r="G4137" s="1" t="s">
        <v>11409</v>
      </c>
    </row>
    <row r="4138" spans="1:7" ht="21" x14ac:dyDescent="0.25">
      <c r="A4138" s="2" t="str">
        <f>HYPERLINK("https://rth.dk/resources/bsgatlas/details.php?id=BSGatlas-gene-4137","BSGatlas-gene-4137")</f>
        <v>BSGatlas-gene-4137</v>
      </c>
      <c r="B4138" s="1" t="s">
        <v>3778</v>
      </c>
      <c r="C4138" s="1" t="s">
        <v>8</v>
      </c>
      <c r="D4138" s="1">
        <v>3641125</v>
      </c>
      <c r="E4138" s="1">
        <v>3641847</v>
      </c>
      <c r="F4138" s="1" t="s">
        <v>13</v>
      </c>
      <c r="G4138" s="1" t="s">
        <v>11409</v>
      </c>
    </row>
    <row r="4139" spans="1:7" ht="21" x14ac:dyDescent="0.25">
      <c r="A4139" s="2" t="str">
        <f>HYPERLINK("https://rth.dk/resources/bsgatlas/details.php?id=BSGatlas-gene-4138","BSGatlas-gene-4138")</f>
        <v>BSGatlas-gene-4138</v>
      </c>
      <c r="B4139" s="1" t="s">
        <v>3779</v>
      </c>
      <c r="C4139" s="1" t="s">
        <v>8</v>
      </c>
      <c r="D4139" s="1">
        <v>3641811</v>
      </c>
      <c r="E4139" s="1">
        <v>3642107</v>
      </c>
      <c r="F4139" s="1" t="s">
        <v>13</v>
      </c>
      <c r="G4139" s="1" t="s">
        <v>11409</v>
      </c>
    </row>
    <row r="4140" spans="1:7" ht="21" x14ac:dyDescent="0.25">
      <c r="A4140" s="2" t="str">
        <f>HYPERLINK("https://rth.dk/resources/bsgatlas/details.php?id=BSGatlas-gene-4139","BSGatlas-gene-4139")</f>
        <v>BSGatlas-gene-4139</v>
      </c>
      <c r="B4140" s="1" t="s">
        <v>3780</v>
      </c>
      <c r="C4140" s="1" t="s">
        <v>8</v>
      </c>
      <c r="D4140" s="1">
        <v>3642167</v>
      </c>
      <c r="E4140" s="1">
        <v>3643558</v>
      </c>
      <c r="F4140" s="1" t="s">
        <v>13</v>
      </c>
      <c r="G4140" s="1" t="s">
        <v>11409</v>
      </c>
    </row>
    <row r="4141" spans="1:7" ht="21" x14ac:dyDescent="0.25">
      <c r="A4141" s="2" t="str">
        <f>HYPERLINK("https://rth.dk/resources/bsgatlas/details.php?id=BSGatlas-gene-4140","BSGatlas-gene-4140")</f>
        <v>BSGatlas-gene-4140</v>
      </c>
      <c r="B4141" s="1" t="s">
        <v>3781</v>
      </c>
      <c r="C4141" s="1" t="s">
        <v>8</v>
      </c>
      <c r="D4141" s="1">
        <v>3643664</v>
      </c>
      <c r="E4141" s="1">
        <v>3644509</v>
      </c>
      <c r="F4141" s="1" t="s">
        <v>13</v>
      </c>
      <c r="G4141" s="1" t="s">
        <v>11409</v>
      </c>
    </row>
    <row r="4142" spans="1:7" ht="21" x14ac:dyDescent="0.25">
      <c r="A4142" s="2" t="str">
        <f>HYPERLINK("https://rth.dk/resources/bsgatlas/details.php?id=BSGatlas-gene-4141","BSGatlas-gene-4141")</f>
        <v>BSGatlas-gene-4141</v>
      </c>
      <c r="B4142" s="1" t="s">
        <v>3782</v>
      </c>
      <c r="C4142" s="1" t="s">
        <v>12</v>
      </c>
      <c r="D4142" s="1">
        <v>3643957</v>
      </c>
      <c r="E4142" s="1">
        <v>3645689</v>
      </c>
      <c r="F4142" s="1" t="s">
        <v>9</v>
      </c>
      <c r="G4142" s="1" t="s">
        <v>11406</v>
      </c>
    </row>
    <row r="4143" spans="1:7" ht="21" x14ac:dyDescent="0.25">
      <c r="A4143" s="2" t="str">
        <f>HYPERLINK("https://rth.dk/resources/bsgatlas/details.php?id=BSGatlas-gene-4142","BSGatlas-gene-4142")</f>
        <v>BSGatlas-gene-4142</v>
      </c>
      <c r="B4143" s="1" t="s">
        <v>3783</v>
      </c>
      <c r="C4143" s="1" t="s">
        <v>8</v>
      </c>
      <c r="D4143" s="1">
        <v>3644607</v>
      </c>
      <c r="E4143" s="1">
        <v>3645296</v>
      </c>
      <c r="F4143" s="1" t="s">
        <v>13</v>
      </c>
      <c r="G4143" s="1" t="s">
        <v>11409</v>
      </c>
    </row>
    <row r="4144" spans="1:7" ht="21" x14ac:dyDescent="0.25">
      <c r="A4144" s="2" t="str">
        <f>HYPERLINK("https://rth.dk/resources/bsgatlas/details.php?id=BSGatlas-gene-4143","BSGatlas-gene-4143")</f>
        <v>BSGatlas-gene-4143</v>
      </c>
      <c r="B4144" s="1" t="s">
        <v>3784</v>
      </c>
      <c r="C4144" s="1" t="s">
        <v>8</v>
      </c>
      <c r="D4144" s="1">
        <v>3645379</v>
      </c>
      <c r="E4144" s="1">
        <v>3646536</v>
      </c>
      <c r="F4144" s="1" t="s">
        <v>13</v>
      </c>
      <c r="G4144" s="1" t="s">
        <v>11409</v>
      </c>
    </row>
    <row r="4145" spans="1:7" ht="21" x14ac:dyDescent="0.25">
      <c r="A4145" s="2" t="str">
        <f>HYPERLINK("https://rth.dk/resources/bsgatlas/details.php?id=BSGatlas-gene-4144","BSGatlas-gene-4144")</f>
        <v>BSGatlas-gene-4144</v>
      </c>
      <c r="B4145" s="1" t="s">
        <v>3785</v>
      </c>
      <c r="C4145" s="1" t="s">
        <v>8</v>
      </c>
      <c r="D4145" s="1">
        <v>3646753</v>
      </c>
      <c r="E4145" s="1">
        <v>3647406</v>
      </c>
      <c r="F4145" s="1" t="s">
        <v>9</v>
      </c>
      <c r="G4145" s="1" t="s">
        <v>11409</v>
      </c>
    </row>
    <row r="4146" spans="1:7" ht="21" x14ac:dyDescent="0.25">
      <c r="A4146" s="2" t="str">
        <f>HYPERLINK("https://rth.dk/resources/bsgatlas/details.php?id=BSGatlas-gene-4145","BSGatlas-gene-4145")</f>
        <v>BSGatlas-gene-4145</v>
      </c>
      <c r="B4146" s="1" t="s">
        <v>3787</v>
      </c>
      <c r="C4146" s="1" t="s">
        <v>12</v>
      </c>
      <c r="D4146" s="1">
        <v>3647109</v>
      </c>
      <c r="E4146" s="1">
        <v>3647701</v>
      </c>
      <c r="F4146" s="1" t="s">
        <v>13</v>
      </c>
      <c r="G4146" s="1" t="s">
        <v>11406</v>
      </c>
    </row>
    <row r="4147" spans="1:7" ht="21" x14ac:dyDescent="0.25">
      <c r="A4147" s="2" t="str">
        <f>HYPERLINK("https://rth.dk/resources/bsgatlas/details.php?id=BSGatlas-gene-4146","BSGatlas-gene-4146")</f>
        <v>BSGatlas-gene-4146</v>
      </c>
      <c r="B4147" s="1" t="s">
        <v>3786</v>
      </c>
      <c r="C4147" s="1" t="s">
        <v>8</v>
      </c>
      <c r="D4147" s="1">
        <v>3647406</v>
      </c>
      <c r="E4147" s="1">
        <v>3648581</v>
      </c>
      <c r="F4147" s="1" t="s">
        <v>9</v>
      </c>
      <c r="G4147" s="1" t="s">
        <v>11409</v>
      </c>
    </row>
    <row r="4148" spans="1:7" ht="21" x14ac:dyDescent="0.25">
      <c r="A4148" s="2" t="str">
        <f>HYPERLINK("https://rth.dk/resources/bsgatlas/details.php?id=BSGatlas-gene-4147","BSGatlas-gene-4147")</f>
        <v>BSGatlas-gene-4147</v>
      </c>
      <c r="B4148" s="1" t="s">
        <v>3788</v>
      </c>
      <c r="C4148" s="1" t="s">
        <v>8</v>
      </c>
      <c r="D4148" s="1">
        <v>3648654</v>
      </c>
      <c r="E4148" s="1">
        <v>3649730</v>
      </c>
      <c r="F4148" s="1" t="s">
        <v>13</v>
      </c>
      <c r="G4148" s="1" t="s">
        <v>11409</v>
      </c>
    </row>
    <row r="4149" spans="1:7" ht="21" x14ac:dyDescent="0.25">
      <c r="A4149" s="2" t="str">
        <f>HYPERLINK("https://rth.dk/resources/bsgatlas/details.php?id=BSGatlas-gene-4148","BSGatlas-gene-4148")</f>
        <v>BSGatlas-gene-4148</v>
      </c>
      <c r="B4149" s="1" t="s">
        <v>3789</v>
      </c>
      <c r="C4149" s="1" t="s">
        <v>12</v>
      </c>
      <c r="D4149" s="1">
        <v>3648747</v>
      </c>
      <c r="E4149" s="1">
        <v>3649980</v>
      </c>
      <c r="F4149" s="1" t="s">
        <v>9</v>
      </c>
      <c r="G4149" s="1" t="s">
        <v>11406</v>
      </c>
    </row>
    <row r="4150" spans="1:7" ht="21" x14ac:dyDescent="0.25">
      <c r="A4150" s="2" t="str">
        <f>HYPERLINK("https://rth.dk/resources/bsgatlas/details.php?id=BSGatlas-gene-4149","BSGatlas-gene-4149")</f>
        <v>BSGatlas-gene-4149</v>
      </c>
      <c r="B4150" s="1" t="s">
        <v>3790</v>
      </c>
      <c r="C4150" s="1" t="s">
        <v>8</v>
      </c>
      <c r="D4150" s="1">
        <v>3649875</v>
      </c>
      <c r="E4150" s="1">
        <v>3651068</v>
      </c>
      <c r="F4150" s="1" t="s">
        <v>13</v>
      </c>
      <c r="G4150" s="1" t="s">
        <v>11409</v>
      </c>
    </row>
    <row r="4151" spans="1:7" ht="21" x14ac:dyDescent="0.25">
      <c r="A4151" s="2" t="str">
        <f>HYPERLINK("https://rth.dk/resources/bsgatlas/details.php?id=BSGatlas-gene-4150","BSGatlas-gene-4150")</f>
        <v>BSGatlas-gene-4150</v>
      </c>
      <c r="B4151" s="1" t="s">
        <v>3791</v>
      </c>
      <c r="C4151" s="1" t="s">
        <v>8</v>
      </c>
      <c r="D4151" s="1">
        <v>3651097</v>
      </c>
      <c r="E4151" s="1">
        <v>3651855</v>
      </c>
      <c r="F4151" s="1" t="s">
        <v>13</v>
      </c>
      <c r="G4151" s="1" t="s">
        <v>11409</v>
      </c>
    </row>
    <row r="4152" spans="1:7" ht="21" x14ac:dyDescent="0.25">
      <c r="A4152" s="2" t="str">
        <f>HYPERLINK("https://rth.dk/resources/bsgatlas/details.php?id=BSGatlas-gene-4151","BSGatlas-gene-4151")</f>
        <v>BSGatlas-gene-4151</v>
      </c>
      <c r="B4152" s="1" t="s">
        <v>3792</v>
      </c>
      <c r="C4152" s="1" t="s">
        <v>8</v>
      </c>
      <c r="D4152" s="1">
        <v>3651879</v>
      </c>
      <c r="E4152" s="1">
        <v>3652559</v>
      </c>
      <c r="F4152" s="1" t="s">
        <v>13</v>
      </c>
      <c r="G4152" s="1" t="s">
        <v>11409</v>
      </c>
    </row>
    <row r="4153" spans="1:7" ht="21" x14ac:dyDescent="0.25">
      <c r="A4153" s="2" t="str">
        <f>HYPERLINK("https://rth.dk/resources/bsgatlas/details.php?id=BSGatlas-gene-4152","BSGatlas-gene-4152")</f>
        <v>BSGatlas-gene-4152</v>
      </c>
      <c r="B4153" s="1" t="s">
        <v>3793</v>
      </c>
      <c r="C4153" s="1" t="s">
        <v>8</v>
      </c>
      <c r="D4153" s="1">
        <v>3652588</v>
      </c>
      <c r="E4153" s="1">
        <v>3654054</v>
      </c>
      <c r="F4153" s="1" t="s">
        <v>13</v>
      </c>
      <c r="G4153" s="1" t="s">
        <v>11409</v>
      </c>
    </row>
    <row r="4154" spans="1:7" ht="21" x14ac:dyDescent="0.25">
      <c r="A4154" s="2" t="str">
        <f>HYPERLINK("https://rth.dk/resources/bsgatlas/details.php?id=BSGatlas-gene-4153","BSGatlas-gene-4153")</f>
        <v>BSGatlas-gene-4153</v>
      </c>
      <c r="B4154" s="1" t="s">
        <v>3794</v>
      </c>
      <c r="C4154" s="1" t="s">
        <v>8</v>
      </c>
      <c r="D4154" s="1">
        <v>3654139</v>
      </c>
      <c r="E4154" s="1">
        <v>3655524</v>
      </c>
      <c r="F4154" s="1" t="s">
        <v>13</v>
      </c>
      <c r="G4154" s="1" t="s">
        <v>11409</v>
      </c>
    </row>
    <row r="4155" spans="1:7" ht="21" x14ac:dyDescent="0.25">
      <c r="A4155" s="2" t="str">
        <f>HYPERLINK("https://rth.dk/resources/bsgatlas/details.php?id=BSGatlas-gene-4154","BSGatlas-gene-4154")</f>
        <v>BSGatlas-gene-4154</v>
      </c>
      <c r="B4155" s="1" t="s">
        <v>3795</v>
      </c>
      <c r="C4155" s="1" t="s">
        <v>8</v>
      </c>
      <c r="D4155" s="1">
        <v>3655586</v>
      </c>
      <c r="E4155" s="1">
        <v>3656755</v>
      </c>
      <c r="F4155" s="1" t="s">
        <v>13</v>
      </c>
      <c r="G4155" s="1" t="s">
        <v>11409</v>
      </c>
    </row>
    <row r="4156" spans="1:7" ht="21" x14ac:dyDescent="0.25">
      <c r="A4156" s="2" t="str">
        <f>HYPERLINK("https://rth.dk/resources/bsgatlas/details.php?id=BSGatlas-gene-4155","BSGatlas-gene-4155")</f>
        <v>BSGatlas-gene-4155</v>
      </c>
      <c r="B4156" s="1" t="s">
        <v>3796</v>
      </c>
      <c r="C4156" s="1" t="s">
        <v>8</v>
      </c>
      <c r="D4156" s="1">
        <v>3656752</v>
      </c>
      <c r="E4156" s="1">
        <v>3658203</v>
      </c>
      <c r="F4156" s="1" t="s">
        <v>13</v>
      </c>
      <c r="G4156" s="1" t="s">
        <v>11409</v>
      </c>
    </row>
    <row r="4157" spans="1:7" ht="21" x14ac:dyDescent="0.25">
      <c r="A4157" s="2" t="str">
        <f>HYPERLINK("https://rth.dk/resources/bsgatlas/details.php?id=BSGatlas-gene-4156","BSGatlas-gene-4156")</f>
        <v>BSGatlas-gene-4156</v>
      </c>
      <c r="B4157" s="1" t="s">
        <v>3797</v>
      </c>
      <c r="C4157" s="1" t="s">
        <v>276</v>
      </c>
      <c r="D4157" s="1">
        <v>3658259</v>
      </c>
      <c r="E4157" s="1">
        <v>3658408</v>
      </c>
      <c r="F4157" s="1" t="s">
        <v>13</v>
      </c>
      <c r="G4157" s="1" t="s">
        <v>11441</v>
      </c>
    </row>
    <row r="4158" spans="1:7" ht="21" x14ac:dyDescent="0.25">
      <c r="A4158" s="2" t="str">
        <f>HYPERLINK("https://rth.dk/resources/bsgatlas/details.php?id=BSGatlas-gene-4157","BSGatlas-gene-4157")</f>
        <v>BSGatlas-gene-4157</v>
      </c>
      <c r="B4158" s="1" t="s">
        <v>3798</v>
      </c>
      <c r="C4158" s="1" t="s">
        <v>276</v>
      </c>
      <c r="D4158" s="1">
        <v>3658407</v>
      </c>
      <c r="E4158" s="1">
        <v>3658892</v>
      </c>
      <c r="F4158" s="1" t="s">
        <v>13</v>
      </c>
      <c r="G4158" s="1" t="s">
        <v>11441</v>
      </c>
    </row>
    <row r="4159" spans="1:7" ht="21" x14ac:dyDescent="0.25">
      <c r="A4159" s="2" t="str">
        <f>HYPERLINK("https://rth.dk/resources/bsgatlas/details.php?id=BSGatlas-gene-4158","BSGatlas-gene-4158")</f>
        <v>BSGatlas-gene-4158</v>
      </c>
      <c r="B4159" s="1" t="s">
        <v>3799</v>
      </c>
      <c r="C4159" s="1" t="s">
        <v>8</v>
      </c>
      <c r="D4159" s="1">
        <v>3659119</v>
      </c>
      <c r="E4159" s="1">
        <v>3660609</v>
      </c>
      <c r="F4159" s="1" t="s">
        <v>13</v>
      </c>
      <c r="G4159" s="1" t="s">
        <v>11409</v>
      </c>
    </row>
    <row r="4160" spans="1:7" ht="21" x14ac:dyDescent="0.25">
      <c r="A4160" s="2" t="str">
        <f>HYPERLINK("https://rth.dk/resources/bsgatlas/details.php?id=BSGatlas-gene-4159","BSGatlas-gene-4159")</f>
        <v>BSGatlas-gene-4159</v>
      </c>
      <c r="B4160" s="1" t="s">
        <v>3800</v>
      </c>
      <c r="C4160" s="1" t="s">
        <v>8</v>
      </c>
      <c r="D4160" s="1">
        <v>3660648</v>
      </c>
      <c r="E4160" s="1">
        <v>3662765</v>
      </c>
      <c r="F4160" s="1" t="s">
        <v>13</v>
      </c>
      <c r="G4160" s="1" t="s">
        <v>11409</v>
      </c>
    </row>
    <row r="4161" spans="1:7" ht="21" x14ac:dyDescent="0.25">
      <c r="A4161" s="2" t="str">
        <f>HYPERLINK("https://rth.dk/resources/bsgatlas/details.php?id=BSGatlas-gene-4160","BSGatlas-gene-4160")</f>
        <v>BSGatlas-gene-4160</v>
      </c>
      <c r="B4161" s="1" t="s">
        <v>3801</v>
      </c>
      <c r="C4161" s="1" t="s">
        <v>8</v>
      </c>
      <c r="D4161" s="1">
        <v>3662789</v>
      </c>
      <c r="E4161" s="1">
        <v>3663097</v>
      </c>
      <c r="F4161" s="1" t="s">
        <v>13</v>
      </c>
      <c r="G4161" s="1" t="s">
        <v>11409</v>
      </c>
    </row>
    <row r="4162" spans="1:7" ht="21" x14ac:dyDescent="0.25">
      <c r="A4162" s="2" t="str">
        <f>HYPERLINK("https://rth.dk/resources/bsgatlas/details.php?id=BSGatlas-gene-4161","BSGatlas-gene-4161")</f>
        <v>BSGatlas-gene-4161</v>
      </c>
      <c r="B4162" s="1" t="s">
        <v>3802</v>
      </c>
      <c r="C4162" s="1" t="s">
        <v>8</v>
      </c>
      <c r="D4162" s="1">
        <v>3663281</v>
      </c>
      <c r="E4162" s="1">
        <v>3664201</v>
      </c>
      <c r="F4162" s="1" t="s">
        <v>9</v>
      </c>
      <c r="G4162" s="1" t="s">
        <v>11409</v>
      </c>
    </row>
    <row r="4163" spans="1:7" ht="21" x14ac:dyDescent="0.25">
      <c r="A4163" s="2" t="str">
        <f>HYPERLINK("https://rth.dk/resources/bsgatlas/details.php?id=BSGatlas-gene-4162","BSGatlas-gene-4162")</f>
        <v>BSGatlas-gene-4162</v>
      </c>
      <c r="B4163" s="1" t="s">
        <v>3803</v>
      </c>
      <c r="C4163" s="1" t="s">
        <v>8</v>
      </c>
      <c r="D4163" s="1">
        <v>3664241</v>
      </c>
      <c r="E4163" s="1">
        <v>3665383</v>
      </c>
      <c r="F4163" s="1" t="s">
        <v>13</v>
      </c>
      <c r="G4163" s="1" t="s">
        <v>11409</v>
      </c>
    </row>
    <row r="4164" spans="1:7" ht="21" x14ac:dyDescent="0.25">
      <c r="A4164" s="2" t="str">
        <f>HYPERLINK("https://rth.dk/resources/bsgatlas/details.php?id=BSGatlas-gene-4163","BSGatlas-gene-4163")</f>
        <v>BSGatlas-gene-4163</v>
      </c>
      <c r="B4164" s="1" t="s">
        <v>3804</v>
      </c>
      <c r="C4164" s="1" t="s">
        <v>8</v>
      </c>
      <c r="D4164" s="1">
        <v>3665629</v>
      </c>
      <c r="E4164" s="1">
        <v>3666507</v>
      </c>
      <c r="F4164" s="1" t="s">
        <v>9</v>
      </c>
      <c r="G4164" s="1" t="s">
        <v>11409</v>
      </c>
    </row>
    <row r="4165" spans="1:7" ht="21" x14ac:dyDescent="0.25">
      <c r="A4165" s="2" t="str">
        <f>HYPERLINK("https://rth.dk/resources/bsgatlas/details.php?id=BSGatlas-gene-4164","BSGatlas-gene-4164")</f>
        <v>BSGatlas-gene-4164</v>
      </c>
      <c r="B4165" s="1" t="s">
        <v>318</v>
      </c>
      <c r="C4165" s="1" t="s">
        <v>8</v>
      </c>
      <c r="D4165" s="1">
        <v>3666841</v>
      </c>
      <c r="E4165" s="1">
        <v>3667059</v>
      </c>
      <c r="F4165" s="1" t="s">
        <v>9</v>
      </c>
      <c r="G4165" s="1" t="s">
        <v>11441</v>
      </c>
    </row>
    <row r="4166" spans="1:7" ht="21" x14ac:dyDescent="0.25">
      <c r="A4166" s="2" t="str">
        <f>HYPERLINK("https://rth.dk/resources/bsgatlas/details.php?id=BSGatlas-gene-4165","BSGatlas-gene-4165")</f>
        <v>BSGatlas-gene-4165</v>
      </c>
      <c r="B4166" s="1" t="s">
        <v>3805</v>
      </c>
      <c r="C4166" s="1" t="s">
        <v>276</v>
      </c>
      <c r="D4166" s="1">
        <v>3666933</v>
      </c>
      <c r="E4166" s="1">
        <v>3667016</v>
      </c>
      <c r="F4166" s="1" t="s">
        <v>13</v>
      </c>
      <c r="G4166" s="1" t="s">
        <v>11441</v>
      </c>
    </row>
    <row r="4167" spans="1:7" ht="21" x14ac:dyDescent="0.25">
      <c r="A4167" s="2" t="str">
        <f>HYPERLINK("https://rth.dk/resources/bsgatlas/details.php?id=BSGatlas-gene-4166","BSGatlas-gene-4166")</f>
        <v>BSGatlas-gene-4166</v>
      </c>
      <c r="B4167" s="1" t="s">
        <v>3806</v>
      </c>
      <c r="C4167" s="1" t="s">
        <v>8</v>
      </c>
      <c r="D4167" s="1">
        <v>3667209</v>
      </c>
      <c r="E4167" s="1">
        <v>3669911</v>
      </c>
      <c r="F4167" s="1" t="s">
        <v>13</v>
      </c>
      <c r="G4167" s="1" t="s">
        <v>11409</v>
      </c>
    </row>
    <row r="4168" spans="1:7" ht="21" x14ac:dyDescent="0.25">
      <c r="A4168" s="2" t="str">
        <f>HYPERLINK("https://rth.dk/resources/bsgatlas/details.php?id=BSGatlas-gene-4167","BSGatlas-gene-4167")</f>
        <v>BSGatlas-gene-4167</v>
      </c>
      <c r="B4168" s="1" t="s">
        <v>3807</v>
      </c>
      <c r="C4168" s="1" t="s">
        <v>8</v>
      </c>
      <c r="D4168" s="1">
        <v>3670035</v>
      </c>
      <c r="E4168" s="1">
        <v>3671375</v>
      </c>
      <c r="F4168" s="1" t="s">
        <v>13</v>
      </c>
      <c r="G4168" s="1" t="s">
        <v>11409</v>
      </c>
    </row>
    <row r="4169" spans="1:7" ht="21" x14ac:dyDescent="0.25">
      <c r="A4169" s="2" t="str">
        <f>HYPERLINK("https://rth.dk/resources/bsgatlas/details.php?id=BSGatlas-gene-4168","BSGatlas-gene-4168")</f>
        <v>BSGatlas-gene-4168</v>
      </c>
      <c r="B4169" s="1" t="s">
        <v>11724</v>
      </c>
      <c r="C4169" s="1" t="s">
        <v>276</v>
      </c>
      <c r="D4169" s="1">
        <v>3671416</v>
      </c>
      <c r="E4169" s="1">
        <v>3671622</v>
      </c>
      <c r="F4169" s="1" t="s">
        <v>13</v>
      </c>
      <c r="G4169" s="1" t="s">
        <v>11441</v>
      </c>
    </row>
    <row r="4170" spans="1:7" ht="21" x14ac:dyDescent="0.25">
      <c r="A4170" s="2" t="str">
        <f>HYPERLINK("https://rth.dk/resources/bsgatlas/details.php?id=BSGatlas-gene-4169","BSGatlas-gene-4169")</f>
        <v>BSGatlas-gene-4169</v>
      </c>
      <c r="B4170" s="1" t="s">
        <v>3808</v>
      </c>
      <c r="C4170" s="1" t="s">
        <v>12</v>
      </c>
      <c r="D4170" s="1">
        <v>3672158</v>
      </c>
      <c r="E4170" s="1">
        <v>3672728</v>
      </c>
      <c r="F4170" s="1" t="s">
        <v>13</v>
      </c>
      <c r="G4170" s="1" t="s">
        <v>11442</v>
      </c>
    </row>
    <row r="4171" spans="1:7" ht="21" x14ac:dyDescent="0.25">
      <c r="A4171" s="2" t="str">
        <f>HYPERLINK("https://rth.dk/resources/bsgatlas/details.php?id=BSGatlas-gene-4170","BSGatlas-gene-4170")</f>
        <v>BSGatlas-gene-4170</v>
      </c>
      <c r="B4171" s="1" t="s">
        <v>3809</v>
      </c>
      <c r="C4171" s="1" t="s">
        <v>276</v>
      </c>
      <c r="D4171" s="1">
        <v>3672929</v>
      </c>
      <c r="E4171" s="1">
        <v>3673525</v>
      </c>
      <c r="F4171" s="1" t="s">
        <v>9</v>
      </c>
      <c r="G4171" s="1" t="s">
        <v>11441</v>
      </c>
    </row>
    <row r="4172" spans="1:7" ht="21" x14ac:dyDescent="0.25">
      <c r="A4172" s="2" t="str">
        <f>HYPERLINK("https://rth.dk/resources/bsgatlas/details.php?id=BSGatlas-gene-4171","BSGatlas-gene-4171")</f>
        <v>BSGatlas-gene-4171</v>
      </c>
      <c r="B4172" s="1" t="s">
        <v>3810</v>
      </c>
      <c r="C4172" s="1" t="s">
        <v>8</v>
      </c>
      <c r="D4172" s="1">
        <v>3673564</v>
      </c>
      <c r="E4172" s="1">
        <v>3675147</v>
      </c>
      <c r="F4172" s="1" t="s">
        <v>13</v>
      </c>
      <c r="G4172" s="1" t="s">
        <v>11409</v>
      </c>
    </row>
    <row r="4173" spans="1:7" ht="21" x14ac:dyDescent="0.25">
      <c r="A4173" s="2" t="str">
        <f>HYPERLINK("https://rth.dk/resources/bsgatlas/details.php?id=BSGatlas-gene-4172","BSGatlas-gene-4172")</f>
        <v>BSGatlas-gene-4172</v>
      </c>
      <c r="B4173" s="1" t="s">
        <v>3811</v>
      </c>
      <c r="C4173" s="1" t="s">
        <v>8</v>
      </c>
      <c r="D4173" s="1">
        <v>3675167</v>
      </c>
      <c r="E4173" s="1">
        <v>3675994</v>
      </c>
      <c r="F4173" s="1" t="s">
        <v>13</v>
      </c>
      <c r="G4173" s="1" t="s">
        <v>11409</v>
      </c>
    </row>
    <row r="4174" spans="1:7" ht="21" x14ac:dyDescent="0.25">
      <c r="A4174" s="2" t="str">
        <f>HYPERLINK("https://rth.dk/resources/bsgatlas/details.php?id=BSGatlas-gene-4173","BSGatlas-gene-4173")</f>
        <v>BSGatlas-gene-4173</v>
      </c>
      <c r="B4174" s="1" t="s">
        <v>3812</v>
      </c>
      <c r="C4174" s="1" t="s">
        <v>8</v>
      </c>
      <c r="D4174" s="1">
        <v>3676159</v>
      </c>
      <c r="E4174" s="1">
        <v>3678399</v>
      </c>
      <c r="F4174" s="1" t="s">
        <v>13</v>
      </c>
      <c r="G4174" s="1" t="s">
        <v>11409</v>
      </c>
    </row>
    <row r="4175" spans="1:7" ht="21" x14ac:dyDescent="0.25">
      <c r="A4175" s="2" t="str">
        <f>HYPERLINK("https://rth.dk/resources/bsgatlas/details.php?id=BSGatlas-gene-4174","BSGatlas-gene-4174")</f>
        <v>BSGatlas-gene-4174</v>
      </c>
      <c r="B4175" s="1" t="s">
        <v>3813</v>
      </c>
      <c r="C4175" s="1" t="s">
        <v>8</v>
      </c>
      <c r="D4175" s="1">
        <v>3678399</v>
      </c>
      <c r="E4175" s="1">
        <v>3680420</v>
      </c>
      <c r="F4175" s="1" t="s">
        <v>13</v>
      </c>
      <c r="G4175" s="1" t="s">
        <v>11409</v>
      </c>
    </row>
    <row r="4176" spans="1:7" ht="21" x14ac:dyDescent="0.25">
      <c r="A4176" s="2" t="str">
        <f>HYPERLINK("https://rth.dk/resources/bsgatlas/details.php?id=BSGatlas-gene-4175","BSGatlas-gene-4175")</f>
        <v>BSGatlas-gene-4175</v>
      </c>
      <c r="B4176" s="1" t="s">
        <v>3814</v>
      </c>
      <c r="C4176" s="1" t="s">
        <v>8</v>
      </c>
      <c r="D4176" s="1">
        <v>3680581</v>
      </c>
      <c r="E4176" s="1">
        <v>3680970</v>
      </c>
      <c r="F4176" s="1" t="s">
        <v>13</v>
      </c>
      <c r="G4176" s="1" t="s">
        <v>11409</v>
      </c>
    </row>
    <row r="4177" spans="1:7" ht="21" x14ac:dyDescent="0.25">
      <c r="A4177" s="2" t="str">
        <f>HYPERLINK("https://rth.dk/resources/bsgatlas/details.php?id=BSGatlas-gene-4176","BSGatlas-gene-4176")</f>
        <v>BSGatlas-gene-4176</v>
      </c>
      <c r="B4177" s="1" t="s">
        <v>3815</v>
      </c>
      <c r="C4177" s="1" t="s">
        <v>8</v>
      </c>
      <c r="D4177" s="1">
        <v>3681370</v>
      </c>
      <c r="E4177" s="1">
        <v>3682140</v>
      </c>
      <c r="F4177" s="1" t="s">
        <v>9</v>
      </c>
      <c r="G4177" s="1" t="s">
        <v>11409</v>
      </c>
    </row>
    <row r="4178" spans="1:7" ht="21" x14ac:dyDescent="0.25">
      <c r="A4178" s="2" t="str">
        <f>HYPERLINK("https://rth.dk/resources/bsgatlas/details.php?id=BSGatlas-gene-4177","BSGatlas-gene-4177")</f>
        <v>BSGatlas-gene-4177</v>
      </c>
      <c r="B4178" s="1" t="s">
        <v>3817</v>
      </c>
      <c r="C4178" s="1" t="s">
        <v>12</v>
      </c>
      <c r="D4178" s="1">
        <v>3681497</v>
      </c>
      <c r="E4178" s="1">
        <v>3681845</v>
      </c>
      <c r="F4178" s="1" t="s">
        <v>13</v>
      </c>
      <c r="G4178" s="1" t="s">
        <v>11406</v>
      </c>
    </row>
    <row r="4179" spans="1:7" ht="21" x14ac:dyDescent="0.25">
      <c r="A4179" s="2" t="str">
        <f>HYPERLINK("https://rth.dk/resources/bsgatlas/details.php?id=BSGatlas-gene-4178","BSGatlas-gene-4178")</f>
        <v>BSGatlas-gene-4178</v>
      </c>
      <c r="B4179" s="1" t="s">
        <v>3816</v>
      </c>
      <c r="C4179" s="1" t="s">
        <v>8</v>
      </c>
      <c r="D4179" s="1">
        <v>3682173</v>
      </c>
      <c r="E4179" s="1">
        <v>3683318</v>
      </c>
      <c r="F4179" s="1" t="s">
        <v>9</v>
      </c>
      <c r="G4179" s="1" t="s">
        <v>11409</v>
      </c>
    </row>
    <row r="4180" spans="1:7" ht="21" x14ac:dyDescent="0.25">
      <c r="A4180" s="2" t="str">
        <f>HYPERLINK("https://rth.dk/resources/bsgatlas/details.php?id=BSGatlas-gene-4179","BSGatlas-gene-4179")</f>
        <v>BSGatlas-gene-4179</v>
      </c>
      <c r="B4180" s="1" t="s">
        <v>3818</v>
      </c>
      <c r="C4180" s="1" t="s">
        <v>8</v>
      </c>
      <c r="D4180" s="1">
        <v>3683438</v>
      </c>
      <c r="E4180" s="1">
        <v>3684766</v>
      </c>
      <c r="F4180" s="1" t="s">
        <v>9</v>
      </c>
      <c r="G4180" s="1" t="s">
        <v>11409</v>
      </c>
    </row>
    <row r="4181" spans="1:7" ht="21" x14ac:dyDescent="0.25">
      <c r="A4181" s="2" t="str">
        <f>HYPERLINK("https://rth.dk/resources/bsgatlas/details.php?id=BSGatlas-gene-4180","BSGatlas-gene-4180")</f>
        <v>BSGatlas-gene-4180</v>
      </c>
      <c r="B4181" s="1" t="s">
        <v>3819</v>
      </c>
      <c r="C4181" s="1" t="s">
        <v>8</v>
      </c>
      <c r="D4181" s="1">
        <v>3684826</v>
      </c>
      <c r="E4181" s="1">
        <v>3687468</v>
      </c>
      <c r="F4181" s="1" t="s">
        <v>13</v>
      </c>
      <c r="G4181" s="1" t="s">
        <v>11409</v>
      </c>
    </row>
    <row r="4182" spans="1:7" ht="21" x14ac:dyDescent="0.25">
      <c r="A4182" s="2" t="str">
        <f>HYPERLINK("https://rth.dk/resources/bsgatlas/details.php?id=BSGatlas-gene-4181","BSGatlas-gene-4181")</f>
        <v>BSGatlas-gene-4181</v>
      </c>
      <c r="B4182" s="1" t="s">
        <v>3820</v>
      </c>
      <c r="C4182" s="1" t="s">
        <v>8</v>
      </c>
      <c r="D4182" s="1">
        <v>3687597</v>
      </c>
      <c r="E4182" s="1">
        <v>3688547</v>
      </c>
      <c r="F4182" s="1" t="s">
        <v>13</v>
      </c>
      <c r="G4182" s="1" t="s">
        <v>11409</v>
      </c>
    </row>
    <row r="4183" spans="1:7" ht="21" x14ac:dyDescent="0.25">
      <c r="A4183" s="2" t="str">
        <f>HYPERLINK("https://rth.dk/resources/bsgatlas/details.php?id=BSGatlas-gene-4182","BSGatlas-gene-4182")</f>
        <v>BSGatlas-gene-4182</v>
      </c>
      <c r="B4183" s="1" t="s">
        <v>3821</v>
      </c>
      <c r="C4183" s="1" t="s">
        <v>8</v>
      </c>
      <c r="D4183" s="1">
        <v>3688812</v>
      </c>
      <c r="E4183" s="1">
        <v>3690263</v>
      </c>
      <c r="F4183" s="1" t="s">
        <v>9</v>
      </c>
      <c r="G4183" s="1" t="s">
        <v>11409</v>
      </c>
    </row>
    <row r="4184" spans="1:7" ht="21" x14ac:dyDescent="0.25">
      <c r="A4184" s="2" t="str">
        <f>HYPERLINK("https://rth.dk/resources/bsgatlas/details.php?id=BSGatlas-gene-4183","BSGatlas-gene-4183")</f>
        <v>BSGatlas-gene-4183</v>
      </c>
      <c r="B4184" s="1" t="s">
        <v>3822</v>
      </c>
      <c r="C4184" s="1" t="s">
        <v>8</v>
      </c>
      <c r="D4184" s="1">
        <v>3690269</v>
      </c>
      <c r="E4184" s="1">
        <v>3691375</v>
      </c>
      <c r="F4184" s="1" t="s">
        <v>9</v>
      </c>
      <c r="G4184" s="1" t="s">
        <v>11409</v>
      </c>
    </row>
    <row r="4185" spans="1:7" ht="21" x14ac:dyDescent="0.25">
      <c r="A4185" s="2" t="str">
        <f>HYPERLINK("https://rth.dk/resources/bsgatlas/details.php?id=BSGatlas-gene-4184","BSGatlas-gene-4184")</f>
        <v>BSGatlas-gene-4184</v>
      </c>
      <c r="B4185" s="1" t="s">
        <v>3823</v>
      </c>
      <c r="C4185" s="1" t="s">
        <v>8</v>
      </c>
      <c r="D4185" s="1">
        <v>3691372</v>
      </c>
      <c r="E4185" s="1">
        <v>3692496</v>
      </c>
      <c r="F4185" s="1" t="s">
        <v>9</v>
      </c>
      <c r="G4185" s="1" t="s">
        <v>11409</v>
      </c>
    </row>
    <row r="4186" spans="1:7" ht="21" x14ac:dyDescent="0.25">
      <c r="A4186" s="2" t="str">
        <f>HYPERLINK("https://rth.dk/resources/bsgatlas/details.php?id=BSGatlas-gene-4185","BSGatlas-gene-4185")</f>
        <v>BSGatlas-gene-4185</v>
      </c>
      <c r="B4186" s="1" t="s">
        <v>3824</v>
      </c>
      <c r="C4186" s="1" t="s">
        <v>8</v>
      </c>
      <c r="D4186" s="1">
        <v>3692533</v>
      </c>
      <c r="E4186" s="1">
        <v>3693906</v>
      </c>
      <c r="F4186" s="1" t="s">
        <v>13</v>
      </c>
      <c r="G4186" s="1" t="s">
        <v>11409</v>
      </c>
    </row>
    <row r="4187" spans="1:7" ht="21" x14ac:dyDescent="0.25">
      <c r="A4187" s="2" t="str">
        <f>HYPERLINK("https://rth.dk/resources/bsgatlas/details.php?id=BSGatlas-gene-4186","BSGatlas-gene-4186")</f>
        <v>BSGatlas-gene-4186</v>
      </c>
      <c r="B4187" s="1" t="s">
        <v>3825</v>
      </c>
      <c r="C4187" s="1" t="s">
        <v>8</v>
      </c>
      <c r="D4187" s="1">
        <v>3694239</v>
      </c>
      <c r="E4187" s="1">
        <v>3695207</v>
      </c>
      <c r="F4187" s="1" t="s">
        <v>9</v>
      </c>
      <c r="G4187" s="1" t="s">
        <v>11409</v>
      </c>
    </row>
    <row r="4188" spans="1:7" ht="21" x14ac:dyDescent="0.25">
      <c r="A4188" s="2" t="str">
        <f>HYPERLINK("https://rth.dk/resources/bsgatlas/details.php?id=BSGatlas-gene-4187","BSGatlas-gene-4187")</f>
        <v>BSGatlas-gene-4187</v>
      </c>
      <c r="B4188" s="1" t="s">
        <v>3826</v>
      </c>
      <c r="C4188" s="1" t="s">
        <v>8</v>
      </c>
      <c r="D4188" s="1">
        <v>3695363</v>
      </c>
      <c r="E4188" s="1">
        <v>3696223</v>
      </c>
      <c r="F4188" s="1" t="s">
        <v>9</v>
      </c>
      <c r="G4188" s="1" t="s">
        <v>11409</v>
      </c>
    </row>
    <row r="4189" spans="1:7" ht="21" x14ac:dyDescent="0.25">
      <c r="A4189" s="2" t="str">
        <f>HYPERLINK("https://rth.dk/resources/bsgatlas/details.php?id=BSGatlas-gene-4188","BSGatlas-gene-4188")</f>
        <v>BSGatlas-gene-4188</v>
      </c>
      <c r="B4189" s="1" t="s">
        <v>3827</v>
      </c>
      <c r="C4189" s="1" t="s">
        <v>8</v>
      </c>
      <c r="D4189" s="1">
        <v>3696257</v>
      </c>
      <c r="E4189" s="1">
        <v>3697498</v>
      </c>
      <c r="F4189" s="1" t="s">
        <v>13</v>
      </c>
      <c r="G4189" s="1" t="s">
        <v>11409</v>
      </c>
    </row>
    <row r="4190" spans="1:7" ht="21" x14ac:dyDescent="0.25">
      <c r="A4190" s="2" t="str">
        <f>HYPERLINK("https://rth.dk/resources/bsgatlas/details.php?id=BSGatlas-gene-4189","BSGatlas-gene-4189")</f>
        <v>BSGatlas-gene-4189</v>
      </c>
      <c r="B4190" s="1" t="s">
        <v>3828</v>
      </c>
      <c r="C4190" s="1" t="s">
        <v>8</v>
      </c>
      <c r="D4190" s="1">
        <v>3697639</v>
      </c>
      <c r="E4190" s="1">
        <v>3697806</v>
      </c>
      <c r="F4190" s="1" t="s">
        <v>13</v>
      </c>
      <c r="G4190" s="1" t="s">
        <v>11409</v>
      </c>
    </row>
    <row r="4191" spans="1:7" ht="21" x14ac:dyDescent="0.25">
      <c r="A4191" s="2" t="str">
        <f>HYPERLINK("https://rth.dk/resources/bsgatlas/details.php?id=BSGatlas-gene-4190","BSGatlas-gene-4190")</f>
        <v>BSGatlas-gene-4190</v>
      </c>
      <c r="B4191" s="1" t="s">
        <v>3829</v>
      </c>
      <c r="C4191" s="1" t="s">
        <v>8</v>
      </c>
      <c r="D4191" s="1">
        <v>3697821</v>
      </c>
      <c r="E4191" s="1">
        <v>3698963</v>
      </c>
      <c r="F4191" s="1" t="s">
        <v>13</v>
      </c>
      <c r="G4191" s="1" t="s">
        <v>11409</v>
      </c>
    </row>
    <row r="4192" spans="1:7" ht="21" x14ac:dyDescent="0.25">
      <c r="A4192" s="2" t="str">
        <f>HYPERLINK("https://rth.dk/resources/bsgatlas/details.php?id=BSGatlas-gene-4191","BSGatlas-gene-4191")</f>
        <v>BSGatlas-gene-4191</v>
      </c>
      <c r="B4192" s="1" t="s">
        <v>3830</v>
      </c>
      <c r="C4192" s="1" t="s">
        <v>8</v>
      </c>
      <c r="D4192" s="1">
        <v>3698982</v>
      </c>
      <c r="E4192" s="1">
        <v>3699431</v>
      </c>
      <c r="F4192" s="1" t="s">
        <v>13</v>
      </c>
      <c r="G4192" s="1" t="s">
        <v>11409</v>
      </c>
    </row>
    <row r="4193" spans="1:7" ht="21" x14ac:dyDescent="0.25">
      <c r="A4193" s="2" t="str">
        <f>HYPERLINK("https://rth.dk/resources/bsgatlas/details.php?id=BSGatlas-gene-4192","BSGatlas-gene-4192")</f>
        <v>BSGatlas-gene-4192</v>
      </c>
      <c r="B4193" s="1" t="s">
        <v>3831</v>
      </c>
      <c r="C4193" s="1" t="s">
        <v>8</v>
      </c>
      <c r="D4193" s="1">
        <v>3699446</v>
      </c>
      <c r="E4193" s="1">
        <v>3700627</v>
      </c>
      <c r="F4193" s="1" t="s">
        <v>13</v>
      </c>
      <c r="G4193" s="1" t="s">
        <v>11409</v>
      </c>
    </row>
    <row r="4194" spans="1:7" ht="21" x14ac:dyDescent="0.25">
      <c r="A4194" s="2" t="str">
        <f>HYPERLINK("https://rth.dk/resources/bsgatlas/details.php?id=BSGatlas-gene-4193","BSGatlas-gene-4193")</f>
        <v>BSGatlas-gene-4193</v>
      </c>
      <c r="B4194" s="1" t="s">
        <v>3832</v>
      </c>
      <c r="C4194" s="1" t="s">
        <v>8</v>
      </c>
      <c r="D4194" s="1">
        <v>3701411</v>
      </c>
      <c r="E4194" s="1">
        <v>3702391</v>
      </c>
      <c r="F4194" s="1" t="s">
        <v>9</v>
      </c>
      <c r="G4194" s="1" t="s">
        <v>11409</v>
      </c>
    </row>
    <row r="4195" spans="1:7" ht="21" x14ac:dyDescent="0.25">
      <c r="A4195" s="2" t="str">
        <f>HYPERLINK("https://rth.dk/resources/bsgatlas/details.php?id=BSGatlas-gene-4194","BSGatlas-gene-4194")</f>
        <v>BSGatlas-gene-4194</v>
      </c>
      <c r="B4195" s="1" t="s">
        <v>3833</v>
      </c>
      <c r="C4195" s="1" t="s">
        <v>8</v>
      </c>
      <c r="D4195" s="1">
        <v>3702393</v>
      </c>
      <c r="E4195" s="1">
        <v>3703274</v>
      </c>
      <c r="F4195" s="1" t="s">
        <v>9</v>
      </c>
      <c r="G4195" s="1" t="s">
        <v>11409</v>
      </c>
    </row>
    <row r="4196" spans="1:7" ht="21" x14ac:dyDescent="0.25">
      <c r="A4196" s="2" t="str">
        <f>HYPERLINK("https://rth.dk/resources/bsgatlas/details.php?id=BSGatlas-gene-4195","BSGatlas-gene-4195")</f>
        <v>BSGatlas-gene-4195</v>
      </c>
      <c r="B4196" s="1" t="s">
        <v>3834</v>
      </c>
      <c r="C4196" s="1" t="s">
        <v>8</v>
      </c>
      <c r="D4196" s="1">
        <v>3703271</v>
      </c>
      <c r="E4196" s="1">
        <v>3703666</v>
      </c>
      <c r="F4196" s="1" t="s">
        <v>9</v>
      </c>
      <c r="G4196" s="1" t="s">
        <v>11409</v>
      </c>
    </row>
    <row r="4197" spans="1:7" ht="21" x14ac:dyDescent="0.25">
      <c r="A4197" s="2" t="str">
        <f>HYPERLINK("https://rth.dk/resources/bsgatlas/details.php?id=BSGatlas-gene-4196","BSGatlas-gene-4196")</f>
        <v>BSGatlas-gene-4196</v>
      </c>
      <c r="B4197" s="1" t="s">
        <v>3835</v>
      </c>
      <c r="C4197" s="1" t="s">
        <v>8</v>
      </c>
      <c r="D4197" s="1">
        <v>3703682</v>
      </c>
      <c r="E4197" s="1">
        <v>3705163</v>
      </c>
      <c r="F4197" s="1" t="s">
        <v>9</v>
      </c>
      <c r="G4197" s="1" t="s">
        <v>11409</v>
      </c>
    </row>
    <row r="4198" spans="1:7" ht="21" x14ac:dyDescent="0.25">
      <c r="A4198" s="2" t="str">
        <f>HYPERLINK("https://rth.dk/resources/bsgatlas/details.php?id=BSGatlas-gene-4197","BSGatlas-gene-4197")</f>
        <v>BSGatlas-gene-4197</v>
      </c>
      <c r="B4198" s="1" t="s">
        <v>3836</v>
      </c>
      <c r="C4198" s="1" t="s">
        <v>8</v>
      </c>
      <c r="D4198" s="1">
        <v>3705165</v>
      </c>
      <c r="E4198" s="1">
        <v>3706133</v>
      </c>
      <c r="F4198" s="1" t="s">
        <v>9</v>
      </c>
      <c r="G4198" s="1" t="s">
        <v>11409</v>
      </c>
    </row>
    <row r="4199" spans="1:7" ht="21" x14ac:dyDescent="0.25">
      <c r="A4199" s="2" t="str">
        <f>HYPERLINK("https://rth.dk/resources/bsgatlas/details.php?id=BSGatlas-gene-4198","BSGatlas-gene-4198")</f>
        <v>BSGatlas-gene-4198</v>
      </c>
      <c r="B4199" s="1" t="s">
        <v>3837</v>
      </c>
      <c r="C4199" s="1" t="s">
        <v>8</v>
      </c>
      <c r="D4199" s="1">
        <v>3706145</v>
      </c>
      <c r="E4199" s="1">
        <v>3707062</v>
      </c>
      <c r="F4199" s="1" t="s">
        <v>9</v>
      </c>
      <c r="G4199" s="1" t="s">
        <v>11409</v>
      </c>
    </row>
    <row r="4200" spans="1:7" ht="21" x14ac:dyDescent="0.25">
      <c r="A4200" s="2" t="str">
        <f>HYPERLINK("https://rth.dk/resources/bsgatlas/details.php?id=BSGatlas-gene-4199","BSGatlas-gene-4199")</f>
        <v>BSGatlas-gene-4199</v>
      </c>
      <c r="B4200" s="1" t="s">
        <v>3838</v>
      </c>
      <c r="C4200" s="1" t="s">
        <v>8</v>
      </c>
      <c r="D4200" s="1">
        <v>3707144</v>
      </c>
      <c r="E4200" s="1">
        <v>3707680</v>
      </c>
      <c r="F4200" s="1" t="s">
        <v>9</v>
      </c>
      <c r="G4200" s="1" t="s">
        <v>11409</v>
      </c>
    </row>
    <row r="4201" spans="1:7" ht="21" x14ac:dyDescent="0.25">
      <c r="A4201" s="2" t="str">
        <f>HYPERLINK("https://rth.dk/resources/bsgatlas/details.php?id=BSGatlas-gene-4200","BSGatlas-gene-4200")</f>
        <v>BSGatlas-gene-4200</v>
      </c>
      <c r="B4201" s="1" t="s">
        <v>3839</v>
      </c>
      <c r="C4201" s="1" t="s">
        <v>8</v>
      </c>
      <c r="D4201" s="1">
        <v>3707836</v>
      </c>
      <c r="E4201" s="1">
        <v>3708132</v>
      </c>
      <c r="F4201" s="1" t="s">
        <v>9</v>
      </c>
      <c r="G4201" s="1" t="s">
        <v>11409</v>
      </c>
    </row>
    <row r="4202" spans="1:7" ht="21" x14ac:dyDescent="0.25">
      <c r="A4202" s="2" t="str">
        <f>HYPERLINK("https://rth.dk/resources/bsgatlas/details.php?id=BSGatlas-gene-4201","BSGatlas-gene-4201")</f>
        <v>BSGatlas-gene-4201</v>
      </c>
      <c r="B4202" s="1" t="s">
        <v>3840</v>
      </c>
      <c r="C4202" s="1" t="s">
        <v>8</v>
      </c>
      <c r="D4202" s="1">
        <v>3708172</v>
      </c>
      <c r="E4202" s="1">
        <v>3708699</v>
      </c>
      <c r="F4202" s="1" t="s">
        <v>13</v>
      </c>
      <c r="G4202" s="1" t="s">
        <v>11409</v>
      </c>
    </row>
    <row r="4203" spans="1:7" ht="21" x14ac:dyDescent="0.25">
      <c r="A4203" s="2" t="str">
        <f>HYPERLINK("https://rth.dk/resources/bsgatlas/details.php?id=BSGatlas-gene-4202","BSGatlas-gene-4202")</f>
        <v>BSGatlas-gene-4202</v>
      </c>
      <c r="B4203" s="1" t="s">
        <v>3841</v>
      </c>
      <c r="C4203" s="1" t="s">
        <v>8</v>
      </c>
      <c r="D4203" s="1">
        <v>3708799</v>
      </c>
      <c r="E4203" s="1">
        <v>3709566</v>
      </c>
      <c r="F4203" s="1" t="s">
        <v>13</v>
      </c>
      <c r="G4203" s="1" t="s">
        <v>11409</v>
      </c>
    </row>
    <row r="4204" spans="1:7" ht="21" x14ac:dyDescent="0.25">
      <c r="A4204" s="2" t="str">
        <f>HYPERLINK("https://rth.dk/resources/bsgatlas/details.php?id=BSGatlas-gene-4203","BSGatlas-gene-4203")</f>
        <v>BSGatlas-gene-4203</v>
      </c>
      <c r="B4204" s="1" t="s">
        <v>3842</v>
      </c>
      <c r="C4204" s="1" t="s">
        <v>8</v>
      </c>
      <c r="D4204" s="1">
        <v>3709628</v>
      </c>
      <c r="E4204" s="1">
        <v>3711340</v>
      </c>
      <c r="F4204" s="1" t="s">
        <v>13</v>
      </c>
      <c r="G4204" s="1" t="s">
        <v>11409</v>
      </c>
    </row>
    <row r="4205" spans="1:7" ht="21" x14ac:dyDescent="0.25">
      <c r="A4205" s="2" t="str">
        <f>HYPERLINK("https://rth.dk/resources/bsgatlas/details.php?id=BSGatlas-gene-4204","BSGatlas-gene-4204")</f>
        <v>BSGatlas-gene-4204</v>
      </c>
      <c r="B4205" s="1" t="s">
        <v>3843</v>
      </c>
      <c r="C4205" s="1" t="s">
        <v>8</v>
      </c>
      <c r="D4205" s="1">
        <v>3711498</v>
      </c>
      <c r="E4205" s="1">
        <v>3712406</v>
      </c>
      <c r="F4205" s="1" t="s">
        <v>9</v>
      </c>
      <c r="G4205" s="1" t="s">
        <v>11409</v>
      </c>
    </row>
    <row r="4206" spans="1:7" ht="21" x14ac:dyDescent="0.25">
      <c r="A4206" s="2" t="str">
        <f>HYPERLINK("https://rth.dk/resources/bsgatlas/details.php?id=BSGatlas-gene-4205","BSGatlas-gene-4205")</f>
        <v>BSGatlas-gene-4205</v>
      </c>
      <c r="B4206" s="1" t="s">
        <v>3844</v>
      </c>
      <c r="C4206" s="1" t="s">
        <v>8</v>
      </c>
      <c r="D4206" s="1">
        <v>3712617</v>
      </c>
      <c r="E4206" s="1">
        <v>3713945</v>
      </c>
      <c r="F4206" s="1" t="s">
        <v>9</v>
      </c>
      <c r="G4206" s="1" t="s">
        <v>11409</v>
      </c>
    </row>
    <row r="4207" spans="1:7" ht="21" x14ac:dyDescent="0.25">
      <c r="A4207" s="2" t="str">
        <f>HYPERLINK("https://rth.dk/resources/bsgatlas/details.php?id=BSGatlas-gene-4206","BSGatlas-gene-4206")</f>
        <v>BSGatlas-gene-4206</v>
      </c>
      <c r="B4207" s="1" t="s">
        <v>3845</v>
      </c>
      <c r="C4207" s="1" t="s">
        <v>8</v>
      </c>
      <c r="D4207" s="1">
        <v>3714002</v>
      </c>
      <c r="E4207" s="1">
        <v>3714679</v>
      </c>
      <c r="F4207" s="1" t="s">
        <v>13</v>
      </c>
      <c r="G4207" s="1" t="s">
        <v>11409</v>
      </c>
    </row>
    <row r="4208" spans="1:7" ht="21" x14ac:dyDescent="0.25">
      <c r="A4208" s="2" t="str">
        <f>HYPERLINK("https://rth.dk/resources/bsgatlas/details.php?id=BSGatlas-gene-4207","BSGatlas-gene-4207")</f>
        <v>BSGatlas-gene-4207</v>
      </c>
      <c r="B4208" s="1" t="s">
        <v>3846</v>
      </c>
      <c r="C4208" s="1" t="s">
        <v>8</v>
      </c>
      <c r="D4208" s="1">
        <v>3714739</v>
      </c>
      <c r="E4208" s="1">
        <v>3715881</v>
      </c>
      <c r="F4208" s="1" t="s">
        <v>13</v>
      </c>
      <c r="G4208" s="1" t="s">
        <v>11409</v>
      </c>
    </row>
    <row r="4209" spans="1:7" ht="21" x14ac:dyDescent="0.25">
      <c r="A4209" s="2" t="str">
        <f>HYPERLINK("https://rth.dk/resources/bsgatlas/details.php?id=BSGatlas-gene-4208","BSGatlas-gene-4208")</f>
        <v>BSGatlas-gene-4208</v>
      </c>
      <c r="B4209" s="1" t="s">
        <v>3847</v>
      </c>
      <c r="C4209" s="1" t="s">
        <v>8</v>
      </c>
      <c r="D4209" s="1">
        <v>3716009</v>
      </c>
      <c r="E4209" s="1">
        <v>3717097</v>
      </c>
      <c r="F4209" s="1" t="s">
        <v>13</v>
      </c>
      <c r="G4209" s="1" t="s">
        <v>11409</v>
      </c>
    </row>
    <row r="4210" spans="1:7" ht="21" x14ac:dyDescent="0.25">
      <c r="A4210" s="2" t="str">
        <f>HYPERLINK("https://rth.dk/resources/bsgatlas/details.php?id=BSGatlas-gene-4209","BSGatlas-gene-4209")</f>
        <v>BSGatlas-gene-4209</v>
      </c>
      <c r="B4210" s="1" t="s">
        <v>318</v>
      </c>
      <c r="C4210" s="1" t="s">
        <v>8</v>
      </c>
      <c r="D4210" s="1">
        <v>3717238</v>
      </c>
      <c r="E4210" s="1">
        <v>3717825</v>
      </c>
      <c r="F4210" s="1" t="s">
        <v>9</v>
      </c>
      <c r="G4210" s="1" t="s">
        <v>11409</v>
      </c>
    </row>
    <row r="4211" spans="1:7" ht="21" x14ac:dyDescent="0.25">
      <c r="A4211" s="2" t="str">
        <f>HYPERLINK("https://rth.dk/resources/bsgatlas/details.php?id=BSGatlas-gene-4210","BSGatlas-gene-4210")</f>
        <v>BSGatlas-gene-4210</v>
      </c>
      <c r="B4211" s="1" t="s">
        <v>3848</v>
      </c>
      <c r="C4211" s="1" t="s">
        <v>12</v>
      </c>
      <c r="D4211" s="1">
        <v>3717709</v>
      </c>
      <c r="E4211" s="1">
        <v>3717906</v>
      </c>
      <c r="F4211" s="1" t="s">
        <v>13</v>
      </c>
      <c r="G4211" s="1" t="s">
        <v>11406</v>
      </c>
    </row>
    <row r="4212" spans="1:7" ht="21" x14ac:dyDescent="0.25">
      <c r="A4212" s="2" t="str">
        <f>HYPERLINK("https://rth.dk/resources/bsgatlas/details.php?id=BSGatlas-gene-4211","BSGatlas-gene-4211")</f>
        <v>BSGatlas-gene-4211</v>
      </c>
      <c r="B4212" s="1" t="s">
        <v>3849</v>
      </c>
      <c r="C4212" s="1" t="s">
        <v>8</v>
      </c>
      <c r="D4212" s="1">
        <v>3717999</v>
      </c>
      <c r="E4212" s="1">
        <v>3718616</v>
      </c>
      <c r="F4212" s="1" t="s">
        <v>9</v>
      </c>
      <c r="G4212" s="1" t="s">
        <v>11409</v>
      </c>
    </row>
    <row r="4213" spans="1:7" ht="21" x14ac:dyDescent="0.25">
      <c r="A4213" s="2" t="str">
        <f>HYPERLINK("https://rth.dk/resources/bsgatlas/details.php?id=BSGatlas-gene-4212","BSGatlas-gene-4212")</f>
        <v>BSGatlas-gene-4212</v>
      </c>
      <c r="B4213" s="1" t="s">
        <v>3851</v>
      </c>
      <c r="C4213" s="1" t="s">
        <v>8</v>
      </c>
      <c r="D4213" s="1">
        <v>3718794</v>
      </c>
      <c r="E4213" s="1">
        <v>3719129</v>
      </c>
      <c r="F4213" s="1" t="s">
        <v>9</v>
      </c>
      <c r="G4213" s="1" t="s">
        <v>11409</v>
      </c>
    </row>
    <row r="4214" spans="1:7" ht="21" x14ac:dyDescent="0.25">
      <c r="A4214" s="2" t="str">
        <f>HYPERLINK("https://rth.dk/resources/bsgatlas/details.php?id=BSGatlas-gene-4213","BSGatlas-gene-4213")</f>
        <v>BSGatlas-gene-4213</v>
      </c>
      <c r="B4214" s="1" t="s">
        <v>3850</v>
      </c>
      <c r="C4214" s="1" t="s">
        <v>8</v>
      </c>
      <c r="D4214" s="1">
        <v>3719134</v>
      </c>
      <c r="E4214" s="1">
        <v>3720711</v>
      </c>
      <c r="F4214" s="1" t="s">
        <v>13</v>
      </c>
      <c r="G4214" s="1" t="s">
        <v>11409</v>
      </c>
    </row>
    <row r="4215" spans="1:7" ht="21" x14ac:dyDescent="0.25">
      <c r="A4215" s="2" t="str">
        <f>HYPERLINK("https://rth.dk/resources/bsgatlas/details.php?id=BSGatlas-gene-4214","BSGatlas-gene-4214")</f>
        <v>BSGatlas-gene-4214</v>
      </c>
      <c r="B4215" s="1" t="s">
        <v>3852</v>
      </c>
      <c r="C4215" s="1" t="s">
        <v>8</v>
      </c>
      <c r="D4215" s="1">
        <v>3720925</v>
      </c>
      <c r="E4215" s="1">
        <v>3721401</v>
      </c>
      <c r="F4215" s="1" t="s">
        <v>9</v>
      </c>
      <c r="G4215" s="1" t="s">
        <v>11409</v>
      </c>
    </row>
    <row r="4216" spans="1:7" ht="21" x14ac:dyDescent="0.25">
      <c r="A4216" s="2" t="str">
        <f>HYPERLINK("https://rth.dk/resources/bsgatlas/details.php?id=BSGatlas-gene-4215","BSGatlas-gene-4215")</f>
        <v>BSGatlas-gene-4215</v>
      </c>
      <c r="B4216" s="1" t="s">
        <v>3853</v>
      </c>
      <c r="C4216" s="1" t="s">
        <v>8</v>
      </c>
      <c r="D4216" s="1">
        <v>3721415</v>
      </c>
      <c r="E4216" s="1">
        <v>3722008</v>
      </c>
      <c r="F4216" s="1" t="s">
        <v>9</v>
      </c>
      <c r="G4216" s="1" t="s">
        <v>11409</v>
      </c>
    </row>
    <row r="4217" spans="1:7" ht="21" x14ac:dyDescent="0.25">
      <c r="A4217" s="2" t="str">
        <f>HYPERLINK("https://rth.dk/resources/bsgatlas/details.php?id=BSGatlas-gene-4216","BSGatlas-gene-4216")</f>
        <v>BSGatlas-gene-4216</v>
      </c>
      <c r="B4217" s="1" t="s">
        <v>3854</v>
      </c>
      <c r="C4217" s="1" t="s">
        <v>8</v>
      </c>
      <c r="D4217" s="1">
        <v>3722005</v>
      </c>
      <c r="E4217" s="1">
        <v>3722541</v>
      </c>
      <c r="F4217" s="1" t="s">
        <v>9</v>
      </c>
      <c r="G4217" s="1" t="s">
        <v>11409</v>
      </c>
    </row>
    <row r="4218" spans="1:7" ht="21" x14ac:dyDescent="0.25">
      <c r="A4218" s="2" t="str">
        <f>HYPERLINK("https://rth.dk/resources/bsgatlas/details.php?id=BSGatlas-gene-4217","BSGatlas-gene-4217")</f>
        <v>BSGatlas-gene-4217</v>
      </c>
      <c r="B4218" s="1" t="s">
        <v>3855</v>
      </c>
      <c r="C4218" s="1" t="s">
        <v>8</v>
      </c>
      <c r="D4218" s="1">
        <v>3722568</v>
      </c>
      <c r="E4218" s="1">
        <v>3722789</v>
      </c>
      <c r="F4218" s="1" t="s">
        <v>13</v>
      </c>
      <c r="G4218" s="1" t="s">
        <v>11409</v>
      </c>
    </row>
    <row r="4219" spans="1:7" ht="21" x14ac:dyDescent="0.25">
      <c r="A4219" s="2" t="str">
        <f>HYPERLINK("https://rth.dk/resources/bsgatlas/details.php?id=BSGatlas-gene-4218","BSGatlas-gene-4218")</f>
        <v>BSGatlas-gene-4218</v>
      </c>
      <c r="B4219" s="1" t="s">
        <v>3857</v>
      </c>
      <c r="C4219" s="1" t="s">
        <v>8</v>
      </c>
      <c r="D4219" s="1">
        <v>3722786</v>
      </c>
      <c r="E4219" s="1">
        <v>3723331</v>
      </c>
      <c r="F4219" s="1" t="s">
        <v>13</v>
      </c>
      <c r="G4219" s="1" t="s">
        <v>11409</v>
      </c>
    </row>
    <row r="4220" spans="1:7" ht="21" x14ac:dyDescent="0.25">
      <c r="A4220" s="2" t="str">
        <f>HYPERLINK("https://rth.dk/resources/bsgatlas/details.php?id=BSGatlas-gene-4219","BSGatlas-gene-4219")</f>
        <v>BSGatlas-gene-4219</v>
      </c>
      <c r="B4220" s="1" t="s">
        <v>3856</v>
      </c>
      <c r="C4220" s="1" t="s">
        <v>8</v>
      </c>
      <c r="D4220" s="1">
        <v>3723454</v>
      </c>
      <c r="E4220" s="1">
        <v>3724335</v>
      </c>
      <c r="F4220" s="1" t="s">
        <v>9</v>
      </c>
      <c r="G4220" s="1" t="s">
        <v>11409</v>
      </c>
    </row>
    <row r="4221" spans="1:7" ht="21" x14ac:dyDescent="0.25">
      <c r="A4221" s="2" t="str">
        <f>HYPERLINK("https://rth.dk/resources/bsgatlas/details.php?id=BSGatlas-gene-4220","BSGatlas-gene-4220")</f>
        <v>BSGatlas-gene-4220</v>
      </c>
      <c r="B4221" s="1" t="s">
        <v>3858</v>
      </c>
      <c r="C4221" s="1" t="s">
        <v>8</v>
      </c>
      <c r="D4221" s="1">
        <v>3724420</v>
      </c>
      <c r="E4221" s="1">
        <v>3725136</v>
      </c>
      <c r="F4221" s="1" t="s">
        <v>13</v>
      </c>
      <c r="G4221" s="1" t="s">
        <v>11409</v>
      </c>
    </row>
    <row r="4222" spans="1:7" ht="21" x14ac:dyDescent="0.25">
      <c r="A4222" s="2" t="str">
        <f>HYPERLINK("https://rth.dk/resources/bsgatlas/details.php?id=BSGatlas-gene-4221","BSGatlas-gene-4221")</f>
        <v>BSGatlas-gene-4221</v>
      </c>
      <c r="B4222" s="1" t="s">
        <v>3859</v>
      </c>
      <c r="C4222" s="1" t="s">
        <v>8</v>
      </c>
      <c r="D4222" s="1">
        <v>3725146</v>
      </c>
      <c r="E4222" s="1">
        <v>3725610</v>
      </c>
      <c r="F4222" s="1" t="s">
        <v>13</v>
      </c>
      <c r="G4222" s="1" t="s">
        <v>11409</v>
      </c>
    </row>
    <row r="4223" spans="1:7" ht="21" x14ac:dyDescent="0.25">
      <c r="A4223" s="2" t="str">
        <f>HYPERLINK("https://rth.dk/resources/bsgatlas/details.php?id=BSGatlas-gene-4222","BSGatlas-gene-4222")</f>
        <v>BSGatlas-gene-4222</v>
      </c>
      <c r="B4223" s="1" t="s">
        <v>3860</v>
      </c>
      <c r="C4223" s="1" t="s">
        <v>8</v>
      </c>
      <c r="D4223" s="1">
        <v>3725600</v>
      </c>
      <c r="E4223" s="1">
        <v>3727408</v>
      </c>
      <c r="F4223" s="1" t="s">
        <v>13</v>
      </c>
      <c r="G4223" s="1" t="s">
        <v>11409</v>
      </c>
    </row>
    <row r="4224" spans="1:7" ht="21" x14ac:dyDescent="0.25">
      <c r="A4224" s="2" t="str">
        <f>HYPERLINK("https://rth.dk/resources/bsgatlas/details.php?id=BSGatlas-gene-4223","BSGatlas-gene-4223")</f>
        <v>BSGatlas-gene-4223</v>
      </c>
      <c r="B4224" s="1" t="s">
        <v>3861</v>
      </c>
      <c r="C4224" s="1" t="s">
        <v>8</v>
      </c>
      <c r="D4224" s="1">
        <v>3727427</v>
      </c>
      <c r="E4224" s="1">
        <v>3727687</v>
      </c>
      <c r="F4224" s="1" t="s">
        <v>13</v>
      </c>
      <c r="G4224" s="1" t="s">
        <v>11409</v>
      </c>
    </row>
    <row r="4225" spans="1:7" ht="21" x14ac:dyDescent="0.25">
      <c r="A4225" s="2" t="str">
        <f>HYPERLINK("https://rth.dk/resources/bsgatlas/details.php?id=BSGatlas-gene-4224","BSGatlas-gene-4224")</f>
        <v>BSGatlas-gene-4224</v>
      </c>
      <c r="B4225" s="1" t="s">
        <v>3862</v>
      </c>
      <c r="C4225" s="1" t="s">
        <v>8</v>
      </c>
      <c r="D4225" s="1">
        <v>3727697</v>
      </c>
      <c r="E4225" s="1">
        <v>3728119</v>
      </c>
      <c r="F4225" s="1" t="s">
        <v>13</v>
      </c>
      <c r="G4225" s="1" t="s">
        <v>11409</v>
      </c>
    </row>
    <row r="4226" spans="1:7" ht="21" x14ac:dyDescent="0.25">
      <c r="A4226" s="2" t="str">
        <f>HYPERLINK("https://rth.dk/resources/bsgatlas/details.php?id=BSGatlas-gene-4225","BSGatlas-gene-4225")</f>
        <v>BSGatlas-gene-4225</v>
      </c>
      <c r="B4226" s="1" t="s">
        <v>318</v>
      </c>
      <c r="C4226" s="1" t="s">
        <v>8</v>
      </c>
      <c r="D4226" s="1">
        <v>3728336</v>
      </c>
      <c r="E4226" s="1">
        <v>3728461</v>
      </c>
      <c r="F4226" s="1" t="s">
        <v>13</v>
      </c>
      <c r="G4226" s="1" t="s">
        <v>11441</v>
      </c>
    </row>
    <row r="4227" spans="1:7" ht="21" x14ac:dyDescent="0.25">
      <c r="A4227" s="2" t="str">
        <f>HYPERLINK("https://rth.dk/resources/bsgatlas/details.php?id=BSGatlas-gene-4226","BSGatlas-gene-4226")</f>
        <v>BSGatlas-gene-4226</v>
      </c>
      <c r="B4227" s="1" t="s">
        <v>3863</v>
      </c>
      <c r="C4227" s="1" t="s">
        <v>8</v>
      </c>
      <c r="D4227" s="1">
        <v>3728511</v>
      </c>
      <c r="E4227" s="1">
        <v>3729296</v>
      </c>
      <c r="F4227" s="1" t="s">
        <v>13</v>
      </c>
      <c r="G4227" s="1" t="s">
        <v>11409</v>
      </c>
    </row>
    <row r="4228" spans="1:7" ht="21" x14ac:dyDescent="0.25">
      <c r="A4228" s="2" t="str">
        <f>HYPERLINK("https://rth.dk/resources/bsgatlas/details.php?id=BSGatlas-gene-4227","BSGatlas-gene-4227")</f>
        <v>BSGatlas-gene-4227</v>
      </c>
      <c r="B4228" s="1" t="s">
        <v>3864</v>
      </c>
      <c r="C4228" s="1" t="s">
        <v>8</v>
      </c>
      <c r="D4228" s="1">
        <v>3729488</v>
      </c>
      <c r="E4228" s="1">
        <v>3730810</v>
      </c>
      <c r="F4228" s="1" t="s">
        <v>13</v>
      </c>
      <c r="G4228" s="1" t="s">
        <v>11409</v>
      </c>
    </row>
    <row r="4229" spans="1:7" ht="21" x14ac:dyDescent="0.25">
      <c r="A4229" s="2" t="str">
        <f>HYPERLINK("https://rth.dk/resources/bsgatlas/details.php?id=BSGatlas-gene-4228","BSGatlas-gene-4228")</f>
        <v>BSGatlas-gene-4228</v>
      </c>
      <c r="B4229" s="1" t="s">
        <v>3865</v>
      </c>
      <c r="C4229" s="1" t="s">
        <v>8</v>
      </c>
      <c r="D4229" s="1">
        <v>3731005</v>
      </c>
      <c r="E4229" s="1">
        <v>3731769</v>
      </c>
      <c r="F4229" s="1" t="s">
        <v>13</v>
      </c>
      <c r="G4229" s="1" t="s">
        <v>11409</v>
      </c>
    </row>
    <row r="4230" spans="1:7" ht="21" x14ac:dyDescent="0.25">
      <c r="A4230" s="2" t="str">
        <f>HYPERLINK("https://rth.dk/resources/bsgatlas/details.php?id=BSGatlas-gene-4229","BSGatlas-gene-4229")</f>
        <v>BSGatlas-gene-4229</v>
      </c>
      <c r="B4230" s="1" t="s">
        <v>3866</v>
      </c>
      <c r="C4230" s="1" t="s">
        <v>8</v>
      </c>
      <c r="D4230" s="1">
        <v>3731822</v>
      </c>
      <c r="E4230" s="1">
        <v>3732535</v>
      </c>
      <c r="F4230" s="1" t="s">
        <v>13</v>
      </c>
      <c r="G4230" s="1" t="s">
        <v>11409</v>
      </c>
    </row>
    <row r="4231" spans="1:7" ht="21" x14ac:dyDescent="0.25">
      <c r="A4231" s="2" t="str">
        <f>HYPERLINK("https://rth.dk/resources/bsgatlas/details.php?id=BSGatlas-gene-4230","BSGatlas-gene-4230")</f>
        <v>BSGatlas-gene-4230</v>
      </c>
      <c r="B4231" s="1" t="s">
        <v>3867</v>
      </c>
      <c r="C4231" s="1" t="s">
        <v>8</v>
      </c>
      <c r="D4231" s="1">
        <v>3732525</v>
      </c>
      <c r="E4231" s="1">
        <v>3733271</v>
      </c>
      <c r="F4231" s="1" t="s">
        <v>13</v>
      </c>
      <c r="G4231" s="1" t="s">
        <v>11409</v>
      </c>
    </row>
    <row r="4232" spans="1:7" ht="21" x14ac:dyDescent="0.25">
      <c r="A4232" s="2" t="str">
        <f>HYPERLINK("https://rth.dk/resources/bsgatlas/details.php?id=BSGatlas-gene-4231","BSGatlas-gene-4231")</f>
        <v>BSGatlas-gene-4231</v>
      </c>
      <c r="B4232" s="1" t="s">
        <v>3868</v>
      </c>
      <c r="C4232" s="1" t="s">
        <v>8</v>
      </c>
      <c r="D4232" s="1">
        <v>3733505</v>
      </c>
      <c r="E4232" s="1">
        <v>3733648</v>
      </c>
      <c r="F4232" s="1" t="s">
        <v>13</v>
      </c>
      <c r="G4232" s="1" t="s">
        <v>11409</v>
      </c>
    </row>
    <row r="4233" spans="1:7" ht="21" x14ac:dyDescent="0.25">
      <c r="A4233" s="2" t="str">
        <f>HYPERLINK("https://rth.dk/resources/bsgatlas/details.php?id=BSGatlas-gene-4232","BSGatlas-gene-4232")</f>
        <v>BSGatlas-gene-4232</v>
      </c>
      <c r="B4233" s="1" t="s">
        <v>3869</v>
      </c>
      <c r="C4233" s="1" t="s">
        <v>8</v>
      </c>
      <c r="D4233" s="1">
        <v>3733852</v>
      </c>
      <c r="E4233" s="1">
        <v>3735462</v>
      </c>
      <c r="F4233" s="1" t="s">
        <v>9</v>
      </c>
      <c r="G4233" s="1" t="s">
        <v>11409</v>
      </c>
    </row>
    <row r="4234" spans="1:7" ht="21" x14ac:dyDescent="0.25">
      <c r="A4234" s="2" t="str">
        <f>HYPERLINK("https://rth.dk/resources/bsgatlas/details.php?id=BSGatlas-gene-4233","BSGatlas-gene-4233")</f>
        <v>BSGatlas-gene-4233</v>
      </c>
      <c r="B4234" s="1" t="s">
        <v>3870</v>
      </c>
      <c r="C4234" s="1" t="s">
        <v>8</v>
      </c>
      <c r="D4234" s="1">
        <v>3735449</v>
      </c>
      <c r="E4234" s="1">
        <v>3738217</v>
      </c>
      <c r="F4234" s="1" t="s">
        <v>9</v>
      </c>
      <c r="G4234" s="1" t="s">
        <v>11409</v>
      </c>
    </row>
    <row r="4235" spans="1:7" ht="21" x14ac:dyDescent="0.25">
      <c r="A4235" s="2" t="str">
        <f>HYPERLINK("https://rth.dk/resources/bsgatlas/details.php?id=BSGatlas-gene-4234","BSGatlas-gene-4234")</f>
        <v>BSGatlas-gene-4234</v>
      </c>
      <c r="B4235" s="1" t="s">
        <v>3871</v>
      </c>
      <c r="C4235" s="1" t="s">
        <v>8</v>
      </c>
      <c r="D4235" s="1">
        <v>3738343</v>
      </c>
      <c r="E4235" s="1">
        <v>3739200</v>
      </c>
      <c r="F4235" s="1" t="s">
        <v>13</v>
      </c>
      <c r="G4235" s="1" t="s">
        <v>11409</v>
      </c>
    </row>
    <row r="4236" spans="1:7" ht="21" x14ac:dyDescent="0.25">
      <c r="A4236" s="2" t="str">
        <f>HYPERLINK("https://rth.dk/resources/bsgatlas/details.php?id=BSGatlas-gene-4235","BSGatlas-gene-4235")</f>
        <v>BSGatlas-gene-4235</v>
      </c>
      <c r="B4236" s="1" t="s">
        <v>3872</v>
      </c>
      <c r="C4236" s="1" t="s">
        <v>8</v>
      </c>
      <c r="D4236" s="1">
        <v>3739206</v>
      </c>
      <c r="E4236" s="1">
        <v>3739982</v>
      </c>
      <c r="F4236" s="1" t="s">
        <v>13</v>
      </c>
      <c r="G4236" s="1" t="s">
        <v>11409</v>
      </c>
    </row>
    <row r="4237" spans="1:7" ht="21" x14ac:dyDescent="0.25">
      <c r="A4237" s="2" t="str">
        <f>HYPERLINK("https://rth.dk/resources/bsgatlas/details.php?id=BSGatlas-gene-4236","BSGatlas-gene-4236")</f>
        <v>BSGatlas-gene-4236</v>
      </c>
      <c r="B4237" s="1" t="s">
        <v>3873</v>
      </c>
      <c r="C4237" s="1" t="s">
        <v>8</v>
      </c>
      <c r="D4237" s="1">
        <v>3740206</v>
      </c>
      <c r="E4237" s="1">
        <v>3740547</v>
      </c>
      <c r="F4237" s="1" t="s">
        <v>13</v>
      </c>
      <c r="G4237" s="1" t="s">
        <v>11409</v>
      </c>
    </row>
    <row r="4238" spans="1:7" ht="21" x14ac:dyDescent="0.25">
      <c r="A4238" s="2" t="str">
        <f>HYPERLINK("https://rth.dk/resources/bsgatlas/details.php?id=BSGatlas-gene-4237","BSGatlas-gene-4237")</f>
        <v>BSGatlas-gene-4237</v>
      </c>
      <c r="B4238" s="1" t="s">
        <v>3874</v>
      </c>
      <c r="C4238" s="1" t="s">
        <v>8</v>
      </c>
      <c r="D4238" s="1">
        <v>3740624</v>
      </c>
      <c r="E4238" s="1">
        <v>3741007</v>
      </c>
      <c r="F4238" s="1" t="s">
        <v>13</v>
      </c>
      <c r="G4238" s="1" t="s">
        <v>11409</v>
      </c>
    </row>
    <row r="4239" spans="1:7" ht="21" x14ac:dyDescent="0.25">
      <c r="A4239" s="2" t="str">
        <f>HYPERLINK("https://rth.dk/resources/bsgatlas/details.php?id=BSGatlas-gene-4238","BSGatlas-gene-4238")</f>
        <v>BSGatlas-gene-4238</v>
      </c>
      <c r="B4239" s="1" t="s">
        <v>3875</v>
      </c>
      <c r="C4239" s="1" t="s">
        <v>8</v>
      </c>
      <c r="D4239" s="1">
        <v>3741182</v>
      </c>
      <c r="E4239" s="1">
        <v>3741592</v>
      </c>
      <c r="F4239" s="1" t="s">
        <v>9</v>
      </c>
      <c r="G4239" s="1" t="s">
        <v>11409</v>
      </c>
    </row>
    <row r="4240" spans="1:7" ht="21" x14ac:dyDescent="0.25">
      <c r="A4240" s="2" t="str">
        <f>HYPERLINK("https://rth.dk/resources/bsgatlas/details.php?id=BSGatlas-gene-4239","BSGatlas-gene-4239")</f>
        <v>BSGatlas-gene-4239</v>
      </c>
      <c r="B4240" s="1" t="s">
        <v>3876</v>
      </c>
      <c r="C4240" s="1" t="s">
        <v>8</v>
      </c>
      <c r="D4240" s="1">
        <v>3741732</v>
      </c>
      <c r="E4240" s="1">
        <v>3742040</v>
      </c>
      <c r="F4240" s="1" t="s">
        <v>13</v>
      </c>
      <c r="G4240" s="1" t="s">
        <v>11409</v>
      </c>
    </row>
    <row r="4241" spans="1:7" ht="21" x14ac:dyDescent="0.25">
      <c r="A4241" s="2" t="str">
        <f>HYPERLINK("https://rth.dk/resources/bsgatlas/details.php?id=BSGatlas-gene-4240","BSGatlas-gene-4240")</f>
        <v>BSGatlas-gene-4240</v>
      </c>
      <c r="B4241" s="1" t="s">
        <v>3877</v>
      </c>
      <c r="C4241" s="1" t="s">
        <v>8</v>
      </c>
      <c r="D4241" s="1">
        <v>3742384</v>
      </c>
      <c r="E4241" s="1">
        <v>3743220</v>
      </c>
      <c r="F4241" s="1" t="s">
        <v>9</v>
      </c>
      <c r="G4241" s="1" t="s">
        <v>11409</v>
      </c>
    </row>
    <row r="4242" spans="1:7" ht="21" x14ac:dyDescent="0.25">
      <c r="A4242" s="2" t="str">
        <f>HYPERLINK("https://rth.dk/resources/bsgatlas/details.php?id=BSGatlas-gene-4241","BSGatlas-gene-4241")</f>
        <v>BSGatlas-gene-4241</v>
      </c>
      <c r="B4242" s="1" t="s">
        <v>3878</v>
      </c>
      <c r="C4242" s="1" t="s">
        <v>8</v>
      </c>
      <c r="D4242" s="1">
        <v>3743267</v>
      </c>
      <c r="E4242" s="1">
        <v>3743659</v>
      </c>
      <c r="F4242" s="1" t="s">
        <v>13</v>
      </c>
      <c r="G4242" s="1" t="s">
        <v>11409</v>
      </c>
    </row>
    <row r="4243" spans="1:7" ht="21" x14ac:dyDescent="0.25">
      <c r="A4243" s="2" t="str">
        <f>HYPERLINK("https://rth.dk/resources/bsgatlas/details.php?id=BSGatlas-gene-4242","BSGatlas-gene-4242")</f>
        <v>BSGatlas-gene-4242</v>
      </c>
      <c r="B4243" s="1" t="s">
        <v>3879</v>
      </c>
      <c r="C4243" s="1" t="s">
        <v>8</v>
      </c>
      <c r="D4243" s="1">
        <v>3743732</v>
      </c>
      <c r="E4243" s="1">
        <v>3744157</v>
      </c>
      <c r="F4243" s="1" t="s">
        <v>13</v>
      </c>
      <c r="G4243" s="1" t="s">
        <v>11409</v>
      </c>
    </row>
    <row r="4244" spans="1:7" ht="21" x14ac:dyDescent="0.25">
      <c r="A4244" s="2" t="str">
        <f>HYPERLINK("https://rth.dk/resources/bsgatlas/details.php?id=BSGatlas-gene-4243","BSGatlas-gene-4243")</f>
        <v>BSGatlas-gene-4243</v>
      </c>
      <c r="B4244" s="1" t="s">
        <v>3880</v>
      </c>
      <c r="C4244" s="1" t="s">
        <v>8</v>
      </c>
      <c r="D4244" s="1">
        <v>3744349</v>
      </c>
      <c r="E4244" s="1">
        <v>3745413</v>
      </c>
      <c r="F4244" s="1" t="s">
        <v>9</v>
      </c>
      <c r="G4244" s="1" t="s">
        <v>11409</v>
      </c>
    </row>
    <row r="4245" spans="1:7" ht="21" x14ac:dyDescent="0.25">
      <c r="A4245" s="2" t="str">
        <f>HYPERLINK("https://rth.dk/resources/bsgatlas/details.php?id=BSGatlas-gene-4244","BSGatlas-gene-4244")</f>
        <v>BSGatlas-gene-4244</v>
      </c>
      <c r="B4245" s="1" t="s">
        <v>3881</v>
      </c>
      <c r="C4245" s="1" t="s">
        <v>8</v>
      </c>
      <c r="D4245" s="1">
        <v>3745436</v>
      </c>
      <c r="E4245" s="1">
        <v>3746245</v>
      </c>
      <c r="F4245" s="1" t="s">
        <v>13</v>
      </c>
      <c r="G4245" s="1" t="s">
        <v>11409</v>
      </c>
    </row>
    <row r="4246" spans="1:7" ht="21" x14ac:dyDescent="0.25">
      <c r="A4246" s="2" t="str">
        <f>HYPERLINK("https://rth.dk/resources/bsgatlas/details.php?id=BSGatlas-gene-4245","BSGatlas-gene-4245")</f>
        <v>BSGatlas-gene-4245</v>
      </c>
      <c r="B4246" s="1" t="s">
        <v>3882</v>
      </c>
      <c r="C4246" s="1" t="s">
        <v>8</v>
      </c>
      <c r="D4246" s="1">
        <v>3746279</v>
      </c>
      <c r="E4246" s="1">
        <v>3747091</v>
      </c>
      <c r="F4246" s="1" t="s">
        <v>13</v>
      </c>
      <c r="G4246" s="1" t="s">
        <v>11409</v>
      </c>
    </row>
    <row r="4247" spans="1:7" ht="21" x14ac:dyDescent="0.25">
      <c r="A4247" s="2" t="str">
        <f>HYPERLINK("https://rth.dk/resources/bsgatlas/details.php?id=BSGatlas-gene-4246","BSGatlas-gene-4246")</f>
        <v>BSGatlas-gene-4246</v>
      </c>
      <c r="B4247" s="1" t="s">
        <v>3883</v>
      </c>
      <c r="C4247" s="1" t="s">
        <v>8</v>
      </c>
      <c r="D4247" s="1">
        <v>3747254</v>
      </c>
      <c r="E4247" s="1">
        <v>3748255</v>
      </c>
      <c r="F4247" s="1" t="s">
        <v>13</v>
      </c>
      <c r="G4247" s="1" t="s">
        <v>11409</v>
      </c>
    </row>
    <row r="4248" spans="1:7" ht="21" x14ac:dyDescent="0.25">
      <c r="A4248" s="2" t="str">
        <f>HYPERLINK("https://rth.dk/resources/bsgatlas/details.php?id=BSGatlas-gene-4247","BSGatlas-gene-4247")</f>
        <v>BSGatlas-gene-4247</v>
      </c>
      <c r="B4248" s="1" t="s">
        <v>3884</v>
      </c>
      <c r="C4248" s="1" t="s">
        <v>8</v>
      </c>
      <c r="D4248" s="1">
        <v>3748421</v>
      </c>
      <c r="E4248" s="1">
        <v>3748702</v>
      </c>
      <c r="F4248" s="1" t="s">
        <v>13</v>
      </c>
      <c r="G4248" s="1" t="s">
        <v>11409</v>
      </c>
    </row>
    <row r="4249" spans="1:7" ht="21" x14ac:dyDescent="0.25">
      <c r="A4249" s="2" t="str">
        <f>HYPERLINK("https://rth.dk/resources/bsgatlas/details.php?id=BSGatlas-gene-4248","BSGatlas-gene-4248")</f>
        <v>BSGatlas-gene-4248</v>
      </c>
      <c r="B4249" s="1" t="s">
        <v>3885</v>
      </c>
      <c r="C4249" s="1" t="s">
        <v>8</v>
      </c>
      <c r="D4249" s="1">
        <v>3748717</v>
      </c>
      <c r="E4249" s="1">
        <v>3748827</v>
      </c>
      <c r="F4249" s="1" t="s">
        <v>13</v>
      </c>
      <c r="G4249" s="1" t="s">
        <v>11409</v>
      </c>
    </row>
    <row r="4250" spans="1:7" ht="21" x14ac:dyDescent="0.25">
      <c r="A4250" s="2" t="str">
        <f>HYPERLINK("https://rth.dk/resources/bsgatlas/details.php?id=BSGatlas-gene-4249","BSGatlas-gene-4249")</f>
        <v>BSGatlas-gene-4249</v>
      </c>
      <c r="B4250" s="1" t="s">
        <v>3886</v>
      </c>
      <c r="C4250" s="1" t="s">
        <v>8</v>
      </c>
      <c r="D4250" s="1">
        <v>3749052</v>
      </c>
      <c r="E4250" s="1">
        <v>3749465</v>
      </c>
      <c r="F4250" s="1" t="s">
        <v>9</v>
      </c>
      <c r="G4250" s="1" t="s">
        <v>11409</v>
      </c>
    </row>
    <row r="4251" spans="1:7" ht="21" x14ac:dyDescent="0.25">
      <c r="A4251" s="2" t="str">
        <f>HYPERLINK("https://rth.dk/resources/bsgatlas/details.php?id=BSGatlas-gene-4250","BSGatlas-gene-4250")</f>
        <v>BSGatlas-gene-4250</v>
      </c>
      <c r="B4251" s="1" t="s">
        <v>3887</v>
      </c>
      <c r="C4251" s="1" t="s">
        <v>8</v>
      </c>
      <c r="D4251" s="1">
        <v>3749487</v>
      </c>
      <c r="E4251" s="1">
        <v>3750677</v>
      </c>
      <c r="F4251" s="1" t="s">
        <v>9</v>
      </c>
      <c r="G4251" s="1" t="s">
        <v>11409</v>
      </c>
    </row>
    <row r="4252" spans="1:7" ht="21" x14ac:dyDescent="0.25">
      <c r="A4252" s="2" t="str">
        <f>HYPERLINK("https://rth.dk/resources/bsgatlas/details.php?id=BSGatlas-gene-4251","BSGatlas-gene-4251")</f>
        <v>BSGatlas-gene-4251</v>
      </c>
      <c r="B4252" s="1" t="s">
        <v>3888</v>
      </c>
      <c r="C4252" s="1" t="s">
        <v>8</v>
      </c>
      <c r="D4252" s="1">
        <v>3750768</v>
      </c>
      <c r="E4252" s="1">
        <v>3752174</v>
      </c>
      <c r="F4252" s="1" t="s">
        <v>13</v>
      </c>
      <c r="G4252" s="1" t="s">
        <v>11409</v>
      </c>
    </row>
    <row r="4253" spans="1:7" ht="21" x14ac:dyDescent="0.25">
      <c r="A4253" s="2" t="str">
        <f>HYPERLINK("https://rth.dk/resources/bsgatlas/details.php?id=BSGatlas-gene-4252","BSGatlas-gene-4252")</f>
        <v>BSGatlas-gene-4252</v>
      </c>
      <c r="B4253" s="1" t="s">
        <v>3889</v>
      </c>
      <c r="C4253" s="1" t="s">
        <v>8</v>
      </c>
      <c r="D4253" s="1">
        <v>3752280</v>
      </c>
      <c r="E4253" s="1">
        <v>3753752</v>
      </c>
      <c r="F4253" s="1" t="s">
        <v>13</v>
      </c>
      <c r="G4253" s="1" t="s">
        <v>11409</v>
      </c>
    </row>
    <row r="4254" spans="1:7" ht="21" x14ac:dyDescent="0.25">
      <c r="A4254" s="2" t="str">
        <f>HYPERLINK("https://rth.dk/resources/bsgatlas/details.php?id=BSGatlas-gene-4253","BSGatlas-gene-4253")</f>
        <v>BSGatlas-gene-4253</v>
      </c>
      <c r="B4254" s="1" t="s">
        <v>3890</v>
      </c>
      <c r="C4254" s="1" t="s">
        <v>8</v>
      </c>
      <c r="D4254" s="1">
        <v>3753933</v>
      </c>
      <c r="E4254" s="1">
        <v>3755291</v>
      </c>
      <c r="F4254" s="1" t="s">
        <v>13</v>
      </c>
      <c r="G4254" s="1" t="s">
        <v>11409</v>
      </c>
    </row>
    <row r="4255" spans="1:7" ht="21" x14ac:dyDescent="0.25">
      <c r="A4255" s="2" t="str">
        <f>HYPERLINK("https://rth.dk/resources/bsgatlas/details.php?id=BSGatlas-gene-4254","BSGatlas-gene-4254")</f>
        <v>BSGatlas-gene-4254</v>
      </c>
      <c r="B4255" s="1" t="s">
        <v>3891</v>
      </c>
      <c r="C4255" s="1" t="s">
        <v>8</v>
      </c>
      <c r="D4255" s="1">
        <v>3755291</v>
      </c>
      <c r="E4255" s="1">
        <v>3755860</v>
      </c>
      <c r="F4255" s="1" t="s">
        <v>13</v>
      </c>
      <c r="G4255" s="1" t="s">
        <v>11409</v>
      </c>
    </row>
    <row r="4256" spans="1:7" ht="21" x14ac:dyDescent="0.25">
      <c r="A4256" s="2" t="str">
        <f>HYPERLINK("https://rth.dk/resources/bsgatlas/details.php?id=BSGatlas-gene-4255","BSGatlas-gene-4255")</f>
        <v>BSGatlas-gene-4255</v>
      </c>
      <c r="B4256" s="1" t="s">
        <v>318</v>
      </c>
      <c r="C4256" s="1" t="s">
        <v>276</v>
      </c>
      <c r="D4256" s="1">
        <v>3755967</v>
      </c>
      <c r="E4256" s="1">
        <v>3756134</v>
      </c>
      <c r="F4256" s="1" t="s">
        <v>13</v>
      </c>
      <c r="G4256" s="1" t="s">
        <v>11441</v>
      </c>
    </row>
    <row r="4257" spans="1:7" ht="21" x14ac:dyDescent="0.25">
      <c r="A4257" s="2" t="str">
        <f>HYPERLINK("https://rth.dk/resources/bsgatlas/details.php?id=BSGatlas-gene-4256","BSGatlas-gene-4256")</f>
        <v>BSGatlas-gene-4256</v>
      </c>
      <c r="B4257" s="1" t="s">
        <v>3892</v>
      </c>
      <c r="C4257" s="1" t="s">
        <v>8</v>
      </c>
      <c r="D4257" s="1">
        <v>3756044</v>
      </c>
      <c r="E4257" s="1">
        <v>3756508</v>
      </c>
      <c r="F4257" s="1" t="s">
        <v>13</v>
      </c>
      <c r="G4257" s="1" t="s">
        <v>11409</v>
      </c>
    </row>
    <row r="4258" spans="1:7" ht="21" x14ac:dyDescent="0.25">
      <c r="A4258" s="2" t="str">
        <f>HYPERLINK("https://rth.dk/resources/bsgatlas/details.php?id=BSGatlas-gene-4257","BSGatlas-gene-4257")</f>
        <v>BSGatlas-gene-4257</v>
      </c>
      <c r="B4258" s="1" t="s">
        <v>3893</v>
      </c>
      <c r="C4258" s="1" t="s">
        <v>8</v>
      </c>
      <c r="D4258" s="1">
        <v>3756790</v>
      </c>
      <c r="E4258" s="1">
        <v>3758004</v>
      </c>
      <c r="F4258" s="1" t="s">
        <v>9</v>
      </c>
      <c r="G4258" s="1" t="s">
        <v>11409</v>
      </c>
    </row>
    <row r="4259" spans="1:7" ht="21" x14ac:dyDescent="0.25">
      <c r="A4259" s="2" t="str">
        <f>HYPERLINK("https://rth.dk/resources/bsgatlas/details.php?id=BSGatlas-gene-4258","BSGatlas-gene-4258")</f>
        <v>BSGatlas-gene-4258</v>
      </c>
      <c r="B4259" s="1" t="s">
        <v>3894</v>
      </c>
      <c r="C4259" s="1" t="s">
        <v>8</v>
      </c>
      <c r="D4259" s="1">
        <v>3758016</v>
      </c>
      <c r="E4259" s="1">
        <v>3758366</v>
      </c>
      <c r="F4259" s="1" t="s">
        <v>9</v>
      </c>
      <c r="G4259" s="1" t="s">
        <v>11409</v>
      </c>
    </row>
    <row r="4260" spans="1:7" ht="21" x14ac:dyDescent="0.25">
      <c r="A4260" s="2" t="str">
        <f>HYPERLINK("https://rth.dk/resources/bsgatlas/details.php?id=BSGatlas-gene-4259","BSGatlas-gene-4259")</f>
        <v>BSGatlas-gene-4259</v>
      </c>
      <c r="B4260" s="1" t="s">
        <v>3895</v>
      </c>
      <c r="C4260" s="1" t="s">
        <v>8</v>
      </c>
      <c r="D4260" s="1">
        <v>3758547</v>
      </c>
      <c r="E4260" s="1">
        <v>3759128</v>
      </c>
      <c r="F4260" s="1" t="s">
        <v>9</v>
      </c>
      <c r="G4260" s="1" t="s">
        <v>11409</v>
      </c>
    </row>
    <row r="4261" spans="1:7" ht="21" x14ac:dyDescent="0.25">
      <c r="A4261" s="2" t="str">
        <f>HYPERLINK("https://rth.dk/resources/bsgatlas/details.php?id=BSGatlas-gene-4260","BSGatlas-gene-4260")</f>
        <v>BSGatlas-gene-4260</v>
      </c>
      <c r="B4261" s="1" t="s">
        <v>3896</v>
      </c>
      <c r="C4261" s="1" t="s">
        <v>8</v>
      </c>
      <c r="D4261" s="1">
        <v>3759169</v>
      </c>
      <c r="E4261" s="1">
        <v>3759591</v>
      </c>
      <c r="F4261" s="1" t="s">
        <v>13</v>
      </c>
      <c r="G4261" s="1" t="s">
        <v>11409</v>
      </c>
    </row>
    <row r="4262" spans="1:7" ht="21" x14ac:dyDescent="0.25">
      <c r="A4262" s="2" t="str">
        <f>HYPERLINK("https://rth.dk/resources/bsgatlas/details.php?id=BSGatlas-gene-4261","BSGatlas-gene-4261")</f>
        <v>BSGatlas-gene-4261</v>
      </c>
      <c r="B4262" s="1" t="s">
        <v>3897</v>
      </c>
      <c r="C4262" s="1" t="s">
        <v>8</v>
      </c>
      <c r="D4262" s="1">
        <v>3759702</v>
      </c>
      <c r="E4262" s="1">
        <v>3760553</v>
      </c>
      <c r="F4262" s="1" t="s">
        <v>13</v>
      </c>
      <c r="G4262" s="1" t="s">
        <v>11409</v>
      </c>
    </row>
    <row r="4263" spans="1:7" ht="21" x14ac:dyDescent="0.25">
      <c r="A4263" s="2" t="str">
        <f>HYPERLINK("https://rth.dk/resources/bsgatlas/details.php?id=BSGatlas-gene-4262","BSGatlas-gene-4262")</f>
        <v>BSGatlas-gene-4262</v>
      </c>
      <c r="B4263" s="1" t="s">
        <v>3898</v>
      </c>
      <c r="C4263" s="1" t="s">
        <v>8</v>
      </c>
      <c r="D4263" s="1">
        <v>3760694</v>
      </c>
      <c r="E4263" s="1">
        <v>3761185</v>
      </c>
      <c r="F4263" s="1" t="s">
        <v>9</v>
      </c>
      <c r="G4263" s="1" t="s">
        <v>11409</v>
      </c>
    </row>
    <row r="4264" spans="1:7" ht="21" x14ac:dyDescent="0.25">
      <c r="A4264" s="2" t="str">
        <f>HYPERLINK("https://rth.dk/resources/bsgatlas/details.php?id=BSGatlas-gene-4263","BSGatlas-gene-4263")</f>
        <v>BSGatlas-gene-4263</v>
      </c>
      <c r="B4264" s="1" t="s">
        <v>3899</v>
      </c>
      <c r="C4264" s="1" t="s">
        <v>8</v>
      </c>
      <c r="D4264" s="1">
        <v>3761182</v>
      </c>
      <c r="E4264" s="1">
        <v>3761700</v>
      </c>
      <c r="F4264" s="1" t="s">
        <v>9</v>
      </c>
      <c r="G4264" s="1" t="s">
        <v>11409</v>
      </c>
    </row>
    <row r="4265" spans="1:7" ht="21" x14ac:dyDescent="0.25">
      <c r="A4265" s="2" t="str">
        <f>HYPERLINK("https://rth.dk/resources/bsgatlas/details.php?id=BSGatlas-gene-4264","BSGatlas-gene-4264")</f>
        <v>BSGatlas-gene-4264</v>
      </c>
      <c r="B4265" s="1" t="s">
        <v>318</v>
      </c>
      <c r="C4265" s="1" t="s">
        <v>8</v>
      </c>
      <c r="D4265" s="1">
        <v>3761859</v>
      </c>
      <c r="E4265" s="1">
        <v>3761990</v>
      </c>
      <c r="F4265" s="1" t="s">
        <v>9</v>
      </c>
      <c r="G4265" s="1" t="s">
        <v>11441</v>
      </c>
    </row>
    <row r="4266" spans="1:7" ht="21" x14ac:dyDescent="0.25">
      <c r="A4266" s="2" t="str">
        <f>HYPERLINK("https://rth.dk/resources/bsgatlas/details.php?id=BSGatlas-gene-4265","BSGatlas-gene-4265")</f>
        <v>BSGatlas-gene-4265</v>
      </c>
      <c r="B4266" s="1" t="s">
        <v>3900</v>
      </c>
      <c r="C4266" s="1" t="s">
        <v>8</v>
      </c>
      <c r="D4266" s="1">
        <v>3761987</v>
      </c>
      <c r="E4266" s="1">
        <v>3762421</v>
      </c>
      <c r="F4266" s="1" t="s">
        <v>13</v>
      </c>
      <c r="G4266" s="1" t="s">
        <v>11409</v>
      </c>
    </row>
    <row r="4267" spans="1:7" ht="21" x14ac:dyDescent="0.25">
      <c r="A4267" s="2" t="str">
        <f>HYPERLINK("https://rth.dk/resources/bsgatlas/details.php?id=BSGatlas-gene-4266","BSGatlas-gene-4266")</f>
        <v>BSGatlas-gene-4266</v>
      </c>
      <c r="B4267" s="1" t="s">
        <v>3901</v>
      </c>
      <c r="C4267" s="1" t="s">
        <v>8</v>
      </c>
      <c r="D4267" s="1">
        <v>3762664</v>
      </c>
      <c r="E4267" s="1">
        <v>3764112</v>
      </c>
      <c r="F4267" s="1" t="s">
        <v>9</v>
      </c>
      <c r="G4267" s="1" t="s">
        <v>11409</v>
      </c>
    </row>
    <row r="4268" spans="1:7" ht="21" x14ac:dyDescent="0.25">
      <c r="A4268" s="2" t="str">
        <f>HYPERLINK("https://rth.dk/resources/bsgatlas/details.php?id=BSGatlas-gene-4267","BSGatlas-gene-4267")</f>
        <v>BSGatlas-gene-4267</v>
      </c>
      <c r="B4268" s="1" t="s">
        <v>3902</v>
      </c>
      <c r="C4268" s="1" t="s">
        <v>8</v>
      </c>
      <c r="D4268" s="1">
        <v>3764133</v>
      </c>
      <c r="E4268" s="1">
        <v>3764906</v>
      </c>
      <c r="F4268" s="1" t="s">
        <v>13</v>
      </c>
      <c r="G4268" s="1" t="s">
        <v>11409</v>
      </c>
    </row>
    <row r="4269" spans="1:7" ht="21" x14ac:dyDescent="0.25">
      <c r="A4269" s="2" t="str">
        <f>HYPERLINK("https://rth.dk/resources/bsgatlas/details.php?id=BSGatlas-gene-4268","BSGatlas-gene-4268")</f>
        <v>BSGatlas-gene-4268</v>
      </c>
      <c r="B4269" s="1" t="s">
        <v>3903</v>
      </c>
      <c r="C4269" s="1" t="s">
        <v>8</v>
      </c>
      <c r="D4269" s="1">
        <v>3765051</v>
      </c>
      <c r="E4269" s="1">
        <v>3765434</v>
      </c>
      <c r="F4269" s="1" t="s">
        <v>9</v>
      </c>
      <c r="G4269" s="1" t="s">
        <v>11409</v>
      </c>
    </row>
    <row r="4270" spans="1:7" ht="21" x14ac:dyDescent="0.25">
      <c r="A4270" s="2" t="str">
        <f>HYPERLINK("https://rth.dk/resources/bsgatlas/details.php?id=BSGatlas-gene-4269","BSGatlas-gene-4269")</f>
        <v>BSGatlas-gene-4269</v>
      </c>
      <c r="B4270" s="1" t="s">
        <v>3904</v>
      </c>
      <c r="C4270" s="1" t="s">
        <v>8</v>
      </c>
      <c r="D4270" s="1">
        <v>3765469</v>
      </c>
      <c r="E4270" s="1">
        <v>3766110</v>
      </c>
      <c r="F4270" s="1" t="s">
        <v>13</v>
      </c>
      <c r="G4270" s="1" t="s">
        <v>11409</v>
      </c>
    </row>
    <row r="4271" spans="1:7" ht="21" x14ac:dyDescent="0.25">
      <c r="A4271" s="2" t="str">
        <f>HYPERLINK("https://rth.dk/resources/bsgatlas/details.php?id=BSGatlas-gene-4270","BSGatlas-gene-4270")</f>
        <v>BSGatlas-gene-4270</v>
      </c>
      <c r="B4271" s="1" t="s">
        <v>3905</v>
      </c>
      <c r="C4271" s="1" t="s">
        <v>8</v>
      </c>
      <c r="D4271" s="1">
        <v>3766178</v>
      </c>
      <c r="E4271" s="1">
        <v>3766579</v>
      </c>
      <c r="F4271" s="1" t="s">
        <v>13</v>
      </c>
      <c r="G4271" s="1" t="s">
        <v>11409</v>
      </c>
    </row>
    <row r="4272" spans="1:7" ht="21" x14ac:dyDescent="0.25">
      <c r="A4272" s="2" t="str">
        <f>HYPERLINK("https://rth.dk/resources/bsgatlas/details.php?id=BSGatlas-gene-4271","BSGatlas-gene-4271")</f>
        <v>BSGatlas-gene-4271</v>
      </c>
      <c r="B4272" s="1" t="s">
        <v>3906</v>
      </c>
      <c r="C4272" s="1" t="s">
        <v>8</v>
      </c>
      <c r="D4272" s="1">
        <v>3766714</v>
      </c>
      <c r="E4272" s="1">
        <v>3768423</v>
      </c>
      <c r="F4272" s="1" t="s">
        <v>13</v>
      </c>
      <c r="G4272" s="1" t="s">
        <v>11409</v>
      </c>
    </row>
    <row r="4273" spans="1:7" ht="21" x14ac:dyDescent="0.25">
      <c r="A4273" s="2" t="str">
        <f>HYPERLINK("https://rth.dk/resources/bsgatlas/details.php?id=BSGatlas-gene-4272","BSGatlas-gene-4272")</f>
        <v>BSGatlas-gene-4272</v>
      </c>
      <c r="B4273" s="1" t="s">
        <v>3911</v>
      </c>
      <c r="C4273" s="1" t="s">
        <v>55</v>
      </c>
      <c r="D4273" s="1">
        <v>3767978</v>
      </c>
      <c r="E4273" s="1">
        <v>3768273</v>
      </c>
      <c r="F4273" s="1" t="s">
        <v>9</v>
      </c>
      <c r="G4273" s="1" t="s">
        <v>11410</v>
      </c>
    </row>
    <row r="4274" spans="1:7" ht="21" x14ac:dyDescent="0.25">
      <c r="A4274" s="2" t="str">
        <f>HYPERLINK("https://rth.dk/resources/bsgatlas/details.php?id=BSGatlas-gene-4273","BSGatlas-gene-4273")</f>
        <v>BSGatlas-gene-4273</v>
      </c>
      <c r="B4274" s="1" t="s">
        <v>3907</v>
      </c>
      <c r="C4274" s="1" t="s">
        <v>8</v>
      </c>
      <c r="D4274" s="1">
        <v>3768420</v>
      </c>
      <c r="E4274" s="1">
        <v>3768794</v>
      </c>
      <c r="F4274" s="1" t="s">
        <v>13</v>
      </c>
      <c r="G4274" s="1" t="s">
        <v>11409</v>
      </c>
    </row>
    <row r="4275" spans="1:7" ht="21" x14ac:dyDescent="0.25">
      <c r="A4275" s="2" t="str">
        <f>HYPERLINK("https://rth.dk/resources/bsgatlas/details.php?id=BSGatlas-gene-4274","BSGatlas-gene-4274")</f>
        <v>BSGatlas-gene-4274</v>
      </c>
      <c r="B4275" s="1" t="s">
        <v>3908</v>
      </c>
      <c r="C4275" s="1" t="s">
        <v>8</v>
      </c>
      <c r="D4275" s="1">
        <v>3768791</v>
      </c>
      <c r="E4275" s="1">
        <v>3769108</v>
      </c>
      <c r="F4275" s="1" t="s">
        <v>13</v>
      </c>
      <c r="G4275" s="1" t="s">
        <v>11409</v>
      </c>
    </row>
    <row r="4276" spans="1:7" ht="21" x14ac:dyDescent="0.25">
      <c r="A4276" s="2" t="str">
        <f>HYPERLINK("https://rth.dk/resources/bsgatlas/details.php?id=BSGatlas-gene-4275","BSGatlas-gene-4275")</f>
        <v>BSGatlas-gene-4275</v>
      </c>
      <c r="B4276" s="1" t="s">
        <v>3909</v>
      </c>
      <c r="C4276" s="1" t="s">
        <v>8</v>
      </c>
      <c r="D4276" s="1">
        <v>3769289</v>
      </c>
      <c r="E4276" s="1">
        <v>3769453</v>
      </c>
      <c r="F4276" s="1" t="s">
        <v>13</v>
      </c>
      <c r="G4276" s="1" t="s">
        <v>11441</v>
      </c>
    </row>
    <row r="4277" spans="1:7" ht="21" x14ac:dyDescent="0.25">
      <c r="A4277" s="2" t="str">
        <f>HYPERLINK("https://rth.dk/resources/bsgatlas/details.php?id=BSGatlas-gene-4276","BSGatlas-gene-4276")</f>
        <v>BSGatlas-gene-4276</v>
      </c>
      <c r="B4277" s="1" t="s">
        <v>3910</v>
      </c>
      <c r="C4277" s="1" t="s">
        <v>276</v>
      </c>
      <c r="D4277" s="1">
        <v>3769626</v>
      </c>
      <c r="E4277" s="1">
        <v>3769808</v>
      </c>
      <c r="F4277" s="1" t="s">
        <v>13</v>
      </c>
      <c r="G4277" s="1" t="s">
        <v>11441</v>
      </c>
    </row>
    <row r="4278" spans="1:7" ht="21" x14ac:dyDescent="0.25">
      <c r="A4278" s="2" t="str">
        <f>HYPERLINK("https://rth.dk/resources/bsgatlas/details.php?id=BSGatlas-gene-4277","BSGatlas-gene-4277")</f>
        <v>BSGatlas-gene-4277</v>
      </c>
      <c r="B4278" s="1" t="s">
        <v>3912</v>
      </c>
      <c r="C4278" s="1" t="s">
        <v>8</v>
      </c>
      <c r="D4278" s="1">
        <v>3770104</v>
      </c>
      <c r="E4278" s="1">
        <v>3770292</v>
      </c>
      <c r="F4278" s="1" t="s">
        <v>13</v>
      </c>
      <c r="G4278" s="1" t="s">
        <v>11409</v>
      </c>
    </row>
    <row r="4279" spans="1:7" ht="21" x14ac:dyDescent="0.25">
      <c r="A4279" s="2" t="str">
        <f>HYPERLINK("https://rth.dk/resources/bsgatlas/details.php?id=BSGatlas-gene-4278","BSGatlas-gene-4278")</f>
        <v>BSGatlas-gene-4278</v>
      </c>
      <c r="B4279" s="1" t="s">
        <v>3913</v>
      </c>
      <c r="C4279" s="1" t="s">
        <v>8</v>
      </c>
      <c r="D4279" s="1">
        <v>3770365</v>
      </c>
      <c r="E4279" s="1">
        <v>3770865</v>
      </c>
      <c r="F4279" s="1" t="s">
        <v>13</v>
      </c>
      <c r="G4279" s="1" t="s">
        <v>11409</v>
      </c>
    </row>
    <row r="4280" spans="1:7" ht="21" x14ac:dyDescent="0.25">
      <c r="A4280" s="2" t="str">
        <f>HYPERLINK("https://rth.dk/resources/bsgatlas/details.php?id=BSGatlas-gene-4279","BSGatlas-gene-4279")</f>
        <v>BSGatlas-gene-4279</v>
      </c>
      <c r="B4280" s="1" t="s">
        <v>3914</v>
      </c>
      <c r="C4280" s="1" t="s">
        <v>8</v>
      </c>
      <c r="D4280" s="1">
        <v>3771000</v>
      </c>
      <c r="E4280" s="1">
        <v>3772133</v>
      </c>
      <c r="F4280" s="1" t="s">
        <v>13</v>
      </c>
      <c r="G4280" s="1" t="s">
        <v>11409</v>
      </c>
    </row>
    <row r="4281" spans="1:7" ht="21" x14ac:dyDescent="0.25">
      <c r="A4281" s="2" t="str">
        <f>HYPERLINK("https://rth.dk/resources/bsgatlas/details.php?id=BSGatlas-gene-4280","BSGatlas-gene-4280")</f>
        <v>BSGatlas-gene-4280</v>
      </c>
      <c r="B4281" s="1" t="s">
        <v>3915</v>
      </c>
      <c r="C4281" s="1" t="s">
        <v>8</v>
      </c>
      <c r="D4281" s="1">
        <v>3772325</v>
      </c>
      <c r="E4281" s="1">
        <v>3773350</v>
      </c>
      <c r="F4281" s="1" t="s">
        <v>13</v>
      </c>
      <c r="G4281" s="1" t="s">
        <v>11409</v>
      </c>
    </row>
    <row r="4282" spans="1:7" ht="21" x14ac:dyDescent="0.25">
      <c r="A4282" s="2" t="str">
        <f>HYPERLINK("https://rth.dk/resources/bsgatlas/details.php?id=BSGatlas-gene-4281","BSGatlas-gene-4281")</f>
        <v>BSGatlas-gene-4281</v>
      </c>
      <c r="B4282" s="1" t="s">
        <v>3916</v>
      </c>
      <c r="C4282" s="1" t="s">
        <v>8</v>
      </c>
      <c r="D4282" s="1">
        <v>3773366</v>
      </c>
      <c r="E4282" s="1">
        <v>3774154</v>
      </c>
      <c r="F4282" s="1" t="s">
        <v>13</v>
      </c>
      <c r="G4282" s="1" t="s">
        <v>11409</v>
      </c>
    </row>
    <row r="4283" spans="1:7" ht="21" x14ac:dyDescent="0.25">
      <c r="A4283" s="2" t="str">
        <f>HYPERLINK("https://rth.dk/resources/bsgatlas/details.php?id=BSGatlas-gene-4282","BSGatlas-gene-4282")</f>
        <v>BSGatlas-gene-4282</v>
      </c>
      <c r="B4283" s="1" t="s">
        <v>54</v>
      </c>
      <c r="C4283" s="1" t="s">
        <v>55</v>
      </c>
      <c r="D4283" s="1">
        <v>3774255</v>
      </c>
      <c r="E4283" s="1">
        <v>3774322</v>
      </c>
      <c r="F4283" s="1" t="s">
        <v>13</v>
      </c>
      <c r="G4283" s="1" t="s">
        <v>11410</v>
      </c>
    </row>
    <row r="4284" spans="1:7" ht="21" x14ac:dyDescent="0.25">
      <c r="A4284" s="2" t="str">
        <f>HYPERLINK("https://rth.dk/resources/bsgatlas/details.php?id=BSGatlas-gene-4283","BSGatlas-gene-4283")</f>
        <v>BSGatlas-gene-4283</v>
      </c>
      <c r="B4284" s="1" t="s">
        <v>3917</v>
      </c>
      <c r="C4284" s="1" t="s">
        <v>8</v>
      </c>
      <c r="D4284" s="1">
        <v>3774400</v>
      </c>
      <c r="E4284" s="1">
        <v>3774561</v>
      </c>
      <c r="F4284" s="1" t="s">
        <v>13</v>
      </c>
      <c r="G4284" s="1" t="s">
        <v>11409</v>
      </c>
    </row>
    <row r="4285" spans="1:7" ht="21" x14ac:dyDescent="0.25">
      <c r="A4285" s="2" t="str">
        <f>HYPERLINK("https://rth.dk/resources/bsgatlas/details.php?id=BSGatlas-gene-4284","BSGatlas-gene-4284")</f>
        <v>BSGatlas-gene-4284</v>
      </c>
      <c r="B4285" s="1" t="s">
        <v>3918</v>
      </c>
      <c r="C4285" s="1" t="s">
        <v>8</v>
      </c>
      <c r="D4285" s="1">
        <v>3774655</v>
      </c>
      <c r="E4285" s="1">
        <v>3775329</v>
      </c>
      <c r="F4285" s="1" t="s">
        <v>13</v>
      </c>
      <c r="G4285" s="1" t="s">
        <v>11409</v>
      </c>
    </row>
    <row r="4286" spans="1:7" ht="21" x14ac:dyDescent="0.25">
      <c r="A4286" s="2" t="str">
        <f>HYPERLINK("https://rth.dk/resources/bsgatlas/details.php?id=BSGatlas-gene-4285","BSGatlas-gene-4285")</f>
        <v>BSGatlas-gene-4285</v>
      </c>
      <c r="B4286" s="1" t="s">
        <v>318</v>
      </c>
      <c r="C4286" s="1" t="s">
        <v>8</v>
      </c>
      <c r="D4286" s="1">
        <v>3775382</v>
      </c>
      <c r="E4286" s="1">
        <v>3775522</v>
      </c>
      <c r="F4286" s="1" t="s">
        <v>13</v>
      </c>
      <c r="G4286" s="1" t="s">
        <v>11441</v>
      </c>
    </row>
    <row r="4287" spans="1:7" ht="21" x14ac:dyDescent="0.25">
      <c r="A4287" s="2" t="str">
        <f>HYPERLINK("https://rth.dk/resources/bsgatlas/details.php?id=BSGatlas-gene-4286","BSGatlas-gene-4286")</f>
        <v>BSGatlas-gene-4286</v>
      </c>
      <c r="B4287" s="1" t="s">
        <v>3919</v>
      </c>
      <c r="C4287" s="1" t="s">
        <v>8</v>
      </c>
      <c r="D4287" s="1">
        <v>3775653</v>
      </c>
      <c r="E4287" s="1">
        <v>3776336</v>
      </c>
      <c r="F4287" s="1" t="s">
        <v>13</v>
      </c>
      <c r="G4287" s="1" t="s">
        <v>11409</v>
      </c>
    </row>
    <row r="4288" spans="1:7" ht="21" x14ac:dyDescent="0.25">
      <c r="A4288" s="2" t="str">
        <f>HYPERLINK("https://rth.dk/resources/bsgatlas/details.php?id=BSGatlas-gene-4287","BSGatlas-gene-4287")</f>
        <v>BSGatlas-gene-4287</v>
      </c>
      <c r="B4288" s="1" t="s">
        <v>3920</v>
      </c>
      <c r="C4288" s="1" t="s">
        <v>8</v>
      </c>
      <c r="D4288" s="1">
        <v>3776722</v>
      </c>
      <c r="E4288" s="1">
        <v>3777753</v>
      </c>
      <c r="F4288" s="1" t="s">
        <v>13</v>
      </c>
      <c r="G4288" s="1" t="s">
        <v>11409</v>
      </c>
    </row>
    <row r="4289" spans="1:7" ht="21" x14ac:dyDescent="0.25">
      <c r="A4289" s="2" t="str">
        <f>HYPERLINK("https://rth.dk/resources/bsgatlas/details.php?id=BSGatlas-gene-4288","BSGatlas-gene-4288")</f>
        <v>BSGatlas-gene-4288</v>
      </c>
      <c r="B4289" s="1" t="s">
        <v>3921</v>
      </c>
      <c r="C4289" s="1" t="s">
        <v>8</v>
      </c>
      <c r="D4289" s="1">
        <v>3777949</v>
      </c>
      <c r="E4289" s="1">
        <v>3779259</v>
      </c>
      <c r="F4289" s="1" t="s">
        <v>13</v>
      </c>
      <c r="G4289" s="1" t="s">
        <v>11409</v>
      </c>
    </row>
    <row r="4290" spans="1:7" ht="21" x14ac:dyDescent="0.25">
      <c r="A4290" s="2" t="str">
        <f>HYPERLINK("https://rth.dk/resources/bsgatlas/details.php?id=BSGatlas-gene-4289","BSGatlas-gene-4289")</f>
        <v>BSGatlas-gene-4289</v>
      </c>
      <c r="B4290" s="1" t="s">
        <v>3922</v>
      </c>
      <c r="C4290" s="1" t="s">
        <v>8</v>
      </c>
      <c r="D4290" s="1">
        <v>3779293</v>
      </c>
      <c r="E4290" s="1">
        <v>3780033</v>
      </c>
      <c r="F4290" s="1" t="s">
        <v>13</v>
      </c>
      <c r="G4290" s="1" t="s">
        <v>11409</v>
      </c>
    </row>
    <row r="4291" spans="1:7" ht="21" x14ac:dyDescent="0.25">
      <c r="A4291" s="2" t="str">
        <f>HYPERLINK("https://rth.dk/resources/bsgatlas/details.php?id=BSGatlas-gene-4290","BSGatlas-gene-4290")</f>
        <v>BSGatlas-gene-4290</v>
      </c>
      <c r="B4291" s="1" t="s">
        <v>3923</v>
      </c>
      <c r="C4291" s="1" t="s">
        <v>8</v>
      </c>
      <c r="D4291" s="1">
        <v>3780162</v>
      </c>
      <c r="E4291" s="1">
        <v>3780392</v>
      </c>
      <c r="F4291" s="1" t="s">
        <v>13</v>
      </c>
      <c r="G4291" s="1" t="s">
        <v>11409</v>
      </c>
    </row>
    <row r="4292" spans="1:7" ht="21" x14ac:dyDescent="0.25">
      <c r="A4292" s="2" t="str">
        <f>HYPERLINK("https://rth.dk/resources/bsgatlas/details.php?id=BSGatlas-gene-4291","BSGatlas-gene-4291")</f>
        <v>BSGatlas-gene-4291</v>
      </c>
      <c r="B4292" s="1" t="s">
        <v>3924</v>
      </c>
      <c r="C4292" s="1" t="s">
        <v>8</v>
      </c>
      <c r="D4292" s="1">
        <v>3780562</v>
      </c>
      <c r="E4292" s="1">
        <v>3781035</v>
      </c>
      <c r="F4292" s="1" t="s">
        <v>9</v>
      </c>
      <c r="G4292" s="1" t="s">
        <v>11409</v>
      </c>
    </row>
    <row r="4293" spans="1:7" ht="21" x14ac:dyDescent="0.25">
      <c r="A4293" s="2" t="str">
        <f>HYPERLINK("https://rth.dk/resources/bsgatlas/details.php?id=BSGatlas-gene-4292","BSGatlas-gene-4292")</f>
        <v>BSGatlas-gene-4292</v>
      </c>
      <c r="B4293" s="1" t="s">
        <v>3925</v>
      </c>
      <c r="C4293" s="1" t="s">
        <v>8</v>
      </c>
      <c r="D4293" s="1">
        <v>3781069</v>
      </c>
      <c r="E4293" s="1">
        <v>3781467</v>
      </c>
      <c r="F4293" s="1" t="s">
        <v>13</v>
      </c>
      <c r="G4293" s="1" t="s">
        <v>11409</v>
      </c>
    </row>
    <row r="4294" spans="1:7" ht="21" x14ac:dyDescent="0.25">
      <c r="A4294" s="2" t="str">
        <f>HYPERLINK("https://rth.dk/resources/bsgatlas/details.php?id=BSGatlas-gene-4293","BSGatlas-gene-4293")</f>
        <v>BSGatlas-gene-4293</v>
      </c>
      <c r="B4294" s="1" t="s">
        <v>3926</v>
      </c>
      <c r="C4294" s="1" t="s">
        <v>8</v>
      </c>
      <c r="D4294" s="1">
        <v>3781491</v>
      </c>
      <c r="E4294" s="1">
        <v>3782912</v>
      </c>
      <c r="F4294" s="1" t="s">
        <v>13</v>
      </c>
      <c r="G4294" s="1" t="s">
        <v>11409</v>
      </c>
    </row>
    <row r="4295" spans="1:7" ht="21" x14ac:dyDescent="0.25">
      <c r="A4295" s="2" t="str">
        <f>HYPERLINK("https://rth.dk/resources/bsgatlas/details.php?id=BSGatlas-gene-4294","BSGatlas-gene-4294")</f>
        <v>BSGatlas-gene-4294</v>
      </c>
      <c r="B4295" s="1" t="s">
        <v>3927</v>
      </c>
      <c r="C4295" s="1" t="s">
        <v>8</v>
      </c>
      <c r="D4295" s="1">
        <v>3782938</v>
      </c>
      <c r="E4295" s="1">
        <v>3783801</v>
      </c>
      <c r="F4295" s="1" t="s">
        <v>13</v>
      </c>
      <c r="G4295" s="1" t="s">
        <v>11409</v>
      </c>
    </row>
    <row r="4296" spans="1:7" ht="21" x14ac:dyDescent="0.25">
      <c r="A4296" s="2" t="str">
        <f>HYPERLINK("https://rth.dk/resources/bsgatlas/details.php?id=BSGatlas-gene-4295","BSGatlas-gene-4295")</f>
        <v>BSGatlas-gene-4295</v>
      </c>
      <c r="B4296" s="1" t="s">
        <v>3928</v>
      </c>
      <c r="C4296" s="1" t="s">
        <v>8</v>
      </c>
      <c r="D4296" s="1">
        <v>3783878</v>
      </c>
      <c r="E4296" s="1">
        <v>3785386</v>
      </c>
      <c r="F4296" s="1" t="s">
        <v>13</v>
      </c>
      <c r="G4296" s="1" t="s">
        <v>11409</v>
      </c>
    </row>
    <row r="4297" spans="1:7" ht="21" x14ac:dyDescent="0.25">
      <c r="A4297" s="2" t="str">
        <f>HYPERLINK("https://rth.dk/resources/bsgatlas/details.php?id=BSGatlas-gene-4296","BSGatlas-gene-4296")</f>
        <v>BSGatlas-gene-4296</v>
      </c>
      <c r="B4297" s="1" t="s">
        <v>3929</v>
      </c>
      <c r="C4297" s="1" t="s">
        <v>8</v>
      </c>
      <c r="D4297" s="1">
        <v>3785403</v>
      </c>
      <c r="E4297" s="1">
        <v>3785948</v>
      </c>
      <c r="F4297" s="1" t="s">
        <v>13</v>
      </c>
      <c r="G4297" s="1" t="s">
        <v>11409</v>
      </c>
    </row>
    <row r="4298" spans="1:7" ht="21" x14ac:dyDescent="0.25">
      <c r="A4298" s="2" t="str">
        <f>HYPERLINK("https://rth.dk/resources/bsgatlas/details.php?id=BSGatlas-gene-4297","BSGatlas-gene-4297")</f>
        <v>BSGatlas-gene-4297</v>
      </c>
      <c r="B4298" s="1" t="s">
        <v>3930</v>
      </c>
      <c r="C4298" s="1" t="s">
        <v>8</v>
      </c>
      <c r="D4298" s="1">
        <v>3785945</v>
      </c>
      <c r="E4298" s="1">
        <v>3786457</v>
      </c>
      <c r="F4298" s="1" t="s">
        <v>13</v>
      </c>
      <c r="G4298" s="1" t="s">
        <v>11409</v>
      </c>
    </row>
    <row r="4299" spans="1:7" ht="21" x14ac:dyDescent="0.25">
      <c r="A4299" s="2" t="str">
        <f>HYPERLINK("https://rth.dk/resources/bsgatlas/details.php?id=BSGatlas-gene-4298","BSGatlas-gene-4298")</f>
        <v>BSGatlas-gene-4298</v>
      </c>
      <c r="B4299" s="1" t="s">
        <v>3931</v>
      </c>
      <c r="C4299" s="1" t="s">
        <v>8</v>
      </c>
      <c r="D4299" s="1">
        <v>3786620</v>
      </c>
      <c r="E4299" s="1">
        <v>3786832</v>
      </c>
      <c r="F4299" s="1" t="s">
        <v>13</v>
      </c>
      <c r="G4299" s="1" t="s">
        <v>11409</v>
      </c>
    </row>
    <row r="4300" spans="1:7" ht="21" x14ac:dyDescent="0.25">
      <c r="A4300" s="2" t="str">
        <f>HYPERLINK("https://rth.dk/resources/bsgatlas/details.php?id=BSGatlas-gene-4299","BSGatlas-gene-4299")</f>
        <v>BSGatlas-gene-4299</v>
      </c>
      <c r="B4300" s="1" t="s">
        <v>3932</v>
      </c>
      <c r="C4300" s="1" t="s">
        <v>8</v>
      </c>
      <c r="D4300" s="1">
        <v>3786878</v>
      </c>
      <c r="E4300" s="1">
        <v>3787612</v>
      </c>
      <c r="F4300" s="1" t="s">
        <v>13</v>
      </c>
      <c r="G4300" s="1" t="s">
        <v>11409</v>
      </c>
    </row>
    <row r="4301" spans="1:7" ht="21" x14ac:dyDescent="0.25">
      <c r="A4301" s="2" t="str">
        <f>HYPERLINK("https://rth.dk/resources/bsgatlas/details.php?id=BSGatlas-gene-4300","BSGatlas-gene-4300")</f>
        <v>BSGatlas-gene-4300</v>
      </c>
      <c r="B4301" s="1" t="s">
        <v>3933</v>
      </c>
      <c r="C4301" s="1" t="s">
        <v>8</v>
      </c>
      <c r="D4301" s="1">
        <v>3787620</v>
      </c>
      <c r="E4301" s="1">
        <v>3788003</v>
      </c>
      <c r="F4301" s="1" t="s">
        <v>13</v>
      </c>
      <c r="G4301" s="1" t="s">
        <v>11409</v>
      </c>
    </row>
    <row r="4302" spans="1:7" ht="21" x14ac:dyDescent="0.25">
      <c r="A4302" s="2" t="str">
        <f>HYPERLINK("https://rth.dk/resources/bsgatlas/details.php?id=BSGatlas-gene-4301","BSGatlas-gene-4301")</f>
        <v>BSGatlas-gene-4301</v>
      </c>
      <c r="B4302" s="1" t="s">
        <v>3934</v>
      </c>
      <c r="C4302" s="1" t="s">
        <v>8</v>
      </c>
      <c r="D4302" s="1">
        <v>3788426</v>
      </c>
      <c r="E4302" s="1">
        <v>3789055</v>
      </c>
      <c r="F4302" s="1" t="s">
        <v>13</v>
      </c>
      <c r="G4302" s="1" t="s">
        <v>11409</v>
      </c>
    </row>
    <row r="4303" spans="1:7" ht="21" x14ac:dyDescent="0.25">
      <c r="A4303" s="2" t="str">
        <f>HYPERLINK("https://rth.dk/resources/bsgatlas/details.php?id=BSGatlas-gene-4302","BSGatlas-gene-4302")</f>
        <v>BSGatlas-gene-4302</v>
      </c>
      <c r="B4303" s="1" t="s">
        <v>3935</v>
      </c>
      <c r="C4303" s="1" t="s">
        <v>8</v>
      </c>
      <c r="D4303" s="1">
        <v>3789190</v>
      </c>
      <c r="E4303" s="1">
        <v>3790437</v>
      </c>
      <c r="F4303" s="1" t="s">
        <v>13</v>
      </c>
      <c r="G4303" s="1" t="s">
        <v>11409</v>
      </c>
    </row>
    <row r="4304" spans="1:7" ht="21" x14ac:dyDescent="0.25">
      <c r="A4304" s="2" t="str">
        <f>HYPERLINK("https://rth.dk/resources/bsgatlas/details.php?id=BSGatlas-gene-4303","BSGatlas-gene-4303")</f>
        <v>BSGatlas-gene-4303</v>
      </c>
      <c r="B4304" s="1" t="s">
        <v>3936</v>
      </c>
      <c r="C4304" s="1" t="s">
        <v>8</v>
      </c>
      <c r="D4304" s="1">
        <v>3790644</v>
      </c>
      <c r="E4304" s="1">
        <v>3791186</v>
      </c>
      <c r="F4304" s="1" t="s">
        <v>13</v>
      </c>
      <c r="G4304" s="1" t="s">
        <v>11409</v>
      </c>
    </row>
    <row r="4305" spans="1:7" ht="21" x14ac:dyDescent="0.25">
      <c r="A4305" s="2" t="str">
        <f>HYPERLINK("https://rth.dk/resources/bsgatlas/details.php?id=BSGatlas-gene-4304","BSGatlas-gene-4304")</f>
        <v>BSGatlas-gene-4304</v>
      </c>
      <c r="B4305" s="1" t="s">
        <v>3937</v>
      </c>
      <c r="C4305" s="1" t="s">
        <v>8</v>
      </c>
      <c r="D4305" s="1">
        <v>3791199</v>
      </c>
      <c r="E4305" s="1">
        <v>3791648</v>
      </c>
      <c r="F4305" s="1" t="s">
        <v>13</v>
      </c>
      <c r="G4305" s="1" t="s">
        <v>11409</v>
      </c>
    </row>
    <row r="4306" spans="1:7" ht="21" x14ac:dyDescent="0.25">
      <c r="A4306" s="2" t="str">
        <f>HYPERLINK("https://rth.dk/resources/bsgatlas/details.php?id=BSGatlas-gene-4305","BSGatlas-gene-4305")</f>
        <v>BSGatlas-gene-4305</v>
      </c>
      <c r="B4306" s="1" t="s">
        <v>3938</v>
      </c>
      <c r="C4306" s="1" t="s">
        <v>8</v>
      </c>
      <c r="D4306" s="1">
        <v>3791805</v>
      </c>
      <c r="E4306" s="1">
        <v>3792257</v>
      </c>
      <c r="F4306" s="1" t="s">
        <v>13</v>
      </c>
      <c r="G4306" s="1" t="s">
        <v>11409</v>
      </c>
    </row>
    <row r="4307" spans="1:7" ht="21" x14ac:dyDescent="0.25">
      <c r="A4307" s="2" t="str">
        <f>HYPERLINK("https://rth.dk/resources/bsgatlas/details.php?id=BSGatlas-gene-4306","BSGatlas-gene-4306")</f>
        <v>BSGatlas-gene-4306</v>
      </c>
      <c r="B4307" s="1" t="s">
        <v>3939</v>
      </c>
      <c r="C4307" s="1" t="s">
        <v>8</v>
      </c>
      <c r="D4307" s="1">
        <v>3792333</v>
      </c>
      <c r="E4307" s="1">
        <v>3792890</v>
      </c>
      <c r="F4307" s="1" t="s">
        <v>13</v>
      </c>
      <c r="G4307" s="1" t="s">
        <v>11409</v>
      </c>
    </row>
    <row r="4308" spans="1:7" ht="21" x14ac:dyDescent="0.25">
      <c r="A4308" s="2" t="str">
        <f>HYPERLINK("https://rth.dk/resources/bsgatlas/details.php?id=BSGatlas-gene-4307","BSGatlas-gene-4307")</f>
        <v>BSGatlas-gene-4307</v>
      </c>
      <c r="B4308" s="1" t="s">
        <v>3940</v>
      </c>
      <c r="C4308" s="1" t="s">
        <v>8</v>
      </c>
      <c r="D4308" s="1">
        <v>3792969</v>
      </c>
      <c r="E4308" s="1">
        <v>3794009</v>
      </c>
      <c r="F4308" s="1" t="s">
        <v>13</v>
      </c>
      <c r="G4308" s="1" t="s">
        <v>11409</v>
      </c>
    </row>
    <row r="4309" spans="1:7" ht="21" x14ac:dyDescent="0.25">
      <c r="A4309" s="2" t="str">
        <f>HYPERLINK("https://rth.dk/resources/bsgatlas/details.php?id=BSGatlas-gene-4308","BSGatlas-gene-4308")</f>
        <v>BSGatlas-gene-4308</v>
      </c>
      <c r="B4309" s="1" t="s">
        <v>3941</v>
      </c>
      <c r="C4309" s="1" t="s">
        <v>8</v>
      </c>
      <c r="D4309" s="1">
        <v>3794166</v>
      </c>
      <c r="E4309" s="1">
        <v>3794609</v>
      </c>
      <c r="F4309" s="1" t="s">
        <v>13</v>
      </c>
      <c r="G4309" s="1" t="s">
        <v>11409</v>
      </c>
    </row>
    <row r="4310" spans="1:7" ht="21" x14ac:dyDescent="0.25">
      <c r="A4310" s="2" t="str">
        <f>HYPERLINK("https://rth.dk/resources/bsgatlas/details.php?id=BSGatlas-gene-4309","BSGatlas-gene-4309")</f>
        <v>BSGatlas-gene-4309</v>
      </c>
      <c r="B4310" s="1" t="s">
        <v>3942</v>
      </c>
      <c r="C4310" s="1" t="s">
        <v>8</v>
      </c>
      <c r="D4310" s="1">
        <v>3794676</v>
      </c>
      <c r="E4310" s="1">
        <v>3795350</v>
      </c>
      <c r="F4310" s="1" t="s">
        <v>13</v>
      </c>
      <c r="G4310" s="1" t="s">
        <v>11409</v>
      </c>
    </row>
    <row r="4311" spans="1:7" ht="21" x14ac:dyDescent="0.25">
      <c r="A4311" s="2" t="str">
        <f>HYPERLINK("https://rth.dk/resources/bsgatlas/details.php?id=BSGatlas-gene-4310","BSGatlas-gene-4310")</f>
        <v>BSGatlas-gene-4310</v>
      </c>
      <c r="B4311" s="1" t="s">
        <v>3943</v>
      </c>
      <c r="C4311" s="1" t="s">
        <v>8</v>
      </c>
      <c r="D4311" s="1">
        <v>3795491</v>
      </c>
      <c r="E4311" s="1">
        <v>3795853</v>
      </c>
      <c r="F4311" s="1" t="s">
        <v>9</v>
      </c>
      <c r="G4311" s="1" t="s">
        <v>11409</v>
      </c>
    </row>
    <row r="4312" spans="1:7" ht="21" x14ac:dyDescent="0.25">
      <c r="A4312" s="2" t="str">
        <f>HYPERLINK("https://rth.dk/resources/bsgatlas/details.php?id=BSGatlas-gene-4311","BSGatlas-gene-4311")</f>
        <v>BSGatlas-gene-4311</v>
      </c>
      <c r="B4312" s="1" t="s">
        <v>3944</v>
      </c>
      <c r="C4312" s="1" t="s">
        <v>8</v>
      </c>
      <c r="D4312" s="1">
        <v>3795870</v>
      </c>
      <c r="E4312" s="1">
        <v>3796157</v>
      </c>
      <c r="F4312" s="1" t="s">
        <v>13</v>
      </c>
      <c r="G4312" s="1" t="s">
        <v>11409</v>
      </c>
    </row>
    <row r="4313" spans="1:7" ht="21" x14ac:dyDescent="0.25">
      <c r="A4313" s="2" t="str">
        <f>HYPERLINK("https://rth.dk/resources/bsgatlas/details.php?id=BSGatlas-gene-4312","BSGatlas-gene-4312")</f>
        <v>BSGatlas-gene-4312</v>
      </c>
      <c r="B4313" s="1" t="s">
        <v>11725</v>
      </c>
      <c r="C4313" s="1" t="s">
        <v>8</v>
      </c>
      <c r="D4313" s="1">
        <v>3796217</v>
      </c>
      <c r="E4313" s="1">
        <v>3797083</v>
      </c>
      <c r="F4313" s="1" t="s">
        <v>13</v>
      </c>
      <c r="G4313" s="1" t="s">
        <v>11409</v>
      </c>
    </row>
    <row r="4314" spans="1:7" ht="21" x14ac:dyDescent="0.25">
      <c r="A4314" s="2" t="str">
        <f>HYPERLINK("https://rth.dk/resources/bsgatlas/details.php?id=BSGatlas-gene-4313","BSGatlas-gene-4313")</f>
        <v>BSGatlas-gene-4313</v>
      </c>
      <c r="B4314" s="1" t="s">
        <v>3945</v>
      </c>
      <c r="C4314" s="1" t="s">
        <v>8</v>
      </c>
      <c r="D4314" s="1">
        <v>3797085</v>
      </c>
      <c r="E4314" s="1">
        <v>3798155</v>
      </c>
      <c r="F4314" s="1" t="s">
        <v>13</v>
      </c>
      <c r="G4314" s="1" t="s">
        <v>11409</v>
      </c>
    </row>
    <row r="4315" spans="1:7" ht="21" x14ac:dyDescent="0.25">
      <c r="A4315" s="2" t="str">
        <f>HYPERLINK("https://rth.dk/resources/bsgatlas/details.php?id=BSGatlas-gene-4314","BSGatlas-gene-4314")</f>
        <v>BSGatlas-gene-4314</v>
      </c>
      <c r="B4315" s="1" t="s">
        <v>3946</v>
      </c>
      <c r="C4315" s="1" t="s">
        <v>8</v>
      </c>
      <c r="D4315" s="1">
        <v>3798281</v>
      </c>
      <c r="E4315" s="1">
        <v>3798667</v>
      </c>
      <c r="F4315" s="1" t="s">
        <v>9</v>
      </c>
      <c r="G4315" s="1" t="s">
        <v>11409</v>
      </c>
    </row>
    <row r="4316" spans="1:7" ht="21" x14ac:dyDescent="0.25">
      <c r="A4316" s="2" t="str">
        <f>HYPERLINK("https://rth.dk/resources/bsgatlas/details.php?id=BSGatlas-gene-4315","BSGatlas-gene-4315")</f>
        <v>BSGatlas-gene-4315</v>
      </c>
      <c r="B4316" s="1" t="s">
        <v>3947</v>
      </c>
      <c r="C4316" s="1" t="s">
        <v>8</v>
      </c>
      <c r="D4316" s="1">
        <v>3798789</v>
      </c>
      <c r="E4316" s="1">
        <v>3799343</v>
      </c>
      <c r="F4316" s="1" t="s">
        <v>9</v>
      </c>
      <c r="G4316" s="1" t="s">
        <v>11409</v>
      </c>
    </row>
    <row r="4317" spans="1:7" ht="21" x14ac:dyDescent="0.25">
      <c r="A4317" s="2" t="str">
        <f>HYPERLINK("https://rth.dk/resources/bsgatlas/details.php?id=BSGatlas-gene-4316","BSGatlas-gene-4316")</f>
        <v>BSGatlas-gene-4316</v>
      </c>
      <c r="B4317" s="1" t="s">
        <v>3948</v>
      </c>
      <c r="C4317" s="1" t="s">
        <v>8</v>
      </c>
      <c r="D4317" s="1">
        <v>3799377</v>
      </c>
      <c r="E4317" s="1">
        <v>3800336</v>
      </c>
      <c r="F4317" s="1" t="s">
        <v>13</v>
      </c>
      <c r="G4317" s="1" t="s">
        <v>11409</v>
      </c>
    </row>
    <row r="4318" spans="1:7" ht="21" x14ac:dyDescent="0.25">
      <c r="A4318" s="2" t="str">
        <f>HYPERLINK("https://rth.dk/resources/bsgatlas/details.php?id=BSGatlas-gene-4317","BSGatlas-gene-4317")</f>
        <v>BSGatlas-gene-4317</v>
      </c>
      <c r="B4318" s="1" t="s">
        <v>3949</v>
      </c>
      <c r="C4318" s="1" t="s">
        <v>8</v>
      </c>
      <c r="D4318" s="1">
        <v>3800418</v>
      </c>
      <c r="E4318" s="1">
        <v>3802166</v>
      </c>
      <c r="F4318" s="1" t="s">
        <v>13</v>
      </c>
      <c r="G4318" s="1" t="s">
        <v>11409</v>
      </c>
    </row>
    <row r="4319" spans="1:7" ht="21" x14ac:dyDescent="0.25">
      <c r="A4319" s="2" t="str">
        <f>HYPERLINK("https://rth.dk/resources/bsgatlas/details.php?id=BSGatlas-gene-4318","BSGatlas-gene-4318")</f>
        <v>BSGatlas-gene-4318</v>
      </c>
      <c r="B4319" s="1" t="s">
        <v>3950</v>
      </c>
      <c r="C4319" s="1" t="s">
        <v>8</v>
      </c>
      <c r="D4319" s="1">
        <v>3802405</v>
      </c>
      <c r="E4319" s="1">
        <v>3802992</v>
      </c>
      <c r="F4319" s="1" t="s">
        <v>13</v>
      </c>
      <c r="G4319" s="1" t="s">
        <v>11409</v>
      </c>
    </row>
    <row r="4320" spans="1:7" ht="21" x14ac:dyDescent="0.25">
      <c r="A4320" s="2" t="str">
        <f>HYPERLINK("https://rth.dk/resources/bsgatlas/details.php?id=BSGatlas-gene-4319","BSGatlas-gene-4319")</f>
        <v>BSGatlas-gene-4319</v>
      </c>
      <c r="B4320" s="1" t="s">
        <v>3951</v>
      </c>
      <c r="C4320" s="1" t="s">
        <v>8</v>
      </c>
      <c r="D4320" s="1">
        <v>3803081</v>
      </c>
      <c r="E4320" s="1">
        <v>3803281</v>
      </c>
      <c r="F4320" s="1" t="s">
        <v>13</v>
      </c>
      <c r="G4320" s="1" t="s">
        <v>11409</v>
      </c>
    </row>
    <row r="4321" spans="1:7" ht="21" x14ac:dyDescent="0.25">
      <c r="A4321" s="2" t="str">
        <f>HYPERLINK("https://rth.dk/resources/bsgatlas/details.php?id=BSGatlas-gene-4320","BSGatlas-gene-4320")</f>
        <v>BSGatlas-gene-4320</v>
      </c>
      <c r="B4321" s="1" t="s">
        <v>3952</v>
      </c>
      <c r="C4321" s="1" t="s">
        <v>8</v>
      </c>
      <c r="D4321" s="1">
        <v>3803400</v>
      </c>
      <c r="E4321" s="1">
        <v>3804683</v>
      </c>
      <c r="F4321" s="1" t="s">
        <v>13</v>
      </c>
      <c r="G4321" s="1" t="s">
        <v>11409</v>
      </c>
    </row>
    <row r="4322" spans="1:7" ht="21" x14ac:dyDescent="0.25">
      <c r="A4322" s="2" t="str">
        <f>HYPERLINK("https://rth.dk/resources/bsgatlas/details.php?id=BSGatlas-gene-4321","BSGatlas-gene-4321")</f>
        <v>BSGatlas-gene-4321</v>
      </c>
      <c r="B4322" s="1" t="s">
        <v>3953</v>
      </c>
      <c r="C4322" s="1" t="s">
        <v>12</v>
      </c>
      <c r="D4322" s="1">
        <v>3804627</v>
      </c>
      <c r="E4322" s="1">
        <v>3804977</v>
      </c>
      <c r="F4322" s="1" t="s">
        <v>13</v>
      </c>
      <c r="G4322" s="1" t="s">
        <v>11442</v>
      </c>
    </row>
    <row r="4323" spans="1:7" ht="21" x14ac:dyDescent="0.25">
      <c r="A4323" s="2" t="str">
        <f>HYPERLINK("https://rth.dk/resources/bsgatlas/details.php?id=BSGatlas-gene-4322","BSGatlas-gene-4322")</f>
        <v>BSGatlas-gene-4322</v>
      </c>
      <c r="B4323" s="1" t="s">
        <v>318</v>
      </c>
      <c r="C4323" s="1" t="s">
        <v>8</v>
      </c>
      <c r="D4323" s="1">
        <v>3804714</v>
      </c>
      <c r="E4323" s="1">
        <v>3804875</v>
      </c>
      <c r="F4323" s="1" t="s">
        <v>13</v>
      </c>
      <c r="G4323" s="1" t="s">
        <v>11441</v>
      </c>
    </row>
    <row r="4324" spans="1:7" ht="21" x14ac:dyDescent="0.25">
      <c r="A4324" s="2" t="str">
        <f>HYPERLINK("https://rth.dk/resources/bsgatlas/details.php?id=BSGatlas-gene-4323","BSGatlas-gene-4323")</f>
        <v>BSGatlas-gene-4323</v>
      </c>
      <c r="B4324" s="1" t="s">
        <v>3954</v>
      </c>
      <c r="C4324" s="1" t="s">
        <v>8</v>
      </c>
      <c r="D4324" s="1">
        <v>3805090</v>
      </c>
      <c r="E4324" s="1">
        <v>3806055</v>
      </c>
      <c r="F4324" s="1" t="s">
        <v>13</v>
      </c>
      <c r="G4324" s="1" t="s">
        <v>11409</v>
      </c>
    </row>
    <row r="4325" spans="1:7" ht="21" x14ac:dyDescent="0.25">
      <c r="A4325" s="2" t="str">
        <f>HYPERLINK("https://rth.dk/resources/bsgatlas/details.php?id=BSGatlas-gene-4324","BSGatlas-gene-4324")</f>
        <v>BSGatlas-gene-4324</v>
      </c>
      <c r="B4325" s="1" t="s">
        <v>3955</v>
      </c>
      <c r="C4325" s="1" t="s">
        <v>8</v>
      </c>
      <c r="D4325" s="1">
        <v>3806086</v>
      </c>
      <c r="E4325" s="1">
        <v>3807375</v>
      </c>
      <c r="F4325" s="1" t="s">
        <v>13</v>
      </c>
      <c r="G4325" s="1" t="s">
        <v>11409</v>
      </c>
    </row>
    <row r="4326" spans="1:7" ht="21" x14ac:dyDescent="0.25">
      <c r="A4326" s="2" t="str">
        <f>HYPERLINK("https://rth.dk/resources/bsgatlas/details.php?id=BSGatlas-gene-4325","BSGatlas-gene-4325")</f>
        <v>BSGatlas-gene-4325</v>
      </c>
      <c r="B4326" s="1" t="s">
        <v>3956</v>
      </c>
      <c r="C4326" s="1" t="s">
        <v>8</v>
      </c>
      <c r="D4326" s="1">
        <v>3807754</v>
      </c>
      <c r="E4326" s="1">
        <v>3808392</v>
      </c>
      <c r="F4326" s="1" t="s">
        <v>13</v>
      </c>
      <c r="G4326" s="1" t="s">
        <v>11409</v>
      </c>
    </row>
    <row r="4327" spans="1:7" ht="21" x14ac:dyDescent="0.25">
      <c r="A4327" s="2" t="str">
        <f>HYPERLINK("https://rth.dk/resources/bsgatlas/details.php?id=BSGatlas-gene-4326","BSGatlas-gene-4326")</f>
        <v>BSGatlas-gene-4326</v>
      </c>
      <c r="B4327" s="1" t="s">
        <v>3957</v>
      </c>
      <c r="C4327" s="1" t="s">
        <v>8</v>
      </c>
      <c r="D4327" s="1">
        <v>3808512</v>
      </c>
      <c r="E4327" s="1">
        <v>3809369</v>
      </c>
      <c r="F4327" s="1" t="s">
        <v>13</v>
      </c>
      <c r="G4327" s="1" t="s">
        <v>11409</v>
      </c>
    </row>
    <row r="4328" spans="1:7" ht="21" x14ac:dyDescent="0.25">
      <c r="A4328" s="2" t="str">
        <f>HYPERLINK("https://rth.dk/resources/bsgatlas/details.php?id=BSGatlas-gene-4327","BSGatlas-gene-4327")</f>
        <v>BSGatlas-gene-4327</v>
      </c>
      <c r="B4328" s="1" t="s">
        <v>3958</v>
      </c>
      <c r="C4328" s="1" t="s">
        <v>8</v>
      </c>
      <c r="D4328" s="1">
        <v>3809550</v>
      </c>
      <c r="E4328" s="1">
        <v>3809924</v>
      </c>
      <c r="F4328" s="1" t="s">
        <v>13</v>
      </c>
      <c r="G4328" s="1" t="s">
        <v>11409</v>
      </c>
    </row>
    <row r="4329" spans="1:7" ht="21" x14ac:dyDescent="0.25">
      <c r="A4329" s="2" t="str">
        <f>HYPERLINK("https://rth.dk/resources/bsgatlas/details.php?id=BSGatlas-gene-4328","BSGatlas-gene-4328")</f>
        <v>BSGatlas-gene-4328</v>
      </c>
      <c r="B4329" s="1" t="s">
        <v>3959</v>
      </c>
      <c r="C4329" s="1" t="s">
        <v>8</v>
      </c>
      <c r="D4329" s="1">
        <v>3810090</v>
      </c>
      <c r="E4329" s="1">
        <v>3810611</v>
      </c>
      <c r="F4329" s="1" t="s">
        <v>9</v>
      </c>
      <c r="G4329" s="1" t="s">
        <v>11409</v>
      </c>
    </row>
    <row r="4330" spans="1:7" ht="21" x14ac:dyDescent="0.25">
      <c r="A4330" s="2" t="str">
        <f>HYPERLINK("https://rth.dk/resources/bsgatlas/details.php?id=BSGatlas-gene-4329","BSGatlas-gene-4329")</f>
        <v>BSGatlas-gene-4329</v>
      </c>
      <c r="B4330" s="1" t="s">
        <v>3960</v>
      </c>
      <c r="C4330" s="1" t="s">
        <v>8</v>
      </c>
      <c r="D4330" s="1">
        <v>3810693</v>
      </c>
      <c r="E4330" s="1">
        <v>3812300</v>
      </c>
      <c r="F4330" s="1" t="s">
        <v>13</v>
      </c>
      <c r="G4330" s="1" t="s">
        <v>11409</v>
      </c>
    </row>
    <row r="4331" spans="1:7" ht="21" x14ac:dyDescent="0.25">
      <c r="A4331" s="2" t="str">
        <f>HYPERLINK("https://rth.dk/resources/bsgatlas/details.php?id=BSGatlas-gene-4330","BSGatlas-gene-4330")</f>
        <v>BSGatlas-gene-4330</v>
      </c>
      <c r="B4331" s="1" t="s">
        <v>3961</v>
      </c>
      <c r="C4331" s="1" t="s">
        <v>34</v>
      </c>
      <c r="D4331" s="1">
        <v>3812402</v>
      </c>
      <c r="E4331" s="1">
        <v>3812479</v>
      </c>
      <c r="F4331" s="1" t="s">
        <v>13</v>
      </c>
      <c r="G4331" s="1" t="s">
        <v>11410</v>
      </c>
    </row>
    <row r="4332" spans="1:7" ht="21" x14ac:dyDescent="0.25">
      <c r="A4332" s="2" t="str">
        <f>HYPERLINK("https://rth.dk/resources/bsgatlas/details.php?id=BSGatlas-gene-4331","BSGatlas-gene-4331")</f>
        <v>BSGatlas-gene-4331</v>
      </c>
      <c r="B4332" s="1" t="s">
        <v>3962</v>
      </c>
      <c r="C4332" s="1" t="s">
        <v>8</v>
      </c>
      <c r="D4332" s="1">
        <v>3812542</v>
      </c>
      <c r="E4332" s="1">
        <v>3813063</v>
      </c>
      <c r="F4332" s="1" t="s">
        <v>13</v>
      </c>
      <c r="G4332" s="1" t="s">
        <v>11409</v>
      </c>
    </row>
    <row r="4333" spans="1:7" ht="21" x14ac:dyDescent="0.25">
      <c r="A4333" s="2" t="str">
        <f>HYPERLINK("https://rth.dk/resources/bsgatlas/details.php?id=BSGatlas-gene-4332","BSGatlas-gene-4332")</f>
        <v>BSGatlas-gene-4332</v>
      </c>
      <c r="B4333" s="1" t="s">
        <v>3963</v>
      </c>
      <c r="C4333" s="1" t="s">
        <v>8</v>
      </c>
      <c r="D4333" s="1">
        <v>3813246</v>
      </c>
      <c r="E4333" s="1">
        <v>3814385</v>
      </c>
      <c r="F4333" s="1" t="s">
        <v>13</v>
      </c>
      <c r="G4333" s="1" t="s">
        <v>11409</v>
      </c>
    </row>
    <row r="4334" spans="1:7" ht="21" x14ac:dyDescent="0.25">
      <c r="A4334" s="2" t="str">
        <f>HYPERLINK("https://rth.dk/resources/bsgatlas/details.php?id=BSGatlas-gene-4333","BSGatlas-gene-4333")</f>
        <v>BSGatlas-gene-4333</v>
      </c>
      <c r="B4334" s="1" t="s">
        <v>3964</v>
      </c>
      <c r="C4334" s="1" t="s">
        <v>8</v>
      </c>
      <c r="D4334" s="1">
        <v>3814382</v>
      </c>
      <c r="E4334" s="1">
        <v>3816499</v>
      </c>
      <c r="F4334" s="1" t="s">
        <v>13</v>
      </c>
      <c r="G4334" s="1" t="s">
        <v>11409</v>
      </c>
    </row>
    <row r="4335" spans="1:7" ht="21" x14ac:dyDescent="0.25">
      <c r="A4335" s="2" t="str">
        <f>HYPERLINK("https://rth.dk/resources/bsgatlas/details.php?id=BSGatlas-gene-4334","BSGatlas-gene-4334")</f>
        <v>BSGatlas-gene-4334</v>
      </c>
      <c r="B4335" s="1" t="s">
        <v>3965</v>
      </c>
      <c r="C4335" s="1" t="s">
        <v>8</v>
      </c>
      <c r="D4335" s="1">
        <v>3816654</v>
      </c>
      <c r="E4335" s="1">
        <v>3817850</v>
      </c>
      <c r="F4335" s="1" t="s">
        <v>9</v>
      </c>
      <c r="G4335" s="1" t="s">
        <v>11409</v>
      </c>
    </row>
    <row r="4336" spans="1:7" ht="21" x14ac:dyDescent="0.25">
      <c r="A4336" s="2" t="str">
        <f>HYPERLINK("https://rth.dk/resources/bsgatlas/details.php?id=BSGatlas-gene-4335","BSGatlas-gene-4335")</f>
        <v>BSGatlas-gene-4335</v>
      </c>
      <c r="B4336" s="1" t="s">
        <v>3967</v>
      </c>
      <c r="C4336" s="1" t="s">
        <v>12</v>
      </c>
      <c r="D4336" s="1">
        <v>3816846</v>
      </c>
      <c r="E4336" s="1">
        <v>3817724</v>
      </c>
      <c r="F4336" s="1" t="s">
        <v>13</v>
      </c>
      <c r="G4336" s="1" t="s">
        <v>11406</v>
      </c>
    </row>
    <row r="4337" spans="1:7" ht="21" x14ac:dyDescent="0.25">
      <c r="A4337" s="2" t="str">
        <f>HYPERLINK("https://rth.dk/resources/bsgatlas/details.php?id=BSGatlas-gene-4336","BSGatlas-gene-4336")</f>
        <v>BSGatlas-gene-4336</v>
      </c>
      <c r="B4337" s="1" t="s">
        <v>3966</v>
      </c>
      <c r="C4337" s="1" t="s">
        <v>8</v>
      </c>
      <c r="D4337" s="1">
        <v>3817863</v>
      </c>
      <c r="E4337" s="1">
        <v>3818825</v>
      </c>
      <c r="F4337" s="1" t="s">
        <v>9</v>
      </c>
      <c r="G4337" s="1" t="s">
        <v>11409</v>
      </c>
    </row>
    <row r="4338" spans="1:7" ht="21" x14ac:dyDescent="0.25">
      <c r="A4338" s="2" t="str">
        <f>HYPERLINK("https://rth.dk/resources/bsgatlas/details.php?id=BSGatlas-gene-4337","BSGatlas-gene-4337")</f>
        <v>BSGatlas-gene-4337</v>
      </c>
      <c r="B4338" s="1" t="s">
        <v>3968</v>
      </c>
      <c r="C4338" s="1" t="s">
        <v>8</v>
      </c>
      <c r="D4338" s="1">
        <v>3818906</v>
      </c>
      <c r="E4338" s="1">
        <v>3819178</v>
      </c>
      <c r="F4338" s="1" t="s">
        <v>9</v>
      </c>
      <c r="G4338" s="1" t="s">
        <v>11409</v>
      </c>
    </row>
    <row r="4339" spans="1:7" ht="21" x14ac:dyDescent="0.25">
      <c r="A4339" s="2" t="str">
        <f>HYPERLINK("https://rth.dk/resources/bsgatlas/details.php?id=BSGatlas-gene-4338","BSGatlas-gene-4338")</f>
        <v>BSGatlas-gene-4338</v>
      </c>
      <c r="B4339" s="1" t="s">
        <v>3969</v>
      </c>
      <c r="C4339" s="1" t="s">
        <v>8</v>
      </c>
      <c r="D4339" s="1">
        <v>3819220</v>
      </c>
      <c r="E4339" s="1">
        <v>3819744</v>
      </c>
      <c r="F4339" s="1" t="s">
        <v>13</v>
      </c>
      <c r="G4339" s="1" t="s">
        <v>11409</v>
      </c>
    </row>
    <row r="4340" spans="1:7" ht="21" x14ac:dyDescent="0.25">
      <c r="A4340" s="2" t="str">
        <f>HYPERLINK("https://rth.dk/resources/bsgatlas/details.php?id=BSGatlas-gene-4339","BSGatlas-gene-4339")</f>
        <v>BSGatlas-gene-4339</v>
      </c>
      <c r="B4340" s="1" t="s">
        <v>3970</v>
      </c>
      <c r="C4340" s="1" t="s">
        <v>8</v>
      </c>
      <c r="D4340" s="1">
        <v>3819754</v>
      </c>
      <c r="E4340" s="1">
        <v>3821481</v>
      </c>
      <c r="F4340" s="1" t="s">
        <v>13</v>
      </c>
      <c r="G4340" s="1" t="s">
        <v>11409</v>
      </c>
    </row>
    <row r="4341" spans="1:7" ht="21" x14ac:dyDescent="0.25">
      <c r="A4341" s="2" t="str">
        <f>HYPERLINK("https://rth.dk/resources/bsgatlas/details.php?id=BSGatlas-gene-4340","BSGatlas-gene-4340")</f>
        <v>BSGatlas-gene-4340</v>
      </c>
      <c r="B4341" s="1" t="s">
        <v>3971</v>
      </c>
      <c r="C4341" s="1" t="s">
        <v>8</v>
      </c>
      <c r="D4341" s="1">
        <v>3821570</v>
      </c>
      <c r="E4341" s="1">
        <v>3823072</v>
      </c>
      <c r="F4341" s="1" t="s">
        <v>13</v>
      </c>
      <c r="G4341" s="1" t="s">
        <v>11409</v>
      </c>
    </row>
    <row r="4342" spans="1:7" ht="21" x14ac:dyDescent="0.25">
      <c r="A4342" s="2" t="str">
        <f>HYPERLINK("https://rth.dk/resources/bsgatlas/details.php?id=BSGatlas-gene-4341","BSGatlas-gene-4341")</f>
        <v>BSGatlas-gene-4341</v>
      </c>
      <c r="B4342" s="1" t="s">
        <v>3972</v>
      </c>
      <c r="C4342" s="1" t="s">
        <v>8</v>
      </c>
      <c r="D4342" s="1">
        <v>3823558</v>
      </c>
      <c r="E4342" s="1">
        <v>3824229</v>
      </c>
      <c r="F4342" s="1" t="s">
        <v>13</v>
      </c>
      <c r="G4342" s="1" t="s">
        <v>11409</v>
      </c>
    </row>
    <row r="4343" spans="1:7" ht="21" x14ac:dyDescent="0.25">
      <c r="A4343" s="2" t="str">
        <f>HYPERLINK("https://rth.dk/resources/bsgatlas/details.php?id=BSGatlas-gene-4342","BSGatlas-gene-4342")</f>
        <v>BSGatlas-gene-4342</v>
      </c>
      <c r="B4343" s="1" t="s">
        <v>3973</v>
      </c>
      <c r="C4343" s="1" t="s">
        <v>8</v>
      </c>
      <c r="D4343" s="1">
        <v>3824226</v>
      </c>
      <c r="E4343" s="1">
        <v>3824780</v>
      </c>
      <c r="F4343" s="1" t="s">
        <v>13</v>
      </c>
      <c r="G4343" s="1" t="s">
        <v>11409</v>
      </c>
    </row>
    <row r="4344" spans="1:7" ht="21" x14ac:dyDescent="0.25">
      <c r="A4344" s="2" t="str">
        <f>HYPERLINK("https://rth.dk/resources/bsgatlas/details.php?id=BSGatlas-gene-4343","BSGatlas-gene-4343")</f>
        <v>BSGatlas-gene-4343</v>
      </c>
      <c r="B4344" s="1" t="s">
        <v>3974</v>
      </c>
      <c r="C4344" s="1" t="s">
        <v>8</v>
      </c>
      <c r="D4344" s="1">
        <v>3824806</v>
      </c>
      <c r="E4344" s="1">
        <v>3826269</v>
      </c>
      <c r="F4344" s="1" t="s">
        <v>13</v>
      </c>
      <c r="G4344" s="1" t="s">
        <v>11409</v>
      </c>
    </row>
    <row r="4345" spans="1:7" ht="21" x14ac:dyDescent="0.25">
      <c r="A4345" s="2" t="str">
        <f>HYPERLINK("https://rth.dk/resources/bsgatlas/details.php?id=BSGatlas-gene-4344","BSGatlas-gene-4344")</f>
        <v>BSGatlas-gene-4344</v>
      </c>
      <c r="B4345" s="1" t="s">
        <v>3975</v>
      </c>
      <c r="C4345" s="1" t="s">
        <v>8</v>
      </c>
      <c r="D4345" s="1">
        <v>3826259</v>
      </c>
      <c r="E4345" s="1">
        <v>3829945</v>
      </c>
      <c r="F4345" s="1" t="s">
        <v>13</v>
      </c>
      <c r="G4345" s="1" t="s">
        <v>11409</v>
      </c>
    </row>
    <row r="4346" spans="1:7" ht="21" x14ac:dyDescent="0.25">
      <c r="A4346" s="2" t="str">
        <f>HYPERLINK("https://rth.dk/resources/bsgatlas/details.php?id=BSGatlas-gene-4345","BSGatlas-gene-4345")</f>
        <v>BSGatlas-gene-4345</v>
      </c>
      <c r="B4346" s="1" t="s">
        <v>3976</v>
      </c>
      <c r="C4346" s="1" t="s">
        <v>8</v>
      </c>
      <c r="D4346" s="1">
        <v>3830141</v>
      </c>
      <c r="E4346" s="1">
        <v>3830617</v>
      </c>
      <c r="F4346" s="1" t="s">
        <v>13</v>
      </c>
      <c r="G4346" s="1" t="s">
        <v>11409</v>
      </c>
    </row>
    <row r="4347" spans="1:7" ht="21" x14ac:dyDescent="0.25">
      <c r="A4347" s="2" t="str">
        <f>HYPERLINK("https://rth.dk/resources/bsgatlas/details.php?id=BSGatlas-gene-4346","BSGatlas-gene-4346")</f>
        <v>BSGatlas-gene-4346</v>
      </c>
      <c r="B4347" s="1" t="s">
        <v>3977</v>
      </c>
      <c r="C4347" s="1" t="s">
        <v>8</v>
      </c>
      <c r="D4347" s="1">
        <v>3830761</v>
      </c>
      <c r="E4347" s="1">
        <v>3831480</v>
      </c>
      <c r="F4347" s="1" t="s">
        <v>9</v>
      </c>
      <c r="G4347" s="1" t="s">
        <v>11409</v>
      </c>
    </row>
    <row r="4348" spans="1:7" ht="21" x14ac:dyDescent="0.25">
      <c r="A4348" s="2" t="str">
        <f>HYPERLINK("https://rth.dk/resources/bsgatlas/details.php?id=BSGatlas-gene-4347","BSGatlas-gene-4347")</f>
        <v>BSGatlas-gene-4347</v>
      </c>
      <c r="B4348" s="1" t="s">
        <v>3978</v>
      </c>
      <c r="C4348" s="1" t="s">
        <v>8</v>
      </c>
      <c r="D4348" s="1">
        <v>3831512</v>
      </c>
      <c r="E4348" s="1">
        <v>3832228</v>
      </c>
      <c r="F4348" s="1" t="s">
        <v>13</v>
      </c>
      <c r="G4348" s="1" t="s">
        <v>11409</v>
      </c>
    </row>
    <row r="4349" spans="1:7" ht="21" x14ac:dyDescent="0.25">
      <c r="A4349" s="2" t="str">
        <f>HYPERLINK("https://rth.dk/resources/bsgatlas/details.php?id=BSGatlas-gene-4348","BSGatlas-gene-4348")</f>
        <v>BSGatlas-gene-4348</v>
      </c>
      <c r="B4349" s="1" t="s">
        <v>3979</v>
      </c>
      <c r="C4349" s="1" t="s">
        <v>8</v>
      </c>
      <c r="D4349" s="1">
        <v>3832327</v>
      </c>
      <c r="E4349" s="1">
        <v>3833514</v>
      </c>
      <c r="F4349" s="1" t="s">
        <v>13</v>
      </c>
      <c r="G4349" s="1" t="s">
        <v>11409</v>
      </c>
    </row>
    <row r="4350" spans="1:7" ht="21" x14ac:dyDescent="0.25">
      <c r="A4350" s="2" t="str">
        <f>HYPERLINK("https://rth.dk/resources/bsgatlas/details.php?id=BSGatlas-gene-4349","BSGatlas-gene-4349")</f>
        <v>BSGatlas-gene-4349</v>
      </c>
      <c r="B4350" s="1" t="s">
        <v>3980</v>
      </c>
      <c r="C4350" s="1" t="s">
        <v>8</v>
      </c>
      <c r="D4350" s="1">
        <v>3833650</v>
      </c>
      <c r="E4350" s="1">
        <v>3835320</v>
      </c>
      <c r="F4350" s="1" t="s">
        <v>13</v>
      </c>
      <c r="G4350" s="1" t="s">
        <v>11409</v>
      </c>
    </row>
    <row r="4351" spans="1:7" ht="21" x14ac:dyDescent="0.25">
      <c r="A4351" s="2" t="str">
        <f>HYPERLINK("https://rth.dk/resources/bsgatlas/details.php?id=BSGatlas-gene-4350","BSGatlas-gene-4350")</f>
        <v>BSGatlas-gene-4350</v>
      </c>
      <c r="B4351" s="1" t="s">
        <v>3981</v>
      </c>
      <c r="C4351" s="1" t="s">
        <v>8</v>
      </c>
      <c r="D4351" s="1">
        <v>3835317</v>
      </c>
      <c r="E4351" s="1">
        <v>3835745</v>
      </c>
      <c r="F4351" s="1" t="s">
        <v>13</v>
      </c>
      <c r="G4351" s="1" t="s">
        <v>11409</v>
      </c>
    </row>
    <row r="4352" spans="1:7" ht="21" x14ac:dyDescent="0.25">
      <c r="A4352" s="2" t="str">
        <f>HYPERLINK("https://rth.dk/resources/bsgatlas/details.php?id=BSGatlas-gene-4351","BSGatlas-gene-4351")</f>
        <v>BSGatlas-gene-4351</v>
      </c>
      <c r="B4352" s="1" t="s">
        <v>3982</v>
      </c>
      <c r="C4352" s="1" t="s">
        <v>8</v>
      </c>
      <c r="D4352" s="1">
        <v>3836058</v>
      </c>
      <c r="E4352" s="1">
        <v>3836189</v>
      </c>
      <c r="F4352" s="1" t="s">
        <v>9</v>
      </c>
      <c r="G4352" s="1" t="s">
        <v>11409</v>
      </c>
    </row>
    <row r="4353" spans="1:7" ht="21" x14ac:dyDescent="0.25">
      <c r="A4353" s="2" t="str">
        <f>HYPERLINK("https://rth.dk/resources/bsgatlas/details.php?id=BSGatlas-gene-4352","BSGatlas-gene-4352")</f>
        <v>BSGatlas-gene-4352</v>
      </c>
      <c r="B4353" s="1" t="s">
        <v>3983</v>
      </c>
      <c r="C4353" s="1" t="s">
        <v>8</v>
      </c>
      <c r="D4353" s="1">
        <v>3836146</v>
      </c>
      <c r="E4353" s="1">
        <v>3836298</v>
      </c>
      <c r="F4353" s="1" t="s">
        <v>9</v>
      </c>
      <c r="G4353" s="1" t="s">
        <v>11409</v>
      </c>
    </row>
    <row r="4354" spans="1:7" ht="21" x14ac:dyDescent="0.25">
      <c r="A4354" s="2" t="str">
        <f>HYPERLINK("https://rth.dk/resources/bsgatlas/details.php?id=BSGatlas-gene-4353","BSGatlas-gene-4353")</f>
        <v>BSGatlas-gene-4353</v>
      </c>
      <c r="B4354" s="1" t="s">
        <v>3984</v>
      </c>
      <c r="C4354" s="1" t="s">
        <v>8</v>
      </c>
      <c r="D4354" s="1">
        <v>3836323</v>
      </c>
      <c r="E4354" s="1">
        <v>3837669</v>
      </c>
      <c r="F4354" s="1" t="s">
        <v>9</v>
      </c>
      <c r="G4354" s="1" t="s">
        <v>11409</v>
      </c>
    </row>
    <row r="4355" spans="1:7" ht="21" x14ac:dyDescent="0.25">
      <c r="A4355" s="2" t="str">
        <f>HYPERLINK("https://rth.dk/resources/bsgatlas/details.php?id=BSGatlas-gene-4354","BSGatlas-gene-4354")</f>
        <v>BSGatlas-gene-4354</v>
      </c>
      <c r="B4355" s="1" t="s">
        <v>3985</v>
      </c>
      <c r="C4355" s="1" t="s">
        <v>8</v>
      </c>
      <c r="D4355" s="1">
        <v>3837682</v>
      </c>
      <c r="E4355" s="1">
        <v>3837843</v>
      </c>
      <c r="F4355" s="1" t="s">
        <v>9</v>
      </c>
      <c r="G4355" s="1" t="s">
        <v>11409</v>
      </c>
    </row>
    <row r="4356" spans="1:7" ht="21" x14ac:dyDescent="0.25">
      <c r="A4356" s="2" t="str">
        <f>HYPERLINK("https://rth.dk/resources/bsgatlas/details.php?id=BSGatlas-gene-4355","BSGatlas-gene-4355")</f>
        <v>BSGatlas-gene-4355</v>
      </c>
      <c r="B4356" s="1" t="s">
        <v>3986</v>
      </c>
      <c r="C4356" s="1" t="s">
        <v>8</v>
      </c>
      <c r="D4356" s="1">
        <v>3837840</v>
      </c>
      <c r="E4356" s="1">
        <v>3838559</v>
      </c>
      <c r="F4356" s="1" t="s">
        <v>9</v>
      </c>
      <c r="G4356" s="1" t="s">
        <v>11409</v>
      </c>
    </row>
    <row r="4357" spans="1:7" ht="21" x14ac:dyDescent="0.25">
      <c r="A4357" s="2" t="str">
        <f>HYPERLINK("https://rth.dk/resources/bsgatlas/details.php?id=BSGatlas-gene-4356","BSGatlas-gene-4356")</f>
        <v>BSGatlas-gene-4356</v>
      </c>
      <c r="B4357" s="1" t="s">
        <v>3987</v>
      </c>
      <c r="C4357" s="1" t="s">
        <v>8</v>
      </c>
      <c r="D4357" s="1">
        <v>3838552</v>
      </c>
      <c r="E4357" s="1">
        <v>3839862</v>
      </c>
      <c r="F4357" s="1" t="s">
        <v>9</v>
      </c>
      <c r="G4357" s="1" t="s">
        <v>11409</v>
      </c>
    </row>
    <row r="4358" spans="1:7" ht="21" x14ac:dyDescent="0.25">
      <c r="A4358" s="2" t="str">
        <f>HYPERLINK("https://rth.dk/resources/bsgatlas/details.php?id=BSGatlas-gene-4357","BSGatlas-gene-4357")</f>
        <v>BSGatlas-gene-4357</v>
      </c>
      <c r="B4358" s="1" t="s">
        <v>3988</v>
      </c>
      <c r="C4358" s="1" t="s">
        <v>8</v>
      </c>
      <c r="D4358" s="1">
        <v>3839852</v>
      </c>
      <c r="E4358" s="1">
        <v>3841012</v>
      </c>
      <c r="F4358" s="1" t="s">
        <v>9</v>
      </c>
      <c r="G4358" s="1" t="s">
        <v>11409</v>
      </c>
    </row>
    <row r="4359" spans="1:7" ht="21" x14ac:dyDescent="0.25">
      <c r="A4359" s="2" t="str">
        <f>HYPERLINK("https://rth.dk/resources/bsgatlas/details.php?id=BSGatlas-gene-4358","BSGatlas-gene-4358")</f>
        <v>BSGatlas-gene-4358</v>
      </c>
      <c r="B4359" s="1" t="s">
        <v>3989</v>
      </c>
      <c r="C4359" s="1" t="s">
        <v>8</v>
      </c>
      <c r="D4359" s="1">
        <v>3841017</v>
      </c>
      <c r="E4359" s="1">
        <v>3842297</v>
      </c>
      <c r="F4359" s="1" t="s">
        <v>9</v>
      </c>
      <c r="G4359" s="1" t="s">
        <v>11409</v>
      </c>
    </row>
    <row r="4360" spans="1:7" ht="21" x14ac:dyDescent="0.25">
      <c r="A4360" s="2" t="str">
        <f>HYPERLINK("https://rth.dk/resources/bsgatlas/details.php?id=BSGatlas-gene-4359","BSGatlas-gene-4359")</f>
        <v>BSGatlas-gene-4359</v>
      </c>
      <c r="B4360" s="1" t="s">
        <v>3990</v>
      </c>
      <c r="C4360" s="1" t="s">
        <v>8</v>
      </c>
      <c r="D4360" s="1">
        <v>3842294</v>
      </c>
      <c r="E4360" s="1">
        <v>3842995</v>
      </c>
      <c r="F4360" s="1" t="s">
        <v>9</v>
      </c>
      <c r="G4360" s="1" t="s">
        <v>11409</v>
      </c>
    </row>
    <row r="4361" spans="1:7" ht="21" x14ac:dyDescent="0.25">
      <c r="A4361" s="2" t="str">
        <f>HYPERLINK("https://rth.dk/resources/bsgatlas/details.php?id=BSGatlas-gene-4360","BSGatlas-gene-4360")</f>
        <v>BSGatlas-gene-4360</v>
      </c>
      <c r="B4361" s="1" t="s">
        <v>3991</v>
      </c>
      <c r="C4361" s="1" t="s">
        <v>8</v>
      </c>
      <c r="D4361" s="1">
        <v>3843001</v>
      </c>
      <c r="E4361" s="1">
        <v>3844377</v>
      </c>
      <c r="F4361" s="1" t="s">
        <v>13</v>
      </c>
      <c r="G4361" s="1" t="s">
        <v>11409</v>
      </c>
    </row>
    <row r="4362" spans="1:7" ht="21" x14ac:dyDescent="0.25">
      <c r="A4362" s="2" t="str">
        <f>HYPERLINK("https://rth.dk/resources/bsgatlas/details.php?id=BSGatlas-gene-4361","BSGatlas-gene-4361")</f>
        <v>BSGatlas-gene-4361</v>
      </c>
      <c r="B4362" s="1" t="s">
        <v>3992</v>
      </c>
      <c r="C4362" s="1" t="s">
        <v>8</v>
      </c>
      <c r="D4362" s="1">
        <v>3844416</v>
      </c>
      <c r="E4362" s="1">
        <v>3845771</v>
      </c>
      <c r="F4362" s="1" t="s">
        <v>13</v>
      </c>
      <c r="G4362" s="1" t="s">
        <v>11409</v>
      </c>
    </row>
    <row r="4363" spans="1:7" ht="21" x14ac:dyDescent="0.25">
      <c r="A4363" s="2" t="str">
        <f>HYPERLINK("https://rth.dk/resources/bsgatlas/details.php?id=BSGatlas-gene-4362","BSGatlas-gene-4362")</f>
        <v>BSGatlas-gene-4362</v>
      </c>
      <c r="B4363" s="1" t="s">
        <v>3993</v>
      </c>
      <c r="C4363" s="1" t="s">
        <v>8</v>
      </c>
      <c r="D4363" s="1">
        <v>3846001</v>
      </c>
      <c r="E4363" s="1">
        <v>3847146</v>
      </c>
      <c r="F4363" s="1" t="s">
        <v>9</v>
      </c>
      <c r="G4363" s="1" t="s">
        <v>11409</v>
      </c>
    </row>
    <row r="4364" spans="1:7" ht="21" x14ac:dyDescent="0.25">
      <c r="A4364" s="2" t="str">
        <f>HYPERLINK("https://rth.dk/resources/bsgatlas/details.php?id=BSGatlas-gene-4363","BSGatlas-gene-4363")</f>
        <v>BSGatlas-gene-4363</v>
      </c>
      <c r="B4364" s="1" t="s">
        <v>3994</v>
      </c>
      <c r="C4364" s="1" t="s">
        <v>8</v>
      </c>
      <c r="D4364" s="1">
        <v>3847130</v>
      </c>
      <c r="E4364" s="1">
        <v>3847249</v>
      </c>
      <c r="F4364" s="1" t="s">
        <v>9</v>
      </c>
      <c r="G4364" s="1" t="s">
        <v>11409</v>
      </c>
    </row>
    <row r="4365" spans="1:7" ht="21" x14ac:dyDescent="0.25">
      <c r="A4365" s="2" t="str">
        <f>HYPERLINK("https://rth.dk/resources/bsgatlas/details.php?id=BSGatlas-gene-4364","BSGatlas-gene-4364")</f>
        <v>BSGatlas-gene-4364</v>
      </c>
      <c r="B4365" s="1" t="s">
        <v>3997</v>
      </c>
      <c r="C4365" s="1" t="s">
        <v>8</v>
      </c>
      <c r="D4365" s="1">
        <v>3847348</v>
      </c>
      <c r="E4365" s="1">
        <v>3847821</v>
      </c>
      <c r="F4365" s="1" t="s">
        <v>9</v>
      </c>
      <c r="G4365" s="1" t="s">
        <v>11409</v>
      </c>
    </row>
    <row r="4366" spans="1:7" ht="21" x14ac:dyDescent="0.25">
      <c r="A4366" s="2" t="str">
        <f>HYPERLINK("https://rth.dk/resources/bsgatlas/details.php?id=BSGatlas-gene-4365","BSGatlas-gene-4365")</f>
        <v>BSGatlas-gene-4365</v>
      </c>
      <c r="B4366" s="1" t="s">
        <v>3995</v>
      </c>
      <c r="C4366" s="1" t="s">
        <v>8</v>
      </c>
      <c r="D4366" s="1">
        <v>3847853</v>
      </c>
      <c r="E4366" s="1">
        <v>3848725</v>
      </c>
      <c r="F4366" s="1" t="s">
        <v>13</v>
      </c>
      <c r="G4366" s="1" t="s">
        <v>11409</v>
      </c>
    </row>
    <row r="4367" spans="1:7" ht="21" x14ac:dyDescent="0.25">
      <c r="A4367" s="2" t="str">
        <f>HYPERLINK("https://rth.dk/resources/bsgatlas/details.php?id=BSGatlas-gene-4366","BSGatlas-gene-4366")</f>
        <v>BSGatlas-gene-4366</v>
      </c>
      <c r="B4367" s="1" t="s">
        <v>3996</v>
      </c>
      <c r="C4367" s="1" t="s">
        <v>8</v>
      </c>
      <c r="D4367" s="1">
        <v>3848786</v>
      </c>
      <c r="E4367" s="1">
        <v>3849616</v>
      </c>
      <c r="F4367" s="1" t="s">
        <v>13</v>
      </c>
      <c r="G4367" s="1" t="s">
        <v>11409</v>
      </c>
    </row>
    <row r="4368" spans="1:7" ht="21" x14ac:dyDescent="0.25">
      <c r="A4368" s="2" t="str">
        <f>HYPERLINK("https://rth.dk/resources/bsgatlas/details.php?id=BSGatlas-gene-4367","BSGatlas-gene-4367")</f>
        <v>BSGatlas-gene-4367</v>
      </c>
      <c r="B4368" s="1" t="s">
        <v>3998</v>
      </c>
      <c r="C4368" s="1" t="s">
        <v>8</v>
      </c>
      <c r="D4368" s="1">
        <v>3849818</v>
      </c>
      <c r="E4368" s="1">
        <v>3851893</v>
      </c>
      <c r="F4368" s="1" t="s">
        <v>9</v>
      </c>
      <c r="G4368" s="1" t="s">
        <v>11409</v>
      </c>
    </row>
    <row r="4369" spans="1:7" ht="21" x14ac:dyDescent="0.25">
      <c r="A4369" s="2" t="str">
        <f>HYPERLINK("https://rth.dk/resources/bsgatlas/details.php?id=BSGatlas-gene-4368","BSGatlas-gene-4368")</f>
        <v>BSGatlas-gene-4368</v>
      </c>
      <c r="B4369" s="1" t="s">
        <v>3999</v>
      </c>
      <c r="C4369" s="1" t="s">
        <v>12</v>
      </c>
      <c r="D4369" s="1">
        <v>3852061</v>
      </c>
      <c r="E4369" s="1">
        <v>3852116</v>
      </c>
      <c r="F4369" s="1" t="s">
        <v>13</v>
      </c>
      <c r="G4369" s="1" t="s">
        <v>11442</v>
      </c>
    </row>
    <row r="4370" spans="1:7" ht="21" x14ac:dyDescent="0.25">
      <c r="A4370" s="2" t="str">
        <f>HYPERLINK("https://rth.dk/resources/bsgatlas/details.php?id=BSGatlas-gene-4369","BSGatlas-gene-4369")</f>
        <v>BSGatlas-gene-4369</v>
      </c>
      <c r="B4370" s="1" t="s">
        <v>4000</v>
      </c>
      <c r="C4370" s="1" t="s">
        <v>8</v>
      </c>
      <c r="D4370" s="1">
        <v>3852186</v>
      </c>
      <c r="E4370" s="1">
        <v>3852704</v>
      </c>
      <c r="F4370" s="1" t="s">
        <v>13</v>
      </c>
      <c r="G4370" s="1" t="s">
        <v>11409</v>
      </c>
    </row>
    <row r="4371" spans="1:7" ht="21" x14ac:dyDescent="0.25">
      <c r="A4371" s="2" t="str">
        <f>HYPERLINK("https://rth.dk/resources/bsgatlas/details.php?id=BSGatlas-gene-4370","BSGatlas-gene-4370")</f>
        <v>BSGatlas-gene-4370</v>
      </c>
      <c r="B4371" s="1" t="s">
        <v>4001</v>
      </c>
      <c r="C4371" s="1" t="s">
        <v>8</v>
      </c>
      <c r="D4371" s="1">
        <v>3852718</v>
      </c>
      <c r="E4371" s="1">
        <v>3853377</v>
      </c>
      <c r="F4371" s="1" t="s">
        <v>13</v>
      </c>
      <c r="G4371" s="1" t="s">
        <v>11409</v>
      </c>
    </row>
    <row r="4372" spans="1:7" ht="21" x14ac:dyDescent="0.25">
      <c r="A4372" s="2" t="str">
        <f>HYPERLINK("https://rth.dk/resources/bsgatlas/details.php?id=BSGatlas-gene-4371","BSGatlas-gene-4371")</f>
        <v>BSGatlas-gene-4371</v>
      </c>
      <c r="B4372" s="1" t="s">
        <v>4002</v>
      </c>
      <c r="C4372" s="1" t="s">
        <v>8</v>
      </c>
      <c r="D4372" s="1">
        <v>3853486</v>
      </c>
      <c r="E4372" s="1">
        <v>3853674</v>
      </c>
      <c r="F4372" s="1" t="s">
        <v>9</v>
      </c>
      <c r="G4372" s="1" t="s">
        <v>11409</v>
      </c>
    </row>
    <row r="4373" spans="1:7" ht="21" x14ac:dyDescent="0.25">
      <c r="A4373" s="2" t="str">
        <f>HYPERLINK("https://rth.dk/resources/bsgatlas/details.php?id=BSGatlas-gene-4372","BSGatlas-gene-4372")</f>
        <v>BSGatlas-gene-4372</v>
      </c>
      <c r="B4373" s="1" t="s">
        <v>4003</v>
      </c>
      <c r="C4373" s="1" t="s">
        <v>8</v>
      </c>
      <c r="D4373" s="1">
        <v>3853717</v>
      </c>
      <c r="E4373" s="1">
        <v>3854136</v>
      </c>
      <c r="F4373" s="1" t="s">
        <v>13</v>
      </c>
      <c r="G4373" s="1" t="s">
        <v>11409</v>
      </c>
    </row>
    <row r="4374" spans="1:7" ht="21" x14ac:dyDescent="0.25">
      <c r="A4374" s="2" t="str">
        <f>HYPERLINK("https://rth.dk/resources/bsgatlas/details.php?id=BSGatlas-gene-4373","BSGatlas-gene-4373")</f>
        <v>BSGatlas-gene-4373</v>
      </c>
      <c r="B4374" s="1" t="s">
        <v>4004</v>
      </c>
      <c r="C4374" s="1" t="s">
        <v>8</v>
      </c>
      <c r="D4374" s="1">
        <v>3854256</v>
      </c>
      <c r="E4374" s="1">
        <v>3856172</v>
      </c>
      <c r="F4374" s="1" t="s">
        <v>13</v>
      </c>
      <c r="G4374" s="1" t="s">
        <v>11409</v>
      </c>
    </row>
    <row r="4375" spans="1:7" ht="21" x14ac:dyDescent="0.25">
      <c r="A4375" s="2" t="str">
        <f>HYPERLINK("https://rth.dk/resources/bsgatlas/details.php?id=BSGatlas-gene-4374","BSGatlas-gene-4374")</f>
        <v>BSGatlas-gene-4374</v>
      </c>
      <c r="B4375" s="1" t="s">
        <v>4005</v>
      </c>
      <c r="C4375" s="1" t="s">
        <v>34</v>
      </c>
      <c r="D4375" s="1">
        <v>3856225</v>
      </c>
      <c r="E4375" s="1">
        <v>3856447</v>
      </c>
      <c r="F4375" s="1" t="s">
        <v>13</v>
      </c>
      <c r="G4375" s="1" t="s">
        <v>11411</v>
      </c>
    </row>
    <row r="4376" spans="1:7" ht="21" x14ac:dyDescent="0.25">
      <c r="A4376" s="2" t="str">
        <f>HYPERLINK("https://rth.dk/resources/bsgatlas/details.php?id=BSGatlas-gene-4375","BSGatlas-gene-4375")</f>
        <v>BSGatlas-gene-4375</v>
      </c>
      <c r="B4376" s="1" t="s">
        <v>4006</v>
      </c>
      <c r="C4376" s="1" t="s">
        <v>34</v>
      </c>
      <c r="D4376" s="1">
        <v>3856478</v>
      </c>
      <c r="E4376" s="1">
        <v>3856700</v>
      </c>
      <c r="F4376" s="1" t="s">
        <v>13</v>
      </c>
      <c r="G4376" s="1" t="s">
        <v>11411</v>
      </c>
    </row>
    <row r="4377" spans="1:7" ht="21" x14ac:dyDescent="0.25">
      <c r="A4377" s="2" t="str">
        <f>HYPERLINK("https://rth.dk/resources/bsgatlas/details.php?id=BSGatlas-gene-4376","BSGatlas-gene-4376")</f>
        <v>BSGatlas-gene-4376</v>
      </c>
      <c r="B4377" s="1" t="s">
        <v>144</v>
      </c>
      <c r="C4377" s="1" t="s">
        <v>34</v>
      </c>
      <c r="D4377" s="1">
        <v>3856733</v>
      </c>
      <c r="E4377" s="1">
        <v>3856962</v>
      </c>
      <c r="F4377" s="1" t="s">
        <v>13</v>
      </c>
      <c r="G4377" s="1" t="s">
        <v>11726</v>
      </c>
    </row>
    <row r="4378" spans="1:7" ht="21" x14ac:dyDescent="0.25">
      <c r="A4378" s="2" t="str">
        <f>HYPERLINK("https://rth.dk/resources/bsgatlas/details.php?id=BSGatlas-gene-4377","BSGatlas-gene-4377")</f>
        <v>BSGatlas-gene-4377</v>
      </c>
      <c r="B4378" s="1" t="s">
        <v>318</v>
      </c>
      <c r="C4378" s="1" t="s">
        <v>8</v>
      </c>
      <c r="D4378" s="1">
        <v>3856782</v>
      </c>
      <c r="E4378" s="1">
        <v>3856937</v>
      </c>
      <c r="F4378" s="1" t="s">
        <v>13</v>
      </c>
      <c r="G4378" s="1" t="s">
        <v>11441</v>
      </c>
    </row>
    <row r="4379" spans="1:7" ht="21" x14ac:dyDescent="0.25">
      <c r="A4379" s="2" t="str">
        <f>HYPERLINK("https://rth.dk/resources/bsgatlas/details.php?id=BSGatlas-gene-4378","BSGatlas-gene-4378")</f>
        <v>BSGatlas-gene-4378</v>
      </c>
      <c r="B4379" s="1" t="s">
        <v>4007</v>
      </c>
      <c r="C4379" s="1" t="s">
        <v>8</v>
      </c>
      <c r="D4379" s="1">
        <v>3857017</v>
      </c>
      <c r="E4379" s="1">
        <v>3858417</v>
      </c>
      <c r="F4379" s="1" t="s">
        <v>13</v>
      </c>
      <c r="G4379" s="1" t="s">
        <v>11409</v>
      </c>
    </row>
    <row r="4380" spans="1:7" ht="21" x14ac:dyDescent="0.25">
      <c r="A4380" s="2" t="str">
        <f>HYPERLINK("https://rth.dk/resources/bsgatlas/details.php?id=BSGatlas-gene-4379","BSGatlas-gene-4379")</f>
        <v>BSGatlas-gene-4379</v>
      </c>
      <c r="B4380" s="1" t="s">
        <v>11727</v>
      </c>
      <c r="C4380" s="1" t="s">
        <v>8</v>
      </c>
      <c r="D4380" s="1">
        <v>3858417</v>
      </c>
      <c r="E4380" s="1">
        <v>3858887</v>
      </c>
      <c r="F4380" s="1" t="s">
        <v>13</v>
      </c>
      <c r="G4380" s="1" t="s">
        <v>11409</v>
      </c>
    </row>
    <row r="4381" spans="1:7" ht="21" x14ac:dyDescent="0.25">
      <c r="A4381" s="2" t="str">
        <f>HYPERLINK("https://rth.dk/resources/bsgatlas/details.php?id=BSGatlas-gene-4380","BSGatlas-gene-4380")</f>
        <v>BSGatlas-gene-4380</v>
      </c>
      <c r="B4381" s="1" t="s">
        <v>4008</v>
      </c>
      <c r="C4381" s="1" t="s">
        <v>8</v>
      </c>
      <c r="D4381" s="1">
        <v>3858999</v>
      </c>
      <c r="E4381" s="1">
        <v>3859499</v>
      </c>
      <c r="F4381" s="1" t="s">
        <v>13</v>
      </c>
      <c r="G4381" s="1" t="s">
        <v>11409</v>
      </c>
    </row>
    <row r="4382" spans="1:7" ht="21" x14ac:dyDescent="0.25">
      <c r="A4382" s="2" t="str">
        <f>HYPERLINK("https://rth.dk/resources/bsgatlas/details.php?id=BSGatlas-gene-4381","BSGatlas-gene-4381")</f>
        <v>BSGatlas-gene-4381</v>
      </c>
      <c r="B4382" s="1" t="s">
        <v>4009</v>
      </c>
      <c r="C4382" s="1" t="s">
        <v>8</v>
      </c>
      <c r="D4382" s="1">
        <v>3859535</v>
      </c>
      <c r="E4382" s="1">
        <v>3860836</v>
      </c>
      <c r="F4382" s="1" t="s">
        <v>13</v>
      </c>
      <c r="G4382" s="1" t="s">
        <v>11409</v>
      </c>
    </row>
    <row r="4383" spans="1:7" ht="21" x14ac:dyDescent="0.25">
      <c r="A4383" s="2" t="str">
        <f>HYPERLINK("https://rth.dk/resources/bsgatlas/details.php?id=BSGatlas-gene-4382","BSGatlas-gene-4382")</f>
        <v>BSGatlas-gene-4382</v>
      </c>
      <c r="B4383" s="1" t="s">
        <v>4010</v>
      </c>
      <c r="C4383" s="1" t="s">
        <v>8</v>
      </c>
      <c r="D4383" s="1">
        <v>3860998</v>
      </c>
      <c r="E4383" s="1">
        <v>3861222</v>
      </c>
      <c r="F4383" s="1" t="s">
        <v>13</v>
      </c>
      <c r="G4383" s="1" t="s">
        <v>11409</v>
      </c>
    </row>
    <row r="4384" spans="1:7" ht="21" x14ac:dyDescent="0.25">
      <c r="A4384" s="2" t="str">
        <f>HYPERLINK("https://rth.dk/resources/bsgatlas/details.php?id=BSGatlas-gene-4383","BSGatlas-gene-4383")</f>
        <v>BSGatlas-gene-4383</v>
      </c>
      <c r="B4384" s="1" t="s">
        <v>4011</v>
      </c>
      <c r="C4384" s="1" t="s">
        <v>8</v>
      </c>
      <c r="D4384" s="1">
        <v>3861437</v>
      </c>
      <c r="E4384" s="1">
        <v>3862213</v>
      </c>
      <c r="F4384" s="1" t="s">
        <v>9</v>
      </c>
      <c r="G4384" s="1" t="s">
        <v>11409</v>
      </c>
    </row>
    <row r="4385" spans="1:7" ht="21" x14ac:dyDescent="0.25">
      <c r="A4385" s="2" t="str">
        <f>HYPERLINK("https://rth.dk/resources/bsgatlas/details.php?id=BSGatlas-gene-4384","BSGatlas-gene-4384")</f>
        <v>BSGatlas-gene-4384</v>
      </c>
      <c r="B4385" s="1" t="s">
        <v>4012</v>
      </c>
      <c r="C4385" s="1" t="s">
        <v>8</v>
      </c>
      <c r="D4385" s="1">
        <v>3862357</v>
      </c>
      <c r="E4385" s="1">
        <v>3863247</v>
      </c>
      <c r="F4385" s="1" t="s">
        <v>13</v>
      </c>
      <c r="G4385" s="1" t="s">
        <v>11409</v>
      </c>
    </row>
    <row r="4386" spans="1:7" ht="21" x14ac:dyDescent="0.25">
      <c r="A4386" s="2" t="str">
        <f>HYPERLINK("https://rth.dk/resources/bsgatlas/details.php?id=BSGatlas-gene-4385","BSGatlas-gene-4385")</f>
        <v>BSGatlas-gene-4385</v>
      </c>
      <c r="B4386" s="1" t="s">
        <v>4013</v>
      </c>
      <c r="C4386" s="1" t="s">
        <v>8</v>
      </c>
      <c r="D4386" s="1">
        <v>3863415</v>
      </c>
      <c r="E4386" s="1">
        <v>3864260</v>
      </c>
      <c r="F4386" s="1" t="s">
        <v>13</v>
      </c>
      <c r="G4386" s="1" t="s">
        <v>11409</v>
      </c>
    </row>
    <row r="4387" spans="1:7" ht="21" x14ac:dyDescent="0.25">
      <c r="A4387" s="2" t="str">
        <f>HYPERLINK("https://rth.dk/resources/bsgatlas/details.php?id=BSGatlas-gene-4386","BSGatlas-gene-4386")</f>
        <v>BSGatlas-gene-4386</v>
      </c>
      <c r="B4387" s="1" t="s">
        <v>4014</v>
      </c>
      <c r="C4387" s="1" t="s">
        <v>8</v>
      </c>
      <c r="D4387" s="1">
        <v>3864309</v>
      </c>
      <c r="E4387" s="1">
        <v>3865208</v>
      </c>
      <c r="F4387" s="1" t="s">
        <v>13</v>
      </c>
      <c r="G4387" s="1" t="s">
        <v>11409</v>
      </c>
    </row>
    <row r="4388" spans="1:7" ht="21" x14ac:dyDescent="0.25">
      <c r="A4388" s="2" t="str">
        <f>HYPERLINK("https://rth.dk/resources/bsgatlas/details.php?id=BSGatlas-gene-4387","BSGatlas-gene-4387")</f>
        <v>BSGatlas-gene-4387</v>
      </c>
      <c r="B4388" s="1" t="s">
        <v>4015</v>
      </c>
      <c r="C4388" s="1" t="s">
        <v>8</v>
      </c>
      <c r="D4388" s="1">
        <v>3865355</v>
      </c>
      <c r="E4388" s="1">
        <v>3866326</v>
      </c>
      <c r="F4388" s="1" t="s">
        <v>13</v>
      </c>
      <c r="G4388" s="1" t="s">
        <v>11409</v>
      </c>
    </row>
    <row r="4389" spans="1:7" ht="21" x14ac:dyDescent="0.25">
      <c r="A4389" s="2" t="str">
        <f>HYPERLINK("https://rth.dk/resources/bsgatlas/details.php?id=BSGatlas-gene-4388","BSGatlas-gene-4388")</f>
        <v>BSGatlas-gene-4388</v>
      </c>
      <c r="B4389" s="1" t="s">
        <v>4016</v>
      </c>
      <c r="C4389" s="1" t="s">
        <v>8</v>
      </c>
      <c r="D4389" s="1">
        <v>3866596</v>
      </c>
      <c r="E4389" s="1">
        <v>3867360</v>
      </c>
      <c r="F4389" s="1" t="s">
        <v>9</v>
      </c>
      <c r="G4389" s="1" t="s">
        <v>11409</v>
      </c>
    </row>
    <row r="4390" spans="1:7" ht="21" x14ac:dyDescent="0.25">
      <c r="A4390" s="2" t="str">
        <f>HYPERLINK("https://rth.dk/resources/bsgatlas/details.php?id=BSGatlas-gene-4389","BSGatlas-gene-4389")</f>
        <v>BSGatlas-gene-4389</v>
      </c>
      <c r="B4390" s="1" t="s">
        <v>4017</v>
      </c>
      <c r="C4390" s="1" t="s">
        <v>8</v>
      </c>
      <c r="D4390" s="1">
        <v>3867493</v>
      </c>
      <c r="E4390" s="1">
        <v>3868272</v>
      </c>
      <c r="F4390" s="1" t="s">
        <v>9</v>
      </c>
      <c r="G4390" s="1" t="s">
        <v>11409</v>
      </c>
    </row>
    <row r="4391" spans="1:7" ht="21" x14ac:dyDescent="0.25">
      <c r="A4391" s="2" t="str">
        <f>HYPERLINK("https://rth.dk/resources/bsgatlas/details.php?id=BSGatlas-gene-4390","BSGatlas-gene-4390")</f>
        <v>BSGatlas-gene-4390</v>
      </c>
      <c r="B4391" s="1" t="s">
        <v>4018</v>
      </c>
      <c r="C4391" s="1" t="s">
        <v>8</v>
      </c>
      <c r="D4391" s="1">
        <v>3868287</v>
      </c>
      <c r="E4391" s="1">
        <v>3869486</v>
      </c>
      <c r="F4391" s="1" t="s">
        <v>13</v>
      </c>
      <c r="G4391" s="1" t="s">
        <v>11409</v>
      </c>
    </row>
    <row r="4392" spans="1:7" ht="21" x14ac:dyDescent="0.25">
      <c r="A4392" s="2" t="str">
        <f>HYPERLINK("https://rth.dk/resources/bsgatlas/details.php?id=BSGatlas-gene-4391","BSGatlas-gene-4391")</f>
        <v>BSGatlas-gene-4391</v>
      </c>
      <c r="B4392" s="1" t="s">
        <v>4019</v>
      </c>
      <c r="C4392" s="1" t="s">
        <v>8</v>
      </c>
      <c r="D4392" s="1">
        <v>3869487</v>
      </c>
      <c r="E4392" s="1">
        <v>3870671</v>
      </c>
      <c r="F4392" s="1" t="s">
        <v>13</v>
      </c>
      <c r="G4392" s="1" t="s">
        <v>11409</v>
      </c>
    </row>
    <row r="4393" spans="1:7" ht="21" x14ac:dyDescent="0.25">
      <c r="A4393" s="2" t="str">
        <f>HYPERLINK("https://rth.dk/resources/bsgatlas/details.php?id=BSGatlas-gene-4392","BSGatlas-gene-4392")</f>
        <v>BSGatlas-gene-4392</v>
      </c>
      <c r="B4393" s="1" t="s">
        <v>4020</v>
      </c>
      <c r="C4393" s="1" t="s">
        <v>8</v>
      </c>
      <c r="D4393" s="1">
        <v>3870668</v>
      </c>
      <c r="E4393" s="1">
        <v>3872086</v>
      </c>
      <c r="F4393" s="1" t="s">
        <v>13</v>
      </c>
      <c r="G4393" s="1" t="s">
        <v>11409</v>
      </c>
    </row>
    <row r="4394" spans="1:7" ht="21" x14ac:dyDescent="0.25">
      <c r="A4394" s="2" t="str">
        <f>HYPERLINK("https://rth.dk/resources/bsgatlas/details.php?id=BSGatlas-gene-4393","BSGatlas-gene-4393")</f>
        <v>BSGatlas-gene-4393</v>
      </c>
      <c r="B4394" s="1" t="s">
        <v>4021</v>
      </c>
      <c r="C4394" s="1" t="s">
        <v>8</v>
      </c>
      <c r="D4394" s="1">
        <v>3872105</v>
      </c>
      <c r="E4394" s="1">
        <v>3872866</v>
      </c>
      <c r="F4394" s="1" t="s">
        <v>13</v>
      </c>
      <c r="G4394" s="1" t="s">
        <v>11409</v>
      </c>
    </row>
    <row r="4395" spans="1:7" ht="21" x14ac:dyDescent="0.25">
      <c r="A4395" s="2" t="str">
        <f>HYPERLINK("https://rth.dk/resources/bsgatlas/details.php?id=BSGatlas-gene-4394","BSGatlas-gene-4394")</f>
        <v>BSGatlas-gene-4394</v>
      </c>
      <c r="B4395" s="1" t="s">
        <v>4022</v>
      </c>
      <c r="C4395" s="1" t="s">
        <v>8</v>
      </c>
      <c r="D4395" s="1">
        <v>3872869</v>
      </c>
      <c r="E4395" s="1">
        <v>3873576</v>
      </c>
      <c r="F4395" s="1" t="s">
        <v>13</v>
      </c>
      <c r="G4395" s="1" t="s">
        <v>11409</v>
      </c>
    </row>
    <row r="4396" spans="1:7" ht="21" x14ac:dyDescent="0.25">
      <c r="A4396" s="2" t="str">
        <f>HYPERLINK("https://rth.dk/resources/bsgatlas/details.php?id=BSGatlas-gene-4395","BSGatlas-gene-4395")</f>
        <v>BSGatlas-gene-4395</v>
      </c>
      <c r="B4396" s="1" t="s">
        <v>4023</v>
      </c>
      <c r="C4396" s="1" t="s">
        <v>8</v>
      </c>
      <c r="D4396" s="1">
        <v>3873566</v>
      </c>
      <c r="E4396" s="1">
        <v>3874180</v>
      </c>
      <c r="F4396" s="1" t="s">
        <v>13</v>
      </c>
      <c r="G4396" s="1" t="s">
        <v>11409</v>
      </c>
    </row>
    <row r="4397" spans="1:7" ht="21" x14ac:dyDescent="0.25">
      <c r="A4397" s="2" t="str">
        <f>HYPERLINK("https://rth.dk/resources/bsgatlas/details.php?id=BSGatlas-gene-4396","BSGatlas-gene-4396")</f>
        <v>BSGatlas-gene-4396</v>
      </c>
      <c r="B4397" s="1" t="s">
        <v>4024</v>
      </c>
      <c r="C4397" s="1" t="s">
        <v>12</v>
      </c>
      <c r="D4397" s="1">
        <v>3873771</v>
      </c>
      <c r="E4397" s="1">
        <v>3874382</v>
      </c>
      <c r="F4397" s="1" t="s">
        <v>9</v>
      </c>
      <c r="G4397" s="1" t="s">
        <v>11406</v>
      </c>
    </row>
    <row r="4398" spans="1:7" ht="21" x14ac:dyDescent="0.25">
      <c r="A4398" s="2" t="str">
        <f>HYPERLINK("https://rth.dk/resources/bsgatlas/details.php?id=BSGatlas-gene-4397","BSGatlas-gene-4397")</f>
        <v>BSGatlas-gene-4397</v>
      </c>
      <c r="B4398" s="1" t="s">
        <v>4025</v>
      </c>
      <c r="C4398" s="1" t="s">
        <v>8</v>
      </c>
      <c r="D4398" s="1">
        <v>3874332</v>
      </c>
      <c r="E4398" s="1">
        <v>3875570</v>
      </c>
      <c r="F4398" s="1" t="s">
        <v>13</v>
      </c>
      <c r="G4398" s="1" t="s">
        <v>11409</v>
      </c>
    </row>
    <row r="4399" spans="1:7" ht="21" x14ac:dyDescent="0.25">
      <c r="A4399" s="2" t="str">
        <f>HYPERLINK("https://rth.dk/resources/bsgatlas/details.php?id=BSGatlas-gene-4398","BSGatlas-gene-4398")</f>
        <v>BSGatlas-gene-4398</v>
      </c>
      <c r="B4399" s="1" t="s">
        <v>4026</v>
      </c>
      <c r="C4399" s="1" t="s">
        <v>8</v>
      </c>
      <c r="D4399" s="1">
        <v>3875780</v>
      </c>
      <c r="E4399" s="1">
        <v>3877192</v>
      </c>
      <c r="F4399" s="1" t="s">
        <v>13</v>
      </c>
      <c r="G4399" s="1" t="s">
        <v>11409</v>
      </c>
    </row>
    <row r="4400" spans="1:7" ht="21" x14ac:dyDescent="0.25">
      <c r="A4400" s="2" t="str">
        <f>HYPERLINK("https://rth.dk/resources/bsgatlas/details.php?id=BSGatlas-gene-4399","BSGatlas-gene-4399")</f>
        <v>BSGatlas-gene-4399</v>
      </c>
      <c r="B4400" s="1" t="s">
        <v>4027</v>
      </c>
      <c r="C4400" s="1" t="s">
        <v>8</v>
      </c>
      <c r="D4400" s="1">
        <v>3877192</v>
      </c>
      <c r="E4400" s="1">
        <v>3878892</v>
      </c>
      <c r="F4400" s="1" t="s">
        <v>13</v>
      </c>
      <c r="G4400" s="1" t="s">
        <v>11409</v>
      </c>
    </row>
    <row r="4401" spans="1:7" ht="21" x14ac:dyDescent="0.25">
      <c r="A4401" s="2" t="str">
        <f>HYPERLINK("https://rth.dk/resources/bsgatlas/details.php?id=BSGatlas-gene-4400","BSGatlas-gene-4400")</f>
        <v>BSGatlas-gene-4400</v>
      </c>
      <c r="B4401" s="1" t="s">
        <v>4028</v>
      </c>
      <c r="C4401" s="1" t="s">
        <v>8</v>
      </c>
      <c r="D4401" s="1">
        <v>3878966</v>
      </c>
      <c r="E4401" s="1">
        <v>3880513</v>
      </c>
      <c r="F4401" s="1" t="s">
        <v>13</v>
      </c>
      <c r="G4401" s="1" t="s">
        <v>11409</v>
      </c>
    </row>
    <row r="4402" spans="1:7" ht="21" x14ac:dyDescent="0.25">
      <c r="A4402" s="2" t="str">
        <f>HYPERLINK("https://rth.dk/resources/bsgatlas/details.php?id=BSGatlas-gene-4401","BSGatlas-gene-4401")</f>
        <v>BSGatlas-gene-4401</v>
      </c>
      <c r="B4402" s="1" t="s">
        <v>4029</v>
      </c>
      <c r="C4402" s="1" t="s">
        <v>8</v>
      </c>
      <c r="D4402" s="1">
        <v>3880740</v>
      </c>
      <c r="E4402" s="1">
        <v>3882014</v>
      </c>
      <c r="F4402" s="1" t="s">
        <v>13</v>
      </c>
      <c r="G4402" s="1" t="s">
        <v>11409</v>
      </c>
    </row>
    <row r="4403" spans="1:7" ht="21" x14ac:dyDescent="0.25">
      <c r="A4403" s="2" t="str">
        <f>HYPERLINK("https://rth.dk/resources/bsgatlas/details.php?id=BSGatlas-gene-4402","BSGatlas-gene-4402")</f>
        <v>BSGatlas-gene-4402</v>
      </c>
      <c r="B4403" s="1" t="s">
        <v>4030</v>
      </c>
      <c r="C4403" s="1" t="s">
        <v>8</v>
      </c>
      <c r="D4403" s="1">
        <v>3882191</v>
      </c>
      <c r="E4403" s="1">
        <v>3882655</v>
      </c>
      <c r="F4403" s="1" t="s">
        <v>13</v>
      </c>
      <c r="G4403" s="1" t="s">
        <v>11409</v>
      </c>
    </row>
    <row r="4404" spans="1:7" ht="21" x14ac:dyDescent="0.25">
      <c r="A4404" s="2" t="str">
        <f>HYPERLINK("https://rth.dk/resources/bsgatlas/details.php?id=BSGatlas-gene-4403","BSGatlas-gene-4403")</f>
        <v>BSGatlas-gene-4403</v>
      </c>
      <c r="B4404" s="1" t="s">
        <v>4031</v>
      </c>
      <c r="C4404" s="1" t="s">
        <v>8</v>
      </c>
      <c r="D4404" s="1">
        <v>3882979</v>
      </c>
      <c r="E4404" s="1">
        <v>3883434</v>
      </c>
      <c r="F4404" s="1" t="s">
        <v>13</v>
      </c>
      <c r="G4404" s="1" t="s">
        <v>11409</v>
      </c>
    </row>
    <row r="4405" spans="1:7" ht="21" x14ac:dyDescent="0.25">
      <c r="A4405" s="2" t="str">
        <f>HYPERLINK("https://rth.dk/resources/bsgatlas/details.php?id=BSGatlas-gene-4404","BSGatlas-gene-4404")</f>
        <v>BSGatlas-gene-4404</v>
      </c>
      <c r="B4405" s="1" t="s">
        <v>4032</v>
      </c>
      <c r="C4405" s="1" t="s">
        <v>8</v>
      </c>
      <c r="D4405" s="1">
        <v>3883427</v>
      </c>
      <c r="E4405" s="1">
        <v>3884278</v>
      </c>
      <c r="F4405" s="1" t="s">
        <v>13</v>
      </c>
      <c r="G4405" s="1" t="s">
        <v>11409</v>
      </c>
    </row>
    <row r="4406" spans="1:7" ht="21" x14ac:dyDescent="0.25">
      <c r="A4406" s="2" t="str">
        <f>HYPERLINK("https://rth.dk/resources/bsgatlas/details.php?id=BSGatlas-gene-4405","BSGatlas-gene-4405")</f>
        <v>BSGatlas-gene-4405</v>
      </c>
      <c r="B4406" s="1" t="s">
        <v>4033</v>
      </c>
      <c r="C4406" s="1" t="s">
        <v>8</v>
      </c>
      <c r="D4406" s="1">
        <v>3884292</v>
      </c>
      <c r="E4406" s="1">
        <v>3885239</v>
      </c>
      <c r="F4406" s="1" t="s">
        <v>13</v>
      </c>
      <c r="G4406" s="1" t="s">
        <v>11409</v>
      </c>
    </row>
    <row r="4407" spans="1:7" ht="21" x14ac:dyDescent="0.25">
      <c r="A4407" s="2" t="str">
        <f>HYPERLINK("https://rth.dk/resources/bsgatlas/details.php?id=BSGatlas-gene-4406","BSGatlas-gene-4406")</f>
        <v>BSGatlas-gene-4406</v>
      </c>
      <c r="B4407" s="1" t="s">
        <v>4034</v>
      </c>
      <c r="C4407" s="1" t="s">
        <v>8</v>
      </c>
      <c r="D4407" s="1">
        <v>3885239</v>
      </c>
      <c r="E4407" s="1">
        <v>3885979</v>
      </c>
      <c r="F4407" s="1" t="s">
        <v>13</v>
      </c>
      <c r="G4407" s="1" t="s">
        <v>11409</v>
      </c>
    </row>
    <row r="4408" spans="1:7" ht="21" x14ac:dyDescent="0.25">
      <c r="A4408" s="2" t="str">
        <f>HYPERLINK("https://rth.dk/resources/bsgatlas/details.php?id=BSGatlas-gene-4407","BSGatlas-gene-4407")</f>
        <v>BSGatlas-gene-4407</v>
      </c>
      <c r="B4408" s="1" t="s">
        <v>4035</v>
      </c>
      <c r="C4408" s="1" t="s">
        <v>8</v>
      </c>
      <c r="D4408" s="1">
        <v>3886004</v>
      </c>
      <c r="E4408" s="1">
        <v>3887023</v>
      </c>
      <c r="F4408" s="1" t="s">
        <v>13</v>
      </c>
      <c r="G4408" s="1" t="s">
        <v>11409</v>
      </c>
    </row>
    <row r="4409" spans="1:7" ht="21" x14ac:dyDescent="0.25">
      <c r="A4409" s="2" t="str">
        <f>HYPERLINK("https://rth.dk/resources/bsgatlas/details.php?id=BSGatlas-gene-4408","BSGatlas-gene-4408")</f>
        <v>BSGatlas-gene-4408</v>
      </c>
      <c r="B4409" s="1" t="s">
        <v>4036</v>
      </c>
      <c r="C4409" s="1" t="s">
        <v>8</v>
      </c>
      <c r="D4409" s="1">
        <v>3887026</v>
      </c>
      <c r="E4409" s="1">
        <v>3887748</v>
      </c>
      <c r="F4409" s="1" t="s">
        <v>13</v>
      </c>
      <c r="G4409" s="1" t="s">
        <v>11409</v>
      </c>
    </row>
    <row r="4410" spans="1:7" ht="21" x14ac:dyDescent="0.25">
      <c r="A4410" s="2" t="str">
        <f>HYPERLINK("https://rth.dk/resources/bsgatlas/details.php?id=BSGatlas-gene-4409","BSGatlas-gene-4409")</f>
        <v>BSGatlas-gene-4409</v>
      </c>
      <c r="B4410" s="1" t="s">
        <v>4037</v>
      </c>
      <c r="C4410" s="1" t="s">
        <v>8</v>
      </c>
      <c r="D4410" s="1">
        <v>3887741</v>
      </c>
      <c r="E4410" s="1">
        <v>3888862</v>
      </c>
      <c r="F4410" s="1" t="s">
        <v>13</v>
      </c>
      <c r="G4410" s="1" t="s">
        <v>11409</v>
      </c>
    </row>
    <row r="4411" spans="1:7" ht="21" x14ac:dyDescent="0.25">
      <c r="A4411" s="2" t="str">
        <f>HYPERLINK("https://rth.dk/resources/bsgatlas/details.php?id=BSGatlas-gene-4410","BSGatlas-gene-4410")</f>
        <v>BSGatlas-gene-4410</v>
      </c>
      <c r="B4411" s="1" t="s">
        <v>4038</v>
      </c>
      <c r="C4411" s="1" t="s">
        <v>8</v>
      </c>
      <c r="D4411" s="1">
        <v>3888862</v>
      </c>
      <c r="E4411" s="1">
        <v>3889731</v>
      </c>
      <c r="F4411" s="1" t="s">
        <v>13</v>
      </c>
      <c r="G4411" s="1" t="s">
        <v>11409</v>
      </c>
    </row>
    <row r="4412" spans="1:7" ht="21" x14ac:dyDescent="0.25">
      <c r="A4412" s="2" t="str">
        <f>HYPERLINK("https://rth.dk/resources/bsgatlas/details.php?id=BSGatlas-gene-4411","BSGatlas-gene-4411")</f>
        <v>BSGatlas-gene-4411</v>
      </c>
      <c r="B4412" s="1" t="s">
        <v>3417</v>
      </c>
      <c r="C4412" s="1" t="s">
        <v>8</v>
      </c>
      <c r="D4412" s="1">
        <v>3889732</v>
      </c>
      <c r="E4412" s="1">
        <v>3890901</v>
      </c>
      <c r="F4412" s="1" t="s">
        <v>13</v>
      </c>
      <c r="G4412" s="1" t="s">
        <v>11409</v>
      </c>
    </row>
    <row r="4413" spans="1:7" ht="21" x14ac:dyDescent="0.25">
      <c r="A4413" s="2" t="str">
        <f>HYPERLINK("https://rth.dk/resources/bsgatlas/details.php?id=BSGatlas-gene-4412","BSGatlas-gene-4412")</f>
        <v>BSGatlas-gene-4412</v>
      </c>
      <c r="B4413" s="1" t="s">
        <v>4039</v>
      </c>
      <c r="C4413" s="1" t="s">
        <v>8</v>
      </c>
      <c r="D4413" s="1">
        <v>3890922</v>
      </c>
      <c r="E4413" s="1">
        <v>3892346</v>
      </c>
      <c r="F4413" s="1" t="s">
        <v>13</v>
      </c>
      <c r="G4413" s="1" t="s">
        <v>11409</v>
      </c>
    </row>
    <row r="4414" spans="1:7" ht="21" x14ac:dyDescent="0.25">
      <c r="A4414" s="2" t="str">
        <f>HYPERLINK("https://rth.dk/resources/bsgatlas/details.php?id=BSGatlas-gene-4413","BSGatlas-gene-4413")</f>
        <v>BSGatlas-gene-4413</v>
      </c>
      <c r="B4414" s="1" t="s">
        <v>4040</v>
      </c>
      <c r="C4414" s="1" t="s">
        <v>8</v>
      </c>
      <c r="D4414" s="1">
        <v>3892351</v>
      </c>
      <c r="E4414" s="1">
        <v>3893121</v>
      </c>
      <c r="F4414" s="1" t="s">
        <v>13</v>
      </c>
      <c r="G4414" s="1" t="s">
        <v>11409</v>
      </c>
    </row>
    <row r="4415" spans="1:7" ht="21" x14ac:dyDescent="0.25">
      <c r="A4415" s="2" t="str">
        <f>HYPERLINK("https://rth.dk/resources/bsgatlas/details.php?id=BSGatlas-gene-4414","BSGatlas-gene-4414")</f>
        <v>BSGatlas-gene-4414</v>
      </c>
      <c r="B4415" s="1" t="s">
        <v>4041</v>
      </c>
      <c r="C4415" s="1" t="s">
        <v>8</v>
      </c>
      <c r="D4415" s="1">
        <v>3893441</v>
      </c>
      <c r="E4415" s="1">
        <v>3893986</v>
      </c>
      <c r="F4415" s="1" t="s">
        <v>9</v>
      </c>
      <c r="G4415" s="1" t="s">
        <v>11409</v>
      </c>
    </row>
    <row r="4416" spans="1:7" ht="21" x14ac:dyDescent="0.25">
      <c r="A4416" s="2" t="str">
        <f>HYPERLINK("https://rth.dk/resources/bsgatlas/details.php?id=BSGatlas-gene-4415","BSGatlas-gene-4415")</f>
        <v>BSGatlas-gene-4415</v>
      </c>
      <c r="B4416" s="1" t="s">
        <v>4042</v>
      </c>
      <c r="C4416" s="1" t="s">
        <v>8</v>
      </c>
      <c r="D4416" s="1">
        <v>3894030</v>
      </c>
      <c r="E4416" s="1">
        <v>3894401</v>
      </c>
      <c r="F4416" s="1" t="s">
        <v>13</v>
      </c>
      <c r="G4416" s="1" t="s">
        <v>11409</v>
      </c>
    </row>
    <row r="4417" spans="1:7" ht="21" x14ac:dyDescent="0.25">
      <c r="A4417" s="2" t="str">
        <f>HYPERLINK("https://rth.dk/resources/bsgatlas/details.php?id=BSGatlas-gene-4416","BSGatlas-gene-4416")</f>
        <v>BSGatlas-gene-4416</v>
      </c>
      <c r="B4417" s="1" t="s">
        <v>4043</v>
      </c>
      <c r="C4417" s="1" t="s">
        <v>8</v>
      </c>
      <c r="D4417" s="1">
        <v>3894463</v>
      </c>
      <c r="E4417" s="1">
        <v>3895785</v>
      </c>
      <c r="F4417" s="1" t="s">
        <v>13</v>
      </c>
      <c r="G4417" s="1" t="s">
        <v>11409</v>
      </c>
    </row>
    <row r="4418" spans="1:7" ht="21" x14ac:dyDescent="0.25">
      <c r="A4418" s="2" t="str">
        <f>HYPERLINK("https://rth.dk/resources/bsgatlas/details.php?id=BSGatlas-gene-4417","BSGatlas-gene-4417")</f>
        <v>BSGatlas-gene-4417</v>
      </c>
      <c r="B4418" s="1" t="s">
        <v>4044</v>
      </c>
      <c r="C4418" s="1" t="s">
        <v>8</v>
      </c>
      <c r="D4418" s="1">
        <v>3895805</v>
      </c>
      <c r="E4418" s="1">
        <v>3896122</v>
      </c>
      <c r="F4418" s="1" t="s">
        <v>13</v>
      </c>
      <c r="G4418" s="1" t="s">
        <v>11409</v>
      </c>
    </row>
    <row r="4419" spans="1:7" ht="21" x14ac:dyDescent="0.25">
      <c r="A4419" s="2" t="str">
        <f>HYPERLINK("https://rth.dk/resources/bsgatlas/details.php?id=BSGatlas-gene-4418","BSGatlas-gene-4418")</f>
        <v>BSGatlas-gene-4418</v>
      </c>
      <c r="B4419" s="1" t="s">
        <v>4045</v>
      </c>
      <c r="C4419" s="1" t="s">
        <v>8</v>
      </c>
      <c r="D4419" s="1">
        <v>3896290</v>
      </c>
      <c r="E4419" s="1">
        <v>3897660</v>
      </c>
      <c r="F4419" s="1" t="s">
        <v>9</v>
      </c>
      <c r="G4419" s="1" t="s">
        <v>11409</v>
      </c>
    </row>
    <row r="4420" spans="1:7" ht="21" x14ac:dyDescent="0.25">
      <c r="A4420" s="2" t="str">
        <f>HYPERLINK("https://rth.dk/resources/bsgatlas/details.php?id=BSGatlas-gene-4419","BSGatlas-gene-4419")</f>
        <v>BSGatlas-gene-4419</v>
      </c>
      <c r="B4420" s="1" t="s">
        <v>4046</v>
      </c>
      <c r="C4420" s="1" t="s">
        <v>8</v>
      </c>
      <c r="D4420" s="1">
        <v>3897685</v>
      </c>
      <c r="E4420" s="1">
        <v>3898362</v>
      </c>
      <c r="F4420" s="1" t="s">
        <v>13</v>
      </c>
      <c r="G4420" s="1" t="s">
        <v>11409</v>
      </c>
    </row>
    <row r="4421" spans="1:7" ht="21" x14ac:dyDescent="0.25">
      <c r="A4421" s="2" t="str">
        <f>HYPERLINK("https://rth.dk/resources/bsgatlas/details.php?id=BSGatlas-gene-4420","BSGatlas-gene-4420")</f>
        <v>BSGatlas-gene-4420</v>
      </c>
      <c r="B4421" s="1" t="s">
        <v>4047</v>
      </c>
      <c r="C4421" s="1" t="s">
        <v>8</v>
      </c>
      <c r="D4421" s="1">
        <v>3898376</v>
      </c>
      <c r="E4421" s="1">
        <v>3899182</v>
      </c>
      <c r="F4421" s="1" t="s">
        <v>13</v>
      </c>
      <c r="G4421" s="1" t="s">
        <v>11409</v>
      </c>
    </row>
    <row r="4422" spans="1:7" ht="21" x14ac:dyDescent="0.25">
      <c r="A4422" s="2" t="str">
        <f>HYPERLINK("https://rth.dk/resources/bsgatlas/details.php?id=BSGatlas-gene-4421","BSGatlas-gene-4421")</f>
        <v>BSGatlas-gene-4421</v>
      </c>
      <c r="B4422" s="1" t="s">
        <v>11728</v>
      </c>
      <c r="C4422" s="1" t="s">
        <v>8</v>
      </c>
      <c r="D4422" s="1">
        <v>3899272</v>
      </c>
      <c r="E4422" s="1">
        <v>3899805</v>
      </c>
      <c r="F4422" s="1" t="s">
        <v>13</v>
      </c>
      <c r="G4422" s="1" t="s">
        <v>11409</v>
      </c>
    </row>
    <row r="4423" spans="1:7" ht="21" x14ac:dyDescent="0.25">
      <c r="A4423" s="2" t="str">
        <f>HYPERLINK("https://rth.dk/resources/bsgatlas/details.php?id=BSGatlas-gene-4422","BSGatlas-gene-4422")</f>
        <v>BSGatlas-gene-4422</v>
      </c>
      <c r="B4423" s="1" t="s">
        <v>11729</v>
      </c>
      <c r="C4423" s="1" t="s">
        <v>8</v>
      </c>
      <c r="D4423" s="1">
        <v>3899853</v>
      </c>
      <c r="E4423" s="1">
        <v>3900488</v>
      </c>
      <c r="F4423" s="1" t="s">
        <v>13</v>
      </c>
      <c r="G4423" s="1" t="s">
        <v>11409</v>
      </c>
    </row>
    <row r="4424" spans="1:7" ht="21" x14ac:dyDescent="0.25">
      <c r="A4424" s="2" t="str">
        <f>HYPERLINK("https://rth.dk/resources/bsgatlas/details.php?id=BSGatlas-gene-4423","BSGatlas-gene-4423")</f>
        <v>BSGatlas-gene-4423</v>
      </c>
      <c r="B4424" s="1" t="s">
        <v>4048</v>
      </c>
      <c r="C4424" s="1" t="s">
        <v>8</v>
      </c>
      <c r="D4424" s="1">
        <v>3900481</v>
      </c>
      <c r="E4424" s="1">
        <v>3900819</v>
      </c>
      <c r="F4424" s="1" t="s">
        <v>13</v>
      </c>
      <c r="G4424" s="1" t="s">
        <v>11409</v>
      </c>
    </row>
    <row r="4425" spans="1:7" ht="21" x14ac:dyDescent="0.25">
      <c r="A4425" s="2" t="str">
        <f>HYPERLINK("https://rth.dk/resources/bsgatlas/details.php?id=BSGatlas-gene-4424","BSGatlas-gene-4424")</f>
        <v>BSGatlas-gene-4424</v>
      </c>
      <c r="B4425" s="1" t="s">
        <v>4049</v>
      </c>
      <c r="C4425" s="1" t="s">
        <v>8</v>
      </c>
      <c r="D4425" s="1">
        <v>3900963</v>
      </c>
      <c r="E4425" s="1">
        <v>3901778</v>
      </c>
      <c r="F4425" s="1" t="s">
        <v>9</v>
      </c>
      <c r="G4425" s="1" t="s">
        <v>11409</v>
      </c>
    </row>
    <row r="4426" spans="1:7" ht="21" x14ac:dyDescent="0.25">
      <c r="A4426" s="2" t="str">
        <f>HYPERLINK("https://rth.dk/resources/bsgatlas/details.php?id=BSGatlas-gene-4425","BSGatlas-gene-4425")</f>
        <v>BSGatlas-gene-4425</v>
      </c>
      <c r="B4426" s="1" t="s">
        <v>4050</v>
      </c>
      <c r="C4426" s="1" t="s">
        <v>8</v>
      </c>
      <c r="D4426" s="1">
        <v>3901868</v>
      </c>
      <c r="E4426" s="1">
        <v>3902116</v>
      </c>
      <c r="F4426" s="1" t="s">
        <v>13</v>
      </c>
      <c r="G4426" s="1" t="s">
        <v>11409</v>
      </c>
    </row>
    <row r="4427" spans="1:7" ht="21" x14ac:dyDescent="0.25">
      <c r="A4427" s="2" t="str">
        <f>HYPERLINK("https://rth.dk/resources/bsgatlas/details.php?id=BSGatlas-gene-4426","BSGatlas-gene-4426")</f>
        <v>BSGatlas-gene-4426</v>
      </c>
      <c r="B4427" s="1" t="s">
        <v>4051</v>
      </c>
      <c r="C4427" s="1" t="s">
        <v>8</v>
      </c>
      <c r="D4427" s="1">
        <v>3902210</v>
      </c>
      <c r="E4427" s="1">
        <v>3903649</v>
      </c>
      <c r="F4427" s="1" t="s">
        <v>13</v>
      </c>
      <c r="G4427" s="1" t="s">
        <v>11409</v>
      </c>
    </row>
    <row r="4428" spans="1:7" ht="21" x14ac:dyDescent="0.25">
      <c r="A4428" s="2" t="str">
        <f>HYPERLINK("https://rth.dk/resources/bsgatlas/details.php?id=BSGatlas-gene-4427","BSGatlas-gene-4427")</f>
        <v>BSGatlas-gene-4427</v>
      </c>
      <c r="B4428" s="1" t="s">
        <v>4052</v>
      </c>
      <c r="C4428" s="1" t="s">
        <v>8</v>
      </c>
      <c r="D4428" s="1">
        <v>3903646</v>
      </c>
      <c r="E4428" s="1">
        <v>3905031</v>
      </c>
      <c r="F4428" s="1" t="s">
        <v>13</v>
      </c>
      <c r="G4428" s="1" t="s">
        <v>11409</v>
      </c>
    </row>
    <row r="4429" spans="1:7" ht="21" x14ac:dyDescent="0.25">
      <c r="A4429" s="2" t="str">
        <f>HYPERLINK("https://rth.dk/resources/bsgatlas/details.php?id=BSGatlas-gene-4428","BSGatlas-gene-4428")</f>
        <v>BSGatlas-gene-4428</v>
      </c>
      <c r="B4429" s="1" t="s">
        <v>4055</v>
      </c>
      <c r="C4429" s="1" t="s">
        <v>8</v>
      </c>
      <c r="D4429" s="1">
        <v>3905333</v>
      </c>
      <c r="E4429" s="1">
        <v>3906103</v>
      </c>
      <c r="F4429" s="1" t="s">
        <v>9</v>
      </c>
      <c r="G4429" s="1" t="s">
        <v>11409</v>
      </c>
    </row>
    <row r="4430" spans="1:7" ht="21" x14ac:dyDescent="0.25">
      <c r="A4430" s="2" t="str">
        <f>HYPERLINK("https://rth.dk/resources/bsgatlas/details.php?id=BSGatlas-gene-4429","BSGatlas-gene-4429")</f>
        <v>BSGatlas-gene-4429</v>
      </c>
      <c r="B4430" s="1" t="s">
        <v>4053</v>
      </c>
      <c r="C4430" s="1" t="s">
        <v>8</v>
      </c>
      <c r="D4430" s="1">
        <v>3906142</v>
      </c>
      <c r="E4430" s="1">
        <v>3906972</v>
      </c>
      <c r="F4430" s="1" t="s">
        <v>13</v>
      </c>
      <c r="G4430" s="1" t="s">
        <v>11409</v>
      </c>
    </row>
    <row r="4431" spans="1:7" ht="21" x14ac:dyDescent="0.25">
      <c r="A4431" s="2" t="str">
        <f>HYPERLINK("https://rth.dk/resources/bsgatlas/details.php?id=BSGatlas-gene-4430","BSGatlas-gene-4430")</f>
        <v>BSGatlas-gene-4430</v>
      </c>
      <c r="B4431" s="1" t="s">
        <v>4054</v>
      </c>
      <c r="C4431" s="1" t="s">
        <v>8</v>
      </c>
      <c r="D4431" s="1">
        <v>3907012</v>
      </c>
      <c r="E4431" s="1">
        <v>3907314</v>
      </c>
      <c r="F4431" s="1" t="s">
        <v>13</v>
      </c>
      <c r="G4431" s="1" t="s">
        <v>11409</v>
      </c>
    </row>
    <row r="4432" spans="1:7" ht="21" x14ac:dyDescent="0.25">
      <c r="A4432" s="2" t="str">
        <f>HYPERLINK("https://rth.dk/resources/bsgatlas/details.php?id=BSGatlas-gene-4431","BSGatlas-gene-4431")</f>
        <v>BSGatlas-gene-4431</v>
      </c>
      <c r="B4432" s="1" t="s">
        <v>4056</v>
      </c>
      <c r="C4432" s="1" t="s">
        <v>8</v>
      </c>
      <c r="D4432" s="1">
        <v>3907844</v>
      </c>
      <c r="E4432" s="1">
        <v>3910264</v>
      </c>
      <c r="F4432" s="1" t="s">
        <v>9</v>
      </c>
      <c r="G4432" s="1" t="s">
        <v>11409</v>
      </c>
    </row>
    <row r="4433" spans="1:7" ht="21" x14ac:dyDescent="0.25">
      <c r="A4433" s="2" t="str">
        <f>HYPERLINK("https://rth.dk/resources/bsgatlas/details.php?id=BSGatlas-gene-4432","BSGatlas-gene-4432")</f>
        <v>BSGatlas-gene-4432</v>
      </c>
      <c r="B4433" s="1" t="s">
        <v>4057</v>
      </c>
      <c r="C4433" s="1" t="s">
        <v>8</v>
      </c>
      <c r="D4433" s="1">
        <v>3910302</v>
      </c>
      <c r="E4433" s="1">
        <v>3911303</v>
      </c>
      <c r="F4433" s="1" t="s">
        <v>13</v>
      </c>
      <c r="G4433" s="1" t="s">
        <v>11409</v>
      </c>
    </row>
    <row r="4434" spans="1:7" ht="21" x14ac:dyDescent="0.25">
      <c r="A4434" s="2" t="str">
        <f>HYPERLINK("https://rth.dk/resources/bsgatlas/details.php?id=BSGatlas-gene-4433","BSGatlas-gene-4433")</f>
        <v>BSGatlas-gene-4433</v>
      </c>
      <c r="B4434" s="1" t="s">
        <v>4058</v>
      </c>
      <c r="C4434" s="1" t="s">
        <v>8</v>
      </c>
      <c r="D4434" s="1">
        <v>3911477</v>
      </c>
      <c r="E4434" s="1">
        <v>3912226</v>
      </c>
      <c r="F4434" s="1" t="s">
        <v>13</v>
      </c>
      <c r="G4434" s="1" t="s">
        <v>11409</v>
      </c>
    </row>
    <row r="4435" spans="1:7" ht="21" x14ac:dyDescent="0.25">
      <c r="A4435" s="2" t="str">
        <f>HYPERLINK("https://rth.dk/resources/bsgatlas/details.php?id=BSGatlas-gene-4434","BSGatlas-gene-4434")</f>
        <v>BSGatlas-gene-4434</v>
      </c>
      <c r="B4435" s="1" t="s">
        <v>4059</v>
      </c>
      <c r="C4435" s="1" t="s">
        <v>8</v>
      </c>
      <c r="D4435" s="1">
        <v>3912332</v>
      </c>
      <c r="E4435" s="1">
        <v>3913513</v>
      </c>
      <c r="F4435" s="1" t="s">
        <v>13</v>
      </c>
      <c r="G4435" s="1" t="s">
        <v>11409</v>
      </c>
    </row>
    <row r="4436" spans="1:7" ht="21" x14ac:dyDescent="0.25">
      <c r="A4436" s="2" t="str">
        <f>HYPERLINK("https://rth.dk/resources/bsgatlas/details.php?id=BSGatlas-gene-4435","BSGatlas-gene-4435")</f>
        <v>BSGatlas-gene-4435</v>
      </c>
      <c r="B4436" s="1" t="s">
        <v>4060</v>
      </c>
      <c r="C4436" s="1" t="s">
        <v>8</v>
      </c>
      <c r="D4436" s="1">
        <v>3914009</v>
      </c>
      <c r="E4436" s="1">
        <v>3914272</v>
      </c>
      <c r="F4436" s="1" t="s">
        <v>9</v>
      </c>
      <c r="G4436" s="1" t="s">
        <v>11409</v>
      </c>
    </row>
    <row r="4437" spans="1:7" ht="21" x14ac:dyDescent="0.25">
      <c r="A4437" s="2" t="str">
        <f>HYPERLINK("https://rth.dk/resources/bsgatlas/details.php?id=BSGatlas-gene-4436","BSGatlas-gene-4436")</f>
        <v>BSGatlas-gene-4436</v>
      </c>
      <c r="B4437" s="1" t="s">
        <v>4061</v>
      </c>
      <c r="C4437" s="1" t="s">
        <v>8</v>
      </c>
      <c r="D4437" s="1">
        <v>3914315</v>
      </c>
      <c r="E4437" s="1">
        <v>3914689</v>
      </c>
      <c r="F4437" s="1" t="s">
        <v>13</v>
      </c>
      <c r="G4437" s="1" t="s">
        <v>11409</v>
      </c>
    </row>
    <row r="4438" spans="1:7" ht="21" x14ac:dyDescent="0.25">
      <c r="A4438" s="2" t="str">
        <f>HYPERLINK("https://rth.dk/resources/bsgatlas/details.php?id=BSGatlas-gene-4437","BSGatlas-gene-4437")</f>
        <v>BSGatlas-gene-4437</v>
      </c>
      <c r="B4438" s="1" t="s">
        <v>4062</v>
      </c>
      <c r="C4438" s="1" t="s">
        <v>8</v>
      </c>
      <c r="D4438" s="1">
        <v>3914691</v>
      </c>
      <c r="E4438" s="1">
        <v>3915305</v>
      </c>
      <c r="F4438" s="1" t="s">
        <v>13</v>
      </c>
      <c r="G4438" s="1" t="s">
        <v>11409</v>
      </c>
    </row>
    <row r="4439" spans="1:7" ht="21" x14ac:dyDescent="0.25">
      <c r="A4439" s="2" t="str">
        <f>HYPERLINK("https://rth.dk/resources/bsgatlas/details.php?id=BSGatlas-gene-4438","BSGatlas-gene-4438")</f>
        <v>BSGatlas-gene-4438</v>
      </c>
      <c r="B4439" s="1" t="s">
        <v>4063</v>
      </c>
      <c r="C4439" s="1" t="s">
        <v>8</v>
      </c>
      <c r="D4439" s="1">
        <v>3915319</v>
      </c>
      <c r="E4439" s="1">
        <v>3917268</v>
      </c>
      <c r="F4439" s="1" t="s">
        <v>13</v>
      </c>
      <c r="G4439" s="1" t="s">
        <v>11409</v>
      </c>
    </row>
    <row r="4440" spans="1:7" ht="21" x14ac:dyDescent="0.25">
      <c r="A4440" s="2" t="str">
        <f>HYPERLINK("https://rth.dk/resources/bsgatlas/details.php?id=BSGatlas-gene-4439","BSGatlas-gene-4439")</f>
        <v>BSGatlas-gene-4439</v>
      </c>
      <c r="B4440" s="1" t="s">
        <v>4064</v>
      </c>
      <c r="C4440" s="1" t="s">
        <v>8</v>
      </c>
      <c r="D4440" s="1">
        <v>3917296</v>
      </c>
      <c r="E4440" s="1">
        <v>3918261</v>
      </c>
      <c r="F4440" s="1" t="s">
        <v>13</v>
      </c>
      <c r="G4440" s="1" t="s">
        <v>11409</v>
      </c>
    </row>
    <row r="4441" spans="1:7" ht="21" x14ac:dyDescent="0.25">
      <c r="A4441" s="2" t="str">
        <f>HYPERLINK("https://rth.dk/resources/bsgatlas/details.php?id=BSGatlas-gene-4440","BSGatlas-gene-4440")</f>
        <v>BSGatlas-gene-4440</v>
      </c>
      <c r="B4441" s="1" t="s">
        <v>4065</v>
      </c>
      <c r="C4441" s="1" t="s">
        <v>8</v>
      </c>
      <c r="D4441" s="1">
        <v>3918777</v>
      </c>
      <c r="E4441" s="1">
        <v>3919022</v>
      </c>
      <c r="F4441" s="1" t="s">
        <v>9</v>
      </c>
      <c r="G4441" s="1" t="s">
        <v>11409</v>
      </c>
    </row>
    <row r="4442" spans="1:7" ht="21" x14ac:dyDescent="0.25">
      <c r="A4442" s="2" t="str">
        <f>HYPERLINK("https://rth.dk/resources/bsgatlas/details.php?id=BSGatlas-gene-4441","BSGatlas-gene-4441")</f>
        <v>BSGatlas-gene-4441</v>
      </c>
      <c r="B4442" s="1" t="s">
        <v>4066</v>
      </c>
      <c r="C4442" s="1" t="s">
        <v>8</v>
      </c>
      <c r="D4442" s="1">
        <v>3919093</v>
      </c>
      <c r="E4442" s="1">
        <v>3920634</v>
      </c>
      <c r="F4442" s="1" t="s">
        <v>13</v>
      </c>
      <c r="G4442" s="1" t="s">
        <v>11409</v>
      </c>
    </row>
    <row r="4443" spans="1:7" ht="21" x14ac:dyDescent="0.25">
      <c r="A4443" s="2" t="str">
        <f>HYPERLINK("https://rth.dk/resources/bsgatlas/details.php?id=BSGatlas-gene-4442","BSGatlas-gene-4442")</f>
        <v>BSGatlas-gene-4442</v>
      </c>
      <c r="B4443" s="1" t="s">
        <v>4067</v>
      </c>
      <c r="C4443" s="1" t="s">
        <v>8</v>
      </c>
      <c r="D4443" s="1">
        <v>3920638</v>
      </c>
      <c r="E4443" s="1">
        <v>3921810</v>
      </c>
      <c r="F4443" s="1" t="s">
        <v>13</v>
      </c>
      <c r="G4443" s="1" t="s">
        <v>11409</v>
      </c>
    </row>
    <row r="4444" spans="1:7" ht="21" x14ac:dyDescent="0.25">
      <c r="A4444" s="2" t="str">
        <f>HYPERLINK("https://rth.dk/resources/bsgatlas/details.php?id=BSGatlas-gene-4443","BSGatlas-gene-4443")</f>
        <v>BSGatlas-gene-4443</v>
      </c>
      <c r="B4444" s="1" t="s">
        <v>4068</v>
      </c>
      <c r="C4444" s="1" t="s">
        <v>8</v>
      </c>
      <c r="D4444" s="1">
        <v>3921891</v>
      </c>
      <c r="E4444" s="1">
        <v>3922274</v>
      </c>
      <c r="F4444" s="1" t="s">
        <v>13</v>
      </c>
      <c r="G4444" s="1" t="s">
        <v>11409</v>
      </c>
    </row>
    <row r="4445" spans="1:7" ht="21" x14ac:dyDescent="0.25">
      <c r="A4445" s="2" t="str">
        <f>HYPERLINK("https://rth.dk/resources/bsgatlas/details.php?id=BSGatlas-gene-4444","BSGatlas-gene-4444")</f>
        <v>BSGatlas-gene-4444</v>
      </c>
      <c r="B4445" s="1" t="s">
        <v>4069</v>
      </c>
      <c r="C4445" s="1" t="s">
        <v>8</v>
      </c>
      <c r="D4445" s="1">
        <v>3922292</v>
      </c>
      <c r="E4445" s="1">
        <v>3922963</v>
      </c>
      <c r="F4445" s="1" t="s">
        <v>13</v>
      </c>
      <c r="G4445" s="1" t="s">
        <v>11409</v>
      </c>
    </row>
    <row r="4446" spans="1:7" ht="21" x14ac:dyDescent="0.25">
      <c r="A4446" s="2" t="str">
        <f>HYPERLINK("https://rth.dk/resources/bsgatlas/details.php?id=BSGatlas-gene-4445","BSGatlas-gene-4445")</f>
        <v>BSGatlas-gene-4445</v>
      </c>
      <c r="B4446" s="1" t="s">
        <v>4070</v>
      </c>
      <c r="C4446" s="1" t="s">
        <v>8</v>
      </c>
      <c r="D4446" s="1">
        <v>3923319</v>
      </c>
      <c r="E4446" s="1">
        <v>3923477</v>
      </c>
      <c r="F4446" s="1" t="s">
        <v>9</v>
      </c>
      <c r="G4446" s="1" t="s">
        <v>11409</v>
      </c>
    </row>
    <row r="4447" spans="1:7" ht="21" x14ac:dyDescent="0.25">
      <c r="A4447" s="2" t="str">
        <f>HYPERLINK("https://rth.dk/resources/bsgatlas/details.php?id=BSGatlas-gene-4446","BSGatlas-gene-4446")</f>
        <v>BSGatlas-gene-4446</v>
      </c>
      <c r="B4447" s="1" t="s">
        <v>4071</v>
      </c>
      <c r="C4447" s="1" t="s">
        <v>8</v>
      </c>
      <c r="D4447" s="1">
        <v>3923920</v>
      </c>
      <c r="E4447" s="1">
        <v>3924228</v>
      </c>
      <c r="F4447" s="1" t="s">
        <v>9</v>
      </c>
      <c r="G4447" s="1" t="s">
        <v>11409</v>
      </c>
    </row>
    <row r="4448" spans="1:7" ht="21" x14ac:dyDescent="0.25">
      <c r="A4448" s="2" t="str">
        <f>HYPERLINK("https://rth.dk/resources/bsgatlas/details.php?id=BSGatlas-gene-4447","BSGatlas-gene-4447")</f>
        <v>BSGatlas-gene-4447</v>
      </c>
      <c r="B4448" s="1" t="s">
        <v>4072</v>
      </c>
      <c r="C4448" s="1" t="s">
        <v>8</v>
      </c>
      <c r="D4448" s="1">
        <v>3924225</v>
      </c>
      <c r="E4448" s="1">
        <v>3925766</v>
      </c>
      <c r="F4448" s="1" t="s">
        <v>9</v>
      </c>
      <c r="G4448" s="1" t="s">
        <v>11409</v>
      </c>
    </row>
    <row r="4449" spans="1:7" ht="21" x14ac:dyDescent="0.25">
      <c r="A4449" s="2" t="str">
        <f>HYPERLINK("https://rth.dk/resources/bsgatlas/details.php?id=BSGatlas-gene-4448","BSGatlas-gene-4448")</f>
        <v>BSGatlas-gene-4448</v>
      </c>
      <c r="B4449" s="1" t="s">
        <v>4073</v>
      </c>
      <c r="C4449" s="1" t="s">
        <v>8</v>
      </c>
      <c r="D4449" s="1">
        <v>3925797</v>
      </c>
      <c r="E4449" s="1">
        <v>3926399</v>
      </c>
      <c r="F4449" s="1" t="s">
        <v>13</v>
      </c>
      <c r="G4449" s="1" t="s">
        <v>11409</v>
      </c>
    </row>
    <row r="4450" spans="1:7" ht="21" x14ac:dyDescent="0.25">
      <c r="A4450" s="2" t="str">
        <f>HYPERLINK("https://rth.dk/resources/bsgatlas/details.php?id=BSGatlas-gene-4449","BSGatlas-gene-4449")</f>
        <v>BSGatlas-gene-4449</v>
      </c>
      <c r="B4450" s="1" t="s">
        <v>4074</v>
      </c>
      <c r="C4450" s="1" t="s">
        <v>8</v>
      </c>
      <c r="D4450" s="1">
        <v>3926682</v>
      </c>
      <c r="E4450" s="1">
        <v>3927932</v>
      </c>
      <c r="F4450" s="1" t="s">
        <v>13</v>
      </c>
      <c r="G4450" s="1" t="s">
        <v>11409</v>
      </c>
    </row>
    <row r="4451" spans="1:7" ht="21" x14ac:dyDescent="0.25">
      <c r="A4451" s="2" t="str">
        <f>HYPERLINK("https://rth.dk/resources/bsgatlas/details.php?id=BSGatlas-gene-4450","BSGatlas-gene-4450")</f>
        <v>BSGatlas-gene-4450</v>
      </c>
      <c r="B4451" s="1" t="s">
        <v>4075</v>
      </c>
      <c r="C4451" s="1" t="s">
        <v>8</v>
      </c>
      <c r="D4451" s="1">
        <v>3927951</v>
      </c>
      <c r="E4451" s="1">
        <v>3929108</v>
      </c>
      <c r="F4451" s="1" t="s">
        <v>13</v>
      </c>
      <c r="G4451" s="1" t="s">
        <v>11409</v>
      </c>
    </row>
    <row r="4452" spans="1:7" ht="21" x14ac:dyDescent="0.25">
      <c r="A4452" s="2" t="str">
        <f>HYPERLINK("https://rth.dk/resources/bsgatlas/details.php?id=BSGatlas-gene-4451","BSGatlas-gene-4451")</f>
        <v>BSGatlas-gene-4451</v>
      </c>
      <c r="B4452" s="1" t="s">
        <v>4076</v>
      </c>
      <c r="C4452" s="1" t="s">
        <v>8</v>
      </c>
      <c r="D4452" s="1">
        <v>3929105</v>
      </c>
      <c r="E4452" s="1">
        <v>3930550</v>
      </c>
      <c r="F4452" s="1" t="s">
        <v>13</v>
      </c>
      <c r="G4452" s="1" t="s">
        <v>11409</v>
      </c>
    </row>
    <row r="4453" spans="1:7" ht="21" x14ac:dyDescent="0.25">
      <c r="A4453" s="2" t="str">
        <f>HYPERLINK("https://rth.dk/resources/bsgatlas/details.php?id=BSGatlas-gene-4452","BSGatlas-gene-4452")</f>
        <v>BSGatlas-gene-4452</v>
      </c>
      <c r="B4453" s="1" t="s">
        <v>4077</v>
      </c>
      <c r="C4453" s="1" t="s">
        <v>8</v>
      </c>
      <c r="D4453" s="1">
        <v>3930707</v>
      </c>
      <c r="E4453" s="1">
        <v>3931375</v>
      </c>
      <c r="F4453" s="1" t="s">
        <v>13</v>
      </c>
      <c r="G4453" s="1" t="s">
        <v>11409</v>
      </c>
    </row>
    <row r="4454" spans="1:7" ht="21" x14ac:dyDescent="0.25">
      <c r="A4454" s="2" t="str">
        <f>HYPERLINK("https://rth.dk/resources/bsgatlas/details.php?id=BSGatlas-gene-4453","BSGatlas-gene-4453")</f>
        <v>BSGatlas-gene-4453</v>
      </c>
      <c r="B4454" s="1" t="s">
        <v>4078</v>
      </c>
      <c r="C4454" s="1" t="s">
        <v>8</v>
      </c>
      <c r="D4454" s="1">
        <v>3931372</v>
      </c>
      <c r="E4454" s="1">
        <v>3932190</v>
      </c>
      <c r="F4454" s="1" t="s">
        <v>13</v>
      </c>
      <c r="G4454" s="1" t="s">
        <v>11409</v>
      </c>
    </row>
    <row r="4455" spans="1:7" ht="21" x14ac:dyDescent="0.25">
      <c r="A4455" s="2" t="str">
        <f>HYPERLINK("https://rth.dk/resources/bsgatlas/details.php?id=BSGatlas-gene-4454","BSGatlas-gene-4454")</f>
        <v>BSGatlas-gene-4454</v>
      </c>
      <c r="B4455" s="1" t="s">
        <v>4079</v>
      </c>
      <c r="C4455" s="1" t="s">
        <v>8</v>
      </c>
      <c r="D4455" s="1">
        <v>3932198</v>
      </c>
      <c r="E4455" s="1">
        <v>3933103</v>
      </c>
      <c r="F4455" s="1" t="s">
        <v>13</v>
      </c>
      <c r="G4455" s="1" t="s">
        <v>11409</v>
      </c>
    </row>
    <row r="4456" spans="1:7" ht="21" x14ac:dyDescent="0.25">
      <c r="A4456" s="2" t="str">
        <f>HYPERLINK("https://rth.dk/resources/bsgatlas/details.php?id=BSGatlas-gene-4455","BSGatlas-gene-4455")</f>
        <v>BSGatlas-gene-4455</v>
      </c>
      <c r="B4456" s="1" t="s">
        <v>4080</v>
      </c>
      <c r="C4456" s="1" t="s">
        <v>8</v>
      </c>
      <c r="D4456" s="1">
        <v>3933209</v>
      </c>
      <c r="E4456" s="1">
        <v>3933595</v>
      </c>
      <c r="F4456" s="1" t="s">
        <v>9</v>
      </c>
      <c r="G4456" s="1" t="s">
        <v>11409</v>
      </c>
    </row>
    <row r="4457" spans="1:7" ht="21" x14ac:dyDescent="0.25">
      <c r="A4457" s="2" t="str">
        <f>HYPERLINK("https://rth.dk/resources/bsgatlas/details.php?id=BSGatlas-gene-4456","BSGatlas-gene-4456")</f>
        <v>BSGatlas-gene-4456</v>
      </c>
      <c r="B4457" s="1" t="s">
        <v>4081</v>
      </c>
      <c r="C4457" s="1" t="s">
        <v>8</v>
      </c>
      <c r="D4457" s="1">
        <v>3933577</v>
      </c>
      <c r="E4457" s="1">
        <v>3934254</v>
      </c>
      <c r="F4457" s="1" t="s">
        <v>9</v>
      </c>
      <c r="G4457" s="1" t="s">
        <v>11409</v>
      </c>
    </row>
    <row r="4458" spans="1:7" ht="21" x14ac:dyDescent="0.25">
      <c r="A4458" s="2" t="str">
        <f>HYPERLINK("https://rth.dk/resources/bsgatlas/details.php?id=BSGatlas-gene-4457","BSGatlas-gene-4457")</f>
        <v>BSGatlas-gene-4457</v>
      </c>
      <c r="B4458" s="1" t="s">
        <v>4082</v>
      </c>
      <c r="C4458" s="1" t="s">
        <v>8</v>
      </c>
      <c r="D4458" s="1">
        <v>3934358</v>
      </c>
      <c r="E4458" s="1">
        <v>3935557</v>
      </c>
      <c r="F4458" s="1" t="s">
        <v>9</v>
      </c>
      <c r="G4458" s="1" t="s">
        <v>11409</v>
      </c>
    </row>
    <row r="4459" spans="1:7" ht="21" x14ac:dyDescent="0.25">
      <c r="A4459" s="2" t="str">
        <f>HYPERLINK("https://rth.dk/resources/bsgatlas/details.php?id=BSGatlas-gene-4458","BSGatlas-gene-4458")</f>
        <v>BSGatlas-gene-4458</v>
      </c>
      <c r="B4459" s="1" t="s">
        <v>4083</v>
      </c>
      <c r="C4459" s="1" t="s">
        <v>8</v>
      </c>
      <c r="D4459" s="1">
        <v>3935591</v>
      </c>
      <c r="E4459" s="1">
        <v>3935788</v>
      </c>
      <c r="F4459" s="1" t="s">
        <v>9</v>
      </c>
      <c r="G4459" s="1" t="s">
        <v>11409</v>
      </c>
    </row>
    <row r="4460" spans="1:7" ht="21" x14ac:dyDescent="0.25">
      <c r="A4460" s="2" t="str">
        <f>HYPERLINK("https://rth.dk/resources/bsgatlas/details.php?id=BSGatlas-gene-4459","BSGatlas-gene-4459")</f>
        <v>BSGatlas-gene-4459</v>
      </c>
      <c r="B4460" s="1" t="s">
        <v>4084</v>
      </c>
      <c r="C4460" s="1" t="s">
        <v>8</v>
      </c>
      <c r="D4460" s="1">
        <v>3935824</v>
      </c>
      <c r="E4460" s="1">
        <v>3937014</v>
      </c>
      <c r="F4460" s="1" t="s">
        <v>13</v>
      </c>
      <c r="G4460" s="1" t="s">
        <v>11409</v>
      </c>
    </row>
    <row r="4461" spans="1:7" ht="21" x14ac:dyDescent="0.25">
      <c r="A4461" s="2" t="str">
        <f>HYPERLINK("https://rth.dk/resources/bsgatlas/details.php?id=BSGatlas-gene-4460","BSGatlas-gene-4460")</f>
        <v>BSGatlas-gene-4460</v>
      </c>
      <c r="B4461" s="1" t="s">
        <v>4085</v>
      </c>
      <c r="C4461" s="1" t="s">
        <v>8</v>
      </c>
      <c r="D4461" s="1">
        <v>3937135</v>
      </c>
      <c r="E4461" s="1">
        <v>3937515</v>
      </c>
      <c r="F4461" s="1" t="s">
        <v>9</v>
      </c>
      <c r="G4461" s="1" t="s">
        <v>11409</v>
      </c>
    </row>
    <row r="4462" spans="1:7" ht="21" x14ac:dyDescent="0.25">
      <c r="A4462" s="2" t="str">
        <f>HYPERLINK("https://rth.dk/resources/bsgatlas/details.php?id=BSGatlas-gene-4461","BSGatlas-gene-4461")</f>
        <v>BSGatlas-gene-4461</v>
      </c>
      <c r="B4462" s="1" t="s">
        <v>4086</v>
      </c>
      <c r="C4462" s="1" t="s">
        <v>8</v>
      </c>
      <c r="D4462" s="1">
        <v>3937553</v>
      </c>
      <c r="E4462" s="1">
        <v>3938230</v>
      </c>
      <c r="F4462" s="1" t="s">
        <v>13</v>
      </c>
      <c r="G4462" s="1" t="s">
        <v>11409</v>
      </c>
    </row>
    <row r="4463" spans="1:7" ht="21" x14ac:dyDescent="0.25">
      <c r="A4463" s="2" t="str">
        <f>HYPERLINK("https://rth.dk/resources/bsgatlas/details.php?id=BSGatlas-gene-4462","BSGatlas-gene-4462")</f>
        <v>BSGatlas-gene-4462</v>
      </c>
      <c r="B4463" s="1" t="s">
        <v>4087</v>
      </c>
      <c r="C4463" s="1" t="s">
        <v>8</v>
      </c>
      <c r="D4463" s="1">
        <v>3938307</v>
      </c>
      <c r="E4463" s="1">
        <v>3939641</v>
      </c>
      <c r="F4463" s="1" t="s">
        <v>13</v>
      </c>
      <c r="G4463" s="1" t="s">
        <v>11409</v>
      </c>
    </row>
    <row r="4464" spans="1:7" ht="21" x14ac:dyDescent="0.25">
      <c r="A4464" s="2" t="str">
        <f>HYPERLINK("https://rth.dk/resources/bsgatlas/details.php?id=BSGatlas-gene-4463","BSGatlas-gene-4463")</f>
        <v>BSGatlas-gene-4463</v>
      </c>
      <c r="B4464" s="1" t="s">
        <v>4088</v>
      </c>
      <c r="C4464" s="1" t="s">
        <v>8</v>
      </c>
      <c r="D4464" s="1">
        <v>3939869</v>
      </c>
      <c r="E4464" s="1">
        <v>3941806</v>
      </c>
      <c r="F4464" s="1" t="s">
        <v>9</v>
      </c>
      <c r="G4464" s="1" t="s">
        <v>11409</v>
      </c>
    </row>
    <row r="4465" spans="1:7" ht="21" x14ac:dyDescent="0.25">
      <c r="A4465" s="2" t="str">
        <f>HYPERLINK("https://rth.dk/resources/bsgatlas/details.php?id=BSGatlas-gene-4464","BSGatlas-gene-4464")</f>
        <v>BSGatlas-gene-4464</v>
      </c>
      <c r="B4465" s="1" t="s">
        <v>3669</v>
      </c>
      <c r="C4465" s="1" t="s">
        <v>34</v>
      </c>
      <c r="D4465" s="1">
        <v>3941947</v>
      </c>
      <c r="E4465" s="1">
        <v>3942129</v>
      </c>
      <c r="F4465" s="1" t="s">
        <v>9</v>
      </c>
      <c r="G4465" s="1" t="s">
        <v>11414</v>
      </c>
    </row>
    <row r="4466" spans="1:7" ht="21" x14ac:dyDescent="0.25">
      <c r="A4466" s="2" t="str">
        <f>HYPERLINK("https://rth.dk/resources/bsgatlas/details.php?id=BSGatlas-gene-4465","BSGatlas-gene-4465")</f>
        <v>BSGatlas-gene-4465</v>
      </c>
      <c r="B4466" s="1" t="s">
        <v>4089</v>
      </c>
      <c r="C4466" s="1" t="s">
        <v>8</v>
      </c>
      <c r="D4466" s="1">
        <v>3942234</v>
      </c>
      <c r="E4466" s="1">
        <v>3943613</v>
      </c>
      <c r="F4466" s="1" t="s">
        <v>9</v>
      </c>
      <c r="G4466" s="1" t="s">
        <v>11409</v>
      </c>
    </row>
    <row r="4467" spans="1:7" ht="21" x14ac:dyDescent="0.25">
      <c r="A4467" s="2" t="str">
        <f>HYPERLINK("https://rth.dk/resources/bsgatlas/details.php?id=BSGatlas-gene-4466","BSGatlas-gene-4466")</f>
        <v>BSGatlas-gene-4466</v>
      </c>
      <c r="B4467" s="1" t="s">
        <v>4090</v>
      </c>
      <c r="C4467" s="1" t="s">
        <v>8</v>
      </c>
      <c r="D4467" s="1">
        <v>3943667</v>
      </c>
      <c r="E4467" s="1">
        <v>3944509</v>
      </c>
      <c r="F4467" s="1" t="s">
        <v>9</v>
      </c>
      <c r="G4467" s="1" t="s">
        <v>11409</v>
      </c>
    </row>
    <row r="4468" spans="1:7" ht="21" x14ac:dyDescent="0.25">
      <c r="A4468" s="2" t="str">
        <f>HYPERLINK("https://rth.dk/resources/bsgatlas/details.php?id=BSGatlas-gene-4467","BSGatlas-gene-4467")</f>
        <v>BSGatlas-gene-4467</v>
      </c>
      <c r="B4468" s="1" t="s">
        <v>4091</v>
      </c>
      <c r="C4468" s="1" t="s">
        <v>8</v>
      </c>
      <c r="D4468" s="1">
        <v>3944560</v>
      </c>
      <c r="E4468" s="1">
        <v>3945420</v>
      </c>
      <c r="F4468" s="1" t="s">
        <v>13</v>
      </c>
      <c r="G4468" s="1" t="s">
        <v>11409</v>
      </c>
    </row>
    <row r="4469" spans="1:7" ht="21" x14ac:dyDescent="0.25">
      <c r="A4469" s="2" t="str">
        <f>HYPERLINK("https://rth.dk/resources/bsgatlas/details.php?id=BSGatlas-gene-4468","BSGatlas-gene-4468")</f>
        <v>BSGatlas-gene-4468</v>
      </c>
      <c r="B4469" s="1" t="s">
        <v>4092</v>
      </c>
      <c r="C4469" s="1" t="s">
        <v>8</v>
      </c>
      <c r="D4469" s="1">
        <v>3945530</v>
      </c>
      <c r="E4469" s="1">
        <v>3946243</v>
      </c>
      <c r="F4469" s="1" t="s">
        <v>13</v>
      </c>
      <c r="G4469" s="1" t="s">
        <v>11409</v>
      </c>
    </row>
    <row r="4470" spans="1:7" ht="21" x14ac:dyDescent="0.25">
      <c r="A4470" s="2" t="str">
        <f>HYPERLINK("https://rth.dk/resources/bsgatlas/details.php?id=BSGatlas-gene-4469","BSGatlas-gene-4469")</f>
        <v>BSGatlas-gene-4469</v>
      </c>
      <c r="B4470" s="1" t="s">
        <v>4093</v>
      </c>
      <c r="C4470" s="1" t="s">
        <v>8</v>
      </c>
      <c r="D4470" s="1">
        <v>3946394</v>
      </c>
      <c r="E4470" s="1">
        <v>3946909</v>
      </c>
      <c r="F4470" s="1" t="s">
        <v>9</v>
      </c>
      <c r="G4470" s="1" t="s">
        <v>11409</v>
      </c>
    </row>
    <row r="4471" spans="1:7" ht="21" x14ac:dyDescent="0.25">
      <c r="A4471" s="2" t="str">
        <f>HYPERLINK("https://rth.dk/resources/bsgatlas/details.php?id=BSGatlas-gene-4470","BSGatlas-gene-4470")</f>
        <v>BSGatlas-gene-4470</v>
      </c>
      <c r="B4471" s="1" t="s">
        <v>4094</v>
      </c>
      <c r="C4471" s="1" t="s">
        <v>34</v>
      </c>
      <c r="D4471" s="1">
        <v>3946903</v>
      </c>
      <c r="E4471" s="1">
        <v>3947116</v>
      </c>
      <c r="F4471" s="1" t="s">
        <v>9</v>
      </c>
      <c r="G4471" s="1" t="s">
        <v>11411</v>
      </c>
    </row>
    <row r="4472" spans="1:7" ht="21" x14ac:dyDescent="0.25">
      <c r="A4472" s="2" t="str">
        <f>HYPERLINK("https://rth.dk/resources/bsgatlas/details.php?id=BSGatlas-gene-4471","BSGatlas-gene-4471")</f>
        <v>BSGatlas-gene-4471</v>
      </c>
      <c r="B4472" s="1" t="s">
        <v>4095</v>
      </c>
      <c r="C4472" s="1" t="s">
        <v>8</v>
      </c>
      <c r="D4472" s="1">
        <v>3947158</v>
      </c>
      <c r="E4472" s="1">
        <v>3948399</v>
      </c>
      <c r="F4472" s="1" t="s">
        <v>9</v>
      </c>
      <c r="G4472" s="1" t="s">
        <v>11409</v>
      </c>
    </row>
    <row r="4473" spans="1:7" ht="21" x14ac:dyDescent="0.25">
      <c r="A4473" s="2" t="str">
        <f>HYPERLINK("https://rth.dk/resources/bsgatlas/details.php?id=BSGatlas-gene-4472","BSGatlas-gene-4472")</f>
        <v>BSGatlas-gene-4472</v>
      </c>
      <c r="B4473" s="1" t="s">
        <v>4096</v>
      </c>
      <c r="C4473" s="1" t="s">
        <v>8</v>
      </c>
      <c r="D4473" s="1">
        <v>3948555</v>
      </c>
      <c r="E4473" s="1">
        <v>3949922</v>
      </c>
      <c r="F4473" s="1" t="s">
        <v>9</v>
      </c>
      <c r="G4473" s="1" t="s">
        <v>11409</v>
      </c>
    </row>
    <row r="4474" spans="1:7" ht="21" x14ac:dyDescent="0.25">
      <c r="A4474" s="2" t="str">
        <f>HYPERLINK("https://rth.dk/resources/bsgatlas/details.php?id=BSGatlas-gene-4473","BSGatlas-gene-4473")</f>
        <v>BSGatlas-gene-4473</v>
      </c>
      <c r="B4474" s="1" t="s">
        <v>4097</v>
      </c>
      <c r="C4474" s="1" t="s">
        <v>8</v>
      </c>
      <c r="D4474" s="1">
        <v>3949952</v>
      </c>
      <c r="E4474" s="1">
        <v>3950584</v>
      </c>
      <c r="F4474" s="1" t="s">
        <v>13</v>
      </c>
      <c r="G4474" s="1" t="s">
        <v>11409</v>
      </c>
    </row>
    <row r="4475" spans="1:7" ht="21" x14ac:dyDescent="0.25">
      <c r="A4475" s="2" t="str">
        <f>HYPERLINK("https://rth.dk/resources/bsgatlas/details.php?id=BSGatlas-gene-4474","BSGatlas-gene-4474")</f>
        <v>BSGatlas-gene-4474</v>
      </c>
      <c r="B4475" s="1" t="s">
        <v>4098</v>
      </c>
      <c r="C4475" s="1" t="s">
        <v>8</v>
      </c>
      <c r="D4475" s="1">
        <v>3950726</v>
      </c>
      <c r="E4475" s="1">
        <v>3951661</v>
      </c>
      <c r="F4475" s="1" t="s">
        <v>13</v>
      </c>
      <c r="G4475" s="1" t="s">
        <v>11409</v>
      </c>
    </row>
    <row r="4476" spans="1:7" ht="21" x14ac:dyDescent="0.25">
      <c r="A4476" s="2" t="str">
        <f>HYPERLINK("https://rth.dk/resources/bsgatlas/details.php?id=BSGatlas-gene-4475","BSGatlas-gene-4475")</f>
        <v>BSGatlas-gene-4475</v>
      </c>
      <c r="B4476" s="1" t="s">
        <v>318</v>
      </c>
      <c r="C4476" s="1" t="s">
        <v>8</v>
      </c>
      <c r="D4476" s="1">
        <v>3951824</v>
      </c>
      <c r="E4476" s="1">
        <v>3951958</v>
      </c>
      <c r="F4476" s="1" t="s">
        <v>13</v>
      </c>
      <c r="G4476" s="1" t="s">
        <v>11441</v>
      </c>
    </row>
    <row r="4477" spans="1:7" ht="21" x14ac:dyDescent="0.25">
      <c r="A4477" s="2" t="str">
        <f>HYPERLINK("https://rth.dk/resources/bsgatlas/details.php?id=BSGatlas-gene-4476","BSGatlas-gene-4476")</f>
        <v>BSGatlas-gene-4476</v>
      </c>
      <c r="B4477" s="1" t="s">
        <v>4099</v>
      </c>
      <c r="C4477" s="1" t="s">
        <v>8</v>
      </c>
      <c r="D4477" s="1">
        <v>3952108</v>
      </c>
      <c r="E4477" s="1">
        <v>3952257</v>
      </c>
      <c r="F4477" s="1" t="s">
        <v>9</v>
      </c>
      <c r="G4477" s="1" t="s">
        <v>11409</v>
      </c>
    </row>
    <row r="4478" spans="1:7" ht="21" x14ac:dyDescent="0.25">
      <c r="A4478" s="2" t="str">
        <f>HYPERLINK("https://rth.dk/resources/bsgatlas/details.php?id=BSGatlas-gene-4477","BSGatlas-gene-4477")</f>
        <v>BSGatlas-gene-4477</v>
      </c>
      <c r="B4478" s="1" t="s">
        <v>4100</v>
      </c>
      <c r="C4478" s="1" t="s">
        <v>8</v>
      </c>
      <c r="D4478" s="1">
        <v>3952275</v>
      </c>
      <c r="E4478" s="1">
        <v>3953786</v>
      </c>
      <c r="F4478" s="1" t="s">
        <v>9</v>
      </c>
      <c r="G4478" s="1" t="s">
        <v>11409</v>
      </c>
    </row>
    <row r="4479" spans="1:7" ht="21" x14ac:dyDescent="0.25">
      <c r="A4479" s="2" t="str">
        <f>HYPERLINK("https://rth.dk/resources/bsgatlas/details.php?id=BSGatlas-gene-4478","BSGatlas-gene-4478")</f>
        <v>BSGatlas-gene-4478</v>
      </c>
      <c r="B4479" s="1" t="s">
        <v>4101</v>
      </c>
      <c r="C4479" s="1" t="s">
        <v>8</v>
      </c>
      <c r="D4479" s="1">
        <v>3953783</v>
      </c>
      <c r="E4479" s="1">
        <v>3954970</v>
      </c>
      <c r="F4479" s="1" t="s">
        <v>9</v>
      </c>
      <c r="G4479" s="1" t="s">
        <v>11409</v>
      </c>
    </row>
    <row r="4480" spans="1:7" ht="21" x14ac:dyDescent="0.25">
      <c r="A4480" s="2" t="str">
        <f>HYPERLINK("https://rth.dk/resources/bsgatlas/details.php?id=BSGatlas-gene-4479","BSGatlas-gene-4479")</f>
        <v>BSGatlas-gene-4479</v>
      </c>
      <c r="B4480" s="1" t="s">
        <v>4102</v>
      </c>
      <c r="C4480" s="1" t="s">
        <v>8</v>
      </c>
      <c r="D4480" s="1">
        <v>3954987</v>
      </c>
      <c r="E4480" s="1">
        <v>3955223</v>
      </c>
      <c r="F4480" s="1" t="s">
        <v>9</v>
      </c>
      <c r="G4480" s="1" t="s">
        <v>11409</v>
      </c>
    </row>
    <row r="4481" spans="1:7" ht="21" x14ac:dyDescent="0.25">
      <c r="A4481" s="2" t="str">
        <f>HYPERLINK("https://rth.dk/resources/bsgatlas/details.php?id=BSGatlas-gene-4480","BSGatlas-gene-4480")</f>
        <v>BSGatlas-gene-4480</v>
      </c>
      <c r="B4481" s="1" t="s">
        <v>4103</v>
      </c>
      <c r="C4481" s="1" t="s">
        <v>8</v>
      </c>
      <c r="D4481" s="1">
        <v>3955223</v>
      </c>
      <c r="E4481" s="1">
        <v>3956401</v>
      </c>
      <c r="F4481" s="1" t="s">
        <v>9</v>
      </c>
      <c r="G4481" s="1" t="s">
        <v>11409</v>
      </c>
    </row>
    <row r="4482" spans="1:7" ht="21" x14ac:dyDescent="0.25">
      <c r="A4482" s="2" t="str">
        <f>HYPERLINK("https://rth.dk/resources/bsgatlas/details.php?id=BSGatlas-gene-4481","BSGatlas-gene-4481")</f>
        <v>BSGatlas-gene-4481</v>
      </c>
      <c r="B4482" s="1" t="s">
        <v>4104</v>
      </c>
      <c r="C4482" s="1" t="s">
        <v>8</v>
      </c>
      <c r="D4482" s="1">
        <v>3956492</v>
      </c>
      <c r="E4482" s="1">
        <v>3957250</v>
      </c>
      <c r="F4482" s="1" t="s">
        <v>9</v>
      </c>
      <c r="G4482" s="1" t="s">
        <v>11409</v>
      </c>
    </row>
    <row r="4483" spans="1:7" ht="21" x14ac:dyDescent="0.25">
      <c r="A4483" s="2" t="str">
        <f>HYPERLINK("https://rth.dk/resources/bsgatlas/details.php?id=BSGatlas-gene-4482","BSGatlas-gene-4482")</f>
        <v>BSGatlas-gene-4482</v>
      </c>
      <c r="B4483" s="1" t="s">
        <v>4109</v>
      </c>
      <c r="C4483" s="1" t="s">
        <v>8</v>
      </c>
      <c r="D4483" s="1">
        <v>3957391</v>
      </c>
      <c r="E4483" s="1">
        <v>3958482</v>
      </c>
      <c r="F4483" s="1" t="s">
        <v>9</v>
      </c>
      <c r="G4483" s="1" t="s">
        <v>11409</v>
      </c>
    </row>
    <row r="4484" spans="1:7" ht="21" x14ac:dyDescent="0.25">
      <c r="A4484" s="2" t="str">
        <f>HYPERLINK("https://rth.dk/resources/bsgatlas/details.php?id=BSGatlas-gene-4483","BSGatlas-gene-4483")</f>
        <v>BSGatlas-gene-4483</v>
      </c>
      <c r="B4484" s="1" t="s">
        <v>4105</v>
      </c>
      <c r="C4484" s="1" t="s">
        <v>8</v>
      </c>
      <c r="D4484" s="1">
        <v>3958516</v>
      </c>
      <c r="E4484" s="1">
        <v>3959844</v>
      </c>
      <c r="F4484" s="1" t="s">
        <v>13</v>
      </c>
      <c r="G4484" s="1" t="s">
        <v>11409</v>
      </c>
    </row>
    <row r="4485" spans="1:7" ht="21" x14ac:dyDescent="0.25">
      <c r="A4485" s="2" t="str">
        <f>HYPERLINK("https://rth.dk/resources/bsgatlas/details.php?id=BSGatlas-gene-4484","BSGatlas-gene-4484")</f>
        <v>BSGatlas-gene-4484</v>
      </c>
      <c r="B4485" s="1" t="s">
        <v>4106</v>
      </c>
      <c r="C4485" s="1" t="s">
        <v>8</v>
      </c>
      <c r="D4485" s="1">
        <v>3959841</v>
      </c>
      <c r="E4485" s="1">
        <v>3960173</v>
      </c>
      <c r="F4485" s="1" t="s">
        <v>13</v>
      </c>
      <c r="G4485" s="1" t="s">
        <v>11409</v>
      </c>
    </row>
    <row r="4486" spans="1:7" ht="21" x14ac:dyDescent="0.25">
      <c r="A4486" s="2" t="str">
        <f>HYPERLINK("https://rth.dk/resources/bsgatlas/details.php?id=BSGatlas-gene-4485","BSGatlas-gene-4485")</f>
        <v>BSGatlas-gene-4485</v>
      </c>
      <c r="B4486" s="1" t="s">
        <v>4107</v>
      </c>
      <c r="C4486" s="1" t="s">
        <v>8</v>
      </c>
      <c r="D4486" s="1">
        <v>3960192</v>
      </c>
      <c r="E4486" s="1">
        <v>3961550</v>
      </c>
      <c r="F4486" s="1" t="s">
        <v>13</v>
      </c>
      <c r="G4486" s="1" t="s">
        <v>11409</v>
      </c>
    </row>
    <row r="4487" spans="1:7" ht="21" x14ac:dyDescent="0.25">
      <c r="A4487" s="2" t="str">
        <f>HYPERLINK("https://rth.dk/resources/bsgatlas/details.php?id=BSGatlas-gene-4486","BSGatlas-gene-4486")</f>
        <v>BSGatlas-gene-4486</v>
      </c>
      <c r="B4487" s="1" t="s">
        <v>4108</v>
      </c>
      <c r="C4487" s="1" t="s">
        <v>8</v>
      </c>
      <c r="D4487" s="1">
        <v>3961566</v>
      </c>
      <c r="E4487" s="1">
        <v>3961874</v>
      </c>
      <c r="F4487" s="1" t="s">
        <v>13</v>
      </c>
      <c r="G4487" s="1" t="s">
        <v>11409</v>
      </c>
    </row>
    <row r="4488" spans="1:7" ht="21" x14ac:dyDescent="0.25">
      <c r="A4488" s="2" t="str">
        <f>HYPERLINK("https://rth.dk/resources/bsgatlas/details.php?id=BSGatlas-gene-4487","BSGatlas-gene-4487")</f>
        <v>BSGatlas-gene-4487</v>
      </c>
      <c r="B4488" s="1" t="s">
        <v>4110</v>
      </c>
      <c r="C4488" s="1" t="s">
        <v>8</v>
      </c>
      <c r="D4488" s="1">
        <v>3962003</v>
      </c>
      <c r="E4488" s="1">
        <v>3963928</v>
      </c>
      <c r="F4488" s="1" t="s">
        <v>13</v>
      </c>
      <c r="G4488" s="1" t="s">
        <v>11409</v>
      </c>
    </row>
    <row r="4489" spans="1:7" ht="21" x14ac:dyDescent="0.25">
      <c r="A4489" s="2" t="str">
        <f>HYPERLINK("https://rth.dk/resources/bsgatlas/details.php?id=BSGatlas-gene-4488","BSGatlas-gene-4488")</f>
        <v>BSGatlas-gene-4488</v>
      </c>
      <c r="B4489" s="1" t="s">
        <v>4111</v>
      </c>
      <c r="C4489" s="1" t="s">
        <v>8</v>
      </c>
      <c r="D4489" s="1">
        <v>3964091</v>
      </c>
      <c r="E4489" s="1">
        <v>3964249</v>
      </c>
      <c r="F4489" s="1" t="s">
        <v>13</v>
      </c>
      <c r="G4489" s="1" t="s">
        <v>11409</v>
      </c>
    </row>
    <row r="4490" spans="1:7" ht="21" x14ac:dyDescent="0.25">
      <c r="A4490" s="2" t="str">
        <f>HYPERLINK("https://rth.dk/resources/bsgatlas/details.php?id=BSGatlas-gene-4489","BSGatlas-gene-4489")</f>
        <v>BSGatlas-gene-4489</v>
      </c>
      <c r="B4490" s="1" t="s">
        <v>4112</v>
      </c>
      <c r="C4490" s="1" t="s">
        <v>8</v>
      </c>
      <c r="D4490" s="1">
        <v>3964278</v>
      </c>
      <c r="E4490" s="1">
        <v>3964868</v>
      </c>
      <c r="F4490" s="1" t="s">
        <v>13</v>
      </c>
      <c r="G4490" s="1" t="s">
        <v>11409</v>
      </c>
    </row>
    <row r="4491" spans="1:7" ht="21" x14ac:dyDescent="0.25">
      <c r="A4491" s="2" t="str">
        <f>HYPERLINK("https://rth.dk/resources/bsgatlas/details.php?id=BSGatlas-gene-4490","BSGatlas-gene-4490")</f>
        <v>BSGatlas-gene-4490</v>
      </c>
      <c r="B4491" s="1" t="s">
        <v>4113</v>
      </c>
      <c r="C4491" s="1" t="s">
        <v>8</v>
      </c>
      <c r="D4491" s="1">
        <v>3964997</v>
      </c>
      <c r="E4491" s="1">
        <v>3966640</v>
      </c>
      <c r="F4491" s="1" t="s">
        <v>9</v>
      </c>
      <c r="G4491" s="1" t="s">
        <v>11409</v>
      </c>
    </row>
    <row r="4492" spans="1:7" ht="21" x14ac:dyDescent="0.25">
      <c r="A4492" s="2" t="str">
        <f>HYPERLINK("https://rth.dk/resources/bsgatlas/details.php?id=BSGatlas-gene-4491","BSGatlas-gene-4491")</f>
        <v>BSGatlas-gene-4491</v>
      </c>
      <c r="B4492" s="1" t="s">
        <v>4114</v>
      </c>
      <c r="C4492" s="1" t="s">
        <v>8</v>
      </c>
      <c r="D4492" s="1">
        <v>3966745</v>
      </c>
      <c r="E4492" s="1">
        <v>3967947</v>
      </c>
      <c r="F4492" s="1" t="s">
        <v>9</v>
      </c>
      <c r="G4492" s="1" t="s">
        <v>11409</v>
      </c>
    </row>
    <row r="4493" spans="1:7" ht="21" x14ac:dyDescent="0.25">
      <c r="A4493" s="2" t="str">
        <f>HYPERLINK("https://rth.dk/resources/bsgatlas/details.php?id=BSGatlas-gene-4492","BSGatlas-gene-4492")</f>
        <v>BSGatlas-gene-4492</v>
      </c>
      <c r="B4493" s="1" t="s">
        <v>4115</v>
      </c>
      <c r="C4493" s="1" t="s">
        <v>8</v>
      </c>
      <c r="D4493" s="1">
        <v>3967944</v>
      </c>
      <c r="E4493" s="1">
        <v>3968720</v>
      </c>
      <c r="F4493" s="1" t="s">
        <v>13</v>
      </c>
      <c r="G4493" s="1" t="s">
        <v>11409</v>
      </c>
    </row>
    <row r="4494" spans="1:7" ht="21" x14ac:dyDescent="0.25">
      <c r="A4494" s="2" t="str">
        <f>HYPERLINK("https://rth.dk/resources/bsgatlas/details.php?id=BSGatlas-gene-4493","BSGatlas-gene-4493")</f>
        <v>BSGatlas-gene-4493</v>
      </c>
      <c r="B4494" s="1" t="s">
        <v>4116</v>
      </c>
      <c r="C4494" s="1" t="s">
        <v>8</v>
      </c>
      <c r="D4494" s="1">
        <v>3968717</v>
      </c>
      <c r="E4494" s="1">
        <v>3969604</v>
      </c>
      <c r="F4494" s="1" t="s">
        <v>13</v>
      </c>
      <c r="G4494" s="1" t="s">
        <v>11409</v>
      </c>
    </row>
    <row r="4495" spans="1:7" ht="21" x14ac:dyDescent="0.25">
      <c r="A4495" s="2" t="str">
        <f>HYPERLINK("https://rth.dk/resources/bsgatlas/details.php?id=BSGatlas-gene-4494","BSGatlas-gene-4494")</f>
        <v>BSGatlas-gene-4494</v>
      </c>
      <c r="B4495" s="1" t="s">
        <v>4117</v>
      </c>
      <c r="C4495" s="1" t="s">
        <v>8</v>
      </c>
      <c r="D4495" s="1">
        <v>3969611</v>
      </c>
      <c r="E4495" s="1">
        <v>3969799</v>
      </c>
      <c r="F4495" s="1" t="s">
        <v>13</v>
      </c>
      <c r="G4495" s="1" t="s">
        <v>11409</v>
      </c>
    </row>
    <row r="4496" spans="1:7" ht="21" x14ac:dyDescent="0.25">
      <c r="A4496" s="2" t="str">
        <f>HYPERLINK("https://rth.dk/resources/bsgatlas/details.php?id=BSGatlas-gene-4495","BSGatlas-gene-4495")</f>
        <v>BSGatlas-gene-4495</v>
      </c>
      <c r="B4496" s="1" t="s">
        <v>4118</v>
      </c>
      <c r="C4496" s="1" t="s">
        <v>8</v>
      </c>
      <c r="D4496" s="1">
        <v>3969796</v>
      </c>
      <c r="E4496" s="1">
        <v>3970002</v>
      </c>
      <c r="F4496" s="1" t="s">
        <v>13</v>
      </c>
      <c r="G4496" s="1" t="s">
        <v>11409</v>
      </c>
    </row>
    <row r="4497" spans="1:7" ht="21" x14ac:dyDescent="0.25">
      <c r="A4497" s="2" t="str">
        <f>HYPERLINK("https://rth.dk/resources/bsgatlas/details.php?id=BSGatlas-gene-4496","BSGatlas-gene-4496")</f>
        <v>BSGatlas-gene-4496</v>
      </c>
      <c r="B4497" s="1" t="s">
        <v>4119</v>
      </c>
      <c r="C4497" s="1" t="s">
        <v>8</v>
      </c>
      <c r="D4497" s="1">
        <v>3969999</v>
      </c>
      <c r="E4497" s="1">
        <v>3970319</v>
      </c>
      <c r="F4497" s="1" t="s">
        <v>13</v>
      </c>
      <c r="G4497" s="1" t="s">
        <v>11409</v>
      </c>
    </row>
    <row r="4498" spans="1:7" ht="21" x14ac:dyDescent="0.25">
      <c r="A4498" s="2" t="str">
        <f>HYPERLINK("https://rth.dk/resources/bsgatlas/details.php?id=BSGatlas-gene-4497","BSGatlas-gene-4497")</f>
        <v>BSGatlas-gene-4497</v>
      </c>
      <c r="B4498" s="1" t="s">
        <v>4120</v>
      </c>
      <c r="C4498" s="1" t="s">
        <v>8</v>
      </c>
      <c r="D4498" s="1">
        <v>3970312</v>
      </c>
      <c r="E4498" s="1">
        <v>3970848</v>
      </c>
      <c r="F4498" s="1" t="s">
        <v>13</v>
      </c>
      <c r="G4498" s="1" t="s">
        <v>11409</v>
      </c>
    </row>
    <row r="4499" spans="1:7" ht="21" x14ac:dyDescent="0.25">
      <c r="A4499" s="2" t="str">
        <f>HYPERLINK("https://rth.dk/resources/bsgatlas/details.php?id=BSGatlas-gene-4498","BSGatlas-gene-4498")</f>
        <v>BSGatlas-gene-4498</v>
      </c>
      <c r="B4499" s="1" t="s">
        <v>4121</v>
      </c>
      <c r="C4499" s="1" t="s">
        <v>8</v>
      </c>
      <c r="D4499" s="1">
        <v>3971060</v>
      </c>
      <c r="E4499" s="1">
        <v>3972433</v>
      </c>
      <c r="F4499" s="1" t="s">
        <v>9</v>
      </c>
      <c r="G4499" s="1" t="s">
        <v>11409</v>
      </c>
    </row>
    <row r="4500" spans="1:7" ht="21" x14ac:dyDescent="0.25">
      <c r="A4500" s="2" t="str">
        <f>HYPERLINK("https://rth.dk/resources/bsgatlas/details.php?id=BSGatlas-gene-4499","BSGatlas-gene-4499")</f>
        <v>BSGatlas-gene-4499</v>
      </c>
      <c r="B4500" s="1" t="s">
        <v>4122</v>
      </c>
      <c r="C4500" s="1" t="s">
        <v>12</v>
      </c>
      <c r="D4500" s="1">
        <v>3971340</v>
      </c>
      <c r="E4500" s="1">
        <v>3971882</v>
      </c>
      <c r="F4500" s="1" t="s">
        <v>13</v>
      </c>
      <c r="G4500" s="1" t="s">
        <v>11406</v>
      </c>
    </row>
    <row r="4501" spans="1:7" ht="21" x14ac:dyDescent="0.25">
      <c r="A4501" s="2" t="str">
        <f>HYPERLINK("https://rth.dk/resources/bsgatlas/details.php?id=BSGatlas-gene-4500","BSGatlas-gene-4500")</f>
        <v>BSGatlas-gene-4500</v>
      </c>
      <c r="B4501" s="1" t="s">
        <v>4123</v>
      </c>
      <c r="C4501" s="1" t="s">
        <v>8</v>
      </c>
      <c r="D4501" s="1">
        <v>3972448</v>
      </c>
      <c r="E4501" s="1">
        <v>3973278</v>
      </c>
      <c r="F4501" s="1" t="s">
        <v>13</v>
      </c>
      <c r="G4501" s="1" t="s">
        <v>11409</v>
      </c>
    </row>
    <row r="4502" spans="1:7" ht="21" x14ac:dyDescent="0.25">
      <c r="A4502" s="2" t="str">
        <f>HYPERLINK("https://rth.dk/resources/bsgatlas/details.php?id=BSGatlas-gene-4501","BSGatlas-gene-4501")</f>
        <v>BSGatlas-gene-4501</v>
      </c>
      <c r="B4502" s="1" t="s">
        <v>4124</v>
      </c>
      <c r="C4502" s="1" t="s">
        <v>8</v>
      </c>
      <c r="D4502" s="1">
        <v>3973364</v>
      </c>
      <c r="E4502" s="1">
        <v>3975091</v>
      </c>
      <c r="F4502" s="1" t="s">
        <v>13</v>
      </c>
      <c r="G4502" s="1" t="s">
        <v>11409</v>
      </c>
    </row>
    <row r="4503" spans="1:7" ht="21" x14ac:dyDescent="0.25">
      <c r="A4503" s="2" t="str">
        <f>HYPERLINK("https://rth.dk/resources/bsgatlas/details.php?id=BSGatlas-gene-4502","BSGatlas-gene-4502")</f>
        <v>BSGatlas-gene-4502</v>
      </c>
      <c r="B4503" s="1" t="s">
        <v>4125</v>
      </c>
      <c r="C4503" s="1" t="s">
        <v>8</v>
      </c>
      <c r="D4503" s="1">
        <v>3975088</v>
      </c>
      <c r="E4503" s="1">
        <v>3976791</v>
      </c>
      <c r="F4503" s="1" t="s">
        <v>13</v>
      </c>
      <c r="G4503" s="1" t="s">
        <v>11409</v>
      </c>
    </row>
    <row r="4504" spans="1:7" ht="21" x14ac:dyDescent="0.25">
      <c r="A4504" s="2" t="str">
        <f>HYPERLINK("https://rth.dk/resources/bsgatlas/details.php?id=BSGatlas-gene-4503","BSGatlas-gene-4503")</f>
        <v>BSGatlas-gene-4503</v>
      </c>
      <c r="B4504" s="1" t="s">
        <v>4126</v>
      </c>
      <c r="C4504" s="1" t="s">
        <v>8</v>
      </c>
      <c r="D4504" s="1">
        <v>3976791</v>
      </c>
      <c r="E4504" s="1">
        <v>3977807</v>
      </c>
      <c r="F4504" s="1" t="s">
        <v>13</v>
      </c>
      <c r="G4504" s="1" t="s">
        <v>11409</v>
      </c>
    </row>
    <row r="4505" spans="1:7" ht="21" x14ac:dyDescent="0.25">
      <c r="A4505" s="2" t="str">
        <f>HYPERLINK("https://rth.dk/resources/bsgatlas/details.php?id=BSGatlas-gene-4504","BSGatlas-gene-4504")</f>
        <v>BSGatlas-gene-4504</v>
      </c>
      <c r="B4505" s="1" t="s">
        <v>4127</v>
      </c>
      <c r="C4505" s="1" t="s">
        <v>8</v>
      </c>
      <c r="D4505" s="1">
        <v>3977791</v>
      </c>
      <c r="E4505" s="1">
        <v>3979197</v>
      </c>
      <c r="F4505" s="1" t="s">
        <v>13</v>
      </c>
      <c r="G4505" s="1" t="s">
        <v>11409</v>
      </c>
    </row>
    <row r="4506" spans="1:7" ht="21" x14ac:dyDescent="0.25">
      <c r="A4506" s="2" t="str">
        <f>HYPERLINK("https://rth.dk/resources/bsgatlas/details.php?id=BSGatlas-gene-4505","BSGatlas-gene-4505")</f>
        <v>BSGatlas-gene-4505</v>
      </c>
      <c r="B4506" s="1" t="s">
        <v>4128</v>
      </c>
      <c r="C4506" s="1" t="s">
        <v>8</v>
      </c>
      <c r="D4506" s="1">
        <v>3979753</v>
      </c>
      <c r="E4506" s="1">
        <v>3981105</v>
      </c>
      <c r="F4506" s="1" t="s">
        <v>9</v>
      </c>
      <c r="G4506" s="1" t="s">
        <v>11409</v>
      </c>
    </row>
    <row r="4507" spans="1:7" ht="21" x14ac:dyDescent="0.25">
      <c r="A4507" s="2" t="str">
        <f>HYPERLINK("https://rth.dk/resources/bsgatlas/details.php?id=BSGatlas-gene-4506","BSGatlas-gene-4506")</f>
        <v>BSGatlas-gene-4506</v>
      </c>
      <c r="B4507" s="1" t="s">
        <v>4129</v>
      </c>
      <c r="C4507" s="1" t="s">
        <v>8</v>
      </c>
      <c r="D4507" s="1">
        <v>3981227</v>
      </c>
      <c r="E4507" s="1">
        <v>3982915</v>
      </c>
      <c r="F4507" s="1" t="s">
        <v>9</v>
      </c>
      <c r="G4507" s="1" t="s">
        <v>11409</v>
      </c>
    </row>
    <row r="4508" spans="1:7" ht="21" x14ac:dyDescent="0.25">
      <c r="A4508" s="2" t="str">
        <f>HYPERLINK("https://rth.dk/resources/bsgatlas/details.php?id=BSGatlas-gene-4507","BSGatlas-gene-4507")</f>
        <v>BSGatlas-gene-4507</v>
      </c>
      <c r="B4508" s="1" t="s">
        <v>4130</v>
      </c>
      <c r="C4508" s="1" t="s">
        <v>8</v>
      </c>
      <c r="D4508" s="1">
        <v>3982973</v>
      </c>
      <c r="E4508" s="1">
        <v>3983173</v>
      </c>
      <c r="F4508" s="1" t="s">
        <v>9</v>
      </c>
      <c r="G4508" s="1" t="s">
        <v>11409</v>
      </c>
    </row>
    <row r="4509" spans="1:7" ht="21" x14ac:dyDescent="0.25">
      <c r="A4509" s="2" t="str">
        <f>HYPERLINK("https://rth.dk/resources/bsgatlas/details.php?id=BSGatlas-gene-4508","BSGatlas-gene-4508")</f>
        <v>BSGatlas-gene-4508</v>
      </c>
      <c r="B4509" s="1" t="s">
        <v>4131</v>
      </c>
      <c r="C4509" s="1" t="s">
        <v>8</v>
      </c>
      <c r="D4509" s="1">
        <v>3983187</v>
      </c>
      <c r="E4509" s="1">
        <v>3984026</v>
      </c>
      <c r="F4509" s="1" t="s">
        <v>13</v>
      </c>
      <c r="G4509" s="1" t="s">
        <v>11409</v>
      </c>
    </row>
    <row r="4510" spans="1:7" ht="21" x14ac:dyDescent="0.25">
      <c r="A4510" s="2" t="str">
        <f>HYPERLINK("https://rth.dk/resources/bsgatlas/details.php?id=BSGatlas-gene-4509","BSGatlas-gene-4509")</f>
        <v>BSGatlas-gene-4509</v>
      </c>
      <c r="B4510" s="1" t="s">
        <v>4132</v>
      </c>
      <c r="C4510" s="1" t="s">
        <v>8</v>
      </c>
      <c r="D4510" s="1">
        <v>3984133</v>
      </c>
      <c r="E4510" s="1">
        <v>3985230</v>
      </c>
      <c r="F4510" s="1" t="s">
        <v>13</v>
      </c>
      <c r="G4510" s="1" t="s">
        <v>11409</v>
      </c>
    </row>
    <row r="4511" spans="1:7" ht="21" x14ac:dyDescent="0.25">
      <c r="A4511" s="2" t="str">
        <f>HYPERLINK("https://rth.dk/resources/bsgatlas/details.php?id=BSGatlas-gene-4510","BSGatlas-gene-4510")</f>
        <v>BSGatlas-gene-4510</v>
      </c>
      <c r="B4511" s="1" t="s">
        <v>4133</v>
      </c>
      <c r="C4511" s="1" t="s">
        <v>8</v>
      </c>
      <c r="D4511" s="1">
        <v>3985351</v>
      </c>
      <c r="E4511" s="1">
        <v>3986244</v>
      </c>
      <c r="F4511" s="1" t="s">
        <v>13</v>
      </c>
      <c r="G4511" s="1" t="s">
        <v>11409</v>
      </c>
    </row>
    <row r="4512" spans="1:7" ht="21" x14ac:dyDescent="0.25">
      <c r="A4512" s="2" t="str">
        <f>HYPERLINK("https://rth.dk/resources/bsgatlas/details.php?id=BSGatlas-gene-4511","BSGatlas-gene-4511")</f>
        <v>BSGatlas-gene-4511</v>
      </c>
      <c r="B4512" s="1" t="s">
        <v>4134</v>
      </c>
      <c r="C4512" s="1" t="s">
        <v>8</v>
      </c>
      <c r="D4512" s="1">
        <v>3986428</v>
      </c>
      <c r="E4512" s="1">
        <v>3987885</v>
      </c>
      <c r="F4512" s="1" t="s">
        <v>9</v>
      </c>
      <c r="G4512" s="1" t="s">
        <v>11409</v>
      </c>
    </row>
    <row r="4513" spans="1:7" ht="21" x14ac:dyDescent="0.25">
      <c r="A4513" s="2" t="str">
        <f>HYPERLINK("https://rth.dk/resources/bsgatlas/details.php?id=BSGatlas-gene-4512","BSGatlas-gene-4512")</f>
        <v>BSGatlas-gene-4512</v>
      </c>
      <c r="B4513" s="1" t="s">
        <v>4135</v>
      </c>
      <c r="C4513" s="1" t="s">
        <v>8</v>
      </c>
      <c r="D4513" s="1">
        <v>3987927</v>
      </c>
      <c r="E4513" s="1">
        <v>3988763</v>
      </c>
      <c r="F4513" s="1" t="s">
        <v>13</v>
      </c>
      <c r="G4513" s="1" t="s">
        <v>11409</v>
      </c>
    </row>
    <row r="4514" spans="1:7" ht="21" x14ac:dyDescent="0.25">
      <c r="A4514" s="2" t="str">
        <f>HYPERLINK("https://rth.dk/resources/bsgatlas/details.php?id=BSGatlas-gene-4513","BSGatlas-gene-4513")</f>
        <v>BSGatlas-gene-4513</v>
      </c>
      <c r="B4514" s="1" t="s">
        <v>4136</v>
      </c>
      <c r="C4514" s="1" t="s">
        <v>34</v>
      </c>
      <c r="D4514" s="1">
        <v>3988839</v>
      </c>
      <c r="E4514" s="1">
        <v>3988942</v>
      </c>
      <c r="F4514" s="1" t="s">
        <v>13</v>
      </c>
      <c r="G4514" s="1" t="s">
        <v>11412</v>
      </c>
    </row>
    <row r="4515" spans="1:7" ht="21" x14ac:dyDescent="0.25">
      <c r="A4515" s="2" t="str">
        <f>HYPERLINK("https://rth.dk/resources/bsgatlas/details.php?id=BSGatlas-gene-4514","BSGatlas-gene-4514")</f>
        <v>BSGatlas-gene-4514</v>
      </c>
      <c r="B4515" s="1" t="s">
        <v>4137</v>
      </c>
      <c r="C4515" s="1" t="s">
        <v>8</v>
      </c>
      <c r="D4515" s="1">
        <v>3989331</v>
      </c>
      <c r="E4515" s="1">
        <v>3989873</v>
      </c>
      <c r="F4515" s="1" t="s">
        <v>9</v>
      </c>
      <c r="G4515" s="1" t="s">
        <v>11409</v>
      </c>
    </row>
    <row r="4516" spans="1:7" ht="21" x14ac:dyDescent="0.25">
      <c r="A4516" s="2" t="str">
        <f>HYPERLINK("https://rth.dk/resources/bsgatlas/details.php?id=BSGatlas-gene-4515","BSGatlas-gene-4515")</f>
        <v>BSGatlas-gene-4515</v>
      </c>
      <c r="B4516" s="1" t="s">
        <v>4138</v>
      </c>
      <c r="C4516" s="1" t="s">
        <v>8</v>
      </c>
      <c r="D4516" s="1">
        <v>3989948</v>
      </c>
      <c r="E4516" s="1">
        <v>3990967</v>
      </c>
      <c r="F4516" s="1" t="s">
        <v>13</v>
      </c>
      <c r="G4516" s="1" t="s">
        <v>11409</v>
      </c>
    </row>
    <row r="4517" spans="1:7" ht="21" x14ac:dyDescent="0.25">
      <c r="A4517" s="2" t="str">
        <f>HYPERLINK("https://rth.dk/resources/bsgatlas/details.php?id=BSGatlas-gene-4516","BSGatlas-gene-4516")</f>
        <v>BSGatlas-gene-4516</v>
      </c>
      <c r="B4517" s="1" t="s">
        <v>4139</v>
      </c>
      <c r="C4517" s="1" t="s">
        <v>8</v>
      </c>
      <c r="D4517" s="1">
        <v>3991082</v>
      </c>
      <c r="E4517" s="1">
        <v>3991588</v>
      </c>
      <c r="F4517" s="1" t="s">
        <v>13</v>
      </c>
      <c r="G4517" s="1" t="s">
        <v>11409</v>
      </c>
    </row>
    <row r="4518" spans="1:7" ht="21" x14ac:dyDescent="0.25">
      <c r="A4518" s="2" t="str">
        <f>HYPERLINK("https://rth.dk/resources/bsgatlas/details.php?id=BSGatlas-gene-4517","BSGatlas-gene-4517")</f>
        <v>BSGatlas-gene-4517</v>
      </c>
      <c r="B4518" s="1" t="s">
        <v>4140</v>
      </c>
      <c r="C4518" s="1" t="s">
        <v>8</v>
      </c>
      <c r="D4518" s="1">
        <v>3991718</v>
      </c>
      <c r="E4518" s="1">
        <v>3992593</v>
      </c>
      <c r="F4518" s="1" t="s">
        <v>9</v>
      </c>
      <c r="G4518" s="1" t="s">
        <v>11409</v>
      </c>
    </row>
    <row r="4519" spans="1:7" ht="21" x14ac:dyDescent="0.25">
      <c r="A4519" s="2" t="str">
        <f>HYPERLINK("https://rth.dk/resources/bsgatlas/details.php?id=BSGatlas-gene-4518","BSGatlas-gene-4518")</f>
        <v>BSGatlas-gene-4518</v>
      </c>
      <c r="B4519" s="1" t="s">
        <v>4141</v>
      </c>
      <c r="C4519" s="1" t="s">
        <v>12</v>
      </c>
      <c r="D4519" s="1">
        <v>3991968</v>
      </c>
      <c r="E4519" s="1">
        <v>3992056</v>
      </c>
      <c r="F4519" s="1" t="s">
        <v>13</v>
      </c>
      <c r="G4519" s="1" t="s">
        <v>11406</v>
      </c>
    </row>
    <row r="4520" spans="1:7" ht="21" x14ac:dyDescent="0.25">
      <c r="A4520" s="2" t="str">
        <f>HYPERLINK("https://rth.dk/resources/bsgatlas/details.php?id=BSGatlas-gene-4519","BSGatlas-gene-4519")</f>
        <v>BSGatlas-gene-4519</v>
      </c>
      <c r="B4520" s="1" t="s">
        <v>4142</v>
      </c>
      <c r="C4520" s="1" t="s">
        <v>8</v>
      </c>
      <c r="D4520" s="1">
        <v>3992671</v>
      </c>
      <c r="E4520" s="1">
        <v>3993144</v>
      </c>
      <c r="F4520" s="1" t="s">
        <v>9</v>
      </c>
      <c r="G4520" s="1" t="s">
        <v>11409</v>
      </c>
    </row>
    <row r="4521" spans="1:7" ht="21" x14ac:dyDescent="0.25">
      <c r="A4521" s="2" t="str">
        <f>HYPERLINK("https://rth.dk/resources/bsgatlas/details.php?id=BSGatlas-gene-4520","BSGatlas-gene-4520")</f>
        <v>BSGatlas-gene-4520</v>
      </c>
      <c r="B4521" s="1" t="s">
        <v>11730</v>
      </c>
      <c r="C4521" s="1" t="s">
        <v>8</v>
      </c>
      <c r="D4521" s="1">
        <v>3993162</v>
      </c>
      <c r="E4521" s="1">
        <v>3994382</v>
      </c>
      <c r="F4521" s="1" t="s">
        <v>9</v>
      </c>
      <c r="G4521" s="1" t="s">
        <v>11409</v>
      </c>
    </row>
    <row r="4522" spans="1:7" ht="21" x14ac:dyDescent="0.25">
      <c r="A4522" s="2" t="str">
        <f>HYPERLINK("https://rth.dk/resources/bsgatlas/details.php?id=BSGatlas-gene-4521","BSGatlas-gene-4521")</f>
        <v>BSGatlas-gene-4521</v>
      </c>
      <c r="B4522" s="1" t="s">
        <v>11731</v>
      </c>
      <c r="C4522" s="1" t="s">
        <v>8</v>
      </c>
      <c r="D4522" s="1">
        <v>3994369</v>
      </c>
      <c r="E4522" s="1">
        <v>3995025</v>
      </c>
      <c r="F4522" s="1" t="s">
        <v>9</v>
      </c>
      <c r="G4522" s="1" t="s">
        <v>11409</v>
      </c>
    </row>
    <row r="4523" spans="1:7" ht="21" x14ac:dyDescent="0.25">
      <c r="A4523" s="2" t="str">
        <f>HYPERLINK("https://rth.dk/resources/bsgatlas/details.php?id=BSGatlas-gene-4522","BSGatlas-gene-4522")</f>
        <v>BSGatlas-gene-4522</v>
      </c>
      <c r="B4523" s="1" t="s">
        <v>4143</v>
      </c>
      <c r="C4523" s="1" t="s">
        <v>8</v>
      </c>
      <c r="D4523" s="1">
        <v>3995075</v>
      </c>
      <c r="E4523" s="1">
        <v>3996307</v>
      </c>
      <c r="F4523" s="1" t="s">
        <v>9</v>
      </c>
      <c r="G4523" s="1" t="s">
        <v>11409</v>
      </c>
    </row>
    <row r="4524" spans="1:7" ht="21" x14ac:dyDescent="0.25">
      <c r="A4524" s="2" t="str">
        <f>HYPERLINK("https://rth.dk/resources/bsgatlas/details.php?id=BSGatlas-gene-4523","BSGatlas-gene-4523")</f>
        <v>BSGatlas-gene-4523</v>
      </c>
      <c r="B4524" s="1" t="s">
        <v>4144</v>
      </c>
      <c r="C4524" s="1" t="s">
        <v>12</v>
      </c>
      <c r="D4524" s="1">
        <v>3996388</v>
      </c>
      <c r="E4524" s="1">
        <v>3996610</v>
      </c>
      <c r="F4524" s="1" t="s">
        <v>9</v>
      </c>
      <c r="G4524" s="1" t="s">
        <v>11442</v>
      </c>
    </row>
    <row r="4525" spans="1:7" ht="21" x14ac:dyDescent="0.25">
      <c r="A4525" s="2" t="str">
        <f>HYPERLINK("https://rth.dk/resources/bsgatlas/details.php?id=BSGatlas-gene-4524","BSGatlas-gene-4524")</f>
        <v>BSGatlas-gene-4524</v>
      </c>
      <c r="B4525" s="1" t="s">
        <v>4145</v>
      </c>
      <c r="C4525" s="1" t="s">
        <v>8</v>
      </c>
      <c r="D4525" s="1">
        <v>3996829</v>
      </c>
      <c r="E4525" s="1">
        <v>3997092</v>
      </c>
      <c r="F4525" s="1" t="s">
        <v>9</v>
      </c>
      <c r="G4525" s="1" t="s">
        <v>11409</v>
      </c>
    </row>
    <row r="4526" spans="1:7" ht="21" x14ac:dyDescent="0.25">
      <c r="A4526" s="2" t="str">
        <f>HYPERLINK("https://rth.dk/resources/bsgatlas/details.php?id=BSGatlas-gene-4525","BSGatlas-gene-4525")</f>
        <v>BSGatlas-gene-4525</v>
      </c>
      <c r="B4526" s="1" t="s">
        <v>4146</v>
      </c>
      <c r="C4526" s="1" t="s">
        <v>8</v>
      </c>
      <c r="D4526" s="1">
        <v>3997221</v>
      </c>
      <c r="E4526" s="1">
        <v>3997709</v>
      </c>
      <c r="F4526" s="1" t="s">
        <v>9</v>
      </c>
      <c r="G4526" s="1" t="s">
        <v>11409</v>
      </c>
    </row>
    <row r="4527" spans="1:7" ht="21" x14ac:dyDescent="0.25">
      <c r="A4527" s="2" t="str">
        <f>HYPERLINK("https://rth.dk/resources/bsgatlas/details.php?id=BSGatlas-gene-4526","BSGatlas-gene-4526")</f>
        <v>BSGatlas-gene-4526</v>
      </c>
      <c r="B4527" s="1" t="s">
        <v>4148</v>
      </c>
      <c r="C4527" s="1" t="s">
        <v>34</v>
      </c>
      <c r="D4527" s="1">
        <v>3997774</v>
      </c>
      <c r="E4527" s="1">
        <v>3997881</v>
      </c>
      <c r="F4527" s="1" t="s">
        <v>9</v>
      </c>
      <c r="G4527" s="1" t="s">
        <v>11412</v>
      </c>
    </row>
    <row r="4528" spans="1:7" ht="21" x14ac:dyDescent="0.25">
      <c r="A4528" s="2" t="str">
        <f>HYPERLINK("https://rth.dk/resources/bsgatlas/details.php?id=BSGatlas-gene-4527","BSGatlas-gene-4527")</f>
        <v>BSGatlas-gene-4527</v>
      </c>
      <c r="B4528" s="1" t="s">
        <v>4147</v>
      </c>
      <c r="C4528" s="1" t="s">
        <v>8</v>
      </c>
      <c r="D4528" s="1">
        <v>3997964</v>
      </c>
      <c r="E4528" s="1">
        <v>3999097</v>
      </c>
      <c r="F4528" s="1" t="s">
        <v>9</v>
      </c>
      <c r="G4528" s="1" t="s">
        <v>11409</v>
      </c>
    </row>
    <row r="4529" spans="1:7" ht="21" x14ac:dyDescent="0.25">
      <c r="A4529" s="2" t="str">
        <f>HYPERLINK("https://rth.dk/resources/bsgatlas/details.php?id=BSGatlas-gene-4528","BSGatlas-gene-4528")</f>
        <v>BSGatlas-gene-4528</v>
      </c>
      <c r="B4529" s="1" t="s">
        <v>4149</v>
      </c>
      <c r="C4529" s="1" t="s">
        <v>12</v>
      </c>
      <c r="D4529" s="1">
        <v>3998237</v>
      </c>
      <c r="E4529" s="1">
        <v>3998480</v>
      </c>
      <c r="F4529" s="1" t="s">
        <v>13</v>
      </c>
      <c r="G4529" s="1" t="s">
        <v>11406</v>
      </c>
    </row>
    <row r="4530" spans="1:7" ht="21" x14ac:dyDescent="0.25">
      <c r="A4530" s="2" t="str">
        <f>HYPERLINK("https://rth.dk/resources/bsgatlas/details.php?id=BSGatlas-gene-4529","BSGatlas-gene-4529")</f>
        <v>BSGatlas-gene-4529</v>
      </c>
      <c r="B4530" s="1" t="s">
        <v>4151</v>
      </c>
      <c r="C4530" s="1" t="s">
        <v>34</v>
      </c>
      <c r="D4530" s="1">
        <v>3999165</v>
      </c>
      <c r="E4530" s="1">
        <v>3999272</v>
      </c>
      <c r="F4530" s="1" t="s">
        <v>9</v>
      </c>
      <c r="G4530" s="1" t="s">
        <v>11412</v>
      </c>
    </row>
    <row r="4531" spans="1:7" ht="21" x14ac:dyDescent="0.25">
      <c r="A4531" s="2" t="str">
        <f>HYPERLINK("https://rth.dk/resources/bsgatlas/details.php?id=BSGatlas-gene-4530","BSGatlas-gene-4530")</f>
        <v>BSGatlas-gene-4530</v>
      </c>
      <c r="B4531" s="1" t="s">
        <v>4150</v>
      </c>
      <c r="C4531" s="1" t="s">
        <v>8</v>
      </c>
      <c r="D4531" s="1">
        <v>3999350</v>
      </c>
      <c r="E4531" s="1">
        <v>4000486</v>
      </c>
      <c r="F4531" s="1" t="s">
        <v>9</v>
      </c>
      <c r="G4531" s="1" t="s">
        <v>11409</v>
      </c>
    </row>
    <row r="4532" spans="1:7" ht="21" x14ac:dyDescent="0.25">
      <c r="A4532" s="2" t="str">
        <f>HYPERLINK("https://rth.dk/resources/bsgatlas/details.php?id=BSGatlas-gene-4531","BSGatlas-gene-4531")</f>
        <v>BSGatlas-gene-4531</v>
      </c>
      <c r="B4532" s="1" t="s">
        <v>4152</v>
      </c>
      <c r="C4532" s="1" t="s">
        <v>8</v>
      </c>
      <c r="D4532" s="1">
        <v>4000539</v>
      </c>
      <c r="E4532" s="1">
        <v>4001312</v>
      </c>
      <c r="F4532" s="1" t="s">
        <v>13</v>
      </c>
      <c r="G4532" s="1" t="s">
        <v>11409</v>
      </c>
    </row>
    <row r="4533" spans="1:7" ht="21" x14ac:dyDescent="0.25">
      <c r="A4533" s="2" t="str">
        <f>HYPERLINK("https://rth.dk/resources/bsgatlas/details.php?id=BSGatlas-gene-4532","BSGatlas-gene-4532")</f>
        <v>BSGatlas-gene-4532</v>
      </c>
      <c r="B4533" s="1" t="s">
        <v>4153</v>
      </c>
      <c r="C4533" s="1" t="s">
        <v>8</v>
      </c>
      <c r="D4533" s="1">
        <v>4001329</v>
      </c>
      <c r="E4533" s="1">
        <v>4001979</v>
      </c>
      <c r="F4533" s="1" t="s">
        <v>13</v>
      </c>
      <c r="G4533" s="1" t="s">
        <v>11409</v>
      </c>
    </row>
    <row r="4534" spans="1:7" ht="21" x14ac:dyDescent="0.25">
      <c r="A4534" s="2" t="str">
        <f>HYPERLINK("https://rth.dk/resources/bsgatlas/details.php?id=BSGatlas-gene-4533","BSGatlas-gene-4533")</f>
        <v>BSGatlas-gene-4533</v>
      </c>
      <c r="B4534" s="1" t="s">
        <v>4154</v>
      </c>
      <c r="C4534" s="1" t="s">
        <v>8</v>
      </c>
      <c r="D4534" s="1">
        <v>4001976</v>
      </c>
      <c r="E4534" s="1">
        <v>4002692</v>
      </c>
      <c r="F4534" s="1" t="s">
        <v>13</v>
      </c>
      <c r="G4534" s="1" t="s">
        <v>11409</v>
      </c>
    </row>
    <row r="4535" spans="1:7" ht="21" x14ac:dyDescent="0.25">
      <c r="A4535" s="2" t="str">
        <f>HYPERLINK("https://rth.dk/resources/bsgatlas/details.php?id=BSGatlas-gene-4534","BSGatlas-gene-4534")</f>
        <v>BSGatlas-gene-4534</v>
      </c>
      <c r="B4535" s="1" t="s">
        <v>4155</v>
      </c>
      <c r="C4535" s="1" t="s">
        <v>8</v>
      </c>
      <c r="D4535" s="1">
        <v>4002716</v>
      </c>
      <c r="E4535" s="1">
        <v>4004134</v>
      </c>
      <c r="F4535" s="1" t="s">
        <v>13</v>
      </c>
      <c r="G4535" s="1" t="s">
        <v>11409</v>
      </c>
    </row>
    <row r="4536" spans="1:7" ht="21" x14ac:dyDescent="0.25">
      <c r="A4536" s="2" t="str">
        <f>HYPERLINK("https://rth.dk/resources/bsgatlas/details.php?id=BSGatlas-gene-4535","BSGatlas-gene-4535")</f>
        <v>BSGatlas-gene-4535</v>
      </c>
      <c r="B4536" s="1" t="s">
        <v>4156</v>
      </c>
      <c r="C4536" s="1" t="s">
        <v>8</v>
      </c>
      <c r="D4536" s="1">
        <v>4004288</v>
      </c>
      <c r="E4536" s="1">
        <v>4005136</v>
      </c>
      <c r="F4536" s="1" t="s">
        <v>13</v>
      </c>
      <c r="G4536" s="1" t="s">
        <v>11409</v>
      </c>
    </row>
    <row r="4537" spans="1:7" ht="21" x14ac:dyDescent="0.25">
      <c r="A4537" s="2" t="str">
        <f>HYPERLINK("https://rth.dk/resources/bsgatlas/details.php?id=BSGatlas-gene-4536","BSGatlas-gene-4536")</f>
        <v>BSGatlas-gene-4536</v>
      </c>
      <c r="B4537" s="1" t="s">
        <v>522</v>
      </c>
      <c r="C4537" s="1" t="s">
        <v>34</v>
      </c>
      <c r="D4537" s="1">
        <v>4005183</v>
      </c>
      <c r="E4537" s="1">
        <v>4005313</v>
      </c>
      <c r="F4537" s="1" t="s">
        <v>13</v>
      </c>
      <c r="G4537" s="1" t="s">
        <v>11414</v>
      </c>
    </row>
    <row r="4538" spans="1:7" ht="21" x14ac:dyDescent="0.25">
      <c r="A4538" s="2" t="str">
        <f>HYPERLINK("https://rth.dk/resources/bsgatlas/details.php?id=BSGatlas-gene-4537","BSGatlas-gene-4537")</f>
        <v>BSGatlas-gene-4537</v>
      </c>
      <c r="B4538" s="1" t="s">
        <v>11732</v>
      </c>
      <c r="C4538" s="1" t="s">
        <v>34</v>
      </c>
      <c r="D4538" s="1">
        <v>4005522</v>
      </c>
      <c r="E4538" s="1">
        <v>4005625</v>
      </c>
      <c r="F4538" s="1" t="s">
        <v>9</v>
      </c>
      <c r="G4538" s="1" t="s">
        <v>11412</v>
      </c>
    </row>
    <row r="4539" spans="1:7" ht="21" x14ac:dyDescent="0.25">
      <c r="A4539" s="2" t="str">
        <f>HYPERLINK("https://rth.dk/resources/bsgatlas/details.php?id=BSGatlas-gene-4538","BSGatlas-gene-4538")</f>
        <v>BSGatlas-gene-4538</v>
      </c>
      <c r="B4539" s="1" t="s">
        <v>4157</v>
      </c>
      <c r="C4539" s="1" t="s">
        <v>8</v>
      </c>
      <c r="D4539" s="1">
        <v>4005752</v>
      </c>
      <c r="E4539" s="1">
        <v>4006945</v>
      </c>
      <c r="F4539" s="1" t="s">
        <v>9</v>
      </c>
      <c r="G4539" s="1" t="s">
        <v>11409</v>
      </c>
    </row>
    <row r="4540" spans="1:7" ht="21" x14ac:dyDescent="0.25">
      <c r="A4540" s="2" t="str">
        <f>HYPERLINK("https://rth.dk/resources/bsgatlas/details.php?id=BSGatlas-gene-4539","BSGatlas-gene-4539")</f>
        <v>BSGatlas-gene-4539</v>
      </c>
      <c r="B4540" s="1" t="s">
        <v>4158</v>
      </c>
      <c r="C4540" s="1" t="s">
        <v>276</v>
      </c>
      <c r="D4540" s="1">
        <v>4006987</v>
      </c>
      <c r="E4540" s="1">
        <v>4007415</v>
      </c>
      <c r="F4540" s="1" t="s">
        <v>13</v>
      </c>
      <c r="G4540" s="1" t="s">
        <v>11441</v>
      </c>
    </row>
    <row r="4541" spans="1:7" ht="21" x14ac:dyDescent="0.25">
      <c r="A4541" s="2" t="str">
        <f>HYPERLINK("https://rth.dk/resources/bsgatlas/details.php?id=BSGatlas-gene-4540","BSGatlas-gene-4540")</f>
        <v>BSGatlas-gene-4540</v>
      </c>
      <c r="B4541" s="1" t="s">
        <v>4159</v>
      </c>
      <c r="C4541" s="1" t="s">
        <v>276</v>
      </c>
      <c r="D4541" s="1">
        <v>4007416</v>
      </c>
      <c r="E4541" s="1">
        <v>4007658</v>
      </c>
      <c r="F4541" s="1" t="s">
        <v>13</v>
      </c>
      <c r="G4541" s="1" t="s">
        <v>11441</v>
      </c>
    </row>
    <row r="4542" spans="1:7" ht="21" x14ac:dyDescent="0.25">
      <c r="A4542" s="2" t="str">
        <f>HYPERLINK("https://rth.dk/resources/bsgatlas/details.php?id=BSGatlas-gene-4541","BSGatlas-gene-4541")</f>
        <v>BSGatlas-gene-4541</v>
      </c>
      <c r="B4542" s="1" t="s">
        <v>4160</v>
      </c>
      <c r="C4542" s="1" t="s">
        <v>8</v>
      </c>
      <c r="D4542" s="1">
        <v>4007803</v>
      </c>
      <c r="E4542" s="1">
        <v>4008093</v>
      </c>
      <c r="F4542" s="1" t="s">
        <v>13</v>
      </c>
      <c r="G4542" s="1" t="s">
        <v>11409</v>
      </c>
    </row>
    <row r="4543" spans="1:7" ht="21" x14ac:dyDescent="0.25">
      <c r="A4543" s="2" t="str">
        <f>HYPERLINK("https://rth.dk/resources/bsgatlas/details.php?id=BSGatlas-gene-4542","BSGatlas-gene-4542")</f>
        <v>BSGatlas-gene-4542</v>
      </c>
      <c r="B4543" s="1" t="s">
        <v>4161</v>
      </c>
      <c r="C4543" s="1" t="s">
        <v>8</v>
      </c>
      <c r="D4543" s="1">
        <v>4008143</v>
      </c>
      <c r="E4543" s="1">
        <v>4010203</v>
      </c>
      <c r="F4543" s="1" t="s">
        <v>13</v>
      </c>
      <c r="G4543" s="1" t="s">
        <v>11409</v>
      </c>
    </row>
    <row r="4544" spans="1:7" ht="21" x14ac:dyDescent="0.25">
      <c r="A4544" s="2" t="str">
        <f>HYPERLINK("https://rth.dk/resources/bsgatlas/details.php?id=BSGatlas-gene-4543","BSGatlas-gene-4543")</f>
        <v>BSGatlas-gene-4543</v>
      </c>
      <c r="B4544" s="1" t="s">
        <v>4162</v>
      </c>
      <c r="C4544" s="1" t="s">
        <v>8</v>
      </c>
      <c r="D4544" s="1">
        <v>4010404</v>
      </c>
      <c r="E4544" s="1">
        <v>4011684</v>
      </c>
      <c r="F4544" s="1" t="s">
        <v>9</v>
      </c>
      <c r="G4544" s="1" t="s">
        <v>11409</v>
      </c>
    </row>
    <row r="4545" spans="1:7" ht="21" x14ac:dyDescent="0.25">
      <c r="A4545" s="2" t="str">
        <f>HYPERLINK("https://rth.dk/resources/bsgatlas/details.php?id=BSGatlas-gene-4544","BSGatlas-gene-4544")</f>
        <v>BSGatlas-gene-4544</v>
      </c>
      <c r="B4545" s="1" t="s">
        <v>4163</v>
      </c>
      <c r="C4545" s="1" t="s">
        <v>8</v>
      </c>
      <c r="D4545" s="1">
        <v>4011842</v>
      </c>
      <c r="E4545" s="1">
        <v>4012570</v>
      </c>
      <c r="F4545" s="1" t="s">
        <v>13</v>
      </c>
      <c r="G4545" s="1" t="s">
        <v>11409</v>
      </c>
    </row>
    <row r="4546" spans="1:7" ht="21" x14ac:dyDescent="0.25">
      <c r="A4546" s="2" t="str">
        <f>HYPERLINK("https://rth.dk/resources/bsgatlas/details.php?id=BSGatlas-gene-4545","BSGatlas-gene-4545")</f>
        <v>BSGatlas-gene-4545</v>
      </c>
      <c r="B4546" s="1" t="s">
        <v>4164</v>
      </c>
      <c r="C4546" s="1" t="s">
        <v>8</v>
      </c>
      <c r="D4546" s="1">
        <v>4012866</v>
      </c>
      <c r="E4546" s="1">
        <v>4013699</v>
      </c>
      <c r="F4546" s="1" t="s">
        <v>13</v>
      </c>
      <c r="G4546" s="1" t="s">
        <v>11409</v>
      </c>
    </row>
    <row r="4547" spans="1:7" ht="21" x14ac:dyDescent="0.25">
      <c r="A4547" s="2" t="str">
        <f>HYPERLINK("https://rth.dk/resources/bsgatlas/details.php?id=BSGatlas-gene-4546","BSGatlas-gene-4546")</f>
        <v>BSGatlas-gene-4546</v>
      </c>
      <c r="B4547" s="1" t="s">
        <v>4165</v>
      </c>
      <c r="C4547" s="1" t="s">
        <v>8</v>
      </c>
      <c r="D4547" s="1">
        <v>4013795</v>
      </c>
      <c r="E4547" s="1">
        <v>4014475</v>
      </c>
      <c r="F4547" s="1" t="s">
        <v>13</v>
      </c>
      <c r="G4547" s="1" t="s">
        <v>11409</v>
      </c>
    </row>
    <row r="4548" spans="1:7" ht="21" x14ac:dyDescent="0.25">
      <c r="A4548" s="2" t="str">
        <f>HYPERLINK("https://rth.dk/resources/bsgatlas/details.php?id=BSGatlas-gene-4547","BSGatlas-gene-4547")</f>
        <v>BSGatlas-gene-4547</v>
      </c>
      <c r="B4548" s="1" t="s">
        <v>4166</v>
      </c>
      <c r="C4548" s="1" t="s">
        <v>8</v>
      </c>
      <c r="D4548" s="1">
        <v>4014682</v>
      </c>
      <c r="E4548" s="1">
        <v>4015968</v>
      </c>
      <c r="F4548" s="1" t="s">
        <v>9</v>
      </c>
      <c r="G4548" s="1" t="s">
        <v>11409</v>
      </c>
    </row>
    <row r="4549" spans="1:7" ht="21" x14ac:dyDescent="0.25">
      <c r="A4549" s="2" t="str">
        <f>HYPERLINK("https://rth.dk/resources/bsgatlas/details.php?id=BSGatlas-gene-4548","BSGatlas-gene-4548")</f>
        <v>BSGatlas-gene-4548</v>
      </c>
      <c r="B4549" s="1" t="s">
        <v>4167</v>
      </c>
      <c r="C4549" s="1" t="s">
        <v>8</v>
      </c>
      <c r="D4549" s="1">
        <v>4015987</v>
      </c>
      <c r="E4549" s="1">
        <v>4017426</v>
      </c>
      <c r="F4549" s="1" t="s">
        <v>13</v>
      </c>
      <c r="G4549" s="1" t="s">
        <v>11409</v>
      </c>
    </row>
    <row r="4550" spans="1:7" ht="21" x14ac:dyDescent="0.25">
      <c r="A4550" s="2" t="str">
        <f>HYPERLINK("https://rth.dk/resources/bsgatlas/details.php?id=BSGatlas-gene-4549","BSGatlas-gene-4549")</f>
        <v>BSGatlas-gene-4549</v>
      </c>
      <c r="B4550" s="1" t="s">
        <v>4168</v>
      </c>
      <c r="C4550" s="1" t="s">
        <v>8</v>
      </c>
      <c r="D4550" s="1">
        <v>4017508</v>
      </c>
      <c r="E4550" s="1">
        <v>4018656</v>
      </c>
      <c r="F4550" s="1" t="s">
        <v>13</v>
      </c>
      <c r="G4550" s="1" t="s">
        <v>11409</v>
      </c>
    </row>
    <row r="4551" spans="1:7" ht="21" x14ac:dyDescent="0.25">
      <c r="A4551" s="2" t="str">
        <f>HYPERLINK("https://rth.dk/resources/bsgatlas/details.php?id=BSGatlas-gene-4550","BSGatlas-gene-4550")</f>
        <v>BSGatlas-gene-4550</v>
      </c>
      <c r="B4551" s="1" t="s">
        <v>11733</v>
      </c>
      <c r="C4551" s="1" t="s">
        <v>276</v>
      </c>
      <c r="D4551" s="1">
        <v>4018786</v>
      </c>
      <c r="E4551" s="1">
        <v>4018974</v>
      </c>
      <c r="F4551" s="1" t="s">
        <v>13</v>
      </c>
      <c r="G4551" s="1" t="s">
        <v>11441</v>
      </c>
    </row>
    <row r="4552" spans="1:7" ht="21" x14ac:dyDescent="0.25">
      <c r="A4552" s="2" t="str">
        <f>HYPERLINK("https://rth.dk/resources/bsgatlas/details.php?id=BSGatlas-gene-4551","BSGatlas-gene-4551")</f>
        <v>BSGatlas-gene-4551</v>
      </c>
      <c r="B4552" s="1" t="s">
        <v>11734</v>
      </c>
      <c r="C4552" s="1" t="s">
        <v>8</v>
      </c>
      <c r="D4552" s="1">
        <v>4019005</v>
      </c>
      <c r="E4552" s="1">
        <v>4019136</v>
      </c>
      <c r="F4552" s="1" t="s">
        <v>13</v>
      </c>
      <c r="G4552" s="1" t="s">
        <v>11409</v>
      </c>
    </row>
    <row r="4553" spans="1:7" ht="21" x14ac:dyDescent="0.25">
      <c r="A4553" s="2" t="str">
        <f>HYPERLINK("https://rth.dk/resources/bsgatlas/details.php?id=BSGatlas-gene-4552","BSGatlas-gene-4552")</f>
        <v>BSGatlas-gene-4552</v>
      </c>
      <c r="B4553" s="1" t="s">
        <v>11735</v>
      </c>
      <c r="C4553" s="1" t="s">
        <v>8</v>
      </c>
      <c r="D4553" s="1">
        <v>4019148</v>
      </c>
      <c r="E4553" s="1">
        <v>4019609</v>
      </c>
      <c r="F4553" s="1" t="s">
        <v>13</v>
      </c>
      <c r="G4553" s="1" t="s">
        <v>11409</v>
      </c>
    </row>
    <row r="4554" spans="1:7" ht="21" x14ac:dyDescent="0.25">
      <c r="A4554" s="2" t="str">
        <f>HYPERLINK("https://rth.dk/resources/bsgatlas/details.php?id=BSGatlas-gene-4553","BSGatlas-gene-4553")</f>
        <v>BSGatlas-gene-4553</v>
      </c>
      <c r="B4554" s="1" t="s">
        <v>11736</v>
      </c>
      <c r="C4554" s="1" t="s">
        <v>8</v>
      </c>
      <c r="D4554" s="1">
        <v>4019625</v>
      </c>
      <c r="E4554" s="1">
        <v>4019921</v>
      </c>
      <c r="F4554" s="1" t="s">
        <v>13</v>
      </c>
      <c r="G4554" s="1" t="s">
        <v>11409</v>
      </c>
    </row>
    <row r="4555" spans="1:7" ht="21" x14ac:dyDescent="0.25">
      <c r="A4555" s="2" t="str">
        <f>HYPERLINK("https://rth.dk/resources/bsgatlas/details.php?id=BSGatlas-gene-4554","BSGatlas-gene-4554")</f>
        <v>BSGatlas-gene-4554</v>
      </c>
      <c r="B4555" s="1" t="s">
        <v>11737</v>
      </c>
      <c r="C4555" s="1" t="s">
        <v>8</v>
      </c>
      <c r="D4555" s="1">
        <v>4019949</v>
      </c>
      <c r="E4555" s="1">
        <v>4020437</v>
      </c>
      <c r="F4555" s="1" t="s">
        <v>13</v>
      </c>
      <c r="G4555" s="1" t="s">
        <v>11409</v>
      </c>
    </row>
    <row r="4556" spans="1:7" ht="21" x14ac:dyDescent="0.25">
      <c r="A4556" s="2" t="str">
        <f>HYPERLINK("https://rth.dk/resources/bsgatlas/details.php?id=BSGatlas-gene-4555","BSGatlas-gene-4555")</f>
        <v>BSGatlas-gene-4555</v>
      </c>
      <c r="B4556" s="1" t="s">
        <v>11738</v>
      </c>
      <c r="C4556" s="1" t="s">
        <v>8</v>
      </c>
      <c r="D4556" s="1">
        <v>4020455</v>
      </c>
      <c r="E4556" s="1">
        <v>4020907</v>
      </c>
      <c r="F4556" s="1" t="s">
        <v>13</v>
      </c>
      <c r="G4556" s="1" t="s">
        <v>11409</v>
      </c>
    </row>
    <row r="4557" spans="1:7" ht="21" x14ac:dyDescent="0.25">
      <c r="A4557" s="2" t="str">
        <f>HYPERLINK("https://rth.dk/resources/bsgatlas/details.php?id=BSGatlas-gene-4556","BSGatlas-gene-4556")</f>
        <v>BSGatlas-gene-4556</v>
      </c>
      <c r="B4557" s="1" t="s">
        <v>11739</v>
      </c>
      <c r="C4557" s="1" t="s">
        <v>8</v>
      </c>
      <c r="D4557" s="1">
        <v>4020977</v>
      </c>
      <c r="E4557" s="1">
        <v>4021306</v>
      </c>
      <c r="F4557" s="1" t="s">
        <v>13</v>
      </c>
      <c r="G4557" s="1" t="s">
        <v>11409</v>
      </c>
    </row>
    <row r="4558" spans="1:7" ht="21" x14ac:dyDescent="0.25">
      <c r="A4558" s="2" t="str">
        <f>HYPERLINK("https://rth.dk/resources/bsgatlas/details.php?id=BSGatlas-gene-4557","BSGatlas-gene-4557")</f>
        <v>BSGatlas-gene-4557</v>
      </c>
      <c r="B4558" s="1" t="s">
        <v>11740</v>
      </c>
      <c r="C4558" s="1" t="s">
        <v>8</v>
      </c>
      <c r="D4558" s="1">
        <v>4021429</v>
      </c>
      <c r="E4558" s="1">
        <v>4021845</v>
      </c>
      <c r="F4558" s="1" t="s">
        <v>13</v>
      </c>
      <c r="G4558" s="1" t="s">
        <v>11409</v>
      </c>
    </row>
    <row r="4559" spans="1:7" ht="21" x14ac:dyDescent="0.25">
      <c r="A4559" s="2" t="str">
        <f>HYPERLINK("https://rth.dk/resources/bsgatlas/details.php?id=BSGatlas-gene-4558","BSGatlas-gene-4558")</f>
        <v>BSGatlas-gene-4558</v>
      </c>
      <c r="B4559" s="1" t="s">
        <v>11741</v>
      </c>
      <c r="C4559" s="1" t="s">
        <v>8</v>
      </c>
      <c r="D4559" s="1">
        <v>4021896</v>
      </c>
      <c r="E4559" s="1">
        <v>4022264</v>
      </c>
      <c r="F4559" s="1" t="s">
        <v>13</v>
      </c>
      <c r="G4559" s="1" t="s">
        <v>11409</v>
      </c>
    </row>
    <row r="4560" spans="1:7" ht="21" x14ac:dyDescent="0.25">
      <c r="A4560" s="2" t="str">
        <f>HYPERLINK("https://rth.dk/resources/bsgatlas/details.php?id=BSGatlas-gene-4559","BSGatlas-gene-4559")</f>
        <v>BSGatlas-gene-4559</v>
      </c>
      <c r="B4560" s="1" t="s">
        <v>11742</v>
      </c>
      <c r="C4560" s="1" t="s">
        <v>8</v>
      </c>
      <c r="D4560" s="1">
        <v>4022258</v>
      </c>
      <c r="E4560" s="1">
        <v>4022728</v>
      </c>
      <c r="F4560" s="1" t="s">
        <v>13</v>
      </c>
      <c r="G4560" s="1" t="s">
        <v>11409</v>
      </c>
    </row>
    <row r="4561" spans="1:7" ht="21" x14ac:dyDescent="0.25">
      <c r="A4561" s="2" t="str">
        <f>HYPERLINK("https://rth.dk/resources/bsgatlas/details.php?id=BSGatlas-gene-4560","BSGatlas-gene-4560")</f>
        <v>BSGatlas-gene-4560</v>
      </c>
      <c r="B4561" s="1" t="s">
        <v>4169</v>
      </c>
      <c r="C4561" s="1" t="s">
        <v>8</v>
      </c>
      <c r="D4561" s="1">
        <v>4023054</v>
      </c>
      <c r="E4561" s="1">
        <v>4023482</v>
      </c>
      <c r="F4561" s="1" t="s">
        <v>13</v>
      </c>
      <c r="G4561" s="1" t="s">
        <v>11409</v>
      </c>
    </row>
    <row r="4562" spans="1:7" ht="21" x14ac:dyDescent="0.25">
      <c r="A4562" s="2" t="str">
        <f>HYPERLINK("https://rth.dk/resources/bsgatlas/details.php?id=BSGatlas-gene-4561","BSGatlas-gene-4561")</f>
        <v>BSGatlas-gene-4561</v>
      </c>
      <c r="B4562" s="1" t="s">
        <v>4170</v>
      </c>
      <c r="C4562" s="1" t="s">
        <v>8</v>
      </c>
      <c r="D4562" s="1">
        <v>4023544</v>
      </c>
      <c r="E4562" s="1">
        <v>4030548</v>
      </c>
      <c r="F4562" s="1" t="s">
        <v>13</v>
      </c>
      <c r="G4562" s="1" t="s">
        <v>11409</v>
      </c>
    </row>
    <row r="4563" spans="1:7" ht="21" x14ac:dyDescent="0.25">
      <c r="A4563" s="2" t="str">
        <f>HYPERLINK("https://rth.dk/resources/bsgatlas/details.php?id=BSGatlas-gene-4562","BSGatlas-gene-4562")</f>
        <v>BSGatlas-gene-4562</v>
      </c>
      <c r="B4563" s="1" t="s">
        <v>4171</v>
      </c>
      <c r="C4563" s="1" t="s">
        <v>8</v>
      </c>
      <c r="D4563" s="1">
        <v>4030710</v>
      </c>
      <c r="E4563" s="1">
        <v>4031645</v>
      </c>
      <c r="F4563" s="1" t="s">
        <v>13</v>
      </c>
      <c r="G4563" s="1" t="s">
        <v>11409</v>
      </c>
    </row>
    <row r="4564" spans="1:7" ht="21" x14ac:dyDescent="0.25">
      <c r="A4564" s="2" t="str">
        <f>HYPERLINK("https://rth.dk/resources/bsgatlas/details.php?id=BSGatlas-gene-4563","BSGatlas-gene-4563")</f>
        <v>BSGatlas-gene-4563</v>
      </c>
      <c r="B4564" s="1" t="s">
        <v>4172</v>
      </c>
      <c r="C4564" s="1" t="s">
        <v>8</v>
      </c>
      <c r="D4564" s="1">
        <v>4031797</v>
      </c>
      <c r="E4564" s="1">
        <v>4032243</v>
      </c>
      <c r="F4564" s="1" t="s">
        <v>13</v>
      </c>
      <c r="G4564" s="1" t="s">
        <v>11409</v>
      </c>
    </row>
    <row r="4565" spans="1:7" ht="21" x14ac:dyDescent="0.25">
      <c r="A4565" s="2" t="str">
        <f>HYPERLINK("https://rth.dk/resources/bsgatlas/details.php?id=BSGatlas-gene-4564","BSGatlas-gene-4564")</f>
        <v>BSGatlas-gene-4564</v>
      </c>
      <c r="B4565" s="1" t="s">
        <v>4173</v>
      </c>
      <c r="C4565" s="1" t="s">
        <v>8</v>
      </c>
      <c r="D4565" s="1">
        <v>4032346</v>
      </c>
      <c r="E4565" s="1">
        <v>4033755</v>
      </c>
      <c r="F4565" s="1" t="s">
        <v>13</v>
      </c>
      <c r="G4565" s="1" t="s">
        <v>11409</v>
      </c>
    </row>
    <row r="4566" spans="1:7" ht="21" x14ac:dyDescent="0.25">
      <c r="A4566" s="2" t="str">
        <f>HYPERLINK("https://rth.dk/resources/bsgatlas/details.php?id=BSGatlas-gene-4565","BSGatlas-gene-4565")</f>
        <v>BSGatlas-gene-4565</v>
      </c>
      <c r="B4566" s="1" t="s">
        <v>4174</v>
      </c>
      <c r="C4566" s="1" t="s">
        <v>8</v>
      </c>
      <c r="D4566" s="1">
        <v>4033778</v>
      </c>
      <c r="E4566" s="1">
        <v>4035607</v>
      </c>
      <c r="F4566" s="1" t="s">
        <v>13</v>
      </c>
      <c r="G4566" s="1" t="s">
        <v>11409</v>
      </c>
    </row>
    <row r="4567" spans="1:7" ht="21" x14ac:dyDescent="0.25">
      <c r="A4567" s="2" t="str">
        <f>HYPERLINK("https://rth.dk/resources/bsgatlas/details.php?id=BSGatlas-gene-4566","BSGatlas-gene-4566")</f>
        <v>BSGatlas-gene-4566</v>
      </c>
      <c r="B4567" s="1" t="s">
        <v>4175</v>
      </c>
      <c r="C4567" s="1" t="s">
        <v>34</v>
      </c>
      <c r="D4567" s="1">
        <v>4035708</v>
      </c>
      <c r="E4567" s="1">
        <v>4035816</v>
      </c>
      <c r="F4567" s="1" t="s">
        <v>13</v>
      </c>
      <c r="G4567" s="1" t="s">
        <v>11414</v>
      </c>
    </row>
    <row r="4568" spans="1:7" ht="21" x14ac:dyDescent="0.25">
      <c r="A4568" s="2" t="str">
        <f>HYPERLINK("https://rth.dk/resources/bsgatlas/details.php?id=BSGatlas-gene-4567","BSGatlas-gene-4567")</f>
        <v>BSGatlas-gene-4567</v>
      </c>
      <c r="B4568" s="1" t="s">
        <v>4176</v>
      </c>
      <c r="C4568" s="1" t="s">
        <v>8</v>
      </c>
      <c r="D4568" s="1">
        <v>4035990</v>
      </c>
      <c r="E4568" s="1">
        <v>4036298</v>
      </c>
      <c r="F4568" s="1" t="s">
        <v>13</v>
      </c>
      <c r="G4568" s="1" t="s">
        <v>11409</v>
      </c>
    </row>
    <row r="4569" spans="1:7" ht="21" x14ac:dyDescent="0.25">
      <c r="A4569" s="2" t="str">
        <f>HYPERLINK("https://rth.dk/resources/bsgatlas/details.php?id=BSGatlas-gene-4568","BSGatlas-gene-4568")</f>
        <v>BSGatlas-gene-4568</v>
      </c>
      <c r="B4569" s="1" t="s">
        <v>4177</v>
      </c>
      <c r="C4569" s="1" t="s">
        <v>8</v>
      </c>
      <c r="D4569" s="1">
        <v>4036344</v>
      </c>
      <c r="E4569" s="1">
        <v>4036787</v>
      </c>
      <c r="F4569" s="1" t="s">
        <v>13</v>
      </c>
      <c r="G4569" s="1" t="s">
        <v>11409</v>
      </c>
    </row>
    <row r="4570" spans="1:7" ht="21" x14ac:dyDescent="0.25">
      <c r="A4570" s="2" t="str">
        <f>HYPERLINK("https://rth.dk/resources/bsgatlas/details.php?id=BSGatlas-gene-4569","BSGatlas-gene-4569")</f>
        <v>BSGatlas-gene-4569</v>
      </c>
      <c r="B4570" s="1" t="s">
        <v>4178</v>
      </c>
      <c r="C4570" s="1" t="s">
        <v>8</v>
      </c>
      <c r="D4570" s="1">
        <v>4036784</v>
      </c>
      <c r="E4570" s="1">
        <v>4038493</v>
      </c>
      <c r="F4570" s="1" t="s">
        <v>13</v>
      </c>
      <c r="G4570" s="1" t="s">
        <v>11409</v>
      </c>
    </row>
    <row r="4571" spans="1:7" ht="21" x14ac:dyDescent="0.25">
      <c r="A4571" s="2" t="str">
        <f>HYPERLINK("https://rth.dk/resources/bsgatlas/details.php?id=BSGatlas-gene-4570","BSGatlas-gene-4570")</f>
        <v>BSGatlas-gene-4570</v>
      </c>
      <c r="B4571" s="1" t="s">
        <v>4179</v>
      </c>
      <c r="C4571" s="1" t="s">
        <v>8</v>
      </c>
      <c r="D4571" s="1">
        <v>4038513</v>
      </c>
      <c r="E4571" s="1">
        <v>4038782</v>
      </c>
      <c r="F4571" s="1" t="s">
        <v>13</v>
      </c>
      <c r="G4571" s="1" t="s">
        <v>11409</v>
      </c>
    </row>
    <row r="4572" spans="1:7" ht="21" x14ac:dyDescent="0.25">
      <c r="A4572" s="2" t="str">
        <f>HYPERLINK("https://rth.dk/resources/bsgatlas/details.php?id=BSGatlas-gene-4571","BSGatlas-gene-4571")</f>
        <v>BSGatlas-gene-4571</v>
      </c>
      <c r="B4572" s="1" t="s">
        <v>4180</v>
      </c>
      <c r="C4572" s="1" t="s">
        <v>8</v>
      </c>
      <c r="D4572" s="1">
        <v>4038794</v>
      </c>
      <c r="E4572" s="1">
        <v>4039159</v>
      </c>
      <c r="F4572" s="1" t="s">
        <v>13</v>
      </c>
      <c r="G4572" s="1" t="s">
        <v>11409</v>
      </c>
    </row>
    <row r="4573" spans="1:7" ht="21" x14ac:dyDescent="0.25">
      <c r="A4573" s="2" t="str">
        <f>HYPERLINK("https://rth.dk/resources/bsgatlas/details.php?id=BSGatlas-gene-4572","BSGatlas-gene-4572")</f>
        <v>BSGatlas-gene-4572</v>
      </c>
      <c r="B4573" s="1" t="s">
        <v>4181</v>
      </c>
      <c r="C4573" s="1" t="s">
        <v>8</v>
      </c>
      <c r="D4573" s="1">
        <v>4039466</v>
      </c>
      <c r="E4573" s="1">
        <v>4040875</v>
      </c>
      <c r="F4573" s="1" t="s">
        <v>13</v>
      </c>
      <c r="G4573" s="1" t="s">
        <v>11409</v>
      </c>
    </row>
    <row r="4574" spans="1:7" ht="21" x14ac:dyDescent="0.25">
      <c r="A4574" s="2" t="str">
        <f>HYPERLINK("https://rth.dk/resources/bsgatlas/details.php?id=BSGatlas-gene-4573","BSGatlas-gene-4573")</f>
        <v>BSGatlas-gene-4573</v>
      </c>
      <c r="B4574" s="1" t="s">
        <v>4182</v>
      </c>
      <c r="C4574" s="1" t="s">
        <v>8</v>
      </c>
      <c r="D4574" s="1">
        <v>4041009</v>
      </c>
      <c r="E4574" s="1">
        <v>4041173</v>
      </c>
      <c r="F4574" s="1" t="s">
        <v>13</v>
      </c>
      <c r="G4574" s="1" t="s">
        <v>11409</v>
      </c>
    </row>
    <row r="4575" spans="1:7" ht="21" x14ac:dyDescent="0.25">
      <c r="A4575" s="2" t="str">
        <f>HYPERLINK("https://rth.dk/resources/bsgatlas/details.php?id=BSGatlas-gene-4574","BSGatlas-gene-4574")</f>
        <v>BSGatlas-gene-4574</v>
      </c>
      <c r="B4575" s="1" t="s">
        <v>4183</v>
      </c>
      <c r="C4575" s="1" t="s">
        <v>8</v>
      </c>
      <c r="D4575" s="1">
        <v>4041492</v>
      </c>
      <c r="E4575" s="1">
        <v>4041938</v>
      </c>
      <c r="F4575" s="1" t="s">
        <v>9</v>
      </c>
      <c r="G4575" s="1" t="s">
        <v>11409</v>
      </c>
    </row>
    <row r="4576" spans="1:7" ht="21" x14ac:dyDescent="0.25">
      <c r="A4576" s="2" t="str">
        <f>HYPERLINK("https://rth.dk/resources/bsgatlas/details.php?id=BSGatlas-gene-4575","BSGatlas-gene-4575")</f>
        <v>BSGatlas-gene-4575</v>
      </c>
      <c r="B4576" s="1" t="s">
        <v>4184</v>
      </c>
      <c r="C4576" s="1" t="s">
        <v>8</v>
      </c>
      <c r="D4576" s="1">
        <v>4042051</v>
      </c>
      <c r="E4576" s="1">
        <v>4043577</v>
      </c>
      <c r="F4576" s="1" t="s">
        <v>9</v>
      </c>
      <c r="G4576" s="1" t="s">
        <v>11409</v>
      </c>
    </row>
    <row r="4577" spans="1:7" ht="21" x14ac:dyDescent="0.25">
      <c r="A4577" s="2" t="str">
        <f>HYPERLINK("https://rth.dk/resources/bsgatlas/details.php?id=BSGatlas-gene-4576","BSGatlas-gene-4576")</f>
        <v>BSGatlas-gene-4576</v>
      </c>
      <c r="B4577" s="1" t="s">
        <v>4185</v>
      </c>
      <c r="C4577" s="1" t="s">
        <v>8</v>
      </c>
      <c r="D4577" s="1">
        <v>4043574</v>
      </c>
      <c r="E4577" s="1">
        <v>4045232</v>
      </c>
      <c r="F4577" s="1" t="s">
        <v>9</v>
      </c>
      <c r="G4577" s="1" t="s">
        <v>11409</v>
      </c>
    </row>
    <row r="4578" spans="1:7" ht="21" x14ac:dyDescent="0.25">
      <c r="A4578" s="2" t="str">
        <f>HYPERLINK("https://rth.dk/resources/bsgatlas/details.php?id=BSGatlas-gene-4577","BSGatlas-gene-4577")</f>
        <v>BSGatlas-gene-4577</v>
      </c>
      <c r="B4578" s="1" t="s">
        <v>4186</v>
      </c>
      <c r="C4578" s="1" t="s">
        <v>8</v>
      </c>
      <c r="D4578" s="1">
        <v>4045245</v>
      </c>
      <c r="E4578" s="1">
        <v>4046510</v>
      </c>
      <c r="F4578" s="1" t="s">
        <v>9</v>
      </c>
      <c r="G4578" s="1" t="s">
        <v>11409</v>
      </c>
    </row>
    <row r="4579" spans="1:7" ht="21" x14ac:dyDescent="0.25">
      <c r="A4579" s="2" t="str">
        <f>HYPERLINK("https://rth.dk/resources/bsgatlas/details.php?id=BSGatlas-gene-4578","BSGatlas-gene-4578")</f>
        <v>BSGatlas-gene-4578</v>
      </c>
      <c r="B4579" s="1" t="s">
        <v>4187</v>
      </c>
      <c r="C4579" s="1" t="s">
        <v>8</v>
      </c>
      <c r="D4579" s="1">
        <v>4046503</v>
      </c>
      <c r="E4579" s="1">
        <v>4047462</v>
      </c>
      <c r="F4579" s="1" t="s">
        <v>9</v>
      </c>
      <c r="G4579" s="1" t="s">
        <v>11409</v>
      </c>
    </row>
    <row r="4580" spans="1:7" ht="21" x14ac:dyDescent="0.25">
      <c r="A4580" s="2" t="str">
        <f>HYPERLINK("https://rth.dk/resources/bsgatlas/details.php?id=BSGatlas-gene-4579","BSGatlas-gene-4579")</f>
        <v>BSGatlas-gene-4579</v>
      </c>
      <c r="B4580" s="1" t="s">
        <v>4188</v>
      </c>
      <c r="C4580" s="1" t="s">
        <v>8</v>
      </c>
      <c r="D4580" s="1">
        <v>4047538</v>
      </c>
      <c r="E4580" s="1">
        <v>4048965</v>
      </c>
      <c r="F4580" s="1" t="s">
        <v>9</v>
      </c>
      <c r="G4580" s="1" t="s">
        <v>11409</v>
      </c>
    </row>
    <row r="4581" spans="1:7" ht="21" x14ac:dyDescent="0.25">
      <c r="A4581" s="2" t="str">
        <f>HYPERLINK("https://rth.dk/resources/bsgatlas/details.php?id=BSGatlas-gene-4580","BSGatlas-gene-4580")</f>
        <v>BSGatlas-gene-4580</v>
      </c>
      <c r="B4581" s="1" t="s">
        <v>4189</v>
      </c>
      <c r="C4581" s="1" t="s">
        <v>8</v>
      </c>
      <c r="D4581" s="1">
        <v>4049009</v>
      </c>
      <c r="E4581" s="1">
        <v>4050310</v>
      </c>
      <c r="F4581" s="1" t="s">
        <v>13</v>
      </c>
      <c r="G4581" s="1" t="s">
        <v>11409</v>
      </c>
    </row>
    <row r="4582" spans="1:7" ht="21" x14ac:dyDescent="0.25">
      <c r="A4582" s="2" t="str">
        <f>HYPERLINK("https://rth.dk/resources/bsgatlas/details.php?id=BSGatlas-gene-4581","BSGatlas-gene-4581")</f>
        <v>BSGatlas-gene-4581</v>
      </c>
      <c r="B4582" s="1" t="s">
        <v>4190</v>
      </c>
      <c r="C4582" s="1" t="s">
        <v>8</v>
      </c>
      <c r="D4582" s="1">
        <v>4050340</v>
      </c>
      <c r="E4582" s="1">
        <v>4051521</v>
      </c>
      <c r="F4582" s="1" t="s">
        <v>13</v>
      </c>
      <c r="G4582" s="1" t="s">
        <v>11409</v>
      </c>
    </row>
    <row r="4583" spans="1:7" ht="21" x14ac:dyDescent="0.25">
      <c r="A4583" s="2" t="str">
        <f>HYPERLINK("https://rth.dk/resources/bsgatlas/details.php?id=BSGatlas-gene-4582","BSGatlas-gene-4582")</f>
        <v>BSGatlas-gene-4582</v>
      </c>
      <c r="B4583" s="1" t="s">
        <v>4191</v>
      </c>
      <c r="C4583" s="1" t="s">
        <v>8</v>
      </c>
      <c r="D4583" s="1">
        <v>4051602</v>
      </c>
      <c r="E4583" s="1">
        <v>4052273</v>
      </c>
      <c r="F4583" s="1" t="s">
        <v>13</v>
      </c>
      <c r="G4583" s="1" t="s">
        <v>11409</v>
      </c>
    </row>
    <row r="4584" spans="1:7" ht="21" x14ac:dyDescent="0.25">
      <c r="A4584" s="2" t="str">
        <f>HYPERLINK("https://rth.dk/resources/bsgatlas/details.php?id=BSGatlas-gene-4583","BSGatlas-gene-4583")</f>
        <v>BSGatlas-gene-4583</v>
      </c>
      <c r="B4584" s="1" t="s">
        <v>4192</v>
      </c>
      <c r="C4584" s="1" t="s">
        <v>8</v>
      </c>
      <c r="D4584" s="1">
        <v>4052379</v>
      </c>
      <c r="E4584" s="1">
        <v>4053320</v>
      </c>
      <c r="F4584" s="1" t="s">
        <v>13</v>
      </c>
      <c r="G4584" s="1" t="s">
        <v>11409</v>
      </c>
    </row>
    <row r="4585" spans="1:7" ht="21" x14ac:dyDescent="0.25">
      <c r="A4585" s="2" t="str">
        <f>HYPERLINK("https://rth.dk/resources/bsgatlas/details.php?id=BSGatlas-gene-4584","BSGatlas-gene-4584")</f>
        <v>BSGatlas-gene-4584</v>
      </c>
      <c r="B4585" s="1" t="s">
        <v>4193</v>
      </c>
      <c r="C4585" s="1" t="s">
        <v>8</v>
      </c>
      <c r="D4585" s="1">
        <v>4053454</v>
      </c>
      <c r="E4585" s="1">
        <v>4054281</v>
      </c>
      <c r="F4585" s="1" t="s">
        <v>13</v>
      </c>
      <c r="G4585" s="1" t="s">
        <v>11409</v>
      </c>
    </row>
    <row r="4586" spans="1:7" ht="21" x14ac:dyDescent="0.25">
      <c r="A4586" s="2" t="str">
        <f>HYPERLINK("https://rth.dk/resources/bsgatlas/details.php?id=BSGatlas-gene-4585","BSGatlas-gene-4585")</f>
        <v>BSGatlas-gene-4585</v>
      </c>
      <c r="B4586" s="1" t="s">
        <v>4194</v>
      </c>
      <c r="C4586" s="1" t="s">
        <v>8</v>
      </c>
      <c r="D4586" s="1">
        <v>4054354</v>
      </c>
      <c r="E4586" s="1">
        <v>4055466</v>
      </c>
      <c r="F4586" s="1" t="s">
        <v>13</v>
      </c>
      <c r="G4586" s="1" t="s">
        <v>11409</v>
      </c>
    </row>
    <row r="4587" spans="1:7" ht="21" x14ac:dyDescent="0.25">
      <c r="A4587" s="2" t="str">
        <f>HYPERLINK("https://rth.dk/resources/bsgatlas/details.php?id=BSGatlas-gene-4586","BSGatlas-gene-4586")</f>
        <v>BSGatlas-gene-4586</v>
      </c>
      <c r="B4587" s="1" t="s">
        <v>4195</v>
      </c>
      <c r="C4587" s="1" t="s">
        <v>8</v>
      </c>
      <c r="D4587" s="1">
        <v>4055536</v>
      </c>
      <c r="E4587" s="1">
        <v>4056873</v>
      </c>
      <c r="F4587" s="1" t="s">
        <v>13</v>
      </c>
      <c r="G4587" s="1" t="s">
        <v>11409</v>
      </c>
    </row>
    <row r="4588" spans="1:7" ht="21" x14ac:dyDescent="0.25">
      <c r="A4588" s="2" t="str">
        <f>HYPERLINK("https://rth.dk/resources/bsgatlas/details.php?id=BSGatlas-gene-4587","BSGatlas-gene-4587")</f>
        <v>BSGatlas-gene-4587</v>
      </c>
      <c r="B4588" s="1" t="s">
        <v>4196</v>
      </c>
      <c r="C4588" s="1" t="s">
        <v>8</v>
      </c>
      <c r="D4588" s="1">
        <v>4056870</v>
      </c>
      <c r="E4588" s="1">
        <v>4058012</v>
      </c>
      <c r="F4588" s="1" t="s">
        <v>13</v>
      </c>
      <c r="G4588" s="1" t="s">
        <v>11409</v>
      </c>
    </row>
    <row r="4589" spans="1:7" ht="21" x14ac:dyDescent="0.25">
      <c r="A4589" s="2" t="str">
        <f>HYPERLINK("https://rth.dk/resources/bsgatlas/details.php?id=BSGatlas-gene-4588","BSGatlas-gene-4588")</f>
        <v>BSGatlas-gene-4588</v>
      </c>
      <c r="B4589" s="1" t="s">
        <v>4197</v>
      </c>
      <c r="C4589" s="1" t="s">
        <v>8</v>
      </c>
      <c r="D4589" s="1">
        <v>4058029</v>
      </c>
      <c r="E4589" s="1">
        <v>4058778</v>
      </c>
      <c r="F4589" s="1" t="s">
        <v>13</v>
      </c>
      <c r="G4589" s="1" t="s">
        <v>11409</v>
      </c>
    </row>
    <row r="4590" spans="1:7" ht="21" x14ac:dyDescent="0.25">
      <c r="A4590" s="2" t="str">
        <f>HYPERLINK("https://rth.dk/resources/bsgatlas/details.php?id=BSGatlas-gene-4589","BSGatlas-gene-4589")</f>
        <v>BSGatlas-gene-4589</v>
      </c>
      <c r="B4590" s="1" t="s">
        <v>4198</v>
      </c>
      <c r="C4590" s="1" t="s">
        <v>8</v>
      </c>
      <c r="D4590" s="1">
        <v>4058791</v>
      </c>
      <c r="E4590" s="1">
        <v>4059465</v>
      </c>
      <c r="F4590" s="1" t="s">
        <v>13</v>
      </c>
      <c r="G4590" s="1" t="s">
        <v>11409</v>
      </c>
    </row>
    <row r="4591" spans="1:7" ht="21" x14ac:dyDescent="0.25">
      <c r="A4591" s="2" t="str">
        <f>HYPERLINK("https://rth.dk/resources/bsgatlas/details.php?id=BSGatlas-gene-4590","BSGatlas-gene-4590")</f>
        <v>BSGatlas-gene-4590</v>
      </c>
      <c r="B4591" s="1" t="s">
        <v>4199</v>
      </c>
      <c r="C4591" s="1" t="s">
        <v>8</v>
      </c>
      <c r="D4591" s="1">
        <v>4059488</v>
      </c>
      <c r="E4591" s="1">
        <v>4060282</v>
      </c>
      <c r="F4591" s="1" t="s">
        <v>13</v>
      </c>
      <c r="G4591" s="1" t="s">
        <v>11409</v>
      </c>
    </row>
    <row r="4592" spans="1:7" ht="21" x14ac:dyDescent="0.25">
      <c r="A4592" s="2" t="str">
        <f>HYPERLINK("https://rth.dk/resources/bsgatlas/details.php?id=BSGatlas-gene-4591","BSGatlas-gene-4591")</f>
        <v>BSGatlas-gene-4591</v>
      </c>
      <c r="B4592" s="1" t="s">
        <v>4200</v>
      </c>
      <c r="C4592" s="1" t="s">
        <v>8</v>
      </c>
      <c r="D4592" s="1">
        <v>4060307</v>
      </c>
      <c r="E4592" s="1">
        <v>4060804</v>
      </c>
      <c r="F4592" s="1" t="s">
        <v>13</v>
      </c>
      <c r="G4592" s="1" t="s">
        <v>11409</v>
      </c>
    </row>
    <row r="4593" spans="1:7" ht="21" x14ac:dyDescent="0.25">
      <c r="A4593" s="2" t="str">
        <f>HYPERLINK("https://rth.dk/resources/bsgatlas/details.php?id=BSGatlas-gene-4592","BSGatlas-gene-4592")</f>
        <v>BSGatlas-gene-4592</v>
      </c>
      <c r="B4593" s="1" t="s">
        <v>4201</v>
      </c>
      <c r="C4593" s="1" t="s">
        <v>8</v>
      </c>
      <c r="D4593" s="1">
        <v>4060818</v>
      </c>
      <c r="E4593" s="1">
        <v>4062143</v>
      </c>
      <c r="F4593" s="1" t="s">
        <v>13</v>
      </c>
      <c r="G4593" s="1" t="s">
        <v>11409</v>
      </c>
    </row>
    <row r="4594" spans="1:7" ht="21" x14ac:dyDescent="0.25">
      <c r="A4594" s="2" t="str">
        <f>HYPERLINK("https://rth.dk/resources/bsgatlas/details.php?id=BSGatlas-gene-4593","BSGatlas-gene-4593")</f>
        <v>BSGatlas-gene-4593</v>
      </c>
      <c r="B4594" s="1" t="s">
        <v>4202</v>
      </c>
      <c r="C4594" s="1" t="s">
        <v>8</v>
      </c>
      <c r="D4594" s="1">
        <v>4062329</v>
      </c>
      <c r="E4594" s="1">
        <v>4062556</v>
      </c>
      <c r="F4594" s="1" t="s">
        <v>13</v>
      </c>
      <c r="G4594" s="1" t="s">
        <v>11409</v>
      </c>
    </row>
    <row r="4595" spans="1:7" ht="21" x14ac:dyDescent="0.25">
      <c r="A4595" s="2" t="str">
        <f>HYPERLINK("https://rth.dk/resources/bsgatlas/details.php?id=BSGatlas-gene-4594","BSGatlas-gene-4594")</f>
        <v>BSGatlas-gene-4594</v>
      </c>
      <c r="B4595" s="1" t="s">
        <v>4203</v>
      </c>
      <c r="C4595" s="1" t="s">
        <v>8</v>
      </c>
      <c r="D4595" s="1">
        <v>4062543</v>
      </c>
      <c r="E4595" s="1">
        <v>4063529</v>
      </c>
      <c r="F4595" s="1" t="s">
        <v>13</v>
      </c>
      <c r="G4595" s="1" t="s">
        <v>11409</v>
      </c>
    </row>
    <row r="4596" spans="1:7" ht="21" x14ac:dyDescent="0.25">
      <c r="A4596" s="2" t="str">
        <f>HYPERLINK("https://rth.dk/resources/bsgatlas/details.php?id=BSGatlas-gene-4595","BSGatlas-gene-4595")</f>
        <v>BSGatlas-gene-4595</v>
      </c>
      <c r="B4596" s="1" t="s">
        <v>4204</v>
      </c>
      <c r="C4596" s="1" t="s">
        <v>12</v>
      </c>
      <c r="D4596" s="1">
        <v>4062713</v>
      </c>
      <c r="E4596" s="1">
        <v>4063346</v>
      </c>
      <c r="F4596" s="1" t="s">
        <v>9</v>
      </c>
      <c r="G4596" s="1" t="s">
        <v>11406</v>
      </c>
    </row>
    <row r="4597" spans="1:7" ht="21" x14ac:dyDescent="0.25">
      <c r="A4597" s="2" t="str">
        <f>HYPERLINK("https://rth.dk/resources/bsgatlas/details.php?id=BSGatlas-gene-4596","BSGatlas-gene-4596")</f>
        <v>BSGatlas-gene-4596</v>
      </c>
      <c r="B4597" s="1" t="s">
        <v>4205</v>
      </c>
      <c r="C4597" s="1" t="s">
        <v>8</v>
      </c>
      <c r="D4597" s="1">
        <v>4063684</v>
      </c>
      <c r="E4597" s="1">
        <v>4064496</v>
      </c>
      <c r="F4597" s="1" t="s">
        <v>13</v>
      </c>
      <c r="G4597" s="1" t="s">
        <v>11409</v>
      </c>
    </row>
    <row r="4598" spans="1:7" ht="21" x14ac:dyDescent="0.25">
      <c r="A4598" s="2" t="str">
        <f>HYPERLINK("https://rth.dk/resources/bsgatlas/details.php?id=BSGatlas-gene-4597","BSGatlas-gene-4597")</f>
        <v>BSGatlas-gene-4597</v>
      </c>
      <c r="B4598" s="1" t="s">
        <v>4206</v>
      </c>
      <c r="C4598" s="1" t="s">
        <v>8</v>
      </c>
      <c r="D4598" s="1">
        <v>4064536</v>
      </c>
      <c r="E4598" s="1">
        <v>4065093</v>
      </c>
      <c r="F4598" s="1" t="s">
        <v>13</v>
      </c>
      <c r="G4598" s="1" t="s">
        <v>11409</v>
      </c>
    </row>
    <row r="4599" spans="1:7" ht="21" x14ac:dyDescent="0.25">
      <c r="A4599" s="2" t="str">
        <f>HYPERLINK("https://rth.dk/resources/bsgatlas/details.php?id=BSGatlas-gene-4598","BSGatlas-gene-4598")</f>
        <v>BSGatlas-gene-4598</v>
      </c>
      <c r="B4599" s="1" t="s">
        <v>4207</v>
      </c>
      <c r="C4599" s="1" t="s">
        <v>8</v>
      </c>
      <c r="D4599" s="1">
        <v>4065074</v>
      </c>
      <c r="E4599" s="1">
        <v>4065508</v>
      </c>
      <c r="F4599" s="1" t="s">
        <v>13</v>
      </c>
      <c r="G4599" s="1" t="s">
        <v>11409</v>
      </c>
    </row>
    <row r="4600" spans="1:7" ht="21" x14ac:dyDescent="0.25">
      <c r="A4600" s="2" t="str">
        <f>HYPERLINK("https://rth.dk/resources/bsgatlas/details.php?id=BSGatlas-gene-4599","BSGatlas-gene-4599")</f>
        <v>BSGatlas-gene-4599</v>
      </c>
      <c r="B4600" s="1" t="s">
        <v>4208</v>
      </c>
      <c r="C4600" s="1" t="s">
        <v>8</v>
      </c>
      <c r="D4600" s="1">
        <v>4065597</v>
      </c>
      <c r="E4600" s="1">
        <v>4065962</v>
      </c>
      <c r="F4600" s="1" t="s">
        <v>9</v>
      </c>
      <c r="G4600" s="1" t="s">
        <v>11409</v>
      </c>
    </row>
    <row r="4601" spans="1:7" ht="21" x14ac:dyDescent="0.25">
      <c r="A4601" s="2" t="str">
        <f>HYPERLINK("https://rth.dk/resources/bsgatlas/details.php?id=BSGatlas-gene-4600","BSGatlas-gene-4600")</f>
        <v>BSGatlas-gene-4600</v>
      </c>
      <c r="B4601" s="1" t="s">
        <v>4209</v>
      </c>
      <c r="C4601" s="1" t="s">
        <v>8</v>
      </c>
      <c r="D4601" s="1">
        <v>4066210</v>
      </c>
      <c r="E4601" s="1">
        <v>4066563</v>
      </c>
      <c r="F4601" s="1" t="s">
        <v>9</v>
      </c>
      <c r="G4601" s="1" t="s">
        <v>11409</v>
      </c>
    </row>
    <row r="4602" spans="1:7" ht="21" x14ac:dyDescent="0.25">
      <c r="A4602" s="2" t="str">
        <f>HYPERLINK("https://rth.dk/resources/bsgatlas/details.php?id=BSGatlas-gene-4601","BSGatlas-gene-4601")</f>
        <v>BSGatlas-gene-4601</v>
      </c>
      <c r="B4602" s="1" t="s">
        <v>4210</v>
      </c>
      <c r="C4602" s="1" t="s">
        <v>8</v>
      </c>
      <c r="D4602" s="1">
        <v>4066607</v>
      </c>
      <c r="E4602" s="1">
        <v>4067005</v>
      </c>
      <c r="F4602" s="1" t="s">
        <v>13</v>
      </c>
      <c r="G4602" s="1" t="s">
        <v>11409</v>
      </c>
    </row>
    <row r="4603" spans="1:7" ht="21" x14ac:dyDescent="0.25">
      <c r="A4603" s="2" t="str">
        <f>HYPERLINK("https://rth.dk/resources/bsgatlas/details.php?id=BSGatlas-gene-4602","BSGatlas-gene-4602")</f>
        <v>BSGatlas-gene-4602</v>
      </c>
      <c r="B4603" s="1" t="s">
        <v>4211</v>
      </c>
      <c r="C4603" s="1" t="s">
        <v>8</v>
      </c>
      <c r="D4603" s="1">
        <v>4067183</v>
      </c>
      <c r="E4603" s="1">
        <v>4068148</v>
      </c>
      <c r="F4603" s="1" t="s">
        <v>9</v>
      </c>
      <c r="G4603" s="1" t="s">
        <v>11409</v>
      </c>
    </row>
    <row r="4604" spans="1:7" ht="21" x14ac:dyDescent="0.25">
      <c r="A4604" s="2" t="str">
        <f>HYPERLINK("https://rth.dk/resources/bsgatlas/details.php?id=BSGatlas-gene-4603","BSGatlas-gene-4603")</f>
        <v>BSGatlas-gene-4603</v>
      </c>
      <c r="B4604" s="1" t="s">
        <v>4212</v>
      </c>
      <c r="C4604" s="1" t="s">
        <v>8</v>
      </c>
      <c r="D4604" s="1">
        <v>4068189</v>
      </c>
      <c r="E4604" s="1">
        <v>4068536</v>
      </c>
      <c r="F4604" s="1" t="s">
        <v>13</v>
      </c>
      <c r="G4604" s="1" t="s">
        <v>11409</v>
      </c>
    </row>
    <row r="4605" spans="1:7" ht="21" x14ac:dyDescent="0.25">
      <c r="A4605" s="2" t="str">
        <f>HYPERLINK("https://rth.dk/resources/bsgatlas/details.php?id=BSGatlas-gene-4604","BSGatlas-gene-4604")</f>
        <v>BSGatlas-gene-4604</v>
      </c>
      <c r="B4605" s="1" t="s">
        <v>4213</v>
      </c>
      <c r="C4605" s="1" t="s">
        <v>8</v>
      </c>
      <c r="D4605" s="1">
        <v>4068550</v>
      </c>
      <c r="E4605" s="1">
        <v>4070418</v>
      </c>
      <c r="F4605" s="1" t="s">
        <v>13</v>
      </c>
      <c r="G4605" s="1" t="s">
        <v>11409</v>
      </c>
    </row>
    <row r="4606" spans="1:7" ht="21" x14ac:dyDescent="0.25">
      <c r="A4606" s="2" t="str">
        <f>HYPERLINK("https://rth.dk/resources/bsgatlas/details.php?id=BSGatlas-gene-4605","BSGatlas-gene-4605")</f>
        <v>BSGatlas-gene-4605</v>
      </c>
      <c r="B4606" s="1" t="s">
        <v>4214</v>
      </c>
      <c r="C4606" s="1" t="s">
        <v>8</v>
      </c>
      <c r="D4606" s="1">
        <v>4070393</v>
      </c>
      <c r="E4606" s="1">
        <v>4071166</v>
      </c>
      <c r="F4606" s="1" t="s">
        <v>13</v>
      </c>
      <c r="G4606" s="1" t="s">
        <v>11409</v>
      </c>
    </row>
    <row r="4607" spans="1:7" ht="21" x14ac:dyDescent="0.25">
      <c r="A4607" s="2" t="str">
        <f>HYPERLINK("https://rth.dk/resources/bsgatlas/details.php?id=BSGatlas-gene-4606","BSGatlas-gene-4606")</f>
        <v>BSGatlas-gene-4606</v>
      </c>
      <c r="B4607" s="1" t="s">
        <v>4215</v>
      </c>
      <c r="C4607" s="1" t="s">
        <v>8</v>
      </c>
      <c r="D4607" s="1">
        <v>4071310</v>
      </c>
      <c r="E4607" s="1">
        <v>4072287</v>
      </c>
      <c r="F4607" s="1" t="s">
        <v>13</v>
      </c>
      <c r="G4607" s="1" t="s">
        <v>11409</v>
      </c>
    </row>
    <row r="4608" spans="1:7" ht="21" x14ac:dyDescent="0.25">
      <c r="A4608" s="2" t="str">
        <f>HYPERLINK("https://rth.dk/resources/bsgatlas/details.php?id=BSGatlas-gene-4607","BSGatlas-gene-4607")</f>
        <v>BSGatlas-gene-4607</v>
      </c>
      <c r="B4608" s="1" t="s">
        <v>4216</v>
      </c>
      <c r="C4608" s="1" t="s">
        <v>8</v>
      </c>
      <c r="D4608" s="1">
        <v>4072284</v>
      </c>
      <c r="E4608" s="1">
        <v>4072973</v>
      </c>
      <c r="F4608" s="1" t="s">
        <v>13</v>
      </c>
      <c r="G4608" s="1" t="s">
        <v>11409</v>
      </c>
    </row>
    <row r="4609" spans="1:7" ht="21" x14ac:dyDescent="0.25">
      <c r="A4609" s="2" t="str">
        <f>HYPERLINK("https://rth.dk/resources/bsgatlas/details.php?id=BSGatlas-gene-4608","BSGatlas-gene-4608")</f>
        <v>BSGatlas-gene-4608</v>
      </c>
      <c r="B4609" s="1" t="s">
        <v>4217</v>
      </c>
      <c r="C4609" s="1" t="s">
        <v>8</v>
      </c>
      <c r="D4609" s="1">
        <v>4073081</v>
      </c>
      <c r="E4609" s="1">
        <v>4073953</v>
      </c>
      <c r="F4609" s="1" t="s">
        <v>13</v>
      </c>
      <c r="G4609" s="1" t="s">
        <v>11409</v>
      </c>
    </row>
    <row r="4610" spans="1:7" ht="21" x14ac:dyDescent="0.25">
      <c r="A4610" s="2" t="str">
        <f>HYPERLINK("https://rth.dk/resources/bsgatlas/details.php?id=BSGatlas-gene-4609","BSGatlas-gene-4609")</f>
        <v>BSGatlas-gene-4609</v>
      </c>
      <c r="B4610" s="1" t="s">
        <v>4218</v>
      </c>
      <c r="C4610" s="1" t="s">
        <v>8</v>
      </c>
      <c r="D4610" s="1">
        <v>4073974</v>
      </c>
      <c r="E4610" s="1">
        <v>4074810</v>
      </c>
      <c r="F4610" s="1" t="s">
        <v>13</v>
      </c>
      <c r="G4610" s="1" t="s">
        <v>11409</v>
      </c>
    </row>
    <row r="4611" spans="1:7" ht="21" x14ac:dyDescent="0.25">
      <c r="A4611" s="2" t="str">
        <f>HYPERLINK("https://rth.dk/resources/bsgatlas/details.php?id=BSGatlas-gene-4610","BSGatlas-gene-4610")</f>
        <v>BSGatlas-gene-4610</v>
      </c>
      <c r="B4611" s="1" t="s">
        <v>4219</v>
      </c>
      <c r="C4611" s="1" t="s">
        <v>8</v>
      </c>
      <c r="D4611" s="1">
        <v>4074896</v>
      </c>
      <c r="E4611" s="1">
        <v>4075765</v>
      </c>
      <c r="F4611" s="1" t="s">
        <v>13</v>
      </c>
      <c r="G4611" s="1" t="s">
        <v>11409</v>
      </c>
    </row>
    <row r="4612" spans="1:7" ht="21" x14ac:dyDescent="0.25">
      <c r="A4612" s="2" t="str">
        <f>HYPERLINK("https://rth.dk/resources/bsgatlas/details.php?id=BSGatlas-gene-4611","BSGatlas-gene-4611")</f>
        <v>BSGatlas-gene-4611</v>
      </c>
      <c r="B4612" s="1" t="s">
        <v>4220</v>
      </c>
      <c r="C4612" s="1" t="s">
        <v>8</v>
      </c>
      <c r="D4612" s="1">
        <v>4075785</v>
      </c>
      <c r="E4612" s="1">
        <v>4076819</v>
      </c>
      <c r="F4612" s="1" t="s">
        <v>13</v>
      </c>
      <c r="G4612" s="1" t="s">
        <v>11409</v>
      </c>
    </row>
    <row r="4613" spans="1:7" ht="21" x14ac:dyDescent="0.25">
      <c r="A4613" s="2" t="str">
        <f>HYPERLINK("https://rth.dk/resources/bsgatlas/details.php?id=BSGatlas-gene-4612","BSGatlas-gene-4612")</f>
        <v>BSGatlas-gene-4612</v>
      </c>
      <c r="B4613" s="1" t="s">
        <v>4221</v>
      </c>
      <c r="C4613" s="1" t="s">
        <v>8</v>
      </c>
      <c r="D4613" s="1">
        <v>4076842</v>
      </c>
      <c r="E4613" s="1">
        <v>4078158</v>
      </c>
      <c r="F4613" s="1" t="s">
        <v>13</v>
      </c>
      <c r="G4613" s="1" t="s">
        <v>11409</v>
      </c>
    </row>
    <row r="4614" spans="1:7" ht="21" x14ac:dyDescent="0.25">
      <c r="A4614" s="2" t="str">
        <f>HYPERLINK("https://rth.dk/resources/bsgatlas/details.php?id=BSGatlas-gene-4613","BSGatlas-gene-4613")</f>
        <v>BSGatlas-gene-4613</v>
      </c>
      <c r="B4614" s="1" t="s">
        <v>4222</v>
      </c>
      <c r="C4614" s="1" t="s">
        <v>8</v>
      </c>
      <c r="D4614" s="1">
        <v>4078173</v>
      </c>
      <c r="E4614" s="1">
        <v>4079066</v>
      </c>
      <c r="F4614" s="1" t="s">
        <v>13</v>
      </c>
      <c r="G4614" s="1" t="s">
        <v>11409</v>
      </c>
    </row>
    <row r="4615" spans="1:7" ht="21" x14ac:dyDescent="0.25">
      <c r="A4615" s="2" t="str">
        <f>HYPERLINK("https://rth.dk/resources/bsgatlas/details.php?id=BSGatlas-gene-4614","BSGatlas-gene-4614")</f>
        <v>BSGatlas-gene-4614</v>
      </c>
      <c r="B4615" s="1" t="s">
        <v>4223</v>
      </c>
      <c r="C4615" s="1" t="s">
        <v>8</v>
      </c>
      <c r="D4615" s="1">
        <v>4079083</v>
      </c>
      <c r="E4615" s="1">
        <v>4080996</v>
      </c>
      <c r="F4615" s="1" t="s">
        <v>13</v>
      </c>
      <c r="G4615" s="1" t="s">
        <v>11409</v>
      </c>
    </row>
    <row r="4616" spans="1:7" ht="21" x14ac:dyDescent="0.25">
      <c r="A4616" s="2" t="str">
        <f>HYPERLINK("https://rth.dk/resources/bsgatlas/details.php?id=BSGatlas-gene-4615","BSGatlas-gene-4615")</f>
        <v>BSGatlas-gene-4615</v>
      </c>
      <c r="B4616" s="1" t="s">
        <v>4224</v>
      </c>
      <c r="C4616" s="1" t="s">
        <v>8</v>
      </c>
      <c r="D4616" s="1">
        <v>4081029</v>
      </c>
      <c r="E4616" s="1">
        <v>4082006</v>
      </c>
      <c r="F4616" s="1" t="s">
        <v>13</v>
      </c>
      <c r="G4616" s="1" t="s">
        <v>11409</v>
      </c>
    </row>
    <row r="4617" spans="1:7" ht="21" x14ac:dyDescent="0.25">
      <c r="A4617" s="2" t="str">
        <f>HYPERLINK("https://rth.dk/resources/bsgatlas/details.php?id=BSGatlas-gene-4616","BSGatlas-gene-4616")</f>
        <v>BSGatlas-gene-4616</v>
      </c>
      <c r="B4617" s="1" t="s">
        <v>4225</v>
      </c>
      <c r="C4617" s="1" t="s">
        <v>8</v>
      </c>
      <c r="D4617" s="1">
        <v>4082030</v>
      </c>
      <c r="E4617" s="1">
        <v>4082845</v>
      </c>
      <c r="F4617" s="1" t="s">
        <v>13</v>
      </c>
      <c r="G4617" s="1" t="s">
        <v>11409</v>
      </c>
    </row>
    <row r="4618" spans="1:7" ht="21" x14ac:dyDescent="0.25">
      <c r="A4618" s="2" t="str">
        <f>HYPERLINK("https://rth.dk/resources/bsgatlas/details.php?id=BSGatlas-gene-4617","BSGatlas-gene-4617")</f>
        <v>BSGatlas-gene-4617</v>
      </c>
      <c r="B4618" s="1" t="s">
        <v>4226</v>
      </c>
      <c r="C4618" s="1" t="s">
        <v>8</v>
      </c>
      <c r="D4618" s="1">
        <v>4082920</v>
      </c>
      <c r="E4618" s="1">
        <v>4084383</v>
      </c>
      <c r="F4618" s="1" t="s">
        <v>13</v>
      </c>
      <c r="G4618" s="1" t="s">
        <v>11409</v>
      </c>
    </row>
    <row r="4619" spans="1:7" ht="21" x14ac:dyDescent="0.25">
      <c r="A4619" s="2" t="str">
        <f>HYPERLINK("https://rth.dk/resources/bsgatlas/details.php?id=BSGatlas-gene-4618","BSGatlas-gene-4618")</f>
        <v>BSGatlas-gene-4618</v>
      </c>
      <c r="B4619" s="1" t="s">
        <v>4227</v>
      </c>
      <c r="C4619" s="1" t="s">
        <v>8</v>
      </c>
      <c r="D4619" s="1">
        <v>4084799</v>
      </c>
      <c r="E4619" s="1">
        <v>4085554</v>
      </c>
      <c r="F4619" s="1" t="s">
        <v>9</v>
      </c>
      <c r="G4619" s="1" t="s">
        <v>11409</v>
      </c>
    </row>
    <row r="4620" spans="1:7" ht="21" x14ac:dyDescent="0.25">
      <c r="A4620" s="2" t="str">
        <f>HYPERLINK("https://rth.dk/resources/bsgatlas/details.php?id=BSGatlas-gene-4619","BSGatlas-gene-4619")</f>
        <v>BSGatlas-gene-4619</v>
      </c>
      <c r="B4620" s="1" t="s">
        <v>4228</v>
      </c>
      <c r="C4620" s="1" t="s">
        <v>8</v>
      </c>
      <c r="D4620" s="1">
        <v>4085608</v>
      </c>
      <c r="E4620" s="1">
        <v>4086540</v>
      </c>
      <c r="F4620" s="1" t="s">
        <v>9</v>
      </c>
      <c r="G4620" s="1" t="s">
        <v>11409</v>
      </c>
    </row>
    <row r="4621" spans="1:7" ht="21" x14ac:dyDescent="0.25">
      <c r="A4621" s="2" t="str">
        <f>HYPERLINK("https://rth.dk/resources/bsgatlas/details.php?id=BSGatlas-gene-4620","BSGatlas-gene-4620")</f>
        <v>BSGatlas-gene-4620</v>
      </c>
      <c r="B4621" s="1" t="s">
        <v>4229</v>
      </c>
      <c r="C4621" s="1" t="s">
        <v>8</v>
      </c>
      <c r="D4621" s="1">
        <v>4086802</v>
      </c>
      <c r="E4621" s="1">
        <v>4087452</v>
      </c>
      <c r="F4621" s="1" t="s">
        <v>9</v>
      </c>
      <c r="G4621" s="1" t="s">
        <v>11409</v>
      </c>
    </row>
    <row r="4622" spans="1:7" ht="21" x14ac:dyDescent="0.25">
      <c r="A4622" s="2" t="str">
        <f>HYPERLINK("https://rth.dk/resources/bsgatlas/details.php?id=BSGatlas-gene-4621","BSGatlas-gene-4621")</f>
        <v>BSGatlas-gene-4621</v>
      </c>
      <c r="B4622" s="1" t="s">
        <v>4230</v>
      </c>
      <c r="C4622" s="1" t="s">
        <v>8</v>
      </c>
      <c r="D4622" s="1">
        <v>4087456</v>
      </c>
      <c r="E4622" s="1">
        <v>4087764</v>
      </c>
      <c r="F4622" s="1" t="s">
        <v>9</v>
      </c>
      <c r="G4622" s="1" t="s">
        <v>11409</v>
      </c>
    </row>
    <row r="4623" spans="1:7" ht="21" x14ac:dyDescent="0.25">
      <c r="A4623" s="2" t="str">
        <f>HYPERLINK("https://rth.dk/resources/bsgatlas/details.php?id=BSGatlas-gene-4622","BSGatlas-gene-4622")</f>
        <v>BSGatlas-gene-4622</v>
      </c>
      <c r="B4623" s="1" t="s">
        <v>4231</v>
      </c>
      <c r="C4623" s="1" t="s">
        <v>8</v>
      </c>
      <c r="D4623" s="1">
        <v>4088002</v>
      </c>
      <c r="E4623" s="1">
        <v>4089387</v>
      </c>
      <c r="F4623" s="1" t="s">
        <v>9</v>
      </c>
      <c r="G4623" s="1" t="s">
        <v>11409</v>
      </c>
    </row>
    <row r="4624" spans="1:7" ht="21" x14ac:dyDescent="0.25">
      <c r="A4624" s="2" t="str">
        <f>HYPERLINK("https://rth.dk/resources/bsgatlas/details.php?id=BSGatlas-gene-4623","BSGatlas-gene-4623")</f>
        <v>BSGatlas-gene-4623</v>
      </c>
      <c r="B4624" s="1" t="s">
        <v>4232</v>
      </c>
      <c r="C4624" s="1" t="s">
        <v>8</v>
      </c>
      <c r="D4624" s="1">
        <v>4089429</v>
      </c>
      <c r="E4624" s="1">
        <v>4091309</v>
      </c>
      <c r="F4624" s="1" t="s">
        <v>13</v>
      </c>
      <c r="G4624" s="1" t="s">
        <v>11409</v>
      </c>
    </row>
    <row r="4625" spans="1:7" ht="21" x14ac:dyDescent="0.25">
      <c r="A4625" s="2" t="str">
        <f>HYPERLINK("https://rth.dk/resources/bsgatlas/details.php?id=BSGatlas-gene-4624","BSGatlas-gene-4624")</f>
        <v>BSGatlas-gene-4624</v>
      </c>
      <c r="B4625" s="1" t="s">
        <v>4233</v>
      </c>
      <c r="C4625" s="1" t="s">
        <v>8</v>
      </c>
      <c r="D4625" s="1">
        <v>4091477</v>
      </c>
      <c r="E4625" s="1">
        <v>4091728</v>
      </c>
      <c r="F4625" s="1" t="s">
        <v>13</v>
      </c>
      <c r="G4625" s="1" t="s">
        <v>11409</v>
      </c>
    </row>
    <row r="4626" spans="1:7" ht="21" x14ac:dyDescent="0.25">
      <c r="A4626" s="2" t="str">
        <f>HYPERLINK("https://rth.dk/resources/bsgatlas/details.php?id=BSGatlas-gene-4625","BSGatlas-gene-4625")</f>
        <v>BSGatlas-gene-4625</v>
      </c>
      <c r="B4626" s="1" t="s">
        <v>4234</v>
      </c>
      <c r="C4626" s="1" t="s">
        <v>8</v>
      </c>
      <c r="D4626" s="1">
        <v>4091845</v>
      </c>
      <c r="E4626" s="1">
        <v>4092666</v>
      </c>
      <c r="F4626" s="1" t="s">
        <v>9</v>
      </c>
      <c r="G4626" s="1" t="s">
        <v>11409</v>
      </c>
    </row>
    <row r="4627" spans="1:7" ht="21" x14ac:dyDescent="0.25">
      <c r="A4627" s="2" t="str">
        <f>HYPERLINK("https://rth.dk/resources/bsgatlas/details.php?id=BSGatlas-gene-4626","BSGatlas-gene-4626")</f>
        <v>BSGatlas-gene-4626</v>
      </c>
      <c r="B4627" s="1" t="s">
        <v>4235</v>
      </c>
      <c r="C4627" s="1" t="s">
        <v>8</v>
      </c>
      <c r="D4627" s="1">
        <v>4092695</v>
      </c>
      <c r="E4627" s="1">
        <v>4093837</v>
      </c>
      <c r="F4627" s="1" t="s">
        <v>13</v>
      </c>
      <c r="G4627" s="1" t="s">
        <v>11409</v>
      </c>
    </row>
    <row r="4628" spans="1:7" ht="21" x14ac:dyDescent="0.25">
      <c r="A4628" s="2" t="str">
        <f>HYPERLINK("https://rth.dk/resources/bsgatlas/details.php?id=BSGatlas-gene-4627","BSGatlas-gene-4627")</f>
        <v>BSGatlas-gene-4627</v>
      </c>
      <c r="B4628" s="1" t="s">
        <v>4236</v>
      </c>
      <c r="C4628" s="1" t="s">
        <v>8</v>
      </c>
      <c r="D4628" s="1">
        <v>4093980</v>
      </c>
      <c r="E4628" s="1">
        <v>4095317</v>
      </c>
      <c r="F4628" s="1" t="s">
        <v>9</v>
      </c>
      <c r="G4628" s="1" t="s">
        <v>11409</v>
      </c>
    </row>
    <row r="4629" spans="1:7" ht="21" x14ac:dyDescent="0.25">
      <c r="A4629" s="2" t="str">
        <f>HYPERLINK("https://rth.dk/resources/bsgatlas/details.php?id=BSGatlas-gene-4628","BSGatlas-gene-4628")</f>
        <v>BSGatlas-gene-4628</v>
      </c>
      <c r="B4629" s="1" t="s">
        <v>4237</v>
      </c>
      <c r="C4629" s="1" t="s">
        <v>8</v>
      </c>
      <c r="D4629" s="1">
        <v>4095356</v>
      </c>
      <c r="E4629" s="1">
        <v>4095835</v>
      </c>
      <c r="F4629" s="1" t="s">
        <v>13</v>
      </c>
      <c r="G4629" s="1" t="s">
        <v>11409</v>
      </c>
    </row>
    <row r="4630" spans="1:7" ht="21" x14ac:dyDescent="0.25">
      <c r="A4630" s="2" t="str">
        <f>HYPERLINK("https://rth.dk/resources/bsgatlas/details.php?id=BSGatlas-gene-4629","BSGatlas-gene-4629")</f>
        <v>BSGatlas-gene-4629</v>
      </c>
      <c r="B4630" s="1" t="s">
        <v>4238</v>
      </c>
      <c r="C4630" s="1" t="s">
        <v>8</v>
      </c>
      <c r="D4630" s="1">
        <v>4095915</v>
      </c>
      <c r="E4630" s="1">
        <v>4096907</v>
      </c>
      <c r="F4630" s="1" t="s">
        <v>13</v>
      </c>
      <c r="G4630" s="1" t="s">
        <v>11409</v>
      </c>
    </row>
    <row r="4631" spans="1:7" ht="21" x14ac:dyDescent="0.25">
      <c r="A4631" s="2" t="str">
        <f>HYPERLINK("https://rth.dk/resources/bsgatlas/details.php?id=BSGatlas-gene-4630","BSGatlas-gene-4630")</f>
        <v>BSGatlas-gene-4630</v>
      </c>
      <c r="B4631" s="1" t="s">
        <v>4239</v>
      </c>
      <c r="C4631" s="1" t="s">
        <v>12</v>
      </c>
      <c r="D4631" s="1">
        <v>4096997</v>
      </c>
      <c r="E4631" s="1">
        <v>4097409</v>
      </c>
      <c r="F4631" s="1" t="s">
        <v>9</v>
      </c>
      <c r="G4631" s="1" t="s">
        <v>11455</v>
      </c>
    </row>
    <row r="4632" spans="1:7" ht="21" x14ac:dyDescent="0.25">
      <c r="A4632" s="2" t="str">
        <f>HYPERLINK("https://rth.dk/resources/bsgatlas/details.php?id=BSGatlas-gene-4631","BSGatlas-gene-4631")</f>
        <v>BSGatlas-gene-4631</v>
      </c>
      <c r="B4632" s="1" t="s">
        <v>4240</v>
      </c>
      <c r="C4632" s="1" t="s">
        <v>8</v>
      </c>
      <c r="D4632" s="1">
        <v>4097416</v>
      </c>
      <c r="E4632" s="1">
        <v>4098150</v>
      </c>
      <c r="F4632" s="1" t="s">
        <v>9</v>
      </c>
      <c r="G4632" s="1" t="s">
        <v>11409</v>
      </c>
    </row>
    <row r="4633" spans="1:7" ht="21" x14ac:dyDescent="0.25">
      <c r="A4633" s="2" t="str">
        <f>HYPERLINK("https://rth.dk/resources/bsgatlas/details.php?id=BSGatlas-gene-4632","BSGatlas-gene-4632")</f>
        <v>BSGatlas-gene-4632</v>
      </c>
      <c r="B4633" s="1" t="s">
        <v>4241</v>
      </c>
      <c r="C4633" s="1" t="s">
        <v>8</v>
      </c>
      <c r="D4633" s="1">
        <v>4098150</v>
      </c>
      <c r="E4633" s="1">
        <v>4098419</v>
      </c>
      <c r="F4633" s="1" t="s">
        <v>9</v>
      </c>
      <c r="G4633" s="1" t="s">
        <v>11409</v>
      </c>
    </row>
    <row r="4634" spans="1:7" ht="21" x14ac:dyDescent="0.25">
      <c r="A4634" s="2" t="str">
        <f>HYPERLINK("https://rth.dk/resources/bsgatlas/details.php?id=BSGatlas-gene-4633","BSGatlas-gene-4633")</f>
        <v>BSGatlas-gene-4633</v>
      </c>
      <c r="B4634" s="1" t="s">
        <v>4242</v>
      </c>
      <c r="C4634" s="1" t="s">
        <v>8</v>
      </c>
      <c r="D4634" s="1">
        <v>4098423</v>
      </c>
      <c r="E4634" s="1">
        <v>4098905</v>
      </c>
      <c r="F4634" s="1" t="s">
        <v>9</v>
      </c>
      <c r="G4634" s="1" t="s">
        <v>11409</v>
      </c>
    </row>
    <row r="4635" spans="1:7" ht="21" x14ac:dyDescent="0.25">
      <c r="A4635" s="2" t="str">
        <f>HYPERLINK("https://rth.dk/resources/bsgatlas/details.php?id=BSGatlas-gene-4634","BSGatlas-gene-4634")</f>
        <v>BSGatlas-gene-4634</v>
      </c>
      <c r="B4635" s="1" t="s">
        <v>4243</v>
      </c>
      <c r="C4635" s="1" t="s">
        <v>8</v>
      </c>
      <c r="D4635" s="1">
        <v>4098926</v>
      </c>
      <c r="E4635" s="1">
        <v>4101169</v>
      </c>
      <c r="F4635" s="1" t="s">
        <v>9</v>
      </c>
      <c r="G4635" s="1" t="s">
        <v>11409</v>
      </c>
    </row>
    <row r="4636" spans="1:7" ht="21" x14ac:dyDescent="0.25">
      <c r="A4636" s="2" t="str">
        <f>HYPERLINK("https://rth.dk/resources/bsgatlas/details.php?id=BSGatlas-gene-4635","BSGatlas-gene-4635")</f>
        <v>BSGatlas-gene-4635</v>
      </c>
      <c r="B4636" s="1" t="s">
        <v>4244</v>
      </c>
      <c r="C4636" s="1" t="s">
        <v>8</v>
      </c>
      <c r="D4636" s="1">
        <v>4101166</v>
      </c>
      <c r="E4636" s="1">
        <v>4102365</v>
      </c>
      <c r="F4636" s="1" t="s">
        <v>9</v>
      </c>
      <c r="G4636" s="1" t="s">
        <v>11409</v>
      </c>
    </row>
    <row r="4637" spans="1:7" ht="21" x14ac:dyDescent="0.25">
      <c r="A4637" s="2" t="str">
        <f>HYPERLINK("https://rth.dk/resources/bsgatlas/details.php?id=BSGatlas-gene-4636","BSGatlas-gene-4636")</f>
        <v>BSGatlas-gene-4636</v>
      </c>
      <c r="B4637" s="1" t="s">
        <v>4245</v>
      </c>
      <c r="C4637" s="1" t="s">
        <v>8</v>
      </c>
      <c r="D4637" s="1">
        <v>4102429</v>
      </c>
      <c r="E4637" s="1">
        <v>4103661</v>
      </c>
      <c r="F4637" s="1" t="s">
        <v>13</v>
      </c>
      <c r="G4637" s="1" t="s">
        <v>11409</v>
      </c>
    </row>
    <row r="4638" spans="1:7" ht="21" x14ac:dyDescent="0.25">
      <c r="A4638" s="2" t="str">
        <f>HYPERLINK("https://rth.dk/resources/bsgatlas/details.php?id=BSGatlas-gene-4637","BSGatlas-gene-4637")</f>
        <v>BSGatlas-gene-4637</v>
      </c>
      <c r="B4638" s="1" t="s">
        <v>4246</v>
      </c>
      <c r="C4638" s="1" t="s">
        <v>8</v>
      </c>
      <c r="D4638" s="1">
        <v>4103762</v>
      </c>
      <c r="E4638" s="1">
        <v>4104187</v>
      </c>
      <c r="F4638" s="1" t="s">
        <v>13</v>
      </c>
      <c r="G4638" s="1" t="s">
        <v>11409</v>
      </c>
    </row>
    <row r="4639" spans="1:7" ht="21" x14ac:dyDescent="0.25">
      <c r="A4639" s="2" t="str">
        <f>HYPERLINK("https://rth.dk/resources/bsgatlas/details.php?id=BSGatlas-gene-4638","BSGatlas-gene-4638")</f>
        <v>BSGatlas-gene-4638</v>
      </c>
      <c r="B4639" s="1" t="s">
        <v>4247</v>
      </c>
      <c r="C4639" s="1" t="s">
        <v>8</v>
      </c>
      <c r="D4639" s="1">
        <v>4104444</v>
      </c>
      <c r="E4639" s="1">
        <v>4104899</v>
      </c>
      <c r="F4639" s="1" t="s">
        <v>9</v>
      </c>
      <c r="G4639" s="1" t="s">
        <v>11409</v>
      </c>
    </row>
    <row r="4640" spans="1:7" ht="21" x14ac:dyDescent="0.25">
      <c r="A4640" s="2" t="str">
        <f>HYPERLINK("https://rth.dk/resources/bsgatlas/details.php?id=BSGatlas-gene-4639","BSGatlas-gene-4639")</f>
        <v>BSGatlas-gene-4639</v>
      </c>
      <c r="B4640" s="1" t="s">
        <v>4248</v>
      </c>
      <c r="C4640" s="1" t="s">
        <v>8</v>
      </c>
      <c r="D4640" s="1">
        <v>4104929</v>
      </c>
      <c r="E4640" s="1">
        <v>4106137</v>
      </c>
      <c r="F4640" s="1" t="s">
        <v>13</v>
      </c>
      <c r="G4640" s="1" t="s">
        <v>11409</v>
      </c>
    </row>
    <row r="4641" spans="1:7" ht="21" x14ac:dyDescent="0.25">
      <c r="A4641" s="2" t="str">
        <f>HYPERLINK("https://rth.dk/resources/bsgatlas/details.php?id=BSGatlas-gene-4640","BSGatlas-gene-4640")</f>
        <v>BSGatlas-gene-4640</v>
      </c>
      <c r="B4641" s="1" t="s">
        <v>4249</v>
      </c>
      <c r="C4641" s="1" t="s">
        <v>8</v>
      </c>
      <c r="D4641" s="1">
        <v>4106245</v>
      </c>
      <c r="E4641" s="1">
        <v>4107258</v>
      </c>
      <c r="F4641" s="1" t="s">
        <v>13</v>
      </c>
      <c r="G4641" s="1" t="s">
        <v>11409</v>
      </c>
    </row>
    <row r="4642" spans="1:7" ht="21" x14ac:dyDescent="0.25">
      <c r="A4642" s="2" t="str">
        <f>HYPERLINK("https://rth.dk/resources/bsgatlas/details.php?id=BSGatlas-gene-4641","BSGatlas-gene-4641")</f>
        <v>BSGatlas-gene-4641</v>
      </c>
      <c r="B4642" s="1" t="s">
        <v>4250</v>
      </c>
      <c r="C4642" s="1" t="s">
        <v>8</v>
      </c>
      <c r="D4642" s="1">
        <v>4107352</v>
      </c>
      <c r="E4642" s="1">
        <v>4107927</v>
      </c>
      <c r="F4642" s="1" t="s">
        <v>13</v>
      </c>
      <c r="G4642" s="1" t="s">
        <v>11409</v>
      </c>
    </row>
    <row r="4643" spans="1:7" ht="21" x14ac:dyDescent="0.25">
      <c r="A4643" s="2" t="str">
        <f>HYPERLINK("https://rth.dk/resources/bsgatlas/details.php?id=BSGatlas-gene-4642","BSGatlas-gene-4642")</f>
        <v>BSGatlas-gene-4642</v>
      </c>
      <c r="B4643" s="1" t="s">
        <v>4251</v>
      </c>
      <c r="C4643" s="1" t="s">
        <v>8</v>
      </c>
      <c r="D4643" s="1">
        <v>4108058</v>
      </c>
      <c r="E4643" s="1">
        <v>4109128</v>
      </c>
      <c r="F4643" s="1" t="s">
        <v>9</v>
      </c>
      <c r="G4643" s="1" t="s">
        <v>11409</v>
      </c>
    </row>
    <row r="4644" spans="1:7" ht="21" x14ac:dyDescent="0.25">
      <c r="A4644" s="2" t="str">
        <f>HYPERLINK("https://rth.dk/resources/bsgatlas/details.php?id=BSGatlas-gene-4643","BSGatlas-gene-4643")</f>
        <v>BSGatlas-gene-4643</v>
      </c>
      <c r="B4644" s="1" t="s">
        <v>4252</v>
      </c>
      <c r="C4644" s="1" t="s">
        <v>8</v>
      </c>
      <c r="D4644" s="1">
        <v>4109185</v>
      </c>
      <c r="E4644" s="1">
        <v>4109616</v>
      </c>
      <c r="F4644" s="1" t="s">
        <v>13</v>
      </c>
      <c r="G4644" s="1" t="s">
        <v>11409</v>
      </c>
    </row>
    <row r="4645" spans="1:7" ht="21" x14ac:dyDescent="0.25">
      <c r="A4645" s="2" t="str">
        <f>HYPERLINK("https://rth.dk/resources/bsgatlas/details.php?id=BSGatlas-gene-4644","BSGatlas-gene-4644")</f>
        <v>BSGatlas-gene-4644</v>
      </c>
      <c r="B4645" s="1" t="s">
        <v>4253</v>
      </c>
      <c r="C4645" s="1" t="s">
        <v>8</v>
      </c>
      <c r="D4645" s="1">
        <v>4109843</v>
      </c>
      <c r="E4645" s="1">
        <v>4110247</v>
      </c>
      <c r="F4645" s="1" t="s">
        <v>9</v>
      </c>
      <c r="G4645" s="1" t="s">
        <v>11409</v>
      </c>
    </row>
    <row r="4646" spans="1:7" ht="21" x14ac:dyDescent="0.25">
      <c r="A4646" s="2" t="str">
        <f>HYPERLINK("https://rth.dk/resources/bsgatlas/details.php?id=BSGatlas-gene-4645","BSGatlas-gene-4645")</f>
        <v>BSGatlas-gene-4645</v>
      </c>
      <c r="B4646" s="1" t="s">
        <v>4254</v>
      </c>
      <c r="C4646" s="1" t="s">
        <v>8</v>
      </c>
      <c r="D4646" s="1">
        <v>4110217</v>
      </c>
      <c r="E4646" s="1">
        <v>4110909</v>
      </c>
      <c r="F4646" s="1" t="s">
        <v>9</v>
      </c>
      <c r="G4646" s="1" t="s">
        <v>11409</v>
      </c>
    </row>
    <row r="4647" spans="1:7" ht="21" x14ac:dyDescent="0.25">
      <c r="A4647" s="2" t="str">
        <f>HYPERLINK("https://rth.dk/resources/bsgatlas/details.php?id=BSGatlas-gene-4646","BSGatlas-gene-4646")</f>
        <v>BSGatlas-gene-4646</v>
      </c>
      <c r="B4647" s="1" t="s">
        <v>4255</v>
      </c>
      <c r="C4647" s="1" t="s">
        <v>8</v>
      </c>
      <c r="D4647" s="1">
        <v>4110949</v>
      </c>
      <c r="E4647" s="1">
        <v>4111980</v>
      </c>
      <c r="F4647" s="1" t="s">
        <v>13</v>
      </c>
      <c r="G4647" s="1" t="s">
        <v>11409</v>
      </c>
    </row>
    <row r="4648" spans="1:7" ht="21" x14ac:dyDescent="0.25">
      <c r="A4648" s="2" t="str">
        <f>HYPERLINK("https://rth.dk/resources/bsgatlas/details.php?id=BSGatlas-gene-4647","BSGatlas-gene-4647")</f>
        <v>BSGatlas-gene-4647</v>
      </c>
      <c r="B4648" s="1" t="s">
        <v>4256</v>
      </c>
      <c r="C4648" s="1" t="s">
        <v>8</v>
      </c>
      <c r="D4648" s="1">
        <v>4112073</v>
      </c>
      <c r="E4648" s="1">
        <v>4113221</v>
      </c>
      <c r="F4648" s="1" t="s">
        <v>13</v>
      </c>
      <c r="G4648" s="1" t="s">
        <v>11409</v>
      </c>
    </row>
    <row r="4649" spans="1:7" ht="21" x14ac:dyDescent="0.25">
      <c r="A4649" s="2" t="str">
        <f>HYPERLINK("https://rth.dk/resources/bsgatlas/details.php?id=BSGatlas-gene-4648","BSGatlas-gene-4648")</f>
        <v>BSGatlas-gene-4648</v>
      </c>
      <c r="B4649" s="1" t="s">
        <v>4257</v>
      </c>
      <c r="C4649" s="1" t="s">
        <v>8</v>
      </c>
      <c r="D4649" s="1">
        <v>4113417</v>
      </c>
      <c r="E4649" s="1">
        <v>4114148</v>
      </c>
      <c r="F4649" s="1" t="s">
        <v>9</v>
      </c>
      <c r="G4649" s="1" t="s">
        <v>11409</v>
      </c>
    </row>
    <row r="4650" spans="1:7" ht="21" x14ac:dyDescent="0.25">
      <c r="A4650" s="2" t="str">
        <f>HYPERLINK("https://rth.dk/resources/bsgatlas/details.php?id=BSGatlas-gene-4649","BSGatlas-gene-4649")</f>
        <v>BSGatlas-gene-4649</v>
      </c>
      <c r="B4650" s="1" t="s">
        <v>4258</v>
      </c>
      <c r="C4650" s="1" t="s">
        <v>8</v>
      </c>
      <c r="D4650" s="1">
        <v>4114141</v>
      </c>
      <c r="E4650" s="1">
        <v>4115682</v>
      </c>
      <c r="F4650" s="1" t="s">
        <v>9</v>
      </c>
      <c r="G4650" s="1" t="s">
        <v>11409</v>
      </c>
    </row>
    <row r="4651" spans="1:7" ht="21" x14ac:dyDescent="0.25">
      <c r="A4651" s="2" t="str">
        <f>HYPERLINK("https://rth.dk/resources/bsgatlas/details.php?id=BSGatlas-gene-4650","BSGatlas-gene-4650")</f>
        <v>BSGatlas-gene-4650</v>
      </c>
      <c r="B4651" s="1" t="s">
        <v>4259</v>
      </c>
      <c r="C4651" s="1" t="s">
        <v>8</v>
      </c>
      <c r="D4651" s="1">
        <v>4115711</v>
      </c>
      <c r="E4651" s="1">
        <v>4117057</v>
      </c>
      <c r="F4651" s="1" t="s">
        <v>9</v>
      </c>
      <c r="G4651" s="1" t="s">
        <v>11409</v>
      </c>
    </row>
    <row r="4652" spans="1:7" ht="21" x14ac:dyDescent="0.25">
      <c r="A4652" s="2" t="str">
        <f>HYPERLINK("https://rth.dk/resources/bsgatlas/details.php?id=BSGatlas-gene-4651","BSGatlas-gene-4651")</f>
        <v>BSGatlas-gene-4651</v>
      </c>
      <c r="B4652" s="1" t="s">
        <v>4260</v>
      </c>
      <c r="C4652" s="1" t="s">
        <v>8</v>
      </c>
      <c r="D4652" s="1">
        <v>4117080</v>
      </c>
      <c r="E4652" s="1">
        <v>4118486</v>
      </c>
      <c r="F4652" s="1" t="s">
        <v>9</v>
      </c>
      <c r="G4652" s="1" t="s">
        <v>11409</v>
      </c>
    </row>
    <row r="4653" spans="1:7" ht="21" x14ac:dyDescent="0.25">
      <c r="A4653" s="2" t="str">
        <f>HYPERLINK("https://rth.dk/resources/bsgatlas/details.php?id=BSGatlas-gene-4652","BSGatlas-gene-4652")</f>
        <v>BSGatlas-gene-4652</v>
      </c>
      <c r="B4653" s="1" t="s">
        <v>4261</v>
      </c>
      <c r="C4653" s="1" t="s">
        <v>8</v>
      </c>
      <c r="D4653" s="1">
        <v>4118950</v>
      </c>
      <c r="E4653" s="1">
        <v>4119513</v>
      </c>
      <c r="F4653" s="1" t="s">
        <v>9</v>
      </c>
      <c r="G4653" s="1" t="s">
        <v>11409</v>
      </c>
    </row>
    <row r="4654" spans="1:7" ht="21" x14ac:dyDescent="0.25">
      <c r="A4654" s="2" t="str">
        <f>HYPERLINK("https://rth.dk/resources/bsgatlas/details.php?id=BSGatlas-gene-4653","BSGatlas-gene-4653")</f>
        <v>BSGatlas-gene-4653</v>
      </c>
      <c r="B4654" s="1" t="s">
        <v>4262</v>
      </c>
      <c r="C4654" s="1" t="s">
        <v>8</v>
      </c>
      <c r="D4654" s="1">
        <v>4119527</v>
      </c>
      <c r="E4654" s="1">
        <v>4121056</v>
      </c>
      <c r="F4654" s="1" t="s">
        <v>9</v>
      </c>
      <c r="G4654" s="1" t="s">
        <v>11409</v>
      </c>
    </row>
    <row r="4655" spans="1:7" ht="21" x14ac:dyDescent="0.25">
      <c r="A4655" s="2" t="str">
        <f>HYPERLINK("https://rth.dk/resources/bsgatlas/details.php?id=BSGatlas-gene-4654","BSGatlas-gene-4654")</f>
        <v>BSGatlas-gene-4654</v>
      </c>
      <c r="B4655" s="1" t="s">
        <v>4263</v>
      </c>
      <c r="C4655" s="1" t="s">
        <v>8</v>
      </c>
      <c r="D4655" s="1">
        <v>4121166</v>
      </c>
      <c r="E4655" s="1">
        <v>4122605</v>
      </c>
      <c r="F4655" s="1" t="s">
        <v>13</v>
      </c>
      <c r="G4655" s="1" t="s">
        <v>11409</v>
      </c>
    </row>
    <row r="4656" spans="1:7" ht="21" x14ac:dyDescent="0.25">
      <c r="A4656" s="2" t="str">
        <f>HYPERLINK("https://rth.dk/resources/bsgatlas/details.php?id=BSGatlas-gene-4655","BSGatlas-gene-4655")</f>
        <v>BSGatlas-gene-4655</v>
      </c>
      <c r="B4656" s="1" t="s">
        <v>4264</v>
      </c>
      <c r="C4656" s="1" t="s">
        <v>8</v>
      </c>
      <c r="D4656" s="1">
        <v>4122619</v>
      </c>
      <c r="E4656" s="1">
        <v>4122849</v>
      </c>
      <c r="F4656" s="1" t="s">
        <v>13</v>
      </c>
      <c r="G4656" s="1" t="s">
        <v>11409</v>
      </c>
    </row>
    <row r="4657" spans="1:7" ht="21" x14ac:dyDescent="0.25">
      <c r="A4657" s="2" t="str">
        <f>HYPERLINK("https://rth.dk/resources/bsgatlas/details.php?id=BSGatlas-gene-4656","BSGatlas-gene-4656")</f>
        <v>BSGatlas-gene-4656</v>
      </c>
      <c r="B4657" s="1" t="s">
        <v>4265</v>
      </c>
      <c r="C4657" s="1" t="s">
        <v>12</v>
      </c>
      <c r="D4657" s="1">
        <v>4122960</v>
      </c>
      <c r="E4657" s="1">
        <v>4123062</v>
      </c>
      <c r="F4657" s="1" t="s">
        <v>13</v>
      </c>
      <c r="G4657" s="1" t="s">
        <v>11442</v>
      </c>
    </row>
    <row r="4658" spans="1:7" ht="21" x14ac:dyDescent="0.25">
      <c r="A4658" s="2" t="str">
        <f>HYPERLINK("https://rth.dk/resources/bsgatlas/details.php?id=BSGatlas-gene-4657","BSGatlas-gene-4657")</f>
        <v>BSGatlas-gene-4657</v>
      </c>
      <c r="B4658" s="1" t="s">
        <v>4266</v>
      </c>
      <c r="C4658" s="1" t="s">
        <v>8</v>
      </c>
      <c r="D4658" s="1">
        <v>4123193</v>
      </c>
      <c r="E4658" s="1">
        <v>4123903</v>
      </c>
      <c r="F4658" s="1" t="s">
        <v>9</v>
      </c>
      <c r="G4658" s="1" t="s">
        <v>11409</v>
      </c>
    </row>
    <row r="4659" spans="1:7" ht="21" x14ac:dyDescent="0.25">
      <c r="A4659" s="2" t="str">
        <f>HYPERLINK("https://rth.dk/resources/bsgatlas/details.php?id=BSGatlas-gene-4658","BSGatlas-gene-4658")</f>
        <v>BSGatlas-gene-4658</v>
      </c>
      <c r="B4659" s="1" t="s">
        <v>4267</v>
      </c>
      <c r="C4659" s="1" t="s">
        <v>8</v>
      </c>
      <c r="D4659" s="1">
        <v>4123931</v>
      </c>
      <c r="E4659" s="1">
        <v>4124089</v>
      </c>
      <c r="F4659" s="1" t="s">
        <v>9</v>
      </c>
      <c r="G4659" s="1" t="s">
        <v>11409</v>
      </c>
    </row>
    <row r="4660" spans="1:7" ht="21" x14ac:dyDescent="0.25">
      <c r="A4660" s="2" t="str">
        <f>HYPERLINK("https://rth.dk/resources/bsgatlas/details.php?id=BSGatlas-gene-4659","BSGatlas-gene-4659")</f>
        <v>BSGatlas-gene-4659</v>
      </c>
      <c r="B4660" s="1" t="s">
        <v>4268</v>
      </c>
      <c r="C4660" s="1" t="s">
        <v>8</v>
      </c>
      <c r="D4660" s="1">
        <v>4124220</v>
      </c>
      <c r="E4660" s="1">
        <v>4124942</v>
      </c>
      <c r="F4660" s="1" t="s">
        <v>13</v>
      </c>
      <c r="G4660" s="1" t="s">
        <v>11409</v>
      </c>
    </row>
    <row r="4661" spans="1:7" ht="21" x14ac:dyDescent="0.25">
      <c r="A4661" s="2" t="str">
        <f>HYPERLINK("https://rth.dk/resources/bsgatlas/details.php?id=BSGatlas-gene-4660","BSGatlas-gene-4660")</f>
        <v>BSGatlas-gene-4660</v>
      </c>
      <c r="B4661" s="1" t="s">
        <v>4269</v>
      </c>
      <c r="C4661" s="1" t="s">
        <v>8</v>
      </c>
      <c r="D4661" s="1">
        <v>4124963</v>
      </c>
      <c r="E4661" s="1">
        <v>4125592</v>
      </c>
      <c r="F4661" s="1" t="s">
        <v>13</v>
      </c>
      <c r="G4661" s="1" t="s">
        <v>11409</v>
      </c>
    </row>
    <row r="4662" spans="1:7" ht="21" x14ac:dyDescent="0.25">
      <c r="A4662" s="2" t="str">
        <f>HYPERLINK("https://rth.dk/resources/bsgatlas/details.php?id=BSGatlas-gene-4661","BSGatlas-gene-4661")</f>
        <v>BSGatlas-gene-4661</v>
      </c>
      <c r="B4662" s="1" t="s">
        <v>4270</v>
      </c>
      <c r="C4662" s="1" t="s">
        <v>8</v>
      </c>
      <c r="D4662" s="1">
        <v>4125742</v>
      </c>
      <c r="E4662" s="1">
        <v>4126500</v>
      </c>
      <c r="F4662" s="1" t="s">
        <v>13</v>
      </c>
      <c r="G4662" s="1" t="s">
        <v>11409</v>
      </c>
    </row>
    <row r="4663" spans="1:7" ht="21" x14ac:dyDescent="0.25">
      <c r="A4663" s="2" t="str">
        <f>HYPERLINK("https://rth.dk/resources/bsgatlas/details.php?id=BSGatlas-gene-4662","BSGatlas-gene-4662")</f>
        <v>BSGatlas-gene-4662</v>
      </c>
      <c r="B4663" s="1" t="s">
        <v>4271</v>
      </c>
      <c r="C4663" s="1" t="s">
        <v>8</v>
      </c>
      <c r="D4663" s="1">
        <v>4126481</v>
      </c>
      <c r="E4663" s="1">
        <v>4127440</v>
      </c>
      <c r="F4663" s="1" t="s">
        <v>13</v>
      </c>
      <c r="G4663" s="1" t="s">
        <v>11409</v>
      </c>
    </row>
    <row r="4664" spans="1:7" ht="21" x14ac:dyDescent="0.25">
      <c r="A4664" s="2" t="str">
        <f>HYPERLINK("https://rth.dk/resources/bsgatlas/details.php?id=BSGatlas-gene-4663","BSGatlas-gene-4663")</f>
        <v>BSGatlas-gene-4663</v>
      </c>
      <c r="B4664" s="1" t="s">
        <v>4272</v>
      </c>
      <c r="C4664" s="1" t="s">
        <v>8</v>
      </c>
      <c r="D4664" s="1">
        <v>4127498</v>
      </c>
      <c r="E4664" s="1">
        <v>4127647</v>
      </c>
      <c r="F4664" s="1" t="s">
        <v>13</v>
      </c>
      <c r="G4664" s="1" t="s">
        <v>11409</v>
      </c>
    </row>
    <row r="4665" spans="1:7" ht="21" x14ac:dyDescent="0.25">
      <c r="A4665" s="2" t="str">
        <f>HYPERLINK("https://rth.dk/resources/bsgatlas/details.php?id=BSGatlas-gene-4664","BSGatlas-gene-4664")</f>
        <v>BSGatlas-gene-4664</v>
      </c>
      <c r="B4665" s="1" t="s">
        <v>4273</v>
      </c>
      <c r="C4665" s="1" t="s">
        <v>8</v>
      </c>
      <c r="D4665" s="1">
        <v>4128119</v>
      </c>
      <c r="E4665" s="1">
        <v>4130044</v>
      </c>
      <c r="F4665" s="1" t="s">
        <v>9</v>
      </c>
      <c r="G4665" s="1" t="s">
        <v>11409</v>
      </c>
    </row>
    <row r="4666" spans="1:7" ht="21" x14ac:dyDescent="0.25">
      <c r="A4666" s="2" t="str">
        <f>HYPERLINK("https://rth.dk/resources/bsgatlas/details.php?id=BSGatlas-gene-4665","BSGatlas-gene-4665")</f>
        <v>BSGatlas-gene-4665</v>
      </c>
      <c r="B4666" s="1" t="s">
        <v>4274</v>
      </c>
      <c r="C4666" s="1" t="s">
        <v>8</v>
      </c>
      <c r="D4666" s="1">
        <v>4130578</v>
      </c>
      <c r="E4666" s="1">
        <v>4132338</v>
      </c>
      <c r="F4666" s="1" t="s">
        <v>13</v>
      </c>
      <c r="G4666" s="1" t="s">
        <v>11409</v>
      </c>
    </row>
    <row r="4667" spans="1:7" ht="21" x14ac:dyDescent="0.25">
      <c r="A4667" s="2" t="str">
        <f>HYPERLINK("https://rth.dk/resources/bsgatlas/details.php?id=BSGatlas-gene-4666","BSGatlas-gene-4666")</f>
        <v>BSGatlas-gene-4666</v>
      </c>
      <c r="B4667" s="1" t="s">
        <v>4275</v>
      </c>
      <c r="C4667" s="1" t="s">
        <v>8</v>
      </c>
      <c r="D4667" s="1">
        <v>4132338</v>
      </c>
      <c r="E4667" s="1">
        <v>4132736</v>
      </c>
      <c r="F4667" s="1" t="s">
        <v>13</v>
      </c>
      <c r="G4667" s="1" t="s">
        <v>11409</v>
      </c>
    </row>
    <row r="4668" spans="1:7" ht="21" x14ac:dyDescent="0.25">
      <c r="A4668" s="2" t="str">
        <f>HYPERLINK("https://rth.dk/resources/bsgatlas/details.php?id=BSGatlas-gene-4667","BSGatlas-gene-4667")</f>
        <v>BSGatlas-gene-4667</v>
      </c>
      <c r="B4668" s="1" t="s">
        <v>4276</v>
      </c>
      <c r="C4668" s="1" t="s">
        <v>8</v>
      </c>
      <c r="D4668" s="1">
        <v>4132729</v>
      </c>
      <c r="E4668" s="1">
        <v>4134174</v>
      </c>
      <c r="F4668" s="1" t="s">
        <v>13</v>
      </c>
      <c r="G4668" s="1" t="s">
        <v>11409</v>
      </c>
    </row>
    <row r="4669" spans="1:7" ht="21" x14ac:dyDescent="0.25">
      <c r="A4669" s="2" t="str">
        <f>HYPERLINK("https://rth.dk/resources/bsgatlas/details.php?id=BSGatlas-gene-4668","BSGatlas-gene-4668")</f>
        <v>BSGatlas-gene-4668</v>
      </c>
      <c r="B4669" s="1" t="s">
        <v>4279</v>
      </c>
      <c r="C4669" s="1" t="s">
        <v>12</v>
      </c>
      <c r="D4669" s="1">
        <v>4133453</v>
      </c>
      <c r="E4669" s="1">
        <v>4134502</v>
      </c>
      <c r="F4669" s="1" t="s">
        <v>9</v>
      </c>
      <c r="G4669" s="1" t="s">
        <v>11406</v>
      </c>
    </row>
    <row r="4670" spans="1:7" ht="21" x14ac:dyDescent="0.25">
      <c r="A4670" s="2" t="str">
        <f>HYPERLINK("https://rth.dk/resources/bsgatlas/details.php?id=BSGatlas-gene-4669","BSGatlas-gene-4669")</f>
        <v>BSGatlas-gene-4669</v>
      </c>
      <c r="B4670" s="1" t="s">
        <v>4277</v>
      </c>
      <c r="C4670" s="1" t="s">
        <v>8</v>
      </c>
      <c r="D4670" s="1">
        <v>4134436</v>
      </c>
      <c r="E4670" s="1">
        <v>4134915</v>
      </c>
      <c r="F4670" s="1" t="s">
        <v>13</v>
      </c>
      <c r="G4670" s="1" t="s">
        <v>11409</v>
      </c>
    </row>
    <row r="4671" spans="1:7" ht="21" x14ac:dyDescent="0.25">
      <c r="A4671" s="2" t="str">
        <f>HYPERLINK("https://rth.dk/resources/bsgatlas/details.php?id=BSGatlas-gene-4670","BSGatlas-gene-4670")</f>
        <v>BSGatlas-gene-4670</v>
      </c>
      <c r="B4671" s="1" t="s">
        <v>4278</v>
      </c>
      <c r="C4671" s="1" t="s">
        <v>8</v>
      </c>
      <c r="D4671" s="1">
        <v>4134996</v>
      </c>
      <c r="E4671" s="1">
        <v>4135166</v>
      </c>
      <c r="F4671" s="1" t="s">
        <v>13</v>
      </c>
      <c r="G4671" s="1" t="s">
        <v>11409</v>
      </c>
    </row>
    <row r="4672" spans="1:7" ht="21" x14ac:dyDescent="0.25">
      <c r="A4672" s="2" t="str">
        <f>HYPERLINK("https://rth.dk/resources/bsgatlas/details.php?id=BSGatlas-gene-4671","BSGatlas-gene-4671")</f>
        <v>BSGatlas-gene-4671</v>
      </c>
      <c r="B4672" s="1" t="s">
        <v>4280</v>
      </c>
      <c r="C4672" s="1" t="s">
        <v>8</v>
      </c>
      <c r="D4672" s="1">
        <v>4135351</v>
      </c>
      <c r="E4672" s="1">
        <v>4135764</v>
      </c>
      <c r="F4672" s="1" t="s">
        <v>9</v>
      </c>
      <c r="G4672" s="1" t="s">
        <v>11409</v>
      </c>
    </row>
    <row r="4673" spans="1:7" ht="21" x14ac:dyDescent="0.25">
      <c r="A4673" s="2" t="str">
        <f>HYPERLINK("https://rth.dk/resources/bsgatlas/details.php?id=BSGatlas-gene-4672","BSGatlas-gene-4672")</f>
        <v>BSGatlas-gene-4672</v>
      </c>
      <c r="B4673" s="1" t="s">
        <v>4281</v>
      </c>
      <c r="C4673" s="1" t="s">
        <v>8</v>
      </c>
      <c r="D4673" s="1">
        <v>4135798</v>
      </c>
      <c r="E4673" s="1">
        <v>4137024</v>
      </c>
      <c r="F4673" s="1" t="s">
        <v>13</v>
      </c>
      <c r="G4673" s="1" t="s">
        <v>11409</v>
      </c>
    </row>
    <row r="4674" spans="1:7" ht="21" x14ac:dyDescent="0.25">
      <c r="A4674" s="2" t="str">
        <f>HYPERLINK("https://rth.dk/resources/bsgatlas/details.php?id=BSGatlas-gene-4673","BSGatlas-gene-4673")</f>
        <v>BSGatlas-gene-4673</v>
      </c>
      <c r="B4674" s="1" t="s">
        <v>4282</v>
      </c>
      <c r="C4674" s="1" t="s">
        <v>8</v>
      </c>
      <c r="D4674" s="1">
        <v>4137087</v>
      </c>
      <c r="E4674" s="1">
        <v>4137257</v>
      </c>
      <c r="F4674" s="1" t="s">
        <v>13</v>
      </c>
      <c r="G4674" s="1" t="s">
        <v>11409</v>
      </c>
    </row>
    <row r="4675" spans="1:7" ht="21" x14ac:dyDescent="0.25">
      <c r="A4675" s="2" t="str">
        <f>HYPERLINK("https://rth.dk/resources/bsgatlas/details.php?id=BSGatlas-gene-4674","BSGatlas-gene-4674")</f>
        <v>BSGatlas-gene-4674</v>
      </c>
      <c r="B4675" s="1" t="s">
        <v>4283</v>
      </c>
      <c r="C4675" s="1" t="s">
        <v>8</v>
      </c>
      <c r="D4675" s="1">
        <v>4137362</v>
      </c>
      <c r="E4675" s="1">
        <v>4137610</v>
      </c>
      <c r="F4675" s="1" t="s">
        <v>13</v>
      </c>
      <c r="G4675" s="1" t="s">
        <v>11409</v>
      </c>
    </row>
    <row r="4676" spans="1:7" ht="21" x14ac:dyDescent="0.25">
      <c r="A4676" s="2" t="str">
        <f>HYPERLINK("https://rth.dk/resources/bsgatlas/details.php?id=BSGatlas-gene-4675","BSGatlas-gene-4675")</f>
        <v>BSGatlas-gene-4675</v>
      </c>
      <c r="B4676" s="1" t="s">
        <v>4284</v>
      </c>
      <c r="C4676" s="1" t="s">
        <v>8</v>
      </c>
      <c r="D4676" s="1">
        <v>4137626</v>
      </c>
      <c r="E4676" s="1">
        <v>4138789</v>
      </c>
      <c r="F4676" s="1" t="s">
        <v>13</v>
      </c>
      <c r="G4676" s="1" t="s">
        <v>11409</v>
      </c>
    </row>
    <row r="4677" spans="1:7" ht="21" x14ac:dyDescent="0.25">
      <c r="A4677" s="2" t="str">
        <f>HYPERLINK("https://rth.dk/resources/bsgatlas/details.php?id=BSGatlas-gene-4676","BSGatlas-gene-4676")</f>
        <v>BSGatlas-gene-4676</v>
      </c>
      <c r="B4677" s="1" t="s">
        <v>4285</v>
      </c>
      <c r="C4677" s="1" t="s">
        <v>8</v>
      </c>
      <c r="D4677" s="1">
        <v>4138800</v>
      </c>
      <c r="E4677" s="1">
        <v>4139537</v>
      </c>
      <c r="F4677" s="1" t="s">
        <v>13</v>
      </c>
      <c r="G4677" s="1" t="s">
        <v>11409</v>
      </c>
    </row>
    <row r="4678" spans="1:7" ht="21" x14ac:dyDescent="0.25">
      <c r="A4678" s="2" t="str">
        <f>HYPERLINK("https://rth.dk/resources/bsgatlas/details.php?id=BSGatlas-gene-4677","BSGatlas-gene-4677")</f>
        <v>BSGatlas-gene-4677</v>
      </c>
      <c r="B4678" s="1" t="s">
        <v>4286</v>
      </c>
      <c r="C4678" s="1" t="s">
        <v>8</v>
      </c>
      <c r="D4678" s="1">
        <v>4139679</v>
      </c>
      <c r="E4678" s="1">
        <v>4140149</v>
      </c>
      <c r="F4678" s="1" t="s">
        <v>13</v>
      </c>
      <c r="G4678" s="1" t="s">
        <v>11409</v>
      </c>
    </row>
    <row r="4679" spans="1:7" ht="21" x14ac:dyDescent="0.25">
      <c r="A4679" s="2" t="str">
        <f>HYPERLINK("https://rth.dk/resources/bsgatlas/details.php?id=BSGatlas-gene-4678","BSGatlas-gene-4678")</f>
        <v>BSGatlas-gene-4678</v>
      </c>
      <c r="B4679" s="1" t="s">
        <v>4287</v>
      </c>
      <c r="C4679" s="1" t="s">
        <v>8</v>
      </c>
      <c r="D4679" s="1">
        <v>4140260</v>
      </c>
      <c r="E4679" s="1">
        <v>4141357</v>
      </c>
      <c r="F4679" s="1" t="s">
        <v>9</v>
      </c>
      <c r="G4679" s="1" t="s">
        <v>11409</v>
      </c>
    </row>
    <row r="4680" spans="1:7" ht="21" x14ac:dyDescent="0.25">
      <c r="A4680" s="2" t="str">
        <f>HYPERLINK("https://rth.dk/resources/bsgatlas/details.php?id=BSGatlas-gene-4679","BSGatlas-gene-4679")</f>
        <v>BSGatlas-gene-4679</v>
      </c>
      <c r="B4680" s="1" t="s">
        <v>4288</v>
      </c>
      <c r="C4680" s="1" t="s">
        <v>8</v>
      </c>
      <c r="D4680" s="1">
        <v>4141358</v>
      </c>
      <c r="E4680" s="1">
        <v>4141474</v>
      </c>
      <c r="F4680" s="1" t="s">
        <v>9</v>
      </c>
      <c r="G4680" s="1" t="s">
        <v>11409</v>
      </c>
    </row>
    <row r="4681" spans="1:7" ht="21" x14ac:dyDescent="0.25">
      <c r="A4681" s="2" t="str">
        <f>HYPERLINK("https://rth.dk/resources/bsgatlas/details.php?id=BSGatlas-gene-4680","BSGatlas-gene-4680")</f>
        <v>BSGatlas-gene-4680</v>
      </c>
      <c r="B4681" s="1" t="s">
        <v>4289</v>
      </c>
      <c r="C4681" s="1" t="s">
        <v>8</v>
      </c>
      <c r="D4681" s="1">
        <v>4141711</v>
      </c>
      <c r="E4681" s="1">
        <v>4142601</v>
      </c>
      <c r="F4681" s="1" t="s">
        <v>13</v>
      </c>
      <c r="G4681" s="1" t="s">
        <v>11409</v>
      </c>
    </row>
    <row r="4682" spans="1:7" ht="21" x14ac:dyDescent="0.25">
      <c r="A4682" s="2" t="str">
        <f>HYPERLINK("https://rth.dk/resources/bsgatlas/details.php?id=BSGatlas-gene-4681","BSGatlas-gene-4681")</f>
        <v>BSGatlas-gene-4681</v>
      </c>
      <c r="B4682" s="1" t="s">
        <v>4290</v>
      </c>
      <c r="C4682" s="1" t="s">
        <v>8</v>
      </c>
      <c r="D4682" s="1">
        <v>4142675</v>
      </c>
      <c r="E4682" s="1">
        <v>4144078</v>
      </c>
      <c r="F4682" s="1" t="s">
        <v>13</v>
      </c>
      <c r="G4682" s="1" t="s">
        <v>11409</v>
      </c>
    </row>
    <row r="4683" spans="1:7" ht="21" x14ac:dyDescent="0.25">
      <c r="A4683" s="2" t="str">
        <f>HYPERLINK("https://rth.dk/resources/bsgatlas/details.php?id=BSGatlas-gene-4682","BSGatlas-gene-4682")</f>
        <v>BSGatlas-gene-4682</v>
      </c>
      <c r="B4683" s="1" t="s">
        <v>4291</v>
      </c>
      <c r="C4683" s="1" t="s">
        <v>8</v>
      </c>
      <c r="D4683" s="1">
        <v>4144301</v>
      </c>
      <c r="E4683" s="1">
        <v>4145506</v>
      </c>
      <c r="F4683" s="1" t="s">
        <v>13</v>
      </c>
      <c r="G4683" s="1" t="s">
        <v>11409</v>
      </c>
    </row>
    <row r="4684" spans="1:7" ht="21" x14ac:dyDescent="0.25">
      <c r="A4684" s="2" t="str">
        <f>HYPERLINK("https://rth.dk/resources/bsgatlas/details.php?id=BSGatlas-gene-4683","BSGatlas-gene-4683")</f>
        <v>BSGatlas-gene-4683</v>
      </c>
      <c r="B4684" s="1" t="s">
        <v>4292</v>
      </c>
      <c r="C4684" s="1" t="s">
        <v>8</v>
      </c>
      <c r="D4684" s="1">
        <v>4145747</v>
      </c>
      <c r="E4684" s="1">
        <v>4147132</v>
      </c>
      <c r="F4684" s="1" t="s">
        <v>9</v>
      </c>
      <c r="G4684" s="1" t="s">
        <v>11409</v>
      </c>
    </row>
    <row r="4685" spans="1:7" ht="21" x14ac:dyDescent="0.25">
      <c r="A4685" s="2" t="str">
        <f>HYPERLINK("https://rth.dk/resources/bsgatlas/details.php?id=BSGatlas-gene-4684","BSGatlas-gene-4684")</f>
        <v>BSGatlas-gene-4684</v>
      </c>
      <c r="B4685" s="1" t="s">
        <v>11743</v>
      </c>
      <c r="C4685" s="1" t="s">
        <v>276</v>
      </c>
      <c r="D4685" s="1">
        <v>4147114</v>
      </c>
      <c r="E4685" s="1">
        <v>4147302</v>
      </c>
      <c r="F4685" s="1" t="s">
        <v>13</v>
      </c>
      <c r="G4685" s="1" t="s">
        <v>11441</v>
      </c>
    </row>
    <row r="4686" spans="1:7" ht="21" x14ac:dyDescent="0.25">
      <c r="A4686" s="2" t="str">
        <f>HYPERLINK("https://rth.dk/resources/bsgatlas/details.php?id=BSGatlas-gene-4685","BSGatlas-gene-4685")</f>
        <v>BSGatlas-gene-4685</v>
      </c>
      <c r="B4686" s="1" t="s">
        <v>318</v>
      </c>
      <c r="C4686" s="1" t="s">
        <v>8</v>
      </c>
      <c r="D4686" s="1">
        <v>4147419</v>
      </c>
      <c r="E4686" s="1">
        <v>4147547</v>
      </c>
      <c r="F4686" s="1" t="s">
        <v>13</v>
      </c>
      <c r="G4686" s="1" t="s">
        <v>11441</v>
      </c>
    </row>
    <row r="4687" spans="1:7" ht="21" x14ac:dyDescent="0.25">
      <c r="A4687" s="2" t="str">
        <f>HYPERLINK("https://rth.dk/resources/bsgatlas/details.php?id=BSGatlas-gene-4686","BSGatlas-gene-4686")</f>
        <v>BSGatlas-gene-4686</v>
      </c>
      <c r="B4687" s="1" t="s">
        <v>4293</v>
      </c>
      <c r="C4687" s="1" t="s">
        <v>8</v>
      </c>
      <c r="D4687" s="1">
        <v>4147567</v>
      </c>
      <c r="E4687" s="1">
        <v>4148769</v>
      </c>
      <c r="F4687" s="1" t="s">
        <v>13</v>
      </c>
      <c r="G4687" s="1" t="s">
        <v>11409</v>
      </c>
    </row>
    <row r="4688" spans="1:7" ht="21" x14ac:dyDescent="0.25">
      <c r="A4688" s="2" t="str">
        <f>HYPERLINK("https://rth.dk/resources/bsgatlas/details.php?id=BSGatlas-gene-4687","BSGatlas-gene-4687")</f>
        <v>BSGatlas-gene-4687</v>
      </c>
      <c r="B4688" s="1" t="s">
        <v>4294</v>
      </c>
      <c r="C4688" s="1" t="s">
        <v>8</v>
      </c>
      <c r="D4688" s="1">
        <v>4148851</v>
      </c>
      <c r="E4688" s="1">
        <v>4149645</v>
      </c>
      <c r="F4688" s="1" t="s">
        <v>13</v>
      </c>
      <c r="G4688" s="1" t="s">
        <v>11409</v>
      </c>
    </row>
    <row r="4689" spans="1:7" ht="21" x14ac:dyDescent="0.25">
      <c r="A4689" s="2" t="str">
        <f>HYPERLINK("https://rth.dk/resources/bsgatlas/details.php?id=BSGatlas-gene-4688","BSGatlas-gene-4688")</f>
        <v>BSGatlas-gene-4688</v>
      </c>
      <c r="B4689" s="1" t="s">
        <v>4295</v>
      </c>
      <c r="C4689" s="1" t="s">
        <v>8</v>
      </c>
      <c r="D4689" s="1">
        <v>4149667</v>
      </c>
      <c r="E4689" s="1">
        <v>4150509</v>
      </c>
      <c r="F4689" s="1" t="s">
        <v>13</v>
      </c>
      <c r="G4689" s="1" t="s">
        <v>11409</v>
      </c>
    </row>
    <row r="4690" spans="1:7" ht="21" x14ac:dyDescent="0.25">
      <c r="A4690" s="2" t="str">
        <f>HYPERLINK("https://rth.dk/resources/bsgatlas/details.php?id=BSGatlas-gene-4689","BSGatlas-gene-4689")</f>
        <v>BSGatlas-gene-4689</v>
      </c>
      <c r="B4690" s="1" t="s">
        <v>4296</v>
      </c>
      <c r="C4690" s="1" t="s">
        <v>8</v>
      </c>
      <c r="D4690" s="1">
        <v>4150496</v>
      </c>
      <c r="E4690" s="1">
        <v>4151863</v>
      </c>
      <c r="F4690" s="1" t="s">
        <v>13</v>
      </c>
      <c r="G4690" s="1" t="s">
        <v>11409</v>
      </c>
    </row>
    <row r="4691" spans="1:7" ht="21" x14ac:dyDescent="0.25">
      <c r="A4691" s="2" t="str">
        <f>HYPERLINK("https://rth.dk/resources/bsgatlas/details.php?id=BSGatlas-gene-4690","BSGatlas-gene-4690")</f>
        <v>BSGatlas-gene-4690</v>
      </c>
      <c r="B4691" s="1" t="s">
        <v>4297</v>
      </c>
      <c r="C4691" s="1" t="s">
        <v>8</v>
      </c>
      <c r="D4691" s="1">
        <v>4151853</v>
      </c>
      <c r="E4691" s="1">
        <v>4153688</v>
      </c>
      <c r="F4691" s="1" t="s">
        <v>13</v>
      </c>
      <c r="G4691" s="1" t="s">
        <v>11409</v>
      </c>
    </row>
    <row r="4692" spans="1:7" ht="21" x14ac:dyDescent="0.25">
      <c r="A4692" s="2" t="str">
        <f>HYPERLINK("https://rth.dk/resources/bsgatlas/details.php?id=BSGatlas-gene-4691","BSGatlas-gene-4691")</f>
        <v>BSGatlas-gene-4691</v>
      </c>
      <c r="B4692" s="1" t="s">
        <v>4298</v>
      </c>
      <c r="C4692" s="1" t="s">
        <v>8</v>
      </c>
      <c r="D4692" s="1">
        <v>4153696</v>
      </c>
      <c r="E4692" s="1">
        <v>4154403</v>
      </c>
      <c r="F4692" s="1" t="s">
        <v>13</v>
      </c>
      <c r="G4692" s="1" t="s">
        <v>11409</v>
      </c>
    </row>
    <row r="4693" spans="1:7" ht="21" x14ac:dyDescent="0.25">
      <c r="A4693" s="2" t="str">
        <f>HYPERLINK("https://rth.dk/resources/bsgatlas/details.php?id=BSGatlas-gene-4692","BSGatlas-gene-4692")</f>
        <v>BSGatlas-gene-4692</v>
      </c>
      <c r="B4693" s="1" t="s">
        <v>4299</v>
      </c>
      <c r="C4693" s="1" t="s">
        <v>23</v>
      </c>
      <c r="D4693" s="1">
        <v>4154786</v>
      </c>
      <c r="E4693" s="1">
        <v>4154859</v>
      </c>
      <c r="F4693" s="1" t="s">
        <v>13</v>
      </c>
      <c r="G4693" s="1" t="s">
        <v>11411</v>
      </c>
    </row>
    <row r="4694" spans="1:7" ht="21" x14ac:dyDescent="0.25">
      <c r="A4694" s="2" t="str">
        <f>HYPERLINK("https://rth.dk/resources/bsgatlas/details.php?id=BSGatlas-gene-4693","BSGatlas-gene-4693")</f>
        <v>BSGatlas-gene-4693</v>
      </c>
      <c r="B4694" s="1" t="s">
        <v>11744</v>
      </c>
      <c r="C4694" s="1" t="s">
        <v>23</v>
      </c>
      <c r="D4694" s="1">
        <v>4154895</v>
      </c>
      <c r="E4694" s="1">
        <v>4154971</v>
      </c>
      <c r="F4694" s="1" t="s">
        <v>13</v>
      </c>
      <c r="G4694" s="1" t="s">
        <v>11411</v>
      </c>
    </row>
    <row r="4695" spans="1:7" ht="21" x14ac:dyDescent="0.25">
      <c r="A4695" s="2" t="str">
        <f>HYPERLINK("https://rth.dk/resources/bsgatlas/details.php?id=BSGatlas-gene-4694","BSGatlas-gene-4694")</f>
        <v>BSGatlas-gene-4694</v>
      </c>
      <c r="B4695" s="1" t="s">
        <v>11745</v>
      </c>
      <c r="C4695" s="1" t="s">
        <v>23</v>
      </c>
      <c r="D4695" s="1">
        <v>4155052</v>
      </c>
      <c r="E4695" s="1">
        <v>4155124</v>
      </c>
      <c r="F4695" s="1" t="s">
        <v>13</v>
      </c>
      <c r="G4695" s="1" t="s">
        <v>11411</v>
      </c>
    </row>
    <row r="4696" spans="1:7" ht="21" x14ac:dyDescent="0.25">
      <c r="A4696" s="2" t="str">
        <f>HYPERLINK("https://rth.dk/resources/bsgatlas/details.php?id=BSGatlas-gene-4695","BSGatlas-gene-4695")</f>
        <v>BSGatlas-gene-4695</v>
      </c>
      <c r="B4696" s="1" t="s">
        <v>4300</v>
      </c>
      <c r="C4696" s="1" t="s">
        <v>23</v>
      </c>
      <c r="D4696" s="1">
        <v>4155134</v>
      </c>
      <c r="E4696" s="1">
        <v>4155209</v>
      </c>
      <c r="F4696" s="1" t="s">
        <v>13</v>
      </c>
      <c r="G4696" s="1" t="s">
        <v>11411</v>
      </c>
    </row>
    <row r="4697" spans="1:7" ht="21" x14ac:dyDescent="0.25">
      <c r="A4697" s="2" t="str">
        <f>HYPERLINK("https://rth.dk/resources/bsgatlas/details.php?id=BSGatlas-gene-4696","BSGatlas-gene-4696")</f>
        <v>BSGatlas-gene-4696</v>
      </c>
      <c r="B4697" s="1" t="s">
        <v>4301</v>
      </c>
      <c r="C4697" s="1" t="s">
        <v>8</v>
      </c>
      <c r="D4697" s="1">
        <v>4155433</v>
      </c>
      <c r="E4697" s="1">
        <v>4156725</v>
      </c>
      <c r="F4697" s="1" t="s">
        <v>13</v>
      </c>
      <c r="G4697" s="1" t="s">
        <v>11409</v>
      </c>
    </row>
    <row r="4698" spans="1:7" ht="21" x14ac:dyDescent="0.25">
      <c r="A4698" s="2" t="str">
        <f>HYPERLINK("https://rth.dk/resources/bsgatlas/details.php?id=BSGatlas-gene-4697","BSGatlas-gene-4697")</f>
        <v>BSGatlas-gene-4697</v>
      </c>
      <c r="B4698" s="1" t="s">
        <v>4302</v>
      </c>
      <c r="C4698" s="1" t="s">
        <v>8</v>
      </c>
      <c r="D4698" s="1">
        <v>4156931</v>
      </c>
      <c r="E4698" s="1">
        <v>4157350</v>
      </c>
      <c r="F4698" s="1" t="s">
        <v>13</v>
      </c>
      <c r="G4698" s="1" t="s">
        <v>11409</v>
      </c>
    </row>
    <row r="4699" spans="1:7" ht="21" x14ac:dyDescent="0.25">
      <c r="A4699" s="2" t="str">
        <f>HYPERLINK("https://rth.dk/resources/bsgatlas/details.php?id=BSGatlas-gene-4698","BSGatlas-gene-4698")</f>
        <v>BSGatlas-gene-4698</v>
      </c>
      <c r="B4699" s="1" t="s">
        <v>4303</v>
      </c>
      <c r="C4699" s="1" t="s">
        <v>8</v>
      </c>
      <c r="D4699" s="1">
        <v>4157471</v>
      </c>
      <c r="E4699" s="1">
        <v>4158835</v>
      </c>
      <c r="F4699" s="1" t="s">
        <v>13</v>
      </c>
      <c r="G4699" s="1" t="s">
        <v>11409</v>
      </c>
    </row>
    <row r="4700" spans="1:7" ht="21" x14ac:dyDescent="0.25">
      <c r="A4700" s="2" t="str">
        <f>HYPERLINK("https://rth.dk/resources/bsgatlas/details.php?id=BSGatlas-gene-4699","BSGatlas-gene-4699")</f>
        <v>BSGatlas-gene-4699</v>
      </c>
      <c r="B4700" s="1" t="s">
        <v>4304</v>
      </c>
      <c r="C4700" s="1" t="s">
        <v>8</v>
      </c>
      <c r="D4700" s="1">
        <v>4159005</v>
      </c>
      <c r="E4700" s="1">
        <v>4159205</v>
      </c>
      <c r="F4700" s="1" t="s">
        <v>9</v>
      </c>
      <c r="G4700" s="1" t="s">
        <v>11409</v>
      </c>
    </row>
    <row r="4701" spans="1:7" ht="21" x14ac:dyDescent="0.25">
      <c r="A4701" s="2" t="str">
        <f>HYPERLINK("https://rth.dk/resources/bsgatlas/details.php?id=BSGatlas-gene-4700","BSGatlas-gene-4700")</f>
        <v>BSGatlas-gene-4700</v>
      </c>
      <c r="B4701" s="1" t="s">
        <v>4305</v>
      </c>
      <c r="C4701" s="1" t="s">
        <v>8</v>
      </c>
      <c r="D4701" s="1">
        <v>4159253</v>
      </c>
      <c r="E4701" s="1">
        <v>4159456</v>
      </c>
      <c r="F4701" s="1" t="s">
        <v>13</v>
      </c>
      <c r="G4701" s="1" t="s">
        <v>11409</v>
      </c>
    </row>
    <row r="4702" spans="1:7" ht="21" x14ac:dyDescent="0.25">
      <c r="A4702" s="2" t="str">
        <f>HYPERLINK("https://rth.dk/resources/bsgatlas/details.php?id=BSGatlas-gene-4701","BSGatlas-gene-4701")</f>
        <v>BSGatlas-gene-4701</v>
      </c>
      <c r="B4702" s="1" t="s">
        <v>4306</v>
      </c>
      <c r="C4702" s="1" t="s">
        <v>8</v>
      </c>
      <c r="D4702" s="1">
        <v>4159577</v>
      </c>
      <c r="E4702" s="1">
        <v>4159717</v>
      </c>
      <c r="F4702" s="1" t="s">
        <v>9</v>
      </c>
      <c r="G4702" s="1" t="s">
        <v>11409</v>
      </c>
    </row>
    <row r="4703" spans="1:7" ht="21" x14ac:dyDescent="0.25">
      <c r="A4703" s="2" t="str">
        <f>HYPERLINK("https://rth.dk/resources/bsgatlas/details.php?id=BSGatlas-gene-4702","BSGatlas-gene-4702")</f>
        <v>BSGatlas-gene-4702</v>
      </c>
      <c r="B4703" s="1" t="s">
        <v>4307</v>
      </c>
      <c r="C4703" s="1" t="s">
        <v>8</v>
      </c>
      <c r="D4703" s="1">
        <v>4159790</v>
      </c>
      <c r="E4703" s="1">
        <v>4160998</v>
      </c>
      <c r="F4703" s="1" t="s">
        <v>9</v>
      </c>
      <c r="G4703" s="1" t="s">
        <v>11409</v>
      </c>
    </row>
    <row r="4704" spans="1:7" ht="21" x14ac:dyDescent="0.25">
      <c r="A4704" s="2" t="str">
        <f>HYPERLINK("https://rth.dk/resources/bsgatlas/details.php?id=BSGatlas-gene-4703","BSGatlas-gene-4703")</f>
        <v>BSGatlas-gene-4703</v>
      </c>
      <c r="B4704" s="1" t="s">
        <v>4308</v>
      </c>
      <c r="C4704" s="1" t="s">
        <v>8</v>
      </c>
      <c r="D4704" s="1">
        <v>4161103</v>
      </c>
      <c r="E4704" s="1">
        <v>4163160</v>
      </c>
      <c r="F4704" s="1" t="s">
        <v>9</v>
      </c>
      <c r="G4704" s="1" t="s">
        <v>11409</v>
      </c>
    </row>
    <row r="4705" spans="1:7" ht="21" x14ac:dyDescent="0.25">
      <c r="A4705" s="2" t="str">
        <f>HYPERLINK("https://rth.dk/resources/bsgatlas/details.php?id=BSGatlas-gene-4704","BSGatlas-gene-4704")</f>
        <v>BSGatlas-gene-4704</v>
      </c>
      <c r="B4705" s="1" t="s">
        <v>4309</v>
      </c>
      <c r="C4705" s="1" t="s">
        <v>8</v>
      </c>
      <c r="D4705" s="1">
        <v>4163197</v>
      </c>
      <c r="E4705" s="1">
        <v>4163646</v>
      </c>
      <c r="F4705" s="1" t="s">
        <v>13</v>
      </c>
      <c r="G4705" s="1" t="s">
        <v>11409</v>
      </c>
    </row>
    <row r="4706" spans="1:7" ht="21" x14ac:dyDescent="0.25">
      <c r="A4706" s="2" t="str">
        <f>HYPERLINK("https://rth.dk/resources/bsgatlas/details.php?id=BSGatlas-gene-4705","BSGatlas-gene-4705")</f>
        <v>BSGatlas-gene-4705</v>
      </c>
      <c r="B4706" s="1" t="s">
        <v>4310</v>
      </c>
      <c r="C4706" s="1" t="s">
        <v>8</v>
      </c>
      <c r="D4706" s="1">
        <v>4163643</v>
      </c>
      <c r="E4706" s="1">
        <v>4165622</v>
      </c>
      <c r="F4706" s="1" t="s">
        <v>13</v>
      </c>
      <c r="G4706" s="1" t="s">
        <v>11409</v>
      </c>
    </row>
    <row r="4707" spans="1:7" ht="21" x14ac:dyDescent="0.25">
      <c r="A4707" s="2" t="str">
        <f>HYPERLINK("https://rth.dk/resources/bsgatlas/details.php?id=BSGatlas-gene-4706","BSGatlas-gene-4706")</f>
        <v>BSGatlas-gene-4706</v>
      </c>
      <c r="B4707" s="1" t="s">
        <v>4312</v>
      </c>
      <c r="C4707" s="1" t="s">
        <v>12</v>
      </c>
      <c r="D4707" s="1">
        <v>4164565</v>
      </c>
      <c r="E4707" s="1">
        <v>4165231</v>
      </c>
      <c r="F4707" s="1" t="s">
        <v>9</v>
      </c>
      <c r="G4707" s="1" t="s">
        <v>11406</v>
      </c>
    </row>
    <row r="4708" spans="1:7" ht="21" x14ac:dyDescent="0.25">
      <c r="A4708" s="2" t="str">
        <f>HYPERLINK("https://rth.dk/resources/bsgatlas/details.php?id=BSGatlas-gene-4707","BSGatlas-gene-4707")</f>
        <v>BSGatlas-gene-4707</v>
      </c>
      <c r="B4708" s="1" t="s">
        <v>4311</v>
      </c>
      <c r="C4708" s="1" t="s">
        <v>8</v>
      </c>
      <c r="D4708" s="1">
        <v>4165659</v>
      </c>
      <c r="E4708" s="1">
        <v>4166588</v>
      </c>
      <c r="F4708" s="1" t="s">
        <v>13</v>
      </c>
      <c r="G4708" s="1" t="s">
        <v>11409</v>
      </c>
    </row>
    <row r="4709" spans="1:7" ht="21" x14ac:dyDescent="0.25">
      <c r="A4709" s="2" t="str">
        <f>HYPERLINK("https://rth.dk/resources/bsgatlas/details.php?id=BSGatlas-gene-4708","BSGatlas-gene-4708")</f>
        <v>BSGatlas-gene-4708</v>
      </c>
      <c r="B4709" s="1" t="s">
        <v>522</v>
      </c>
      <c r="C4709" s="1" t="s">
        <v>34</v>
      </c>
      <c r="D4709" s="1">
        <v>4166621</v>
      </c>
      <c r="E4709" s="1">
        <v>4166709</v>
      </c>
      <c r="F4709" s="1" t="s">
        <v>13</v>
      </c>
      <c r="G4709" s="1" t="s">
        <v>11414</v>
      </c>
    </row>
    <row r="4710" spans="1:7" ht="21" x14ac:dyDescent="0.25">
      <c r="A4710" s="2" t="str">
        <f>HYPERLINK("https://rth.dk/resources/bsgatlas/details.php?id=BSGatlas-gene-4709","BSGatlas-gene-4709")</f>
        <v>BSGatlas-gene-4709</v>
      </c>
      <c r="B4710" s="1" t="s">
        <v>4313</v>
      </c>
      <c r="C4710" s="1" t="s">
        <v>8</v>
      </c>
      <c r="D4710" s="1">
        <v>4166815</v>
      </c>
      <c r="E4710" s="1">
        <v>4166964</v>
      </c>
      <c r="F4710" s="1" t="s">
        <v>13</v>
      </c>
      <c r="G4710" s="1" t="s">
        <v>11409</v>
      </c>
    </row>
    <row r="4711" spans="1:7" ht="21" x14ac:dyDescent="0.25">
      <c r="A4711" s="2" t="str">
        <f>HYPERLINK("https://rth.dk/resources/bsgatlas/details.php?id=BSGatlas-gene-4710","BSGatlas-gene-4710")</f>
        <v>BSGatlas-gene-4710</v>
      </c>
      <c r="B4711" s="1" t="s">
        <v>4314</v>
      </c>
      <c r="C4711" s="1" t="s">
        <v>8</v>
      </c>
      <c r="D4711" s="1">
        <v>4167110</v>
      </c>
      <c r="E4711" s="1">
        <v>4167592</v>
      </c>
      <c r="F4711" s="1" t="s">
        <v>9</v>
      </c>
      <c r="G4711" s="1" t="s">
        <v>11409</v>
      </c>
    </row>
    <row r="4712" spans="1:7" ht="21" x14ac:dyDescent="0.25">
      <c r="A4712" s="2" t="str">
        <f>HYPERLINK("https://rth.dk/resources/bsgatlas/details.php?id=BSGatlas-gene-4711","BSGatlas-gene-4711")</f>
        <v>BSGatlas-gene-4711</v>
      </c>
      <c r="B4712" s="1" t="s">
        <v>4315</v>
      </c>
      <c r="C4712" s="1" t="s">
        <v>8</v>
      </c>
      <c r="D4712" s="1">
        <v>4167622</v>
      </c>
      <c r="E4712" s="1">
        <v>4167999</v>
      </c>
      <c r="F4712" s="1" t="s">
        <v>13</v>
      </c>
      <c r="G4712" s="1" t="s">
        <v>11409</v>
      </c>
    </row>
    <row r="4713" spans="1:7" ht="21" x14ac:dyDescent="0.25">
      <c r="A4713" s="2" t="str">
        <f>HYPERLINK("https://rth.dk/resources/bsgatlas/details.php?id=BSGatlas-gene-4712","BSGatlas-gene-4712")</f>
        <v>BSGatlas-gene-4712</v>
      </c>
      <c r="B4713" s="1" t="s">
        <v>4316</v>
      </c>
      <c r="C4713" s="1" t="s">
        <v>8</v>
      </c>
      <c r="D4713" s="1">
        <v>4168204</v>
      </c>
      <c r="E4713" s="1">
        <v>4169133</v>
      </c>
      <c r="F4713" s="1" t="s">
        <v>9</v>
      </c>
      <c r="G4713" s="1" t="s">
        <v>11409</v>
      </c>
    </row>
    <row r="4714" spans="1:7" ht="21" x14ac:dyDescent="0.25">
      <c r="A4714" s="2" t="str">
        <f>HYPERLINK("https://rth.dk/resources/bsgatlas/details.php?id=BSGatlas-gene-4713","BSGatlas-gene-4713")</f>
        <v>BSGatlas-gene-4713</v>
      </c>
      <c r="B4714" s="1" t="s">
        <v>4317</v>
      </c>
      <c r="C4714" s="1" t="s">
        <v>8</v>
      </c>
      <c r="D4714" s="1">
        <v>4169166</v>
      </c>
      <c r="E4714" s="1">
        <v>4169612</v>
      </c>
      <c r="F4714" s="1" t="s">
        <v>13</v>
      </c>
      <c r="G4714" s="1" t="s">
        <v>11409</v>
      </c>
    </row>
    <row r="4715" spans="1:7" ht="21" x14ac:dyDescent="0.25">
      <c r="A4715" s="2" t="str">
        <f>HYPERLINK("https://rth.dk/resources/bsgatlas/details.php?id=BSGatlas-gene-4714","BSGatlas-gene-4714")</f>
        <v>BSGatlas-gene-4714</v>
      </c>
      <c r="B4715" s="1" t="s">
        <v>11746</v>
      </c>
      <c r="C4715" s="1" t="s">
        <v>34</v>
      </c>
      <c r="D4715" s="1">
        <v>4169802</v>
      </c>
      <c r="E4715" s="1">
        <v>4169919</v>
      </c>
      <c r="F4715" s="1" t="s">
        <v>13</v>
      </c>
      <c r="G4715" s="1" t="s">
        <v>11712</v>
      </c>
    </row>
    <row r="4716" spans="1:7" ht="21" x14ac:dyDescent="0.25">
      <c r="A4716" s="2" t="str">
        <f>HYPERLINK("https://rth.dk/resources/bsgatlas/details.php?id=BSGatlas-gene-4715","BSGatlas-gene-4715")</f>
        <v>BSGatlas-gene-4715</v>
      </c>
      <c r="B4716" s="1" t="s">
        <v>4318</v>
      </c>
      <c r="C4716" s="1" t="s">
        <v>8</v>
      </c>
      <c r="D4716" s="1">
        <v>4170045</v>
      </c>
      <c r="E4716" s="1">
        <v>4171352</v>
      </c>
      <c r="F4716" s="1" t="s">
        <v>9</v>
      </c>
      <c r="G4716" s="1" t="s">
        <v>11409</v>
      </c>
    </row>
    <row r="4717" spans="1:7" ht="21" x14ac:dyDescent="0.25">
      <c r="A4717" s="2" t="str">
        <f>HYPERLINK("https://rth.dk/resources/bsgatlas/details.php?id=BSGatlas-gene-4716","BSGatlas-gene-4716")</f>
        <v>BSGatlas-gene-4716</v>
      </c>
      <c r="B4717" s="1" t="s">
        <v>4319</v>
      </c>
      <c r="C4717" s="1" t="s">
        <v>276</v>
      </c>
      <c r="D4717" s="1">
        <v>4171396</v>
      </c>
      <c r="E4717" s="1">
        <v>4171635</v>
      </c>
      <c r="F4717" s="1" t="s">
        <v>13</v>
      </c>
      <c r="G4717" s="1" t="s">
        <v>11441</v>
      </c>
    </row>
    <row r="4718" spans="1:7" ht="21" x14ac:dyDescent="0.25">
      <c r="A4718" s="2" t="str">
        <f>HYPERLINK("https://rth.dk/resources/bsgatlas/details.php?id=BSGatlas-gene-4717","BSGatlas-gene-4717")</f>
        <v>BSGatlas-gene-4717</v>
      </c>
      <c r="B4718" s="1" t="s">
        <v>11747</v>
      </c>
      <c r="C4718" s="1" t="s">
        <v>276</v>
      </c>
      <c r="D4718" s="1">
        <v>4171625</v>
      </c>
      <c r="E4718" s="1">
        <v>4171789</v>
      </c>
      <c r="F4718" s="1" t="s">
        <v>13</v>
      </c>
      <c r="G4718" s="1" t="s">
        <v>11441</v>
      </c>
    </row>
    <row r="4719" spans="1:7" ht="21" x14ac:dyDescent="0.25">
      <c r="A4719" s="2" t="str">
        <f>HYPERLINK("https://rth.dk/resources/bsgatlas/details.php?id=BSGatlas-gene-4718","BSGatlas-gene-4718")</f>
        <v>BSGatlas-gene-4718</v>
      </c>
      <c r="B4719" s="1" t="s">
        <v>318</v>
      </c>
      <c r="C4719" s="1" t="s">
        <v>8</v>
      </c>
      <c r="D4719" s="1">
        <v>4171801</v>
      </c>
      <c r="E4719" s="1">
        <v>4171986</v>
      </c>
      <c r="F4719" s="1" t="s">
        <v>13</v>
      </c>
      <c r="G4719" s="1" t="s">
        <v>11441</v>
      </c>
    </row>
    <row r="4720" spans="1:7" ht="21" x14ac:dyDescent="0.25">
      <c r="A4720" s="2" t="str">
        <f>HYPERLINK("https://rth.dk/resources/bsgatlas/details.php?id=BSGatlas-gene-4719","BSGatlas-gene-4719")</f>
        <v>BSGatlas-gene-4719</v>
      </c>
      <c r="B4720" s="1" t="s">
        <v>11748</v>
      </c>
      <c r="C4720" s="1" t="s">
        <v>276</v>
      </c>
      <c r="D4720" s="1">
        <v>4172259</v>
      </c>
      <c r="E4720" s="1">
        <v>4172405</v>
      </c>
      <c r="F4720" s="1" t="s">
        <v>13</v>
      </c>
      <c r="G4720" s="1" t="s">
        <v>11441</v>
      </c>
    </row>
    <row r="4721" spans="1:7" ht="21" x14ac:dyDescent="0.25">
      <c r="A4721" s="2" t="str">
        <f>HYPERLINK("https://rth.dk/resources/bsgatlas/details.php?id=BSGatlas-gene-4720","BSGatlas-gene-4720")</f>
        <v>BSGatlas-gene-4720</v>
      </c>
      <c r="B4721" s="1" t="s">
        <v>4320</v>
      </c>
      <c r="C4721" s="1" t="s">
        <v>276</v>
      </c>
      <c r="D4721" s="1">
        <v>4172387</v>
      </c>
      <c r="E4721" s="1">
        <v>4172536</v>
      </c>
      <c r="F4721" s="1" t="s">
        <v>13</v>
      </c>
      <c r="G4721" s="1" t="s">
        <v>11441</v>
      </c>
    </row>
    <row r="4722" spans="1:7" ht="21" x14ac:dyDescent="0.25">
      <c r="A4722" s="2" t="str">
        <f>HYPERLINK("https://rth.dk/resources/bsgatlas/details.php?id=BSGatlas-gene-4721","BSGatlas-gene-4721")</f>
        <v>BSGatlas-gene-4721</v>
      </c>
      <c r="B4722" s="1" t="s">
        <v>4321</v>
      </c>
      <c r="C4722" s="1" t="s">
        <v>8</v>
      </c>
      <c r="D4722" s="1">
        <v>4173114</v>
      </c>
      <c r="E4722" s="1">
        <v>4173551</v>
      </c>
      <c r="F4722" s="1" t="s">
        <v>9</v>
      </c>
      <c r="G4722" s="1" t="s">
        <v>11409</v>
      </c>
    </row>
    <row r="4723" spans="1:7" ht="21" x14ac:dyDescent="0.25">
      <c r="A4723" s="2" t="str">
        <f>HYPERLINK("https://rth.dk/resources/bsgatlas/details.php?id=BSGatlas-gene-4722","BSGatlas-gene-4722")</f>
        <v>BSGatlas-gene-4722</v>
      </c>
      <c r="B4723" s="1" t="s">
        <v>4322</v>
      </c>
      <c r="C4723" s="1" t="s">
        <v>8</v>
      </c>
      <c r="D4723" s="1">
        <v>4173665</v>
      </c>
      <c r="E4723" s="1">
        <v>4174420</v>
      </c>
      <c r="F4723" s="1" t="s">
        <v>9</v>
      </c>
      <c r="G4723" s="1" t="s">
        <v>11409</v>
      </c>
    </row>
    <row r="4724" spans="1:7" ht="21" x14ac:dyDescent="0.25">
      <c r="A4724" s="2" t="str">
        <f>HYPERLINK("https://rth.dk/resources/bsgatlas/details.php?id=BSGatlas-gene-4723","BSGatlas-gene-4723")</f>
        <v>BSGatlas-gene-4723</v>
      </c>
      <c r="B4724" s="1" t="s">
        <v>4323</v>
      </c>
      <c r="C4724" s="1" t="s">
        <v>8</v>
      </c>
      <c r="D4724" s="1">
        <v>4174410</v>
      </c>
      <c r="E4724" s="1">
        <v>4175120</v>
      </c>
      <c r="F4724" s="1" t="s">
        <v>9</v>
      </c>
      <c r="G4724" s="1" t="s">
        <v>11409</v>
      </c>
    </row>
    <row r="4725" spans="1:7" ht="21" x14ac:dyDescent="0.25">
      <c r="A4725" s="2" t="str">
        <f>HYPERLINK("https://rth.dk/resources/bsgatlas/details.php?id=BSGatlas-gene-4724","BSGatlas-gene-4724")</f>
        <v>BSGatlas-gene-4724</v>
      </c>
      <c r="B4725" s="1" t="s">
        <v>4324</v>
      </c>
      <c r="C4725" s="1" t="s">
        <v>8</v>
      </c>
      <c r="D4725" s="1">
        <v>4175117</v>
      </c>
      <c r="E4725" s="1">
        <v>4175872</v>
      </c>
      <c r="F4725" s="1" t="s">
        <v>9</v>
      </c>
      <c r="G4725" s="1" t="s">
        <v>11409</v>
      </c>
    </row>
    <row r="4726" spans="1:7" ht="21" x14ac:dyDescent="0.25">
      <c r="A4726" s="2" t="str">
        <f>HYPERLINK("https://rth.dk/resources/bsgatlas/details.php?id=BSGatlas-gene-4725","BSGatlas-gene-4725")</f>
        <v>BSGatlas-gene-4725</v>
      </c>
      <c r="B4726" s="1" t="s">
        <v>4325</v>
      </c>
      <c r="C4726" s="1" t="s">
        <v>8</v>
      </c>
      <c r="D4726" s="1">
        <v>4175869</v>
      </c>
      <c r="E4726" s="1">
        <v>4176525</v>
      </c>
      <c r="F4726" s="1" t="s">
        <v>9</v>
      </c>
      <c r="G4726" s="1" t="s">
        <v>11409</v>
      </c>
    </row>
    <row r="4727" spans="1:7" ht="21" x14ac:dyDescent="0.25">
      <c r="A4727" s="2" t="str">
        <f>HYPERLINK("https://rth.dk/resources/bsgatlas/details.php?id=BSGatlas-gene-4726","BSGatlas-gene-4726")</f>
        <v>BSGatlas-gene-4726</v>
      </c>
      <c r="B4727" s="1" t="s">
        <v>4326</v>
      </c>
      <c r="C4727" s="1" t="s">
        <v>8</v>
      </c>
      <c r="D4727" s="1">
        <v>4176900</v>
      </c>
      <c r="E4727" s="1">
        <v>4177688</v>
      </c>
      <c r="F4727" s="1" t="s">
        <v>13</v>
      </c>
      <c r="G4727" s="1" t="s">
        <v>11409</v>
      </c>
    </row>
    <row r="4728" spans="1:7" ht="21" x14ac:dyDescent="0.25">
      <c r="A4728" s="2" t="str">
        <f>HYPERLINK("https://rth.dk/resources/bsgatlas/details.php?id=BSGatlas-gene-4727","BSGatlas-gene-4727")</f>
        <v>BSGatlas-gene-4727</v>
      </c>
      <c r="B4728" s="1" t="s">
        <v>4327</v>
      </c>
      <c r="C4728" s="1" t="s">
        <v>8</v>
      </c>
      <c r="D4728" s="1">
        <v>4177756</v>
      </c>
      <c r="E4728" s="1">
        <v>4178145</v>
      </c>
      <c r="F4728" s="1" t="s">
        <v>13</v>
      </c>
      <c r="G4728" s="1" t="s">
        <v>11409</v>
      </c>
    </row>
    <row r="4729" spans="1:7" ht="21" x14ac:dyDescent="0.25">
      <c r="A4729" s="2" t="str">
        <f>HYPERLINK("https://rth.dk/resources/bsgatlas/details.php?id=BSGatlas-gene-4728","BSGatlas-gene-4728")</f>
        <v>BSGatlas-gene-4728</v>
      </c>
      <c r="B4729" s="1" t="s">
        <v>4328</v>
      </c>
      <c r="C4729" s="1" t="s">
        <v>8</v>
      </c>
      <c r="D4729" s="1">
        <v>4178291</v>
      </c>
      <c r="E4729" s="1">
        <v>4179130</v>
      </c>
      <c r="F4729" s="1" t="s">
        <v>9</v>
      </c>
      <c r="G4729" s="1" t="s">
        <v>11409</v>
      </c>
    </row>
    <row r="4730" spans="1:7" ht="21" x14ac:dyDescent="0.25">
      <c r="A4730" s="2" t="str">
        <f>HYPERLINK("https://rth.dk/resources/bsgatlas/details.php?id=BSGatlas-gene-4729","BSGatlas-gene-4729")</f>
        <v>BSGatlas-gene-4729</v>
      </c>
      <c r="B4730" s="1" t="s">
        <v>4329</v>
      </c>
      <c r="C4730" s="1" t="s">
        <v>8</v>
      </c>
      <c r="D4730" s="1">
        <v>4179163</v>
      </c>
      <c r="E4730" s="1">
        <v>4180377</v>
      </c>
      <c r="F4730" s="1" t="s">
        <v>13</v>
      </c>
      <c r="G4730" s="1" t="s">
        <v>11409</v>
      </c>
    </row>
    <row r="4731" spans="1:7" ht="21" x14ac:dyDescent="0.25">
      <c r="A4731" s="2" t="str">
        <f>HYPERLINK("https://rth.dk/resources/bsgatlas/details.php?id=BSGatlas-gene-4730","BSGatlas-gene-4730")</f>
        <v>BSGatlas-gene-4730</v>
      </c>
      <c r="B4731" s="1" t="s">
        <v>4330</v>
      </c>
      <c r="C4731" s="1" t="s">
        <v>8</v>
      </c>
      <c r="D4731" s="1">
        <v>4180564</v>
      </c>
      <c r="E4731" s="1">
        <v>4181442</v>
      </c>
      <c r="F4731" s="1" t="s">
        <v>9</v>
      </c>
      <c r="G4731" s="1" t="s">
        <v>11409</v>
      </c>
    </row>
    <row r="4732" spans="1:7" ht="21" x14ac:dyDescent="0.25">
      <c r="A4732" s="2" t="str">
        <f>HYPERLINK("https://rth.dk/resources/bsgatlas/details.php?id=BSGatlas-gene-4731","BSGatlas-gene-4731")</f>
        <v>BSGatlas-gene-4731</v>
      </c>
      <c r="B4732" s="1" t="s">
        <v>4331</v>
      </c>
      <c r="C4732" s="1" t="s">
        <v>8</v>
      </c>
      <c r="D4732" s="1">
        <v>4181456</v>
      </c>
      <c r="E4732" s="1">
        <v>4181899</v>
      </c>
      <c r="F4732" s="1" t="s">
        <v>9</v>
      </c>
      <c r="G4732" s="1" t="s">
        <v>11409</v>
      </c>
    </row>
    <row r="4733" spans="1:7" ht="21" x14ac:dyDescent="0.25">
      <c r="A4733" s="2" t="str">
        <f>HYPERLINK("https://rth.dk/resources/bsgatlas/details.php?id=BSGatlas-gene-4732","BSGatlas-gene-4732")</f>
        <v>BSGatlas-gene-4732</v>
      </c>
      <c r="B4733" s="1" t="s">
        <v>4332</v>
      </c>
      <c r="C4733" s="1" t="s">
        <v>8</v>
      </c>
      <c r="D4733" s="1">
        <v>4181982</v>
      </c>
      <c r="E4733" s="1">
        <v>4182461</v>
      </c>
      <c r="F4733" s="1" t="s">
        <v>9</v>
      </c>
      <c r="G4733" s="1" t="s">
        <v>11409</v>
      </c>
    </row>
    <row r="4734" spans="1:7" ht="21" x14ac:dyDescent="0.25">
      <c r="A4734" s="2" t="str">
        <f>HYPERLINK("https://rth.dk/resources/bsgatlas/details.php?id=BSGatlas-gene-4733","BSGatlas-gene-4733")</f>
        <v>BSGatlas-gene-4733</v>
      </c>
      <c r="B4734" s="1" t="s">
        <v>11749</v>
      </c>
      <c r="C4734" s="1" t="s">
        <v>8</v>
      </c>
      <c r="D4734" s="1">
        <v>4182636</v>
      </c>
      <c r="E4734" s="1">
        <v>4183298</v>
      </c>
      <c r="F4734" s="1" t="s">
        <v>13</v>
      </c>
      <c r="G4734" s="1" t="s">
        <v>11409</v>
      </c>
    </row>
    <row r="4735" spans="1:7" ht="21" x14ac:dyDescent="0.25">
      <c r="A4735" s="2" t="str">
        <f>HYPERLINK("https://rth.dk/resources/bsgatlas/details.php?id=BSGatlas-gene-4734","BSGatlas-gene-4734")</f>
        <v>BSGatlas-gene-4734</v>
      </c>
      <c r="B4735" s="1" t="s">
        <v>4333</v>
      </c>
      <c r="C4735" s="1" t="s">
        <v>8</v>
      </c>
      <c r="D4735" s="1">
        <v>4183445</v>
      </c>
      <c r="E4735" s="1">
        <v>4183897</v>
      </c>
      <c r="F4735" s="1" t="s">
        <v>13</v>
      </c>
      <c r="G4735" s="1" t="s">
        <v>11409</v>
      </c>
    </row>
    <row r="4736" spans="1:7" ht="21" x14ac:dyDescent="0.25">
      <c r="A4736" s="2" t="str">
        <f>HYPERLINK("https://rth.dk/resources/bsgatlas/details.php?id=BSGatlas-gene-4735","BSGatlas-gene-4735")</f>
        <v>BSGatlas-gene-4735</v>
      </c>
      <c r="B4736" s="1" t="s">
        <v>4334</v>
      </c>
      <c r="C4736" s="1" t="s">
        <v>8</v>
      </c>
      <c r="D4736" s="1">
        <v>4184017</v>
      </c>
      <c r="E4736" s="1">
        <v>4184463</v>
      </c>
      <c r="F4736" s="1" t="s">
        <v>9</v>
      </c>
      <c r="G4736" s="1" t="s">
        <v>11409</v>
      </c>
    </row>
    <row r="4737" spans="1:7" ht="21" x14ac:dyDescent="0.25">
      <c r="A4737" s="2" t="str">
        <f>HYPERLINK("https://rth.dk/resources/bsgatlas/details.php?id=BSGatlas-gene-4736","BSGatlas-gene-4736")</f>
        <v>BSGatlas-gene-4736</v>
      </c>
      <c r="B4737" s="1" t="s">
        <v>4335</v>
      </c>
      <c r="C4737" s="1" t="s">
        <v>8</v>
      </c>
      <c r="D4737" s="1">
        <v>4184460</v>
      </c>
      <c r="E4737" s="1">
        <v>4185065</v>
      </c>
      <c r="F4737" s="1" t="s">
        <v>9</v>
      </c>
      <c r="G4737" s="1" t="s">
        <v>11409</v>
      </c>
    </row>
    <row r="4738" spans="1:7" ht="21" x14ac:dyDescent="0.25">
      <c r="A4738" s="2" t="str">
        <f>HYPERLINK("https://rth.dk/resources/bsgatlas/details.php?id=BSGatlas-gene-4737","BSGatlas-gene-4737")</f>
        <v>BSGatlas-gene-4737</v>
      </c>
      <c r="B4738" s="1" t="s">
        <v>4336</v>
      </c>
      <c r="C4738" s="1" t="s">
        <v>8</v>
      </c>
      <c r="D4738" s="1">
        <v>4185160</v>
      </c>
      <c r="E4738" s="1">
        <v>4185681</v>
      </c>
      <c r="F4738" s="1" t="s">
        <v>13</v>
      </c>
      <c r="G4738" s="1" t="s">
        <v>11409</v>
      </c>
    </row>
    <row r="4739" spans="1:7" ht="21" x14ac:dyDescent="0.25">
      <c r="A4739" s="2" t="str">
        <f>HYPERLINK("https://rth.dk/resources/bsgatlas/details.php?id=BSGatlas-gene-4738","BSGatlas-gene-4738")</f>
        <v>BSGatlas-gene-4738</v>
      </c>
      <c r="B4739" s="1" t="s">
        <v>4337</v>
      </c>
      <c r="C4739" s="1" t="s">
        <v>8</v>
      </c>
      <c r="D4739" s="1">
        <v>4186092</v>
      </c>
      <c r="E4739" s="1">
        <v>4186448</v>
      </c>
      <c r="F4739" s="1" t="s">
        <v>9</v>
      </c>
      <c r="G4739" s="1" t="s">
        <v>11409</v>
      </c>
    </row>
    <row r="4740" spans="1:7" ht="21" x14ac:dyDescent="0.25">
      <c r="A4740" s="2" t="str">
        <f>HYPERLINK("https://rth.dk/resources/bsgatlas/details.php?id=BSGatlas-gene-4739","BSGatlas-gene-4739")</f>
        <v>BSGatlas-gene-4739</v>
      </c>
      <c r="B4740" s="1" t="s">
        <v>11750</v>
      </c>
      <c r="C4740" s="1" t="s">
        <v>8</v>
      </c>
      <c r="D4740" s="1">
        <v>4186608</v>
      </c>
      <c r="E4740" s="1">
        <v>4187174</v>
      </c>
      <c r="F4740" s="1" t="s">
        <v>9</v>
      </c>
      <c r="G4740" s="1" t="s">
        <v>11409</v>
      </c>
    </row>
    <row r="4741" spans="1:7" ht="21" x14ac:dyDescent="0.25">
      <c r="A4741" s="2" t="str">
        <f>HYPERLINK("https://rth.dk/resources/bsgatlas/details.php?id=BSGatlas-gene-4740","BSGatlas-gene-4740")</f>
        <v>BSGatlas-gene-4740</v>
      </c>
      <c r="B4741" s="1" t="s">
        <v>4338</v>
      </c>
      <c r="C4741" s="1" t="s">
        <v>8</v>
      </c>
      <c r="D4741" s="1">
        <v>4187681</v>
      </c>
      <c r="E4741" s="1">
        <v>4189057</v>
      </c>
      <c r="F4741" s="1" t="s">
        <v>13</v>
      </c>
      <c r="G4741" s="1" t="s">
        <v>11409</v>
      </c>
    </row>
    <row r="4742" spans="1:7" ht="21" x14ac:dyDescent="0.25">
      <c r="A4742" s="2" t="str">
        <f>HYPERLINK("https://rth.dk/resources/bsgatlas/details.php?id=BSGatlas-gene-4741","BSGatlas-gene-4741")</f>
        <v>BSGatlas-gene-4741</v>
      </c>
      <c r="B4742" s="1" t="s">
        <v>4339</v>
      </c>
      <c r="C4742" s="1" t="s">
        <v>8</v>
      </c>
      <c r="D4742" s="1">
        <v>4189091</v>
      </c>
      <c r="E4742" s="1">
        <v>4189153</v>
      </c>
      <c r="F4742" s="1" t="s">
        <v>13</v>
      </c>
      <c r="G4742" s="1" t="s">
        <v>11409</v>
      </c>
    </row>
    <row r="4743" spans="1:7" ht="21" x14ac:dyDescent="0.25">
      <c r="A4743" s="2" t="str">
        <f>HYPERLINK("https://rth.dk/resources/bsgatlas/details.php?id=BSGatlas-gene-4742","BSGatlas-gene-4742")</f>
        <v>BSGatlas-gene-4742</v>
      </c>
      <c r="B4743" s="1" t="s">
        <v>4340</v>
      </c>
      <c r="C4743" s="1" t="s">
        <v>8</v>
      </c>
      <c r="D4743" s="1">
        <v>4189406</v>
      </c>
      <c r="E4743" s="1">
        <v>4189645</v>
      </c>
      <c r="F4743" s="1" t="s">
        <v>9</v>
      </c>
      <c r="G4743" s="1" t="s">
        <v>11409</v>
      </c>
    </row>
    <row r="4744" spans="1:7" ht="21" x14ac:dyDescent="0.25">
      <c r="A4744" s="2" t="str">
        <f>HYPERLINK("https://rth.dk/resources/bsgatlas/details.php?id=BSGatlas-gene-4743","BSGatlas-gene-4743")</f>
        <v>BSGatlas-gene-4743</v>
      </c>
      <c r="B4744" s="1" t="s">
        <v>4341</v>
      </c>
      <c r="C4744" s="1" t="s">
        <v>8</v>
      </c>
      <c r="D4744" s="1">
        <v>4189796</v>
      </c>
      <c r="E4744" s="1">
        <v>4190212</v>
      </c>
      <c r="F4744" s="1" t="s">
        <v>9</v>
      </c>
      <c r="G4744" s="1" t="s">
        <v>11409</v>
      </c>
    </row>
    <row r="4745" spans="1:7" ht="21" x14ac:dyDescent="0.25">
      <c r="A4745" s="2" t="str">
        <f>HYPERLINK("https://rth.dk/resources/bsgatlas/details.php?id=BSGatlas-gene-4744","BSGatlas-gene-4744")</f>
        <v>BSGatlas-gene-4744</v>
      </c>
      <c r="B4745" s="1" t="s">
        <v>4342</v>
      </c>
      <c r="C4745" s="1" t="s">
        <v>8</v>
      </c>
      <c r="D4745" s="1">
        <v>4190209</v>
      </c>
      <c r="E4745" s="1">
        <v>4191126</v>
      </c>
      <c r="F4745" s="1" t="s">
        <v>9</v>
      </c>
      <c r="G4745" s="1" t="s">
        <v>11409</v>
      </c>
    </row>
    <row r="4746" spans="1:7" ht="21" x14ac:dyDescent="0.25">
      <c r="A4746" s="2" t="str">
        <f>HYPERLINK("https://rth.dk/resources/bsgatlas/details.php?id=BSGatlas-gene-4745","BSGatlas-gene-4745")</f>
        <v>BSGatlas-gene-4745</v>
      </c>
      <c r="B4746" s="1" t="s">
        <v>4343</v>
      </c>
      <c r="C4746" s="1" t="s">
        <v>8</v>
      </c>
      <c r="D4746" s="1">
        <v>4191198</v>
      </c>
      <c r="E4746" s="1">
        <v>4193267</v>
      </c>
      <c r="F4746" s="1" t="s">
        <v>9</v>
      </c>
      <c r="G4746" s="1" t="s">
        <v>11409</v>
      </c>
    </row>
    <row r="4747" spans="1:7" ht="21" x14ac:dyDescent="0.25">
      <c r="A4747" s="2" t="str">
        <f>HYPERLINK("https://rth.dk/resources/bsgatlas/details.php?id=BSGatlas-gene-4746","BSGatlas-gene-4746")</f>
        <v>BSGatlas-gene-4746</v>
      </c>
      <c r="B4747" s="1" t="s">
        <v>4344</v>
      </c>
      <c r="C4747" s="1" t="s">
        <v>8</v>
      </c>
      <c r="D4747" s="1">
        <v>4193264</v>
      </c>
      <c r="E4747" s="1">
        <v>4194163</v>
      </c>
      <c r="F4747" s="1" t="s">
        <v>13</v>
      </c>
      <c r="G4747" s="1" t="s">
        <v>11409</v>
      </c>
    </row>
    <row r="4748" spans="1:7" ht="21" x14ac:dyDescent="0.25">
      <c r="A4748" s="2" t="str">
        <f>HYPERLINK("https://rth.dk/resources/bsgatlas/details.php?id=BSGatlas-gene-4747","BSGatlas-gene-4747")</f>
        <v>BSGatlas-gene-4747</v>
      </c>
      <c r="B4748" s="1" t="s">
        <v>4345</v>
      </c>
      <c r="C4748" s="1" t="s">
        <v>8</v>
      </c>
      <c r="D4748" s="1">
        <v>4194389</v>
      </c>
      <c r="E4748" s="1">
        <v>4195744</v>
      </c>
      <c r="F4748" s="1" t="s">
        <v>9</v>
      </c>
      <c r="G4748" s="1" t="s">
        <v>11409</v>
      </c>
    </row>
    <row r="4749" spans="1:7" ht="21" x14ac:dyDescent="0.25">
      <c r="A4749" s="2" t="str">
        <f>HYPERLINK("https://rth.dk/resources/bsgatlas/details.php?id=BSGatlas-gene-4748","BSGatlas-gene-4748")</f>
        <v>BSGatlas-gene-4748</v>
      </c>
      <c r="B4749" s="1" t="s">
        <v>11751</v>
      </c>
      <c r="C4749" s="1" t="s">
        <v>8</v>
      </c>
      <c r="D4749" s="1">
        <v>4195778</v>
      </c>
      <c r="E4749" s="1">
        <v>4196332</v>
      </c>
      <c r="F4749" s="1" t="s">
        <v>13</v>
      </c>
      <c r="G4749" s="1" t="s">
        <v>11409</v>
      </c>
    </row>
    <row r="4750" spans="1:7" ht="21" x14ac:dyDescent="0.25">
      <c r="A4750" s="2" t="str">
        <f>HYPERLINK("https://rth.dk/resources/bsgatlas/details.php?id=BSGatlas-gene-4749","BSGatlas-gene-4749")</f>
        <v>BSGatlas-gene-4749</v>
      </c>
      <c r="B4750" s="1" t="s">
        <v>11752</v>
      </c>
      <c r="C4750" s="1" t="s">
        <v>8</v>
      </c>
      <c r="D4750" s="1">
        <v>4196350</v>
      </c>
      <c r="E4750" s="1">
        <v>4196730</v>
      </c>
      <c r="F4750" s="1" t="s">
        <v>13</v>
      </c>
      <c r="G4750" s="1" t="s">
        <v>11409</v>
      </c>
    </row>
    <row r="4751" spans="1:7" ht="21" x14ac:dyDescent="0.25">
      <c r="A4751" s="2" t="str">
        <f>HYPERLINK("https://rth.dk/resources/bsgatlas/details.php?id=BSGatlas-gene-4750","BSGatlas-gene-4750")</f>
        <v>BSGatlas-gene-4750</v>
      </c>
      <c r="B4751" s="1" t="s">
        <v>4346</v>
      </c>
      <c r="C4751" s="1" t="s">
        <v>8</v>
      </c>
      <c r="D4751" s="1">
        <v>4196786</v>
      </c>
      <c r="E4751" s="1">
        <v>4197721</v>
      </c>
      <c r="F4751" s="1" t="s">
        <v>13</v>
      </c>
      <c r="G4751" s="1" t="s">
        <v>11409</v>
      </c>
    </row>
    <row r="4752" spans="1:7" ht="21" x14ac:dyDescent="0.25">
      <c r="A4752" s="2" t="str">
        <f>HYPERLINK("https://rth.dk/resources/bsgatlas/details.php?id=BSGatlas-gene-4751","BSGatlas-gene-4751")</f>
        <v>BSGatlas-gene-4751</v>
      </c>
      <c r="B4752" s="1" t="s">
        <v>4347</v>
      </c>
      <c r="C4752" s="1" t="s">
        <v>8</v>
      </c>
      <c r="D4752" s="1">
        <v>4197780</v>
      </c>
      <c r="E4752" s="1">
        <v>4198538</v>
      </c>
      <c r="F4752" s="1" t="s">
        <v>13</v>
      </c>
      <c r="G4752" s="1" t="s">
        <v>11409</v>
      </c>
    </row>
    <row r="4753" spans="1:7" ht="21" x14ac:dyDescent="0.25">
      <c r="A4753" s="2" t="str">
        <f>HYPERLINK("https://rth.dk/resources/bsgatlas/details.php?id=BSGatlas-gene-4752","BSGatlas-gene-4752")</f>
        <v>BSGatlas-gene-4752</v>
      </c>
      <c r="B4753" s="1" t="s">
        <v>4348</v>
      </c>
      <c r="C4753" s="1" t="s">
        <v>12</v>
      </c>
      <c r="D4753" s="1">
        <v>4198071</v>
      </c>
      <c r="E4753" s="1">
        <v>4198574</v>
      </c>
      <c r="F4753" s="1" t="s">
        <v>9</v>
      </c>
      <c r="G4753" s="1" t="s">
        <v>11406</v>
      </c>
    </row>
    <row r="4754" spans="1:7" ht="21" x14ac:dyDescent="0.25">
      <c r="A4754" s="2" t="str">
        <f>HYPERLINK("https://rth.dk/resources/bsgatlas/details.php?id=BSGatlas-gene-4753","BSGatlas-gene-4753")</f>
        <v>BSGatlas-gene-4753</v>
      </c>
      <c r="B4754" s="1" t="s">
        <v>4349</v>
      </c>
      <c r="C4754" s="1" t="s">
        <v>8</v>
      </c>
      <c r="D4754" s="1">
        <v>4198603</v>
      </c>
      <c r="E4754" s="1">
        <v>4198842</v>
      </c>
      <c r="F4754" s="1" t="s">
        <v>13</v>
      </c>
      <c r="G4754" s="1" t="s">
        <v>11409</v>
      </c>
    </row>
    <row r="4755" spans="1:7" ht="21" x14ac:dyDescent="0.25">
      <c r="A4755" s="2" t="str">
        <f>HYPERLINK("https://rth.dk/resources/bsgatlas/details.php?id=BSGatlas-gene-4754","BSGatlas-gene-4754")</f>
        <v>BSGatlas-gene-4754</v>
      </c>
      <c r="B4755" s="1" t="s">
        <v>4350</v>
      </c>
      <c r="C4755" s="1" t="s">
        <v>8</v>
      </c>
      <c r="D4755" s="1">
        <v>4198886</v>
      </c>
      <c r="E4755" s="1">
        <v>4199404</v>
      </c>
      <c r="F4755" s="1" t="s">
        <v>13</v>
      </c>
      <c r="G4755" s="1" t="s">
        <v>11409</v>
      </c>
    </row>
    <row r="4756" spans="1:7" ht="21" x14ac:dyDescent="0.25">
      <c r="A4756" s="2" t="str">
        <f>HYPERLINK("https://rth.dk/resources/bsgatlas/details.php?id=BSGatlas-gene-4755","BSGatlas-gene-4755")</f>
        <v>BSGatlas-gene-4755</v>
      </c>
      <c r="B4756" s="1" t="s">
        <v>4351</v>
      </c>
      <c r="C4756" s="1" t="s">
        <v>8</v>
      </c>
      <c r="D4756" s="1">
        <v>4199445</v>
      </c>
      <c r="E4756" s="1">
        <v>4199732</v>
      </c>
      <c r="F4756" s="1" t="s">
        <v>13</v>
      </c>
      <c r="G4756" s="1" t="s">
        <v>11409</v>
      </c>
    </row>
    <row r="4757" spans="1:7" ht="21" x14ac:dyDescent="0.25">
      <c r="A4757" s="2" t="str">
        <f>HYPERLINK("https://rth.dk/resources/bsgatlas/details.php?id=BSGatlas-gene-4756","BSGatlas-gene-4756")</f>
        <v>BSGatlas-gene-4756</v>
      </c>
      <c r="B4757" s="1" t="s">
        <v>4352</v>
      </c>
      <c r="C4757" s="1" t="s">
        <v>8</v>
      </c>
      <c r="D4757" s="1">
        <v>4199843</v>
      </c>
      <c r="E4757" s="1">
        <v>4200943</v>
      </c>
      <c r="F4757" s="1" t="s">
        <v>13</v>
      </c>
      <c r="G4757" s="1" t="s">
        <v>11409</v>
      </c>
    </row>
    <row r="4758" spans="1:7" ht="21" x14ac:dyDescent="0.25">
      <c r="A4758" s="2" t="str">
        <f>HYPERLINK("https://rth.dk/resources/bsgatlas/details.php?id=BSGatlas-gene-4757","BSGatlas-gene-4757")</f>
        <v>BSGatlas-gene-4757</v>
      </c>
      <c r="B4758" s="1" t="s">
        <v>4353</v>
      </c>
      <c r="C4758" s="1" t="s">
        <v>8</v>
      </c>
      <c r="D4758" s="1">
        <v>4201070</v>
      </c>
      <c r="E4758" s="1">
        <v>4203073</v>
      </c>
      <c r="F4758" s="1" t="s">
        <v>13</v>
      </c>
      <c r="G4758" s="1" t="s">
        <v>11409</v>
      </c>
    </row>
    <row r="4759" spans="1:7" ht="21" x14ac:dyDescent="0.25">
      <c r="A4759" s="2" t="str">
        <f>HYPERLINK("https://rth.dk/resources/bsgatlas/details.php?id=BSGatlas-gene-4758","BSGatlas-gene-4758")</f>
        <v>BSGatlas-gene-4758</v>
      </c>
      <c r="B4759" s="1" t="s">
        <v>4354</v>
      </c>
      <c r="C4759" s="1" t="s">
        <v>8</v>
      </c>
      <c r="D4759" s="1">
        <v>4203124</v>
      </c>
      <c r="E4759" s="1">
        <v>4203330</v>
      </c>
      <c r="F4759" s="1" t="s">
        <v>13</v>
      </c>
      <c r="G4759" s="1" t="s">
        <v>11409</v>
      </c>
    </row>
    <row r="4760" spans="1:7" ht="21" x14ac:dyDescent="0.25">
      <c r="A4760" s="2" t="str">
        <f>HYPERLINK("https://rth.dk/resources/bsgatlas/details.php?id=BSGatlas-gene-4759","BSGatlas-gene-4759")</f>
        <v>BSGatlas-gene-4759</v>
      </c>
      <c r="B4760" s="1" t="s">
        <v>4355</v>
      </c>
      <c r="C4760" s="1" t="s">
        <v>8</v>
      </c>
      <c r="D4760" s="1">
        <v>4203424</v>
      </c>
      <c r="E4760" s="1">
        <v>4204440</v>
      </c>
      <c r="F4760" s="1" t="s">
        <v>13</v>
      </c>
      <c r="G4760" s="1" t="s">
        <v>11409</v>
      </c>
    </row>
    <row r="4761" spans="1:7" ht="21" x14ac:dyDescent="0.25">
      <c r="A4761" s="2" t="str">
        <f>HYPERLINK("https://rth.dk/resources/bsgatlas/details.php?id=BSGatlas-gene-4760","BSGatlas-gene-4760")</f>
        <v>BSGatlas-gene-4760</v>
      </c>
      <c r="B4761" s="1" t="s">
        <v>4358</v>
      </c>
      <c r="C4761" s="1" t="s">
        <v>8</v>
      </c>
      <c r="D4761" s="1">
        <v>4204900</v>
      </c>
      <c r="E4761" s="1">
        <v>4205517</v>
      </c>
      <c r="F4761" s="1" t="s">
        <v>9</v>
      </c>
      <c r="G4761" s="1" t="s">
        <v>11409</v>
      </c>
    </row>
    <row r="4762" spans="1:7" ht="21" x14ac:dyDescent="0.25">
      <c r="A4762" s="2" t="str">
        <f>HYPERLINK("https://rth.dk/resources/bsgatlas/details.php?id=BSGatlas-gene-4761","BSGatlas-gene-4761")</f>
        <v>BSGatlas-gene-4761</v>
      </c>
      <c r="B4762" s="1" t="s">
        <v>4356</v>
      </c>
      <c r="C4762" s="1" t="s">
        <v>8</v>
      </c>
      <c r="D4762" s="1">
        <v>4205556</v>
      </c>
      <c r="E4762" s="1">
        <v>4206404</v>
      </c>
      <c r="F4762" s="1" t="s">
        <v>13</v>
      </c>
      <c r="G4762" s="1" t="s">
        <v>11409</v>
      </c>
    </row>
    <row r="4763" spans="1:7" ht="21" x14ac:dyDescent="0.25">
      <c r="A4763" s="2" t="str">
        <f>HYPERLINK("https://rth.dk/resources/bsgatlas/details.php?id=BSGatlas-gene-4762","BSGatlas-gene-4762")</f>
        <v>BSGatlas-gene-4762</v>
      </c>
      <c r="B4763" s="1" t="s">
        <v>4357</v>
      </c>
      <c r="C4763" s="1" t="s">
        <v>8</v>
      </c>
      <c r="D4763" s="1">
        <v>4206397</v>
      </c>
      <c r="E4763" s="1">
        <v>4207158</v>
      </c>
      <c r="F4763" s="1" t="s">
        <v>13</v>
      </c>
      <c r="G4763" s="1" t="s">
        <v>11409</v>
      </c>
    </row>
    <row r="4764" spans="1:7" ht="21" x14ac:dyDescent="0.25">
      <c r="A4764" s="2" t="str">
        <f>HYPERLINK("https://rth.dk/resources/bsgatlas/details.php?id=BSGatlas-gene-4763","BSGatlas-gene-4763")</f>
        <v>BSGatlas-gene-4763</v>
      </c>
      <c r="B4764" s="1" t="s">
        <v>4359</v>
      </c>
      <c r="C4764" s="1" t="s">
        <v>8</v>
      </c>
      <c r="D4764" s="1">
        <v>4207406</v>
      </c>
      <c r="E4764" s="1">
        <v>4207846</v>
      </c>
      <c r="F4764" s="1" t="s">
        <v>9</v>
      </c>
      <c r="G4764" s="1" t="s">
        <v>11409</v>
      </c>
    </row>
    <row r="4765" spans="1:7" ht="21" x14ac:dyDescent="0.25">
      <c r="A4765" s="2" t="str">
        <f>HYPERLINK("https://rth.dk/resources/bsgatlas/details.php?id=BSGatlas-gene-4764","BSGatlas-gene-4764")</f>
        <v>BSGatlas-gene-4764</v>
      </c>
      <c r="B4765" s="1" t="s">
        <v>4360</v>
      </c>
      <c r="C4765" s="1" t="s">
        <v>8</v>
      </c>
      <c r="D4765" s="1">
        <v>4207897</v>
      </c>
      <c r="E4765" s="1">
        <v>4208748</v>
      </c>
      <c r="F4765" s="1" t="s">
        <v>13</v>
      </c>
      <c r="G4765" s="1" t="s">
        <v>11409</v>
      </c>
    </row>
    <row r="4766" spans="1:7" ht="21" x14ac:dyDescent="0.25">
      <c r="A4766" s="2" t="str">
        <f>HYPERLINK("https://rth.dk/resources/bsgatlas/details.php?id=BSGatlas-gene-4765","BSGatlas-gene-4765")</f>
        <v>BSGatlas-gene-4765</v>
      </c>
      <c r="B4766" s="1" t="s">
        <v>4361</v>
      </c>
      <c r="C4766" s="1" t="s">
        <v>8</v>
      </c>
      <c r="D4766" s="1">
        <v>4208870</v>
      </c>
      <c r="E4766" s="1">
        <v>4209589</v>
      </c>
      <c r="F4766" s="1" t="s">
        <v>13</v>
      </c>
      <c r="G4766" s="1" t="s">
        <v>11409</v>
      </c>
    </row>
    <row r="4767" spans="1:7" ht="21" x14ac:dyDescent="0.25">
      <c r="A4767" s="2" t="str">
        <f>HYPERLINK("https://rth.dk/resources/bsgatlas/details.php?id=BSGatlas-gene-4766","BSGatlas-gene-4766")</f>
        <v>BSGatlas-gene-4766</v>
      </c>
      <c r="B4767" s="1" t="s">
        <v>4362</v>
      </c>
      <c r="C4767" s="1" t="s">
        <v>8</v>
      </c>
      <c r="D4767" s="1">
        <v>4209603</v>
      </c>
      <c r="E4767" s="1">
        <v>4211489</v>
      </c>
      <c r="F4767" s="1" t="s">
        <v>13</v>
      </c>
      <c r="G4767" s="1" t="s">
        <v>11409</v>
      </c>
    </row>
    <row r="4768" spans="1:7" ht="21" x14ac:dyDescent="0.25">
      <c r="A4768" s="2" t="str">
        <f>HYPERLINK("https://rth.dk/resources/bsgatlas/details.php?id=BSGatlas-gene-4767","BSGatlas-gene-4767")</f>
        <v>BSGatlas-gene-4767</v>
      </c>
      <c r="B4768" s="1" t="s">
        <v>4363</v>
      </c>
      <c r="C4768" s="1" t="s">
        <v>8</v>
      </c>
      <c r="D4768" s="1">
        <v>4211510</v>
      </c>
      <c r="E4768" s="1">
        <v>4212889</v>
      </c>
      <c r="F4768" s="1" t="s">
        <v>13</v>
      </c>
      <c r="G4768" s="1" t="s">
        <v>11409</v>
      </c>
    </row>
    <row r="4769" spans="1:7" ht="21" x14ac:dyDescent="0.25">
      <c r="A4769" s="2" t="str">
        <f>HYPERLINK("https://rth.dk/resources/bsgatlas/details.php?id=BSGatlas-gene-4768","BSGatlas-gene-4768")</f>
        <v>BSGatlas-gene-4768</v>
      </c>
      <c r="B4769" s="1" t="s">
        <v>4368</v>
      </c>
      <c r="C4769" s="1" t="s">
        <v>12</v>
      </c>
      <c r="D4769" s="1">
        <v>4213186</v>
      </c>
      <c r="E4769" s="1">
        <v>4215471</v>
      </c>
      <c r="F4769" s="1" t="s">
        <v>9</v>
      </c>
      <c r="G4769" s="1" t="s">
        <v>11406</v>
      </c>
    </row>
    <row r="4770" spans="1:7" ht="21" x14ac:dyDescent="0.25">
      <c r="A4770" s="2" t="str">
        <f>HYPERLINK("https://rth.dk/resources/bsgatlas/details.php?id=BSGatlas-gene-4769","BSGatlas-gene-4769")</f>
        <v>BSGatlas-gene-4769</v>
      </c>
      <c r="B4770" s="1" t="s">
        <v>4364</v>
      </c>
      <c r="C4770" s="1" t="s">
        <v>8</v>
      </c>
      <c r="D4770" s="1">
        <v>4213200</v>
      </c>
      <c r="E4770" s="1">
        <v>4213826</v>
      </c>
      <c r="F4770" s="1" t="s">
        <v>13</v>
      </c>
      <c r="G4770" s="1" t="s">
        <v>11409</v>
      </c>
    </row>
    <row r="4771" spans="1:7" ht="21" x14ac:dyDescent="0.25">
      <c r="A4771" s="2" t="str">
        <f>HYPERLINK("https://rth.dk/resources/bsgatlas/details.php?id=BSGatlas-gene-4770","BSGatlas-gene-4770")</f>
        <v>BSGatlas-gene-4770</v>
      </c>
      <c r="B4771" s="1" t="s">
        <v>4365</v>
      </c>
      <c r="C4771" s="1" t="s">
        <v>8</v>
      </c>
      <c r="D4771" s="1">
        <v>4213823</v>
      </c>
      <c r="E4771" s="1">
        <v>4214608</v>
      </c>
      <c r="F4771" s="1" t="s">
        <v>13</v>
      </c>
      <c r="G4771" s="1" t="s">
        <v>11409</v>
      </c>
    </row>
    <row r="4772" spans="1:7" ht="21" x14ac:dyDescent="0.25">
      <c r="A4772" s="2" t="str">
        <f>HYPERLINK("https://rth.dk/resources/bsgatlas/details.php?id=BSGatlas-gene-4771","BSGatlas-gene-4771")</f>
        <v>BSGatlas-gene-4771</v>
      </c>
      <c r="B4772" s="1" t="s">
        <v>4366</v>
      </c>
      <c r="C4772" s="1" t="s">
        <v>8</v>
      </c>
      <c r="D4772" s="1">
        <v>4214753</v>
      </c>
      <c r="E4772" s="1">
        <v>4215103</v>
      </c>
      <c r="F4772" s="1" t="s">
        <v>13</v>
      </c>
      <c r="G4772" s="1" t="s">
        <v>11409</v>
      </c>
    </row>
    <row r="4773" spans="1:7" ht="21" x14ac:dyDescent="0.25">
      <c r="A4773" s="2" t="str">
        <f>HYPERLINK("https://rth.dk/resources/bsgatlas/details.php?id=BSGatlas-gene-4772","BSGatlas-gene-4772")</f>
        <v>BSGatlas-gene-4772</v>
      </c>
      <c r="B4773" s="1" t="s">
        <v>4367</v>
      </c>
      <c r="C4773" s="1" t="s">
        <v>8</v>
      </c>
      <c r="D4773" s="1">
        <v>4215255</v>
      </c>
      <c r="E4773" s="1">
        <v>4215389</v>
      </c>
      <c r="F4773" s="1" t="s">
        <v>13</v>
      </c>
      <c r="G4773" s="1" t="s">
        <v>11409</v>
      </c>
    </row>
    <row r="4774" spans="1:7" ht="21" x14ac:dyDescent="0.25">
      <c r="A4774" s="2" t="str">
        <f>HYPERLINK("https://rth.dk/resources/bsgatlas/details.php?id=BSGatlas-gene-4773","BSGatlas-gene-4773")</f>
        <v>BSGatlas-gene-4773</v>
      </c>
      <c r="B4774" s="1" t="s">
        <v>4369</v>
      </c>
      <c r="C4774" s="1" t="s">
        <v>12</v>
      </c>
      <c r="D4774" s="1">
        <v>4215473</v>
      </c>
      <c r="E4774" s="1">
        <v>4215670</v>
      </c>
      <c r="F4774" s="1" t="s">
        <v>9</v>
      </c>
      <c r="G4774" s="1" t="s">
        <v>11406</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417"/>
  <sheetViews>
    <sheetView zoomScale="118" workbookViewId="0">
      <selection activeCell="C3" sqref="C3"/>
    </sheetView>
  </sheetViews>
  <sheetFormatPr baseColWidth="10" defaultRowHeight="16" x14ac:dyDescent="0.2"/>
  <cols>
    <col min="1" max="1" width="25.6640625" bestFit="1" customWidth="1"/>
    <col min="2" max="2" width="23.33203125" bestFit="1" customWidth="1"/>
    <col min="3" max="3" width="33.33203125" bestFit="1" customWidth="1"/>
    <col min="4" max="4" width="23.1640625" bestFit="1" customWidth="1"/>
    <col min="5" max="6" width="16.33203125" style="4" bestFit="1" customWidth="1"/>
    <col min="7" max="7" width="10.6640625" customWidth="1"/>
    <col min="8" max="8" width="15.83203125" hidden="1" customWidth="1"/>
  </cols>
  <sheetData>
    <row r="1" spans="1:8" ht="21" x14ac:dyDescent="0.25">
      <c r="A1" s="1" t="s">
        <v>0</v>
      </c>
      <c r="B1" s="1" t="s">
        <v>1</v>
      </c>
      <c r="C1" s="1" t="s">
        <v>2</v>
      </c>
      <c r="D1" s="1" t="s">
        <v>3</v>
      </c>
      <c r="E1" s="3" t="s">
        <v>4</v>
      </c>
      <c r="F1" s="3" t="s">
        <v>5</v>
      </c>
      <c r="G1" s="1" t="s">
        <v>6</v>
      </c>
      <c r="H1" s="1" t="s">
        <v>4370</v>
      </c>
    </row>
    <row r="2" spans="1:8" ht="21" x14ac:dyDescent="0.25">
      <c r="A2" s="2" t="str">
        <f>HYPERLINK("https://rth.dk/resources/bsgatlas/details.php?id=BSGatlas-operon-1","BSGatlas-operon-1")</f>
        <v>BSGatlas-operon-1</v>
      </c>
      <c r="B2" s="2" t="str">
        <f>HYPERLINK("https://rth.dk/resources/bsgatlas/details.php?id=BSGatlas-gene-4","BSGatlas-gene-4")</f>
        <v>BSGatlas-gene-4</v>
      </c>
      <c r="C2" s="1" t="s">
        <v>7</v>
      </c>
      <c r="D2" s="1" t="s">
        <v>8</v>
      </c>
      <c r="E2" s="3">
        <v>410</v>
      </c>
      <c r="F2" s="3">
        <v>1750</v>
      </c>
      <c r="G2" s="1" t="s">
        <v>9</v>
      </c>
      <c r="H2" s="1" t="b">
        <f t="shared" ref="H2:H65" si="0">_xlfn.XOR(A1&lt;&gt;A2,H1)</f>
        <v>1</v>
      </c>
    </row>
    <row r="3" spans="1:8" ht="21" x14ac:dyDescent="0.25">
      <c r="A3" s="2" t="str">
        <f>HYPERLINK("https://rth.dk/resources/bsgatlas/details.php?id=BSGatlas-operon-1","BSGatlas-operon-1")</f>
        <v>BSGatlas-operon-1</v>
      </c>
      <c r="B3" s="2" t="str">
        <f>HYPERLINK("https://rth.dk/resources/bsgatlas/details.php?id=BSGatlas-gene-5","BSGatlas-gene-5")</f>
        <v>BSGatlas-gene-5</v>
      </c>
      <c r="C3" s="1" t="s">
        <v>10</v>
      </c>
      <c r="D3" s="1" t="s">
        <v>8</v>
      </c>
      <c r="E3" s="3">
        <v>1939</v>
      </c>
      <c r="F3" s="3">
        <v>3075</v>
      </c>
      <c r="G3" s="1" t="s">
        <v>9</v>
      </c>
      <c r="H3" s="1" t="b">
        <f t="shared" si="0"/>
        <v>1</v>
      </c>
    </row>
    <row r="4" spans="1:8" ht="21" x14ac:dyDescent="0.25">
      <c r="A4" s="2" t="str">
        <f>HYPERLINK("https://rth.dk/resources/bsgatlas/details.php?id=BSGatlas-operon-2","BSGatlas-operon-2")</f>
        <v>BSGatlas-operon-2</v>
      </c>
      <c r="B4" s="2" t="str">
        <f>HYPERLINK("https://rth.dk/resources/bsgatlas/details.php?id=BSGatlas-gene-1","BSGatlas-gene-1")</f>
        <v>BSGatlas-gene-1</v>
      </c>
      <c r="C4" s="1" t="s">
        <v>11</v>
      </c>
      <c r="D4" s="1" t="s">
        <v>12</v>
      </c>
      <c r="E4" s="3">
        <v>24</v>
      </c>
      <c r="F4" s="3">
        <v>297</v>
      </c>
      <c r="G4" s="1" t="s">
        <v>13</v>
      </c>
      <c r="H4" s="1" t="b">
        <f t="shared" si="0"/>
        <v>0</v>
      </c>
    </row>
    <row r="5" spans="1:8" ht="21" x14ac:dyDescent="0.25">
      <c r="A5" s="2" t="str">
        <f>HYPERLINK("https://rth.dk/resources/bsgatlas/details.php?id=BSGatlas-operon-3","BSGatlas-operon-3")</f>
        <v>BSGatlas-operon-3</v>
      </c>
      <c r="B5" s="2" t="str">
        <f>HYPERLINK("https://rth.dk/resources/bsgatlas/details.php?id=BSGatlas-gene-3","BSGatlas-gene-3")</f>
        <v>BSGatlas-gene-3</v>
      </c>
      <c r="C5" s="1" t="s">
        <v>14</v>
      </c>
      <c r="D5" s="1" t="s">
        <v>12</v>
      </c>
      <c r="E5" s="3">
        <v>299</v>
      </c>
      <c r="F5" s="3">
        <v>1067</v>
      </c>
      <c r="G5" s="1" t="s">
        <v>13</v>
      </c>
      <c r="H5" s="1" t="b">
        <f t="shared" si="0"/>
        <v>1</v>
      </c>
    </row>
    <row r="6" spans="1:8" ht="21" x14ac:dyDescent="0.25">
      <c r="A6" s="2" t="str">
        <f>HYPERLINK("https://rth.dk/resources/bsgatlas/details.php?id=BSGatlas-operon-4","BSGatlas-operon-4")</f>
        <v>BSGatlas-operon-4</v>
      </c>
      <c r="B6" s="2" t="str">
        <f>HYPERLINK("https://rth.dk/resources/bsgatlas/details.php?id=BSGatlas-gene-6","BSGatlas-gene-6")</f>
        <v>BSGatlas-gene-6</v>
      </c>
      <c r="C6" s="1" t="s">
        <v>15</v>
      </c>
      <c r="D6" s="1" t="s">
        <v>8</v>
      </c>
      <c r="E6" s="3">
        <v>3206</v>
      </c>
      <c r="F6" s="3">
        <v>3421</v>
      </c>
      <c r="G6" s="1" t="s">
        <v>9</v>
      </c>
      <c r="H6" s="1" t="b">
        <f t="shared" si="0"/>
        <v>0</v>
      </c>
    </row>
    <row r="7" spans="1:8" ht="21" x14ac:dyDescent="0.25">
      <c r="A7" s="2" t="str">
        <f>HYPERLINK("https://rth.dk/resources/bsgatlas/details.php?id=BSGatlas-operon-4","BSGatlas-operon-4")</f>
        <v>BSGatlas-operon-4</v>
      </c>
      <c r="B7" s="2" t="str">
        <f>HYPERLINK("https://rth.dk/resources/bsgatlas/details.php?id=BSGatlas-gene-7","BSGatlas-gene-7")</f>
        <v>BSGatlas-gene-7</v>
      </c>
      <c r="C7" s="1" t="s">
        <v>16</v>
      </c>
      <c r="D7" s="1" t="s">
        <v>8</v>
      </c>
      <c r="E7" s="3">
        <v>3437</v>
      </c>
      <c r="F7" s="3">
        <v>4549</v>
      </c>
      <c r="G7" s="1" t="s">
        <v>9</v>
      </c>
      <c r="H7" s="1" t="b">
        <f t="shared" si="0"/>
        <v>0</v>
      </c>
    </row>
    <row r="8" spans="1:8" ht="21" x14ac:dyDescent="0.25">
      <c r="A8" s="2" t="str">
        <f>HYPERLINK("https://rth.dk/resources/bsgatlas/details.php?id=BSGatlas-operon-4","BSGatlas-operon-4")</f>
        <v>BSGatlas-operon-4</v>
      </c>
      <c r="B8" s="2" t="str">
        <f>HYPERLINK("https://rth.dk/resources/bsgatlas/details.php?id=BSGatlas-gene-8","BSGatlas-gene-8")</f>
        <v>BSGatlas-gene-8</v>
      </c>
      <c r="C8" s="1" t="s">
        <v>17</v>
      </c>
      <c r="D8" s="1" t="s">
        <v>8</v>
      </c>
      <c r="E8" s="3">
        <v>4567</v>
      </c>
      <c r="F8" s="3">
        <v>4812</v>
      </c>
      <c r="G8" s="1" t="s">
        <v>9</v>
      </c>
      <c r="H8" s="1" t="b">
        <f t="shared" si="0"/>
        <v>0</v>
      </c>
    </row>
    <row r="9" spans="1:8" ht="21" x14ac:dyDescent="0.25">
      <c r="A9" s="2" t="str">
        <f>HYPERLINK("https://rth.dk/resources/bsgatlas/details.php?id=BSGatlas-operon-4","BSGatlas-operon-4")</f>
        <v>BSGatlas-operon-4</v>
      </c>
      <c r="B9" s="2" t="str">
        <f>HYPERLINK("https://rth.dk/resources/bsgatlas/details.php?id=BSGatlas-gene-9","BSGatlas-gene-9")</f>
        <v>BSGatlas-gene-9</v>
      </c>
      <c r="C9" s="1" t="s">
        <v>18</v>
      </c>
      <c r="D9" s="1" t="s">
        <v>8</v>
      </c>
      <c r="E9" s="3">
        <v>4867</v>
      </c>
      <c r="F9" s="3">
        <v>6783</v>
      </c>
      <c r="G9" s="1" t="s">
        <v>9</v>
      </c>
      <c r="H9" s="1" t="b">
        <f t="shared" si="0"/>
        <v>0</v>
      </c>
    </row>
    <row r="10" spans="1:8" ht="21" x14ac:dyDescent="0.25">
      <c r="A10" s="2" t="str">
        <f>HYPERLINK("https://rth.dk/resources/bsgatlas/details.php?id=BSGatlas-operon-4","BSGatlas-operon-4")</f>
        <v>BSGatlas-operon-4</v>
      </c>
      <c r="B10" s="2" t="str">
        <f>HYPERLINK("https://rth.dk/resources/bsgatlas/details.php?id=BSGatlas-gene-10","BSGatlas-gene-10")</f>
        <v>BSGatlas-gene-10</v>
      </c>
      <c r="C10" s="1" t="s">
        <v>19</v>
      </c>
      <c r="D10" s="1" t="s">
        <v>8</v>
      </c>
      <c r="E10" s="3">
        <v>6994</v>
      </c>
      <c r="F10" s="3">
        <v>9459</v>
      </c>
      <c r="G10" s="1" t="s">
        <v>9</v>
      </c>
      <c r="H10" s="1" t="b">
        <f t="shared" si="0"/>
        <v>0</v>
      </c>
    </row>
    <row r="11" spans="1:8" ht="21" x14ac:dyDescent="0.25">
      <c r="A11" s="2" t="str">
        <f>HYPERLINK("https://rth.dk/resources/bsgatlas/details.php?id=BSGatlas-operon-5","BSGatlas-operon-5")</f>
        <v>BSGatlas-operon-5</v>
      </c>
      <c r="B11" s="2" t="str">
        <f>HYPERLINK("https://rth.dk/resources/bsgatlas/details.php?id=BSGatlas-gene-12","BSGatlas-gene-12")</f>
        <v>BSGatlas-gene-12</v>
      </c>
      <c r="C11" s="1" t="s">
        <v>20</v>
      </c>
      <c r="D11" s="1" t="s">
        <v>21</v>
      </c>
      <c r="E11" s="3">
        <v>9810</v>
      </c>
      <c r="F11" s="3">
        <v>11364</v>
      </c>
      <c r="G11" s="1" t="s">
        <v>9</v>
      </c>
      <c r="H11" s="1" t="b">
        <f t="shared" si="0"/>
        <v>1</v>
      </c>
    </row>
    <row r="12" spans="1:8" ht="21" x14ac:dyDescent="0.25">
      <c r="A12" s="2" t="str">
        <f>HYPERLINK("https://rth.dk/resources/bsgatlas/details.php?id=BSGatlas-operon-5","BSGatlas-operon-5")</f>
        <v>BSGatlas-operon-5</v>
      </c>
      <c r="B12" s="2" t="str">
        <f>HYPERLINK("https://rth.dk/resources/bsgatlas/details.php?id=BSGatlas-gene-13","BSGatlas-gene-13")</f>
        <v>BSGatlas-gene-13</v>
      </c>
      <c r="C12" s="1" t="s">
        <v>22</v>
      </c>
      <c r="D12" s="1" t="s">
        <v>23</v>
      </c>
      <c r="E12" s="3">
        <v>11463</v>
      </c>
      <c r="F12" s="3">
        <v>11540</v>
      </c>
      <c r="G12" s="1" t="s">
        <v>9</v>
      </c>
      <c r="H12" s="1" t="b">
        <f t="shared" si="0"/>
        <v>1</v>
      </c>
    </row>
    <row r="13" spans="1:8" ht="21" x14ac:dyDescent="0.25">
      <c r="A13" s="2" t="str">
        <f>HYPERLINK("https://rth.dk/resources/bsgatlas/details.php?id=BSGatlas-operon-5","BSGatlas-operon-5")</f>
        <v>BSGatlas-operon-5</v>
      </c>
      <c r="B13" s="2" t="str">
        <f>HYPERLINK("https://rth.dk/resources/bsgatlas/details.php?id=BSGatlas-gene-14","BSGatlas-gene-14")</f>
        <v>BSGatlas-gene-14</v>
      </c>
      <c r="C13" s="1" t="s">
        <v>24</v>
      </c>
      <c r="D13" s="1" t="s">
        <v>23</v>
      </c>
      <c r="E13" s="3">
        <v>11551</v>
      </c>
      <c r="F13" s="3">
        <v>11627</v>
      </c>
      <c r="G13" s="1" t="s">
        <v>9</v>
      </c>
      <c r="H13" s="1" t="b">
        <f t="shared" si="0"/>
        <v>1</v>
      </c>
    </row>
    <row r="14" spans="1:8" ht="21" x14ac:dyDescent="0.25">
      <c r="A14" s="2" t="str">
        <f>HYPERLINK("https://rth.dk/resources/bsgatlas/details.php?id=BSGatlas-operon-5","BSGatlas-operon-5")</f>
        <v>BSGatlas-operon-5</v>
      </c>
      <c r="B14" s="2" t="str">
        <f>HYPERLINK("https://rth.dk/resources/bsgatlas/details.php?id=BSGatlas-gene-15","BSGatlas-gene-15")</f>
        <v>BSGatlas-gene-15</v>
      </c>
      <c r="C14" s="1" t="s">
        <v>25</v>
      </c>
      <c r="D14" s="1" t="s">
        <v>21</v>
      </c>
      <c r="E14" s="3">
        <v>11706</v>
      </c>
      <c r="F14" s="3">
        <v>14636</v>
      </c>
      <c r="G14" s="1" t="s">
        <v>9</v>
      </c>
      <c r="H14" s="1" t="b">
        <f t="shared" si="0"/>
        <v>1</v>
      </c>
    </row>
    <row r="15" spans="1:8" ht="21" x14ac:dyDescent="0.25">
      <c r="A15" s="2" t="str">
        <f>HYPERLINK("https://rth.dk/resources/bsgatlas/details.php?id=BSGatlas-operon-5","BSGatlas-operon-5")</f>
        <v>BSGatlas-operon-5</v>
      </c>
      <c r="B15" s="2" t="str">
        <f>HYPERLINK("https://rth.dk/resources/bsgatlas/details.php?id=BSGatlas-gene-16","BSGatlas-gene-16")</f>
        <v>BSGatlas-gene-16</v>
      </c>
      <c r="C15" s="1" t="s">
        <v>26</v>
      </c>
      <c r="D15" s="1" t="s">
        <v>21</v>
      </c>
      <c r="E15" s="3">
        <v>14691</v>
      </c>
      <c r="F15" s="3">
        <v>14810</v>
      </c>
      <c r="G15" s="1" t="s">
        <v>9</v>
      </c>
      <c r="H15" s="1" t="b">
        <f t="shared" si="0"/>
        <v>1</v>
      </c>
    </row>
    <row r="16" spans="1:8" ht="21" x14ac:dyDescent="0.25">
      <c r="A16" s="2" t="str">
        <f>HYPERLINK("https://rth.dk/resources/bsgatlas/details.php?id=BSGatlas-operon-6","BSGatlas-operon-6")</f>
        <v>BSGatlas-operon-6</v>
      </c>
      <c r="B16" s="2" t="str">
        <f>HYPERLINK("https://rth.dk/resources/bsgatlas/details.php?id=BSGatlas-gene-17","BSGatlas-gene-17")</f>
        <v>BSGatlas-gene-17</v>
      </c>
      <c r="C16" s="1" t="s">
        <v>27</v>
      </c>
      <c r="D16" s="1" t="s">
        <v>8</v>
      </c>
      <c r="E16" s="3">
        <v>14847</v>
      </c>
      <c r="F16" s="3">
        <v>15794</v>
      </c>
      <c r="G16" s="1" t="s">
        <v>13</v>
      </c>
      <c r="H16" s="1" t="b">
        <f t="shared" si="0"/>
        <v>0</v>
      </c>
    </row>
    <row r="17" spans="1:8" ht="21" x14ac:dyDescent="0.25">
      <c r="A17" s="2" t="str">
        <f>HYPERLINK("https://rth.dk/resources/bsgatlas/details.php?id=BSGatlas-operon-7","BSGatlas-operon-7")</f>
        <v>BSGatlas-operon-7</v>
      </c>
      <c r="B17" s="2" t="str">
        <f>HYPERLINK("https://rth.dk/resources/bsgatlas/details.php?id=BSGatlas-gene-18","BSGatlas-gene-18")</f>
        <v>BSGatlas-gene-18</v>
      </c>
      <c r="C17" s="1" t="s">
        <v>28</v>
      </c>
      <c r="D17" s="1" t="s">
        <v>8</v>
      </c>
      <c r="E17" s="3">
        <v>15915</v>
      </c>
      <c r="F17" s="3">
        <v>17381</v>
      </c>
      <c r="G17" s="1" t="s">
        <v>9</v>
      </c>
      <c r="H17" s="1" t="b">
        <f t="shared" si="0"/>
        <v>1</v>
      </c>
    </row>
    <row r="18" spans="1:8" ht="21" x14ac:dyDescent="0.25">
      <c r="A18" s="2" t="str">
        <f>HYPERLINK("https://rth.dk/resources/bsgatlas/details.php?id=BSGatlas-operon-8","BSGatlas-operon-8")</f>
        <v>BSGatlas-operon-8</v>
      </c>
      <c r="B18" s="2" t="str">
        <f>HYPERLINK("https://rth.dk/resources/bsgatlas/details.php?id=BSGatlas-gene-19","BSGatlas-gene-19")</f>
        <v>BSGatlas-gene-19</v>
      </c>
      <c r="C18" s="1" t="s">
        <v>29</v>
      </c>
      <c r="D18" s="1" t="s">
        <v>12</v>
      </c>
      <c r="E18" s="3">
        <v>17238</v>
      </c>
      <c r="F18" s="3">
        <v>17833</v>
      </c>
      <c r="G18" s="1" t="s">
        <v>13</v>
      </c>
      <c r="H18" s="1" t="b">
        <f t="shared" si="0"/>
        <v>0</v>
      </c>
    </row>
    <row r="19" spans="1:8" ht="21" x14ac:dyDescent="0.25">
      <c r="A19" s="2" t="str">
        <f>HYPERLINK("https://rth.dk/resources/bsgatlas/details.php?id=BSGatlas-operon-9","BSGatlas-operon-9")</f>
        <v>BSGatlas-operon-9</v>
      </c>
      <c r="B19" s="2" t="str">
        <f>HYPERLINK("https://rth.dk/resources/bsgatlas/details.php?id=BSGatlas-gene-20","BSGatlas-gene-20")</f>
        <v>BSGatlas-gene-20</v>
      </c>
      <c r="C19" s="1" t="s">
        <v>30</v>
      </c>
      <c r="D19" s="1" t="s">
        <v>8</v>
      </c>
      <c r="E19" s="3">
        <v>17534</v>
      </c>
      <c r="F19" s="3">
        <v>18865</v>
      </c>
      <c r="G19" s="1" t="s">
        <v>9</v>
      </c>
      <c r="H19" s="1" t="b">
        <f t="shared" si="0"/>
        <v>1</v>
      </c>
    </row>
    <row r="20" spans="1:8" ht="21" x14ac:dyDescent="0.25">
      <c r="A20" s="2" t="str">
        <f>HYPERLINK("https://rth.dk/resources/bsgatlas/details.php?id=BSGatlas-operon-9","BSGatlas-operon-9")</f>
        <v>BSGatlas-operon-9</v>
      </c>
      <c r="B20" s="2" t="str">
        <f>HYPERLINK("https://rth.dk/resources/bsgatlas/details.php?id=BSGatlas-gene-21","BSGatlas-gene-21")</f>
        <v>BSGatlas-gene-21</v>
      </c>
      <c r="C20" s="1" t="s">
        <v>31</v>
      </c>
      <c r="D20" s="1" t="s">
        <v>8</v>
      </c>
      <c r="E20" s="3">
        <v>19062</v>
      </c>
      <c r="F20" s="3">
        <v>19946</v>
      </c>
      <c r="G20" s="1" t="s">
        <v>9</v>
      </c>
      <c r="H20" s="1" t="b">
        <f t="shared" si="0"/>
        <v>1</v>
      </c>
    </row>
    <row r="21" spans="1:8" ht="21" x14ac:dyDescent="0.25">
      <c r="A21" s="2" t="str">
        <f>HYPERLINK("https://rth.dk/resources/bsgatlas/details.php?id=BSGatlas-operon-9","BSGatlas-operon-9")</f>
        <v>BSGatlas-operon-9</v>
      </c>
      <c r="B21" s="2" t="str">
        <f>HYPERLINK("https://rth.dk/resources/bsgatlas/details.php?id=BSGatlas-gene-23","BSGatlas-gene-23")</f>
        <v>BSGatlas-gene-23</v>
      </c>
      <c r="C21" s="1" t="s">
        <v>32</v>
      </c>
      <c r="D21" s="1" t="s">
        <v>8</v>
      </c>
      <c r="E21" s="3">
        <v>19968</v>
      </c>
      <c r="F21" s="3">
        <v>20558</v>
      </c>
      <c r="G21" s="1" t="s">
        <v>9</v>
      </c>
      <c r="H21" s="1" t="b">
        <f t="shared" si="0"/>
        <v>1</v>
      </c>
    </row>
    <row r="22" spans="1:8" ht="21" x14ac:dyDescent="0.25">
      <c r="A22" s="2" t="str">
        <f>HYPERLINK("https://rth.dk/resources/bsgatlas/details.php?id=BSGatlas-operon-9","BSGatlas-operon-9")</f>
        <v>BSGatlas-operon-9</v>
      </c>
      <c r="B22" s="2" t="str">
        <f>HYPERLINK("https://rth.dk/resources/bsgatlas/details.php?id=BSGatlas-gene-24","BSGatlas-gene-24")</f>
        <v>BSGatlas-gene-24</v>
      </c>
      <c r="C22" s="1" t="s">
        <v>33</v>
      </c>
      <c r="D22" s="1" t="s">
        <v>34</v>
      </c>
      <c r="E22" s="3">
        <v>20610</v>
      </c>
      <c r="F22" s="3">
        <v>20823</v>
      </c>
      <c r="G22" s="1" t="s">
        <v>9</v>
      </c>
      <c r="H22" s="1" t="b">
        <f t="shared" si="0"/>
        <v>1</v>
      </c>
    </row>
    <row r="23" spans="1:8" ht="21" x14ac:dyDescent="0.25">
      <c r="A23" s="2" t="str">
        <f>HYPERLINK("https://rth.dk/resources/bsgatlas/details.php?id=BSGatlas-operon-9","BSGatlas-operon-9")</f>
        <v>BSGatlas-operon-9</v>
      </c>
      <c r="B23" s="2" t="str">
        <f>HYPERLINK("https://rth.dk/resources/bsgatlas/details.php?id=BSGatlas-gene-25","BSGatlas-gene-25")</f>
        <v>BSGatlas-gene-25</v>
      </c>
      <c r="C23" s="1" t="s">
        <v>35</v>
      </c>
      <c r="D23" s="1" t="s">
        <v>8</v>
      </c>
      <c r="E23" s="3">
        <v>20880</v>
      </c>
      <c r="F23" s="3">
        <v>22157</v>
      </c>
      <c r="G23" s="1" t="s">
        <v>9</v>
      </c>
      <c r="H23" s="1" t="b">
        <f t="shared" si="0"/>
        <v>1</v>
      </c>
    </row>
    <row r="24" spans="1:8" ht="21" x14ac:dyDescent="0.25">
      <c r="A24" s="2" t="str">
        <f>HYPERLINK("https://rth.dk/resources/bsgatlas/details.php?id=BSGatlas-operon-10","BSGatlas-operon-10")</f>
        <v>BSGatlas-operon-10</v>
      </c>
      <c r="B24" s="2" t="str">
        <f>HYPERLINK("https://rth.dk/resources/bsgatlas/details.php?id=BSGatlas-gene-22","BSGatlas-gene-22")</f>
        <v>BSGatlas-gene-22</v>
      </c>
      <c r="C24" s="1" t="s">
        <v>36</v>
      </c>
      <c r="D24" s="1" t="s">
        <v>12</v>
      </c>
      <c r="E24" s="3">
        <v>19194</v>
      </c>
      <c r="F24" s="3">
        <v>19923</v>
      </c>
      <c r="G24" s="1" t="s">
        <v>13</v>
      </c>
      <c r="H24" s="1" t="b">
        <f t="shared" si="0"/>
        <v>0</v>
      </c>
    </row>
    <row r="25" spans="1:8" ht="21" x14ac:dyDescent="0.25">
      <c r="A25" s="2" t="str">
        <f>HYPERLINK("https://rth.dk/resources/bsgatlas/details.php?id=BSGatlas-operon-11","BSGatlas-operon-11")</f>
        <v>BSGatlas-operon-11</v>
      </c>
      <c r="B25" s="2" t="str">
        <f>HYPERLINK("https://rth.dk/resources/bsgatlas/details.php?id=BSGatlas-gene-26","BSGatlas-gene-26")</f>
        <v>BSGatlas-gene-26</v>
      </c>
      <c r="C25" s="1" t="s">
        <v>37</v>
      </c>
      <c r="D25" s="1" t="s">
        <v>23</v>
      </c>
      <c r="E25" s="3">
        <v>22291</v>
      </c>
      <c r="F25" s="3">
        <v>22384</v>
      </c>
      <c r="G25" s="1" t="s">
        <v>9</v>
      </c>
      <c r="H25" s="1" t="b">
        <f t="shared" si="0"/>
        <v>1</v>
      </c>
    </row>
    <row r="26" spans="1:8" ht="21" x14ac:dyDescent="0.25">
      <c r="A26" s="2" t="str">
        <f>HYPERLINK("https://rth.dk/resources/bsgatlas/details.php?id=BSGatlas-operon-12","BSGatlas-operon-12")</f>
        <v>BSGatlas-operon-12</v>
      </c>
      <c r="B26" s="2" t="str">
        <f>HYPERLINK("https://rth.dk/resources/bsgatlas/details.php?id=BSGatlas-gene-27","BSGatlas-gene-27")</f>
        <v>BSGatlas-gene-27</v>
      </c>
      <c r="C26" s="1" t="s">
        <v>38</v>
      </c>
      <c r="D26" s="1" t="s">
        <v>8</v>
      </c>
      <c r="E26" s="3">
        <v>22496</v>
      </c>
      <c r="F26" s="3">
        <v>23149</v>
      </c>
      <c r="G26" s="1" t="s">
        <v>13</v>
      </c>
      <c r="H26" s="1" t="b">
        <f t="shared" si="0"/>
        <v>0</v>
      </c>
    </row>
    <row r="27" spans="1:8" ht="21" x14ac:dyDescent="0.25">
      <c r="A27" s="2" t="str">
        <f>HYPERLINK("https://rth.dk/resources/bsgatlas/details.php?id=BSGatlas-operon-12","BSGatlas-operon-12")</f>
        <v>BSGatlas-operon-12</v>
      </c>
      <c r="B27" s="2" t="str">
        <f>HYPERLINK("https://rth.dk/resources/bsgatlas/details.php?id=BSGatlas-gene-28","BSGatlas-gene-28")</f>
        <v>BSGatlas-gene-28</v>
      </c>
      <c r="C27" s="1" t="s">
        <v>39</v>
      </c>
      <c r="D27" s="1" t="s">
        <v>8</v>
      </c>
      <c r="E27" s="3">
        <v>23146</v>
      </c>
      <c r="F27" s="3">
        <v>23769</v>
      </c>
      <c r="G27" s="1" t="s">
        <v>13</v>
      </c>
      <c r="H27" s="1" t="b">
        <f t="shared" si="0"/>
        <v>0</v>
      </c>
    </row>
    <row r="28" spans="1:8" ht="21" x14ac:dyDescent="0.25">
      <c r="A28" s="2" t="str">
        <f>HYPERLINK("https://rth.dk/resources/bsgatlas/details.php?id=BSGatlas-operon-13","BSGatlas-operon-13")</f>
        <v>BSGatlas-operon-13</v>
      </c>
      <c r="B28" s="2" t="str">
        <f>HYPERLINK("https://rth.dk/resources/bsgatlas/details.php?id=BSGatlas-gene-29","BSGatlas-gene-29")</f>
        <v>BSGatlas-gene-29</v>
      </c>
      <c r="C28" s="1" t="s">
        <v>40</v>
      </c>
      <c r="D28" s="1" t="s">
        <v>8</v>
      </c>
      <c r="E28" s="3">
        <v>23868</v>
      </c>
      <c r="F28" s="3">
        <v>25151</v>
      </c>
      <c r="G28" s="1" t="s">
        <v>13</v>
      </c>
      <c r="H28" s="1" t="b">
        <f t="shared" si="0"/>
        <v>1</v>
      </c>
    </row>
    <row r="29" spans="1:8" ht="21" x14ac:dyDescent="0.25">
      <c r="A29" s="2" t="str">
        <f>HYPERLINK("https://rth.dk/resources/bsgatlas/details.php?id=BSGatlas-operon-13","BSGatlas-operon-13")</f>
        <v>BSGatlas-operon-13</v>
      </c>
      <c r="B29" s="2" t="str">
        <f>HYPERLINK("https://rth.dk/resources/bsgatlas/details.php?id=BSGatlas-gene-30","BSGatlas-gene-30")</f>
        <v>BSGatlas-gene-30</v>
      </c>
      <c r="C29" s="1" t="s">
        <v>41</v>
      </c>
      <c r="D29" s="1" t="s">
        <v>8</v>
      </c>
      <c r="E29" s="3">
        <v>25221</v>
      </c>
      <c r="F29" s="3">
        <v>25766</v>
      </c>
      <c r="G29" s="1" t="s">
        <v>13</v>
      </c>
      <c r="H29" s="1" t="b">
        <f t="shared" si="0"/>
        <v>1</v>
      </c>
    </row>
    <row r="30" spans="1:8" ht="21" x14ac:dyDescent="0.25">
      <c r="A30" s="2" t="str">
        <f>HYPERLINK("https://rth.dk/resources/bsgatlas/details.php?id=BSGatlas-operon-14","BSGatlas-operon-14")</f>
        <v>BSGatlas-operon-14</v>
      </c>
      <c r="B30" s="2" t="str">
        <f>HYPERLINK("https://rth.dk/resources/bsgatlas/details.php?id=BSGatlas-gene-31","BSGatlas-gene-31")</f>
        <v>BSGatlas-gene-31</v>
      </c>
      <c r="C30" s="1" t="s">
        <v>42</v>
      </c>
      <c r="D30" s="1" t="s">
        <v>8</v>
      </c>
      <c r="E30" s="3">
        <v>25852</v>
      </c>
      <c r="F30" s="3">
        <v>26337</v>
      </c>
      <c r="G30" s="1" t="s">
        <v>9</v>
      </c>
      <c r="H30" s="1" t="b">
        <f t="shared" si="0"/>
        <v>0</v>
      </c>
    </row>
    <row r="31" spans="1:8" ht="21" x14ac:dyDescent="0.25">
      <c r="A31" s="2" t="str">
        <f>HYPERLINK("https://rth.dk/resources/bsgatlas/details.php?id=BSGatlas-operon-14","BSGatlas-operon-14")</f>
        <v>BSGatlas-operon-14</v>
      </c>
      <c r="B31" s="2" t="str">
        <f>HYPERLINK("https://rth.dk/resources/bsgatlas/details.php?id=BSGatlas-gene-32","BSGatlas-gene-32")</f>
        <v>BSGatlas-gene-32</v>
      </c>
      <c r="C31" s="1" t="s">
        <v>43</v>
      </c>
      <c r="D31" s="1" t="s">
        <v>44</v>
      </c>
      <c r="E31" s="3">
        <v>26379</v>
      </c>
      <c r="F31" s="3">
        <v>26732</v>
      </c>
      <c r="G31" s="1" t="s">
        <v>9</v>
      </c>
      <c r="H31" s="1" t="b">
        <f t="shared" si="0"/>
        <v>0</v>
      </c>
    </row>
    <row r="32" spans="1:8" ht="21" x14ac:dyDescent="0.25">
      <c r="A32" s="2" t="str">
        <f>HYPERLINK("https://rth.dk/resources/bsgatlas/details.php?id=BSGatlas-operon-15","BSGatlas-operon-15")</f>
        <v>BSGatlas-operon-15</v>
      </c>
      <c r="B32" s="2" t="str">
        <f>HYPERLINK("https://rth.dk/resources/bsgatlas/details.php?id=BSGatlas-gene-33","BSGatlas-gene-33")</f>
        <v>BSGatlas-gene-33</v>
      </c>
      <c r="C32" s="1" t="s">
        <v>45</v>
      </c>
      <c r="D32" s="1" t="s">
        <v>8</v>
      </c>
      <c r="E32" s="3">
        <v>26814</v>
      </c>
      <c r="F32" s="3">
        <v>28505</v>
      </c>
      <c r="G32" s="1" t="s">
        <v>9</v>
      </c>
      <c r="H32" s="1" t="b">
        <f t="shared" si="0"/>
        <v>1</v>
      </c>
    </row>
    <row r="33" spans="1:8" ht="21" x14ac:dyDescent="0.25">
      <c r="A33" s="2" t="str">
        <f>HYPERLINK("https://rth.dk/resources/bsgatlas/details.php?id=BSGatlas-operon-15","BSGatlas-operon-15")</f>
        <v>BSGatlas-operon-15</v>
      </c>
      <c r="B33" s="2" t="str">
        <f>HYPERLINK("https://rth.dk/resources/bsgatlas/details.php?id=BSGatlas-gene-34","BSGatlas-gene-34")</f>
        <v>BSGatlas-gene-34</v>
      </c>
      <c r="C33" s="1" t="s">
        <v>46</v>
      </c>
      <c r="D33" s="1" t="s">
        <v>8</v>
      </c>
      <c r="E33" s="3">
        <v>28529</v>
      </c>
      <c r="F33" s="3">
        <v>28852</v>
      </c>
      <c r="G33" s="1" t="s">
        <v>9</v>
      </c>
      <c r="H33" s="1" t="b">
        <f t="shared" si="0"/>
        <v>1</v>
      </c>
    </row>
    <row r="34" spans="1:8" ht="21" x14ac:dyDescent="0.25">
      <c r="A34" s="2" t="str">
        <f>HYPERLINK("https://rth.dk/resources/bsgatlas/details.php?id=BSGatlas-operon-15","BSGatlas-operon-15")</f>
        <v>BSGatlas-operon-15</v>
      </c>
      <c r="B34" s="2" t="str">
        <f>HYPERLINK("https://rth.dk/resources/bsgatlas/details.php?id=BSGatlas-gene-35","BSGatlas-gene-35")</f>
        <v>BSGatlas-gene-35</v>
      </c>
      <c r="C34" s="1" t="s">
        <v>47</v>
      </c>
      <c r="D34" s="1" t="s">
        <v>8</v>
      </c>
      <c r="E34" s="3">
        <v>28867</v>
      </c>
      <c r="F34" s="3">
        <v>29463</v>
      </c>
      <c r="G34" s="1" t="s">
        <v>9</v>
      </c>
      <c r="H34" s="1" t="b">
        <f t="shared" si="0"/>
        <v>1</v>
      </c>
    </row>
    <row r="35" spans="1:8" ht="21" x14ac:dyDescent="0.25">
      <c r="A35" s="2" t="str">
        <f>HYPERLINK("https://rth.dk/resources/bsgatlas/details.php?id=BSGatlas-operon-15","BSGatlas-operon-15")</f>
        <v>BSGatlas-operon-15</v>
      </c>
      <c r="B35" s="2" t="str">
        <f>HYPERLINK("https://rth.dk/resources/bsgatlas/details.php?id=BSGatlas-gene-36","BSGatlas-gene-36")</f>
        <v>BSGatlas-gene-36</v>
      </c>
      <c r="C35" s="1" t="s">
        <v>48</v>
      </c>
      <c r="D35" s="1" t="s">
        <v>8</v>
      </c>
      <c r="E35" s="3">
        <v>29481</v>
      </c>
      <c r="F35" s="3">
        <v>29705</v>
      </c>
      <c r="G35" s="1" t="s">
        <v>9</v>
      </c>
      <c r="H35" s="1" t="b">
        <f t="shared" si="0"/>
        <v>1</v>
      </c>
    </row>
    <row r="36" spans="1:8" ht="21" x14ac:dyDescent="0.25">
      <c r="A36" s="2" t="str">
        <f>HYPERLINK("https://rth.dk/resources/bsgatlas/details.php?id=BSGatlas-operon-15","BSGatlas-operon-15")</f>
        <v>BSGatlas-operon-15</v>
      </c>
      <c r="B36" s="2" t="str">
        <f>HYPERLINK("https://rth.dk/resources/bsgatlas/details.php?id=BSGatlas-gene-37","BSGatlas-gene-37")</f>
        <v>BSGatlas-gene-37</v>
      </c>
      <c r="C36" s="1" t="s">
        <v>49</v>
      </c>
      <c r="D36" s="1" t="s">
        <v>8</v>
      </c>
      <c r="E36" s="3">
        <v>29772</v>
      </c>
      <c r="F36" s="3">
        <v>30035</v>
      </c>
      <c r="G36" s="1" t="s">
        <v>9</v>
      </c>
      <c r="H36" s="1" t="b">
        <f t="shared" si="0"/>
        <v>1</v>
      </c>
    </row>
    <row r="37" spans="1:8" ht="21" x14ac:dyDescent="0.25">
      <c r="A37" s="2" t="str">
        <f t="shared" ref="A37:A42" si="1">HYPERLINK("https://rth.dk/resources/bsgatlas/details.php?id=BSGatlas-operon-16","BSGatlas-operon-16")</f>
        <v>BSGatlas-operon-16</v>
      </c>
      <c r="B37" s="2" t="str">
        <f>HYPERLINK("https://rth.dk/resources/bsgatlas/details.php?id=BSGatlas-gene-38","BSGatlas-gene-38")</f>
        <v>BSGatlas-gene-38</v>
      </c>
      <c r="C37" s="1" t="s">
        <v>50</v>
      </c>
      <c r="D37" s="1" t="s">
        <v>21</v>
      </c>
      <c r="E37" s="3">
        <v>30279</v>
      </c>
      <c r="F37" s="3">
        <v>31832</v>
      </c>
      <c r="G37" s="1" t="s">
        <v>9</v>
      </c>
      <c r="H37" s="1" t="b">
        <f t="shared" si="0"/>
        <v>0</v>
      </c>
    </row>
    <row r="38" spans="1:8" ht="21" x14ac:dyDescent="0.25">
      <c r="A38" s="2" t="str">
        <f t="shared" si="1"/>
        <v>BSGatlas-operon-16</v>
      </c>
      <c r="B38" s="2" t="str">
        <f>HYPERLINK("https://rth.dk/resources/bsgatlas/details.php?id=BSGatlas-gene-39","BSGatlas-gene-39")</f>
        <v>BSGatlas-gene-39</v>
      </c>
      <c r="C38" s="1" t="s">
        <v>51</v>
      </c>
      <c r="D38" s="1" t="s">
        <v>23</v>
      </c>
      <c r="E38" s="3">
        <v>31931</v>
      </c>
      <c r="F38" s="3">
        <v>32008</v>
      </c>
      <c r="G38" s="1" t="s">
        <v>9</v>
      </c>
      <c r="H38" s="1" t="b">
        <f t="shared" si="0"/>
        <v>0</v>
      </c>
    </row>
    <row r="39" spans="1:8" ht="21" x14ac:dyDescent="0.25">
      <c r="A39" s="2" t="str">
        <f t="shared" si="1"/>
        <v>BSGatlas-operon-16</v>
      </c>
      <c r="B39" s="2" t="str">
        <f>HYPERLINK("https://rth.dk/resources/bsgatlas/details.php?id=BSGatlas-gene-40","BSGatlas-gene-40")</f>
        <v>BSGatlas-gene-40</v>
      </c>
      <c r="C39" s="1" t="s">
        <v>52</v>
      </c>
      <c r="D39" s="1" t="s">
        <v>23</v>
      </c>
      <c r="E39" s="3">
        <v>32019</v>
      </c>
      <c r="F39" s="3">
        <v>32095</v>
      </c>
      <c r="G39" s="1" t="s">
        <v>9</v>
      </c>
      <c r="H39" s="1" t="b">
        <f t="shared" si="0"/>
        <v>0</v>
      </c>
    </row>
    <row r="40" spans="1:8" ht="21" x14ac:dyDescent="0.25">
      <c r="A40" s="2" t="str">
        <f t="shared" si="1"/>
        <v>BSGatlas-operon-16</v>
      </c>
      <c r="B40" s="2" t="str">
        <f>HYPERLINK("https://rth.dk/resources/bsgatlas/details.php?id=BSGatlas-gene-41","BSGatlas-gene-41")</f>
        <v>BSGatlas-gene-41</v>
      </c>
      <c r="C40" s="1" t="s">
        <v>53</v>
      </c>
      <c r="D40" s="1" t="s">
        <v>21</v>
      </c>
      <c r="E40" s="3">
        <v>32174</v>
      </c>
      <c r="F40" s="3">
        <v>35104</v>
      </c>
      <c r="G40" s="1" t="s">
        <v>9</v>
      </c>
      <c r="H40" s="1" t="b">
        <f t="shared" si="0"/>
        <v>0</v>
      </c>
    </row>
    <row r="41" spans="1:8" ht="21" x14ac:dyDescent="0.25">
      <c r="A41" s="2" t="str">
        <f t="shared" si="1"/>
        <v>BSGatlas-operon-16</v>
      </c>
      <c r="B41" s="2" t="str">
        <f>HYPERLINK("https://rth.dk/resources/bsgatlas/details.php?id=BSGatlas-gene-42","BSGatlas-gene-42")</f>
        <v>BSGatlas-gene-42</v>
      </c>
      <c r="C41" s="1" t="s">
        <v>54</v>
      </c>
      <c r="D41" s="1" t="s">
        <v>55</v>
      </c>
      <c r="E41" s="3">
        <v>35163</v>
      </c>
      <c r="F41" s="3">
        <v>35230</v>
      </c>
      <c r="G41" s="1" t="s">
        <v>9</v>
      </c>
      <c r="H41" s="1" t="b">
        <f t="shared" si="0"/>
        <v>0</v>
      </c>
    </row>
    <row r="42" spans="1:8" ht="21" x14ac:dyDescent="0.25">
      <c r="A42" s="2" t="str">
        <f t="shared" si="1"/>
        <v>BSGatlas-operon-16</v>
      </c>
      <c r="B42" s="2" t="str">
        <f>HYPERLINK("https://rth.dk/resources/bsgatlas/details.php?id=BSGatlas-gene-43","BSGatlas-gene-43")</f>
        <v>BSGatlas-gene-43</v>
      </c>
      <c r="C42" s="1" t="s">
        <v>56</v>
      </c>
      <c r="D42" s="1" t="s">
        <v>21</v>
      </c>
      <c r="E42" s="3">
        <v>35236</v>
      </c>
      <c r="F42" s="3">
        <v>35355</v>
      </c>
      <c r="G42" s="1" t="s">
        <v>9</v>
      </c>
      <c r="H42" s="1" t="b">
        <f t="shared" si="0"/>
        <v>0</v>
      </c>
    </row>
    <row r="43" spans="1:8" ht="21" x14ac:dyDescent="0.25">
      <c r="A43" s="2" t="str">
        <f>HYPERLINK("https://rth.dk/resources/bsgatlas/details.php?id=BSGatlas-operon-17","BSGatlas-operon-17")</f>
        <v>BSGatlas-operon-17</v>
      </c>
      <c r="B43" s="2" t="str">
        <f>HYPERLINK("https://rth.dk/resources/bsgatlas/details.php?id=BSGatlas-gene-44","BSGatlas-gene-44")</f>
        <v>BSGatlas-gene-44</v>
      </c>
      <c r="C43" s="1" t="s">
        <v>57</v>
      </c>
      <c r="D43" s="1" t="s">
        <v>8</v>
      </c>
      <c r="E43" s="3">
        <v>35531</v>
      </c>
      <c r="F43" s="3">
        <v>35725</v>
      </c>
      <c r="G43" s="1" t="s">
        <v>9</v>
      </c>
      <c r="H43" s="1" t="b">
        <f t="shared" si="0"/>
        <v>1</v>
      </c>
    </row>
    <row r="44" spans="1:8" ht="21" x14ac:dyDescent="0.25">
      <c r="A44" s="2" t="str">
        <f t="shared" ref="A44:A55" si="2">HYPERLINK("https://rth.dk/resources/bsgatlas/details.php?id=BSGatlas-operon-18","BSGatlas-operon-18")</f>
        <v>BSGatlas-operon-18</v>
      </c>
      <c r="B44" s="2" t="str">
        <f>HYPERLINK("https://rth.dk/resources/bsgatlas/details.php?id=BSGatlas-gene-45","BSGatlas-gene-45")</f>
        <v>BSGatlas-gene-45</v>
      </c>
      <c r="C44" s="1" t="s">
        <v>58</v>
      </c>
      <c r="D44" s="1" t="s">
        <v>8</v>
      </c>
      <c r="E44" s="3">
        <v>35845</v>
      </c>
      <c r="F44" s="3">
        <v>36459</v>
      </c>
      <c r="G44" s="1" t="s">
        <v>9</v>
      </c>
      <c r="H44" s="1" t="b">
        <f t="shared" si="0"/>
        <v>0</v>
      </c>
    </row>
    <row r="45" spans="1:8" ht="21" x14ac:dyDescent="0.25">
      <c r="A45" s="2" t="str">
        <f t="shared" si="2"/>
        <v>BSGatlas-operon-18</v>
      </c>
      <c r="B45" s="2" t="str">
        <f>HYPERLINK("https://rth.dk/resources/bsgatlas/details.php?id=BSGatlas-gene-46","BSGatlas-gene-46")</f>
        <v>BSGatlas-gene-46</v>
      </c>
      <c r="C45" s="1" t="s">
        <v>59</v>
      </c>
      <c r="D45" s="1" t="s">
        <v>8</v>
      </c>
      <c r="E45" s="3">
        <v>36478</v>
      </c>
      <c r="F45" s="3">
        <v>37638</v>
      </c>
      <c r="G45" s="1" t="s">
        <v>9</v>
      </c>
      <c r="H45" s="1" t="b">
        <f t="shared" si="0"/>
        <v>0</v>
      </c>
    </row>
    <row r="46" spans="1:8" ht="21" x14ac:dyDescent="0.25">
      <c r="A46" s="2" t="str">
        <f t="shared" si="2"/>
        <v>BSGatlas-operon-18</v>
      </c>
      <c r="B46" s="2" t="str">
        <f>HYPERLINK("https://rth.dk/resources/bsgatlas/details.php?id=BSGatlas-gene-47","BSGatlas-gene-47")</f>
        <v>BSGatlas-gene-47</v>
      </c>
      <c r="C46" s="1" t="s">
        <v>60</v>
      </c>
      <c r="D46" s="1" t="s">
        <v>8</v>
      </c>
      <c r="E46" s="3">
        <v>37720</v>
      </c>
      <c r="F46" s="3">
        <v>39162</v>
      </c>
      <c r="G46" s="1" t="s">
        <v>9</v>
      </c>
      <c r="H46" s="1" t="b">
        <f t="shared" si="0"/>
        <v>0</v>
      </c>
    </row>
    <row r="47" spans="1:8" ht="21" x14ac:dyDescent="0.25">
      <c r="A47" s="2" t="str">
        <f t="shared" si="2"/>
        <v>BSGatlas-operon-18</v>
      </c>
      <c r="B47" s="2" t="str">
        <f>HYPERLINK("https://rth.dk/resources/bsgatlas/details.php?id=BSGatlas-gene-48","BSGatlas-gene-48")</f>
        <v>BSGatlas-gene-48</v>
      </c>
      <c r="C47" s="1" t="s">
        <v>61</v>
      </c>
      <c r="D47" s="1" t="s">
        <v>8</v>
      </c>
      <c r="E47" s="3">
        <v>39159</v>
      </c>
      <c r="F47" s="3">
        <v>39797</v>
      </c>
      <c r="G47" s="1" t="s">
        <v>9</v>
      </c>
      <c r="H47" s="1" t="b">
        <f t="shared" si="0"/>
        <v>0</v>
      </c>
    </row>
    <row r="48" spans="1:8" ht="21" x14ac:dyDescent="0.25">
      <c r="A48" s="2" t="str">
        <f t="shared" si="2"/>
        <v>BSGatlas-operon-18</v>
      </c>
      <c r="B48" s="2" t="str">
        <f>HYPERLINK("https://rth.dk/resources/bsgatlas/details.php?id=BSGatlas-gene-49","BSGatlas-gene-49")</f>
        <v>BSGatlas-gene-49</v>
      </c>
      <c r="C48" s="1" t="s">
        <v>62</v>
      </c>
      <c r="D48" s="1" t="s">
        <v>8</v>
      </c>
      <c r="E48" s="3">
        <v>39871</v>
      </c>
      <c r="F48" s="3">
        <v>40200</v>
      </c>
      <c r="G48" s="1" t="s">
        <v>9</v>
      </c>
      <c r="H48" s="1" t="b">
        <f t="shared" si="0"/>
        <v>0</v>
      </c>
    </row>
    <row r="49" spans="1:8" ht="21" x14ac:dyDescent="0.25">
      <c r="A49" s="2" t="str">
        <f t="shared" si="2"/>
        <v>BSGatlas-operon-18</v>
      </c>
      <c r="B49" s="2" t="str">
        <f>HYPERLINK("https://rth.dk/resources/bsgatlas/details.php?id=BSGatlas-gene-50","BSGatlas-gene-50")</f>
        <v>BSGatlas-gene-50</v>
      </c>
      <c r="C49" s="1" t="s">
        <v>63</v>
      </c>
      <c r="D49" s="1" t="s">
        <v>8</v>
      </c>
      <c r="E49" s="3">
        <v>40213</v>
      </c>
      <c r="F49" s="3">
        <v>40653</v>
      </c>
      <c r="G49" s="1" t="s">
        <v>9</v>
      </c>
      <c r="H49" s="1" t="b">
        <f t="shared" si="0"/>
        <v>0</v>
      </c>
    </row>
    <row r="50" spans="1:8" ht="21" x14ac:dyDescent="0.25">
      <c r="A50" s="2" t="str">
        <f t="shared" si="2"/>
        <v>BSGatlas-operon-18</v>
      </c>
      <c r="B50" s="2" t="str">
        <f>HYPERLINK("https://rth.dk/resources/bsgatlas/details.php?id=BSGatlas-gene-51","BSGatlas-gene-51")</f>
        <v>BSGatlas-gene-51</v>
      </c>
      <c r="C50" s="1" t="s">
        <v>64</v>
      </c>
      <c r="D50" s="1" t="s">
        <v>8</v>
      </c>
      <c r="E50" s="3">
        <v>40665</v>
      </c>
      <c r="F50" s="3">
        <v>41654</v>
      </c>
      <c r="G50" s="1" t="s">
        <v>9</v>
      </c>
      <c r="H50" s="1" t="b">
        <f t="shared" si="0"/>
        <v>0</v>
      </c>
    </row>
    <row r="51" spans="1:8" ht="21" x14ac:dyDescent="0.25">
      <c r="A51" s="2" t="str">
        <f t="shared" si="2"/>
        <v>BSGatlas-operon-18</v>
      </c>
      <c r="B51" s="2" t="str">
        <f>HYPERLINK("https://rth.dk/resources/bsgatlas/details.php?id=BSGatlas-gene-52","BSGatlas-gene-52")</f>
        <v>BSGatlas-gene-52</v>
      </c>
      <c r="C51" s="1" t="s">
        <v>65</v>
      </c>
      <c r="D51" s="1" t="s">
        <v>8</v>
      </c>
      <c r="E51" s="3">
        <v>41657</v>
      </c>
      <c r="F51" s="3">
        <v>42484</v>
      </c>
      <c r="G51" s="1" t="s">
        <v>9</v>
      </c>
      <c r="H51" s="1" t="b">
        <f t="shared" si="0"/>
        <v>0</v>
      </c>
    </row>
    <row r="52" spans="1:8" ht="21" x14ac:dyDescent="0.25">
      <c r="A52" s="2" t="str">
        <f t="shared" si="2"/>
        <v>BSGatlas-operon-18</v>
      </c>
      <c r="B52" s="2" t="str">
        <f>HYPERLINK("https://rth.dk/resources/bsgatlas/details.php?id=BSGatlas-gene-53","BSGatlas-gene-53")</f>
        <v>BSGatlas-gene-53</v>
      </c>
      <c r="C52" s="1" t="s">
        <v>66</v>
      </c>
      <c r="D52" s="1" t="s">
        <v>8</v>
      </c>
      <c r="E52" s="3">
        <v>42499</v>
      </c>
      <c r="F52" s="3">
        <v>42858</v>
      </c>
      <c r="G52" s="1" t="s">
        <v>9</v>
      </c>
      <c r="H52" s="1" t="b">
        <f t="shared" si="0"/>
        <v>0</v>
      </c>
    </row>
    <row r="53" spans="1:8" ht="21" x14ac:dyDescent="0.25">
      <c r="A53" s="2" t="str">
        <f t="shared" si="2"/>
        <v>BSGatlas-operon-18</v>
      </c>
      <c r="B53" s="2" t="str">
        <f>HYPERLINK("https://rth.dk/resources/bsgatlas/details.php?id=BSGatlas-gene-54","BSGatlas-gene-54")</f>
        <v>BSGatlas-gene-54</v>
      </c>
      <c r="C53" s="1" t="s">
        <v>67</v>
      </c>
      <c r="D53" s="1" t="s">
        <v>8</v>
      </c>
      <c r="E53" s="3">
        <v>42917</v>
      </c>
      <c r="F53" s="3">
        <v>43660</v>
      </c>
      <c r="G53" s="1" t="s">
        <v>9</v>
      </c>
      <c r="H53" s="1" t="b">
        <f t="shared" si="0"/>
        <v>0</v>
      </c>
    </row>
    <row r="54" spans="1:8" ht="21" x14ac:dyDescent="0.25">
      <c r="A54" s="2" t="str">
        <f t="shared" si="2"/>
        <v>BSGatlas-operon-18</v>
      </c>
      <c r="B54" s="2" t="str">
        <f>HYPERLINK("https://rth.dk/resources/bsgatlas/details.php?id=BSGatlas-gene-55","BSGatlas-gene-55")</f>
        <v>BSGatlas-gene-55</v>
      </c>
      <c r="C54" s="1" t="s">
        <v>68</v>
      </c>
      <c r="D54" s="1" t="s">
        <v>8</v>
      </c>
      <c r="E54" s="3">
        <v>43647</v>
      </c>
      <c r="F54" s="3">
        <v>43946</v>
      </c>
      <c r="G54" s="1" t="s">
        <v>9</v>
      </c>
      <c r="H54" s="1" t="b">
        <f t="shared" si="0"/>
        <v>0</v>
      </c>
    </row>
    <row r="55" spans="1:8" ht="21" x14ac:dyDescent="0.25">
      <c r="A55" s="2" t="str">
        <f t="shared" si="2"/>
        <v>BSGatlas-operon-18</v>
      </c>
      <c r="B55" s="2" t="str">
        <f>HYPERLINK("https://rth.dk/resources/bsgatlas/details.php?id=BSGatlas-gene-56","BSGatlas-gene-56")</f>
        <v>BSGatlas-gene-56</v>
      </c>
      <c r="C55" s="1" t="s">
        <v>69</v>
      </c>
      <c r="D55" s="1" t="s">
        <v>8</v>
      </c>
      <c r="E55" s="3">
        <v>43921</v>
      </c>
      <c r="F55" s="3">
        <v>44799</v>
      </c>
      <c r="G55" s="1" t="s">
        <v>9</v>
      </c>
      <c r="H55" s="1" t="b">
        <f t="shared" si="0"/>
        <v>0</v>
      </c>
    </row>
    <row r="56" spans="1:8" ht="21" x14ac:dyDescent="0.25">
      <c r="A56" s="2" t="str">
        <f>HYPERLINK("https://rth.dk/resources/bsgatlas/details.php?id=BSGatlas-operon-19","BSGatlas-operon-19")</f>
        <v>BSGatlas-operon-19</v>
      </c>
      <c r="B56" s="2" t="str">
        <f>HYPERLINK("https://rth.dk/resources/bsgatlas/details.php?id=BSGatlas-gene-57","BSGatlas-gene-57")</f>
        <v>BSGatlas-gene-57</v>
      </c>
      <c r="C56" s="1" t="s">
        <v>70</v>
      </c>
      <c r="D56" s="1" t="s">
        <v>8</v>
      </c>
      <c r="E56" s="3">
        <v>44848</v>
      </c>
      <c r="F56" s="3">
        <v>45138</v>
      </c>
      <c r="G56" s="1" t="s">
        <v>13</v>
      </c>
      <c r="H56" s="1" t="b">
        <f t="shared" si="0"/>
        <v>1</v>
      </c>
    </row>
    <row r="57" spans="1:8" ht="21" x14ac:dyDescent="0.25">
      <c r="A57" s="2" t="str">
        <f>HYPERLINK("https://rth.dk/resources/bsgatlas/details.php?id=BSGatlas-operon-20","BSGatlas-operon-20")</f>
        <v>BSGatlas-operon-20</v>
      </c>
      <c r="B57" s="2" t="str">
        <f>HYPERLINK("https://rth.dk/resources/bsgatlas/details.php?id=BSGatlas-gene-59","BSGatlas-gene-59")</f>
        <v>BSGatlas-gene-59</v>
      </c>
      <c r="C57" s="1" t="s">
        <v>71</v>
      </c>
      <c r="D57" s="1" t="s">
        <v>8</v>
      </c>
      <c r="E57" s="3">
        <v>45633</v>
      </c>
      <c r="F57" s="3">
        <v>47627</v>
      </c>
      <c r="G57" s="1" t="s">
        <v>9</v>
      </c>
      <c r="H57" s="1" t="b">
        <f t="shared" si="0"/>
        <v>0</v>
      </c>
    </row>
    <row r="58" spans="1:8" ht="21" x14ac:dyDescent="0.25">
      <c r="A58" s="2" t="str">
        <f>HYPERLINK("https://rth.dk/resources/bsgatlas/details.php?id=BSGatlas-operon-20","BSGatlas-operon-20")</f>
        <v>BSGatlas-operon-20</v>
      </c>
      <c r="B58" s="2" t="str">
        <f>HYPERLINK("https://rth.dk/resources/bsgatlas/details.php?id=BSGatlas-gene-61","BSGatlas-gene-61")</f>
        <v>BSGatlas-gene-61</v>
      </c>
      <c r="C58" s="1" t="s">
        <v>72</v>
      </c>
      <c r="D58" s="1" t="s">
        <v>8</v>
      </c>
      <c r="E58" s="3">
        <v>47706</v>
      </c>
      <c r="F58" s="3">
        <v>48473</v>
      </c>
      <c r="G58" s="1" t="s">
        <v>9</v>
      </c>
      <c r="H58" s="1" t="b">
        <f t="shared" si="0"/>
        <v>0</v>
      </c>
    </row>
    <row r="59" spans="1:8" ht="21" x14ac:dyDescent="0.25">
      <c r="A59" s="2" t="str">
        <f>HYPERLINK("https://rth.dk/resources/bsgatlas/details.php?id=BSGatlas-operon-21","BSGatlas-operon-21")</f>
        <v>BSGatlas-operon-21</v>
      </c>
      <c r="B59" s="2" t="str">
        <f>HYPERLINK("https://rth.dk/resources/bsgatlas/details.php?id=BSGatlas-gene-60","BSGatlas-gene-60")</f>
        <v>BSGatlas-gene-60</v>
      </c>
      <c r="C59" s="1" t="s">
        <v>73</v>
      </c>
      <c r="D59" s="1" t="s">
        <v>12</v>
      </c>
      <c r="E59" s="3">
        <v>47673</v>
      </c>
      <c r="F59" s="3">
        <v>50019</v>
      </c>
      <c r="G59" s="1" t="s">
        <v>13</v>
      </c>
      <c r="H59" s="1" t="b">
        <f t="shared" si="0"/>
        <v>1</v>
      </c>
    </row>
    <row r="60" spans="1:8" ht="21" x14ac:dyDescent="0.25">
      <c r="A60" s="2" t="str">
        <f>HYPERLINK("https://rth.dk/resources/bsgatlas/details.php?id=BSGatlas-operon-22","BSGatlas-operon-22")</f>
        <v>BSGatlas-operon-22</v>
      </c>
      <c r="B60" s="2" t="str">
        <f>HYPERLINK("https://rth.dk/resources/bsgatlas/details.php?id=BSGatlas-gene-62","BSGatlas-gene-62")</f>
        <v>BSGatlas-gene-62</v>
      </c>
      <c r="C60" s="1" t="s">
        <v>74</v>
      </c>
      <c r="D60" s="1" t="s">
        <v>8</v>
      </c>
      <c r="E60" s="3">
        <v>48629</v>
      </c>
      <c r="F60" s="3">
        <v>49942</v>
      </c>
      <c r="G60" s="1" t="s">
        <v>9</v>
      </c>
      <c r="H60" s="1" t="b">
        <f t="shared" si="0"/>
        <v>0</v>
      </c>
    </row>
    <row r="61" spans="1:8" ht="21" x14ac:dyDescent="0.25">
      <c r="A61" s="2" t="str">
        <f>HYPERLINK("https://rth.dk/resources/bsgatlas/details.php?id=BSGatlas-operon-23","BSGatlas-operon-23")</f>
        <v>BSGatlas-operon-23</v>
      </c>
      <c r="B61" s="2" t="str">
        <f>HYPERLINK("https://rth.dk/resources/bsgatlas/details.php?id=BSGatlas-gene-63","BSGatlas-gene-63")</f>
        <v>BSGatlas-gene-63</v>
      </c>
      <c r="C61" s="1" t="s">
        <v>75</v>
      </c>
      <c r="D61" s="1" t="s">
        <v>8</v>
      </c>
      <c r="E61" s="3">
        <v>50087</v>
      </c>
      <c r="F61" s="3">
        <v>50647</v>
      </c>
      <c r="G61" s="1" t="s">
        <v>9</v>
      </c>
      <c r="H61" s="1" t="b">
        <f t="shared" si="0"/>
        <v>1</v>
      </c>
    </row>
    <row r="62" spans="1:8" ht="21" x14ac:dyDescent="0.25">
      <c r="A62" s="2" t="str">
        <f>HYPERLINK("https://rth.dk/resources/bsgatlas/details.php?id=BSGatlas-operon-23","BSGatlas-operon-23")</f>
        <v>BSGatlas-operon-23</v>
      </c>
      <c r="B62" s="2" t="str">
        <f>HYPERLINK("https://rth.dk/resources/bsgatlas/details.php?id=BSGatlas-gene-64","BSGatlas-gene-64")</f>
        <v>BSGatlas-gene-64</v>
      </c>
      <c r="C62" s="1" t="s">
        <v>76</v>
      </c>
      <c r="D62" s="1" t="s">
        <v>8</v>
      </c>
      <c r="E62" s="3">
        <v>50640</v>
      </c>
      <c r="F62" s="3">
        <v>51518</v>
      </c>
      <c r="G62" s="1" t="s">
        <v>9</v>
      </c>
      <c r="H62" s="1" t="b">
        <f t="shared" si="0"/>
        <v>1</v>
      </c>
    </row>
    <row r="63" spans="1:8" ht="21" x14ac:dyDescent="0.25">
      <c r="A63" s="2" t="str">
        <f>HYPERLINK("https://rth.dk/resources/bsgatlas/details.php?id=BSGatlas-operon-24","BSGatlas-operon-24")</f>
        <v>BSGatlas-operon-24</v>
      </c>
      <c r="B63" s="2" t="str">
        <f>HYPERLINK("https://rth.dk/resources/bsgatlas/details.php?id=BSGatlas-gene-65","BSGatlas-gene-65")</f>
        <v>BSGatlas-gene-65</v>
      </c>
      <c r="C63" s="1" t="s">
        <v>77</v>
      </c>
      <c r="D63" s="1" t="s">
        <v>8</v>
      </c>
      <c r="E63" s="3">
        <v>51680</v>
      </c>
      <c r="F63" s="3">
        <v>52552</v>
      </c>
      <c r="G63" s="1" t="s">
        <v>9</v>
      </c>
      <c r="H63" s="1" t="b">
        <f t="shared" si="0"/>
        <v>0</v>
      </c>
    </row>
    <row r="64" spans="1:8" ht="21" x14ac:dyDescent="0.25">
      <c r="A64" s="2" t="str">
        <f>HYPERLINK("https://rth.dk/resources/bsgatlas/details.php?id=BSGatlas-operon-25","BSGatlas-operon-25")</f>
        <v>BSGatlas-operon-25</v>
      </c>
      <c r="B64" s="2" t="str">
        <f>HYPERLINK("https://rth.dk/resources/bsgatlas/details.php?id=BSGatlas-gene-66","BSGatlas-gene-66")</f>
        <v>BSGatlas-gene-66</v>
      </c>
      <c r="C64" s="1" t="s">
        <v>78</v>
      </c>
      <c r="D64" s="1" t="s">
        <v>8</v>
      </c>
      <c r="E64" s="3">
        <v>52763</v>
      </c>
      <c r="F64" s="3">
        <v>53023</v>
      </c>
      <c r="G64" s="1" t="s">
        <v>9</v>
      </c>
      <c r="H64" s="1" t="b">
        <f t="shared" si="0"/>
        <v>1</v>
      </c>
    </row>
    <row r="65" spans="1:8" ht="21" x14ac:dyDescent="0.25">
      <c r="A65" s="2" t="str">
        <f>HYPERLINK("https://rth.dk/resources/bsgatlas/details.php?id=BSGatlas-operon-26","BSGatlas-operon-26")</f>
        <v>BSGatlas-operon-26</v>
      </c>
      <c r="B65" s="2" t="str">
        <f>HYPERLINK("https://rth.dk/resources/bsgatlas/details.php?id=BSGatlas-gene-67","BSGatlas-gene-67")</f>
        <v>BSGatlas-gene-67</v>
      </c>
      <c r="C65" s="1" t="s">
        <v>79</v>
      </c>
      <c r="D65" s="1" t="s">
        <v>8</v>
      </c>
      <c r="E65" s="3">
        <v>53183</v>
      </c>
      <c r="F65" s="3">
        <v>53368</v>
      </c>
      <c r="G65" s="1" t="s">
        <v>9</v>
      </c>
      <c r="H65" s="1" t="b">
        <f t="shared" si="0"/>
        <v>0</v>
      </c>
    </row>
    <row r="66" spans="1:8" ht="21" x14ac:dyDescent="0.25">
      <c r="A66" s="2" t="str">
        <f>HYPERLINK("https://rth.dk/resources/bsgatlas/details.php?id=BSGatlas-operon-27","BSGatlas-operon-27")</f>
        <v>BSGatlas-operon-27</v>
      </c>
      <c r="B66" s="2" t="str">
        <f>HYPERLINK("https://rth.dk/resources/bsgatlas/details.php?id=BSGatlas-gene-68","BSGatlas-gene-68")</f>
        <v>BSGatlas-gene-68</v>
      </c>
      <c r="C66" s="1" t="s">
        <v>80</v>
      </c>
      <c r="D66" s="1" t="s">
        <v>12</v>
      </c>
      <c r="E66" s="3">
        <v>53363</v>
      </c>
      <c r="F66" s="3">
        <v>55717</v>
      </c>
      <c r="G66" s="1" t="s">
        <v>13</v>
      </c>
      <c r="H66" s="1" t="b">
        <f t="shared" ref="H66:H129" si="3">_xlfn.XOR(A65&lt;&gt;A66,H65)</f>
        <v>1</v>
      </c>
    </row>
    <row r="67" spans="1:8" ht="21" x14ac:dyDescent="0.25">
      <c r="A67" s="2" t="str">
        <f>HYPERLINK("https://rth.dk/resources/bsgatlas/details.php?id=BSGatlas-operon-28","BSGatlas-operon-28")</f>
        <v>BSGatlas-operon-28</v>
      </c>
      <c r="B67" s="2" t="str">
        <f>HYPERLINK("https://rth.dk/resources/bsgatlas/details.php?id=BSGatlas-gene-69","BSGatlas-gene-69")</f>
        <v>BSGatlas-gene-69</v>
      </c>
      <c r="C67" s="1" t="s">
        <v>81</v>
      </c>
      <c r="D67" s="1" t="s">
        <v>8</v>
      </c>
      <c r="E67" s="3">
        <v>53516</v>
      </c>
      <c r="F67" s="3">
        <v>54385</v>
      </c>
      <c r="G67" s="1" t="s">
        <v>9</v>
      </c>
      <c r="H67" s="1" t="b">
        <f t="shared" si="3"/>
        <v>0</v>
      </c>
    </row>
    <row r="68" spans="1:8" ht="21" x14ac:dyDescent="0.25">
      <c r="A68" s="2" t="str">
        <f>HYPERLINK("https://rth.dk/resources/bsgatlas/details.php?id=BSGatlas-operon-28","BSGatlas-operon-28")</f>
        <v>BSGatlas-operon-28</v>
      </c>
      <c r="B68" s="2" t="str">
        <f>HYPERLINK("https://rth.dk/resources/bsgatlas/details.php?id=BSGatlas-gene-70","BSGatlas-gene-70")</f>
        <v>BSGatlas-gene-70</v>
      </c>
      <c r="C68" s="1" t="s">
        <v>82</v>
      </c>
      <c r="D68" s="1" t="s">
        <v>8</v>
      </c>
      <c r="E68" s="3">
        <v>54441</v>
      </c>
      <c r="F68" s="3">
        <v>55298</v>
      </c>
      <c r="G68" s="1" t="s">
        <v>9</v>
      </c>
      <c r="H68" s="1" t="b">
        <f t="shared" si="3"/>
        <v>0</v>
      </c>
    </row>
    <row r="69" spans="1:8" ht="21" x14ac:dyDescent="0.25">
      <c r="A69" s="2" t="str">
        <f>HYPERLINK("https://rth.dk/resources/bsgatlas/details.php?id=BSGatlas-operon-28","BSGatlas-operon-28")</f>
        <v>BSGatlas-operon-28</v>
      </c>
      <c r="B69" s="2" t="str">
        <f>HYPERLINK("https://rth.dk/resources/bsgatlas/details.php?id=BSGatlas-gene-71","BSGatlas-gene-71")</f>
        <v>BSGatlas-gene-71</v>
      </c>
      <c r="C69" s="1" t="s">
        <v>83</v>
      </c>
      <c r="D69" s="1" t="s">
        <v>8</v>
      </c>
      <c r="E69" s="3">
        <v>55295</v>
      </c>
      <c r="F69" s="3">
        <v>55672</v>
      </c>
      <c r="G69" s="1" t="s">
        <v>9</v>
      </c>
      <c r="H69" s="1" t="b">
        <f t="shared" si="3"/>
        <v>0</v>
      </c>
    </row>
    <row r="70" spans="1:8" ht="21" x14ac:dyDescent="0.25">
      <c r="A70" s="2" t="str">
        <f>HYPERLINK("https://rth.dk/resources/bsgatlas/details.php?id=BSGatlas-operon-29","BSGatlas-operon-29")</f>
        <v>BSGatlas-operon-29</v>
      </c>
      <c r="B70" s="2" t="str">
        <f>HYPERLINK("https://rth.dk/resources/bsgatlas/details.php?id=BSGatlas-gene-72","BSGatlas-gene-72")</f>
        <v>BSGatlas-gene-72</v>
      </c>
      <c r="C70" s="1" t="s">
        <v>84</v>
      </c>
      <c r="D70" s="1" t="s">
        <v>8</v>
      </c>
      <c r="E70" s="3">
        <v>55866</v>
      </c>
      <c r="F70" s="3">
        <v>56159</v>
      </c>
      <c r="G70" s="1" t="s">
        <v>9</v>
      </c>
      <c r="H70" s="1" t="b">
        <f t="shared" si="3"/>
        <v>1</v>
      </c>
    </row>
    <row r="71" spans="1:8" ht="21" x14ac:dyDescent="0.25">
      <c r="A71" s="2" t="str">
        <f t="shared" ref="A71:A77" si="4">HYPERLINK("https://rth.dk/resources/bsgatlas/details.php?id=BSGatlas-operon-30","BSGatlas-operon-30")</f>
        <v>BSGatlas-operon-30</v>
      </c>
      <c r="B71" s="2" t="str">
        <f>HYPERLINK("https://rth.dk/resources/bsgatlas/details.php?id=BSGatlas-gene-73","BSGatlas-gene-73")</f>
        <v>BSGatlas-gene-73</v>
      </c>
      <c r="C71" s="1" t="s">
        <v>85</v>
      </c>
      <c r="D71" s="1" t="s">
        <v>8</v>
      </c>
      <c r="E71" s="3">
        <v>56352</v>
      </c>
      <c r="F71" s="3">
        <v>57722</v>
      </c>
      <c r="G71" s="1" t="s">
        <v>9</v>
      </c>
      <c r="H71" s="1" t="b">
        <f t="shared" si="3"/>
        <v>0</v>
      </c>
    </row>
    <row r="72" spans="1:8" ht="21" x14ac:dyDescent="0.25">
      <c r="A72" s="2" t="str">
        <f t="shared" si="4"/>
        <v>BSGatlas-operon-30</v>
      </c>
      <c r="B72" s="2" t="str">
        <f>HYPERLINK("https://rth.dk/resources/bsgatlas/details.php?id=BSGatlas-gene-74","BSGatlas-gene-74")</f>
        <v>BSGatlas-gene-74</v>
      </c>
      <c r="C72" s="1" t="s">
        <v>86</v>
      </c>
      <c r="D72" s="1" t="s">
        <v>8</v>
      </c>
      <c r="E72" s="3">
        <v>57745</v>
      </c>
      <c r="F72" s="3">
        <v>58698</v>
      </c>
      <c r="G72" s="1" t="s">
        <v>9</v>
      </c>
      <c r="H72" s="1" t="b">
        <f t="shared" si="3"/>
        <v>0</v>
      </c>
    </row>
    <row r="73" spans="1:8" ht="21" x14ac:dyDescent="0.25">
      <c r="A73" s="2" t="str">
        <f t="shared" si="4"/>
        <v>BSGatlas-operon-30</v>
      </c>
      <c r="B73" s="2" t="str">
        <f>HYPERLINK("https://rth.dk/resources/bsgatlas/details.php?id=BSGatlas-gene-75","BSGatlas-gene-75")</f>
        <v>BSGatlas-gene-75</v>
      </c>
      <c r="C73" s="1" t="s">
        <v>87</v>
      </c>
      <c r="D73" s="1" t="s">
        <v>8</v>
      </c>
      <c r="E73" s="3">
        <v>58783</v>
      </c>
      <c r="F73" s="3">
        <v>59397</v>
      </c>
      <c r="G73" s="1" t="s">
        <v>9</v>
      </c>
      <c r="H73" s="1" t="b">
        <f t="shared" si="3"/>
        <v>0</v>
      </c>
    </row>
    <row r="74" spans="1:8" ht="21" x14ac:dyDescent="0.25">
      <c r="A74" s="2" t="str">
        <f t="shared" si="4"/>
        <v>BSGatlas-operon-30</v>
      </c>
      <c r="B74" s="2" t="str">
        <f>HYPERLINK("https://rth.dk/resources/bsgatlas/details.php?id=BSGatlas-gene-76","BSGatlas-gene-76")</f>
        <v>BSGatlas-gene-76</v>
      </c>
      <c r="C74" s="1" t="s">
        <v>88</v>
      </c>
      <c r="D74" s="1" t="s">
        <v>8</v>
      </c>
      <c r="E74" s="3">
        <v>59504</v>
      </c>
      <c r="F74" s="3">
        <v>60070</v>
      </c>
      <c r="G74" s="1" t="s">
        <v>9</v>
      </c>
      <c r="H74" s="1" t="b">
        <f t="shared" si="3"/>
        <v>0</v>
      </c>
    </row>
    <row r="75" spans="1:8" ht="21" x14ac:dyDescent="0.25">
      <c r="A75" s="2" t="str">
        <f t="shared" si="4"/>
        <v>BSGatlas-operon-30</v>
      </c>
      <c r="B75" s="2" t="str">
        <f>HYPERLINK("https://rth.dk/resources/bsgatlas/details.php?id=BSGatlas-gene-77","BSGatlas-gene-77")</f>
        <v>BSGatlas-gene-77</v>
      </c>
      <c r="C75" s="1" t="s">
        <v>89</v>
      </c>
      <c r="D75" s="1" t="s">
        <v>8</v>
      </c>
      <c r="E75" s="3">
        <v>60130</v>
      </c>
      <c r="F75" s="3">
        <v>60360</v>
      </c>
      <c r="G75" s="1" t="s">
        <v>9</v>
      </c>
      <c r="H75" s="1" t="b">
        <f t="shared" si="3"/>
        <v>0</v>
      </c>
    </row>
    <row r="76" spans="1:8" ht="21" x14ac:dyDescent="0.25">
      <c r="A76" s="2" t="str">
        <f t="shared" si="4"/>
        <v>BSGatlas-operon-30</v>
      </c>
      <c r="B76" s="2" t="str">
        <f>HYPERLINK("https://rth.dk/resources/bsgatlas/details.php?id=BSGatlas-gene-78","BSGatlas-gene-78")</f>
        <v>BSGatlas-gene-78</v>
      </c>
      <c r="C76" s="1" t="s">
        <v>90</v>
      </c>
      <c r="D76" s="1" t="s">
        <v>8</v>
      </c>
      <c r="E76" s="3">
        <v>60430</v>
      </c>
      <c r="F76" s="3">
        <v>63963</v>
      </c>
      <c r="G76" s="1" t="s">
        <v>9</v>
      </c>
      <c r="H76" s="1" t="b">
        <f t="shared" si="3"/>
        <v>0</v>
      </c>
    </row>
    <row r="77" spans="1:8" ht="21" x14ac:dyDescent="0.25">
      <c r="A77" s="2" t="str">
        <f t="shared" si="4"/>
        <v>BSGatlas-operon-30</v>
      </c>
      <c r="B77" s="2" t="str">
        <f>HYPERLINK("https://rth.dk/resources/bsgatlas/details.php?id=BSGatlas-gene-79","BSGatlas-gene-79")</f>
        <v>BSGatlas-gene-79</v>
      </c>
      <c r="C77" s="1" t="s">
        <v>91</v>
      </c>
      <c r="D77" s="1" t="s">
        <v>8</v>
      </c>
      <c r="E77" s="3">
        <v>64099</v>
      </c>
      <c r="F77" s="3">
        <v>64635</v>
      </c>
      <c r="G77" s="1" t="s">
        <v>9</v>
      </c>
      <c r="H77" s="1" t="b">
        <f t="shared" si="3"/>
        <v>0</v>
      </c>
    </row>
    <row r="78" spans="1:8" ht="21" x14ac:dyDescent="0.25">
      <c r="A78" s="2" t="str">
        <f t="shared" ref="A78:A84" si="5">HYPERLINK("https://rth.dk/resources/bsgatlas/details.php?id=BSGatlas-operon-31","BSGatlas-operon-31")</f>
        <v>BSGatlas-operon-31</v>
      </c>
      <c r="B78" s="2" t="str">
        <f>HYPERLINK("https://rth.dk/resources/bsgatlas/details.php?id=BSGatlas-gene-80","BSGatlas-gene-80")</f>
        <v>BSGatlas-gene-80</v>
      </c>
      <c r="C78" s="1" t="s">
        <v>92</v>
      </c>
      <c r="D78" s="1" t="s">
        <v>8</v>
      </c>
      <c r="E78" s="3">
        <v>64817</v>
      </c>
      <c r="F78" s="3">
        <v>66415</v>
      </c>
      <c r="G78" s="1" t="s">
        <v>9</v>
      </c>
      <c r="H78" s="1" t="b">
        <f t="shared" si="3"/>
        <v>1</v>
      </c>
    </row>
    <row r="79" spans="1:8" ht="21" x14ac:dyDescent="0.25">
      <c r="A79" s="2" t="str">
        <f t="shared" si="5"/>
        <v>BSGatlas-operon-31</v>
      </c>
      <c r="B79" s="2" t="str">
        <f>HYPERLINK("https://rth.dk/resources/bsgatlas/details.php?id=BSGatlas-gene-81","BSGatlas-gene-81")</f>
        <v>BSGatlas-gene-81</v>
      </c>
      <c r="C79" s="1" t="s">
        <v>93</v>
      </c>
      <c r="D79" s="1" t="s">
        <v>8</v>
      </c>
      <c r="E79" s="3">
        <v>66405</v>
      </c>
      <c r="F79" s="3">
        <v>67874</v>
      </c>
      <c r="G79" s="1" t="s">
        <v>9</v>
      </c>
      <c r="H79" s="1" t="b">
        <f t="shared" si="3"/>
        <v>1</v>
      </c>
    </row>
    <row r="80" spans="1:8" ht="21" x14ac:dyDescent="0.25">
      <c r="A80" s="2" t="str">
        <f t="shared" si="5"/>
        <v>BSGatlas-operon-31</v>
      </c>
      <c r="B80" s="2" t="str">
        <f>HYPERLINK("https://rth.dk/resources/bsgatlas/details.php?id=BSGatlas-gene-82","BSGatlas-gene-82")</f>
        <v>BSGatlas-gene-82</v>
      </c>
      <c r="C80" s="1" t="s">
        <v>94</v>
      </c>
      <c r="D80" s="1" t="s">
        <v>8</v>
      </c>
      <c r="E80" s="3">
        <v>67877</v>
      </c>
      <c r="F80" s="3">
        <v>68137</v>
      </c>
      <c r="G80" s="1" t="s">
        <v>9</v>
      </c>
      <c r="H80" s="1" t="b">
        <f t="shared" si="3"/>
        <v>1</v>
      </c>
    </row>
    <row r="81" spans="1:8" ht="21" x14ac:dyDescent="0.25">
      <c r="A81" s="2" t="str">
        <f t="shared" si="5"/>
        <v>BSGatlas-operon-31</v>
      </c>
      <c r="B81" s="2" t="str">
        <f>HYPERLINK("https://rth.dk/resources/bsgatlas/details.php?id=BSGatlas-gene-83","BSGatlas-gene-83")</f>
        <v>BSGatlas-gene-83</v>
      </c>
      <c r="C81" s="1" t="s">
        <v>95</v>
      </c>
      <c r="D81" s="1" t="s">
        <v>8</v>
      </c>
      <c r="E81" s="3">
        <v>68216</v>
      </c>
      <c r="F81" s="3">
        <v>68518</v>
      </c>
      <c r="G81" s="1" t="s">
        <v>9</v>
      </c>
      <c r="H81" s="1" t="b">
        <f t="shared" si="3"/>
        <v>1</v>
      </c>
    </row>
    <row r="82" spans="1:8" ht="21" x14ac:dyDescent="0.25">
      <c r="A82" s="2" t="str">
        <f t="shared" si="5"/>
        <v>BSGatlas-operon-31</v>
      </c>
      <c r="B82" s="2" t="str">
        <f>HYPERLINK("https://rth.dk/resources/bsgatlas/details.php?id=BSGatlas-gene-84","BSGatlas-gene-84")</f>
        <v>BSGatlas-gene-84</v>
      </c>
      <c r="C82" s="1" t="s">
        <v>96</v>
      </c>
      <c r="D82" s="1" t="s">
        <v>8</v>
      </c>
      <c r="E82" s="3">
        <v>68515</v>
      </c>
      <c r="F82" s="3">
        <v>69150</v>
      </c>
      <c r="G82" s="1" t="s">
        <v>9</v>
      </c>
      <c r="H82" s="1" t="b">
        <f t="shared" si="3"/>
        <v>1</v>
      </c>
    </row>
    <row r="83" spans="1:8" ht="21" x14ac:dyDescent="0.25">
      <c r="A83" s="2" t="str">
        <f t="shared" si="5"/>
        <v>BSGatlas-operon-31</v>
      </c>
      <c r="B83" s="2" t="str">
        <f>HYPERLINK("https://rth.dk/resources/bsgatlas/details.php?id=BSGatlas-gene-85","BSGatlas-gene-85")</f>
        <v>BSGatlas-gene-85</v>
      </c>
      <c r="C83" s="1" t="s">
        <v>97</v>
      </c>
      <c r="D83" s="1" t="s">
        <v>8</v>
      </c>
      <c r="E83" s="3">
        <v>69168</v>
      </c>
      <c r="F83" s="3">
        <v>69545</v>
      </c>
      <c r="G83" s="1" t="s">
        <v>9</v>
      </c>
      <c r="H83" s="1" t="b">
        <f t="shared" si="3"/>
        <v>1</v>
      </c>
    </row>
    <row r="84" spans="1:8" ht="21" x14ac:dyDescent="0.25">
      <c r="A84" s="2" t="str">
        <f t="shared" si="5"/>
        <v>BSGatlas-operon-31</v>
      </c>
      <c r="B84" s="2" t="str">
        <f>HYPERLINK("https://rth.dk/resources/bsgatlas/details.php?id=BSGatlas-gene-86","BSGatlas-gene-86")</f>
        <v>BSGatlas-gene-86</v>
      </c>
      <c r="C84" s="1" t="s">
        <v>98</v>
      </c>
      <c r="D84" s="1" t="s">
        <v>8</v>
      </c>
      <c r="E84" s="3">
        <v>69626</v>
      </c>
      <c r="F84" s="3">
        <v>70012</v>
      </c>
      <c r="G84" s="1" t="s">
        <v>9</v>
      </c>
      <c r="H84" s="1" t="b">
        <f t="shared" si="3"/>
        <v>1</v>
      </c>
    </row>
    <row r="85" spans="1:8" ht="21" x14ac:dyDescent="0.25">
      <c r="A85" s="2" t="str">
        <f>HYPERLINK("https://rth.dk/resources/bsgatlas/details.php?id=BSGatlas-operon-32","BSGatlas-operon-32")</f>
        <v>BSGatlas-operon-32</v>
      </c>
      <c r="B85" s="2" t="str">
        <f>HYPERLINK("https://rth.dk/resources/bsgatlas/details.php?id=BSGatlas-gene-87","BSGatlas-gene-87")</f>
        <v>BSGatlas-gene-87</v>
      </c>
      <c r="C85" s="1" t="s">
        <v>99</v>
      </c>
      <c r="D85" s="1" t="s">
        <v>23</v>
      </c>
      <c r="E85" s="3">
        <v>70180</v>
      </c>
      <c r="F85" s="3">
        <v>70257</v>
      </c>
      <c r="G85" s="1" t="s">
        <v>9</v>
      </c>
      <c r="H85" s="1" t="b">
        <f t="shared" si="3"/>
        <v>0</v>
      </c>
    </row>
    <row r="86" spans="1:8" ht="21" x14ac:dyDescent="0.25">
      <c r="A86" s="2" t="str">
        <f>HYPERLINK("https://rth.dk/resources/bsgatlas/details.php?id=BSGatlas-operon-33","BSGatlas-operon-33")</f>
        <v>BSGatlas-operon-33</v>
      </c>
      <c r="B86" s="2" t="str">
        <f>HYPERLINK("https://rth.dk/resources/bsgatlas/details.php?id=BSGatlas-gene-88","BSGatlas-gene-88")</f>
        <v>BSGatlas-gene-88</v>
      </c>
      <c r="C86" s="1" t="s">
        <v>100</v>
      </c>
      <c r="D86" s="1" t="s">
        <v>23</v>
      </c>
      <c r="E86" s="3">
        <v>70266</v>
      </c>
      <c r="F86" s="3">
        <v>70338</v>
      </c>
      <c r="G86" s="1" t="s">
        <v>9</v>
      </c>
      <c r="H86" s="1" t="b">
        <f t="shared" si="3"/>
        <v>1</v>
      </c>
    </row>
    <row r="87" spans="1:8" ht="21" x14ac:dyDescent="0.25">
      <c r="A87" s="2" t="str">
        <f t="shared" ref="A87:A92" si="6">HYPERLINK("https://rth.dk/resources/bsgatlas/details.php?id=BSGatlas-operon-34","BSGatlas-operon-34")</f>
        <v>BSGatlas-operon-34</v>
      </c>
      <c r="B87" s="2" t="str">
        <f>HYPERLINK("https://rth.dk/resources/bsgatlas/details.php?id=BSGatlas-gene-89","BSGatlas-gene-89")</f>
        <v>BSGatlas-gene-89</v>
      </c>
      <c r="C87" s="1" t="s">
        <v>101</v>
      </c>
      <c r="D87" s="1" t="s">
        <v>8</v>
      </c>
      <c r="E87" s="3">
        <v>70538</v>
      </c>
      <c r="F87" s="3">
        <v>73021</v>
      </c>
      <c r="G87" s="1" t="s">
        <v>9</v>
      </c>
      <c r="H87" s="1" t="b">
        <f t="shared" si="3"/>
        <v>0</v>
      </c>
    </row>
    <row r="88" spans="1:8" ht="21" x14ac:dyDescent="0.25">
      <c r="A88" s="2" t="str">
        <f t="shared" si="6"/>
        <v>BSGatlas-operon-34</v>
      </c>
      <c r="B88" s="2" t="str">
        <f>HYPERLINK("https://rth.dk/resources/bsgatlas/details.php?id=BSGatlas-gene-91","BSGatlas-gene-91")</f>
        <v>BSGatlas-gene-91</v>
      </c>
      <c r="C88" s="1" t="s">
        <v>102</v>
      </c>
      <c r="D88" s="1" t="s">
        <v>8</v>
      </c>
      <c r="E88" s="3">
        <v>73106</v>
      </c>
      <c r="F88" s="3">
        <v>73843</v>
      </c>
      <c r="G88" s="1" t="s">
        <v>9</v>
      </c>
      <c r="H88" s="1" t="b">
        <f t="shared" si="3"/>
        <v>0</v>
      </c>
    </row>
    <row r="89" spans="1:8" ht="21" x14ac:dyDescent="0.25">
      <c r="A89" s="2" t="str">
        <f t="shared" si="6"/>
        <v>BSGatlas-operon-34</v>
      </c>
      <c r="B89" s="2" t="str">
        <f>HYPERLINK("https://rth.dk/resources/bsgatlas/details.php?id=BSGatlas-gene-92","BSGatlas-gene-92")</f>
        <v>BSGatlas-gene-92</v>
      </c>
      <c r="C89" s="1" t="s">
        <v>103</v>
      </c>
      <c r="D89" s="1" t="s">
        <v>8</v>
      </c>
      <c r="E89" s="3">
        <v>73809</v>
      </c>
      <c r="F89" s="3">
        <v>74825</v>
      </c>
      <c r="G89" s="1" t="s">
        <v>9</v>
      </c>
      <c r="H89" s="1" t="b">
        <f t="shared" si="3"/>
        <v>0</v>
      </c>
    </row>
    <row r="90" spans="1:8" ht="21" x14ac:dyDescent="0.25">
      <c r="A90" s="2" t="str">
        <f t="shared" si="6"/>
        <v>BSGatlas-operon-34</v>
      </c>
      <c r="B90" s="2" t="str">
        <f>HYPERLINK("https://rth.dk/resources/bsgatlas/details.php?id=BSGatlas-gene-93","BSGatlas-gene-93")</f>
        <v>BSGatlas-gene-93</v>
      </c>
      <c r="C90" s="1" t="s">
        <v>104</v>
      </c>
      <c r="D90" s="1" t="s">
        <v>8</v>
      </c>
      <c r="E90" s="3">
        <v>74929</v>
      </c>
      <c r="F90" s="3">
        <v>76347</v>
      </c>
      <c r="G90" s="1" t="s">
        <v>9</v>
      </c>
      <c r="H90" s="1" t="b">
        <f t="shared" si="3"/>
        <v>0</v>
      </c>
    </row>
    <row r="91" spans="1:8" ht="21" x14ac:dyDescent="0.25">
      <c r="A91" s="2" t="str">
        <f t="shared" si="6"/>
        <v>BSGatlas-operon-34</v>
      </c>
      <c r="B91" s="2" t="str">
        <f>HYPERLINK("https://rth.dk/resources/bsgatlas/details.php?id=BSGatlas-gene-94","BSGatlas-gene-94")</f>
        <v>BSGatlas-gene-94</v>
      </c>
      <c r="C91" s="1" t="s">
        <v>105</v>
      </c>
      <c r="D91" s="1" t="s">
        <v>8</v>
      </c>
      <c r="E91" s="3">
        <v>76344</v>
      </c>
      <c r="F91" s="3">
        <v>76886</v>
      </c>
      <c r="G91" s="1" t="s">
        <v>9</v>
      </c>
      <c r="H91" s="1" t="b">
        <f t="shared" si="3"/>
        <v>0</v>
      </c>
    </row>
    <row r="92" spans="1:8" ht="21" x14ac:dyDescent="0.25">
      <c r="A92" s="2" t="str">
        <f t="shared" si="6"/>
        <v>BSGatlas-operon-34</v>
      </c>
      <c r="B92" s="2" t="str">
        <f>HYPERLINK("https://rth.dk/resources/bsgatlas/details.php?id=BSGatlas-gene-95","BSGatlas-gene-95")</f>
        <v>BSGatlas-gene-95</v>
      </c>
      <c r="C92" s="1" t="s">
        <v>106</v>
      </c>
      <c r="D92" s="1" t="s">
        <v>8</v>
      </c>
      <c r="E92" s="3">
        <v>76984</v>
      </c>
      <c r="F92" s="3">
        <v>78897</v>
      </c>
      <c r="G92" s="1" t="s">
        <v>9</v>
      </c>
      <c r="H92" s="1" t="b">
        <f t="shared" si="3"/>
        <v>0</v>
      </c>
    </row>
    <row r="93" spans="1:8" ht="21" x14ac:dyDescent="0.25">
      <c r="A93" s="2" t="str">
        <f>HYPERLINK("https://rth.dk/resources/bsgatlas/details.php?id=BSGatlas-operon-35","BSGatlas-operon-35")</f>
        <v>BSGatlas-operon-35</v>
      </c>
      <c r="B93" s="2" t="str">
        <f>HYPERLINK("https://rth.dk/resources/bsgatlas/details.php?id=BSGatlas-gene-90","BSGatlas-gene-90")</f>
        <v>BSGatlas-gene-90</v>
      </c>
      <c r="C93" s="1" t="s">
        <v>107</v>
      </c>
      <c r="D93" s="1" t="s">
        <v>12</v>
      </c>
      <c r="E93" s="3">
        <v>71190</v>
      </c>
      <c r="F93" s="3">
        <v>71799</v>
      </c>
      <c r="G93" s="1" t="s">
        <v>13</v>
      </c>
      <c r="H93" s="1" t="b">
        <f t="shared" si="3"/>
        <v>1</v>
      </c>
    </row>
    <row r="94" spans="1:8" ht="21" x14ac:dyDescent="0.25">
      <c r="A94" s="2" t="str">
        <f>HYPERLINK("https://rth.dk/resources/bsgatlas/details.php?id=BSGatlas-operon-36","BSGatlas-operon-36")</f>
        <v>BSGatlas-operon-36</v>
      </c>
      <c r="B94" s="2" t="str">
        <f>HYPERLINK("https://rth.dk/resources/bsgatlas/details.php?id=BSGatlas-gene-96","BSGatlas-gene-96")</f>
        <v>BSGatlas-gene-96</v>
      </c>
      <c r="C94" s="1" t="s">
        <v>108</v>
      </c>
      <c r="D94" s="1" t="s">
        <v>8</v>
      </c>
      <c r="E94" s="3">
        <v>79092</v>
      </c>
      <c r="F94" s="3">
        <v>79868</v>
      </c>
      <c r="G94" s="1" t="s">
        <v>9</v>
      </c>
      <c r="H94" s="1" t="b">
        <f t="shared" si="3"/>
        <v>0</v>
      </c>
    </row>
    <row r="95" spans="1:8" ht="21" x14ac:dyDescent="0.25">
      <c r="A95" s="2" t="str">
        <f>HYPERLINK("https://rth.dk/resources/bsgatlas/details.php?id=BSGatlas-operon-36","BSGatlas-operon-36")</f>
        <v>BSGatlas-operon-36</v>
      </c>
      <c r="B95" s="2" t="str">
        <f>HYPERLINK("https://rth.dk/resources/bsgatlas/details.php?id=BSGatlas-gene-97","BSGatlas-gene-97")</f>
        <v>BSGatlas-gene-97</v>
      </c>
      <c r="C95" s="1" t="s">
        <v>109</v>
      </c>
      <c r="D95" s="1" t="s">
        <v>8</v>
      </c>
      <c r="E95" s="3">
        <v>79880</v>
      </c>
      <c r="F95" s="3">
        <v>80755</v>
      </c>
      <c r="G95" s="1" t="s">
        <v>9</v>
      </c>
      <c r="H95" s="1" t="b">
        <f t="shared" si="3"/>
        <v>0</v>
      </c>
    </row>
    <row r="96" spans="1:8" ht="21" x14ac:dyDescent="0.25">
      <c r="A96" s="2" t="str">
        <f>HYPERLINK("https://rth.dk/resources/bsgatlas/details.php?id=BSGatlas-operon-36","BSGatlas-operon-36")</f>
        <v>BSGatlas-operon-36</v>
      </c>
      <c r="B96" s="2" t="str">
        <f>HYPERLINK("https://rth.dk/resources/bsgatlas/details.php?id=BSGatlas-gene-98","BSGatlas-gene-98")</f>
        <v>BSGatlas-gene-98</v>
      </c>
      <c r="C96" s="1" t="s">
        <v>110</v>
      </c>
      <c r="D96" s="1" t="s">
        <v>8</v>
      </c>
      <c r="E96" s="3">
        <v>80802</v>
      </c>
      <c r="F96" s="3">
        <v>81695</v>
      </c>
      <c r="G96" s="1" t="s">
        <v>9</v>
      </c>
      <c r="H96" s="1" t="b">
        <f t="shared" si="3"/>
        <v>0</v>
      </c>
    </row>
    <row r="97" spans="1:8" ht="21" x14ac:dyDescent="0.25">
      <c r="A97" s="2" t="str">
        <f>HYPERLINK("https://rth.dk/resources/bsgatlas/details.php?id=BSGatlas-operon-36","BSGatlas-operon-36")</f>
        <v>BSGatlas-operon-36</v>
      </c>
      <c r="B97" s="2" t="str">
        <f>HYPERLINK("https://rth.dk/resources/bsgatlas/details.php?id=BSGatlas-gene-99","BSGatlas-gene-99")</f>
        <v>BSGatlas-gene-99</v>
      </c>
      <c r="C97" s="1" t="s">
        <v>111</v>
      </c>
      <c r="D97" s="1" t="s">
        <v>8</v>
      </c>
      <c r="E97" s="3">
        <v>81771</v>
      </c>
      <c r="F97" s="3">
        <v>82697</v>
      </c>
      <c r="G97" s="1" t="s">
        <v>9</v>
      </c>
      <c r="H97" s="1" t="b">
        <f t="shared" si="3"/>
        <v>0</v>
      </c>
    </row>
    <row r="98" spans="1:8" ht="21" x14ac:dyDescent="0.25">
      <c r="A98" s="2" t="str">
        <f t="shared" ref="A98:A106" si="7">HYPERLINK("https://rth.dk/resources/bsgatlas/details.php?id=BSGatlas-operon-37","BSGatlas-operon-37")</f>
        <v>BSGatlas-operon-37</v>
      </c>
      <c r="B98" s="2" t="str">
        <f>HYPERLINK("https://rth.dk/resources/bsgatlas/details.php?id=BSGatlas-gene-100","BSGatlas-gene-100")</f>
        <v>BSGatlas-gene-100</v>
      </c>
      <c r="C98" s="1" t="s">
        <v>112</v>
      </c>
      <c r="D98" s="1" t="s">
        <v>8</v>
      </c>
      <c r="E98" s="3">
        <v>82864</v>
      </c>
      <c r="F98" s="3">
        <v>84276</v>
      </c>
      <c r="G98" s="1" t="s">
        <v>9</v>
      </c>
      <c r="H98" s="1" t="b">
        <f t="shared" si="3"/>
        <v>1</v>
      </c>
    </row>
    <row r="99" spans="1:8" ht="21" x14ac:dyDescent="0.25">
      <c r="A99" s="2" t="str">
        <f t="shared" si="7"/>
        <v>BSGatlas-operon-37</v>
      </c>
      <c r="B99" s="2" t="str">
        <f>HYPERLINK("https://rth.dk/resources/bsgatlas/details.php?id=BSGatlas-gene-101","BSGatlas-gene-101")</f>
        <v>BSGatlas-gene-101</v>
      </c>
      <c r="C99" s="1" t="s">
        <v>113</v>
      </c>
      <c r="D99" s="1" t="s">
        <v>8</v>
      </c>
      <c r="E99" s="3">
        <v>84290</v>
      </c>
      <c r="F99" s="3">
        <v>84874</v>
      </c>
      <c r="G99" s="1" t="s">
        <v>9</v>
      </c>
      <c r="H99" s="1" t="b">
        <f t="shared" si="3"/>
        <v>1</v>
      </c>
    </row>
    <row r="100" spans="1:8" ht="21" x14ac:dyDescent="0.25">
      <c r="A100" s="2" t="str">
        <f t="shared" si="7"/>
        <v>BSGatlas-operon-37</v>
      </c>
      <c r="B100" s="2" t="str">
        <f>HYPERLINK("https://rth.dk/resources/bsgatlas/details.php?id=BSGatlas-gene-102","BSGatlas-gene-102")</f>
        <v>BSGatlas-gene-102</v>
      </c>
      <c r="C100" s="1" t="s">
        <v>114</v>
      </c>
      <c r="D100" s="1" t="s">
        <v>8</v>
      </c>
      <c r="E100" s="3">
        <v>84874</v>
      </c>
      <c r="F100" s="3">
        <v>85755</v>
      </c>
      <c r="G100" s="1" t="s">
        <v>9</v>
      </c>
      <c r="H100" s="1" t="b">
        <f t="shared" si="3"/>
        <v>1</v>
      </c>
    </row>
    <row r="101" spans="1:8" ht="21" x14ac:dyDescent="0.25">
      <c r="A101" s="2" t="str">
        <f t="shared" si="7"/>
        <v>BSGatlas-operon-37</v>
      </c>
      <c r="B101" s="2" t="str">
        <f>HYPERLINK("https://rth.dk/resources/bsgatlas/details.php?id=BSGatlas-gene-103","BSGatlas-gene-103")</f>
        <v>BSGatlas-gene-103</v>
      </c>
      <c r="C101" s="1" t="s">
        <v>115</v>
      </c>
      <c r="D101" s="1" t="s">
        <v>8</v>
      </c>
      <c r="E101" s="3">
        <v>85737</v>
      </c>
      <c r="F101" s="3">
        <v>86594</v>
      </c>
      <c r="G101" s="1" t="s">
        <v>9</v>
      </c>
      <c r="H101" s="1" t="b">
        <f t="shared" si="3"/>
        <v>1</v>
      </c>
    </row>
    <row r="102" spans="1:8" ht="21" x14ac:dyDescent="0.25">
      <c r="A102" s="2" t="str">
        <f t="shared" si="7"/>
        <v>BSGatlas-operon-37</v>
      </c>
      <c r="B102" s="2" t="str">
        <f>HYPERLINK("https://rth.dk/resources/bsgatlas/details.php?id=BSGatlas-gene-104","BSGatlas-gene-104")</f>
        <v>BSGatlas-gene-104</v>
      </c>
      <c r="C102" s="1" t="s">
        <v>116</v>
      </c>
      <c r="D102" s="1" t="s">
        <v>8</v>
      </c>
      <c r="E102" s="3">
        <v>86587</v>
      </c>
      <c r="F102" s="3">
        <v>86949</v>
      </c>
      <c r="G102" s="1" t="s">
        <v>9</v>
      </c>
      <c r="H102" s="1" t="b">
        <f t="shared" si="3"/>
        <v>1</v>
      </c>
    </row>
    <row r="103" spans="1:8" ht="21" x14ac:dyDescent="0.25">
      <c r="A103" s="2" t="str">
        <f t="shared" si="7"/>
        <v>BSGatlas-operon-37</v>
      </c>
      <c r="B103" s="2" t="str">
        <f>HYPERLINK("https://rth.dk/resources/bsgatlas/details.php?id=BSGatlas-gene-105","BSGatlas-gene-105")</f>
        <v>BSGatlas-gene-105</v>
      </c>
      <c r="C103" s="1" t="s">
        <v>117</v>
      </c>
      <c r="D103" s="1" t="s">
        <v>8</v>
      </c>
      <c r="E103" s="3">
        <v>86946</v>
      </c>
      <c r="F103" s="3">
        <v>87449</v>
      </c>
      <c r="G103" s="1" t="s">
        <v>9</v>
      </c>
      <c r="H103" s="1" t="b">
        <f t="shared" si="3"/>
        <v>1</v>
      </c>
    </row>
    <row r="104" spans="1:8" ht="21" x14ac:dyDescent="0.25">
      <c r="A104" s="2" t="str">
        <f t="shared" si="7"/>
        <v>BSGatlas-operon-37</v>
      </c>
      <c r="B104" s="2" t="str">
        <f>HYPERLINK("https://rth.dk/resources/bsgatlas/details.php?id=BSGatlas-gene-106","BSGatlas-gene-106")</f>
        <v>BSGatlas-gene-106</v>
      </c>
      <c r="C104" s="1" t="s">
        <v>118</v>
      </c>
      <c r="D104" s="1" t="s">
        <v>8</v>
      </c>
      <c r="E104" s="3">
        <v>87401</v>
      </c>
      <c r="F104" s="3">
        <v>87610</v>
      </c>
      <c r="G104" s="1" t="s">
        <v>9</v>
      </c>
      <c r="H104" s="1" t="b">
        <f t="shared" si="3"/>
        <v>1</v>
      </c>
    </row>
    <row r="105" spans="1:8" ht="21" x14ac:dyDescent="0.25">
      <c r="A105" s="2" t="str">
        <f t="shared" si="7"/>
        <v>BSGatlas-operon-37</v>
      </c>
      <c r="B105" s="2" t="str">
        <f>HYPERLINK("https://rth.dk/resources/bsgatlas/details.php?id=BSGatlas-gene-107","BSGatlas-gene-107")</f>
        <v>BSGatlas-gene-107</v>
      </c>
      <c r="C105" s="1" t="s">
        <v>119</v>
      </c>
      <c r="D105" s="1" t="s">
        <v>8</v>
      </c>
      <c r="E105" s="3">
        <v>87634</v>
      </c>
      <c r="F105" s="3">
        <v>88635</v>
      </c>
      <c r="G105" s="1" t="s">
        <v>9</v>
      </c>
      <c r="H105" s="1" t="b">
        <f t="shared" si="3"/>
        <v>1</v>
      </c>
    </row>
    <row r="106" spans="1:8" ht="21" x14ac:dyDescent="0.25">
      <c r="A106" s="2" t="str">
        <f t="shared" si="7"/>
        <v>BSGatlas-operon-37</v>
      </c>
      <c r="B106" s="2" t="str">
        <f>HYPERLINK("https://rth.dk/resources/bsgatlas/details.php?id=BSGatlas-gene-109","BSGatlas-gene-109")</f>
        <v>BSGatlas-gene-109</v>
      </c>
      <c r="C106" s="1" t="s">
        <v>120</v>
      </c>
      <c r="D106" s="1" t="s">
        <v>8</v>
      </c>
      <c r="E106" s="3">
        <v>88727</v>
      </c>
      <c r="F106" s="3">
        <v>90226</v>
      </c>
      <c r="G106" s="1" t="s">
        <v>9</v>
      </c>
      <c r="H106" s="1" t="b">
        <f t="shared" si="3"/>
        <v>1</v>
      </c>
    </row>
    <row r="107" spans="1:8" ht="21" x14ac:dyDescent="0.25">
      <c r="A107" s="2" t="str">
        <f>HYPERLINK("https://rth.dk/resources/bsgatlas/details.php?id=BSGatlas-operon-38","BSGatlas-operon-38")</f>
        <v>BSGatlas-operon-38</v>
      </c>
      <c r="B107" s="2" t="str">
        <f>HYPERLINK("https://rth.dk/resources/bsgatlas/details.php?id=BSGatlas-gene-108","BSGatlas-gene-108")</f>
        <v>BSGatlas-gene-108</v>
      </c>
      <c r="C107" s="1" t="s">
        <v>121</v>
      </c>
      <c r="D107" s="1" t="s">
        <v>12</v>
      </c>
      <c r="E107" s="3">
        <v>88050</v>
      </c>
      <c r="F107" s="3">
        <v>89566</v>
      </c>
      <c r="G107" s="1" t="s">
        <v>13</v>
      </c>
      <c r="H107" s="1" t="b">
        <f t="shared" si="3"/>
        <v>0</v>
      </c>
    </row>
    <row r="108" spans="1:8" ht="21" x14ac:dyDescent="0.25">
      <c r="A108" s="2" t="str">
        <f t="shared" ref="A108:A119" si="8">HYPERLINK("https://rth.dk/resources/bsgatlas/details.php?id=BSGatlas-operon-39","BSGatlas-operon-39")</f>
        <v>BSGatlas-operon-39</v>
      </c>
      <c r="B108" s="2" t="str">
        <f>HYPERLINK("https://rth.dk/resources/bsgatlas/details.php?id=BSGatlas-gene-110","BSGatlas-gene-110")</f>
        <v>BSGatlas-gene-110</v>
      </c>
      <c r="C108" s="1" t="s">
        <v>122</v>
      </c>
      <c r="D108" s="1" t="s">
        <v>21</v>
      </c>
      <c r="E108" s="3">
        <v>90536</v>
      </c>
      <c r="F108" s="3">
        <v>92089</v>
      </c>
      <c r="G108" s="1" t="s">
        <v>9</v>
      </c>
      <c r="H108" s="1" t="b">
        <f t="shared" si="3"/>
        <v>1</v>
      </c>
    </row>
    <row r="109" spans="1:8" ht="21" x14ac:dyDescent="0.25">
      <c r="A109" s="2" t="str">
        <f t="shared" si="8"/>
        <v>BSGatlas-operon-39</v>
      </c>
      <c r="B109" s="2" t="str">
        <f>HYPERLINK("https://rth.dk/resources/bsgatlas/details.php?id=BSGatlas-gene-111","BSGatlas-gene-111")</f>
        <v>BSGatlas-gene-111</v>
      </c>
      <c r="C109" s="1" t="s">
        <v>123</v>
      </c>
      <c r="D109" s="1" t="s">
        <v>21</v>
      </c>
      <c r="E109" s="3">
        <v>92251</v>
      </c>
      <c r="F109" s="3">
        <v>95181</v>
      </c>
      <c r="G109" s="1" t="s">
        <v>9</v>
      </c>
      <c r="H109" s="1" t="b">
        <f t="shared" si="3"/>
        <v>1</v>
      </c>
    </row>
    <row r="110" spans="1:8" ht="21" x14ac:dyDescent="0.25">
      <c r="A110" s="2" t="str">
        <f t="shared" si="8"/>
        <v>BSGatlas-operon-39</v>
      </c>
      <c r="B110" s="2" t="str">
        <f>HYPERLINK("https://rth.dk/resources/bsgatlas/details.php?id=BSGatlas-gene-112","BSGatlas-gene-112")</f>
        <v>BSGatlas-gene-112</v>
      </c>
      <c r="C110" s="1" t="s">
        <v>124</v>
      </c>
      <c r="D110" s="1" t="s">
        <v>21</v>
      </c>
      <c r="E110" s="3">
        <v>95236</v>
      </c>
      <c r="F110" s="3">
        <v>95354</v>
      </c>
      <c r="G110" s="1" t="s">
        <v>9</v>
      </c>
      <c r="H110" s="1" t="b">
        <f t="shared" si="3"/>
        <v>1</v>
      </c>
    </row>
    <row r="111" spans="1:8" ht="21" x14ac:dyDescent="0.25">
      <c r="A111" s="2" t="str">
        <f t="shared" si="8"/>
        <v>BSGatlas-operon-39</v>
      </c>
      <c r="B111" s="2" t="str">
        <f>HYPERLINK("https://rth.dk/resources/bsgatlas/details.php?id=BSGatlas-gene-113","BSGatlas-gene-113")</f>
        <v>BSGatlas-gene-113</v>
      </c>
      <c r="C111" s="1" t="s">
        <v>125</v>
      </c>
      <c r="D111" s="1" t="s">
        <v>23</v>
      </c>
      <c r="E111" s="3">
        <v>95374</v>
      </c>
      <c r="F111" s="3">
        <v>95450</v>
      </c>
      <c r="G111" s="1" t="s">
        <v>9</v>
      </c>
      <c r="H111" s="1" t="b">
        <f t="shared" si="3"/>
        <v>1</v>
      </c>
    </row>
    <row r="112" spans="1:8" ht="21" x14ac:dyDescent="0.25">
      <c r="A112" s="2" t="str">
        <f t="shared" si="8"/>
        <v>BSGatlas-operon-39</v>
      </c>
      <c r="B112" s="2" t="str">
        <f>HYPERLINK("https://rth.dk/resources/bsgatlas/details.php?id=BSGatlas-gene-114","BSGatlas-gene-114")</f>
        <v>BSGatlas-gene-114</v>
      </c>
      <c r="C112" s="1" t="s">
        <v>126</v>
      </c>
      <c r="D112" s="1" t="s">
        <v>23</v>
      </c>
      <c r="E112" s="3">
        <v>95454</v>
      </c>
      <c r="F112" s="3">
        <v>95530</v>
      </c>
      <c r="G112" s="1" t="s">
        <v>9</v>
      </c>
      <c r="H112" s="1" t="b">
        <f t="shared" si="3"/>
        <v>1</v>
      </c>
    </row>
    <row r="113" spans="1:8" ht="21" x14ac:dyDescent="0.25">
      <c r="A113" s="2" t="str">
        <f t="shared" si="8"/>
        <v>BSGatlas-operon-39</v>
      </c>
      <c r="B113" s="2" t="str">
        <f>HYPERLINK("https://rth.dk/resources/bsgatlas/details.php?id=BSGatlas-gene-115","BSGatlas-gene-115")</f>
        <v>BSGatlas-gene-115</v>
      </c>
      <c r="C113" s="1" t="s">
        <v>127</v>
      </c>
      <c r="D113" s="1" t="s">
        <v>23</v>
      </c>
      <c r="E113" s="3">
        <v>95566</v>
      </c>
      <c r="F113" s="3">
        <v>95642</v>
      </c>
      <c r="G113" s="1" t="s">
        <v>9</v>
      </c>
      <c r="H113" s="1" t="b">
        <f t="shared" si="3"/>
        <v>1</v>
      </c>
    </row>
    <row r="114" spans="1:8" ht="21" x14ac:dyDescent="0.25">
      <c r="A114" s="2" t="str">
        <f t="shared" si="8"/>
        <v>BSGatlas-operon-39</v>
      </c>
      <c r="B114" s="2" t="str">
        <f>HYPERLINK("https://rth.dk/resources/bsgatlas/details.php?id=BSGatlas-gene-116","BSGatlas-gene-116")</f>
        <v>BSGatlas-gene-116</v>
      </c>
      <c r="C114" s="1" t="s">
        <v>128</v>
      </c>
      <c r="D114" s="1" t="s">
        <v>23</v>
      </c>
      <c r="E114" s="3">
        <v>95648</v>
      </c>
      <c r="F114" s="3">
        <v>95731</v>
      </c>
      <c r="G114" s="1" t="s">
        <v>9</v>
      </c>
      <c r="H114" s="1" t="b">
        <f t="shared" si="3"/>
        <v>1</v>
      </c>
    </row>
    <row r="115" spans="1:8" ht="21" x14ac:dyDescent="0.25">
      <c r="A115" s="2" t="str">
        <f t="shared" si="8"/>
        <v>BSGatlas-operon-39</v>
      </c>
      <c r="B115" s="2" t="str">
        <f>HYPERLINK("https://rth.dk/resources/bsgatlas/details.php?id=BSGatlas-gene-117","BSGatlas-gene-117")</f>
        <v>BSGatlas-gene-117</v>
      </c>
      <c r="C115" s="1" t="s">
        <v>129</v>
      </c>
      <c r="D115" s="1" t="s">
        <v>23</v>
      </c>
      <c r="E115" s="3">
        <v>95771</v>
      </c>
      <c r="F115" s="3">
        <v>95846</v>
      </c>
      <c r="G115" s="1" t="s">
        <v>9</v>
      </c>
      <c r="H115" s="1" t="b">
        <f t="shared" si="3"/>
        <v>1</v>
      </c>
    </row>
    <row r="116" spans="1:8" ht="21" x14ac:dyDescent="0.25">
      <c r="A116" s="2" t="str">
        <f t="shared" si="8"/>
        <v>BSGatlas-operon-39</v>
      </c>
      <c r="B116" s="2" t="str">
        <f>HYPERLINK("https://rth.dk/resources/bsgatlas/details.php?id=BSGatlas-gene-118","BSGatlas-gene-118")</f>
        <v>BSGatlas-gene-118</v>
      </c>
      <c r="C116" s="1" t="s">
        <v>130</v>
      </c>
      <c r="D116" s="1" t="s">
        <v>23</v>
      </c>
      <c r="E116" s="3">
        <v>95860</v>
      </c>
      <c r="F116" s="3">
        <v>95946</v>
      </c>
      <c r="G116" s="1" t="s">
        <v>9</v>
      </c>
      <c r="H116" s="1" t="b">
        <f t="shared" si="3"/>
        <v>1</v>
      </c>
    </row>
    <row r="117" spans="1:8" ht="21" x14ac:dyDescent="0.25">
      <c r="A117" s="2" t="str">
        <f t="shared" si="8"/>
        <v>BSGatlas-operon-39</v>
      </c>
      <c r="B117" s="2" t="str">
        <f>HYPERLINK("https://rth.dk/resources/bsgatlas/details.php?id=BSGatlas-gene-119","BSGatlas-gene-119")</f>
        <v>BSGatlas-gene-119</v>
      </c>
      <c r="C117" s="1" t="s">
        <v>131</v>
      </c>
      <c r="D117" s="1" t="s">
        <v>23</v>
      </c>
      <c r="E117" s="3">
        <v>95955</v>
      </c>
      <c r="F117" s="3">
        <v>96032</v>
      </c>
      <c r="G117" s="1" t="s">
        <v>9</v>
      </c>
      <c r="H117" s="1" t="b">
        <f t="shared" si="3"/>
        <v>1</v>
      </c>
    </row>
    <row r="118" spans="1:8" ht="21" x14ac:dyDescent="0.25">
      <c r="A118" s="2" t="str">
        <f t="shared" si="8"/>
        <v>BSGatlas-operon-39</v>
      </c>
      <c r="B118" s="2" t="str">
        <f>HYPERLINK("https://rth.dk/resources/bsgatlas/details.php?id=BSGatlas-gene-120","BSGatlas-gene-120")</f>
        <v>BSGatlas-gene-120</v>
      </c>
      <c r="C118" s="1" t="s">
        <v>132</v>
      </c>
      <c r="D118" s="1" t="s">
        <v>23</v>
      </c>
      <c r="E118" s="3">
        <v>96059</v>
      </c>
      <c r="F118" s="3">
        <v>96136</v>
      </c>
      <c r="G118" s="1" t="s">
        <v>9</v>
      </c>
      <c r="H118" s="1" t="b">
        <f t="shared" si="3"/>
        <v>1</v>
      </c>
    </row>
    <row r="119" spans="1:8" ht="21" x14ac:dyDescent="0.25">
      <c r="A119" s="2" t="str">
        <f t="shared" si="8"/>
        <v>BSGatlas-operon-39</v>
      </c>
      <c r="B119" s="2" t="str">
        <f>HYPERLINK("https://rth.dk/resources/bsgatlas/details.php?id=BSGatlas-gene-121","BSGatlas-gene-121")</f>
        <v>BSGatlas-gene-121</v>
      </c>
      <c r="C119" s="1" t="s">
        <v>133</v>
      </c>
      <c r="D119" s="1" t="s">
        <v>23</v>
      </c>
      <c r="E119" s="3">
        <v>96145</v>
      </c>
      <c r="F119" s="3">
        <v>96221</v>
      </c>
      <c r="G119" s="1" t="s">
        <v>9</v>
      </c>
      <c r="H119" s="1" t="b">
        <f t="shared" si="3"/>
        <v>1</v>
      </c>
    </row>
    <row r="120" spans="1:8" ht="21" x14ac:dyDescent="0.25">
      <c r="A120" s="2" t="str">
        <f t="shared" ref="A120:A125" si="9">HYPERLINK("https://rth.dk/resources/bsgatlas/details.php?id=BSGatlas-operon-40","BSGatlas-operon-40")</f>
        <v>BSGatlas-operon-40</v>
      </c>
      <c r="B120" s="2" t="str">
        <f>HYPERLINK("https://rth.dk/resources/bsgatlas/details.php?id=BSGatlas-gene-125","BSGatlas-gene-125")</f>
        <v>BSGatlas-gene-125</v>
      </c>
      <c r="C120" s="1" t="s">
        <v>134</v>
      </c>
      <c r="D120" s="1" t="s">
        <v>8</v>
      </c>
      <c r="E120" s="3">
        <v>101449</v>
      </c>
      <c r="F120" s="3">
        <v>101913</v>
      </c>
      <c r="G120" s="1" t="s">
        <v>9</v>
      </c>
      <c r="H120" s="1" t="b">
        <f t="shared" si="3"/>
        <v>0</v>
      </c>
    </row>
    <row r="121" spans="1:8" ht="21" x14ac:dyDescent="0.25">
      <c r="A121" s="2" t="str">
        <f t="shared" si="9"/>
        <v>BSGatlas-operon-40</v>
      </c>
      <c r="B121" s="2" t="str">
        <f>HYPERLINK("https://rth.dk/resources/bsgatlas/details.php?id=BSGatlas-gene-126","BSGatlas-gene-126")</f>
        <v>BSGatlas-gene-126</v>
      </c>
      <c r="C121" s="1" t="s">
        <v>135</v>
      </c>
      <c r="D121" s="1" t="s">
        <v>8</v>
      </c>
      <c r="E121" s="3">
        <v>101927</v>
      </c>
      <c r="F121" s="3">
        <v>102484</v>
      </c>
      <c r="G121" s="1" t="s">
        <v>9</v>
      </c>
      <c r="H121" s="1" t="b">
        <f t="shared" si="3"/>
        <v>0</v>
      </c>
    </row>
    <row r="122" spans="1:8" ht="21" x14ac:dyDescent="0.25">
      <c r="A122" s="2" t="str">
        <f t="shared" si="9"/>
        <v>BSGatlas-operon-40</v>
      </c>
      <c r="B122" s="2" t="str">
        <f>HYPERLINK("https://rth.dk/resources/bsgatlas/details.php?id=BSGatlas-gene-127","BSGatlas-gene-127")</f>
        <v>BSGatlas-gene-127</v>
      </c>
      <c r="C122" s="1" t="s">
        <v>136</v>
      </c>
      <c r="D122" s="1" t="s">
        <v>8</v>
      </c>
      <c r="E122" s="3">
        <v>102484</v>
      </c>
      <c r="F122" s="3">
        <v>103575</v>
      </c>
      <c r="G122" s="1" t="s">
        <v>9</v>
      </c>
      <c r="H122" s="1" t="b">
        <f t="shared" si="3"/>
        <v>0</v>
      </c>
    </row>
    <row r="123" spans="1:8" ht="21" x14ac:dyDescent="0.25">
      <c r="A123" s="2" t="str">
        <f t="shared" si="9"/>
        <v>BSGatlas-operon-40</v>
      </c>
      <c r="B123" s="2" t="str">
        <f>HYPERLINK("https://rth.dk/resources/bsgatlas/details.php?id=BSGatlas-gene-128","BSGatlas-gene-128")</f>
        <v>BSGatlas-gene-128</v>
      </c>
      <c r="C123" s="1" t="s">
        <v>137</v>
      </c>
      <c r="D123" s="1" t="s">
        <v>8</v>
      </c>
      <c r="E123" s="3">
        <v>103572</v>
      </c>
      <c r="F123" s="3">
        <v>106004</v>
      </c>
      <c r="G123" s="1" t="s">
        <v>9</v>
      </c>
      <c r="H123" s="1" t="b">
        <f t="shared" si="3"/>
        <v>0</v>
      </c>
    </row>
    <row r="124" spans="1:8" ht="21" x14ac:dyDescent="0.25">
      <c r="A124" s="2" t="str">
        <f t="shared" si="9"/>
        <v>BSGatlas-operon-40</v>
      </c>
      <c r="B124" s="2" t="str">
        <f>HYPERLINK("https://rth.dk/resources/bsgatlas/details.php?id=BSGatlas-gene-129","BSGatlas-gene-129")</f>
        <v>BSGatlas-gene-129</v>
      </c>
      <c r="C124" s="1" t="s">
        <v>138</v>
      </c>
      <c r="D124" s="1" t="s">
        <v>8</v>
      </c>
      <c r="E124" s="3">
        <v>106096</v>
      </c>
      <c r="F124" s="3">
        <v>107472</v>
      </c>
      <c r="G124" s="1" t="s">
        <v>9</v>
      </c>
      <c r="H124" s="1" t="b">
        <f t="shared" si="3"/>
        <v>0</v>
      </c>
    </row>
    <row r="125" spans="1:8" ht="21" x14ac:dyDescent="0.25">
      <c r="A125" s="2" t="str">
        <f t="shared" si="9"/>
        <v>BSGatlas-operon-40</v>
      </c>
      <c r="B125" s="2" t="str">
        <f>HYPERLINK("https://rth.dk/resources/bsgatlas/details.php?id=BSGatlas-gene-130","BSGatlas-gene-130")</f>
        <v>BSGatlas-gene-130</v>
      </c>
      <c r="C125" s="1" t="s">
        <v>139</v>
      </c>
      <c r="D125" s="1" t="s">
        <v>8</v>
      </c>
      <c r="E125" s="3">
        <v>107476</v>
      </c>
      <c r="F125" s="3">
        <v>108558</v>
      </c>
      <c r="G125" s="1" t="s">
        <v>9</v>
      </c>
      <c r="H125" s="1" t="b">
        <f t="shared" si="3"/>
        <v>0</v>
      </c>
    </row>
    <row r="126" spans="1:8" ht="21" x14ac:dyDescent="0.25">
      <c r="A126" s="2" t="str">
        <f>HYPERLINK("https://rth.dk/resources/bsgatlas/details.php?id=BSGatlas-operon-41","BSGatlas-operon-41")</f>
        <v>BSGatlas-operon-41</v>
      </c>
      <c r="B126" s="2" t="str">
        <f>HYPERLINK("https://rth.dk/resources/bsgatlas/details.php?id=BSGatlas-gene-131","BSGatlas-gene-131")</f>
        <v>BSGatlas-gene-131</v>
      </c>
      <c r="C126" s="1" t="s">
        <v>140</v>
      </c>
      <c r="D126" s="1" t="s">
        <v>8</v>
      </c>
      <c r="E126" s="3">
        <v>108674</v>
      </c>
      <c r="F126" s="3">
        <v>109774</v>
      </c>
      <c r="G126" s="1" t="s">
        <v>9</v>
      </c>
      <c r="H126" s="1" t="b">
        <f t="shared" si="3"/>
        <v>1</v>
      </c>
    </row>
    <row r="127" spans="1:8" ht="21" x14ac:dyDescent="0.25">
      <c r="A127" s="2" t="str">
        <f>HYPERLINK("https://rth.dk/resources/bsgatlas/details.php?id=BSGatlas-operon-41","BSGatlas-operon-41")</f>
        <v>BSGatlas-operon-41</v>
      </c>
      <c r="B127" s="2" t="str">
        <f>HYPERLINK("https://rth.dk/resources/bsgatlas/details.php?id=BSGatlas-gene-132","BSGatlas-gene-132")</f>
        <v>BSGatlas-gene-132</v>
      </c>
      <c r="C127" s="1" t="s">
        <v>141</v>
      </c>
      <c r="D127" s="1" t="s">
        <v>8</v>
      </c>
      <c r="E127" s="3">
        <v>109789</v>
      </c>
      <c r="F127" s="3">
        <v>110487</v>
      </c>
      <c r="G127" s="1" t="s">
        <v>9</v>
      </c>
      <c r="H127" s="1" t="b">
        <f t="shared" si="3"/>
        <v>1</v>
      </c>
    </row>
    <row r="128" spans="1:8" ht="21" x14ac:dyDescent="0.25">
      <c r="A128" s="2" t="str">
        <f>HYPERLINK("https://rth.dk/resources/bsgatlas/details.php?id=BSGatlas-operon-41","BSGatlas-operon-41")</f>
        <v>BSGatlas-operon-41</v>
      </c>
      <c r="B128" s="2" t="str">
        <f>HYPERLINK("https://rth.dk/resources/bsgatlas/details.php?id=BSGatlas-gene-133","BSGatlas-gene-133")</f>
        <v>BSGatlas-gene-133</v>
      </c>
      <c r="C128" s="1" t="s">
        <v>142</v>
      </c>
      <c r="D128" s="1" t="s">
        <v>8</v>
      </c>
      <c r="E128" s="3">
        <v>110480</v>
      </c>
      <c r="F128" s="3">
        <v>110956</v>
      </c>
      <c r="G128" s="1" t="s">
        <v>9</v>
      </c>
      <c r="H128" s="1" t="b">
        <f t="shared" si="3"/>
        <v>1</v>
      </c>
    </row>
    <row r="129" spans="1:8" ht="21" x14ac:dyDescent="0.25">
      <c r="A129" s="2" t="str">
        <f t="shared" ref="A129:A135" si="10">HYPERLINK("https://rth.dk/resources/bsgatlas/details.php?id=BSGatlas-operon-42","BSGatlas-operon-42")</f>
        <v>BSGatlas-operon-42</v>
      </c>
      <c r="B129" s="2" t="str">
        <f>HYPERLINK("https://rth.dk/resources/bsgatlas/details.php?id=BSGatlas-gene-134","BSGatlas-gene-134")</f>
        <v>BSGatlas-gene-134</v>
      </c>
      <c r="C129" s="1" t="s">
        <v>143</v>
      </c>
      <c r="D129" s="1" t="s">
        <v>8</v>
      </c>
      <c r="E129" s="3">
        <v>111047</v>
      </c>
      <c r="F129" s="3">
        <v>112498</v>
      </c>
      <c r="G129" s="1" t="s">
        <v>9</v>
      </c>
      <c r="H129" s="1" t="b">
        <f t="shared" si="3"/>
        <v>0</v>
      </c>
    </row>
    <row r="130" spans="1:8" ht="21" x14ac:dyDescent="0.25">
      <c r="A130" s="2" t="str">
        <f t="shared" si="10"/>
        <v>BSGatlas-operon-42</v>
      </c>
      <c r="B130" s="2" t="str">
        <f>HYPERLINK("https://rth.dk/resources/bsgatlas/details.php?id=BSGatlas-gene-135","BSGatlas-gene-135")</f>
        <v>BSGatlas-gene-135</v>
      </c>
      <c r="C130" s="1" t="s">
        <v>144</v>
      </c>
      <c r="D130" s="1" t="s">
        <v>34</v>
      </c>
      <c r="E130" s="3">
        <v>112500</v>
      </c>
      <c r="F130" s="3">
        <v>112731</v>
      </c>
      <c r="G130" s="1" t="s">
        <v>9</v>
      </c>
      <c r="H130" s="1" t="b">
        <f t="shared" ref="H130:H193" si="11">_xlfn.XOR(A129&lt;&gt;A130,H129)</f>
        <v>0</v>
      </c>
    </row>
    <row r="131" spans="1:8" ht="21" x14ac:dyDescent="0.25">
      <c r="A131" s="2" t="str">
        <f t="shared" si="10"/>
        <v>BSGatlas-operon-42</v>
      </c>
      <c r="B131" s="2" t="str">
        <f>HYPERLINK("https://rth.dk/resources/bsgatlas/details.php?id=BSGatlas-gene-136","BSGatlas-gene-136")</f>
        <v>BSGatlas-gene-136</v>
      </c>
      <c r="C131" s="1" t="s">
        <v>145</v>
      </c>
      <c r="D131" s="1" t="s">
        <v>8</v>
      </c>
      <c r="E131" s="3">
        <v>112800</v>
      </c>
      <c r="F131" s="3">
        <v>113453</v>
      </c>
      <c r="G131" s="1" t="s">
        <v>9</v>
      </c>
      <c r="H131" s="1" t="b">
        <f t="shared" si="11"/>
        <v>0</v>
      </c>
    </row>
    <row r="132" spans="1:8" ht="21" x14ac:dyDescent="0.25">
      <c r="A132" s="2" t="str">
        <f t="shared" si="10"/>
        <v>BSGatlas-operon-42</v>
      </c>
      <c r="B132" s="2" t="str">
        <f>HYPERLINK("https://rth.dk/resources/bsgatlas/details.php?id=BSGatlas-gene-137","BSGatlas-gene-137")</f>
        <v>BSGatlas-gene-137</v>
      </c>
      <c r="C132" s="1" t="s">
        <v>146</v>
      </c>
      <c r="D132" s="1" t="s">
        <v>8</v>
      </c>
      <c r="E132" s="3">
        <v>113450</v>
      </c>
      <c r="F132" s="3">
        <v>114850</v>
      </c>
      <c r="G132" s="1" t="s">
        <v>9</v>
      </c>
      <c r="H132" s="1" t="b">
        <f t="shared" si="11"/>
        <v>0</v>
      </c>
    </row>
    <row r="133" spans="1:8" ht="21" x14ac:dyDescent="0.25">
      <c r="A133" s="2" t="str">
        <f t="shared" si="10"/>
        <v>BSGatlas-operon-42</v>
      </c>
      <c r="B133" s="2" t="str">
        <f>HYPERLINK("https://rth.dk/resources/bsgatlas/details.php?id=BSGatlas-gene-138","BSGatlas-gene-138")</f>
        <v>BSGatlas-gene-138</v>
      </c>
      <c r="C133" s="1" t="s">
        <v>147</v>
      </c>
      <c r="D133" s="1" t="s">
        <v>8</v>
      </c>
      <c r="E133" s="3">
        <v>114854</v>
      </c>
      <c r="F133" s="3">
        <v>115285</v>
      </c>
      <c r="G133" s="1" t="s">
        <v>9</v>
      </c>
      <c r="H133" s="1" t="b">
        <f t="shared" si="11"/>
        <v>0</v>
      </c>
    </row>
    <row r="134" spans="1:8" ht="21" x14ac:dyDescent="0.25">
      <c r="A134" s="2" t="str">
        <f t="shared" si="10"/>
        <v>BSGatlas-operon-42</v>
      </c>
      <c r="B134" s="2" t="str">
        <f>HYPERLINK("https://rth.dk/resources/bsgatlas/details.php?id=BSGatlas-gene-139","BSGatlas-gene-139")</f>
        <v>BSGatlas-gene-139</v>
      </c>
      <c r="C134" s="1" t="s">
        <v>148</v>
      </c>
      <c r="D134" s="1" t="s">
        <v>8</v>
      </c>
      <c r="E134" s="3">
        <v>115269</v>
      </c>
      <c r="F134" s="3">
        <v>116018</v>
      </c>
      <c r="G134" s="1" t="s">
        <v>9</v>
      </c>
      <c r="H134" s="1" t="b">
        <f t="shared" si="11"/>
        <v>0</v>
      </c>
    </row>
    <row r="135" spans="1:8" ht="21" x14ac:dyDescent="0.25">
      <c r="A135" s="2" t="str">
        <f t="shared" si="10"/>
        <v>BSGatlas-operon-42</v>
      </c>
      <c r="B135" s="2" t="str">
        <f>HYPERLINK("https://rth.dk/resources/bsgatlas/details.php?id=BSGatlas-gene-140","BSGatlas-gene-140")</f>
        <v>BSGatlas-gene-140</v>
      </c>
      <c r="C135" s="1" t="s">
        <v>149</v>
      </c>
      <c r="D135" s="1" t="s">
        <v>8</v>
      </c>
      <c r="E135" s="3">
        <v>116025</v>
      </c>
      <c r="F135" s="3">
        <v>116537</v>
      </c>
      <c r="G135" s="1" t="s">
        <v>9</v>
      </c>
      <c r="H135" s="1" t="b">
        <f t="shared" si="11"/>
        <v>0</v>
      </c>
    </row>
    <row r="136" spans="1:8" ht="21" x14ac:dyDescent="0.25">
      <c r="A136" s="2" t="str">
        <f>HYPERLINK("https://rth.dk/resources/bsgatlas/details.php?id=BSGatlas-operon-43","BSGatlas-operon-43")</f>
        <v>BSGatlas-operon-43</v>
      </c>
      <c r="B136" s="2" t="str">
        <f>HYPERLINK("https://rth.dk/resources/bsgatlas/details.php?id=BSGatlas-gene-141","BSGatlas-gene-141")</f>
        <v>BSGatlas-gene-141</v>
      </c>
      <c r="C136" s="1" t="s">
        <v>150</v>
      </c>
      <c r="D136" s="1" t="s">
        <v>8</v>
      </c>
      <c r="E136" s="3">
        <v>116600</v>
      </c>
      <c r="F136" s="3">
        <v>117256</v>
      </c>
      <c r="G136" s="1" t="s">
        <v>9</v>
      </c>
      <c r="H136" s="1" t="b">
        <f t="shared" si="11"/>
        <v>1</v>
      </c>
    </row>
    <row r="137" spans="1:8" ht="21" x14ac:dyDescent="0.25">
      <c r="A137" s="2" t="str">
        <f>HYPERLINK("https://rth.dk/resources/bsgatlas/details.php?id=BSGatlas-operon-43","BSGatlas-operon-43")</f>
        <v>BSGatlas-operon-43</v>
      </c>
      <c r="B137" s="2" t="str">
        <f>HYPERLINK("https://rth.dk/resources/bsgatlas/details.php?id=BSGatlas-gene-142","BSGatlas-gene-142")</f>
        <v>BSGatlas-gene-142</v>
      </c>
      <c r="C137" s="1" t="s">
        <v>151</v>
      </c>
      <c r="D137" s="1" t="s">
        <v>8</v>
      </c>
      <c r="E137" s="3">
        <v>117349</v>
      </c>
      <c r="F137" s="3">
        <v>117498</v>
      </c>
      <c r="G137" s="1" t="s">
        <v>9</v>
      </c>
      <c r="H137" s="1" t="b">
        <f t="shared" si="11"/>
        <v>1</v>
      </c>
    </row>
    <row r="138" spans="1:8" ht="21" x14ac:dyDescent="0.25">
      <c r="A138" s="2" t="str">
        <f>HYPERLINK("https://rth.dk/resources/bsgatlas/details.php?id=BSGatlas-operon-43","BSGatlas-operon-43")</f>
        <v>BSGatlas-operon-43</v>
      </c>
      <c r="B138" s="2" t="str">
        <f>HYPERLINK("https://rth.dk/resources/bsgatlas/details.php?id=BSGatlas-gene-143","BSGatlas-gene-143")</f>
        <v>BSGatlas-gene-143</v>
      </c>
      <c r="C138" s="1" t="s">
        <v>152</v>
      </c>
      <c r="D138" s="1" t="s">
        <v>8</v>
      </c>
      <c r="E138" s="3">
        <v>117532</v>
      </c>
      <c r="F138" s="3">
        <v>117711</v>
      </c>
      <c r="G138" s="1" t="s">
        <v>9</v>
      </c>
      <c r="H138" s="1" t="b">
        <f t="shared" si="11"/>
        <v>1</v>
      </c>
    </row>
    <row r="139" spans="1:8" ht="21" x14ac:dyDescent="0.25">
      <c r="A139" s="2" t="str">
        <f>HYPERLINK("https://rth.dk/resources/bsgatlas/details.php?id=BSGatlas-operon-44","BSGatlas-operon-44")</f>
        <v>BSGatlas-operon-44</v>
      </c>
      <c r="B139" s="2" t="str">
        <f>HYPERLINK("https://rth.dk/resources/bsgatlas/details.php?id=BSGatlas-gene-145","BSGatlas-gene-145")</f>
        <v>BSGatlas-gene-145</v>
      </c>
      <c r="C139" s="1" t="s">
        <v>153</v>
      </c>
      <c r="D139" s="1" t="s">
        <v>8</v>
      </c>
      <c r="E139" s="3">
        <v>118591</v>
      </c>
      <c r="F139" s="3">
        <v>119016</v>
      </c>
      <c r="G139" s="1" t="s">
        <v>9</v>
      </c>
      <c r="H139" s="1" t="b">
        <f t="shared" si="11"/>
        <v>0</v>
      </c>
    </row>
    <row r="140" spans="1:8" ht="21" x14ac:dyDescent="0.25">
      <c r="A140" s="2" t="str">
        <f>HYPERLINK("https://rth.dk/resources/bsgatlas/details.php?id=BSGatlas-operon-44","BSGatlas-operon-44")</f>
        <v>BSGatlas-operon-44</v>
      </c>
      <c r="B140" s="2" t="str">
        <f>HYPERLINK("https://rth.dk/resources/bsgatlas/details.php?id=BSGatlas-gene-146","BSGatlas-gene-146")</f>
        <v>BSGatlas-gene-146</v>
      </c>
      <c r="C140" s="1" t="s">
        <v>154</v>
      </c>
      <c r="D140" s="1" t="s">
        <v>8</v>
      </c>
      <c r="E140" s="3">
        <v>119111</v>
      </c>
      <c r="F140" s="3">
        <v>119809</v>
      </c>
      <c r="G140" s="1" t="s">
        <v>9</v>
      </c>
      <c r="H140" s="1" t="b">
        <f t="shared" si="11"/>
        <v>0</v>
      </c>
    </row>
    <row r="141" spans="1:8" ht="21" x14ac:dyDescent="0.25">
      <c r="A141" s="2" t="str">
        <f>HYPERLINK("https://rth.dk/resources/bsgatlas/details.php?id=BSGatlas-operon-44","BSGatlas-operon-44")</f>
        <v>BSGatlas-operon-44</v>
      </c>
      <c r="B141" s="2" t="str">
        <f>HYPERLINK("https://rth.dk/resources/bsgatlas/details.php?id=BSGatlas-gene-147","BSGatlas-gene-147")</f>
        <v>BSGatlas-gene-147</v>
      </c>
      <c r="C141" s="1" t="s">
        <v>155</v>
      </c>
      <c r="D141" s="1" t="s">
        <v>34</v>
      </c>
      <c r="E141" s="3">
        <v>119854</v>
      </c>
      <c r="F141" s="3">
        <v>119995</v>
      </c>
      <c r="G141" s="1" t="s">
        <v>9</v>
      </c>
      <c r="H141" s="1" t="b">
        <f t="shared" si="11"/>
        <v>0</v>
      </c>
    </row>
    <row r="142" spans="1:8" ht="21" x14ac:dyDescent="0.25">
      <c r="A142" s="2" t="str">
        <f>HYPERLINK("https://rth.dk/resources/bsgatlas/details.php?id=BSGatlas-operon-44","BSGatlas-operon-44")</f>
        <v>BSGatlas-operon-44</v>
      </c>
      <c r="B142" s="2" t="str">
        <f>HYPERLINK("https://rth.dk/resources/bsgatlas/details.php?id=BSGatlas-gene-148","BSGatlas-gene-148")</f>
        <v>BSGatlas-gene-148</v>
      </c>
      <c r="C142" s="1" t="s">
        <v>156</v>
      </c>
      <c r="D142" s="1" t="s">
        <v>8</v>
      </c>
      <c r="E142" s="3">
        <v>120061</v>
      </c>
      <c r="F142" s="3">
        <v>120561</v>
      </c>
      <c r="G142" s="1" t="s">
        <v>9</v>
      </c>
      <c r="H142" s="1" t="b">
        <f t="shared" si="11"/>
        <v>0</v>
      </c>
    </row>
    <row r="143" spans="1:8" ht="21" x14ac:dyDescent="0.25">
      <c r="A143" s="2" t="str">
        <f>HYPERLINK("https://rth.dk/resources/bsgatlas/details.php?id=BSGatlas-operon-44","BSGatlas-operon-44")</f>
        <v>BSGatlas-operon-44</v>
      </c>
      <c r="B143" s="2" t="str">
        <f>HYPERLINK("https://rth.dk/resources/bsgatlas/details.php?id=BSGatlas-gene-149","BSGatlas-gene-149")</f>
        <v>BSGatlas-gene-149</v>
      </c>
      <c r="C143" s="1" t="s">
        <v>157</v>
      </c>
      <c r="D143" s="1" t="s">
        <v>8</v>
      </c>
      <c r="E143" s="3">
        <v>120607</v>
      </c>
      <c r="F143" s="3">
        <v>120978</v>
      </c>
      <c r="G143" s="1" t="s">
        <v>9</v>
      </c>
      <c r="H143" s="1" t="b">
        <f t="shared" si="11"/>
        <v>0</v>
      </c>
    </row>
    <row r="144" spans="1:8" ht="21" x14ac:dyDescent="0.25">
      <c r="A144" s="2" t="str">
        <f>HYPERLINK("https://rth.dk/resources/bsgatlas/details.php?id=BSGatlas-operon-45","BSGatlas-operon-45")</f>
        <v>BSGatlas-operon-45</v>
      </c>
      <c r="B144" s="2" t="str">
        <f>HYPERLINK("https://rth.dk/resources/bsgatlas/details.php?id=BSGatlas-gene-151","BSGatlas-gene-151")</f>
        <v>BSGatlas-gene-151</v>
      </c>
      <c r="C144" s="1" t="s">
        <v>158</v>
      </c>
      <c r="D144" s="1" t="s">
        <v>8</v>
      </c>
      <c r="E144" s="3">
        <v>121919</v>
      </c>
      <c r="F144" s="3">
        <v>125500</v>
      </c>
      <c r="G144" s="1" t="s">
        <v>9</v>
      </c>
      <c r="H144" s="1" t="b">
        <f t="shared" si="11"/>
        <v>1</v>
      </c>
    </row>
    <row r="145" spans="1:8" ht="21" x14ac:dyDescent="0.25">
      <c r="A145" s="2" t="str">
        <f>HYPERLINK("https://rth.dk/resources/bsgatlas/details.php?id=BSGatlas-operon-45","BSGatlas-operon-45")</f>
        <v>BSGatlas-operon-45</v>
      </c>
      <c r="B145" s="2" t="str">
        <f>HYPERLINK("https://rth.dk/resources/bsgatlas/details.php?id=BSGatlas-gene-152","BSGatlas-gene-152")</f>
        <v>BSGatlas-gene-152</v>
      </c>
      <c r="C145" s="1" t="s">
        <v>159</v>
      </c>
      <c r="D145" s="1" t="s">
        <v>8</v>
      </c>
      <c r="E145" s="3">
        <v>125562</v>
      </c>
      <c r="F145" s="3">
        <v>129161</v>
      </c>
      <c r="G145" s="1" t="s">
        <v>9</v>
      </c>
      <c r="H145" s="1" t="b">
        <f t="shared" si="11"/>
        <v>1</v>
      </c>
    </row>
    <row r="146" spans="1:8" ht="21" x14ac:dyDescent="0.25">
      <c r="A146" s="2" t="str">
        <f>HYPERLINK("https://rth.dk/resources/bsgatlas/details.php?id=BSGatlas-operon-46","BSGatlas-operon-46")</f>
        <v>BSGatlas-operon-46</v>
      </c>
      <c r="B146" s="2" t="str">
        <f>HYPERLINK("https://rth.dk/resources/bsgatlas/details.php?id=BSGatlas-gene-153","BSGatlas-gene-153")</f>
        <v>BSGatlas-gene-153</v>
      </c>
      <c r="C146" s="1" t="s">
        <v>160</v>
      </c>
      <c r="D146" s="1" t="s">
        <v>8</v>
      </c>
      <c r="E146" s="3">
        <v>129340</v>
      </c>
      <c r="F146" s="3">
        <v>129588</v>
      </c>
      <c r="G146" s="1" t="s">
        <v>9</v>
      </c>
      <c r="H146" s="1" t="b">
        <f t="shared" si="11"/>
        <v>0</v>
      </c>
    </row>
    <row r="147" spans="1:8" ht="21" x14ac:dyDescent="0.25">
      <c r="A147" s="2" t="str">
        <f>HYPERLINK("https://rth.dk/resources/bsgatlas/details.php?id=BSGatlas-operon-46","BSGatlas-operon-46")</f>
        <v>BSGatlas-operon-46</v>
      </c>
      <c r="B147" s="2" t="str">
        <f>HYPERLINK("https://rth.dk/resources/bsgatlas/details.php?id=BSGatlas-gene-154","BSGatlas-gene-154")</f>
        <v>BSGatlas-gene-154</v>
      </c>
      <c r="C147" s="1" t="s">
        <v>161</v>
      </c>
      <c r="D147" s="1" t="s">
        <v>8</v>
      </c>
      <c r="E147" s="3">
        <v>129702</v>
      </c>
      <c r="F147" s="3">
        <v>130118</v>
      </c>
      <c r="G147" s="1" t="s">
        <v>9</v>
      </c>
      <c r="H147" s="1" t="b">
        <f t="shared" si="11"/>
        <v>0</v>
      </c>
    </row>
    <row r="148" spans="1:8" ht="21" x14ac:dyDescent="0.25">
      <c r="A148" s="2" t="str">
        <f>HYPERLINK("https://rth.dk/resources/bsgatlas/details.php?id=BSGatlas-operon-46","BSGatlas-operon-46")</f>
        <v>BSGatlas-operon-46</v>
      </c>
      <c r="B148" s="2" t="str">
        <f>HYPERLINK("https://rth.dk/resources/bsgatlas/details.php?id=BSGatlas-gene-155","BSGatlas-gene-155")</f>
        <v>BSGatlas-gene-155</v>
      </c>
      <c r="C148" s="1" t="s">
        <v>162</v>
      </c>
      <c r="D148" s="1" t="s">
        <v>8</v>
      </c>
      <c r="E148" s="3">
        <v>130160</v>
      </c>
      <c r="F148" s="3">
        <v>130630</v>
      </c>
      <c r="G148" s="1" t="s">
        <v>9</v>
      </c>
      <c r="H148" s="1" t="b">
        <f t="shared" si="11"/>
        <v>0</v>
      </c>
    </row>
    <row r="149" spans="1:8" ht="21" x14ac:dyDescent="0.25">
      <c r="A149" s="2" t="str">
        <f>HYPERLINK("https://rth.dk/resources/bsgatlas/details.php?id=BSGatlas-operon-46","BSGatlas-operon-46")</f>
        <v>BSGatlas-operon-46</v>
      </c>
      <c r="B149" s="2" t="str">
        <f>HYPERLINK("https://rth.dk/resources/bsgatlas/details.php?id=BSGatlas-gene-156","BSGatlas-gene-156")</f>
        <v>BSGatlas-gene-156</v>
      </c>
      <c r="C149" s="1" t="s">
        <v>163</v>
      </c>
      <c r="D149" s="1" t="s">
        <v>8</v>
      </c>
      <c r="E149" s="3">
        <v>130684</v>
      </c>
      <c r="F149" s="3">
        <v>132762</v>
      </c>
      <c r="G149" s="1" t="s">
        <v>9</v>
      </c>
      <c r="H149" s="1" t="b">
        <f t="shared" si="11"/>
        <v>0</v>
      </c>
    </row>
    <row r="150" spans="1:8" ht="21" x14ac:dyDescent="0.25">
      <c r="A150" s="2" t="str">
        <f>HYPERLINK("https://rth.dk/resources/bsgatlas/details.php?id=BSGatlas-operon-46","BSGatlas-operon-46")</f>
        <v>BSGatlas-operon-46</v>
      </c>
      <c r="B150" s="2" t="str">
        <f>HYPERLINK("https://rth.dk/resources/bsgatlas/details.php?id=BSGatlas-gene-157","BSGatlas-gene-157")</f>
        <v>BSGatlas-gene-157</v>
      </c>
      <c r="C150" s="1" t="s">
        <v>164</v>
      </c>
      <c r="D150" s="1" t="s">
        <v>8</v>
      </c>
      <c r="E150" s="3">
        <v>132882</v>
      </c>
      <c r="F150" s="3">
        <v>134072</v>
      </c>
      <c r="G150" s="1" t="s">
        <v>9</v>
      </c>
      <c r="H150" s="1" t="b">
        <f t="shared" si="11"/>
        <v>0</v>
      </c>
    </row>
    <row r="151" spans="1:8" ht="21" x14ac:dyDescent="0.25">
      <c r="A151" s="2" t="str">
        <f>HYPERLINK("https://rth.dk/resources/bsgatlas/details.php?id=BSGatlas-operon-47","BSGatlas-operon-47")</f>
        <v>BSGatlas-operon-47</v>
      </c>
      <c r="B151" s="2" t="str">
        <f>HYPERLINK("https://rth.dk/resources/bsgatlas/details.php?id=BSGatlas-gene-158","BSGatlas-gene-158")</f>
        <v>BSGatlas-gene-158</v>
      </c>
      <c r="C151" s="1" t="s">
        <v>165</v>
      </c>
      <c r="D151" s="1" t="s">
        <v>8</v>
      </c>
      <c r="E151" s="3">
        <v>134171</v>
      </c>
      <c r="F151" s="3">
        <v>135127</v>
      </c>
      <c r="G151" s="1" t="s">
        <v>9</v>
      </c>
      <c r="H151" s="1" t="b">
        <f t="shared" si="11"/>
        <v>1</v>
      </c>
    </row>
    <row r="152" spans="1:8" ht="21" x14ac:dyDescent="0.25">
      <c r="A152" s="2" t="str">
        <f t="shared" ref="A152:A182" si="12">HYPERLINK("https://rth.dk/resources/bsgatlas/details.php?id=BSGatlas-operon-48","BSGatlas-operon-48")</f>
        <v>BSGatlas-operon-48</v>
      </c>
      <c r="B152" s="2" t="str">
        <f>HYPERLINK("https://rth.dk/resources/bsgatlas/details.php?id=BSGatlas-gene-160","BSGatlas-gene-160")</f>
        <v>BSGatlas-gene-160</v>
      </c>
      <c r="C152" s="1" t="s">
        <v>166</v>
      </c>
      <c r="D152" s="1" t="s">
        <v>8</v>
      </c>
      <c r="E152" s="3">
        <v>135364</v>
      </c>
      <c r="F152" s="3">
        <v>135672</v>
      </c>
      <c r="G152" s="1" t="s">
        <v>9</v>
      </c>
      <c r="H152" s="1" t="b">
        <f t="shared" si="11"/>
        <v>0</v>
      </c>
    </row>
    <row r="153" spans="1:8" ht="21" x14ac:dyDescent="0.25">
      <c r="A153" s="2" t="str">
        <f t="shared" si="12"/>
        <v>BSGatlas-operon-48</v>
      </c>
      <c r="B153" s="2" t="str">
        <f>HYPERLINK("https://rth.dk/resources/bsgatlas/details.php?id=BSGatlas-gene-161","BSGatlas-gene-161")</f>
        <v>BSGatlas-gene-161</v>
      </c>
      <c r="C153" s="1" t="s">
        <v>167</v>
      </c>
      <c r="D153" s="1" t="s">
        <v>8</v>
      </c>
      <c r="E153" s="3">
        <v>135712</v>
      </c>
      <c r="F153" s="3">
        <v>136341</v>
      </c>
      <c r="G153" s="1" t="s">
        <v>9</v>
      </c>
      <c r="H153" s="1" t="b">
        <f t="shared" si="11"/>
        <v>0</v>
      </c>
    </row>
    <row r="154" spans="1:8" ht="21" x14ac:dyDescent="0.25">
      <c r="A154" s="2" t="str">
        <f t="shared" si="12"/>
        <v>BSGatlas-operon-48</v>
      </c>
      <c r="B154" s="2" t="str">
        <f>HYPERLINK("https://rth.dk/resources/bsgatlas/details.php?id=BSGatlas-gene-162","BSGatlas-gene-162")</f>
        <v>BSGatlas-gene-162</v>
      </c>
      <c r="C154" s="1" t="s">
        <v>168</v>
      </c>
      <c r="D154" s="1" t="s">
        <v>8</v>
      </c>
      <c r="E154" s="3">
        <v>136369</v>
      </c>
      <c r="F154" s="3">
        <v>136992</v>
      </c>
      <c r="G154" s="1" t="s">
        <v>9</v>
      </c>
      <c r="H154" s="1" t="b">
        <f t="shared" si="11"/>
        <v>0</v>
      </c>
    </row>
    <row r="155" spans="1:8" ht="21" x14ac:dyDescent="0.25">
      <c r="A155" s="2" t="str">
        <f t="shared" si="12"/>
        <v>BSGatlas-operon-48</v>
      </c>
      <c r="B155" s="2" t="str">
        <f>HYPERLINK("https://rth.dk/resources/bsgatlas/details.php?id=BSGatlas-gene-163","BSGatlas-gene-163")</f>
        <v>BSGatlas-gene-163</v>
      </c>
      <c r="C155" s="1" t="s">
        <v>169</v>
      </c>
      <c r="D155" s="1" t="s">
        <v>8</v>
      </c>
      <c r="E155" s="3">
        <v>136992</v>
      </c>
      <c r="F155" s="3">
        <v>137279</v>
      </c>
      <c r="G155" s="1" t="s">
        <v>9</v>
      </c>
      <c r="H155" s="1" t="b">
        <f t="shared" si="11"/>
        <v>0</v>
      </c>
    </row>
    <row r="156" spans="1:8" ht="21" x14ac:dyDescent="0.25">
      <c r="A156" s="2" t="str">
        <f t="shared" si="12"/>
        <v>BSGatlas-operon-48</v>
      </c>
      <c r="B156" s="2" t="str">
        <f>HYPERLINK("https://rth.dk/resources/bsgatlas/details.php?id=BSGatlas-gene-164","BSGatlas-gene-164")</f>
        <v>BSGatlas-gene-164</v>
      </c>
      <c r="C156" s="1" t="s">
        <v>170</v>
      </c>
      <c r="D156" s="1" t="s">
        <v>8</v>
      </c>
      <c r="E156" s="3">
        <v>137311</v>
      </c>
      <c r="F156" s="3">
        <v>138144</v>
      </c>
      <c r="G156" s="1" t="s">
        <v>9</v>
      </c>
      <c r="H156" s="1" t="b">
        <f t="shared" si="11"/>
        <v>0</v>
      </c>
    </row>
    <row r="157" spans="1:8" ht="21" x14ac:dyDescent="0.25">
      <c r="A157" s="2" t="str">
        <f t="shared" si="12"/>
        <v>BSGatlas-operon-48</v>
      </c>
      <c r="B157" s="2" t="str">
        <f>HYPERLINK("https://rth.dk/resources/bsgatlas/details.php?id=BSGatlas-gene-165","BSGatlas-gene-165")</f>
        <v>BSGatlas-gene-165</v>
      </c>
      <c r="C157" s="1" t="s">
        <v>171</v>
      </c>
      <c r="D157" s="1" t="s">
        <v>8</v>
      </c>
      <c r="E157" s="3">
        <v>138202</v>
      </c>
      <c r="F157" s="3">
        <v>138480</v>
      </c>
      <c r="G157" s="1" t="s">
        <v>9</v>
      </c>
      <c r="H157" s="1" t="b">
        <f t="shared" si="11"/>
        <v>0</v>
      </c>
    </row>
    <row r="158" spans="1:8" ht="21" x14ac:dyDescent="0.25">
      <c r="A158" s="2" t="str">
        <f t="shared" si="12"/>
        <v>BSGatlas-operon-48</v>
      </c>
      <c r="B158" s="2" t="str">
        <f>HYPERLINK("https://rth.dk/resources/bsgatlas/details.php?id=BSGatlas-gene-166","BSGatlas-gene-166")</f>
        <v>BSGatlas-gene-166</v>
      </c>
      <c r="C158" s="1" t="s">
        <v>172</v>
      </c>
      <c r="D158" s="1" t="s">
        <v>8</v>
      </c>
      <c r="E158" s="3">
        <v>138497</v>
      </c>
      <c r="F158" s="3">
        <v>138838</v>
      </c>
      <c r="G158" s="1" t="s">
        <v>9</v>
      </c>
      <c r="H158" s="1" t="b">
        <f t="shared" si="11"/>
        <v>0</v>
      </c>
    </row>
    <row r="159" spans="1:8" ht="21" x14ac:dyDescent="0.25">
      <c r="A159" s="2" t="str">
        <f t="shared" si="12"/>
        <v>BSGatlas-operon-48</v>
      </c>
      <c r="B159" s="2" t="str">
        <f>HYPERLINK("https://rth.dk/resources/bsgatlas/details.php?id=BSGatlas-gene-167","BSGatlas-gene-167")</f>
        <v>BSGatlas-gene-167</v>
      </c>
      <c r="C159" s="1" t="s">
        <v>173</v>
      </c>
      <c r="D159" s="1" t="s">
        <v>8</v>
      </c>
      <c r="E159" s="3">
        <v>138842</v>
      </c>
      <c r="F159" s="3">
        <v>139498</v>
      </c>
      <c r="G159" s="1" t="s">
        <v>9</v>
      </c>
      <c r="H159" s="1" t="b">
        <f t="shared" si="11"/>
        <v>0</v>
      </c>
    </row>
    <row r="160" spans="1:8" ht="21" x14ac:dyDescent="0.25">
      <c r="A160" s="2" t="str">
        <f t="shared" si="12"/>
        <v>BSGatlas-operon-48</v>
      </c>
      <c r="B160" s="2" t="str">
        <f>HYPERLINK("https://rth.dk/resources/bsgatlas/details.php?id=BSGatlas-gene-168","BSGatlas-gene-168")</f>
        <v>BSGatlas-gene-168</v>
      </c>
      <c r="C160" s="1" t="s">
        <v>174</v>
      </c>
      <c r="D160" s="1" t="s">
        <v>8</v>
      </c>
      <c r="E160" s="3">
        <v>139500</v>
      </c>
      <c r="F160" s="3">
        <v>139934</v>
      </c>
      <c r="G160" s="1" t="s">
        <v>9</v>
      </c>
      <c r="H160" s="1" t="b">
        <f t="shared" si="11"/>
        <v>0</v>
      </c>
    </row>
    <row r="161" spans="1:8" ht="21" x14ac:dyDescent="0.25">
      <c r="A161" s="2" t="str">
        <f t="shared" si="12"/>
        <v>BSGatlas-operon-48</v>
      </c>
      <c r="B161" s="2" t="str">
        <f>HYPERLINK("https://rth.dk/resources/bsgatlas/details.php?id=BSGatlas-gene-169","BSGatlas-gene-169")</f>
        <v>BSGatlas-gene-169</v>
      </c>
      <c r="C161" s="1" t="s">
        <v>175</v>
      </c>
      <c r="D161" s="1" t="s">
        <v>8</v>
      </c>
      <c r="E161" s="3">
        <v>139924</v>
      </c>
      <c r="F161" s="3">
        <v>140124</v>
      </c>
      <c r="G161" s="1" t="s">
        <v>9</v>
      </c>
      <c r="H161" s="1" t="b">
        <f t="shared" si="11"/>
        <v>0</v>
      </c>
    </row>
    <row r="162" spans="1:8" ht="21" x14ac:dyDescent="0.25">
      <c r="A162" s="2" t="str">
        <f t="shared" si="12"/>
        <v>BSGatlas-operon-48</v>
      </c>
      <c r="B162" s="2" t="str">
        <f>HYPERLINK("https://rth.dk/resources/bsgatlas/details.php?id=BSGatlas-gene-170","BSGatlas-gene-170")</f>
        <v>BSGatlas-gene-170</v>
      </c>
      <c r="C162" s="1" t="s">
        <v>176</v>
      </c>
      <c r="D162" s="1" t="s">
        <v>8</v>
      </c>
      <c r="E162" s="3">
        <v>140147</v>
      </c>
      <c r="F162" s="3">
        <v>140410</v>
      </c>
      <c r="G162" s="1" t="s">
        <v>9</v>
      </c>
      <c r="H162" s="1" t="b">
        <f t="shared" si="11"/>
        <v>0</v>
      </c>
    </row>
    <row r="163" spans="1:8" ht="21" x14ac:dyDescent="0.25">
      <c r="A163" s="2" t="str">
        <f t="shared" si="12"/>
        <v>BSGatlas-operon-48</v>
      </c>
      <c r="B163" s="2" t="str">
        <f>HYPERLINK("https://rth.dk/resources/bsgatlas/details.php?id=BSGatlas-gene-171","BSGatlas-gene-171")</f>
        <v>BSGatlas-gene-171</v>
      </c>
      <c r="C163" s="1" t="s">
        <v>177</v>
      </c>
      <c r="D163" s="1" t="s">
        <v>8</v>
      </c>
      <c r="E163" s="3">
        <v>140451</v>
      </c>
      <c r="F163" s="3">
        <v>140819</v>
      </c>
      <c r="G163" s="1" t="s">
        <v>9</v>
      </c>
      <c r="H163" s="1" t="b">
        <f t="shared" si="11"/>
        <v>0</v>
      </c>
    </row>
    <row r="164" spans="1:8" ht="21" x14ac:dyDescent="0.25">
      <c r="A164" s="2" t="str">
        <f t="shared" si="12"/>
        <v>BSGatlas-operon-48</v>
      </c>
      <c r="B164" s="2" t="str">
        <f>HYPERLINK("https://rth.dk/resources/bsgatlas/details.php?id=BSGatlas-gene-172","BSGatlas-gene-172")</f>
        <v>BSGatlas-gene-172</v>
      </c>
      <c r="C164" s="1" t="s">
        <v>178</v>
      </c>
      <c r="D164" s="1" t="s">
        <v>8</v>
      </c>
      <c r="E164" s="3">
        <v>140857</v>
      </c>
      <c r="F164" s="3">
        <v>141168</v>
      </c>
      <c r="G164" s="1" t="s">
        <v>9</v>
      </c>
      <c r="H164" s="1" t="b">
        <f t="shared" si="11"/>
        <v>0</v>
      </c>
    </row>
    <row r="165" spans="1:8" ht="21" x14ac:dyDescent="0.25">
      <c r="A165" s="2" t="str">
        <f t="shared" si="12"/>
        <v>BSGatlas-operon-48</v>
      </c>
      <c r="B165" s="2" t="str">
        <f>HYPERLINK("https://rth.dk/resources/bsgatlas/details.php?id=BSGatlas-gene-173","BSGatlas-gene-173")</f>
        <v>BSGatlas-gene-173</v>
      </c>
      <c r="C165" s="1" t="s">
        <v>179</v>
      </c>
      <c r="D165" s="1" t="s">
        <v>8</v>
      </c>
      <c r="E165" s="3">
        <v>141195</v>
      </c>
      <c r="F165" s="3">
        <v>141734</v>
      </c>
      <c r="G165" s="1" t="s">
        <v>9</v>
      </c>
      <c r="H165" s="1" t="b">
        <f t="shared" si="11"/>
        <v>0</v>
      </c>
    </row>
    <row r="166" spans="1:8" ht="21" x14ac:dyDescent="0.25">
      <c r="A166" s="2" t="str">
        <f t="shared" si="12"/>
        <v>BSGatlas-operon-48</v>
      </c>
      <c r="B166" s="2" t="str">
        <f>HYPERLINK("https://rth.dk/resources/bsgatlas/details.php?id=BSGatlas-gene-174","BSGatlas-gene-174")</f>
        <v>BSGatlas-gene-174</v>
      </c>
      <c r="C166" s="1" t="s">
        <v>180</v>
      </c>
      <c r="D166" s="1" t="s">
        <v>8</v>
      </c>
      <c r="E166" s="3">
        <v>141757</v>
      </c>
      <c r="F166" s="3">
        <v>141942</v>
      </c>
      <c r="G166" s="1" t="s">
        <v>9</v>
      </c>
      <c r="H166" s="1" t="b">
        <f t="shared" si="11"/>
        <v>0</v>
      </c>
    </row>
    <row r="167" spans="1:8" ht="21" x14ac:dyDescent="0.25">
      <c r="A167" s="2" t="str">
        <f t="shared" si="12"/>
        <v>BSGatlas-operon-48</v>
      </c>
      <c r="B167" s="2" t="str">
        <f>HYPERLINK("https://rth.dk/resources/bsgatlas/details.php?id=BSGatlas-gene-175","BSGatlas-gene-175")</f>
        <v>BSGatlas-gene-175</v>
      </c>
      <c r="C167" s="1" t="s">
        <v>181</v>
      </c>
      <c r="D167" s="1" t="s">
        <v>8</v>
      </c>
      <c r="E167" s="3">
        <v>141974</v>
      </c>
      <c r="F167" s="3">
        <v>142372</v>
      </c>
      <c r="G167" s="1" t="s">
        <v>9</v>
      </c>
      <c r="H167" s="1" t="b">
        <f t="shared" si="11"/>
        <v>0</v>
      </c>
    </row>
    <row r="168" spans="1:8" ht="21" x14ac:dyDescent="0.25">
      <c r="A168" s="2" t="str">
        <f t="shared" si="12"/>
        <v>BSGatlas-operon-48</v>
      </c>
      <c r="B168" s="2" t="str">
        <f>HYPERLINK("https://rth.dk/resources/bsgatlas/details.php?id=BSGatlas-gene-176","BSGatlas-gene-176")</f>
        <v>BSGatlas-gene-176</v>
      </c>
      <c r="C168" s="1" t="s">
        <v>182</v>
      </c>
      <c r="D168" s="1" t="s">
        <v>8</v>
      </c>
      <c r="E168" s="3">
        <v>142402</v>
      </c>
      <c r="F168" s="3">
        <v>142941</v>
      </c>
      <c r="G168" s="1" t="s">
        <v>9</v>
      </c>
      <c r="H168" s="1" t="b">
        <f t="shared" si="11"/>
        <v>0</v>
      </c>
    </row>
    <row r="169" spans="1:8" ht="21" x14ac:dyDescent="0.25">
      <c r="A169" s="2" t="str">
        <f t="shared" si="12"/>
        <v>BSGatlas-operon-48</v>
      </c>
      <c r="B169" s="2" t="str">
        <f>HYPERLINK("https://rth.dk/resources/bsgatlas/details.php?id=BSGatlas-gene-177","BSGatlas-gene-177")</f>
        <v>BSGatlas-gene-177</v>
      </c>
      <c r="C169" s="1" t="s">
        <v>183</v>
      </c>
      <c r="D169" s="1" t="s">
        <v>8</v>
      </c>
      <c r="E169" s="3">
        <v>142974</v>
      </c>
      <c r="F169" s="3">
        <v>143336</v>
      </c>
      <c r="G169" s="1" t="s">
        <v>9</v>
      </c>
      <c r="H169" s="1" t="b">
        <f t="shared" si="11"/>
        <v>0</v>
      </c>
    </row>
    <row r="170" spans="1:8" ht="21" x14ac:dyDescent="0.25">
      <c r="A170" s="2" t="str">
        <f t="shared" si="12"/>
        <v>BSGatlas-operon-48</v>
      </c>
      <c r="B170" s="2" t="str">
        <f>HYPERLINK("https://rth.dk/resources/bsgatlas/details.php?id=BSGatlas-gene-178","BSGatlas-gene-178")</f>
        <v>BSGatlas-gene-178</v>
      </c>
      <c r="C170" s="1" t="s">
        <v>184</v>
      </c>
      <c r="D170" s="1" t="s">
        <v>8</v>
      </c>
      <c r="E170" s="3">
        <v>143361</v>
      </c>
      <c r="F170" s="3">
        <v>143861</v>
      </c>
      <c r="G170" s="1" t="s">
        <v>9</v>
      </c>
      <c r="H170" s="1" t="b">
        <f t="shared" si="11"/>
        <v>0</v>
      </c>
    </row>
    <row r="171" spans="1:8" ht="21" x14ac:dyDescent="0.25">
      <c r="A171" s="2" t="str">
        <f t="shared" si="12"/>
        <v>BSGatlas-operon-48</v>
      </c>
      <c r="B171" s="2" t="str">
        <f>HYPERLINK("https://rth.dk/resources/bsgatlas/details.php?id=BSGatlas-gene-179","BSGatlas-gene-179")</f>
        <v>BSGatlas-gene-179</v>
      </c>
      <c r="C171" s="1" t="s">
        <v>185</v>
      </c>
      <c r="D171" s="1" t="s">
        <v>8</v>
      </c>
      <c r="E171" s="3">
        <v>143875</v>
      </c>
      <c r="F171" s="3">
        <v>144054</v>
      </c>
      <c r="G171" s="1" t="s">
        <v>9</v>
      </c>
      <c r="H171" s="1" t="b">
        <f t="shared" si="11"/>
        <v>0</v>
      </c>
    </row>
    <row r="172" spans="1:8" ht="21" x14ac:dyDescent="0.25">
      <c r="A172" s="2" t="str">
        <f t="shared" si="12"/>
        <v>BSGatlas-operon-48</v>
      </c>
      <c r="B172" s="2" t="str">
        <f>HYPERLINK("https://rth.dk/resources/bsgatlas/details.php?id=BSGatlas-gene-180","BSGatlas-gene-180")</f>
        <v>BSGatlas-gene-180</v>
      </c>
      <c r="C172" s="1" t="s">
        <v>186</v>
      </c>
      <c r="D172" s="1" t="s">
        <v>8</v>
      </c>
      <c r="E172" s="3">
        <v>144085</v>
      </c>
      <c r="F172" s="3">
        <v>144525</v>
      </c>
      <c r="G172" s="1" t="s">
        <v>9</v>
      </c>
      <c r="H172" s="1" t="b">
        <f t="shared" si="11"/>
        <v>0</v>
      </c>
    </row>
    <row r="173" spans="1:8" ht="21" x14ac:dyDescent="0.25">
      <c r="A173" s="2" t="str">
        <f t="shared" si="12"/>
        <v>BSGatlas-operon-48</v>
      </c>
      <c r="B173" s="2" t="str">
        <f>HYPERLINK("https://rth.dk/resources/bsgatlas/details.php?id=BSGatlas-gene-181","BSGatlas-gene-181")</f>
        <v>BSGatlas-gene-181</v>
      </c>
      <c r="C173" s="1" t="s">
        <v>187</v>
      </c>
      <c r="D173" s="1" t="s">
        <v>8</v>
      </c>
      <c r="E173" s="3">
        <v>144527</v>
      </c>
      <c r="F173" s="3">
        <v>145822</v>
      </c>
      <c r="G173" s="1" t="s">
        <v>9</v>
      </c>
      <c r="H173" s="1" t="b">
        <f t="shared" si="11"/>
        <v>0</v>
      </c>
    </row>
    <row r="174" spans="1:8" ht="21" x14ac:dyDescent="0.25">
      <c r="A174" s="2" t="str">
        <f t="shared" si="12"/>
        <v>BSGatlas-operon-48</v>
      </c>
      <c r="B174" s="2" t="str">
        <f>HYPERLINK("https://rth.dk/resources/bsgatlas/details.php?id=BSGatlas-gene-182","BSGatlas-gene-182")</f>
        <v>BSGatlas-gene-182</v>
      </c>
      <c r="C174" s="1" t="s">
        <v>188</v>
      </c>
      <c r="D174" s="1" t="s">
        <v>8</v>
      </c>
      <c r="E174" s="3">
        <v>145877</v>
      </c>
      <c r="F174" s="3">
        <v>146530</v>
      </c>
      <c r="G174" s="1" t="s">
        <v>9</v>
      </c>
      <c r="H174" s="1" t="b">
        <f t="shared" si="11"/>
        <v>0</v>
      </c>
    </row>
    <row r="175" spans="1:8" ht="21" x14ac:dyDescent="0.25">
      <c r="A175" s="2" t="str">
        <f t="shared" si="12"/>
        <v>BSGatlas-operon-48</v>
      </c>
      <c r="B175" s="2" t="str">
        <f>HYPERLINK("https://rth.dk/resources/bsgatlas/details.php?id=BSGatlas-gene-183","BSGatlas-gene-183")</f>
        <v>BSGatlas-gene-183</v>
      </c>
      <c r="C175" s="1" t="s">
        <v>189</v>
      </c>
      <c r="D175" s="1" t="s">
        <v>8</v>
      </c>
      <c r="E175" s="3">
        <v>146527</v>
      </c>
      <c r="F175" s="3">
        <v>147273</v>
      </c>
      <c r="G175" s="1" t="s">
        <v>9</v>
      </c>
      <c r="H175" s="1" t="b">
        <f t="shared" si="11"/>
        <v>0</v>
      </c>
    </row>
    <row r="176" spans="1:8" ht="21" x14ac:dyDescent="0.25">
      <c r="A176" s="2" t="str">
        <f t="shared" si="12"/>
        <v>BSGatlas-operon-48</v>
      </c>
      <c r="B176" s="2" t="str">
        <f>HYPERLINK("https://rth.dk/resources/bsgatlas/details.php?id=BSGatlas-gene-184","BSGatlas-gene-184")</f>
        <v>BSGatlas-gene-184</v>
      </c>
      <c r="C176" s="1" t="s">
        <v>190</v>
      </c>
      <c r="D176" s="1" t="s">
        <v>8</v>
      </c>
      <c r="E176" s="3">
        <v>147312</v>
      </c>
      <c r="F176" s="3">
        <v>147536</v>
      </c>
      <c r="G176" s="1" t="s">
        <v>9</v>
      </c>
      <c r="H176" s="1" t="b">
        <f t="shared" si="11"/>
        <v>0</v>
      </c>
    </row>
    <row r="177" spans="1:8" ht="21" x14ac:dyDescent="0.25">
      <c r="A177" s="2" t="str">
        <f t="shared" si="12"/>
        <v>BSGatlas-operon-48</v>
      </c>
      <c r="B177" s="2" t="str">
        <f>HYPERLINK("https://rth.dk/resources/bsgatlas/details.php?id=BSGatlas-gene-185","BSGatlas-gene-185")</f>
        <v>BSGatlas-gene-185</v>
      </c>
      <c r="C177" s="1" t="s">
        <v>191</v>
      </c>
      <c r="D177" s="1" t="s">
        <v>8</v>
      </c>
      <c r="E177" s="3">
        <v>147585</v>
      </c>
      <c r="F177" s="3">
        <v>147803</v>
      </c>
      <c r="G177" s="1" t="s">
        <v>9</v>
      </c>
      <c r="H177" s="1" t="b">
        <f t="shared" si="11"/>
        <v>0</v>
      </c>
    </row>
    <row r="178" spans="1:8" ht="21" x14ac:dyDescent="0.25">
      <c r="A178" s="2" t="str">
        <f t="shared" si="12"/>
        <v>BSGatlas-operon-48</v>
      </c>
      <c r="B178" s="2" t="str">
        <f>HYPERLINK("https://rth.dk/resources/bsgatlas/details.php?id=BSGatlas-gene-186","BSGatlas-gene-186")</f>
        <v>BSGatlas-gene-186</v>
      </c>
      <c r="C178" s="1" t="s">
        <v>192</v>
      </c>
      <c r="D178" s="1" t="s">
        <v>8</v>
      </c>
      <c r="E178" s="3">
        <v>147837</v>
      </c>
      <c r="F178" s="3">
        <v>147950</v>
      </c>
      <c r="G178" s="1" t="s">
        <v>9</v>
      </c>
      <c r="H178" s="1" t="b">
        <f t="shared" si="11"/>
        <v>0</v>
      </c>
    </row>
    <row r="179" spans="1:8" ht="21" x14ac:dyDescent="0.25">
      <c r="A179" s="2" t="str">
        <f t="shared" si="12"/>
        <v>BSGatlas-operon-48</v>
      </c>
      <c r="B179" s="2" t="str">
        <f>HYPERLINK("https://rth.dk/resources/bsgatlas/details.php?id=BSGatlas-gene-187","BSGatlas-gene-187")</f>
        <v>BSGatlas-gene-187</v>
      </c>
      <c r="C179" s="1" t="s">
        <v>193</v>
      </c>
      <c r="D179" s="1" t="s">
        <v>8</v>
      </c>
      <c r="E179" s="3">
        <v>147973</v>
      </c>
      <c r="F179" s="3">
        <v>148338</v>
      </c>
      <c r="G179" s="1" t="s">
        <v>9</v>
      </c>
      <c r="H179" s="1" t="b">
        <f t="shared" si="11"/>
        <v>0</v>
      </c>
    </row>
    <row r="180" spans="1:8" ht="21" x14ac:dyDescent="0.25">
      <c r="A180" s="2" t="str">
        <f t="shared" si="12"/>
        <v>BSGatlas-operon-48</v>
      </c>
      <c r="B180" s="2" t="str">
        <f>HYPERLINK("https://rth.dk/resources/bsgatlas/details.php?id=BSGatlas-gene-188","BSGatlas-gene-188")</f>
        <v>BSGatlas-gene-188</v>
      </c>
      <c r="C180" s="1" t="s">
        <v>194</v>
      </c>
      <c r="D180" s="1" t="s">
        <v>8</v>
      </c>
      <c r="E180" s="3">
        <v>148359</v>
      </c>
      <c r="F180" s="3">
        <v>148754</v>
      </c>
      <c r="G180" s="1" t="s">
        <v>9</v>
      </c>
      <c r="H180" s="1" t="b">
        <f t="shared" si="11"/>
        <v>0</v>
      </c>
    </row>
    <row r="181" spans="1:8" ht="21" x14ac:dyDescent="0.25">
      <c r="A181" s="2" t="str">
        <f t="shared" si="12"/>
        <v>BSGatlas-operon-48</v>
      </c>
      <c r="B181" s="2" t="str">
        <f>HYPERLINK("https://rth.dk/resources/bsgatlas/details.php?id=BSGatlas-gene-189","BSGatlas-gene-189")</f>
        <v>BSGatlas-gene-189</v>
      </c>
      <c r="C181" s="1" t="s">
        <v>195</v>
      </c>
      <c r="D181" s="1" t="s">
        <v>8</v>
      </c>
      <c r="E181" s="3">
        <v>148931</v>
      </c>
      <c r="F181" s="3">
        <v>149875</v>
      </c>
      <c r="G181" s="1" t="s">
        <v>9</v>
      </c>
      <c r="H181" s="1" t="b">
        <f t="shared" si="11"/>
        <v>0</v>
      </c>
    </row>
    <row r="182" spans="1:8" ht="21" x14ac:dyDescent="0.25">
      <c r="A182" s="2" t="str">
        <f t="shared" si="12"/>
        <v>BSGatlas-operon-48</v>
      </c>
      <c r="B182" s="2" t="str">
        <f>HYPERLINK("https://rth.dk/resources/bsgatlas/details.php?id=BSGatlas-gene-190","BSGatlas-gene-190")</f>
        <v>BSGatlas-gene-190</v>
      </c>
      <c r="C182" s="1" t="s">
        <v>196</v>
      </c>
      <c r="D182" s="1" t="s">
        <v>8</v>
      </c>
      <c r="E182" s="3">
        <v>149953</v>
      </c>
      <c r="F182" s="3">
        <v>150315</v>
      </c>
      <c r="G182" s="1" t="s">
        <v>9</v>
      </c>
      <c r="H182" s="1" t="b">
        <f t="shared" si="11"/>
        <v>0</v>
      </c>
    </row>
    <row r="183" spans="1:8" ht="21" x14ac:dyDescent="0.25">
      <c r="A183" s="2" t="str">
        <f>HYPERLINK("https://rth.dk/resources/bsgatlas/details.php?id=BSGatlas-operon-49","BSGatlas-operon-49")</f>
        <v>BSGatlas-operon-49</v>
      </c>
      <c r="B183" s="2" t="str">
        <f>HYPERLINK("https://rth.dk/resources/bsgatlas/details.php?id=BSGatlas-gene-194","BSGatlas-gene-194")</f>
        <v>BSGatlas-gene-194</v>
      </c>
      <c r="C183" s="1" t="s">
        <v>197</v>
      </c>
      <c r="D183" s="1" t="s">
        <v>8</v>
      </c>
      <c r="E183" s="3">
        <v>152937</v>
      </c>
      <c r="F183" s="3">
        <v>153680</v>
      </c>
      <c r="G183" s="1" t="s">
        <v>9</v>
      </c>
      <c r="H183" s="1" t="b">
        <f t="shared" si="11"/>
        <v>1</v>
      </c>
    </row>
    <row r="184" spans="1:8" ht="21" x14ac:dyDescent="0.25">
      <c r="A184" s="2" t="str">
        <f>HYPERLINK("https://rth.dk/resources/bsgatlas/details.php?id=BSGatlas-operon-49","BSGatlas-operon-49")</f>
        <v>BSGatlas-operon-49</v>
      </c>
      <c r="B184" s="2" t="str">
        <f>HYPERLINK("https://rth.dk/resources/bsgatlas/details.php?id=BSGatlas-gene-196","BSGatlas-gene-196")</f>
        <v>BSGatlas-gene-196</v>
      </c>
      <c r="C184" s="1" t="s">
        <v>198</v>
      </c>
      <c r="D184" s="1" t="s">
        <v>34</v>
      </c>
      <c r="E184" s="3">
        <v>153736</v>
      </c>
      <c r="F184" s="3">
        <v>153793</v>
      </c>
      <c r="G184" s="1" t="s">
        <v>9</v>
      </c>
      <c r="H184" s="1" t="b">
        <f t="shared" si="11"/>
        <v>1</v>
      </c>
    </row>
    <row r="185" spans="1:8" ht="21" x14ac:dyDescent="0.25">
      <c r="A185" s="2" t="str">
        <f>HYPERLINK("https://rth.dk/resources/bsgatlas/details.php?id=BSGatlas-operon-49","BSGatlas-operon-49")</f>
        <v>BSGatlas-operon-49</v>
      </c>
      <c r="B185" s="2" t="str">
        <f>HYPERLINK("https://rth.dk/resources/bsgatlas/details.php?id=BSGatlas-gene-197","BSGatlas-gene-197")</f>
        <v>BSGatlas-gene-197</v>
      </c>
      <c r="C185" s="1" t="s">
        <v>199</v>
      </c>
      <c r="D185" s="1" t="s">
        <v>8</v>
      </c>
      <c r="E185" s="3">
        <v>153842</v>
      </c>
      <c r="F185" s="3">
        <v>154279</v>
      </c>
      <c r="G185" s="1" t="s">
        <v>9</v>
      </c>
      <c r="H185" s="1" t="b">
        <f t="shared" si="11"/>
        <v>1</v>
      </c>
    </row>
    <row r="186" spans="1:8" ht="21" x14ac:dyDescent="0.25">
      <c r="A186" s="2" t="str">
        <f>HYPERLINK("https://rth.dk/resources/bsgatlas/details.php?id=BSGatlas-operon-49","BSGatlas-operon-49")</f>
        <v>BSGatlas-operon-49</v>
      </c>
      <c r="B186" s="2" t="str">
        <f>HYPERLINK("https://rth.dk/resources/bsgatlas/details.php?id=BSGatlas-gene-198","BSGatlas-gene-198")</f>
        <v>BSGatlas-gene-198</v>
      </c>
      <c r="C186" s="1" t="s">
        <v>200</v>
      </c>
      <c r="D186" s="1" t="s">
        <v>8</v>
      </c>
      <c r="E186" s="3">
        <v>154300</v>
      </c>
      <c r="F186" s="3">
        <v>154692</v>
      </c>
      <c r="G186" s="1" t="s">
        <v>9</v>
      </c>
      <c r="H186" s="1" t="b">
        <f t="shared" si="11"/>
        <v>1</v>
      </c>
    </row>
    <row r="187" spans="1:8" ht="21" x14ac:dyDescent="0.25">
      <c r="A187" s="2" t="str">
        <f>HYPERLINK("https://rth.dk/resources/bsgatlas/details.php?id=BSGatlas-operon-50","BSGatlas-operon-50")</f>
        <v>BSGatlas-operon-50</v>
      </c>
      <c r="B187" s="2" t="str">
        <f>HYPERLINK("https://rth.dk/resources/bsgatlas/details.php?id=BSGatlas-gene-195","BSGatlas-gene-195")</f>
        <v>BSGatlas-gene-195</v>
      </c>
      <c r="C187" s="1" t="s">
        <v>201</v>
      </c>
      <c r="D187" s="1" t="s">
        <v>12</v>
      </c>
      <c r="E187" s="3">
        <v>153039</v>
      </c>
      <c r="F187" s="3">
        <v>153507</v>
      </c>
      <c r="G187" s="1" t="s">
        <v>13</v>
      </c>
      <c r="H187" s="1" t="b">
        <f t="shared" si="11"/>
        <v>0</v>
      </c>
    </row>
    <row r="188" spans="1:8" ht="21" x14ac:dyDescent="0.25">
      <c r="A188" s="2" t="str">
        <f>HYPERLINK("https://rth.dk/resources/bsgatlas/details.php?id=BSGatlas-operon-51","BSGatlas-operon-51")</f>
        <v>BSGatlas-operon-51</v>
      </c>
      <c r="B188" s="2" t="str">
        <f>HYPERLINK("https://rth.dk/resources/bsgatlas/details.php?id=BSGatlas-gene-199","BSGatlas-gene-199")</f>
        <v>BSGatlas-gene-199</v>
      </c>
      <c r="C188" s="1" t="s">
        <v>202</v>
      </c>
      <c r="D188" s="1" t="s">
        <v>8</v>
      </c>
      <c r="E188" s="3">
        <v>155156</v>
      </c>
      <c r="F188" s="3">
        <v>155923</v>
      </c>
      <c r="G188" s="1" t="s">
        <v>9</v>
      </c>
      <c r="H188" s="1" t="b">
        <f t="shared" si="11"/>
        <v>1</v>
      </c>
    </row>
    <row r="189" spans="1:8" ht="21" x14ac:dyDescent="0.25">
      <c r="A189" s="2" t="str">
        <f>HYPERLINK("https://rth.dk/resources/bsgatlas/details.php?id=BSGatlas-operon-52","BSGatlas-operon-52")</f>
        <v>BSGatlas-operon-52</v>
      </c>
      <c r="B189" s="2" t="str">
        <f>HYPERLINK("https://rth.dk/resources/bsgatlas/details.php?id=BSGatlas-gene-200","BSGatlas-gene-200")</f>
        <v>BSGatlas-gene-200</v>
      </c>
      <c r="C189" s="1" t="s">
        <v>203</v>
      </c>
      <c r="D189" s="1" t="s">
        <v>8</v>
      </c>
      <c r="E189" s="3">
        <v>156109</v>
      </c>
      <c r="F189" s="3">
        <v>156552</v>
      </c>
      <c r="G189" s="1" t="s">
        <v>9</v>
      </c>
      <c r="H189" s="1" t="b">
        <f t="shared" si="11"/>
        <v>0</v>
      </c>
    </row>
    <row r="190" spans="1:8" ht="21" x14ac:dyDescent="0.25">
      <c r="A190" s="2" t="str">
        <f>HYPERLINK("https://rth.dk/resources/bsgatlas/details.php?id=BSGatlas-operon-52","BSGatlas-operon-52")</f>
        <v>BSGatlas-operon-52</v>
      </c>
      <c r="B190" s="2" t="str">
        <f>HYPERLINK("https://rth.dk/resources/bsgatlas/details.php?id=BSGatlas-gene-201","BSGatlas-gene-201")</f>
        <v>BSGatlas-gene-201</v>
      </c>
      <c r="C190" s="1" t="s">
        <v>204</v>
      </c>
      <c r="D190" s="1" t="s">
        <v>8</v>
      </c>
      <c r="E190" s="3">
        <v>156612</v>
      </c>
      <c r="F190" s="3">
        <v>157325</v>
      </c>
      <c r="G190" s="1" t="s">
        <v>9</v>
      </c>
      <c r="H190" s="1" t="b">
        <f t="shared" si="11"/>
        <v>0</v>
      </c>
    </row>
    <row r="191" spans="1:8" ht="21" x14ac:dyDescent="0.25">
      <c r="A191" s="2" t="str">
        <f>HYPERLINK("https://rth.dk/resources/bsgatlas/details.php?id=BSGatlas-operon-53","BSGatlas-operon-53")</f>
        <v>BSGatlas-operon-53</v>
      </c>
      <c r="B191" s="2" t="str">
        <f>HYPERLINK("https://rth.dk/resources/bsgatlas/details.php?id=BSGatlas-gene-202","BSGatlas-gene-202")</f>
        <v>BSGatlas-gene-202</v>
      </c>
      <c r="C191" s="1" t="s">
        <v>205</v>
      </c>
      <c r="D191" s="1" t="s">
        <v>8</v>
      </c>
      <c r="E191" s="3">
        <v>157421</v>
      </c>
      <c r="F191" s="3">
        <v>158479</v>
      </c>
      <c r="G191" s="1" t="s">
        <v>9</v>
      </c>
      <c r="H191" s="1" t="b">
        <f t="shared" si="11"/>
        <v>1</v>
      </c>
    </row>
    <row r="192" spans="1:8" ht="21" x14ac:dyDescent="0.25">
      <c r="A192" s="2" t="str">
        <f>HYPERLINK("https://rth.dk/resources/bsgatlas/details.php?id=BSGatlas-operon-54","BSGatlas-operon-54")</f>
        <v>BSGatlas-operon-54</v>
      </c>
      <c r="B192" s="2" t="str">
        <f>HYPERLINK("https://rth.dk/resources/bsgatlas/details.php?id=BSGatlas-gene-203","BSGatlas-gene-203")</f>
        <v>BSGatlas-gene-203</v>
      </c>
      <c r="C192" s="1" t="s">
        <v>206</v>
      </c>
      <c r="D192" s="1" t="s">
        <v>8</v>
      </c>
      <c r="E192" s="3">
        <v>158515</v>
      </c>
      <c r="F192" s="3">
        <v>159072</v>
      </c>
      <c r="G192" s="1" t="s">
        <v>13</v>
      </c>
      <c r="H192" s="1" t="b">
        <f t="shared" si="11"/>
        <v>0</v>
      </c>
    </row>
    <row r="193" spans="1:8" ht="21" x14ac:dyDescent="0.25">
      <c r="A193" s="2" t="str">
        <f>HYPERLINK("https://rth.dk/resources/bsgatlas/details.php?id=BSGatlas-operon-55","BSGatlas-operon-55")</f>
        <v>BSGatlas-operon-55</v>
      </c>
      <c r="B193" s="2" t="str">
        <f>HYPERLINK("https://rth.dk/resources/bsgatlas/details.php?id=BSGatlas-gene-205","BSGatlas-gene-205")</f>
        <v>BSGatlas-gene-205</v>
      </c>
      <c r="C193" s="1" t="s">
        <v>207</v>
      </c>
      <c r="D193" s="1" t="s">
        <v>8</v>
      </c>
      <c r="E193" s="3">
        <v>159779</v>
      </c>
      <c r="F193" s="3">
        <v>160543</v>
      </c>
      <c r="G193" s="1" t="s">
        <v>13</v>
      </c>
      <c r="H193" s="1" t="b">
        <f t="shared" si="11"/>
        <v>1</v>
      </c>
    </row>
    <row r="194" spans="1:8" ht="21" x14ac:dyDescent="0.25">
      <c r="A194" s="2" t="str">
        <f>HYPERLINK("https://rth.dk/resources/bsgatlas/details.php?id=BSGatlas-operon-56","BSGatlas-operon-56")</f>
        <v>BSGatlas-operon-56</v>
      </c>
      <c r="B194" s="2" t="str">
        <f>HYPERLINK("https://rth.dk/resources/bsgatlas/details.php?id=BSGatlas-gene-204","BSGatlas-gene-204")</f>
        <v>BSGatlas-gene-204</v>
      </c>
      <c r="C194" s="1" t="s">
        <v>208</v>
      </c>
      <c r="D194" s="1" t="s">
        <v>8</v>
      </c>
      <c r="E194" s="3">
        <v>159182</v>
      </c>
      <c r="F194" s="3">
        <v>159778</v>
      </c>
      <c r="G194" s="1" t="s">
        <v>9</v>
      </c>
      <c r="H194" s="1" t="b">
        <f t="shared" ref="H194:H257" si="13">_xlfn.XOR(A193&lt;&gt;A194,H193)</f>
        <v>0</v>
      </c>
    </row>
    <row r="195" spans="1:8" ht="21" x14ac:dyDescent="0.25">
      <c r="A195" s="2" t="str">
        <f>HYPERLINK("https://rth.dk/resources/bsgatlas/details.php?id=BSGatlas-operon-57","BSGatlas-operon-57")</f>
        <v>BSGatlas-operon-57</v>
      </c>
      <c r="B195" s="2" t="str">
        <f>HYPERLINK("https://rth.dk/resources/bsgatlas/details.php?id=BSGatlas-gene-206","BSGatlas-gene-206")</f>
        <v>BSGatlas-gene-206</v>
      </c>
      <c r="C195" s="1" t="s">
        <v>209</v>
      </c>
      <c r="D195" s="1" t="s">
        <v>21</v>
      </c>
      <c r="E195" s="3">
        <v>160893</v>
      </c>
      <c r="F195" s="3">
        <v>162445</v>
      </c>
      <c r="G195" s="1" t="s">
        <v>9</v>
      </c>
      <c r="H195" s="1" t="b">
        <f t="shared" si="13"/>
        <v>1</v>
      </c>
    </row>
    <row r="196" spans="1:8" ht="21" x14ac:dyDescent="0.25">
      <c r="A196" s="2" t="str">
        <f>HYPERLINK("https://rth.dk/resources/bsgatlas/details.php?id=BSGatlas-operon-58","BSGatlas-operon-58")</f>
        <v>BSGatlas-operon-58</v>
      </c>
      <c r="B196" s="2" t="str">
        <f>HYPERLINK("https://rth.dk/resources/bsgatlas/details.php?id=BSGatlas-gene-221","BSGatlas-gene-221")</f>
        <v>BSGatlas-gene-221</v>
      </c>
      <c r="C196" s="1" t="s">
        <v>210</v>
      </c>
      <c r="D196" s="1" t="s">
        <v>8</v>
      </c>
      <c r="E196" s="3">
        <v>177083</v>
      </c>
      <c r="F196" s="3">
        <v>178519</v>
      </c>
      <c r="G196" s="1" t="s">
        <v>9</v>
      </c>
      <c r="H196" s="1" t="b">
        <f t="shared" si="13"/>
        <v>0</v>
      </c>
    </row>
    <row r="197" spans="1:8" ht="21" x14ac:dyDescent="0.25">
      <c r="A197" s="2" t="str">
        <f>HYPERLINK("https://rth.dk/resources/bsgatlas/details.php?id=BSGatlas-operon-59","BSGatlas-operon-59")</f>
        <v>BSGatlas-operon-59</v>
      </c>
      <c r="B197" s="2" t="str">
        <f>HYPERLINK("https://rth.dk/resources/bsgatlas/details.php?id=BSGatlas-gene-222","BSGatlas-gene-222")</f>
        <v>BSGatlas-gene-222</v>
      </c>
      <c r="C197" s="1" t="s">
        <v>211</v>
      </c>
      <c r="D197" s="1" t="s">
        <v>8</v>
      </c>
      <c r="E197" s="3">
        <v>178665</v>
      </c>
      <c r="F197" s="3">
        <v>179585</v>
      </c>
      <c r="G197" s="1" t="s">
        <v>9</v>
      </c>
      <c r="H197" s="1" t="b">
        <f t="shared" si="13"/>
        <v>1</v>
      </c>
    </row>
    <row r="198" spans="1:8" ht="21" x14ac:dyDescent="0.25">
      <c r="A198" s="2" t="str">
        <f>HYPERLINK("https://rth.dk/resources/bsgatlas/details.php?id=BSGatlas-operon-60","BSGatlas-operon-60")</f>
        <v>BSGatlas-operon-60</v>
      </c>
      <c r="B198" s="2" t="str">
        <f>HYPERLINK("https://rth.dk/resources/bsgatlas/details.php?id=BSGatlas-gene-223","BSGatlas-gene-223")</f>
        <v>BSGatlas-gene-223</v>
      </c>
      <c r="C198" s="1" t="s">
        <v>212</v>
      </c>
      <c r="D198" s="1" t="s">
        <v>8</v>
      </c>
      <c r="E198" s="3">
        <v>179595</v>
      </c>
      <c r="F198" s="3">
        <v>180347</v>
      </c>
      <c r="G198" s="1" t="s">
        <v>13</v>
      </c>
      <c r="H198" s="1" t="b">
        <f t="shared" si="13"/>
        <v>0</v>
      </c>
    </row>
    <row r="199" spans="1:8" ht="21" x14ac:dyDescent="0.25">
      <c r="A199" s="2" t="str">
        <f>HYPERLINK("https://rth.dk/resources/bsgatlas/details.php?id=BSGatlas-operon-60","BSGatlas-operon-60")</f>
        <v>BSGatlas-operon-60</v>
      </c>
      <c r="B199" s="2" t="str">
        <f>HYPERLINK("https://rth.dk/resources/bsgatlas/details.php?id=BSGatlas-gene-224","BSGatlas-gene-224")</f>
        <v>BSGatlas-gene-224</v>
      </c>
      <c r="C199" s="1" t="s">
        <v>213</v>
      </c>
      <c r="D199" s="1" t="s">
        <v>8</v>
      </c>
      <c r="E199" s="3">
        <v>180344</v>
      </c>
      <c r="F199" s="3">
        <v>181354</v>
      </c>
      <c r="G199" s="1" t="s">
        <v>13</v>
      </c>
      <c r="H199" s="1" t="b">
        <f t="shared" si="13"/>
        <v>0</v>
      </c>
    </row>
    <row r="200" spans="1:8" ht="21" x14ac:dyDescent="0.25">
      <c r="A200" s="2" t="str">
        <f>HYPERLINK("https://rth.dk/resources/bsgatlas/details.php?id=BSGatlas-operon-60","BSGatlas-operon-60")</f>
        <v>BSGatlas-operon-60</v>
      </c>
      <c r="B200" s="2" t="str">
        <f>HYPERLINK("https://rth.dk/resources/bsgatlas/details.php?id=BSGatlas-gene-225","BSGatlas-gene-225")</f>
        <v>BSGatlas-gene-225</v>
      </c>
      <c r="C200" s="1" t="s">
        <v>214</v>
      </c>
      <c r="D200" s="1" t="s">
        <v>8</v>
      </c>
      <c r="E200" s="3">
        <v>181347</v>
      </c>
      <c r="F200" s="3">
        <v>182351</v>
      </c>
      <c r="G200" s="1" t="s">
        <v>13</v>
      </c>
      <c r="H200" s="1" t="b">
        <f t="shared" si="13"/>
        <v>0</v>
      </c>
    </row>
    <row r="201" spans="1:8" ht="21" x14ac:dyDescent="0.25">
      <c r="A201" s="2" t="str">
        <f>HYPERLINK("https://rth.dk/resources/bsgatlas/details.php?id=BSGatlas-operon-60","BSGatlas-operon-60")</f>
        <v>BSGatlas-operon-60</v>
      </c>
      <c r="B201" s="2" t="str">
        <f>HYPERLINK("https://rth.dk/resources/bsgatlas/details.php?id=BSGatlas-gene-226","BSGatlas-gene-226")</f>
        <v>BSGatlas-gene-226</v>
      </c>
      <c r="C201" s="1" t="s">
        <v>215</v>
      </c>
      <c r="D201" s="1" t="s">
        <v>8</v>
      </c>
      <c r="E201" s="3">
        <v>182370</v>
      </c>
      <c r="F201" s="3">
        <v>183323</v>
      </c>
      <c r="G201" s="1" t="s">
        <v>13</v>
      </c>
      <c r="H201" s="1" t="b">
        <f t="shared" si="13"/>
        <v>0</v>
      </c>
    </row>
    <row r="202" spans="1:8" ht="21" x14ac:dyDescent="0.25">
      <c r="A202" s="2" t="str">
        <f>HYPERLINK("https://rth.dk/resources/bsgatlas/details.php?id=BSGatlas-operon-61","BSGatlas-operon-61")</f>
        <v>BSGatlas-operon-61</v>
      </c>
      <c r="B202" s="2" t="str">
        <f>HYPERLINK("https://rth.dk/resources/bsgatlas/details.php?id=BSGatlas-gene-227","BSGatlas-gene-227")</f>
        <v>BSGatlas-gene-227</v>
      </c>
      <c r="C202" s="1" t="s">
        <v>216</v>
      </c>
      <c r="D202" s="1" t="s">
        <v>8</v>
      </c>
      <c r="E202" s="3">
        <v>183414</v>
      </c>
      <c r="F202" s="3">
        <v>185003</v>
      </c>
      <c r="G202" s="1" t="s">
        <v>13</v>
      </c>
      <c r="H202" s="1" t="b">
        <f t="shared" si="13"/>
        <v>1</v>
      </c>
    </row>
    <row r="203" spans="1:8" ht="21" x14ac:dyDescent="0.25">
      <c r="A203" s="2" t="str">
        <f t="shared" ref="A203:A208" si="14">HYPERLINK("https://rth.dk/resources/bsgatlas/details.php?id=BSGatlas-operon-62","BSGatlas-operon-62")</f>
        <v>BSGatlas-operon-62</v>
      </c>
      <c r="B203" s="2" t="str">
        <f>HYPERLINK("https://rth.dk/resources/bsgatlas/details.php?id=BSGatlas-gene-228","BSGatlas-gene-228")</f>
        <v>BSGatlas-gene-228</v>
      </c>
      <c r="C203" s="1" t="s">
        <v>217</v>
      </c>
      <c r="D203" s="1" t="s">
        <v>8</v>
      </c>
      <c r="E203" s="3">
        <v>185194</v>
      </c>
      <c r="F203" s="3">
        <v>186438</v>
      </c>
      <c r="G203" s="1" t="s">
        <v>13</v>
      </c>
      <c r="H203" s="1" t="b">
        <f t="shared" si="13"/>
        <v>0</v>
      </c>
    </row>
    <row r="204" spans="1:8" ht="21" x14ac:dyDescent="0.25">
      <c r="A204" s="2" t="str">
        <f t="shared" si="14"/>
        <v>BSGatlas-operon-62</v>
      </c>
      <c r="B204" s="2" t="str">
        <f>HYPERLINK("https://rth.dk/resources/bsgatlas/details.php?id=BSGatlas-gene-229","BSGatlas-gene-229")</f>
        <v>BSGatlas-gene-229</v>
      </c>
      <c r="C204" s="1" t="s">
        <v>218</v>
      </c>
      <c r="D204" s="1" t="s">
        <v>8</v>
      </c>
      <c r="E204" s="3">
        <v>186452</v>
      </c>
      <c r="F204" s="3">
        <v>188380</v>
      </c>
      <c r="G204" s="1" t="s">
        <v>13</v>
      </c>
      <c r="H204" s="1" t="b">
        <f t="shared" si="13"/>
        <v>0</v>
      </c>
    </row>
    <row r="205" spans="1:8" ht="21" x14ac:dyDescent="0.25">
      <c r="A205" s="2" t="str">
        <f t="shared" si="14"/>
        <v>BSGatlas-operon-62</v>
      </c>
      <c r="B205" s="2" t="str">
        <f>HYPERLINK("https://rth.dk/resources/bsgatlas/details.php?id=BSGatlas-gene-230","BSGatlas-gene-230")</f>
        <v>BSGatlas-gene-230</v>
      </c>
      <c r="C205" s="1" t="s">
        <v>219</v>
      </c>
      <c r="D205" s="1" t="s">
        <v>8</v>
      </c>
      <c r="E205" s="3">
        <v>188408</v>
      </c>
      <c r="F205" s="3">
        <v>189733</v>
      </c>
      <c r="G205" s="1" t="s">
        <v>13</v>
      </c>
      <c r="H205" s="1" t="b">
        <f t="shared" si="13"/>
        <v>0</v>
      </c>
    </row>
    <row r="206" spans="1:8" ht="21" x14ac:dyDescent="0.25">
      <c r="A206" s="2" t="str">
        <f t="shared" si="14"/>
        <v>BSGatlas-operon-62</v>
      </c>
      <c r="B206" s="2" t="str">
        <f>HYPERLINK("https://rth.dk/resources/bsgatlas/details.php?id=BSGatlas-gene-231","BSGatlas-gene-231")</f>
        <v>BSGatlas-gene-231</v>
      </c>
      <c r="C206" s="1" t="s">
        <v>220</v>
      </c>
      <c r="D206" s="1" t="s">
        <v>8</v>
      </c>
      <c r="E206" s="3">
        <v>189790</v>
      </c>
      <c r="F206" s="3">
        <v>191157</v>
      </c>
      <c r="G206" s="1" t="s">
        <v>13</v>
      </c>
      <c r="H206" s="1" t="b">
        <f t="shared" si="13"/>
        <v>0</v>
      </c>
    </row>
    <row r="207" spans="1:8" ht="21" x14ac:dyDescent="0.25">
      <c r="A207" s="2" t="str">
        <f t="shared" si="14"/>
        <v>BSGatlas-operon-62</v>
      </c>
      <c r="B207" s="2" t="str">
        <f>HYPERLINK("https://rth.dk/resources/bsgatlas/details.php?id=BSGatlas-gene-232","BSGatlas-gene-232")</f>
        <v>BSGatlas-gene-232</v>
      </c>
      <c r="C207" s="1" t="s">
        <v>221</v>
      </c>
      <c r="D207" s="1" t="s">
        <v>8</v>
      </c>
      <c r="E207" s="3">
        <v>191183</v>
      </c>
      <c r="F207" s="3">
        <v>192034</v>
      </c>
      <c r="G207" s="1" t="s">
        <v>13</v>
      </c>
      <c r="H207" s="1" t="b">
        <f t="shared" si="13"/>
        <v>0</v>
      </c>
    </row>
    <row r="208" spans="1:8" ht="21" x14ac:dyDescent="0.25">
      <c r="A208" s="2" t="str">
        <f t="shared" si="14"/>
        <v>BSGatlas-operon-62</v>
      </c>
      <c r="B208" s="2" t="str">
        <f>HYPERLINK("https://rth.dk/resources/bsgatlas/details.php?id=BSGatlas-gene-233","BSGatlas-gene-233")</f>
        <v>BSGatlas-gene-233</v>
      </c>
      <c r="C208" s="1" t="s">
        <v>222</v>
      </c>
      <c r="D208" s="1" t="s">
        <v>8</v>
      </c>
      <c r="E208" s="3">
        <v>192051</v>
      </c>
      <c r="F208" s="3">
        <v>192965</v>
      </c>
      <c r="G208" s="1" t="s">
        <v>13</v>
      </c>
      <c r="H208" s="1" t="b">
        <f t="shared" si="13"/>
        <v>0</v>
      </c>
    </row>
    <row r="209" spans="1:8" ht="21" x14ac:dyDescent="0.25">
      <c r="A209" s="2" t="str">
        <f>HYPERLINK("https://rth.dk/resources/bsgatlas/details.php?id=BSGatlas-operon-63","BSGatlas-operon-63")</f>
        <v>BSGatlas-operon-63</v>
      </c>
      <c r="B209" s="2" t="str">
        <f>HYPERLINK("https://rth.dk/resources/bsgatlas/details.php?id=BSGatlas-gene-235","BSGatlas-gene-235")</f>
        <v>BSGatlas-gene-235</v>
      </c>
      <c r="C209" s="1" t="s">
        <v>223</v>
      </c>
      <c r="D209" s="1" t="s">
        <v>8</v>
      </c>
      <c r="E209" s="3">
        <v>193570</v>
      </c>
      <c r="F209" s="3">
        <v>194025</v>
      </c>
      <c r="G209" s="1" t="s">
        <v>13</v>
      </c>
      <c r="H209" s="1" t="b">
        <f t="shared" si="13"/>
        <v>1</v>
      </c>
    </row>
    <row r="210" spans="1:8" ht="21" x14ac:dyDescent="0.25">
      <c r="A210" s="2" t="str">
        <f>HYPERLINK("https://rth.dk/resources/bsgatlas/details.php?id=BSGatlas-operon-64","BSGatlas-operon-64")</f>
        <v>BSGatlas-operon-64</v>
      </c>
      <c r="B210" s="2" t="str">
        <f>HYPERLINK("https://rth.dk/resources/bsgatlas/details.php?id=BSGatlas-gene-236","BSGatlas-gene-236")</f>
        <v>BSGatlas-gene-236</v>
      </c>
      <c r="C210" s="1" t="s">
        <v>224</v>
      </c>
      <c r="D210" s="1" t="s">
        <v>23</v>
      </c>
      <c r="E210" s="3">
        <v>194204</v>
      </c>
      <c r="F210" s="3">
        <v>194279</v>
      </c>
      <c r="G210" s="1" t="s">
        <v>9</v>
      </c>
      <c r="H210" s="1" t="b">
        <f t="shared" si="13"/>
        <v>0</v>
      </c>
    </row>
    <row r="211" spans="1:8" ht="21" x14ac:dyDescent="0.25">
      <c r="A211" s="2" t="str">
        <f>HYPERLINK("https://rth.dk/resources/bsgatlas/details.php?id=BSGatlas-operon-64","BSGatlas-operon-64")</f>
        <v>BSGatlas-operon-64</v>
      </c>
      <c r="B211" s="2" t="str">
        <f>HYPERLINK("https://rth.dk/resources/bsgatlas/details.php?id=BSGatlas-gene-237","BSGatlas-gene-237")</f>
        <v>BSGatlas-gene-237</v>
      </c>
      <c r="C211" s="1" t="s">
        <v>225</v>
      </c>
      <c r="D211" s="1" t="s">
        <v>23</v>
      </c>
      <c r="E211" s="3">
        <v>194282</v>
      </c>
      <c r="F211" s="3">
        <v>194358</v>
      </c>
      <c r="G211" s="1" t="s">
        <v>9</v>
      </c>
      <c r="H211" s="1" t="b">
        <f t="shared" si="13"/>
        <v>0</v>
      </c>
    </row>
    <row r="212" spans="1:8" ht="21" x14ac:dyDescent="0.25">
      <c r="A212" s="2" t="str">
        <f>HYPERLINK("https://rth.dk/resources/bsgatlas/details.php?id=BSGatlas-operon-64","BSGatlas-operon-64")</f>
        <v>BSGatlas-operon-64</v>
      </c>
      <c r="B212" s="2" t="str">
        <f>HYPERLINK("https://rth.dk/resources/bsgatlas/details.php?id=BSGatlas-gene-238","BSGatlas-gene-238")</f>
        <v>BSGatlas-gene-238</v>
      </c>
      <c r="C212" s="1" t="s">
        <v>226</v>
      </c>
      <c r="D212" s="1" t="s">
        <v>23</v>
      </c>
      <c r="E212" s="3">
        <v>194362</v>
      </c>
      <c r="F212" s="3">
        <v>194435</v>
      </c>
      <c r="G212" s="1" t="s">
        <v>9</v>
      </c>
      <c r="H212" s="1" t="b">
        <f t="shared" si="13"/>
        <v>0</v>
      </c>
    </row>
    <row r="213" spans="1:8" ht="21" x14ac:dyDescent="0.25">
      <c r="A213" s="2" t="str">
        <f>HYPERLINK("https://rth.dk/resources/bsgatlas/details.php?id=BSGatlas-operon-64","BSGatlas-operon-64")</f>
        <v>BSGatlas-operon-64</v>
      </c>
      <c r="B213" s="2" t="str">
        <f>HYPERLINK("https://rth.dk/resources/bsgatlas/details.php?id=BSGatlas-gene-239","BSGatlas-gene-239")</f>
        <v>BSGatlas-gene-239</v>
      </c>
      <c r="C213" s="1" t="s">
        <v>227</v>
      </c>
      <c r="D213" s="1" t="s">
        <v>23</v>
      </c>
      <c r="E213" s="3">
        <v>194457</v>
      </c>
      <c r="F213" s="3">
        <v>194542</v>
      </c>
      <c r="G213" s="1" t="s">
        <v>9</v>
      </c>
      <c r="H213" s="1" t="b">
        <f t="shared" si="13"/>
        <v>0</v>
      </c>
    </row>
    <row r="214" spans="1:8" ht="21" x14ac:dyDescent="0.25">
      <c r="A214" s="2" t="str">
        <f>HYPERLINK("https://rth.dk/resources/bsgatlas/details.php?id=BSGatlas-operon-64","BSGatlas-operon-64")</f>
        <v>BSGatlas-operon-64</v>
      </c>
      <c r="B214" s="2" t="str">
        <f>HYPERLINK("https://rth.dk/resources/bsgatlas/details.php?id=BSGatlas-gene-240","BSGatlas-gene-240")</f>
        <v>BSGatlas-gene-240</v>
      </c>
      <c r="C214" s="1" t="s">
        <v>228</v>
      </c>
      <c r="D214" s="1" t="s">
        <v>23</v>
      </c>
      <c r="E214" s="3">
        <v>194546</v>
      </c>
      <c r="F214" s="3">
        <v>194621</v>
      </c>
      <c r="G214" s="1" t="s">
        <v>9</v>
      </c>
      <c r="H214" s="1" t="b">
        <f t="shared" si="13"/>
        <v>0</v>
      </c>
    </row>
    <row r="215" spans="1:8" ht="21" x14ac:dyDescent="0.25">
      <c r="A215" s="2" t="str">
        <f>HYPERLINK("https://rth.dk/resources/bsgatlas/details.php?id=BSGatlas-operon-65","BSGatlas-operon-65")</f>
        <v>BSGatlas-operon-65</v>
      </c>
      <c r="B215" s="2" t="str">
        <f>HYPERLINK("https://rth.dk/resources/bsgatlas/details.php?id=BSGatlas-gene-241","BSGatlas-gene-241")</f>
        <v>BSGatlas-gene-241</v>
      </c>
      <c r="C215" s="1" t="s">
        <v>229</v>
      </c>
      <c r="D215" s="1" t="s">
        <v>8</v>
      </c>
      <c r="E215" s="3">
        <v>194849</v>
      </c>
      <c r="F215" s="3">
        <v>195412</v>
      </c>
      <c r="G215" s="1" t="s">
        <v>9</v>
      </c>
      <c r="H215" s="1" t="b">
        <f t="shared" si="13"/>
        <v>1</v>
      </c>
    </row>
    <row r="216" spans="1:8" ht="21" x14ac:dyDescent="0.25">
      <c r="A216" s="2" t="str">
        <f>HYPERLINK("https://rth.dk/resources/bsgatlas/details.php?id=BSGatlas-operon-65","BSGatlas-operon-65")</f>
        <v>BSGatlas-operon-65</v>
      </c>
      <c r="B216" s="2" t="str">
        <f>HYPERLINK("https://rth.dk/resources/bsgatlas/details.php?id=BSGatlas-gene-242","BSGatlas-gene-242")</f>
        <v>BSGatlas-gene-242</v>
      </c>
      <c r="C216" s="1" t="s">
        <v>230</v>
      </c>
      <c r="D216" s="1" t="s">
        <v>8</v>
      </c>
      <c r="E216" s="3">
        <v>195426</v>
      </c>
      <c r="F216" s="3">
        <v>196052</v>
      </c>
      <c r="G216" s="1" t="s">
        <v>9</v>
      </c>
      <c r="H216" s="1" t="b">
        <f t="shared" si="13"/>
        <v>1</v>
      </c>
    </row>
    <row r="217" spans="1:8" ht="21" x14ac:dyDescent="0.25">
      <c r="A217" s="2" t="str">
        <f>HYPERLINK("https://rth.dk/resources/bsgatlas/details.php?id=BSGatlas-operon-66","BSGatlas-operon-66")</f>
        <v>BSGatlas-operon-66</v>
      </c>
      <c r="B217" s="2" t="str">
        <f>HYPERLINK("https://rth.dk/resources/bsgatlas/details.php?id=BSGatlas-gene-243","BSGatlas-gene-243")</f>
        <v>BSGatlas-gene-243</v>
      </c>
      <c r="C217" s="1" t="s">
        <v>231</v>
      </c>
      <c r="D217" s="1" t="s">
        <v>8</v>
      </c>
      <c r="E217" s="3">
        <v>196213</v>
      </c>
      <c r="F217" s="3">
        <v>197034</v>
      </c>
      <c r="G217" s="1" t="s">
        <v>9</v>
      </c>
      <c r="H217" s="1" t="b">
        <f t="shared" si="13"/>
        <v>0</v>
      </c>
    </row>
    <row r="218" spans="1:8" ht="21" x14ac:dyDescent="0.25">
      <c r="A218" s="2" t="str">
        <f>HYPERLINK("https://rth.dk/resources/bsgatlas/details.php?id=BSGatlas-operon-66","BSGatlas-operon-66")</f>
        <v>BSGatlas-operon-66</v>
      </c>
      <c r="B218" s="2" t="str">
        <f>HYPERLINK("https://rth.dk/resources/bsgatlas/details.php?id=BSGatlas-gene-244","BSGatlas-gene-244")</f>
        <v>BSGatlas-gene-244</v>
      </c>
      <c r="C218" s="1" t="s">
        <v>232</v>
      </c>
      <c r="D218" s="1" t="s">
        <v>8</v>
      </c>
      <c r="E218" s="3">
        <v>197027</v>
      </c>
      <c r="F218" s="3">
        <v>198478</v>
      </c>
      <c r="G218" s="1" t="s">
        <v>9</v>
      </c>
      <c r="H218" s="1" t="b">
        <f t="shared" si="13"/>
        <v>0</v>
      </c>
    </row>
    <row r="219" spans="1:8" ht="21" x14ac:dyDescent="0.25">
      <c r="A219" s="2" t="str">
        <f>HYPERLINK("https://rth.dk/resources/bsgatlas/details.php?id=BSGatlas-operon-66","BSGatlas-operon-66")</f>
        <v>BSGatlas-operon-66</v>
      </c>
      <c r="B219" s="2" t="str">
        <f>HYPERLINK("https://rth.dk/resources/bsgatlas/details.php?id=BSGatlas-gene-245","BSGatlas-gene-245")</f>
        <v>BSGatlas-gene-245</v>
      </c>
      <c r="C219" s="1" t="s">
        <v>233</v>
      </c>
      <c r="D219" s="1" t="s">
        <v>8</v>
      </c>
      <c r="E219" s="3">
        <v>198497</v>
      </c>
      <c r="F219" s="3">
        <v>199843</v>
      </c>
      <c r="G219" s="1" t="s">
        <v>9</v>
      </c>
      <c r="H219" s="1" t="b">
        <f t="shared" si="13"/>
        <v>0</v>
      </c>
    </row>
    <row r="220" spans="1:8" ht="21" x14ac:dyDescent="0.25">
      <c r="A220" s="2" t="str">
        <f>HYPERLINK("https://rth.dk/resources/bsgatlas/details.php?id=BSGatlas-operon-66","BSGatlas-operon-66")</f>
        <v>BSGatlas-operon-66</v>
      </c>
      <c r="B220" s="2" t="str">
        <f>HYPERLINK("https://rth.dk/resources/bsgatlas/details.php?id=BSGatlas-gene-246","BSGatlas-gene-246")</f>
        <v>BSGatlas-gene-246</v>
      </c>
      <c r="C220" s="1" t="s">
        <v>234</v>
      </c>
      <c r="D220" s="1" t="s">
        <v>34</v>
      </c>
      <c r="E220" s="3">
        <v>200016</v>
      </c>
      <c r="F220" s="3">
        <v>200187</v>
      </c>
      <c r="G220" s="1" t="s">
        <v>9</v>
      </c>
      <c r="H220" s="1" t="b">
        <f t="shared" si="13"/>
        <v>0</v>
      </c>
    </row>
    <row r="221" spans="1:8" ht="21" x14ac:dyDescent="0.25">
      <c r="A221" s="2" t="str">
        <f>HYPERLINK("https://rth.dk/resources/bsgatlas/details.php?id=BSGatlas-operon-66","BSGatlas-operon-66")</f>
        <v>BSGatlas-operon-66</v>
      </c>
      <c r="B221" s="2" t="str">
        <f>HYPERLINK("https://rth.dk/resources/bsgatlas/details.php?id=BSGatlas-gene-247","BSGatlas-gene-247")</f>
        <v>BSGatlas-gene-247</v>
      </c>
      <c r="C221" s="1" t="s">
        <v>235</v>
      </c>
      <c r="D221" s="1" t="s">
        <v>8</v>
      </c>
      <c r="E221" s="3">
        <v>200277</v>
      </c>
      <c r="F221" s="3">
        <v>202079</v>
      </c>
      <c r="G221" s="1" t="s">
        <v>9</v>
      </c>
      <c r="H221" s="1" t="b">
        <f t="shared" si="13"/>
        <v>0</v>
      </c>
    </row>
    <row r="222" spans="1:8" ht="21" x14ac:dyDescent="0.25">
      <c r="A222" s="2" t="str">
        <f>HYPERLINK("https://rth.dk/resources/bsgatlas/details.php?id=BSGatlas-operon-67","BSGatlas-operon-67")</f>
        <v>BSGatlas-operon-67</v>
      </c>
      <c r="B222" s="2" t="str">
        <f>HYPERLINK("https://rth.dk/resources/bsgatlas/details.php?id=BSGatlas-gene-249","BSGatlas-gene-249")</f>
        <v>BSGatlas-gene-249</v>
      </c>
      <c r="C222" s="1" t="s">
        <v>236</v>
      </c>
      <c r="D222" s="1" t="s">
        <v>8</v>
      </c>
      <c r="E222" s="3">
        <v>202547</v>
      </c>
      <c r="F222" s="3">
        <v>203458</v>
      </c>
      <c r="G222" s="1" t="s">
        <v>13</v>
      </c>
      <c r="H222" s="1" t="b">
        <f t="shared" si="13"/>
        <v>1</v>
      </c>
    </row>
    <row r="223" spans="1:8" ht="21" x14ac:dyDescent="0.25">
      <c r="A223" s="2" t="str">
        <f>HYPERLINK("https://rth.dk/resources/bsgatlas/details.php?id=BSGatlas-operon-68","BSGatlas-operon-68")</f>
        <v>BSGatlas-operon-68</v>
      </c>
      <c r="B223" s="2" t="str">
        <f>HYPERLINK("https://rth.dk/resources/bsgatlas/details.php?id=BSGatlas-gene-250","BSGatlas-gene-250")</f>
        <v>BSGatlas-gene-250</v>
      </c>
      <c r="C223" s="1" t="s">
        <v>237</v>
      </c>
      <c r="D223" s="1" t="s">
        <v>8</v>
      </c>
      <c r="E223" s="3">
        <v>203729</v>
      </c>
      <c r="F223" s="3">
        <v>204364</v>
      </c>
      <c r="G223" s="1" t="s">
        <v>9</v>
      </c>
      <c r="H223" s="1" t="b">
        <f t="shared" si="13"/>
        <v>0</v>
      </c>
    </row>
    <row r="224" spans="1:8" ht="21" x14ac:dyDescent="0.25">
      <c r="A224" s="2" t="str">
        <f>HYPERLINK("https://rth.dk/resources/bsgatlas/details.php?id=BSGatlas-operon-68","BSGatlas-operon-68")</f>
        <v>BSGatlas-operon-68</v>
      </c>
      <c r="B224" s="2" t="str">
        <f>HYPERLINK("https://rth.dk/resources/bsgatlas/details.php?id=BSGatlas-gene-251","BSGatlas-gene-251")</f>
        <v>BSGatlas-gene-251</v>
      </c>
      <c r="C224" s="1" t="s">
        <v>238</v>
      </c>
      <c r="D224" s="1" t="s">
        <v>8</v>
      </c>
      <c r="E224" s="3">
        <v>204351</v>
      </c>
      <c r="F224" s="3">
        <v>204890</v>
      </c>
      <c r="G224" s="1" t="s">
        <v>9</v>
      </c>
      <c r="H224" s="1" t="b">
        <f t="shared" si="13"/>
        <v>0</v>
      </c>
    </row>
    <row r="225" spans="1:8" ht="21" x14ac:dyDescent="0.25">
      <c r="A225" s="2" t="str">
        <f>HYPERLINK("https://rth.dk/resources/bsgatlas/details.php?id=BSGatlas-operon-69","BSGatlas-operon-69")</f>
        <v>BSGatlas-operon-69</v>
      </c>
      <c r="B225" s="2" t="str">
        <f>HYPERLINK("https://rth.dk/resources/bsgatlas/details.php?id=BSGatlas-gene-252","BSGatlas-gene-252")</f>
        <v>BSGatlas-gene-252</v>
      </c>
      <c r="C225" s="1" t="s">
        <v>239</v>
      </c>
      <c r="D225" s="1" t="s">
        <v>12</v>
      </c>
      <c r="E225" s="3">
        <v>204991</v>
      </c>
      <c r="F225" s="3">
        <v>205238</v>
      </c>
      <c r="G225" s="1" t="s">
        <v>9</v>
      </c>
      <c r="H225" s="1" t="b">
        <f t="shared" si="13"/>
        <v>1</v>
      </c>
    </row>
    <row r="226" spans="1:8" ht="21" x14ac:dyDescent="0.25">
      <c r="A226" s="2" t="str">
        <f>HYPERLINK("https://rth.dk/resources/bsgatlas/details.php?id=BSGatlas-operon-70","BSGatlas-operon-70")</f>
        <v>BSGatlas-operon-70</v>
      </c>
      <c r="B226" s="2" t="str">
        <f>HYPERLINK("https://rth.dk/resources/bsgatlas/details.php?id=BSGatlas-gene-253","BSGatlas-gene-253")</f>
        <v>BSGatlas-gene-253</v>
      </c>
      <c r="C226" s="1" t="s">
        <v>240</v>
      </c>
      <c r="D226" s="1" t="s">
        <v>8</v>
      </c>
      <c r="E226" s="3">
        <v>205409</v>
      </c>
      <c r="F226" s="3">
        <v>206926</v>
      </c>
      <c r="G226" s="1" t="s">
        <v>9</v>
      </c>
      <c r="H226" s="1" t="b">
        <f t="shared" si="13"/>
        <v>0</v>
      </c>
    </row>
    <row r="227" spans="1:8" ht="21" x14ac:dyDescent="0.25">
      <c r="A227" s="2" t="str">
        <f>HYPERLINK("https://rth.dk/resources/bsgatlas/details.php?id=BSGatlas-operon-70","BSGatlas-operon-70")</f>
        <v>BSGatlas-operon-70</v>
      </c>
      <c r="B227" s="2" t="str">
        <f>HYPERLINK("https://rth.dk/resources/bsgatlas/details.php?id=BSGatlas-gene-254","BSGatlas-gene-254")</f>
        <v>BSGatlas-gene-254</v>
      </c>
      <c r="C227" s="1" t="s">
        <v>241</v>
      </c>
      <c r="D227" s="1" t="s">
        <v>8</v>
      </c>
      <c r="E227" s="3">
        <v>206941</v>
      </c>
      <c r="F227" s="3">
        <v>209556</v>
      </c>
      <c r="G227" s="1" t="s">
        <v>9</v>
      </c>
      <c r="H227" s="1" t="b">
        <f t="shared" si="13"/>
        <v>0</v>
      </c>
    </row>
    <row r="228" spans="1:8" ht="21" x14ac:dyDescent="0.25">
      <c r="A228" s="2" t="str">
        <f>HYPERLINK("https://rth.dk/resources/bsgatlas/details.php?id=BSGatlas-operon-70","BSGatlas-operon-70")</f>
        <v>BSGatlas-operon-70</v>
      </c>
      <c r="B228" s="2" t="str">
        <f>HYPERLINK("https://rth.dk/resources/bsgatlas/details.php?id=BSGatlas-gene-255","BSGatlas-gene-255")</f>
        <v>BSGatlas-gene-255</v>
      </c>
      <c r="C228" s="1" t="s">
        <v>242</v>
      </c>
      <c r="D228" s="1" t="s">
        <v>8</v>
      </c>
      <c r="E228" s="3">
        <v>209633</v>
      </c>
      <c r="F228" s="3">
        <v>210160</v>
      </c>
      <c r="G228" s="1" t="s">
        <v>9</v>
      </c>
      <c r="H228" s="1" t="b">
        <f t="shared" si="13"/>
        <v>0</v>
      </c>
    </row>
    <row r="229" spans="1:8" ht="21" x14ac:dyDescent="0.25">
      <c r="A229" s="2" t="str">
        <f>HYPERLINK("https://rth.dk/resources/bsgatlas/details.php?id=BSGatlas-operon-70","BSGatlas-operon-70")</f>
        <v>BSGatlas-operon-70</v>
      </c>
      <c r="B229" s="2" t="str">
        <f>HYPERLINK("https://rth.dk/resources/bsgatlas/details.php?id=BSGatlas-gene-256","BSGatlas-gene-256")</f>
        <v>BSGatlas-gene-256</v>
      </c>
      <c r="C229" s="1" t="s">
        <v>243</v>
      </c>
      <c r="D229" s="1" t="s">
        <v>8</v>
      </c>
      <c r="E229" s="3">
        <v>210224</v>
      </c>
      <c r="F229" s="3">
        <v>210514</v>
      </c>
      <c r="G229" s="1" t="s">
        <v>9</v>
      </c>
      <c r="H229" s="1" t="b">
        <f t="shared" si="13"/>
        <v>0</v>
      </c>
    </row>
    <row r="230" spans="1:8" ht="21" x14ac:dyDescent="0.25">
      <c r="A230" s="2" t="str">
        <f>HYPERLINK("https://rth.dk/resources/bsgatlas/details.php?id=BSGatlas-operon-70","BSGatlas-operon-70")</f>
        <v>BSGatlas-operon-70</v>
      </c>
      <c r="B230" s="2" t="str">
        <f>HYPERLINK("https://rth.dk/resources/bsgatlas/details.php?id=BSGatlas-gene-257","BSGatlas-gene-257")</f>
        <v>BSGatlas-gene-257</v>
      </c>
      <c r="C230" s="1" t="s">
        <v>244</v>
      </c>
      <c r="D230" s="1" t="s">
        <v>8</v>
      </c>
      <c r="E230" s="3">
        <v>210572</v>
      </c>
      <c r="F230" s="3">
        <v>210946</v>
      </c>
      <c r="G230" s="1" t="s">
        <v>9</v>
      </c>
      <c r="H230" s="1" t="b">
        <f t="shared" si="13"/>
        <v>0</v>
      </c>
    </row>
    <row r="231" spans="1:8" ht="21" x14ac:dyDescent="0.25">
      <c r="A231" s="2" t="str">
        <f>HYPERLINK("https://rth.dk/resources/bsgatlas/details.php?id=BSGatlas-operon-71","BSGatlas-operon-71")</f>
        <v>BSGatlas-operon-71</v>
      </c>
      <c r="B231" s="2" t="str">
        <f>HYPERLINK("https://rth.dk/resources/bsgatlas/details.php?id=BSGatlas-gene-258","BSGatlas-gene-258")</f>
        <v>BSGatlas-gene-258</v>
      </c>
      <c r="C231" s="1" t="s">
        <v>245</v>
      </c>
      <c r="D231" s="1" t="s">
        <v>8</v>
      </c>
      <c r="E231" s="3">
        <v>211429</v>
      </c>
      <c r="F231" s="3">
        <v>211731</v>
      </c>
      <c r="G231" s="1" t="s">
        <v>9</v>
      </c>
      <c r="H231" s="1" t="b">
        <f t="shared" si="13"/>
        <v>1</v>
      </c>
    </row>
    <row r="232" spans="1:8" ht="21" x14ac:dyDescent="0.25">
      <c r="A232" s="2" t="str">
        <f>HYPERLINK("https://rth.dk/resources/bsgatlas/details.php?id=BSGatlas-operon-72","BSGatlas-operon-72")</f>
        <v>BSGatlas-operon-72</v>
      </c>
      <c r="B232" s="2" t="str">
        <f>HYPERLINK("https://rth.dk/resources/bsgatlas/details.php?id=BSGatlas-gene-259","BSGatlas-gene-259")</f>
        <v>BSGatlas-gene-259</v>
      </c>
      <c r="C232" s="1" t="s">
        <v>246</v>
      </c>
      <c r="D232" s="1" t="s">
        <v>8</v>
      </c>
      <c r="E232" s="3">
        <v>211859</v>
      </c>
      <c r="F232" s="3">
        <v>213031</v>
      </c>
      <c r="G232" s="1" t="s">
        <v>9</v>
      </c>
      <c r="H232" s="1" t="b">
        <f t="shared" si="13"/>
        <v>0</v>
      </c>
    </row>
    <row r="233" spans="1:8" ht="21" x14ac:dyDescent="0.25">
      <c r="A233" s="2" t="str">
        <f>HYPERLINK("https://rth.dk/resources/bsgatlas/details.php?id=BSGatlas-operon-73","BSGatlas-operon-73")</f>
        <v>BSGatlas-operon-73</v>
      </c>
      <c r="B233" s="2" t="str">
        <f>HYPERLINK("https://rth.dk/resources/bsgatlas/details.php?id=BSGatlas-gene-260","BSGatlas-gene-260")</f>
        <v>BSGatlas-gene-260</v>
      </c>
      <c r="C233" s="1" t="s">
        <v>247</v>
      </c>
      <c r="D233" s="1" t="s">
        <v>8</v>
      </c>
      <c r="E233" s="3">
        <v>213155</v>
      </c>
      <c r="F233" s="3">
        <v>213469</v>
      </c>
      <c r="G233" s="1" t="s">
        <v>9</v>
      </c>
      <c r="H233" s="1" t="b">
        <f t="shared" si="13"/>
        <v>1</v>
      </c>
    </row>
    <row r="234" spans="1:8" ht="21" x14ac:dyDescent="0.25">
      <c r="A234" s="2" t="str">
        <f t="shared" ref="A234:A240" si="15">HYPERLINK("https://rth.dk/resources/bsgatlas/details.php?id=BSGatlas-operon-74","BSGatlas-operon-74")</f>
        <v>BSGatlas-operon-74</v>
      </c>
      <c r="B234" s="2" t="str">
        <f>HYPERLINK("https://rth.dk/resources/bsgatlas/details.php?id=BSGatlas-gene-261","BSGatlas-gene-261")</f>
        <v>BSGatlas-gene-261</v>
      </c>
      <c r="C234" s="1" t="s">
        <v>248</v>
      </c>
      <c r="D234" s="1" t="s">
        <v>8</v>
      </c>
      <c r="E234" s="3">
        <v>213941</v>
      </c>
      <c r="F234" s="3">
        <v>214108</v>
      </c>
      <c r="G234" s="1" t="s">
        <v>9</v>
      </c>
      <c r="H234" s="1" t="b">
        <f t="shared" si="13"/>
        <v>0</v>
      </c>
    </row>
    <row r="235" spans="1:8" ht="21" x14ac:dyDescent="0.25">
      <c r="A235" s="2" t="str">
        <f t="shared" si="15"/>
        <v>BSGatlas-operon-74</v>
      </c>
      <c r="B235" s="2" t="str">
        <f>HYPERLINK("https://rth.dk/resources/bsgatlas/details.php?id=BSGatlas-gene-262","BSGatlas-gene-262")</f>
        <v>BSGatlas-gene-262</v>
      </c>
      <c r="C235" s="1" t="s">
        <v>249</v>
      </c>
      <c r="D235" s="1" t="s">
        <v>8</v>
      </c>
      <c r="E235" s="3">
        <v>214175</v>
      </c>
      <c r="F235" s="3">
        <v>215407</v>
      </c>
      <c r="G235" s="1" t="s">
        <v>9</v>
      </c>
      <c r="H235" s="1" t="b">
        <f t="shared" si="13"/>
        <v>0</v>
      </c>
    </row>
    <row r="236" spans="1:8" ht="21" x14ac:dyDescent="0.25">
      <c r="A236" s="2" t="str">
        <f t="shared" si="15"/>
        <v>BSGatlas-operon-74</v>
      </c>
      <c r="B236" s="2" t="str">
        <f>HYPERLINK("https://rth.dk/resources/bsgatlas/details.php?id=BSGatlas-gene-263","BSGatlas-gene-263")</f>
        <v>BSGatlas-gene-263</v>
      </c>
      <c r="C236" s="1" t="s">
        <v>250</v>
      </c>
      <c r="D236" s="1" t="s">
        <v>8</v>
      </c>
      <c r="E236" s="3">
        <v>215404</v>
      </c>
      <c r="F236" s="3">
        <v>216894</v>
      </c>
      <c r="G236" s="1" t="s">
        <v>9</v>
      </c>
      <c r="H236" s="1" t="b">
        <f t="shared" si="13"/>
        <v>0</v>
      </c>
    </row>
    <row r="237" spans="1:8" ht="21" x14ac:dyDescent="0.25">
      <c r="A237" s="2" t="str">
        <f t="shared" si="15"/>
        <v>BSGatlas-operon-74</v>
      </c>
      <c r="B237" s="2" t="str">
        <f>HYPERLINK("https://rth.dk/resources/bsgatlas/details.php?id=BSGatlas-gene-264","BSGatlas-gene-264")</f>
        <v>BSGatlas-gene-264</v>
      </c>
      <c r="C237" s="1" t="s">
        <v>251</v>
      </c>
      <c r="D237" s="1" t="s">
        <v>8</v>
      </c>
      <c r="E237" s="3">
        <v>216913</v>
      </c>
      <c r="F237" s="3">
        <v>217632</v>
      </c>
      <c r="G237" s="1" t="s">
        <v>9</v>
      </c>
      <c r="H237" s="1" t="b">
        <f t="shared" si="13"/>
        <v>0</v>
      </c>
    </row>
    <row r="238" spans="1:8" ht="21" x14ac:dyDescent="0.25">
      <c r="A238" s="2" t="str">
        <f t="shared" si="15"/>
        <v>BSGatlas-operon-74</v>
      </c>
      <c r="B238" s="2" t="str">
        <f>HYPERLINK("https://rth.dk/resources/bsgatlas/details.php?id=BSGatlas-gene-265","BSGatlas-gene-265")</f>
        <v>BSGatlas-gene-265</v>
      </c>
      <c r="C238" s="1" t="s">
        <v>252</v>
      </c>
      <c r="D238" s="1" t="s">
        <v>8</v>
      </c>
      <c r="E238" s="3">
        <v>217697</v>
      </c>
      <c r="F238" s="3">
        <v>219040</v>
      </c>
      <c r="G238" s="1" t="s">
        <v>9</v>
      </c>
      <c r="H238" s="1" t="b">
        <f t="shared" si="13"/>
        <v>0</v>
      </c>
    </row>
    <row r="239" spans="1:8" ht="21" x14ac:dyDescent="0.25">
      <c r="A239" s="2" t="str">
        <f t="shared" si="15"/>
        <v>BSGatlas-operon-74</v>
      </c>
      <c r="B239" s="2" t="str">
        <f>HYPERLINK("https://rth.dk/resources/bsgatlas/details.php?id=BSGatlas-gene-266","BSGatlas-gene-266")</f>
        <v>BSGatlas-gene-266</v>
      </c>
      <c r="C239" s="1" t="s">
        <v>253</v>
      </c>
      <c r="D239" s="1" t="s">
        <v>8</v>
      </c>
      <c r="E239" s="3">
        <v>219087</v>
      </c>
      <c r="F239" s="3">
        <v>219602</v>
      </c>
      <c r="G239" s="1" t="s">
        <v>9</v>
      </c>
      <c r="H239" s="1" t="b">
        <f t="shared" si="13"/>
        <v>0</v>
      </c>
    </row>
    <row r="240" spans="1:8" ht="21" x14ac:dyDescent="0.25">
      <c r="A240" s="2" t="str">
        <f t="shared" si="15"/>
        <v>BSGatlas-operon-74</v>
      </c>
      <c r="B240" s="2" t="str">
        <f>HYPERLINK("https://rth.dk/resources/bsgatlas/details.php?id=BSGatlas-gene-267","BSGatlas-gene-267")</f>
        <v>BSGatlas-gene-267</v>
      </c>
      <c r="C240" s="1" t="s">
        <v>254</v>
      </c>
      <c r="D240" s="1" t="s">
        <v>8</v>
      </c>
      <c r="E240" s="3">
        <v>219607</v>
      </c>
      <c r="F240" s="3">
        <v>220032</v>
      </c>
      <c r="G240" s="1" t="s">
        <v>9</v>
      </c>
      <c r="H240" s="1" t="b">
        <f t="shared" si="13"/>
        <v>0</v>
      </c>
    </row>
    <row r="241" spans="1:8" ht="21" x14ac:dyDescent="0.25">
      <c r="A241" s="2" t="str">
        <f>HYPERLINK("https://rth.dk/resources/bsgatlas/details.php?id=BSGatlas-operon-75","BSGatlas-operon-75")</f>
        <v>BSGatlas-operon-75</v>
      </c>
      <c r="B241" s="2" t="str">
        <f>HYPERLINK("https://rth.dk/resources/bsgatlas/details.php?id=BSGatlas-gene-270","BSGatlas-gene-270")</f>
        <v>BSGatlas-gene-270</v>
      </c>
      <c r="C241" s="1" t="s">
        <v>255</v>
      </c>
      <c r="D241" s="1" t="s">
        <v>8</v>
      </c>
      <c r="E241" s="3">
        <v>221950</v>
      </c>
      <c r="F241" s="3">
        <v>222912</v>
      </c>
      <c r="G241" s="1" t="s">
        <v>9</v>
      </c>
      <c r="H241" s="1" t="b">
        <f t="shared" si="13"/>
        <v>1</v>
      </c>
    </row>
    <row r="242" spans="1:8" ht="21" x14ac:dyDescent="0.25">
      <c r="A242" s="2" t="str">
        <f>HYPERLINK("https://rth.dk/resources/bsgatlas/details.php?id=BSGatlas-operon-76","BSGatlas-operon-76")</f>
        <v>BSGatlas-operon-76</v>
      </c>
      <c r="B242" s="2" t="str">
        <f>HYPERLINK("https://rth.dk/resources/bsgatlas/details.php?id=BSGatlas-gene-271","BSGatlas-gene-271")</f>
        <v>BSGatlas-gene-271</v>
      </c>
      <c r="C242" s="1" t="s">
        <v>256</v>
      </c>
      <c r="D242" s="1" t="s">
        <v>8</v>
      </c>
      <c r="E242" s="3">
        <v>222971</v>
      </c>
      <c r="F242" s="3">
        <v>223234</v>
      </c>
      <c r="G242" s="1" t="s">
        <v>9</v>
      </c>
      <c r="H242" s="1" t="b">
        <f t="shared" si="13"/>
        <v>0</v>
      </c>
    </row>
    <row r="243" spans="1:8" ht="21" x14ac:dyDescent="0.25">
      <c r="A243" s="2" t="str">
        <f>HYPERLINK("https://rth.dk/resources/bsgatlas/details.php?id=BSGatlas-operon-77","BSGatlas-operon-77")</f>
        <v>BSGatlas-operon-77</v>
      </c>
      <c r="B243" s="2" t="str">
        <f>HYPERLINK("https://rth.dk/resources/bsgatlas/details.php?id=BSGatlas-gene-272","BSGatlas-gene-272")</f>
        <v>BSGatlas-gene-272</v>
      </c>
      <c r="C243" s="1" t="s">
        <v>257</v>
      </c>
      <c r="D243" s="1" t="s">
        <v>8</v>
      </c>
      <c r="E243" s="3">
        <v>223219</v>
      </c>
      <c r="F243" s="3">
        <v>223989</v>
      </c>
      <c r="G243" s="1" t="s">
        <v>13</v>
      </c>
      <c r="H243" s="1" t="b">
        <f t="shared" si="13"/>
        <v>1</v>
      </c>
    </row>
    <row r="244" spans="1:8" ht="21" x14ac:dyDescent="0.25">
      <c r="A244" s="2" t="str">
        <f>HYPERLINK("https://rth.dk/resources/bsgatlas/details.php?id=BSGatlas-operon-78","BSGatlas-operon-78")</f>
        <v>BSGatlas-operon-78</v>
      </c>
      <c r="B244" s="2" t="str">
        <f>HYPERLINK("https://rth.dk/resources/bsgatlas/details.php?id=BSGatlas-gene-273","BSGatlas-gene-273")</f>
        <v>BSGatlas-gene-273</v>
      </c>
      <c r="C244" s="1" t="s">
        <v>258</v>
      </c>
      <c r="D244" s="1" t="s">
        <v>8</v>
      </c>
      <c r="E244" s="3">
        <v>224075</v>
      </c>
      <c r="F244" s="3">
        <v>224932</v>
      </c>
      <c r="G244" s="1" t="s">
        <v>13</v>
      </c>
      <c r="H244" s="1" t="b">
        <f t="shared" si="13"/>
        <v>0</v>
      </c>
    </row>
    <row r="245" spans="1:8" ht="21" x14ac:dyDescent="0.25">
      <c r="A245" s="2" t="str">
        <f>HYPERLINK("https://rth.dk/resources/bsgatlas/details.php?id=BSGatlas-operon-79","BSGatlas-operon-79")</f>
        <v>BSGatlas-operon-79</v>
      </c>
      <c r="B245" s="2" t="str">
        <f>HYPERLINK("https://rth.dk/resources/bsgatlas/details.php?id=BSGatlas-gene-274","BSGatlas-gene-274")</f>
        <v>BSGatlas-gene-274</v>
      </c>
      <c r="C245" s="1" t="s">
        <v>259</v>
      </c>
      <c r="D245" s="1" t="s">
        <v>8</v>
      </c>
      <c r="E245" s="3">
        <v>225064</v>
      </c>
      <c r="F245" s="3">
        <v>226248</v>
      </c>
      <c r="G245" s="1" t="s">
        <v>9</v>
      </c>
      <c r="H245" s="1" t="b">
        <f t="shared" si="13"/>
        <v>1</v>
      </c>
    </row>
    <row r="246" spans="1:8" ht="21" x14ac:dyDescent="0.25">
      <c r="A246" s="2" t="str">
        <f>HYPERLINK("https://rth.dk/resources/bsgatlas/details.php?id=BSGatlas-operon-80","BSGatlas-operon-80")</f>
        <v>BSGatlas-operon-80</v>
      </c>
      <c r="B246" s="2" t="str">
        <f>HYPERLINK("https://rth.dk/resources/bsgatlas/details.php?id=BSGatlas-gene-275","BSGatlas-gene-275")</f>
        <v>BSGatlas-gene-275</v>
      </c>
      <c r="C246" s="1" t="s">
        <v>260</v>
      </c>
      <c r="D246" s="1" t="s">
        <v>8</v>
      </c>
      <c r="E246" s="3">
        <v>226566</v>
      </c>
      <c r="F246" s="3">
        <v>227954</v>
      </c>
      <c r="G246" s="1" t="s">
        <v>9</v>
      </c>
      <c r="H246" s="1" t="b">
        <f t="shared" si="13"/>
        <v>0</v>
      </c>
    </row>
    <row r="247" spans="1:8" ht="21" x14ac:dyDescent="0.25">
      <c r="A247" s="2" t="str">
        <f>HYPERLINK("https://rth.dk/resources/bsgatlas/details.php?id=BSGatlas-operon-81","BSGatlas-operon-81")</f>
        <v>BSGatlas-operon-81</v>
      </c>
      <c r="B247" s="2" t="str">
        <f>HYPERLINK("https://rth.dk/resources/bsgatlas/details.php?id=BSGatlas-gene-276","BSGatlas-gene-276")</f>
        <v>BSGatlas-gene-276</v>
      </c>
      <c r="C247" s="1" t="s">
        <v>261</v>
      </c>
      <c r="D247" s="1" t="s">
        <v>8</v>
      </c>
      <c r="E247" s="3">
        <v>228066</v>
      </c>
      <c r="F247" s="3">
        <v>228314</v>
      </c>
      <c r="G247" s="1" t="s">
        <v>9</v>
      </c>
      <c r="H247" s="1" t="b">
        <f t="shared" si="13"/>
        <v>1</v>
      </c>
    </row>
    <row r="248" spans="1:8" ht="21" x14ac:dyDescent="0.25">
      <c r="A248" s="2" t="str">
        <f>HYPERLINK("https://rth.dk/resources/bsgatlas/details.php?id=BSGatlas-operon-81","BSGatlas-operon-81")</f>
        <v>BSGatlas-operon-81</v>
      </c>
      <c r="B248" s="2" t="str">
        <f>HYPERLINK("https://rth.dk/resources/bsgatlas/details.php?id=BSGatlas-gene-277","BSGatlas-gene-277")</f>
        <v>BSGatlas-gene-277</v>
      </c>
      <c r="C248" s="1" t="s">
        <v>262</v>
      </c>
      <c r="D248" s="1" t="s">
        <v>8</v>
      </c>
      <c r="E248" s="3">
        <v>228331</v>
      </c>
      <c r="F248" s="3">
        <v>228522</v>
      </c>
      <c r="G248" s="1" t="s">
        <v>9</v>
      </c>
      <c r="H248" s="1" t="b">
        <f t="shared" si="13"/>
        <v>1</v>
      </c>
    </row>
    <row r="249" spans="1:8" ht="21" x14ac:dyDescent="0.25">
      <c r="A249" s="2" t="str">
        <f>HYPERLINK("https://rth.dk/resources/bsgatlas/details.php?id=BSGatlas-operon-82","BSGatlas-operon-82")</f>
        <v>BSGatlas-operon-82</v>
      </c>
      <c r="B249" s="2" t="str">
        <f>HYPERLINK("https://rth.dk/resources/bsgatlas/details.php?id=BSGatlas-gene-278","BSGatlas-gene-278")</f>
        <v>BSGatlas-gene-278</v>
      </c>
      <c r="C249" s="1" t="s">
        <v>263</v>
      </c>
      <c r="D249" s="1" t="s">
        <v>8</v>
      </c>
      <c r="E249" s="3">
        <v>228549</v>
      </c>
      <c r="F249" s="3">
        <v>229352</v>
      </c>
      <c r="G249" s="1" t="s">
        <v>13</v>
      </c>
      <c r="H249" s="1" t="b">
        <f t="shared" si="13"/>
        <v>0</v>
      </c>
    </row>
    <row r="250" spans="1:8" ht="21" x14ac:dyDescent="0.25">
      <c r="A250" s="2" t="str">
        <f>HYPERLINK("https://rth.dk/resources/bsgatlas/details.php?id=BSGatlas-operon-83","BSGatlas-operon-83")</f>
        <v>BSGatlas-operon-83</v>
      </c>
      <c r="B250" s="2" t="str">
        <f>HYPERLINK("https://rth.dk/resources/bsgatlas/details.php?id=BSGatlas-gene-279","BSGatlas-gene-279")</f>
        <v>BSGatlas-gene-279</v>
      </c>
      <c r="C250" s="1" t="s">
        <v>264</v>
      </c>
      <c r="D250" s="1" t="s">
        <v>8</v>
      </c>
      <c r="E250" s="3">
        <v>229525</v>
      </c>
      <c r="F250" s="3">
        <v>230778</v>
      </c>
      <c r="G250" s="1" t="s">
        <v>9</v>
      </c>
      <c r="H250" s="1" t="b">
        <f t="shared" si="13"/>
        <v>1</v>
      </c>
    </row>
    <row r="251" spans="1:8" ht="21" x14ac:dyDescent="0.25">
      <c r="A251" s="2" t="str">
        <f>HYPERLINK("https://rth.dk/resources/bsgatlas/details.php?id=BSGatlas-operon-84","BSGatlas-operon-84")</f>
        <v>BSGatlas-operon-84</v>
      </c>
      <c r="B251" s="2" t="str">
        <f>HYPERLINK("https://rth.dk/resources/bsgatlas/details.php?id=BSGatlas-gene-280","BSGatlas-gene-280")</f>
        <v>BSGatlas-gene-280</v>
      </c>
      <c r="C251" s="1" t="s">
        <v>265</v>
      </c>
      <c r="D251" s="1" t="s">
        <v>8</v>
      </c>
      <c r="E251" s="3">
        <v>230819</v>
      </c>
      <c r="F251" s="3">
        <v>231079</v>
      </c>
      <c r="G251" s="1" t="s">
        <v>13</v>
      </c>
      <c r="H251" s="1" t="b">
        <f t="shared" si="13"/>
        <v>0</v>
      </c>
    </row>
    <row r="252" spans="1:8" ht="21" x14ac:dyDescent="0.25">
      <c r="A252" s="2" t="str">
        <f>HYPERLINK("https://rth.dk/resources/bsgatlas/details.php?id=BSGatlas-operon-85","BSGatlas-operon-85")</f>
        <v>BSGatlas-operon-85</v>
      </c>
      <c r="B252" s="2" t="str">
        <f>HYPERLINK("https://rth.dk/resources/bsgatlas/details.php?id=BSGatlas-gene-281","BSGatlas-gene-281")</f>
        <v>BSGatlas-gene-281</v>
      </c>
      <c r="C252" s="1" t="s">
        <v>266</v>
      </c>
      <c r="D252" s="1" t="s">
        <v>8</v>
      </c>
      <c r="E252" s="3">
        <v>231348</v>
      </c>
      <c r="F252" s="3">
        <v>232967</v>
      </c>
      <c r="G252" s="1" t="s">
        <v>9</v>
      </c>
      <c r="H252" s="1" t="b">
        <f t="shared" si="13"/>
        <v>1</v>
      </c>
    </row>
    <row r="253" spans="1:8" ht="21" x14ac:dyDescent="0.25">
      <c r="A253" s="2" t="str">
        <f>HYPERLINK("https://rth.dk/resources/bsgatlas/details.php?id=BSGatlas-operon-86","BSGatlas-operon-86")</f>
        <v>BSGatlas-operon-86</v>
      </c>
      <c r="B253" s="2" t="str">
        <f>HYPERLINK("https://rth.dk/resources/bsgatlas/details.php?id=BSGatlas-gene-282","BSGatlas-gene-282")</f>
        <v>BSGatlas-gene-282</v>
      </c>
      <c r="C253" s="1" t="s">
        <v>267</v>
      </c>
      <c r="D253" s="1" t="s">
        <v>8</v>
      </c>
      <c r="E253" s="3">
        <v>233014</v>
      </c>
      <c r="F253" s="3">
        <v>233895</v>
      </c>
      <c r="G253" s="1" t="s">
        <v>13</v>
      </c>
      <c r="H253" s="1" t="b">
        <f t="shared" si="13"/>
        <v>0</v>
      </c>
    </row>
    <row r="254" spans="1:8" ht="21" x14ac:dyDescent="0.25">
      <c r="A254" s="2" t="str">
        <f>HYPERLINK("https://rth.dk/resources/bsgatlas/details.php?id=BSGatlas-operon-86","BSGatlas-operon-86")</f>
        <v>BSGatlas-operon-86</v>
      </c>
      <c r="B254" s="2" t="str">
        <f>HYPERLINK("https://rth.dk/resources/bsgatlas/details.php?id=BSGatlas-gene-283","BSGatlas-gene-283")</f>
        <v>BSGatlas-gene-283</v>
      </c>
      <c r="C254" s="1" t="s">
        <v>268</v>
      </c>
      <c r="D254" s="1" t="s">
        <v>8</v>
      </c>
      <c r="E254" s="3">
        <v>233994</v>
      </c>
      <c r="F254" s="3">
        <v>235328</v>
      </c>
      <c r="G254" s="1" t="s">
        <v>13</v>
      </c>
      <c r="H254" s="1" t="b">
        <f t="shared" si="13"/>
        <v>0</v>
      </c>
    </row>
    <row r="255" spans="1:8" ht="21" x14ac:dyDescent="0.25">
      <c r="A255" s="2" t="str">
        <f>HYPERLINK("https://rth.dk/resources/bsgatlas/details.php?id=BSGatlas-operon-87","BSGatlas-operon-87")</f>
        <v>BSGatlas-operon-87</v>
      </c>
      <c r="B255" s="2" t="str">
        <f>HYPERLINK("https://rth.dk/resources/bsgatlas/details.php?id=BSGatlas-gene-284","BSGatlas-gene-284")</f>
        <v>BSGatlas-gene-284</v>
      </c>
      <c r="C255" s="1" t="s">
        <v>269</v>
      </c>
      <c r="D255" s="1" t="s">
        <v>12</v>
      </c>
      <c r="E255" s="3">
        <v>234998</v>
      </c>
      <c r="F255" s="3">
        <v>235624</v>
      </c>
      <c r="G255" s="1" t="s">
        <v>9</v>
      </c>
      <c r="H255" s="1" t="b">
        <f t="shared" si="13"/>
        <v>1</v>
      </c>
    </row>
    <row r="256" spans="1:8" ht="21" x14ac:dyDescent="0.25">
      <c r="A256" s="2" t="str">
        <f>HYPERLINK("https://rth.dk/resources/bsgatlas/details.php?id=BSGatlas-operon-88","BSGatlas-operon-88")</f>
        <v>BSGatlas-operon-88</v>
      </c>
      <c r="B256" s="2" t="str">
        <f>HYPERLINK("https://rth.dk/resources/bsgatlas/details.php?id=BSGatlas-gene-285","BSGatlas-gene-285")</f>
        <v>BSGatlas-gene-285</v>
      </c>
      <c r="C256" s="1" t="s">
        <v>270</v>
      </c>
      <c r="D256" s="1" t="s">
        <v>34</v>
      </c>
      <c r="E256" s="3">
        <v>235390</v>
      </c>
      <c r="F256" s="3">
        <v>235481</v>
      </c>
      <c r="G256" s="1" t="s">
        <v>13</v>
      </c>
      <c r="H256" s="1" t="b">
        <f t="shared" si="13"/>
        <v>0</v>
      </c>
    </row>
    <row r="257" spans="1:8" ht="21" x14ac:dyDescent="0.25">
      <c r="A257" s="2" t="str">
        <f>HYPERLINK("https://rth.dk/resources/bsgatlas/details.php?id=BSGatlas-operon-89","BSGatlas-operon-89")</f>
        <v>BSGatlas-operon-89</v>
      </c>
      <c r="B257" s="2" t="str">
        <f>HYPERLINK("https://rth.dk/resources/bsgatlas/details.php?id=BSGatlas-gene-286","BSGatlas-gene-286")</f>
        <v>BSGatlas-gene-286</v>
      </c>
      <c r="C257" s="1" t="s">
        <v>271</v>
      </c>
      <c r="D257" s="1" t="s">
        <v>8</v>
      </c>
      <c r="E257" s="3">
        <v>235625</v>
      </c>
      <c r="F257" s="3">
        <v>235873</v>
      </c>
      <c r="G257" s="1" t="s">
        <v>9</v>
      </c>
      <c r="H257" s="1" t="b">
        <f t="shared" si="13"/>
        <v>1</v>
      </c>
    </row>
    <row r="258" spans="1:8" ht="21" x14ac:dyDescent="0.25">
      <c r="A258" s="2" t="str">
        <f>HYPERLINK("https://rth.dk/resources/bsgatlas/details.php?id=BSGatlas-operon-89","BSGatlas-operon-89")</f>
        <v>BSGatlas-operon-89</v>
      </c>
      <c r="B258" s="2" t="str">
        <f>HYPERLINK("https://rth.dk/resources/bsgatlas/details.php?id=BSGatlas-gene-287","BSGatlas-gene-287")</f>
        <v>BSGatlas-gene-287</v>
      </c>
      <c r="C258" s="1" t="s">
        <v>272</v>
      </c>
      <c r="D258" s="1" t="s">
        <v>8</v>
      </c>
      <c r="E258" s="3">
        <v>235965</v>
      </c>
      <c r="F258" s="3">
        <v>236882</v>
      </c>
      <c r="G258" s="1" t="s">
        <v>9</v>
      </c>
      <c r="H258" s="1" t="b">
        <f t="shared" ref="H258:H321" si="16">_xlfn.XOR(A257&lt;&gt;A258,H257)</f>
        <v>1</v>
      </c>
    </row>
    <row r="259" spans="1:8" ht="21" x14ac:dyDescent="0.25">
      <c r="A259" s="2" t="str">
        <f>HYPERLINK("https://rth.dk/resources/bsgatlas/details.php?id=BSGatlas-operon-89","BSGatlas-operon-89")</f>
        <v>BSGatlas-operon-89</v>
      </c>
      <c r="B259" s="2" t="str">
        <f>HYPERLINK("https://rth.dk/resources/bsgatlas/details.php?id=BSGatlas-gene-288","BSGatlas-gene-288")</f>
        <v>BSGatlas-gene-288</v>
      </c>
      <c r="C259" s="1" t="s">
        <v>273</v>
      </c>
      <c r="D259" s="1" t="s">
        <v>8</v>
      </c>
      <c r="E259" s="3">
        <v>236879</v>
      </c>
      <c r="F259" s="3">
        <v>238129</v>
      </c>
      <c r="G259" s="1" t="s">
        <v>9</v>
      </c>
      <c r="H259" s="1" t="b">
        <f t="shared" si="16"/>
        <v>1</v>
      </c>
    </row>
    <row r="260" spans="1:8" ht="21" x14ac:dyDescent="0.25">
      <c r="A260" s="2" t="str">
        <f>HYPERLINK("https://rth.dk/resources/bsgatlas/details.php?id=BSGatlas-operon-90","BSGatlas-operon-90")</f>
        <v>BSGatlas-operon-90</v>
      </c>
      <c r="B260" s="2" t="str">
        <f>HYPERLINK("https://rth.dk/resources/bsgatlas/details.php?id=BSGatlas-gene-289","BSGatlas-gene-289")</f>
        <v>BSGatlas-gene-289</v>
      </c>
      <c r="C260" s="1" t="s">
        <v>274</v>
      </c>
      <c r="D260" s="1" t="s">
        <v>8</v>
      </c>
      <c r="E260" s="3">
        <v>238164</v>
      </c>
      <c r="F260" s="3">
        <v>238448</v>
      </c>
      <c r="G260" s="1" t="s">
        <v>13</v>
      </c>
      <c r="H260" s="1" t="b">
        <f t="shared" si="16"/>
        <v>0</v>
      </c>
    </row>
    <row r="261" spans="1:8" ht="21" x14ac:dyDescent="0.25">
      <c r="A261" s="2" t="str">
        <f>HYPERLINK("https://rth.dk/resources/bsgatlas/details.php?id=BSGatlas-operon-90","BSGatlas-operon-90")</f>
        <v>BSGatlas-operon-90</v>
      </c>
      <c r="B261" s="2" t="str">
        <f>HYPERLINK("https://rth.dk/resources/bsgatlas/details.php?id=BSGatlas-gene-290","BSGatlas-gene-290")</f>
        <v>BSGatlas-gene-290</v>
      </c>
      <c r="C261" s="1" t="s">
        <v>275</v>
      </c>
      <c r="D261" s="1" t="s">
        <v>276</v>
      </c>
      <c r="E261" s="3">
        <v>238354</v>
      </c>
      <c r="F261" s="3">
        <v>238476</v>
      </c>
      <c r="G261" s="1" t="s">
        <v>13</v>
      </c>
      <c r="H261" s="1" t="b">
        <f t="shared" si="16"/>
        <v>0</v>
      </c>
    </row>
    <row r="262" spans="1:8" ht="21" x14ac:dyDescent="0.25">
      <c r="A262" s="2" t="str">
        <f>HYPERLINK("https://rth.dk/resources/bsgatlas/details.php?id=BSGatlas-operon-90","BSGatlas-operon-90")</f>
        <v>BSGatlas-operon-90</v>
      </c>
      <c r="B262" s="2" t="str">
        <f>HYPERLINK("https://rth.dk/resources/bsgatlas/details.php?id=BSGatlas-gene-291","BSGatlas-gene-291")</f>
        <v>BSGatlas-gene-291</v>
      </c>
      <c r="C262" s="1" t="s">
        <v>277</v>
      </c>
      <c r="D262" s="1" t="s">
        <v>8</v>
      </c>
      <c r="E262" s="3">
        <v>238644</v>
      </c>
      <c r="F262" s="3">
        <v>239555</v>
      </c>
      <c r="G262" s="1" t="s">
        <v>13</v>
      </c>
      <c r="H262" s="1" t="b">
        <f t="shared" si="16"/>
        <v>0</v>
      </c>
    </row>
    <row r="263" spans="1:8" ht="21" x14ac:dyDescent="0.25">
      <c r="A263" s="2" t="str">
        <f>HYPERLINK("https://rth.dk/resources/bsgatlas/details.php?id=BSGatlas-operon-90","BSGatlas-operon-90")</f>
        <v>BSGatlas-operon-90</v>
      </c>
      <c r="B263" s="2" t="str">
        <f>HYPERLINK("https://rth.dk/resources/bsgatlas/details.php?id=BSGatlas-gene-292","BSGatlas-gene-292")</f>
        <v>BSGatlas-gene-292</v>
      </c>
      <c r="C263" s="1" t="s">
        <v>278</v>
      </c>
      <c r="D263" s="1" t="s">
        <v>8</v>
      </c>
      <c r="E263" s="3">
        <v>239644</v>
      </c>
      <c r="F263" s="3">
        <v>241842</v>
      </c>
      <c r="G263" s="1" t="s">
        <v>13</v>
      </c>
      <c r="H263" s="1" t="b">
        <f t="shared" si="16"/>
        <v>0</v>
      </c>
    </row>
    <row r="264" spans="1:8" ht="21" x14ac:dyDescent="0.25">
      <c r="A264" s="2" t="str">
        <f>HYPERLINK("https://rth.dk/resources/bsgatlas/details.php?id=BSGatlas-operon-91","BSGatlas-operon-91")</f>
        <v>BSGatlas-operon-91</v>
      </c>
      <c r="B264" s="2" t="str">
        <f>HYPERLINK("https://rth.dk/resources/bsgatlas/details.php?id=BSGatlas-gene-293","BSGatlas-gene-293")</f>
        <v>BSGatlas-gene-293</v>
      </c>
      <c r="C264" s="1" t="s">
        <v>279</v>
      </c>
      <c r="D264" s="1" t="s">
        <v>8</v>
      </c>
      <c r="E264" s="3">
        <v>241917</v>
      </c>
      <c r="F264" s="3">
        <v>242837</v>
      </c>
      <c r="G264" s="1" t="s">
        <v>13</v>
      </c>
      <c r="H264" s="1" t="b">
        <f t="shared" si="16"/>
        <v>1</v>
      </c>
    </row>
    <row r="265" spans="1:8" ht="21" x14ac:dyDescent="0.25">
      <c r="A265" s="2" t="str">
        <f>HYPERLINK("https://rth.dk/resources/bsgatlas/details.php?id=BSGatlas-operon-91","BSGatlas-operon-91")</f>
        <v>BSGatlas-operon-91</v>
      </c>
      <c r="B265" s="2" t="str">
        <f>HYPERLINK("https://rth.dk/resources/bsgatlas/details.php?id=BSGatlas-gene-294","BSGatlas-gene-294")</f>
        <v>BSGatlas-gene-294</v>
      </c>
      <c r="C265" s="1" t="s">
        <v>280</v>
      </c>
      <c r="D265" s="1" t="s">
        <v>8</v>
      </c>
      <c r="E265" s="3">
        <v>242834</v>
      </c>
      <c r="F265" s="3">
        <v>243661</v>
      </c>
      <c r="G265" s="1" t="s">
        <v>13</v>
      </c>
      <c r="H265" s="1" t="b">
        <f t="shared" si="16"/>
        <v>1</v>
      </c>
    </row>
    <row r="266" spans="1:8" ht="21" x14ac:dyDescent="0.25">
      <c r="A266" s="2" t="str">
        <f>HYPERLINK("https://rth.dk/resources/bsgatlas/details.php?id=BSGatlas-operon-92","BSGatlas-operon-92")</f>
        <v>BSGatlas-operon-92</v>
      </c>
      <c r="B266" s="2" t="str">
        <f>HYPERLINK("https://rth.dk/resources/bsgatlas/details.php?id=BSGatlas-gene-295","BSGatlas-gene-295")</f>
        <v>BSGatlas-gene-295</v>
      </c>
      <c r="C266" s="1" t="s">
        <v>281</v>
      </c>
      <c r="D266" s="1" t="s">
        <v>8</v>
      </c>
      <c r="E266" s="3">
        <v>243892</v>
      </c>
      <c r="F266" s="3">
        <v>245046</v>
      </c>
      <c r="G266" s="1" t="s">
        <v>9</v>
      </c>
      <c r="H266" s="1" t="b">
        <f t="shared" si="16"/>
        <v>0</v>
      </c>
    </row>
    <row r="267" spans="1:8" ht="21" x14ac:dyDescent="0.25">
      <c r="A267" s="2" t="str">
        <f>HYPERLINK("https://rth.dk/resources/bsgatlas/details.php?id=BSGatlas-operon-93","BSGatlas-operon-93")</f>
        <v>BSGatlas-operon-93</v>
      </c>
      <c r="B267" s="2" t="str">
        <f>HYPERLINK("https://rth.dk/resources/bsgatlas/details.php?id=BSGatlas-gene-296","BSGatlas-gene-296")</f>
        <v>BSGatlas-gene-296</v>
      </c>
      <c r="C267" s="1" t="s">
        <v>282</v>
      </c>
      <c r="D267" s="1" t="s">
        <v>8</v>
      </c>
      <c r="E267" s="3">
        <v>245190</v>
      </c>
      <c r="F267" s="3">
        <v>246131</v>
      </c>
      <c r="G267" s="1" t="s">
        <v>9</v>
      </c>
      <c r="H267" s="1" t="b">
        <f t="shared" si="16"/>
        <v>1</v>
      </c>
    </row>
    <row r="268" spans="1:8" ht="21" x14ac:dyDescent="0.25">
      <c r="A268" s="2" t="str">
        <f>HYPERLINK("https://rth.dk/resources/bsgatlas/details.php?id=BSGatlas-operon-93","BSGatlas-operon-93")</f>
        <v>BSGatlas-operon-93</v>
      </c>
      <c r="B268" s="2" t="str">
        <f>HYPERLINK("https://rth.dk/resources/bsgatlas/details.php?id=BSGatlas-gene-297","BSGatlas-gene-297")</f>
        <v>BSGatlas-gene-297</v>
      </c>
      <c r="C268" s="1" t="s">
        <v>283</v>
      </c>
      <c r="D268" s="1" t="s">
        <v>8</v>
      </c>
      <c r="E268" s="3">
        <v>246094</v>
      </c>
      <c r="F268" s="3">
        <v>246492</v>
      </c>
      <c r="G268" s="1" t="s">
        <v>9</v>
      </c>
      <c r="H268" s="1" t="b">
        <f t="shared" si="16"/>
        <v>1</v>
      </c>
    </row>
    <row r="269" spans="1:8" ht="21" x14ac:dyDescent="0.25">
      <c r="A269" s="2" t="str">
        <f>HYPERLINK("https://rth.dk/resources/bsgatlas/details.php?id=BSGatlas-operon-94","BSGatlas-operon-94")</f>
        <v>BSGatlas-operon-94</v>
      </c>
      <c r="B269" s="2" t="str">
        <f>HYPERLINK("https://rth.dk/resources/bsgatlas/details.php?id=BSGatlas-gene-298","BSGatlas-gene-298")</f>
        <v>BSGatlas-gene-298</v>
      </c>
      <c r="C269" s="1" t="s">
        <v>284</v>
      </c>
      <c r="D269" s="1" t="s">
        <v>8</v>
      </c>
      <c r="E269" s="3">
        <v>246658</v>
      </c>
      <c r="F269" s="3">
        <v>247548</v>
      </c>
      <c r="G269" s="1" t="s">
        <v>9</v>
      </c>
      <c r="H269" s="1" t="b">
        <f t="shared" si="16"/>
        <v>0</v>
      </c>
    </row>
    <row r="270" spans="1:8" ht="21" x14ac:dyDescent="0.25">
      <c r="A270" s="2" t="str">
        <f>HYPERLINK("https://rth.dk/resources/bsgatlas/details.php?id=BSGatlas-operon-94","BSGatlas-operon-94")</f>
        <v>BSGatlas-operon-94</v>
      </c>
      <c r="B270" s="2" t="str">
        <f>HYPERLINK("https://rth.dk/resources/bsgatlas/details.php?id=BSGatlas-gene-299","BSGatlas-gene-299")</f>
        <v>BSGatlas-gene-299</v>
      </c>
      <c r="C270" s="1" t="s">
        <v>285</v>
      </c>
      <c r="D270" s="1" t="s">
        <v>8</v>
      </c>
      <c r="E270" s="3">
        <v>247744</v>
      </c>
      <c r="F270" s="3">
        <v>248277</v>
      </c>
      <c r="G270" s="1" t="s">
        <v>9</v>
      </c>
      <c r="H270" s="1" t="b">
        <f t="shared" si="16"/>
        <v>0</v>
      </c>
    </row>
    <row r="271" spans="1:8" ht="21" x14ac:dyDescent="0.25">
      <c r="A271" s="2" t="str">
        <f>HYPERLINK("https://rth.dk/resources/bsgatlas/details.php?id=BSGatlas-operon-94","BSGatlas-operon-94")</f>
        <v>BSGatlas-operon-94</v>
      </c>
      <c r="B271" s="2" t="str">
        <f>HYPERLINK("https://rth.dk/resources/bsgatlas/details.php?id=BSGatlas-gene-300","BSGatlas-gene-300")</f>
        <v>BSGatlas-gene-300</v>
      </c>
      <c r="C271" s="1" t="s">
        <v>286</v>
      </c>
      <c r="D271" s="1" t="s">
        <v>8</v>
      </c>
      <c r="E271" s="3">
        <v>248268</v>
      </c>
      <c r="F271" s="3">
        <v>248756</v>
      </c>
      <c r="G271" s="1" t="s">
        <v>9</v>
      </c>
      <c r="H271" s="1" t="b">
        <f t="shared" si="16"/>
        <v>0</v>
      </c>
    </row>
    <row r="272" spans="1:8" ht="21" x14ac:dyDescent="0.25">
      <c r="A272" s="2" t="str">
        <f>HYPERLINK("https://rth.dk/resources/bsgatlas/details.php?id=BSGatlas-operon-94","BSGatlas-operon-94")</f>
        <v>BSGatlas-operon-94</v>
      </c>
      <c r="B272" s="2" t="str">
        <f>HYPERLINK("https://rth.dk/resources/bsgatlas/details.php?id=BSGatlas-gene-301","BSGatlas-gene-301")</f>
        <v>BSGatlas-gene-301</v>
      </c>
      <c r="C272" s="1" t="s">
        <v>287</v>
      </c>
      <c r="D272" s="1" t="s">
        <v>8</v>
      </c>
      <c r="E272" s="3">
        <v>248749</v>
      </c>
      <c r="F272" s="3">
        <v>249540</v>
      </c>
      <c r="G272" s="1" t="s">
        <v>9</v>
      </c>
      <c r="H272" s="1" t="b">
        <f t="shared" si="16"/>
        <v>0</v>
      </c>
    </row>
    <row r="273" spans="1:8" ht="21" x14ac:dyDescent="0.25">
      <c r="A273" s="2" t="str">
        <f>HYPERLINK("https://rth.dk/resources/bsgatlas/details.php?id=BSGatlas-operon-95","BSGatlas-operon-95")</f>
        <v>BSGatlas-operon-95</v>
      </c>
      <c r="B273" s="2" t="str">
        <f>HYPERLINK("https://rth.dk/resources/bsgatlas/details.php?id=BSGatlas-gene-303","BSGatlas-gene-303")</f>
        <v>BSGatlas-gene-303</v>
      </c>
      <c r="C273" s="1" t="s">
        <v>288</v>
      </c>
      <c r="D273" s="1" t="s">
        <v>8</v>
      </c>
      <c r="E273" s="3">
        <v>249979</v>
      </c>
      <c r="F273" s="3">
        <v>251319</v>
      </c>
      <c r="G273" s="1" t="s">
        <v>9</v>
      </c>
      <c r="H273" s="1" t="b">
        <f t="shared" si="16"/>
        <v>1</v>
      </c>
    </row>
    <row r="274" spans="1:8" ht="21" x14ac:dyDescent="0.25">
      <c r="A274" s="2" t="str">
        <f>HYPERLINK("https://rth.dk/resources/bsgatlas/details.php?id=BSGatlas-operon-95","BSGatlas-operon-95")</f>
        <v>BSGatlas-operon-95</v>
      </c>
      <c r="B274" s="2" t="str">
        <f>HYPERLINK("https://rth.dk/resources/bsgatlas/details.php?id=BSGatlas-gene-304","BSGatlas-gene-304")</f>
        <v>BSGatlas-gene-304</v>
      </c>
      <c r="C274" s="1" t="s">
        <v>289</v>
      </c>
      <c r="D274" s="1" t="s">
        <v>8</v>
      </c>
      <c r="E274" s="3">
        <v>251427</v>
      </c>
      <c r="F274" s="3">
        <v>252314</v>
      </c>
      <c r="G274" s="1" t="s">
        <v>9</v>
      </c>
      <c r="H274" s="1" t="b">
        <f t="shared" si="16"/>
        <v>1</v>
      </c>
    </row>
    <row r="275" spans="1:8" ht="21" x14ac:dyDescent="0.25">
      <c r="A275" s="2" t="str">
        <f>HYPERLINK("https://rth.dk/resources/bsgatlas/details.php?id=BSGatlas-operon-95","BSGatlas-operon-95")</f>
        <v>BSGatlas-operon-95</v>
      </c>
      <c r="B275" s="2" t="str">
        <f>HYPERLINK("https://rth.dk/resources/bsgatlas/details.php?id=BSGatlas-gene-305","BSGatlas-gene-305")</f>
        <v>BSGatlas-gene-305</v>
      </c>
      <c r="C275" s="1" t="s">
        <v>290</v>
      </c>
      <c r="D275" s="1" t="s">
        <v>8</v>
      </c>
      <c r="E275" s="3">
        <v>252514</v>
      </c>
      <c r="F275" s="3">
        <v>253482</v>
      </c>
      <c r="G275" s="1" t="s">
        <v>9</v>
      </c>
      <c r="H275" s="1" t="b">
        <f t="shared" si="16"/>
        <v>1</v>
      </c>
    </row>
    <row r="276" spans="1:8" ht="21" x14ac:dyDescent="0.25">
      <c r="A276" s="2" t="str">
        <f>HYPERLINK("https://rth.dk/resources/bsgatlas/details.php?id=BSGatlas-operon-96","BSGatlas-operon-96")</f>
        <v>BSGatlas-operon-96</v>
      </c>
      <c r="B276" s="2" t="str">
        <f>HYPERLINK("https://rth.dk/resources/bsgatlas/details.php?id=BSGatlas-gene-306","BSGatlas-gene-306")</f>
        <v>BSGatlas-gene-306</v>
      </c>
      <c r="C276" s="1" t="s">
        <v>291</v>
      </c>
      <c r="D276" s="1" t="s">
        <v>8</v>
      </c>
      <c r="E276" s="3">
        <v>253518</v>
      </c>
      <c r="F276" s="3">
        <v>254762</v>
      </c>
      <c r="G276" s="1" t="s">
        <v>13</v>
      </c>
      <c r="H276" s="1" t="b">
        <f t="shared" si="16"/>
        <v>0</v>
      </c>
    </row>
    <row r="277" spans="1:8" ht="21" x14ac:dyDescent="0.25">
      <c r="A277" s="2" t="str">
        <f>HYPERLINK("https://rth.dk/resources/bsgatlas/details.php?id=BSGatlas-operon-97","BSGatlas-operon-97")</f>
        <v>BSGatlas-operon-97</v>
      </c>
      <c r="B277" s="2" t="str">
        <f>HYPERLINK("https://rth.dk/resources/bsgatlas/details.php?id=BSGatlas-gene-307","BSGatlas-gene-307")</f>
        <v>BSGatlas-gene-307</v>
      </c>
      <c r="C277" s="1" t="s">
        <v>292</v>
      </c>
      <c r="D277" s="1" t="s">
        <v>8</v>
      </c>
      <c r="E277" s="3">
        <v>254907</v>
      </c>
      <c r="F277" s="3">
        <v>256802</v>
      </c>
      <c r="G277" s="1" t="s">
        <v>13</v>
      </c>
      <c r="H277" s="1" t="b">
        <f t="shared" si="16"/>
        <v>1</v>
      </c>
    </row>
    <row r="278" spans="1:8" ht="21" x14ac:dyDescent="0.25">
      <c r="A278" s="2" t="str">
        <f>HYPERLINK("https://rth.dk/resources/bsgatlas/details.php?id=BSGatlas-operon-97","BSGatlas-operon-97")</f>
        <v>BSGatlas-operon-97</v>
      </c>
      <c r="B278" s="2" t="str">
        <f>HYPERLINK("https://rth.dk/resources/bsgatlas/details.php?id=BSGatlas-gene-308","BSGatlas-gene-308")</f>
        <v>BSGatlas-gene-308</v>
      </c>
      <c r="C278" s="1" t="s">
        <v>293</v>
      </c>
      <c r="D278" s="1" t="s">
        <v>8</v>
      </c>
      <c r="E278" s="3">
        <v>256823</v>
      </c>
      <c r="F278" s="3">
        <v>257572</v>
      </c>
      <c r="G278" s="1" t="s">
        <v>13</v>
      </c>
      <c r="H278" s="1" t="b">
        <f t="shared" si="16"/>
        <v>1</v>
      </c>
    </row>
    <row r="279" spans="1:8" ht="21" x14ac:dyDescent="0.25">
      <c r="A279" s="2" t="str">
        <f>HYPERLINK("https://rth.dk/resources/bsgatlas/details.php?id=BSGatlas-operon-98","BSGatlas-operon-98")</f>
        <v>BSGatlas-operon-98</v>
      </c>
      <c r="B279" s="2" t="str">
        <f>HYPERLINK("https://rth.dk/resources/bsgatlas/details.php?id=BSGatlas-gene-309","BSGatlas-gene-309")</f>
        <v>BSGatlas-gene-309</v>
      </c>
      <c r="C279" s="1" t="s">
        <v>294</v>
      </c>
      <c r="D279" s="1" t="s">
        <v>8</v>
      </c>
      <c r="E279" s="3">
        <v>257791</v>
      </c>
      <c r="F279" s="3">
        <v>258498</v>
      </c>
      <c r="G279" s="1" t="s">
        <v>9</v>
      </c>
      <c r="H279" s="1" t="b">
        <f t="shared" si="16"/>
        <v>0</v>
      </c>
    </row>
    <row r="280" spans="1:8" ht="21" x14ac:dyDescent="0.25">
      <c r="A280" s="2" t="str">
        <f>HYPERLINK("https://rth.dk/resources/bsgatlas/details.php?id=BSGatlas-operon-98","BSGatlas-operon-98")</f>
        <v>BSGatlas-operon-98</v>
      </c>
      <c r="B280" s="2" t="str">
        <f>HYPERLINK("https://rth.dk/resources/bsgatlas/details.php?id=BSGatlas-gene-310","BSGatlas-gene-310")</f>
        <v>BSGatlas-gene-310</v>
      </c>
      <c r="C280" s="1" t="s">
        <v>295</v>
      </c>
      <c r="D280" s="1" t="s">
        <v>8</v>
      </c>
      <c r="E280" s="3">
        <v>258532</v>
      </c>
      <c r="F280" s="3">
        <v>258807</v>
      </c>
      <c r="G280" s="1" t="s">
        <v>9</v>
      </c>
      <c r="H280" s="1" t="b">
        <f t="shared" si="16"/>
        <v>0</v>
      </c>
    </row>
    <row r="281" spans="1:8" ht="21" x14ac:dyDescent="0.25">
      <c r="A281" s="2" t="str">
        <f>HYPERLINK("https://rth.dk/resources/bsgatlas/details.php?id=BSGatlas-operon-99","BSGatlas-operon-99")</f>
        <v>BSGatlas-operon-99</v>
      </c>
      <c r="B281" s="2" t="str">
        <f>HYPERLINK("https://rth.dk/resources/bsgatlas/details.php?id=BSGatlas-gene-311","BSGatlas-gene-311")</f>
        <v>BSGatlas-gene-311</v>
      </c>
      <c r="C281" s="1" t="s">
        <v>296</v>
      </c>
      <c r="D281" s="1" t="s">
        <v>8</v>
      </c>
      <c r="E281" s="3">
        <v>259016</v>
      </c>
      <c r="F281" s="3">
        <v>260086</v>
      </c>
      <c r="G281" s="1" t="s">
        <v>9</v>
      </c>
      <c r="H281" s="1" t="b">
        <f t="shared" si="16"/>
        <v>1</v>
      </c>
    </row>
    <row r="282" spans="1:8" ht="21" x14ac:dyDescent="0.25">
      <c r="A282" s="2" t="str">
        <f>HYPERLINK("https://rth.dk/resources/bsgatlas/details.php?id=BSGatlas-operon-100","BSGatlas-operon-100")</f>
        <v>BSGatlas-operon-100</v>
      </c>
      <c r="B282" s="2" t="str">
        <f>HYPERLINK("https://rth.dk/resources/bsgatlas/details.php?id=BSGatlas-gene-312","BSGatlas-gene-312")</f>
        <v>BSGatlas-gene-312</v>
      </c>
      <c r="C282" s="1" t="s">
        <v>297</v>
      </c>
      <c r="D282" s="1" t="s">
        <v>8</v>
      </c>
      <c r="E282" s="3">
        <v>260123</v>
      </c>
      <c r="F282" s="3">
        <v>261535</v>
      </c>
      <c r="G282" s="1" t="s">
        <v>13</v>
      </c>
      <c r="H282" s="1" t="b">
        <f t="shared" si="16"/>
        <v>0</v>
      </c>
    </row>
    <row r="283" spans="1:8" ht="21" x14ac:dyDescent="0.25">
      <c r="A283" s="2" t="str">
        <f>HYPERLINK("https://rth.dk/resources/bsgatlas/details.php?id=BSGatlas-operon-100","BSGatlas-operon-100")</f>
        <v>BSGatlas-operon-100</v>
      </c>
      <c r="B283" s="2" t="str">
        <f>HYPERLINK("https://rth.dk/resources/bsgatlas/details.php?id=BSGatlas-gene-313","BSGatlas-gene-313")</f>
        <v>BSGatlas-gene-313</v>
      </c>
      <c r="C283" s="1" t="s">
        <v>298</v>
      </c>
      <c r="D283" s="1" t="s">
        <v>8</v>
      </c>
      <c r="E283" s="3">
        <v>261656</v>
      </c>
      <c r="F283" s="3">
        <v>262603</v>
      </c>
      <c r="G283" s="1" t="s">
        <v>13</v>
      </c>
      <c r="H283" s="1" t="b">
        <f t="shared" si="16"/>
        <v>0</v>
      </c>
    </row>
    <row r="284" spans="1:8" ht="21" x14ac:dyDescent="0.25">
      <c r="A284" s="2" t="str">
        <f>HYPERLINK("https://rth.dk/resources/bsgatlas/details.php?id=BSGatlas-operon-101","BSGatlas-operon-101")</f>
        <v>BSGatlas-operon-101</v>
      </c>
      <c r="B284" s="2" t="str">
        <f>HYPERLINK("https://rth.dk/resources/bsgatlas/details.php?id=BSGatlas-gene-314","BSGatlas-gene-314")</f>
        <v>BSGatlas-gene-314</v>
      </c>
      <c r="C284" s="1" t="s">
        <v>299</v>
      </c>
      <c r="D284" s="1" t="s">
        <v>8</v>
      </c>
      <c r="E284" s="3">
        <v>262732</v>
      </c>
      <c r="F284" s="3">
        <v>264168</v>
      </c>
      <c r="G284" s="1" t="s">
        <v>13</v>
      </c>
      <c r="H284" s="1" t="b">
        <f t="shared" si="16"/>
        <v>1</v>
      </c>
    </row>
    <row r="285" spans="1:8" ht="21" x14ac:dyDescent="0.25">
      <c r="A285" s="2" t="str">
        <f>HYPERLINK("https://rth.dk/resources/bsgatlas/details.php?id=BSGatlas-operon-101","BSGatlas-operon-101")</f>
        <v>BSGatlas-operon-101</v>
      </c>
      <c r="B285" s="2" t="str">
        <f>HYPERLINK("https://rth.dk/resources/bsgatlas/details.php?id=BSGatlas-gene-315","BSGatlas-gene-315")</f>
        <v>BSGatlas-gene-315</v>
      </c>
      <c r="C285" s="1" t="s">
        <v>300</v>
      </c>
      <c r="D285" s="1" t="s">
        <v>8</v>
      </c>
      <c r="E285" s="3">
        <v>264191</v>
      </c>
      <c r="F285" s="3">
        <v>265174</v>
      </c>
      <c r="G285" s="1" t="s">
        <v>13</v>
      </c>
      <c r="H285" s="1" t="b">
        <f t="shared" si="16"/>
        <v>1</v>
      </c>
    </row>
    <row r="286" spans="1:8" ht="21" x14ac:dyDescent="0.25">
      <c r="A286" s="2" t="str">
        <f>HYPERLINK("https://rth.dk/resources/bsgatlas/details.php?id=BSGatlas-operon-102","BSGatlas-operon-102")</f>
        <v>BSGatlas-operon-102</v>
      </c>
      <c r="B286" s="2" t="str">
        <f>HYPERLINK("https://rth.dk/resources/bsgatlas/details.php?id=BSGatlas-gene-316","BSGatlas-gene-316")</f>
        <v>BSGatlas-gene-316</v>
      </c>
      <c r="C286" s="1" t="s">
        <v>301</v>
      </c>
      <c r="D286" s="1" t="s">
        <v>8</v>
      </c>
      <c r="E286" s="3">
        <v>265476</v>
      </c>
      <c r="F286" s="3">
        <v>266708</v>
      </c>
      <c r="G286" s="1" t="s">
        <v>9</v>
      </c>
      <c r="H286" s="1" t="b">
        <f t="shared" si="16"/>
        <v>0</v>
      </c>
    </row>
    <row r="287" spans="1:8" ht="21" x14ac:dyDescent="0.25">
      <c r="A287" s="2" t="str">
        <f>HYPERLINK("https://rth.dk/resources/bsgatlas/details.php?id=BSGatlas-operon-102","BSGatlas-operon-102")</f>
        <v>BSGatlas-operon-102</v>
      </c>
      <c r="B287" s="2" t="str">
        <f>HYPERLINK("https://rth.dk/resources/bsgatlas/details.php?id=BSGatlas-gene-317","BSGatlas-gene-317")</f>
        <v>BSGatlas-gene-317</v>
      </c>
      <c r="C287" s="1" t="s">
        <v>302</v>
      </c>
      <c r="D287" s="1" t="s">
        <v>8</v>
      </c>
      <c r="E287" s="3">
        <v>266719</v>
      </c>
      <c r="F287" s="3">
        <v>267663</v>
      </c>
      <c r="G287" s="1" t="s">
        <v>9</v>
      </c>
      <c r="H287" s="1" t="b">
        <f t="shared" si="16"/>
        <v>0</v>
      </c>
    </row>
    <row r="288" spans="1:8" ht="21" x14ac:dyDescent="0.25">
      <c r="A288" s="2" t="str">
        <f t="shared" ref="A288:A295" si="17">HYPERLINK("https://rth.dk/resources/bsgatlas/details.php?id=BSGatlas-operon-103","BSGatlas-operon-103")</f>
        <v>BSGatlas-operon-103</v>
      </c>
      <c r="B288" s="2" t="str">
        <f>HYPERLINK("https://rth.dk/resources/bsgatlas/details.php?id=BSGatlas-gene-318","BSGatlas-gene-318")</f>
        <v>BSGatlas-gene-318</v>
      </c>
      <c r="C288" s="1" t="s">
        <v>303</v>
      </c>
      <c r="D288" s="1" t="s">
        <v>8</v>
      </c>
      <c r="E288" s="3">
        <v>267890</v>
      </c>
      <c r="F288" s="3">
        <v>268816</v>
      </c>
      <c r="G288" s="1" t="s">
        <v>9</v>
      </c>
      <c r="H288" s="1" t="b">
        <f t="shared" si="16"/>
        <v>1</v>
      </c>
    </row>
    <row r="289" spans="1:8" ht="21" x14ac:dyDescent="0.25">
      <c r="A289" s="2" t="str">
        <f t="shared" si="17"/>
        <v>BSGatlas-operon-103</v>
      </c>
      <c r="B289" s="2" t="str">
        <f>HYPERLINK("https://rth.dk/resources/bsgatlas/details.php?id=BSGatlas-gene-319","BSGatlas-gene-319")</f>
        <v>BSGatlas-gene-319</v>
      </c>
      <c r="C289" s="1" t="s">
        <v>304</v>
      </c>
      <c r="D289" s="1" t="s">
        <v>8</v>
      </c>
      <c r="E289" s="3">
        <v>268846</v>
      </c>
      <c r="F289" s="3">
        <v>270312</v>
      </c>
      <c r="G289" s="1" t="s">
        <v>9</v>
      </c>
      <c r="H289" s="1" t="b">
        <f t="shared" si="16"/>
        <v>1</v>
      </c>
    </row>
    <row r="290" spans="1:8" ht="21" x14ac:dyDescent="0.25">
      <c r="A290" s="2" t="str">
        <f t="shared" si="17"/>
        <v>BSGatlas-operon-103</v>
      </c>
      <c r="B290" s="2" t="str">
        <f>HYPERLINK("https://rth.dk/resources/bsgatlas/details.php?id=BSGatlas-gene-320","BSGatlas-gene-320")</f>
        <v>BSGatlas-gene-320</v>
      </c>
      <c r="C290" s="1" t="s">
        <v>305</v>
      </c>
      <c r="D290" s="1" t="s">
        <v>8</v>
      </c>
      <c r="E290" s="3">
        <v>270396</v>
      </c>
      <c r="F290" s="3">
        <v>271763</v>
      </c>
      <c r="G290" s="1" t="s">
        <v>9</v>
      </c>
      <c r="H290" s="1" t="b">
        <f t="shared" si="16"/>
        <v>1</v>
      </c>
    </row>
    <row r="291" spans="1:8" ht="21" x14ac:dyDescent="0.25">
      <c r="A291" s="2" t="str">
        <f t="shared" si="17"/>
        <v>BSGatlas-operon-103</v>
      </c>
      <c r="B291" s="2" t="str">
        <f>HYPERLINK("https://rth.dk/resources/bsgatlas/details.php?id=BSGatlas-gene-321","BSGatlas-gene-321")</f>
        <v>BSGatlas-gene-321</v>
      </c>
      <c r="C291" s="1" t="s">
        <v>306</v>
      </c>
      <c r="D291" s="1" t="s">
        <v>8</v>
      </c>
      <c r="E291" s="3">
        <v>271800</v>
      </c>
      <c r="F291" s="3">
        <v>273167</v>
      </c>
      <c r="G291" s="1" t="s">
        <v>9</v>
      </c>
      <c r="H291" s="1" t="b">
        <f t="shared" si="16"/>
        <v>1</v>
      </c>
    </row>
    <row r="292" spans="1:8" ht="21" x14ac:dyDescent="0.25">
      <c r="A292" s="2" t="str">
        <f t="shared" si="17"/>
        <v>BSGatlas-operon-103</v>
      </c>
      <c r="B292" s="2" t="str">
        <f>HYPERLINK("https://rth.dk/resources/bsgatlas/details.php?id=BSGatlas-gene-322","BSGatlas-gene-322")</f>
        <v>BSGatlas-gene-322</v>
      </c>
      <c r="C292" s="1" t="s">
        <v>307</v>
      </c>
      <c r="D292" s="1" t="s">
        <v>8</v>
      </c>
      <c r="E292" s="3">
        <v>273237</v>
      </c>
      <c r="F292" s="3">
        <v>273938</v>
      </c>
      <c r="G292" s="1" t="s">
        <v>9</v>
      </c>
      <c r="H292" s="1" t="b">
        <f t="shared" si="16"/>
        <v>1</v>
      </c>
    </row>
    <row r="293" spans="1:8" ht="21" x14ac:dyDescent="0.25">
      <c r="A293" s="2" t="str">
        <f t="shared" si="17"/>
        <v>BSGatlas-operon-103</v>
      </c>
      <c r="B293" s="2" t="str">
        <f>HYPERLINK("https://rth.dk/resources/bsgatlas/details.php?id=BSGatlas-gene-323","BSGatlas-gene-323")</f>
        <v>BSGatlas-gene-323</v>
      </c>
      <c r="C293" s="1" t="s">
        <v>308</v>
      </c>
      <c r="D293" s="1" t="s">
        <v>8</v>
      </c>
      <c r="E293" s="3">
        <v>274029</v>
      </c>
      <c r="F293" s="3">
        <v>275561</v>
      </c>
      <c r="G293" s="1" t="s">
        <v>9</v>
      </c>
      <c r="H293" s="1" t="b">
        <f t="shared" si="16"/>
        <v>1</v>
      </c>
    </row>
    <row r="294" spans="1:8" ht="21" x14ac:dyDescent="0.25">
      <c r="A294" s="2" t="str">
        <f t="shared" si="17"/>
        <v>BSGatlas-operon-103</v>
      </c>
      <c r="B294" s="2" t="str">
        <f>HYPERLINK("https://rth.dk/resources/bsgatlas/details.php?id=BSGatlas-gene-324","BSGatlas-gene-324")</f>
        <v>BSGatlas-gene-324</v>
      </c>
      <c r="C294" s="1" t="s">
        <v>309</v>
      </c>
      <c r="D294" s="1" t="s">
        <v>12</v>
      </c>
      <c r="E294" s="3">
        <v>275609</v>
      </c>
      <c r="F294" s="3">
        <v>275716</v>
      </c>
      <c r="G294" s="1" t="s">
        <v>9</v>
      </c>
      <c r="H294" s="1" t="b">
        <f t="shared" si="16"/>
        <v>1</v>
      </c>
    </row>
    <row r="295" spans="1:8" ht="21" x14ac:dyDescent="0.25">
      <c r="A295" s="2" t="str">
        <f t="shared" si="17"/>
        <v>BSGatlas-operon-103</v>
      </c>
      <c r="B295" s="2" t="str">
        <f>HYPERLINK("https://rth.dk/resources/bsgatlas/details.php?id=BSGatlas-gene-325","BSGatlas-gene-325")</f>
        <v>BSGatlas-gene-325</v>
      </c>
      <c r="C295" s="1" t="s">
        <v>310</v>
      </c>
      <c r="D295" s="1" t="s">
        <v>8</v>
      </c>
      <c r="E295" s="3">
        <v>275838</v>
      </c>
      <c r="F295" s="3">
        <v>276758</v>
      </c>
      <c r="G295" s="1" t="s">
        <v>9</v>
      </c>
      <c r="H295" s="1" t="b">
        <f t="shared" si="16"/>
        <v>1</v>
      </c>
    </row>
    <row r="296" spans="1:8" ht="21" x14ac:dyDescent="0.25">
      <c r="A296" s="2" t="str">
        <f>HYPERLINK("https://rth.dk/resources/bsgatlas/details.php?id=BSGatlas-operon-104","BSGatlas-operon-104")</f>
        <v>BSGatlas-operon-104</v>
      </c>
      <c r="B296" s="2" t="str">
        <f>HYPERLINK("https://rth.dk/resources/bsgatlas/details.php?id=BSGatlas-gene-327","BSGatlas-gene-327")</f>
        <v>BSGatlas-gene-327</v>
      </c>
      <c r="C296" s="1" t="s">
        <v>311</v>
      </c>
      <c r="D296" s="1" t="s">
        <v>8</v>
      </c>
      <c r="E296" s="3">
        <v>277160</v>
      </c>
      <c r="F296" s="3">
        <v>277321</v>
      </c>
      <c r="G296" s="1" t="s">
        <v>9</v>
      </c>
      <c r="H296" s="1" t="b">
        <f t="shared" si="16"/>
        <v>0</v>
      </c>
    </row>
    <row r="297" spans="1:8" ht="21" x14ac:dyDescent="0.25">
      <c r="A297" s="2" t="str">
        <f>HYPERLINK("https://rth.dk/resources/bsgatlas/details.php?id=BSGatlas-operon-104","BSGatlas-operon-104")</f>
        <v>BSGatlas-operon-104</v>
      </c>
      <c r="B297" s="2" t="str">
        <f>HYPERLINK("https://rth.dk/resources/bsgatlas/details.php?id=BSGatlas-gene-328","BSGatlas-gene-328")</f>
        <v>BSGatlas-gene-328</v>
      </c>
      <c r="C297" s="1" t="s">
        <v>312</v>
      </c>
      <c r="D297" s="1" t="s">
        <v>8</v>
      </c>
      <c r="E297" s="3">
        <v>277342</v>
      </c>
      <c r="F297" s="3">
        <v>278280</v>
      </c>
      <c r="G297" s="1" t="s">
        <v>9</v>
      </c>
      <c r="H297" s="1" t="b">
        <f t="shared" si="16"/>
        <v>0</v>
      </c>
    </row>
    <row r="298" spans="1:8" ht="21" x14ac:dyDescent="0.25">
      <c r="A298" s="2" t="str">
        <f>HYPERLINK("https://rth.dk/resources/bsgatlas/details.php?id=BSGatlas-operon-105","BSGatlas-operon-105")</f>
        <v>BSGatlas-operon-105</v>
      </c>
      <c r="B298" s="2" t="str">
        <f>HYPERLINK("https://rth.dk/resources/bsgatlas/details.php?id=BSGatlas-gene-326","BSGatlas-gene-326")</f>
        <v>BSGatlas-gene-326</v>
      </c>
      <c r="C298" s="1" t="s">
        <v>313</v>
      </c>
      <c r="D298" s="1" t="s">
        <v>34</v>
      </c>
      <c r="E298" s="3">
        <v>276814</v>
      </c>
      <c r="F298" s="3">
        <v>277062</v>
      </c>
      <c r="G298" s="1" t="s">
        <v>9</v>
      </c>
      <c r="H298" s="1" t="b">
        <f t="shared" si="16"/>
        <v>1</v>
      </c>
    </row>
    <row r="299" spans="1:8" ht="21" x14ac:dyDescent="0.25">
      <c r="A299" s="2" t="str">
        <f>HYPERLINK("https://rth.dk/resources/bsgatlas/details.php?id=BSGatlas-operon-106","BSGatlas-operon-106")</f>
        <v>BSGatlas-operon-106</v>
      </c>
      <c r="B299" s="2" t="str">
        <f>HYPERLINK("https://rth.dk/resources/bsgatlas/details.php?id=BSGatlas-gene-329","BSGatlas-gene-329")</f>
        <v>BSGatlas-gene-329</v>
      </c>
      <c r="C299" s="1" t="s">
        <v>314</v>
      </c>
      <c r="D299" s="1" t="s">
        <v>8</v>
      </c>
      <c r="E299" s="3">
        <v>278377</v>
      </c>
      <c r="F299" s="3">
        <v>279057</v>
      </c>
      <c r="G299" s="1" t="s">
        <v>9</v>
      </c>
      <c r="H299" s="1" t="b">
        <f t="shared" si="16"/>
        <v>0</v>
      </c>
    </row>
    <row r="300" spans="1:8" ht="21" x14ac:dyDescent="0.25">
      <c r="A300" s="2" t="str">
        <f>HYPERLINK("https://rth.dk/resources/bsgatlas/details.php?id=BSGatlas-operon-106","BSGatlas-operon-106")</f>
        <v>BSGatlas-operon-106</v>
      </c>
      <c r="B300" s="2" t="str">
        <f>HYPERLINK("https://rth.dk/resources/bsgatlas/details.php?id=BSGatlas-gene-330","BSGatlas-gene-330")</f>
        <v>BSGatlas-gene-330</v>
      </c>
      <c r="C300" s="1" t="s">
        <v>315</v>
      </c>
      <c r="D300" s="1" t="s">
        <v>8</v>
      </c>
      <c r="E300" s="3">
        <v>279059</v>
      </c>
      <c r="F300" s="3">
        <v>279994</v>
      </c>
      <c r="G300" s="1" t="s">
        <v>9</v>
      </c>
      <c r="H300" s="1" t="b">
        <f t="shared" si="16"/>
        <v>0</v>
      </c>
    </row>
    <row r="301" spans="1:8" ht="21" x14ac:dyDescent="0.25">
      <c r="A301" s="2" t="str">
        <f>HYPERLINK("https://rth.dk/resources/bsgatlas/details.php?id=BSGatlas-operon-106","BSGatlas-operon-106")</f>
        <v>BSGatlas-operon-106</v>
      </c>
      <c r="B301" s="2" t="str">
        <f>HYPERLINK("https://rth.dk/resources/bsgatlas/details.php?id=BSGatlas-gene-331","BSGatlas-gene-331")</f>
        <v>BSGatlas-gene-331</v>
      </c>
      <c r="C301" s="1" t="s">
        <v>316</v>
      </c>
      <c r="D301" s="1" t="s">
        <v>8</v>
      </c>
      <c r="E301" s="3">
        <v>280086</v>
      </c>
      <c r="F301" s="3">
        <v>281009</v>
      </c>
      <c r="G301" s="1" t="s">
        <v>9</v>
      </c>
      <c r="H301" s="1" t="b">
        <f t="shared" si="16"/>
        <v>0</v>
      </c>
    </row>
    <row r="302" spans="1:8" ht="21" x14ac:dyDescent="0.25">
      <c r="A302" s="2" t="str">
        <f>HYPERLINK("https://rth.dk/resources/bsgatlas/details.php?id=BSGatlas-operon-106","BSGatlas-operon-106")</f>
        <v>BSGatlas-operon-106</v>
      </c>
      <c r="B302" s="2" t="str">
        <f>HYPERLINK("https://rth.dk/resources/bsgatlas/details.php?id=BSGatlas-gene-332","BSGatlas-gene-332")</f>
        <v>BSGatlas-gene-332</v>
      </c>
      <c r="C302" s="1" t="s">
        <v>317</v>
      </c>
      <c r="D302" s="1" t="s">
        <v>8</v>
      </c>
      <c r="E302" s="3">
        <v>281028</v>
      </c>
      <c r="F302" s="3">
        <v>281714</v>
      </c>
      <c r="G302" s="1" t="s">
        <v>9</v>
      </c>
      <c r="H302" s="1" t="b">
        <f t="shared" si="16"/>
        <v>0</v>
      </c>
    </row>
    <row r="303" spans="1:8" ht="21" x14ac:dyDescent="0.25">
      <c r="A303" s="2" t="str">
        <f>HYPERLINK("https://rth.dk/resources/bsgatlas/details.php?id=BSGatlas-operon-107","BSGatlas-operon-107")</f>
        <v>BSGatlas-operon-107</v>
      </c>
      <c r="B303" s="2" t="str">
        <f>HYPERLINK("https://rth.dk/resources/bsgatlas/details.php?id=BSGatlas-gene-333","BSGatlas-gene-333")</f>
        <v>BSGatlas-gene-333</v>
      </c>
      <c r="C303" s="1" t="s">
        <v>318</v>
      </c>
      <c r="D303" s="1" t="s">
        <v>8</v>
      </c>
      <c r="E303" s="3">
        <v>281675</v>
      </c>
      <c r="F303" s="3">
        <v>281809</v>
      </c>
      <c r="G303" s="1" t="s">
        <v>13</v>
      </c>
      <c r="H303" s="1" t="b">
        <f t="shared" si="16"/>
        <v>1</v>
      </c>
    </row>
    <row r="304" spans="1:8" ht="21" x14ac:dyDescent="0.25">
      <c r="A304" s="2" t="str">
        <f>HYPERLINK("https://rth.dk/resources/bsgatlas/details.php?id=BSGatlas-operon-108","BSGatlas-operon-108")</f>
        <v>BSGatlas-operon-108</v>
      </c>
      <c r="B304" s="2" t="str">
        <f>HYPERLINK("https://rth.dk/resources/bsgatlas/details.php?id=BSGatlas-gene-334","BSGatlas-gene-334")</f>
        <v>BSGatlas-gene-334</v>
      </c>
      <c r="C304" s="1" t="s">
        <v>319</v>
      </c>
      <c r="D304" s="1" t="s">
        <v>8</v>
      </c>
      <c r="E304" s="3">
        <v>281769</v>
      </c>
      <c r="F304" s="3">
        <v>282155</v>
      </c>
      <c r="G304" s="1" t="s">
        <v>13</v>
      </c>
      <c r="H304" s="1" t="b">
        <f t="shared" si="16"/>
        <v>0</v>
      </c>
    </row>
    <row r="305" spans="1:8" ht="21" x14ac:dyDescent="0.25">
      <c r="A305" s="2" t="str">
        <f>HYPERLINK("https://rth.dk/resources/bsgatlas/details.php?id=BSGatlas-operon-109","BSGatlas-operon-109")</f>
        <v>BSGatlas-operon-109</v>
      </c>
      <c r="B305" s="2" t="str">
        <f>HYPERLINK("https://rth.dk/resources/bsgatlas/details.php?id=BSGatlas-gene-335","BSGatlas-gene-335")</f>
        <v>BSGatlas-gene-335</v>
      </c>
      <c r="C305" s="1" t="s">
        <v>320</v>
      </c>
      <c r="D305" s="1" t="s">
        <v>8</v>
      </c>
      <c r="E305" s="3">
        <v>282469</v>
      </c>
      <c r="F305" s="3">
        <v>282897</v>
      </c>
      <c r="G305" s="1" t="s">
        <v>9</v>
      </c>
      <c r="H305" s="1" t="b">
        <f t="shared" si="16"/>
        <v>1</v>
      </c>
    </row>
    <row r="306" spans="1:8" ht="21" x14ac:dyDescent="0.25">
      <c r="A306" s="2" t="str">
        <f>HYPERLINK("https://rth.dk/resources/bsgatlas/details.php?id=BSGatlas-operon-110","BSGatlas-operon-110")</f>
        <v>BSGatlas-operon-110</v>
      </c>
      <c r="B306" s="2" t="str">
        <f>HYPERLINK("https://rth.dk/resources/bsgatlas/details.php?id=BSGatlas-gene-336","BSGatlas-gene-336")</f>
        <v>BSGatlas-gene-336</v>
      </c>
      <c r="C306" s="1" t="s">
        <v>321</v>
      </c>
      <c r="D306" s="1" t="s">
        <v>8</v>
      </c>
      <c r="E306" s="3">
        <v>283003</v>
      </c>
      <c r="F306" s="3">
        <v>283734</v>
      </c>
      <c r="G306" s="1" t="s">
        <v>9</v>
      </c>
      <c r="H306" s="1" t="b">
        <f t="shared" si="16"/>
        <v>0</v>
      </c>
    </row>
    <row r="307" spans="1:8" ht="21" x14ac:dyDescent="0.25">
      <c r="A307" s="2" t="str">
        <f>HYPERLINK("https://rth.dk/resources/bsgatlas/details.php?id=BSGatlas-operon-111","BSGatlas-operon-111")</f>
        <v>BSGatlas-operon-111</v>
      </c>
      <c r="B307" s="2" t="str">
        <f>HYPERLINK("https://rth.dk/resources/bsgatlas/details.php?id=BSGatlas-gene-338","BSGatlas-gene-338")</f>
        <v>BSGatlas-gene-338</v>
      </c>
      <c r="C307" s="1" t="s">
        <v>322</v>
      </c>
      <c r="D307" s="1" t="s">
        <v>8</v>
      </c>
      <c r="E307" s="3">
        <v>284011</v>
      </c>
      <c r="F307" s="3">
        <v>285762</v>
      </c>
      <c r="G307" s="1" t="s">
        <v>9</v>
      </c>
      <c r="H307" s="1" t="b">
        <f t="shared" si="16"/>
        <v>1</v>
      </c>
    </row>
    <row r="308" spans="1:8" ht="21" x14ac:dyDescent="0.25">
      <c r="A308" s="2" t="str">
        <f>HYPERLINK("https://rth.dk/resources/bsgatlas/details.php?id=BSGatlas-operon-111","BSGatlas-operon-111")</f>
        <v>BSGatlas-operon-111</v>
      </c>
      <c r="B308" s="2" t="str">
        <f>HYPERLINK("https://rth.dk/resources/bsgatlas/details.php?id=BSGatlas-gene-339","BSGatlas-gene-339")</f>
        <v>BSGatlas-gene-339</v>
      </c>
      <c r="C308" s="1" t="s">
        <v>323</v>
      </c>
      <c r="D308" s="1" t="s">
        <v>8</v>
      </c>
      <c r="E308" s="3">
        <v>285775</v>
      </c>
      <c r="F308" s="3">
        <v>285987</v>
      </c>
      <c r="G308" s="1" t="s">
        <v>9</v>
      </c>
      <c r="H308" s="1" t="b">
        <f t="shared" si="16"/>
        <v>1</v>
      </c>
    </row>
    <row r="309" spans="1:8" ht="21" x14ac:dyDescent="0.25">
      <c r="A309" s="2" t="str">
        <f>HYPERLINK("https://rth.dk/resources/bsgatlas/details.php?id=BSGatlas-operon-111","BSGatlas-operon-111")</f>
        <v>BSGatlas-operon-111</v>
      </c>
      <c r="B309" s="2" t="str">
        <f>HYPERLINK("https://rth.dk/resources/bsgatlas/details.php?id=BSGatlas-gene-340","BSGatlas-gene-340")</f>
        <v>BSGatlas-gene-340</v>
      </c>
      <c r="C309" s="1" t="s">
        <v>324</v>
      </c>
      <c r="D309" s="1" t="s">
        <v>8</v>
      </c>
      <c r="E309" s="3">
        <v>286048</v>
      </c>
      <c r="F309" s="3">
        <v>286776</v>
      </c>
      <c r="G309" s="1" t="s">
        <v>9</v>
      </c>
      <c r="H309" s="1" t="b">
        <f t="shared" si="16"/>
        <v>1</v>
      </c>
    </row>
    <row r="310" spans="1:8" ht="21" x14ac:dyDescent="0.25">
      <c r="A310" s="2" t="str">
        <f>HYPERLINK("https://rth.dk/resources/bsgatlas/details.php?id=BSGatlas-operon-112","BSGatlas-operon-112")</f>
        <v>BSGatlas-operon-112</v>
      </c>
      <c r="B310" s="2" t="str">
        <f>HYPERLINK("https://rth.dk/resources/bsgatlas/details.php?id=BSGatlas-gene-341","BSGatlas-gene-341")</f>
        <v>BSGatlas-gene-341</v>
      </c>
      <c r="C310" s="1" t="s">
        <v>325</v>
      </c>
      <c r="D310" s="1" t="s">
        <v>8</v>
      </c>
      <c r="E310" s="3">
        <v>286773</v>
      </c>
      <c r="F310" s="3">
        <v>287420</v>
      </c>
      <c r="G310" s="1" t="s">
        <v>13</v>
      </c>
      <c r="H310" s="1" t="b">
        <f t="shared" si="16"/>
        <v>0</v>
      </c>
    </row>
    <row r="311" spans="1:8" ht="21" x14ac:dyDescent="0.25">
      <c r="A311" s="2" t="str">
        <f>HYPERLINK("https://rth.dk/resources/bsgatlas/details.php?id=BSGatlas-operon-113","BSGatlas-operon-113")</f>
        <v>BSGatlas-operon-113</v>
      </c>
      <c r="B311" s="2" t="str">
        <f>HYPERLINK("https://rth.dk/resources/bsgatlas/details.php?id=BSGatlas-gene-342","BSGatlas-gene-342")</f>
        <v>BSGatlas-gene-342</v>
      </c>
      <c r="C311" s="1" t="s">
        <v>326</v>
      </c>
      <c r="D311" s="1" t="s">
        <v>8</v>
      </c>
      <c r="E311" s="3">
        <v>287499</v>
      </c>
      <c r="F311" s="3">
        <v>288611</v>
      </c>
      <c r="G311" s="1" t="s">
        <v>9</v>
      </c>
      <c r="H311" s="1" t="b">
        <f t="shared" si="16"/>
        <v>1</v>
      </c>
    </row>
    <row r="312" spans="1:8" ht="21" x14ac:dyDescent="0.25">
      <c r="A312" s="2" t="str">
        <f>HYPERLINK("https://rth.dk/resources/bsgatlas/details.php?id=BSGatlas-operon-114","BSGatlas-operon-114")</f>
        <v>BSGatlas-operon-114</v>
      </c>
      <c r="B312" s="2" t="str">
        <f>HYPERLINK("https://rth.dk/resources/bsgatlas/details.php?id=BSGatlas-gene-343","BSGatlas-gene-343")</f>
        <v>BSGatlas-gene-343</v>
      </c>
      <c r="C312" s="1" t="s">
        <v>327</v>
      </c>
      <c r="D312" s="1" t="s">
        <v>8</v>
      </c>
      <c r="E312" s="3">
        <v>288653</v>
      </c>
      <c r="F312" s="3">
        <v>290092</v>
      </c>
      <c r="G312" s="1" t="s">
        <v>13</v>
      </c>
      <c r="H312" s="1" t="b">
        <f t="shared" si="16"/>
        <v>0</v>
      </c>
    </row>
    <row r="313" spans="1:8" ht="21" x14ac:dyDescent="0.25">
      <c r="A313" s="2" t="str">
        <f>HYPERLINK("https://rth.dk/resources/bsgatlas/details.php?id=BSGatlas-operon-114","BSGatlas-operon-114")</f>
        <v>BSGatlas-operon-114</v>
      </c>
      <c r="B313" s="2" t="str">
        <f>HYPERLINK("https://rth.dk/resources/bsgatlas/details.php?id=BSGatlas-gene-344","BSGatlas-gene-344")</f>
        <v>BSGatlas-gene-344</v>
      </c>
      <c r="C313" s="1" t="s">
        <v>328</v>
      </c>
      <c r="D313" s="1" t="s">
        <v>8</v>
      </c>
      <c r="E313" s="3">
        <v>290132</v>
      </c>
      <c r="F313" s="3">
        <v>290698</v>
      </c>
      <c r="G313" s="1" t="s">
        <v>13</v>
      </c>
      <c r="H313" s="1" t="b">
        <f t="shared" si="16"/>
        <v>0</v>
      </c>
    </row>
    <row r="314" spans="1:8" ht="21" x14ac:dyDescent="0.25">
      <c r="A314" s="2" t="str">
        <f>HYPERLINK("https://rth.dk/resources/bsgatlas/details.php?id=BSGatlas-operon-115","BSGatlas-operon-115")</f>
        <v>BSGatlas-operon-115</v>
      </c>
      <c r="B314" s="2" t="str">
        <f>HYPERLINK("https://rth.dk/resources/bsgatlas/details.php?id=BSGatlas-gene-345","BSGatlas-gene-345")</f>
        <v>BSGatlas-gene-345</v>
      </c>
      <c r="C314" s="1" t="s">
        <v>329</v>
      </c>
      <c r="D314" s="1" t="s">
        <v>8</v>
      </c>
      <c r="E314" s="3">
        <v>290915</v>
      </c>
      <c r="F314" s="3">
        <v>292042</v>
      </c>
      <c r="G314" s="1" t="s">
        <v>9</v>
      </c>
      <c r="H314" s="1" t="b">
        <f t="shared" si="16"/>
        <v>1</v>
      </c>
    </row>
    <row r="315" spans="1:8" ht="21" x14ac:dyDescent="0.25">
      <c r="A315" s="2" t="str">
        <f>HYPERLINK("https://rth.dk/resources/bsgatlas/details.php?id=BSGatlas-operon-116","BSGatlas-operon-116")</f>
        <v>BSGatlas-operon-116</v>
      </c>
      <c r="B315" s="2" t="str">
        <f>HYPERLINK("https://rth.dk/resources/bsgatlas/details.php?id=BSGatlas-gene-346","BSGatlas-gene-346")</f>
        <v>BSGatlas-gene-346</v>
      </c>
      <c r="C315" s="1" t="s">
        <v>330</v>
      </c>
      <c r="D315" s="1" t="s">
        <v>8</v>
      </c>
      <c r="E315" s="3">
        <v>292205</v>
      </c>
      <c r="F315" s="3">
        <v>292843</v>
      </c>
      <c r="G315" s="1" t="s">
        <v>9</v>
      </c>
      <c r="H315" s="1" t="b">
        <f t="shared" si="16"/>
        <v>0</v>
      </c>
    </row>
    <row r="316" spans="1:8" ht="21" x14ac:dyDescent="0.25">
      <c r="A316" s="2" t="str">
        <f>HYPERLINK("https://rth.dk/resources/bsgatlas/details.php?id=BSGatlas-operon-117","BSGatlas-operon-117")</f>
        <v>BSGatlas-operon-117</v>
      </c>
      <c r="B316" s="2" t="str">
        <f>HYPERLINK("https://rth.dk/resources/bsgatlas/details.php?id=BSGatlas-gene-347","BSGatlas-gene-347")</f>
        <v>BSGatlas-gene-347</v>
      </c>
      <c r="C316" s="1" t="s">
        <v>331</v>
      </c>
      <c r="D316" s="1" t="s">
        <v>8</v>
      </c>
      <c r="E316" s="3">
        <v>292881</v>
      </c>
      <c r="F316" s="3">
        <v>293264</v>
      </c>
      <c r="G316" s="1" t="s">
        <v>13</v>
      </c>
      <c r="H316" s="1" t="b">
        <f t="shared" si="16"/>
        <v>1</v>
      </c>
    </row>
    <row r="317" spans="1:8" ht="21" x14ac:dyDescent="0.25">
      <c r="A317" s="2" t="str">
        <f>HYPERLINK("https://rth.dk/resources/bsgatlas/details.php?id=BSGatlas-operon-118","BSGatlas-operon-118")</f>
        <v>BSGatlas-operon-118</v>
      </c>
      <c r="B317" s="2" t="str">
        <f>HYPERLINK("https://rth.dk/resources/bsgatlas/details.php?id=BSGatlas-gene-348","BSGatlas-gene-348")</f>
        <v>BSGatlas-gene-348</v>
      </c>
      <c r="C317" s="1" t="s">
        <v>332</v>
      </c>
      <c r="D317" s="1" t="s">
        <v>8</v>
      </c>
      <c r="E317" s="3">
        <v>293499</v>
      </c>
      <c r="F317" s="3">
        <v>294575</v>
      </c>
      <c r="G317" s="1" t="s">
        <v>9</v>
      </c>
      <c r="H317" s="1" t="b">
        <f t="shared" si="16"/>
        <v>0</v>
      </c>
    </row>
    <row r="318" spans="1:8" ht="21" x14ac:dyDescent="0.25">
      <c r="A318" s="2" t="str">
        <f>HYPERLINK("https://rth.dk/resources/bsgatlas/details.php?id=BSGatlas-operon-119","BSGatlas-operon-119")</f>
        <v>BSGatlas-operon-119</v>
      </c>
      <c r="B318" s="2" t="str">
        <f>HYPERLINK("https://rth.dk/resources/bsgatlas/details.php?id=BSGatlas-gene-349","BSGatlas-gene-349")</f>
        <v>BSGatlas-gene-349</v>
      </c>
      <c r="C318" s="1" t="s">
        <v>333</v>
      </c>
      <c r="D318" s="1" t="s">
        <v>8</v>
      </c>
      <c r="E318" s="3">
        <v>294615</v>
      </c>
      <c r="F318" s="3">
        <v>295571</v>
      </c>
      <c r="G318" s="1" t="s">
        <v>13</v>
      </c>
      <c r="H318" s="1" t="b">
        <f t="shared" si="16"/>
        <v>1</v>
      </c>
    </row>
    <row r="319" spans="1:8" ht="21" x14ac:dyDescent="0.25">
      <c r="A319" s="2" t="str">
        <f>HYPERLINK("https://rth.dk/resources/bsgatlas/details.php?id=BSGatlas-operon-119","BSGatlas-operon-119")</f>
        <v>BSGatlas-operon-119</v>
      </c>
      <c r="B319" s="2" t="str">
        <f>HYPERLINK("https://rth.dk/resources/bsgatlas/details.php?id=BSGatlas-gene-350","BSGatlas-gene-350")</f>
        <v>BSGatlas-gene-350</v>
      </c>
      <c r="C319" s="1" t="s">
        <v>334</v>
      </c>
      <c r="D319" s="1" t="s">
        <v>8</v>
      </c>
      <c r="E319" s="3">
        <v>295584</v>
      </c>
      <c r="F319" s="3">
        <v>296285</v>
      </c>
      <c r="G319" s="1" t="s">
        <v>13</v>
      </c>
      <c r="H319" s="1" t="b">
        <f t="shared" si="16"/>
        <v>1</v>
      </c>
    </row>
    <row r="320" spans="1:8" ht="21" x14ac:dyDescent="0.25">
      <c r="A320" s="2" t="str">
        <f>HYPERLINK("https://rth.dk/resources/bsgatlas/details.php?id=BSGatlas-operon-120","BSGatlas-operon-120")</f>
        <v>BSGatlas-operon-120</v>
      </c>
      <c r="B320" s="2" t="str">
        <f>HYPERLINK("https://rth.dk/resources/bsgatlas/details.php?id=BSGatlas-gene-351","BSGatlas-gene-351")</f>
        <v>BSGatlas-gene-351</v>
      </c>
      <c r="C320" s="1" t="s">
        <v>335</v>
      </c>
      <c r="D320" s="1" t="s">
        <v>8</v>
      </c>
      <c r="E320" s="3">
        <v>296429</v>
      </c>
      <c r="F320" s="3">
        <v>297169</v>
      </c>
      <c r="G320" s="1" t="s">
        <v>9</v>
      </c>
      <c r="H320" s="1" t="b">
        <f t="shared" si="16"/>
        <v>0</v>
      </c>
    </row>
    <row r="321" spans="1:8" ht="21" x14ac:dyDescent="0.25">
      <c r="A321" s="2" t="str">
        <f>HYPERLINK("https://rth.dk/resources/bsgatlas/details.php?id=BSGatlas-operon-120","BSGatlas-operon-120")</f>
        <v>BSGatlas-operon-120</v>
      </c>
      <c r="B321" s="2" t="str">
        <f>HYPERLINK("https://rth.dk/resources/bsgatlas/details.php?id=BSGatlas-gene-352","BSGatlas-gene-352")</f>
        <v>BSGatlas-gene-352</v>
      </c>
      <c r="C321" s="1" t="s">
        <v>336</v>
      </c>
      <c r="D321" s="1" t="s">
        <v>8</v>
      </c>
      <c r="E321" s="3">
        <v>297170</v>
      </c>
      <c r="F321" s="3">
        <v>298330</v>
      </c>
      <c r="G321" s="1" t="s">
        <v>9</v>
      </c>
      <c r="H321" s="1" t="b">
        <f t="shared" si="16"/>
        <v>0</v>
      </c>
    </row>
    <row r="322" spans="1:8" ht="21" x14ac:dyDescent="0.25">
      <c r="A322" s="2" t="str">
        <f>HYPERLINK("https://rth.dk/resources/bsgatlas/details.php?id=BSGatlas-operon-121","BSGatlas-operon-121")</f>
        <v>BSGatlas-operon-121</v>
      </c>
      <c r="B322" s="2" t="str">
        <f>HYPERLINK("https://rth.dk/resources/bsgatlas/details.php?id=BSGatlas-gene-353","BSGatlas-gene-353")</f>
        <v>BSGatlas-gene-353</v>
      </c>
      <c r="C322" s="1" t="s">
        <v>337</v>
      </c>
      <c r="D322" s="1" t="s">
        <v>8</v>
      </c>
      <c r="E322" s="3">
        <v>298466</v>
      </c>
      <c r="F322" s="3">
        <v>299398</v>
      </c>
      <c r="G322" s="1" t="s">
        <v>9</v>
      </c>
      <c r="H322" s="1" t="b">
        <f t="shared" ref="H322:H385" si="18">_xlfn.XOR(A321&lt;&gt;A322,H321)</f>
        <v>1</v>
      </c>
    </row>
    <row r="323" spans="1:8" ht="21" x14ac:dyDescent="0.25">
      <c r="A323" s="2" t="str">
        <f>HYPERLINK("https://rth.dk/resources/bsgatlas/details.php?id=BSGatlas-operon-122","BSGatlas-operon-122")</f>
        <v>BSGatlas-operon-122</v>
      </c>
      <c r="B323" s="2" t="str">
        <f>HYPERLINK("https://rth.dk/resources/bsgatlas/details.php?id=BSGatlas-gene-354","BSGatlas-gene-354")</f>
        <v>BSGatlas-gene-354</v>
      </c>
      <c r="C323" s="1" t="s">
        <v>338</v>
      </c>
      <c r="D323" s="1" t="s">
        <v>8</v>
      </c>
      <c r="E323" s="3">
        <v>299438</v>
      </c>
      <c r="F323" s="3">
        <v>300502</v>
      </c>
      <c r="G323" s="1" t="s">
        <v>13</v>
      </c>
      <c r="H323" s="1" t="b">
        <f t="shared" si="18"/>
        <v>0</v>
      </c>
    </row>
    <row r="324" spans="1:8" ht="21" x14ac:dyDescent="0.25">
      <c r="A324" s="2" t="str">
        <f>HYPERLINK("https://rth.dk/resources/bsgatlas/details.php?id=BSGatlas-operon-123","BSGatlas-operon-123")</f>
        <v>BSGatlas-operon-123</v>
      </c>
      <c r="B324" s="2" t="str">
        <f>HYPERLINK("https://rth.dk/resources/bsgatlas/details.php?id=BSGatlas-gene-356","BSGatlas-gene-356")</f>
        <v>BSGatlas-gene-356</v>
      </c>
      <c r="C324" s="1" t="s">
        <v>318</v>
      </c>
      <c r="D324" s="1" t="s">
        <v>8</v>
      </c>
      <c r="E324" s="3">
        <v>300525</v>
      </c>
      <c r="F324" s="3">
        <v>300656</v>
      </c>
      <c r="G324" s="1" t="s">
        <v>13</v>
      </c>
      <c r="H324" s="1" t="b">
        <f t="shared" si="18"/>
        <v>1</v>
      </c>
    </row>
    <row r="325" spans="1:8" ht="21" x14ac:dyDescent="0.25">
      <c r="A325" s="2" t="str">
        <f>HYPERLINK("https://rth.dk/resources/bsgatlas/details.php?id=BSGatlas-operon-124","BSGatlas-operon-124")</f>
        <v>BSGatlas-operon-124</v>
      </c>
      <c r="B325" s="2" t="str">
        <f>HYPERLINK("https://rth.dk/resources/bsgatlas/details.php?id=BSGatlas-gene-357","BSGatlas-gene-357")</f>
        <v>BSGatlas-gene-357</v>
      </c>
      <c r="C325" s="1" t="s">
        <v>339</v>
      </c>
      <c r="D325" s="1" t="s">
        <v>8</v>
      </c>
      <c r="E325" s="3">
        <v>300830</v>
      </c>
      <c r="F325" s="3">
        <v>302248</v>
      </c>
      <c r="G325" s="1" t="s">
        <v>9</v>
      </c>
      <c r="H325" s="1" t="b">
        <f t="shared" si="18"/>
        <v>0</v>
      </c>
    </row>
    <row r="326" spans="1:8" ht="21" x14ac:dyDescent="0.25">
      <c r="A326" s="2" t="str">
        <f>HYPERLINK("https://rth.dk/resources/bsgatlas/details.php?id=BSGatlas-operon-125","BSGatlas-operon-125")</f>
        <v>BSGatlas-operon-125</v>
      </c>
      <c r="B326" s="2" t="str">
        <f>HYPERLINK("https://rth.dk/resources/bsgatlas/details.php?id=BSGatlas-gene-358","BSGatlas-gene-358")</f>
        <v>BSGatlas-gene-358</v>
      </c>
      <c r="C326" s="1" t="s">
        <v>340</v>
      </c>
      <c r="D326" s="1" t="s">
        <v>8</v>
      </c>
      <c r="E326" s="3">
        <v>302435</v>
      </c>
      <c r="F326" s="3">
        <v>303796</v>
      </c>
      <c r="G326" s="1" t="s">
        <v>9</v>
      </c>
      <c r="H326" s="1" t="b">
        <f t="shared" si="18"/>
        <v>1</v>
      </c>
    </row>
    <row r="327" spans="1:8" ht="21" x14ac:dyDescent="0.25">
      <c r="A327" s="2" t="str">
        <f>HYPERLINK("https://rth.dk/resources/bsgatlas/details.php?id=BSGatlas-operon-126","BSGatlas-operon-126")</f>
        <v>BSGatlas-operon-126</v>
      </c>
      <c r="B327" s="2" t="str">
        <f>HYPERLINK("https://rth.dk/resources/bsgatlas/details.php?id=BSGatlas-gene-359","BSGatlas-gene-359")</f>
        <v>BSGatlas-gene-359</v>
      </c>
      <c r="C327" s="1" t="s">
        <v>341</v>
      </c>
      <c r="D327" s="1" t="s">
        <v>8</v>
      </c>
      <c r="E327" s="3">
        <v>303804</v>
      </c>
      <c r="F327" s="3">
        <v>304307</v>
      </c>
      <c r="G327" s="1" t="s">
        <v>13</v>
      </c>
      <c r="H327" s="1" t="b">
        <f t="shared" si="18"/>
        <v>0</v>
      </c>
    </row>
    <row r="328" spans="1:8" ht="21" x14ac:dyDescent="0.25">
      <c r="A328" s="2" t="str">
        <f>HYPERLINK("https://rth.dk/resources/bsgatlas/details.php?id=BSGatlas-operon-127","BSGatlas-operon-127")</f>
        <v>BSGatlas-operon-127</v>
      </c>
      <c r="B328" s="2" t="str">
        <f>HYPERLINK("https://rth.dk/resources/bsgatlas/details.php?id=BSGatlas-gene-360","BSGatlas-gene-360")</f>
        <v>BSGatlas-gene-360</v>
      </c>
      <c r="C328" s="1" t="s">
        <v>342</v>
      </c>
      <c r="D328" s="1" t="s">
        <v>8</v>
      </c>
      <c r="E328" s="3">
        <v>304430</v>
      </c>
      <c r="F328" s="3">
        <v>305551</v>
      </c>
      <c r="G328" s="1" t="s">
        <v>9</v>
      </c>
      <c r="H328" s="1" t="b">
        <f t="shared" si="18"/>
        <v>1</v>
      </c>
    </row>
    <row r="329" spans="1:8" ht="21" x14ac:dyDescent="0.25">
      <c r="A329" s="2" t="str">
        <f>HYPERLINK("https://rth.dk/resources/bsgatlas/details.php?id=BSGatlas-operon-128","BSGatlas-operon-128")</f>
        <v>BSGatlas-operon-128</v>
      </c>
      <c r="B329" s="2" t="str">
        <f>HYPERLINK("https://rth.dk/resources/bsgatlas/details.php?id=BSGatlas-gene-361","BSGatlas-gene-361")</f>
        <v>BSGatlas-gene-361</v>
      </c>
      <c r="C329" s="1" t="s">
        <v>343</v>
      </c>
      <c r="D329" s="1" t="s">
        <v>8</v>
      </c>
      <c r="E329" s="3">
        <v>305658</v>
      </c>
      <c r="F329" s="3">
        <v>306434</v>
      </c>
      <c r="G329" s="1" t="s">
        <v>9</v>
      </c>
      <c r="H329" s="1" t="b">
        <f t="shared" si="18"/>
        <v>0</v>
      </c>
    </row>
    <row r="330" spans="1:8" ht="21" x14ac:dyDescent="0.25">
      <c r="A330" s="2" t="str">
        <f>HYPERLINK("https://rth.dk/resources/bsgatlas/details.php?id=BSGatlas-operon-128","BSGatlas-operon-128")</f>
        <v>BSGatlas-operon-128</v>
      </c>
      <c r="B330" s="2" t="str">
        <f>HYPERLINK("https://rth.dk/resources/bsgatlas/details.php?id=BSGatlas-gene-362","BSGatlas-gene-362")</f>
        <v>BSGatlas-gene-362</v>
      </c>
      <c r="C330" s="1" t="s">
        <v>344</v>
      </c>
      <c r="D330" s="1" t="s">
        <v>8</v>
      </c>
      <c r="E330" s="3">
        <v>306459</v>
      </c>
      <c r="F330" s="3">
        <v>308144</v>
      </c>
      <c r="G330" s="1" t="s">
        <v>9</v>
      </c>
      <c r="H330" s="1" t="b">
        <f t="shared" si="18"/>
        <v>0</v>
      </c>
    </row>
    <row r="331" spans="1:8" ht="21" x14ac:dyDescent="0.25">
      <c r="A331" s="2" t="str">
        <f>HYPERLINK("https://rth.dk/resources/bsgatlas/details.php?id=BSGatlas-operon-129","BSGatlas-operon-129")</f>
        <v>BSGatlas-operon-129</v>
      </c>
      <c r="B331" s="2" t="str">
        <f>HYPERLINK("https://rth.dk/resources/bsgatlas/details.php?id=BSGatlas-gene-363","BSGatlas-gene-363")</f>
        <v>BSGatlas-gene-363</v>
      </c>
      <c r="C331" s="1" t="s">
        <v>345</v>
      </c>
      <c r="D331" s="1" t="s">
        <v>8</v>
      </c>
      <c r="E331" s="3">
        <v>308332</v>
      </c>
      <c r="F331" s="3">
        <v>309291</v>
      </c>
      <c r="G331" s="1" t="s">
        <v>9</v>
      </c>
      <c r="H331" s="1" t="b">
        <f t="shared" si="18"/>
        <v>1</v>
      </c>
    </row>
    <row r="332" spans="1:8" ht="21" x14ac:dyDescent="0.25">
      <c r="A332" s="2" t="str">
        <f>HYPERLINK("https://rth.dk/resources/bsgatlas/details.php?id=BSGatlas-operon-129","BSGatlas-operon-129")</f>
        <v>BSGatlas-operon-129</v>
      </c>
      <c r="B332" s="2" t="str">
        <f>HYPERLINK("https://rth.dk/resources/bsgatlas/details.php?id=BSGatlas-gene-364","BSGatlas-gene-364")</f>
        <v>BSGatlas-gene-364</v>
      </c>
      <c r="C332" s="1" t="s">
        <v>346</v>
      </c>
      <c r="D332" s="1" t="s">
        <v>8</v>
      </c>
      <c r="E332" s="3">
        <v>309347</v>
      </c>
      <c r="F332" s="3">
        <v>310042</v>
      </c>
      <c r="G332" s="1" t="s">
        <v>9</v>
      </c>
      <c r="H332" s="1" t="b">
        <f t="shared" si="18"/>
        <v>1</v>
      </c>
    </row>
    <row r="333" spans="1:8" ht="21" x14ac:dyDescent="0.25">
      <c r="A333" s="2" t="str">
        <f>HYPERLINK("https://rth.dk/resources/bsgatlas/details.php?id=BSGatlas-operon-129","BSGatlas-operon-129")</f>
        <v>BSGatlas-operon-129</v>
      </c>
      <c r="B333" s="2" t="str">
        <f>HYPERLINK("https://rth.dk/resources/bsgatlas/details.php?id=BSGatlas-gene-365","BSGatlas-gene-365")</f>
        <v>BSGatlas-gene-365</v>
      </c>
      <c r="C333" s="1" t="s">
        <v>347</v>
      </c>
      <c r="D333" s="1" t="s">
        <v>8</v>
      </c>
      <c r="E333" s="3">
        <v>310000</v>
      </c>
      <c r="F333" s="3">
        <v>310842</v>
      </c>
      <c r="G333" s="1" t="s">
        <v>9</v>
      </c>
      <c r="H333" s="1" t="b">
        <f t="shared" si="18"/>
        <v>1</v>
      </c>
    </row>
    <row r="334" spans="1:8" ht="21" x14ac:dyDescent="0.25">
      <c r="A334" s="2" t="str">
        <f>HYPERLINK("https://rth.dk/resources/bsgatlas/details.php?id=BSGatlas-operon-130","BSGatlas-operon-130")</f>
        <v>BSGatlas-operon-130</v>
      </c>
      <c r="B334" s="2" t="str">
        <f>HYPERLINK("https://rth.dk/resources/bsgatlas/details.php?id=BSGatlas-gene-366","BSGatlas-gene-366")</f>
        <v>BSGatlas-gene-366</v>
      </c>
      <c r="C334" s="1" t="s">
        <v>348</v>
      </c>
      <c r="D334" s="1" t="s">
        <v>8</v>
      </c>
      <c r="E334" s="3">
        <v>310880</v>
      </c>
      <c r="F334" s="3">
        <v>311875</v>
      </c>
      <c r="G334" s="1" t="s">
        <v>13</v>
      </c>
      <c r="H334" s="1" t="b">
        <f t="shared" si="18"/>
        <v>0</v>
      </c>
    </row>
    <row r="335" spans="1:8" ht="21" x14ac:dyDescent="0.25">
      <c r="A335" s="2" t="str">
        <f t="shared" ref="A335:A340" si="19">HYPERLINK("https://rth.dk/resources/bsgatlas/details.php?id=BSGatlas-operon-131","BSGatlas-operon-131")</f>
        <v>BSGatlas-operon-131</v>
      </c>
      <c r="B335" s="2" t="str">
        <f>HYPERLINK("https://rth.dk/resources/bsgatlas/details.php?id=BSGatlas-gene-367","BSGatlas-gene-367")</f>
        <v>BSGatlas-gene-367</v>
      </c>
      <c r="C335" s="1" t="s">
        <v>349</v>
      </c>
      <c r="D335" s="1" t="s">
        <v>8</v>
      </c>
      <c r="E335" s="3">
        <v>312159</v>
      </c>
      <c r="F335" s="3">
        <v>312758</v>
      </c>
      <c r="G335" s="1" t="s">
        <v>9</v>
      </c>
      <c r="H335" s="1" t="b">
        <f t="shared" si="18"/>
        <v>1</v>
      </c>
    </row>
    <row r="336" spans="1:8" ht="21" x14ac:dyDescent="0.25">
      <c r="A336" s="2" t="str">
        <f t="shared" si="19"/>
        <v>BSGatlas-operon-131</v>
      </c>
      <c r="B336" s="2" t="str">
        <f>HYPERLINK("https://rth.dk/resources/bsgatlas/details.php?id=BSGatlas-gene-368","BSGatlas-gene-368")</f>
        <v>BSGatlas-gene-368</v>
      </c>
      <c r="C336" s="1" t="s">
        <v>350</v>
      </c>
      <c r="D336" s="1" t="s">
        <v>8</v>
      </c>
      <c r="E336" s="3">
        <v>312780</v>
      </c>
      <c r="F336" s="3">
        <v>313361</v>
      </c>
      <c r="G336" s="1" t="s">
        <v>9</v>
      </c>
      <c r="H336" s="1" t="b">
        <f t="shared" si="18"/>
        <v>1</v>
      </c>
    </row>
    <row r="337" spans="1:8" ht="21" x14ac:dyDescent="0.25">
      <c r="A337" s="2" t="str">
        <f t="shared" si="19"/>
        <v>BSGatlas-operon-131</v>
      </c>
      <c r="B337" s="2" t="str">
        <f>HYPERLINK("https://rth.dk/resources/bsgatlas/details.php?id=BSGatlas-gene-369","BSGatlas-gene-369")</f>
        <v>BSGatlas-gene-369</v>
      </c>
      <c r="C337" s="1" t="s">
        <v>351</v>
      </c>
      <c r="D337" s="1" t="s">
        <v>8</v>
      </c>
      <c r="E337" s="3">
        <v>313396</v>
      </c>
      <c r="F337" s="3">
        <v>313974</v>
      </c>
      <c r="G337" s="1" t="s">
        <v>9</v>
      </c>
      <c r="H337" s="1" t="b">
        <f t="shared" si="18"/>
        <v>1</v>
      </c>
    </row>
    <row r="338" spans="1:8" ht="21" x14ac:dyDescent="0.25">
      <c r="A338" s="2" t="str">
        <f t="shared" si="19"/>
        <v>BSGatlas-operon-131</v>
      </c>
      <c r="B338" s="2" t="str">
        <f>HYPERLINK("https://rth.dk/resources/bsgatlas/details.php?id=BSGatlas-gene-370","BSGatlas-gene-370")</f>
        <v>BSGatlas-gene-370</v>
      </c>
      <c r="C338" s="1" t="s">
        <v>352</v>
      </c>
      <c r="D338" s="1" t="s">
        <v>8</v>
      </c>
      <c r="E338" s="3">
        <v>314025</v>
      </c>
      <c r="F338" s="3">
        <v>314798</v>
      </c>
      <c r="G338" s="1" t="s">
        <v>9</v>
      </c>
      <c r="H338" s="1" t="b">
        <f t="shared" si="18"/>
        <v>1</v>
      </c>
    </row>
    <row r="339" spans="1:8" ht="21" x14ac:dyDescent="0.25">
      <c r="A339" s="2" t="str">
        <f t="shared" si="19"/>
        <v>BSGatlas-operon-131</v>
      </c>
      <c r="B339" s="2" t="str">
        <f>HYPERLINK("https://rth.dk/resources/bsgatlas/details.php?id=BSGatlas-gene-371","BSGatlas-gene-371")</f>
        <v>BSGatlas-gene-371</v>
      </c>
      <c r="C339" s="1" t="s">
        <v>353</v>
      </c>
      <c r="D339" s="1" t="s">
        <v>8</v>
      </c>
      <c r="E339" s="3">
        <v>314883</v>
      </c>
      <c r="F339" s="3">
        <v>316496</v>
      </c>
      <c r="G339" s="1" t="s">
        <v>9</v>
      </c>
      <c r="H339" s="1" t="b">
        <f t="shared" si="18"/>
        <v>1</v>
      </c>
    </row>
    <row r="340" spans="1:8" ht="21" x14ac:dyDescent="0.25">
      <c r="A340" s="2" t="str">
        <f t="shared" si="19"/>
        <v>BSGatlas-operon-131</v>
      </c>
      <c r="B340" s="2" t="str">
        <f>HYPERLINK("https://rth.dk/resources/bsgatlas/details.php?id=BSGatlas-gene-372","BSGatlas-gene-372")</f>
        <v>BSGatlas-gene-372</v>
      </c>
      <c r="C340" s="1" t="s">
        <v>354</v>
      </c>
      <c r="D340" s="1" t="s">
        <v>8</v>
      </c>
      <c r="E340" s="3">
        <v>316512</v>
      </c>
      <c r="F340" s="3">
        <v>317603</v>
      </c>
      <c r="G340" s="1" t="s">
        <v>9</v>
      </c>
      <c r="H340" s="1" t="b">
        <f t="shared" si="18"/>
        <v>1</v>
      </c>
    </row>
    <row r="341" spans="1:8" ht="21" x14ac:dyDescent="0.25">
      <c r="A341" s="2" t="str">
        <f>HYPERLINK("https://rth.dk/resources/bsgatlas/details.php?id=BSGatlas-operon-132","BSGatlas-operon-132")</f>
        <v>BSGatlas-operon-132</v>
      </c>
      <c r="B341" s="2" t="str">
        <f>HYPERLINK("https://rth.dk/resources/bsgatlas/details.php?id=BSGatlas-gene-373","BSGatlas-gene-373")</f>
        <v>BSGatlas-gene-373</v>
      </c>
      <c r="C341" s="1" t="s">
        <v>355</v>
      </c>
      <c r="D341" s="1" t="s">
        <v>8</v>
      </c>
      <c r="E341" s="3">
        <v>317725</v>
      </c>
      <c r="F341" s="3">
        <v>318927</v>
      </c>
      <c r="G341" s="1" t="s">
        <v>9</v>
      </c>
      <c r="H341" s="1" t="b">
        <f t="shared" si="18"/>
        <v>0</v>
      </c>
    </row>
    <row r="342" spans="1:8" ht="21" x14ac:dyDescent="0.25">
      <c r="A342" s="2" t="str">
        <f>HYPERLINK("https://rth.dk/resources/bsgatlas/details.php?id=BSGatlas-operon-133","BSGatlas-operon-133")</f>
        <v>BSGatlas-operon-133</v>
      </c>
      <c r="B342" s="2" t="str">
        <f>HYPERLINK("https://rth.dk/resources/bsgatlas/details.php?id=BSGatlas-gene-375","BSGatlas-gene-375")</f>
        <v>BSGatlas-gene-375</v>
      </c>
      <c r="C342" s="1" t="s">
        <v>356</v>
      </c>
      <c r="D342" s="1" t="s">
        <v>8</v>
      </c>
      <c r="E342" s="3">
        <v>319180</v>
      </c>
      <c r="F342" s="3">
        <v>320352</v>
      </c>
      <c r="G342" s="1" t="s">
        <v>13</v>
      </c>
      <c r="H342" s="1" t="b">
        <f t="shared" si="18"/>
        <v>1</v>
      </c>
    </row>
    <row r="343" spans="1:8" ht="21" x14ac:dyDescent="0.25">
      <c r="A343" s="2" t="str">
        <f>HYPERLINK("https://rth.dk/resources/bsgatlas/details.php?id=BSGatlas-operon-134","BSGatlas-operon-134")</f>
        <v>BSGatlas-operon-134</v>
      </c>
      <c r="B343" s="2" t="str">
        <f>HYPERLINK("https://rth.dk/resources/bsgatlas/details.php?id=BSGatlas-gene-376","BSGatlas-gene-376")</f>
        <v>BSGatlas-gene-376</v>
      </c>
      <c r="C343" s="1" t="s">
        <v>357</v>
      </c>
      <c r="D343" s="1" t="s">
        <v>8</v>
      </c>
      <c r="E343" s="3">
        <v>320421</v>
      </c>
      <c r="F343" s="3">
        <v>320723</v>
      </c>
      <c r="G343" s="1" t="s">
        <v>13</v>
      </c>
      <c r="H343" s="1" t="b">
        <f t="shared" si="18"/>
        <v>0</v>
      </c>
    </row>
    <row r="344" spans="1:8" ht="21" x14ac:dyDescent="0.25">
      <c r="A344" s="2" t="str">
        <f>HYPERLINK("https://rth.dk/resources/bsgatlas/details.php?id=BSGatlas-operon-135","BSGatlas-operon-135")</f>
        <v>BSGatlas-operon-135</v>
      </c>
      <c r="B344" s="2" t="str">
        <f>HYPERLINK("https://rth.dk/resources/bsgatlas/details.php?id=BSGatlas-gene-377","BSGatlas-gene-377")</f>
        <v>BSGatlas-gene-377</v>
      </c>
      <c r="C344" s="1" t="s">
        <v>358</v>
      </c>
      <c r="D344" s="1" t="s">
        <v>8</v>
      </c>
      <c r="E344" s="3">
        <v>321013</v>
      </c>
      <c r="F344" s="3">
        <v>322269</v>
      </c>
      <c r="G344" s="1" t="s">
        <v>9</v>
      </c>
      <c r="H344" s="1" t="b">
        <f t="shared" si="18"/>
        <v>1</v>
      </c>
    </row>
    <row r="345" spans="1:8" ht="21" x14ac:dyDescent="0.25">
      <c r="A345" s="2" t="str">
        <f>HYPERLINK("https://rth.dk/resources/bsgatlas/details.php?id=BSGatlas-operon-135","BSGatlas-operon-135")</f>
        <v>BSGatlas-operon-135</v>
      </c>
      <c r="B345" s="2" t="str">
        <f>HYPERLINK("https://rth.dk/resources/bsgatlas/details.php?id=BSGatlas-gene-378","BSGatlas-gene-378")</f>
        <v>BSGatlas-gene-378</v>
      </c>
      <c r="C345" s="1" t="s">
        <v>359</v>
      </c>
      <c r="D345" s="1" t="s">
        <v>8</v>
      </c>
      <c r="E345" s="3">
        <v>322271</v>
      </c>
      <c r="F345" s="3">
        <v>323119</v>
      </c>
      <c r="G345" s="1" t="s">
        <v>9</v>
      </c>
      <c r="H345" s="1" t="b">
        <f t="shared" si="18"/>
        <v>1</v>
      </c>
    </row>
    <row r="346" spans="1:8" ht="21" x14ac:dyDescent="0.25">
      <c r="A346" s="2" t="str">
        <f>HYPERLINK("https://rth.dk/resources/bsgatlas/details.php?id=BSGatlas-operon-135","BSGatlas-operon-135")</f>
        <v>BSGatlas-operon-135</v>
      </c>
      <c r="B346" s="2" t="str">
        <f>HYPERLINK("https://rth.dk/resources/bsgatlas/details.php?id=BSGatlas-gene-379","BSGatlas-gene-379")</f>
        <v>BSGatlas-gene-379</v>
      </c>
      <c r="C346" s="1" t="s">
        <v>360</v>
      </c>
      <c r="D346" s="1" t="s">
        <v>8</v>
      </c>
      <c r="E346" s="3">
        <v>323119</v>
      </c>
      <c r="F346" s="3">
        <v>324000</v>
      </c>
      <c r="G346" s="1" t="s">
        <v>9</v>
      </c>
      <c r="H346" s="1" t="b">
        <f t="shared" si="18"/>
        <v>1</v>
      </c>
    </row>
    <row r="347" spans="1:8" ht="21" x14ac:dyDescent="0.25">
      <c r="A347" s="2" t="str">
        <f>HYPERLINK("https://rth.dk/resources/bsgatlas/details.php?id=BSGatlas-operon-136","BSGatlas-operon-136")</f>
        <v>BSGatlas-operon-136</v>
      </c>
      <c r="B347" s="2" t="str">
        <f>HYPERLINK("https://rth.dk/resources/bsgatlas/details.php?id=BSGatlas-gene-380","BSGatlas-gene-380")</f>
        <v>BSGatlas-gene-380</v>
      </c>
      <c r="C347" s="1" t="s">
        <v>361</v>
      </c>
      <c r="D347" s="1" t="s">
        <v>8</v>
      </c>
      <c r="E347" s="3">
        <v>324038</v>
      </c>
      <c r="F347" s="3">
        <v>325189</v>
      </c>
      <c r="G347" s="1" t="s">
        <v>13</v>
      </c>
      <c r="H347" s="1" t="b">
        <f t="shared" si="18"/>
        <v>0</v>
      </c>
    </row>
    <row r="348" spans="1:8" ht="21" x14ac:dyDescent="0.25">
      <c r="A348" s="2" t="str">
        <f>HYPERLINK("https://rth.dk/resources/bsgatlas/details.php?id=BSGatlas-operon-137","BSGatlas-operon-137")</f>
        <v>BSGatlas-operon-137</v>
      </c>
      <c r="B348" s="2" t="str">
        <f>HYPERLINK("https://rth.dk/resources/bsgatlas/details.php?id=BSGatlas-gene-381","BSGatlas-gene-381")</f>
        <v>BSGatlas-gene-381</v>
      </c>
      <c r="C348" s="1" t="s">
        <v>362</v>
      </c>
      <c r="D348" s="1" t="s">
        <v>8</v>
      </c>
      <c r="E348" s="3">
        <v>325339</v>
      </c>
      <c r="F348" s="3">
        <v>326772</v>
      </c>
      <c r="G348" s="1" t="s">
        <v>9</v>
      </c>
      <c r="H348" s="1" t="b">
        <f t="shared" si="18"/>
        <v>1</v>
      </c>
    </row>
    <row r="349" spans="1:8" ht="21" x14ac:dyDescent="0.25">
      <c r="A349" s="2" t="str">
        <f>HYPERLINK("https://rth.dk/resources/bsgatlas/details.php?id=BSGatlas-operon-138","BSGatlas-operon-138")</f>
        <v>BSGatlas-operon-138</v>
      </c>
      <c r="B349" s="2" t="str">
        <f>HYPERLINK("https://rth.dk/resources/bsgatlas/details.php?id=BSGatlas-gene-382","BSGatlas-gene-382")</f>
        <v>BSGatlas-gene-382</v>
      </c>
      <c r="C349" s="1" t="s">
        <v>363</v>
      </c>
      <c r="D349" s="1" t="s">
        <v>8</v>
      </c>
      <c r="E349" s="3">
        <v>326888</v>
      </c>
      <c r="F349" s="3">
        <v>327469</v>
      </c>
      <c r="G349" s="1" t="s">
        <v>9</v>
      </c>
      <c r="H349" s="1" t="b">
        <f t="shared" si="18"/>
        <v>0</v>
      </c>
    </row>
    <row r="350" spans="1:8" ht="21" x14ac:dyDescent="0.25">
      <c r="A350" s="2" t="str">
        <f>HYPERLINK("https://rth.dk/resources/bsgatlas/details.php?id=BSGatlas-operon-138","BSGatlas-operon-138")</f>
        <v>BSGatlas-operon-138</v>
      </c>
      <c r="B350" s="2" t="str">
        <f>HYPERLINK("https://rth.dk/resources/bsgatlas/details.php?id=BSGatlas-gene-383","BSGatlas-gene-383")</f>
        <v>BSGatlas-gene-383</v>
      </c>
      <c r="C350" s="1" t="s">
        <v>364</v>
      </c>
      <c r="D350" s="1" t="s">
        <v>8</v>
      </c>
      <c r="E350" s="3">
        <v>327618</v>
      </c>
      <c r="F350" s="3">
        <v>329597</v>
      </c>
      <c r="G350" s="1" t="s">
        <v>9</v>
      </c>
      <c r="H350" s="1" t="b">
        <f t="shared" si="18"/>
        <v>0</v>
      </c>
    </row>
    <row r="351" spans="1:8" ht="21" x14ac:dyDescent="0.25">
      <c r="A351" s="2" t="str">
        <f>HYPERLINK("https://rth.dk/resources/bsgatlas/details.php?id=BSGatlas-operon-139","BSGatlas-operon-139")</f>
        <v>BSGatlas-operon-139</v>
      </c>
      <c r="B351" s="2" t="str">
        <f>HYPERLINK("https://rth.dk/resources/bsgatlas/details.php?id=BSGatlas-gene-384","BSGatlas-gene-384")</f>
        <v>BSGatlas-gene-384</v>
      </c>
      <c r="C351" s="1" t="s">
        <v>365</v>
      </c>
      <c r="D351" s="1" t="s">
        <v>8</v>
      </c>
      <c r="E351" s="3">
        <v>329774</v>
      </c>
      <c r="F351" s="3">
        <v>330739</v>
      </c>
      <c r="G351" s="1" t="s">
        <v>9</v>
      </c>
      <c r="H351" s="1" t="b">
        <f t="shared" si="18"/>
        <v>1</v>
      </c>
    </row>
    <row r="352" spans="1:8" ht="21" x14ac:dyDescent="0.25">
      <c r="A352" s="2" t="str">
        <f>HYPERLINK("https://rth.dk/resources/bsgatlas/details.php?id=BSGatlas-operon-139","BSGatlas-operon-139")</f>
        <v>BSGatlas-operon-139</v>
      </c>
      <c r="B352" s="2" t="str">
        <f>HYPERLINK("https://rth.dk/resources/bsgatlas/details.php?id=BSGatlas-gene-385","BSGatlas-gene-385")</f>
        <v>BSGatlas-gene-385</v>
      </c>
      <c r="C352" s="1" t="s">
        <v>366</v>
      </c>
      <c r="D352" s="1" t="s">
        <v>8</v>
      </c>
      <c r="E352" s="3">
        <v>330771</v>
      </c>
      <c r="F352" s="3">
        <v>332396</v>
      </c>
      <c r="G352" s="1" t="s">
        <v>9</v>
      </c>
      <c r="H352" s="1" t="b">
        <f t="shared" si="18"/>
        <v>1</v>
      </c>
    </row>
    <row r="353" spans="1:8" ht="21" x14ac:dyDescent="0.25">
      <c r="A353" s="2" t="str">
        <f>HYPERLINK("https://rth.dk/resources/bsgatlas/details.php?id=BSGatlas-operon-140","BSGatlas-operon-140")</f>
        <v>BSGatlas-operon-140</v>
      </c>
      <c r="B353" s="2" t="str">
        <f>HYPERLINK("https://rth.dk/resources/bsgatlas/details.php?id=BSGatlas-gene-386","BSGatlas-gene-386")</f>
        <v>BSGatlas-gene-386</v>
      </c>
      <c r="C353" s="1" t="s">
        <v>367</v>
      </c>
      <c r="D353" s="1" t="s">
        <v>8</v>
      </c>
      <c r="E353" s="3">
        <v>332441</v>
      </c>
      <c r="F353" s="3">
        <v>333979</v>
      </c>
      <c r="G353" s="1" t="s">
        <v>13</v>
      </c>
      <c r="H353" s="1" t="b">
        <f t="shared" si="18"/>
        <v>0</v>
      </c>
    </row>
    <row r="354" spans="1:8" ht="21" x14ac:dyDescent="0.25">
      <c r="A354" s="2" t="str">
        <f>HYPERLINK("https://rth.dk/resources/bsgatlas/details.php?id=BSGatlas-operon-141","BSGatlas-operon-141")</f>
        <v>BSGatlas-operon-141</v>
      </c>
      <c r="B354" s="2" t="str">
        <f>HYPERLINK("https://rth.dk/resources/bsgatlas/details.php?id=BSGatlas-gene-387","BSGatlas-gene-387")</f>
        <v>BSGatlas-gene-387</v>
      </c>
      <c r="C354" s="1" t="s">
        <v>368</v>
      </c>
      <c r="D354" s="1" t="s">
        <v>8</v>
      </c>
      <c r="E354" s="3">
        <v>334092</v>
      </c>
      <c r="F354" s="3">
        <v>334556</v>
      </c>
      <c r="G354" s="1" t="s">
        <v>9</v>
      </c>
      <c r="H354" s="1" t="b">
        <f t="shared" si="18"/>
        <v>1</v>
      </c>
    </row>
    <row r="355" spans="1:8" ht="21" x14ac:dyDescent="0.25">
      <c r="A355" s="2" t="str">
        <f>HYPERLINK("https://rth.dk/resources/bsgatlas/details.php?id=BSGatlas-operon-141","BSGatlas-operon-141")</f>
        <v>BSGatlas-operon-141</v>
      </c>
      <c r="B355" s="2" t="str">
        <f>HYPERLINK("https://rth.dk/resources/bsgatlas/details.php?id=BSGatlas-gene-388","BSGatlas-gene-388")</f>
        <v>BSGatlas-gene-388</v>
      </c>
      <c r="C355" s="1" t="s">
        <v>369</v>
      </c>
      <c r="D355" s="1" t="s">
        <v>8</v>
      </c>
      <c r="E355" s="3">
        <v>334630</v>
      </c>
      <c r="F355" s="3">
        <v>335259</v>
      </c>
      <c r="G355" s="1" t="s">
        <v>9</v>
      </c>
      <c r="H355" s="1" t="b">
        <f t="shared" si="18"/>
        <v>1</v>
      </c>
    </row>
    <row r="356" spans="1:8" ht="21" x14ac:dyDescent="0.25">
      <c r="A356" s="2" t="str">
        <f>HYPERLINK("https://rth.dk/resources/bsgatlas/details.php?id=BSGatlas-operon-141","BSGatlas-operon-141")</f>
        <v>BSGatlas-operon-141</v>
      </c>
      <c r="B356" s="2" t="str">
        <f>HYPERLINK("https://rth.dk/resources/bsgatlas/details.php?id=BSGatlas-gene-389","BSGatlas-gene-389")</f>
        <v>BSGatlas-gene-389</v>
      </c>
      <c r="C356" s="1" t="s">
        <v>370</v>
      </c>
      <c r="D356" s="1" t="s">
        <v>8</v>
      </c>
      <c r="E356" s="3">
        <v>335329</v>
      </c>
      <c r="F356" s="3">
        <v>336090</v>
      </c>
      <c r="G356" s="1" t="s">
        <v>9</v>
      </c>
      <c r="H356" s="1" t="b">
        <f t="shared" si="18"/>
        <v>1</v>
      </c>
    </row>
    <row r="357" spans="1:8" ht="21" x14ac:dyDescent="0.25">
      <c r="A357" s="2" t="str">
        <f>HYPERLINK("https://rth.dk/resources/bsgatlas/details.php?id=BSGatlas-operon-142","BSGatlas-operon-142")</f>
        <v>BSGatlas-operon-142</v>
      </c>
      <c r="B357" s="2" t="str">
        <f>HYPERLINK("https://rth.dk/resources/bsgatlas/details.php?id=BSGatlas-gene-390","BSGatlas-gene-390")</f>
        <v>BSGatlas-gene-390</v>
      </c>
      <c r="C357" s="1" t="s">
        <v>371</v>
      </c>
      <c r="D357" s="1" t="s">
        <v>8</v>
      </c>
      <c r="E357" s="3">
        <v>336092</v>
      </c>
      <c r="F357" s="3">
        <v>337432</v>
      </c>
      <c r="G357" s="1" t="s">
        <v>13</v>
      </c>
      <c r="H357" s="1" t="b">
        <f t="shared" si="18"/>
        <v>0</v>
      </c>
    </row>
    <row r="358" spans="1:8" ht="21" x14ac:dyDescent="0.25">
      <c r="A358" s="2" t="str">
        <f>HYPERLINK("https://rth.dk/resources/bsgatlas/details.php?id=BSGatlas-operon-143","BSGatlas-operon-143")</f>
        <v>BSGatlas-operon-143</v>
      </c>
      <c r="B358" s="2" t="str">
        <f>HYPERLINK("https://rth.dk/resources/bsgatlas/details.php?id=BSGatlas-gene-391","BSGatlas-gene-391")</f>
        <v>BSGatlas-gene-391</v>
      </c>
      <c r="C358" s="1" t="s">
        <v>372</v>
      </c>
      <c r="D358" s="1" t="s">
        <v>8</v>
      </c>
      <c r="E358" s="3">
        <v>337562</v>
      </c>
      <c r="F358" s="3">
        <v>338158</v>
      </c>
      <c r="G358" s="1" t="s">
        <v>9</v>
      </c>
      <c r="H358" s="1" t="b">
        <f t="shared" si="18"/>
        <v>1</v>
      </c>
    </row>
    <row r="359" spans="1:8" ht="21" x14ac:dyDescent="0.25">
      <c r="A359" s="2" t="str">
        <f>HYPERLINK("https://rth.dk/resources/bsgatlas/details.php?id=BSGatlas-operon-144","BSGatlas-operon-144")</f>
        <v>BSGatlas-operon-144</v>
      </c>
      <c r="B359" s="2" t="str">
        <f>HYPERLINK("https://rth.dk/resources/bsgatlas/details.php?id=BSGatlas-gene-392","BSGatlas-gene-392")</f>
        <v>BSGatlas-gene-392</v>
      </c>
      <c r="C359" s="1" t="s">
        <v>373</v>
      </c>
      <c r="D359" s="1" t="s">
        <v>8</v>
      </c>
      <c r="E359" s="3">
        <v>338288</v>
      </c>
      <c r="F359" s="3">
        <v>339106</v>
      </c>
      <c r="G359" s="1" t="s">
        <v>9</v>
      </c>
      <c r="H359" s="1" t="b">
        <f t="shared" si="18"/>
        <v>0</v>
      </c>
    </row>
    <row r="360" spans="1:8" ht="21" x14ac:dyDescent="0.25">
      <c r="A360" s="2" t="str">
        <f>HYPERLINK("https://rth.dk/resources/bsgatlas/details.php?id=BSGatlas-operon-145","BSGatlas-operon-145")</f>
        <v>BSGatlas-operon-145</v>
      </c>
      <c r="B360" s="2" t="str">
        <f>HYPERLINK("https://rth.dk/resources/bsgatlas/details.php?id=BSGatlas-gene-393","BSGatlas-gene-393")</f>
        <v>BSGatlas-gene-393</v>
      </c>
      <c r="C360" s="1" t="s">
        <v>374</v>
      </c>
      <c r="D360" s="1" t="s">
        <v>8</v>
      </c>
      <c r="E360" s="3">
        <v>339156</v>
      </c>
      <c r="F360" s="3">
        <v>339749</v>
      </c>
      <c r="G360" s="1" t="s">
        <v>13</v>
      </c>
      <c r="H360" s="1" t="b">
        <f t="shared" si="18"/>
        <v>1</v>
      </c>
    </row>
    <row r="361" spans="1:8" ht="21" x14ac:dyDescent="0.25">
      <c r="A361" s="2" t="str">
        <f>HYPERLINK("https://rth.dk/resources/bsgatlas/details.php?id=BSGatlas-operon-146","BSGatlas-operon-146")</f>
        <v>BSGatlas-operon-146</v>
      </c>
      <c r="B361" s="2" t="str">
        <f>HYPERLINK("https://rth.dk/resources/bsgatlas/details.php?id=BSGatlas-gene-394","BSGatlas-gene-394")</f>
        <v>BSGatlas-gene-394</v>
      </c>
      <c r="C361" s="1" t="s">
        <v>375</v>
      </c>
      <c r="D361" s="1" t="s">
        <v>12</v>
      </c>
      <c r="E361" s="3">
        <v>339807</v>
      </c>
      <c r="F361" s="3">
        <v>339955</v>
      </c>
      <c r="G361" s="1" t="s">
        <v>13</v>
      </c>
      <c r="H361" s="1" t="b">
        <f t="shared" si="18"/>
        <v>0</v>
      </c>
    </row>
    <row r="362" spans="1:8" ht="21" x14ac:dyDescent="0.25">
      <c r="A362" s="2" t="str">
        <f>HYPERLINK("https://rth.dk/resources/bsgatlas/details.php?id=BSGatlas-operon-147","BSGatlas-operon-147")</f>
        <v>BSGatlas-operon-147</v>
      </c>
      <c r="B362" s="2" t="str">
        <f>HYPERLINK("https://rth.dk/resources/bsgatlas/details.php?id=BSGatlas-gene-395","BSGatlas-gene-395")</f>
        <v>BSGatlas-gene-395</v>
      </c>
      <c r="C362" s="1" t="s">
        <v>376</v>
      </c>
      <c r="D362" s="1" t="s">
        <v>8</v>
      </c>
      <c r="E362" s="3">
        <v>340025</v>
      </c>
      <c r="F362" s="3">
        <v>340585</v>
      </c>
      <c r="G362" s="1" t="s">
        <v>9</v>
      </c>
      <c r="H362" s="1" t="b">
        <f t="shared" si="18"/>
        <v>1</v>
      </c>
    </row>
    <row r="363" spans="1:8" ht="21" x14ac:dyDescent="0.25">
      <c r="A363" s="2" t="str">
        <f>HYPERLINK("https://rth.dk/resources/bsgatlas/details.php?id=BSGatlas-operon-148","BSGatlas-operon-148")</f>
        <v>BSGatlas-operon-148</v>
      </c>
      <c r="B363" s="2" t="str">
        <f>HYPERLINK("https://rth.dk/resources/bsgatlas/details.php?id=BSGatlas-gene-396","BSGatlas-gene-396")</f>
        <v>BSGatlas-gene-396</v>
      </c>
      <c r="C363" s="1" t="s">
        <v>377</v>
      </c>
      <c r="D363" s="1" t="s">
        <v>8</v>
      </c>
      <c r="E363" s="3">
        <v>340613</v>
      </c>
      <c r="F363" s="3">
        <v>341374</v>
      </c>
      <c r="G363" s="1" t="s">
        <v>13</v>
      </c>
      <c r="H363" s="1" t="b">
        <f t="shared" si="18"/>
        <v>0</v>
      </c>
    </row>
    <row r="364" spans="1:8" ht="21" x14ac:dyDescent="0.25">
      <c r="A364" s="2" t="str">
        <f>HYPERLINK("https://rth.dk/resources/bsgatlas/details.php?id=BSGatlas-operon-149","BSGatlas-operon-149")</f>
        <v>BSGatlas-operon-149</v>
      </c>
      <c r="B364" s="2" t="str">
        <f>HYPERLINK("https://rth.dk/resources/bsgatlas/details.php?id=BSGatlas-gene-397","BSGatlas-gene-397")</f>
        <v>BSGatlas-gene-397</v>
      </c>
      <c r="C364" s="1" t="s">
        <v>378</v>
      </c>
      <c r="D364" s="1" t="s">
        <v>8</v>
      </c>
      <c r="E364" s="3">
        <v>341492</v>
      </c>
      <c r="F364" s="3">
        <v>342466</v>
      </c>
      <c r="G364" s="1" t="s">
        <v>9</v>
      </c>
      <c r="H364" s="1" t="b">
        <f t="shared" si="18"/>
        <v>1</v>
      </c>
    </row>
    <row r="365" spans="1:8" ht="21" x14ac:dyDescent="0.25">
      <c r="A365" s="2" t="str">
        <f>HYPERLINK("https://rth.dk/resources/bsgatlas/details.php?id=BSGatlas-operon-149","BSGatlas-operon-149")</f>
        <v>BSGatlas-operon-149</v>
      </c>
      <c r="B365" s="2" t="str">
        <f>HYPERLINK("https://rth.dk/resources/bsgatlas/details.php?id=BSGatlas-gene-398","BSGatlas-gene-398")</f>
        <v>BSGatlas-gene-398</v>
      </c>
      <c r="C365" s="1" t="s">
        <v>379</v>
      </c>
      <c r="D365" s="1" t="s">
        <v>8</v>
      </c>
      <c r="E365" s="3">
        <v>342538</v>
      </c>
      <c r="F365" s="3">
        <v>343494</v>
      </c>
      <c r="G365" s="1" t="s">
        <v>9</v>
      </c>
      <c r="H365" s="1" t="b">
        <f t="shared" si="18"/>
        <v>1</v>
      </c>
    </row>
    <row r="366" spans="1:8" ht="21" x14ac:dyDescent="0.25">
      <c r="A366" s="2" t="str">
        <f>HYPERLINK("https://rth.dk/resources/bsgatlas/details.php?id=BSGatlas-operon-149","BSGatlas-operon-149")</f>
        <v>BSGatlas-operon-149</v>
      </c>
      <c r="B366" s="2" t="str">
        <f>HYPERLINK("https://rth.dk/resources/bsgatlas/details.php?id=BSGatlas-gene-399","BSGatlas-gene-399")</f>
        <v>BSGatlas-gene-399</v>
      </c>
      <c r="C366" s="1" t="s">
        <v>380</v>
      </c>
      <c r="D366" s="1" t="s">
        <v>8</v>
      </c>
      <c r="E366" s="3">
        <v>343578</v>
      </c>
      <c r="F366" s="3">
        <v>344360</v>
      </c>
      <c r="G366" s="1" t="s">
        <v>9</v>
      </c>
      <c r="H366" s="1" t="b">
        <f t="shared" si="18"/>
        <v>1</v>
      </c>
    </row>
    <row r="367" spans="1:8" ht="21" x14ac:dyDescent="0.25">
      <c r="A367" s="2" t="str">
        <f>HYPERLINK("https://rth.dk/resources/bsgatlas/details.php?id=BSGatlas-operon-150","BSGatlas-operon-150")</f>
        <v>BSGatlas-operon-150</v>
      </c>
      <c r="B367" s="2" t="str">
        <f>HYPERLINK("https://rth.dk/resources/bsgatlas/details.php?id=BSGatlas-gene-400","BSGatlas-gene-400")</f>
        <v>BSGatlas-gene-400</v>
      </c>
      <c r="C367" s="1" t="s">
        <v>381</v>
      </c>
      <c r="D367" s="1" t="s">
        <v>8</v>
      </c>
      <c r="E367" s="3">
        <v>344551</v>
      </c>
      <c r="F367" s="3">
        <v>345462</v>
      </c>
      <c r="G367" s="1" t="s">
        <v>9</v>
      </c>
      <c r="H367" s="1" t="b">
        <f t="shared" si="18"/>
        <v>0</v>
      </c>
    </row>
    <row r="368" spans="1:8" ht="21" x14ac:dyDescent="0.25">
      <c r="A368" s="2" t="str">
        <f>HYPERLINK("https://rth.dk/resources/bsgatlas/details.php?id=BSGatlas-operon-150","BSGatlas-operon-150")</f>
        <v>BSGatlas-operon-150</v>
      </c>
      <c r="B368" s="2" t="str">
        <f>HYPERLINK("https://rth.dk/resources/bsgatlas/details.php?id=BSGatlas-gene-401","BSGatlas-gene-401")</f>
        <v>BSGatlas-gene-401</v>
      </c>
      <c r="C368" s="1" t="s">
        <v>382</v>
      </c>
      <c r="D368" s="1" t="s">
        <v>8</v>
      </c>
      <c r="E368" s="3">
        <v>345479</v>
      </c>
      <c r="F368" s="3">
        <v>347026</v>
      </c>
      <c r="G368" s="1" t="s">
        <v>9</v>
      </c>
      <c r="H368" s="1" t="b">
        <f t="shared" si="18"/>
        <v>0</v>
      </c>
    </row>
    <row r="369" spans="1:8" ht="21" x14ac:dyDescent="0.25">
      <c r="A369" s="2" t="str">
        <f>HYPERLINK("https://rth.dk/resources/bsgatlas/details.php?id=BSGatlas-operon-150","BSGatlas-operon-150")</f>
        <v>BSGatlas-operon-150</v>
      </c>
      <c r="B369" s="2" t="str">
        <f>HYPERLINK("https://rth.dk/resources/bsgatlas/details.php?id=BSGatlas-gene-402","BSGatlas-gene-402")</f>
        <v>BSGatlas-gene-402</v>
      </c>
      <c r="C369" s="1" t="s">
        <v>383</v>
      </c>
      <c r="D369" s="1" t="s">
        <v>8</v>
      </c>
      <c r="E369" s="3">
        <v>347150</v>
      </c>
      <c r="F369" s="3">
        <v>348571</v>
      </c>
      <c r="G369" s="1" t="s">
        <v>9</v>
      </c>
      <c r="H369" s="1" t="b">
        <f t="shared" si="18"/>
        <v>0</v>
      </c>
    </row>
    <row r="370" spans="1:8" ht="21" x14ac:dyDescent="0.25">
      <c r="A370" s="2" t="str">
        <f>HYPERLINK("https://rth.dk/resources/bsgatlas/details.php?id=BSGatlas-operon-151","BSGatlas-operon-151")</f>
        <v>BSGatlas-operon-151</v>
      </c>
      <c r="B370" s="2" t="str">
        <f>HYPERLINK("https://rth.dk/resources/bsgatlas/details.php?id=BSGatlas-gene-403","BSGatlas-gene-403")</f>
        <v>BSGatlas-gene-403</v>
      </c>
      <c r="C370" s="1" t="s">
        <v>384</v>
      </c>
      <c r="D370" s="1" t="s">
        <v>12</v>
      </c>
      <c r="E370" s="3">
        <v>347670</v>
      </c>
      <c r="F370" s="3">
        <v>349525</v>
      </c>
      <c r="G370" s="1" t="s">
        <v>13</v>
      </c>
      <c r="H370" s="1" t="b">
        <f t="shared" si="18"/>
        <v>1</v>
      </c>
    </row>
    <row r="371" spans="1:8" ht="21" x14ac:dyDescent="0.25">
      <c r="A371" s="2" t="str">
        <f>HYPERLINK("https://rth.dk/resources/bsgatlas/details.php?id=BSGatlas-operon-152","BSGatlas-operon-152")</f>
        <v>BSGatlas-operon-152</v>
      </c>
      <c r="B371" s="2" t="str">
        <f>HYPERLINK("https://rth.dk/resources/bsgatlas/details.php?id=BSGatlas-gene-404","BSGatlas-gene-404")</f>
        <v>BSGatlas-gene-404</v>
      </c>
      <c r="C371" s="1" t="s">
        <v>385</v>
      </c>
      <c r="D371" s="1" t="s">
        <v>8</v>
      </c>
      <c r="E371" s="3">
        <v>348724</v>
      </c>
      <c r="F371" s="3">
        <v>349959</v>
      </c>
      <c r="G371" s="1" t="s">
        <v>9</v>
      </c>
      <c r="H371" s="1" t="b">
        <f t="shared" si="18"/>
        <v>0</v>
      </c>
    </row>
    <row r="372" spans="1:8" ht="21" x14ac:dyDescent="0.25">
      <c r="A372" s="2" t="str">
        <f>HYPERLINK("https://rth.dk/resources/bsgatlas/details.php?id=BSGatlas-operon-153","BSGatlas-operon-153")</f>
        <v>BSGatlas-operon-153</v>
      </c>
      <c r="B372" s="2" t="str">
        <f>HYPERLINK("https://rth.dk/resources/bsgatlas/details.php?id=BSGatlas-gene-405","BSGatlas-gene-405")</f>
        <v>BSGatlas-gene-405</v>
      </c>
      <c r="C372" s="1" t="s">
        <v>386</v>
      </c>
      <c r="D372" s="1" t="s">
        <v>8</v>
      </c>
      <c r="E372" s="3">
        <v>349996</v>
      </c>
      <c r="F372" s="3">
        <v>350853</v>
      </c>
      <c r="G372" s="1" t="s">
        <v>13</v>
      </c>
      <c r="H372" s="1" t="b">
        <f t="shared" si="18"/>
        <v>1</v>
      </c>
    </row>
    <row r="373" spans="1:8" ht="21" x14ac:dyDescent="0.25">
      <c r="A373" s="2" t="str">
        <f>HYPERLINK("https://rth.dk/resources/bsgatlas/details.php?id=BSGatlas-operon-153","BSGatlas-operon-153")</f>
        <v>BSGatlas-operon-153</v>
      </c>
      <c r="B373" s="2" t="str">
        <f>HYPERLINK("https://rth.dk/resources/bsgatlas/details.php?id=BSGatlas-gene-406","BSGatlas-gene-406")</f>
        <v>BSGatlas-gene-406</v>
      </c>
      <c r="C373" s="1" t="s">
        <v>387</v>
      </c>
      <c r="D373" s="1" t="s">
        <v>8</v>
      </c>
      <c r="E373" s="3">
        <v>350858</v>
      </c>
      <c r="F373" s="3">
        <v>351742</v>
      </c>
      <c r="G373" s="1" t="s">
        <v>13</v>
      </c>
      <c r="H373" s="1" t="b">
        <f t="shared" si="18"/>
        <v>1</v>
      </c>
    </row>
    <row r="374" spans="1:8" ht="21" x14ac:dyDescent="0.25">
      <c r="A374" s="2" t="str">
        <f>HYPERLINK("https://rth.dk/resources/bsgatlas/details.php?id=BSGatlas-operon-153","BSGatlas-operon-153")</f>
        <v>BSGatlas-operon-153</v>
      </c>
      <c r="B374" s="2" t="str">
        <f>HYPERLINK("https://rth.dk/resources/bsgatlas/details.php?id=BSGatlas-gene-407","BSGatlas-gene-407")</f>
        <v>BSGatlas-gene-407</v>
      </c>
      <c r="C374" s="1" t="s">
        <v>388</v>
      </c>
      <c r="D374" s="1" t="s">
        <v>8</v>
      </c>
      <c r="E374" s="3">
        <v>351842</v>
      </c>
      <c r="F374" s="3">
        <v>352696</v>
      </c>
      <c r="G374" s="1" t="s">
        <v>13</v>
      </c>
      <c r="H374" s="1" t="b">
        <f t="shared" si="18"/>
        <v>1</v>
      </c>
    </row>
    <row r="375" spans="1:8" ht="21" x14ac:dyDescent="0.25">
      <c r="A375" s="2" t="str">
        <f>HYPERLINK("https://rth.dk/resources/bsgatlas/details.php?id=BSGatlas-operon-154","BSGatlas-operon-154")</f>
        <v>BSGatlas-operon-154</v>
      </c>
      <c r="B375" s="2" t="str">
        <f>HYPERLINK("https://rth.dk/resources/bsgatlas/details.php?id=BSGatlas-gene-408","BSGatlas-gene-408")</f>
        <v>BSGatlas-gene-408</v>
      </c>
      <c r="C375" s="1" t="s">
        <v>389</v>
      </c>
      <c r="D375" s="1" t="s">
        <v>8</v>
      </c>
      <c r="E375" s="3">
        <v>352858</v>
      </c>
      <c r="F375" s="3">
        <v>353868</v>
      </c>
      <c r="G375" s="1" t="s">
        <v>9</v>
      </c>
      <c r="H375" s="1" t="b">
        <f t="shared" si="18"/>
        <v>0</v>
      </c>
    </row>
    <row r="376" spans="1:8" ht="21" x14ac:dyDescent="0.25">
      <c r="A376" s="2" t="str">
        <f>HYPERLINK("https://rth.dk/resources/bsgatlas/details.php?id=BSGatlas-operon-155","BSGatlas-operon-155")</f>
        <v>BSGatlas-operon-155</v>
      </c>
      <c r="B376" s="2" t="str">
        <f>HYPERLINK("https://rth.dk/resources/bsgatlas/details.php?id=BSGatlas-gene-409","BSGatlas-gene-409")</f>
        <v>BSGatlas-gene-409</v>
      </c>
      <c r="C376" s="1" t="s">
        <v>390</v>
      </c>
      <c r="D376" s="1" t="s">
        <v>8</v>
      </c>
      <c r="E376" s="3">
        <v>353900</v>
      </c>
      <c r="F376" s="3">
        <v>355351</v>
      </c>
      <c r="G376" s="1" t="s">
        <v>13</v>
      </c>
      <c r="H376" s="1" t="b">
        <f t="shared" si="18"/>
        <v>1</v>
      </c>
    </row>
    <row r="377" spans="1:8" ht="21" x14ac:dyDescent="0.25">
      <c r="A377" s="2" t="str">
        <f>HYPERLINK("https://rth.dk/resources/bsgatlas/details.php?id=BSGatlas-operon-155","BSGatlas-operon-155")</f>
        <v>BSGatlas-operon-155</v>
      </c>
      <c r="B377" s="2" t="str">
        <f>HYPERLINK("https://rth.dk/resources/bsgatlas/details.php?id=BSGatlas-gene-410","BSGatlas-gene-410")</f>
        <v>BSGatlas-gene-410</v>
      </c>
      <c r="C377" s="1" t="s">
        <v>391</v>
      </c>
      <c r="D377" s="1" t="s">
        <v>8</v>
      </c>
      <c r="E377" s="3">
        <v>355412</v>
      </c>
      <c r="F377" s="3">
        <v>355732</v>
      </c>
      <c r="G377" s="1" t="s">
        <v>13</v>
      </c>
      <c r="H377" s="1" t="b">
        <f t="shared" si="18"/>
        <v>1</v>
      </c>
    </row>
    <row r="378" spans="1:8" ht="21" x14ac:dyDescent="0.25">
      <c r="A378" s="2" t="str">
        <f>HYPERLINK("https://rth.dk/resources/bsgatlas/details.php?id=BSGatlas-operon-155","BSGatlas-operon-155")</f>
        <v>BSGatlas-operon-155</v>
      </c>
      <c r="B378" s="2" t="str">
        <f>HYPERLINK("https://rth.dk/resources/bsgatlas/details.php?id=BSGatlas-gene-411","BSGatlas-gene-411")</f>
        <v>BSGatlas-gene-411</v>
      </c>
      <c r="C378" s="1" t="s">
        <v>392</v>
      </c>
      <c r="D378" s="1" t="s">
        <v>8</v>
      </c>
      <c r="E378" s="3">
        <v>355764</v>
      </c>
      <c r="F378" s="3">
        <v>358181</v>
      </c>
      <c r="G378" s="1" t="s">
        <v>13</v>
      </c>
      <c r="H378" s="1" t="b">
        <f t="shared" si="18"/>
        <v>1</v>
      </c>
    </row>
    <row r="379" spans="1:8" ht="21" x14ac:dyDescent="0.25">
      <c r="A379" s="2" t="str">
        <f>HYPERLINK("https://rth.dk/resources/bsgatlas/details.php?id=BSGatlas-operon-155","BSGatlas-operon-155")</f>
        <v>BSGatlas-operon-155</v>
      </c>
      <c r="B379" s="2" t="str">
        <f>HYPERLINK("https://rth.dk/resources/bsgatlas/details.php?id=BSGatlas-gene-412","BSGatlas-gene-412")</f>
        <v>BSGatlas-gene-412</v>
      </c>
      <c r="C379" s="1" t="s">
        <v>393</v>
      </c>
      <c r="D379" s="1" t="s">
        <v>8</v>
      </c>
      <c r="E379" s="3">
        <v>358303</v>
      </c>
      <c r="F379" s="3">
        <v>360435</v>
      </c>
      <c r="G379" s="1" t="s">
        <v>13</v>
      </c>
      <c r="H379" s="1" t="b">
        <f t="shared" si="18"/>
        <v>1</v>
      </c>
    </row>
    <row r="380" spans="1:8" ht="21" x14ac:dyDescent="0.25">
      <c r="A380" s="2" t="str">
        <f>HYPERLINK("https://rth.dk/resources/bsgatlas/details.php?id=BSGatlas-operon-155","BSGatlas-operon-155")</f>
        <v>BSGatlas-operon-155</v>
      </c>
      <c r="B380" s="2" t="str">
        <f>HYPERLINK("https://rth.dk/resources/bsgatlas/details.php?id=BSGatlas-gene-413","BSGatlas-gene-413")</f>
        <v>BSGatlas-gene-413</v>
      </c>
      <c r="C380" s="1" t="s">
        <v>394</v>
      </c>
      <c r="D380" s="1" t="s">
        <v>8</v>
      </c>
      <c r="E380" s="3">
        <v>360442</v>
      </c>
      <c r="F380" s="3">
        <v>362757</v>
      </c>
      <c r="G380" s="1" t="s">
        <v>13</v>
      </c>
      <c r="H380" s="1" t="b">
        <f t="shared" si="18"/>
        <v>1</v>
      </c>
    </row>
    <row r="381" spans="1:8" ht="21" x14ac:dyDescent="0.25">
      <c r="A381" s="2" t="str">
        <f>HYPERLINK("https://rth.dk/resources/bsgatlas/details.php?id=BSGatlas-operon-156","BSGatlas-operon-156")</f>
        <v>BSGatlas-operon-156</v>
      </c>
      <c r="B381" s="2" t="str">
        <f>HYPERLINK("https://rth.dk/resources/bsgatlas/details.php?id=BSGatlas-gene-414","BSGatlas-gene-414")</f>
        <v>BSGatlas-gene-414</v>
      </c>
      <c r="C381" s="1" t="s">
        <v>395</v>
      </c>
      <c r="D381" s="1" t="s">
        <v>8</v>
      </c>
      <c r="E381" s="3">
        <v>362937</v>
      </c>
      <c r="F381" s="3">
        <v>364142</v>
      </c>
      <c r="G381" s="1" t="s">
        <v>9</v>
      </c>
      <c r="H381" s="1" t="b">
        <f t="shared" si="18"/>
        <v>0</v>
      </c>
    </row>
    <row r="382" spans="1:8" ht="21" x14ac:dyDescent="0.25">
      <c r="A382" s="2" t="str">
        <f>HYPERLINK("https://rth.dk/resources/bsgatlas/details.php?id=BSGatlas-operon-157","BSGatlas-operon-157")</f>
        <v>BSGatlas-operon-157</v>
      </c>
      <c r="B382" s="2" t="str">
        <f>HYPERLINK("https://rth.dk/resources/bsgatlas/details.php?id=BSGatlas-gene-415","BSGatlas-gene-415")</f>
        <v>BSGatlas-gene-415</v>
      </c>
      <c r="C382" s="1" t="s">
        <v>396</v>
      </c>
      <c r="D382" s="1" t="s">
        <v>8</v>
      </c>
      <c r="E382" s="3">
        <v>364259</v>
      </c>
      <c r="F382" s="3">
        <v>365173</v>
      </c>
      <c r="G382" s="1" t="s">
        <v>9</v>
      </c>
      <c r="H382" s="1" t="b">
        <f t="shared" si="18"/>
        <v>1</v>
      </c>
    </row>
    <row r="383" spans="1:8" ht="21" x14ac:dyDescent="0.25">
      <c r="A383" s="2" t="str">
        <f>HYPERLINK("https://rth.dk/resources/bsgatlas/details.php?id=BSGatlas-operon-157","BSGatlas-operon-157")</f>
        <v>BSGatlas-operon-157</v>
      </c>
      <c r="B383" s="2" t="str">
        <f>HYPERLINK("https://rth.dk/resources/bsgatlas/details.php?id=BSGatlas-gene-416","BSGatlas-gene-416")</f>
        <v>BSGatlas-gene-416</v>
      </c>
      <c r="C383" s="1" t="s">
        <v>397</v>
      </c>
      <c r="D383" s="1" t="s">
        <v>8</v>
      </c>
      <c r="E383" s="3">
        <v>365170</v>
      </c>
      <c r="F383" s="3">
        <v>365754</v>
      </c>
      <c r="G383" s="1" t="s">
        <v>9</v>
      </c>
      <c r="H383" s="1" t="b">
        <f t="shared" si="18"/>
        <v>1</v>
      </c>
    </row>
    <row r="384" spans="1:8" ht="21" x14ac:dyDescent="0.25">
      <c r="A384" s="2" t="str">
        <f>HYPERLINK("https://rth.dk/resources/bsgatlas/details.php?id=BSGatlas-operon-157","BSGatlas-operon-157")</f>
        <v>BSGatlas-operon-157</v>
      </c>
      <c r="B384" s="2" t="str">
        <f>HYPERLINK("https://rth.dk/resources/bsgatlas/details.php?id=BSGatlas-gene-417","BSGatlas-gene-417")</f>
        <v>BSGatlas-gene-417</v>
      </c>
      <c r="C384" s="1" t="s">
        <v>398</v>
      </c>
      <c r="D384" s="1" t="s">
        <v>8</v>
      </c>
      <c r="E384" s="3">
        <v>365850</v>
      </c>
      <c r="F384" s="3">
        <v>366035</v>
      </c>
      <c r="G384" s="1" t="s">
        <v>9</v>
      </c>
      <c r="H384" s="1" t="b">
        <f t="shared" si="18"/>
        <v>1</v>
      </c>
    </row>
    <row r="385" spans="1:8" ht="21" x14ac:dyDescent="0.25">
      <c r="A385" s="2" t="str">
        <f>HYPERLINK("https://rth.dk/resources/bsgatlas/details.php?id=BSGatlas-operon-157","BSGatlas-operon-157")</f>
        <v>BSGatlas-operon-157</v>
      </c>
      <c r="B385" s="2" t="str">
        <f>HYPERLINK("https://rth.dk/resources/bsgatlas/details.php?id=BSGatlas-gene-418","BSGatlas-gene-418")</f>
        <v>BSGatlas-gene-418</v>
      </c>
      <c r="C385" s="1" t="s">
        <v>399</v>
      </c>
      <c r="D385" s="1" t="s">
        <v>8</v>
      </c>
      <c r="E385" s="3">
        <v>366063</v>
      </c>
      <c r="F385" s="3">
        <v>367256</v>
      </c>
      <c r="G385" s="1" t="s">
        <v>9</v>
      </c>
      <c r="H385" s="1" t="b">
        <f t="shared" si="18"/>
        <v>1</v>
      </c>
    </row>
    <row r="386" spans="1:8" ht="21" x14ac:dyDescent="0.25">
      <c r="A386" s="2" t="str">
        <f>HYPERLINK("https://rth.dk/resources/bsgatlas/details.php?id=BSGatlas-operon-158","BSGatlas-operon-158")</f>
        <v>BSGatlas-operon-158</v>
      </c>
      <c r="B386" s="2" t="str">
        <f>HYPERLINK("https://rth.dk/resources/bsgatlas/details.php?id=BSGatlas-gene-419","BSGatlas-gene-419")</f>
        <v>BSGatlas-gene-419</v>
      </c>
      <c r="C386" s="1" t="s">
        <v>400</v>
      </c>
      <c r="D386" s="1" t="s">
        <v>8</v>
      </c>
      <c r="E386" s="3">
        <v>367305</v>
      </c>
      <c r="F386" s="3">
        <v>367985</v>
      </c>
      <c r="G386" s="1" t="s">
        <v>13</v>
      </c>
      <c r="H386" s="1" t="b">
        <f t="shared" ref="H386:H449" si="20">_xlfn.XOR(A385&lt;&gt;A386,H385)</f>
        <v>0</v>
      </c>
    </row>
    <row r="387" spans="1:8" ht="21" x14ac:dyDescent="0.25">
      <c r="A387" s="2" t="str">
        <f>HYPERLINK("https://rth.dk/resources/bsgatlas/details.php?id=BSGatlas-operon-158","BSGatlas-operon-158")</f>
        <v>BSGatlas-operon-158</v>
      </c>
      <c r="B387" s="2" t="str">
        <f>HYPERLINK("https://rth.dk/resources/bsgatlas/details.php?id=BSGatlas-gene-420","BSGatlas-gene-420")</f>
        <v>BSGatlas-gene-420</v>
      </c>
      <c r="C387" s="1" t="s">
        <v>401</v>
      </c>
      <c r="D387" s="1" t="s">
        <v>8</v>
      </c>
      <c r="E387" s="3">
        <v>367995</v>
      </c>
      <c r="F387" s="3">
        <v>368858</v>
      </c>
      <c r="G387" s="1" t="s">
        <v>13</v>
      </c>
      <c r="H387" s="1" t="b">
        <f t="shared" si="20"/>
        <v>0</v>
      </c>
    </row>
    <row r="388" spans="1:8" ht="21" x14ac:dyDescent="0.25">
      <c r="A388" s="2" t="str">
        <f>HYPERLINK("https://rth.dk/resources/bsgatlas/details.php?id=BSGatlas-operon-159","BSGatlas-operon-159")</f>
        <v>BSGatlas-operon-159</v>
      </c>
      <c r="B388" s="2" t="str">
        <f>HYPERLINK("https://rth.dk/resources/bsgatlas/details.php?id=BSGatlas-gene-421","BSGatlas-gene-421")</f>
        <v>BSGatlas-gene-421</v>
      </c>
      <c r="C388" s="1" t="s">
        <v>318</v>
      </c>
      <c r="D388" s="1" t="s">
        <v>8</v>
      </c>
      <c r="E388" s="3">
        <v>369020</v>
      </c>
      <c r="F388" s="3">
        <v>369217</v>
      </c>
      <c r="G388" s="1" t="s">
        <v>9</v>
      </c>
      <c r="H388" s="1" t="b">
        <f t="shared" si="20"/>
        <v>1</v>
      </c>
    </row>
    <row r="389" spans="1:8" ht="21" x14ac:dyDescent="0.25">
      <c r="A389" s="2" t="str">
        <f>HYPERLINK("https://rth.dk/resources/bsgatlas/details.php?id=BSGatlas-operon-160","BSGatlas-operon-160")</f>
        <v>BSGatlas-operon-160</v>
      </c>
      <c r="B389" s="2" t="str">
        <f>HYPERLINK("https://rth.dk/resources/bsgatlas/details.php?id=BSGatlas-gene-422","BSGatlas-gene-422")</f>
        <v>BSGatlas-gene-422</v>
      </c>
      <c r="C389" s="1" t="s">
        <v>402</v>
      </c>
      <c r="D389" s="1" t="s">
        <v>8</v>
      </c>
      <c r="E389" s="3">
        <v>369236</v>
      </c>
      <c r="F389" s="3">
        <v>369691</v>
      </c>
      <c r="G389" s="1" t="s">
        <v>9</v>
      </c>
      <c r="H389" s="1" t="b">
        <f t="shared" si="20"/>
        <v>0</v>
      </c>
    </row>
    <row r="390" spans="1:8" ht="21" x14ac:dyDescent="0.25">
      <c r="A390" s="2" t="str">
        <f>HYPERLINK("https://rth.dk/resources/bsgatlas/details.php?id=BSGatlas-operon-161","BSGatlas-operon-161")</f>
        <v>BSGatlas-operon-161</v>
      </c>
      <c r="B390" s="2" t="str">
        <f>HYPERLINK("https://rth.dk/resources/bsgatlas/details.php?id=BSGatlas-gene-423","BSGatlas-gene-423")</f>
        <v>BSGatlas-gene-423</v>
      </c>
      <c r="C390" s="1" t="s">
        <v>403</v>
      </c>
      <c r="D390" s="1" t="s">
        <v>8</v>
      </c>
      <c r="E390" s="3">
        <v>369773</v>
      </c>
      <c r="F390" s="3">
        <v>370105</v>
      </c>
      <c r="G390" s="1" t="s">
        <v>9</v>
      </c>
      <c r="H390" s="1" t="b">
        <f t="shared" si="20"/>
        <v>1</v>
      </c>
    </row>
    <row r="391" spans="1:8" ht="21" x14ac:dyDescent="0.25">
      <c r="A391" s="2" t="str">
        <f>HYPERLINK("https://rth.dk/resources/bsgatlas/details.php?id=BSGatlas-operon-162","BSGatlas-operon-162")</f>
        <v>BSGatlas-operon-162</v>
      </c>
      <c r="B391" s="2" t="str">
        <f>HYPERLINK("https://rth.dk/resources/bsgatlas/details.php?id=BSGatlas-gene-424","BSGatlas-gene-424")</f>
        <v>BSGatlas-gene-424</v>
      </c>
      <c r="C391" s="1" t="s">
        <v>404</v>
      </c>
      <c r="D391" s="1" t="s">
        <v>8</v>
      </c>
      <c r="E391" s="3">
        <v>370259</v>
      </c>
      <c r="F391" s="3">
        <v>371692</v>
      </c>
      <c r="G391" s="1" t="s">
        <v>9</v>
      </c>
      <c r="H391" s="1" t="b">
        <f t="shared" si="20"/>
        <v>0</v>
      </c>
    </row>
    <row r="392" spans="1:8" ht="21" x14ac:dyDescent="0.25">
      <c r="A392" s="2" t="str">
        <f>HYPERLINK("https://rth.dk/resources/bsgatlas/details.php?id=BSGatlas-operon-163","BSGatlas-operon-163")</f>
        <v>BSGatlas-operon-163</v>
      </c>
      <c r="B392" s="2" t="str">
        <f>HYPERLINK("https://rth.dk/resources/bsgatlas/details.php?id=BSGatlas-gene-425","BSGatlas-gene-425")</f>
        <v>BSGatlas-gene-425</v>
      </c>
      <c r="C392" s="1" t="s">
        <v>405</v>
      </c>
      <c r="D392" s="1" t="s">
        <v>8</v>
      </c>
      <c r="E392" s="3">
        <v>371729</v>
      </c>
      <c r="F392" s="3">
        <v>372127</v>
      </c>
      <c r="G392" s="1" t="s">
        <v>13</v>
      </c>
      <c r="H392" s="1" t="b">
        <f t="shared" si="20"/>
        <v>1</v>
      </c>
    </row>
    <row r="393" spans="1:8" ht="21" x14ac:dyDescent="0.25">
      <c r="A393" s="2" t="str">
        <f>HYPERLINK("https://rth.dk/resources/bsgatlas/details.php?id=BSGatlas-operon-163","BSGatlas-operon-163")</f>
        <v>BSGatlas-operon-163</v>
      </c>
      <c r="B393" s="2" t="str">
        <f>HYPERLINK("https://rth.dk/resources/bsgatlas/details.php?id=BSGatlas-gene-426","BSGatlas-gene-426")</f>
        <v>BSGatlas-gene-426</v>
      </c>
      <c r="C393" s="1" t="s">
        <v>406</v>
      </c>
      <c r="D393" s="1" t="s">
        <v>8</v>
      </c>
      <c r="E393" s="3">
        <v>372154</v>
      </c>
      <c r="F393" s="3">
        <v>372603</v>
      </c>
      <c r="G393" s="1" t="s">
        <v>13</v>
      </c>
      <c r="H393" s="1" t="b">
        <f t="shared" si="20"/>
        <v>1</v>
      </c>
    </row>
    <row r="394" spans="1:8" ht="21" x14ac:dyDescent="0.25">
      <c r="A394" s="2" t="str">
        <f>HYPERLINK("https://rth.dk/resources/bsgatlas/details.php?id=BSGatlas-operon-164","BSGatlas-operon-164")</f>
        <v>BSGatlas-operon-164</v>
      </c>
      <c r="B394" s="2" t="str">
        <f>HYPERLINK("https://rth.dk/resources/bsgatlas/details.php?id=BSGatlas-gene-427","BSGatlas-gene-427")</f>
        <v>BSGatlas-gene-427</v>
      </c>
      <c r="C394" s="1" t="s">
        <v>407</v>
      </c>
      <c r="D394" s="1" t="s">
        <v>8</v>
      </c>
      <c r="E394" s="3">
        <v>372771</v>
      </c>
      <c r="F394" s="3">
        <v>374492</v>
      </c>
      <c r="G394" s="1" t="s">
        <v>13</v>
      </c>
      <c r="H394" s="1" t="b">
        <f t="shared" si="20"/>
        <v>0</v>
      </c>
    </row>
    <row r="395" spans="1:8" ht="21" x14ac:dyDescent="0.25">
      <c r="A395" s="2" t="str">
        <f>HYPERLINK("https://rth.dk/resources/bsgatlas/details.php?id=BSGatlas-operon-165","BSGatlas-operon-165")</f>
        <v>BSGatlas-operon-165</v>
      </c>
      <c r="B395" s="2" t="str">
        <f>HYPERLINK("https://rth.dk/resources/bsgatlas/details.php?id=BSGatlas-gene-428","BSGatlas-gene-428")</f>
        <v>BSGatlas-gene-428</v>
      </c>
      <c r="C395" s="1" t="s">
        <v>408</v>
      </c>
      <c r="D395" s="1" t="s">
        <v>8</v>
      </c>
      <c r="E395" s="3">
        <v>374603</v>
      </c>
      <c r="F395" s="3">
        <v>375160</v>
      </c>
      <c r="G395" s="1" t="s">
        <v>13</v>
      </c>
      <c r="H395" s="1" t="b">
        <f t="shared" si="20"/>
        <v>1</v>
      </c>
    </row>
    <row r="396" spans="1:8" ht="21" x14ac:dyDescent="0.25">
      <c r="A396" s="2" t="str">
        <f>HYPERLINK("https://rth.dk/resources/bsgatlas/details.php?id=BSGatlas-operon-165","BSGatlas-operon-165")</f>
        <v>BSGatlas-operon-165</v>
      </c>
      <c r="B396" s="2" t="str">
        <f>HYPERLINK("https://rth.dk/resources/bsgatlas/details.php?id=BSGatlas-gene-429","BSGatlas-gene-429")</f>
        <v>BSGatlas-gene-429</v>
      </c>
      <c r="C396" s="1" t="s">
        <v>409</v>
      </c>
      <c r="D396" s="1" t="s">
        <v>8</v>
      </c>
      <c r="E396" s="3">
        <v>375166</v>
      </c>
      <c r="F396" s="3">
        <v>375798</v>
      </c>
      <c r="G396" s="1" t="s">
        <v>13</v>
      </c>
      <c r="H396" s="1" t="b">
        <f t="shared" si="20"/>
        <v>1</v>
      </c>
    </row>
    <row r="397" spans="1:8" ht="21" x14ac:dyDescent="0.25">
      <c r="A397" s="2" t="str">
        <f>HYPERLINK("https://rth.dk/resources/bsgatlas/details.php?id=BSGatlas-operon-166","BSGatlas-operon-166")</f>
        <v>BSGatlas-operon-166</v>
      </c>
      <c r="B397" s="2" t="str">
        <f>HYPERLINK("https://rth.dk/resources/bsgatlas/details.php?id=BSGatlas-gene-430","BSGatlas-gene-430")</f>
        <v>BSGatlas-gene-430</v>
      </c>
      <c r="C397" s="1" t="s">
        <v>410</v>
      </c>
      <c r="D397" s="1" t="s">
        <v>8</v>
      </c>
      <c r="E397" s="3">
        <v>376032</v>
      </c>
      <c r="F397" s="3">
        <v>376394</v>
      </c>
      <c r="G397" s="1" t="s">
        <v>9</v>
      </c>
      <c r="H397" s="1" t="b">
        <f t="shared" si="20"/>
        <v>0</v>
      </c>
    </row>
    <row r="398" spans="1:8" ht="21" x14ac:dyDescent="0.25">
      <c r="A398" s="2" t="str">
        <f>HYPERLINK("https://rth.dk/resources/bsgatlas/details.php?id=BSGatlas-operon-167","BSGatlas-operon-167")</f>
        <v>BSGatlas-operon-167</v>
      </c>
      <c r="B398" s="2" t="str">
        <f>HYPERLINK("https://rth.dk/resources/bsgatlas/details.php?id=BSGatlas-gene-431","BSGatlas-gene-431")</f>
        <v>BSGatlas-gene-431</v>
      </c>
      <c r="C398" s="1" t="s">
        <v>411</v>
      </c>
      <c r="D398" s="1" t="s">
        <v>12</v>
      </c>
      <c r="E398" s="3">
        <v>376678</v>
      </c>
      <c r="F398" s="3">
        <v>376925</v>
      </c>
      <c r="G398" s="1" t="s">
        <v>9</v>
      </c>
      <c r="H398" s="1" t="b">
        <f t="shared" si="20"/>
        <v>1</v>
      </c>
    </row>
    <row r="399" spans="1:8" ht="21" x14ac:dyDescent="0.25">
      <c r="A399" s="2" t="str">
        <f>HYPERLINK("https://rth.dk/resources/bsgatlas/details.php?id=BSGatlas-operon-168","BSGatlas-operon-168")</f>
        <v>BSGatlas-operon-168</v>
      </c>
      <c r="B399" s="2" t="str">
        <f>HYPERLINK("https://rth.dk/resources/bsgatlas/details.php?id=BSGatlas-gene-432","BSGatlas-gene-432")</f>
        <v>BSGatlas-gene-432</v>
      </c>
      <c r="C399" s="1" t="s">
        <v>412</v>
      </c>
      <c r="D399" s="1" t="s">
        <v>8</v>
      </c>
      <c r="E399" s="3">
        <v>376968</v>
      </c>
      <c r="F399" s="3">
        <v>387731</v>
      </c>
      <c r="G399" s="1" t="s">
        <v>9</v>
      </c>
      <c r="H399" s="1" t="b">
        <f t="shared" si="20"/>
        <v>0</v>
      </c>
    </row>
    <row r="400" spans="1:8" ht="21" x14ac:dyDescent="0.25">
      <c r="A400" s="2" t="str">
        <f>HYPERLINK("https://rth.dk/resources/bsgatlas/details.php?id=BSGatlas-operon-168","BSGatlas-operon-168")</f>
        <v>BSGatlas-operon-168</v>
      </c>
      <c r="B400" s="2" t="str">
        <f>HYPERLINK("https://rth.dk/resources/bsgatlas/details.php?id=BSGatlas-gene-433","BSGatlas-gene-433")</f>
        <v>BSGatlas-gene-433</v>
      </c>
      <c r="C400" s="1" t="s">
        <v>413</v>
      </c>
      <c r="D400" s="1" t="s">
        <v>8</v>
      </c>
      <c r="E400" s="3">
        <v>387744</v>
      </c>
      <c r="F400" s="3">
        <v>398495</v>
      </c>
      <c r="G400" s="1" t="s">
        <v>9</v>
      </c>
      <c r="H400" s="1" t="b">
        <f t="shared" si="20"/>
        <v>0</v>
      </c>
    </row>
    <row r="401" spans="1:8" ht="21" x14ac:dyDescent="0.25">
      <c r="A401" s="2" t="str">
        <f>HYPERLINK("https://rth.dk/resources/bsgatlas/details.php?id=BSGatlas-operon-168","BSGatlas-operon-168")</f>
        <v>BSGatlas-operon-168</v>
      </c>
      <c r="B401" s="2" t="str">
        <f>HYPERLINK("https://rth.dk/resources/bsgatlas/details.php?id=BSGatlas-gene-434","BSGatlas-gene-434")</f>
        <v>BSGatlas-gene-434</v>
      </c>
      <c r="C401" s="1" t="s">
        <v>414</v>
      </c>
      <c r="D401" s="1" t="s">
        <v>8</v>
      </c>
      <c r="E401" s="3">
        <v>390880</v>
      </c>
      <c r="F401" s="3">
        <v>391020</v>
      </c>
      <c r="G401" s="1" t="s">
        <v>9</v>
      </c>
      <c r="H401" s="1" t="b">
        <f t="shared" si="20"/>
        <v>0</v>
      </c>
    </row>
    <row r="402" spans="1:8" ht="21" x14ac:dyDescent="0.25">
      <c r="A402" s="2" t="str">
        <f>HYPERLINK("https://rth.dk/resources/bsgatlas/details.php?id=BSGatlas-operon-168","BSGatlas-operon-168")</f>
        <v>BSGatlas-operon-168</v>
      </c>
      <c r="B402" s="2" t="str">
        <f>HYPERLINK("https://rth.dk/resources/bsgatlas/details.php?id=BSGatlas-gene-435","BSGatlas-gene-435")</f>
        <v>BSGatlas-gene-435</v>
      </c>
      <c r="C402" s="1" t="s">
        <v>415</v>
      </c>
      <c r="D402" s="1" t="s">
        <v>8</v>
      </c>
      <c r="E402" s="3">
        <v>398532</v>
      </c>
      <c r="F402" s="3">
        <v>402359</v>
      </c>
      <c r="G402" s="1" t="s">
        <v>9</v>
      </c>
      <c r="H402" s="1" t="b">
        <f t="shared" si="20"/>
        <v>0</v>
      </c>
    </row>
    <row r="403" spans="1:8" ht="21" x14ac:dyDescent="0.25">
      <c r="A403" s="2" t="str">
        <f>HYPERLINK("https://rth.dk/resources/bsgatlas/details.php?id=BSGatlas-operon-168","BSGatlas-operon-168")</f>
        <v>BSGatlas-operon-168</v>
      </c>
      <c r="B403" s="2" t="str">
        <f>HYPERLINK("https://rth.dk/resources/bsgatlas/details.php?id=BSGatlas-gene-436","BSGatlas-gene-436")</f>
        <v>BSGatlas-gene-436</v>
      </c>
      <c r="C403" s="1" t="s">
        <v>416</v>
      </c>
      <c r="D403" s="1" t="s">
        <v>8</v>
      </c>
      <c r="E403" s="3">
        <v>402388</v>
      </c>
      <c r="F403" s="3">
        <v>403116</v>
      </c>
      <c r="G403" s="1" t="s">
        <v>9</v>
      </c>
      <c r="H403" s="1" t="b">
        <f t="shared" si="20"/>
        <v>0</v>
      </c>
    </row>
    <row r="404" spans="1:8" ht="21" x14ac:dyDescent="0.25">
      <c r="A404" s="2" t="str">
        <f>HYPERLINK("https://rth.dk/resources/bsgatlas/details.php?id=BSGatlas-operon-169","BSGatlas-operon-169")</f>
        <v>BSGatlas-operon-169</v>
      </c>
      <c r="B404" s="2" t="str">
        <f>HYPERLINK("https://rth.dk/resources/bsgatlas/details.php?id=BSGatlas-gene-437","BSGatlas-gene-437")</f>
        <v>BSGatlas-gene-437</v>
      </c>
      <c r="C404" s="1" t="s">
        <v>417</v>
      </c>
      <c r="D404" s="1" t="s">
        <v>8</v>
      </c>
      <c r="E404" s="3">
        <v>403217</v>
      </c>
      <c r="F404" s="3">
        <v>404443</v>
      </c>
      <c r="G404" s="1" t="s">
        <v>9</v>
      </c>
      <c r="H404" s="1" t="b">
        <f t="shared" si="20"/>
        <v>1</v>
      </c>
    </row>
    <row r="405" spans="1:8" ht="21" x14ac:dyDescent="0.25">
      <c r="A405" s="2" t="str">
        <f>HYPERLINK("https://rth.dk/resources/bsgatlas/details.php?id=BSGatlas-operon-170","BSGatlas-operon-170")</f>
        <v>BSGatlas-operon-170</v>
      </c>
      <c r="B405" s="2" t="str">
        <f>HYPERLINK("https://rth.dk/resources/bsgatlas/details.php?id=BSGatlas-gene-438","BSGatlas-gene-438")</f>
        <v>BSGatlas-gene-438</v>
      </c>
      <c r="C405" s="1" t="s">
        <v>418</v>
      </c>
      <c r="D405" s="1" t="s">
        <v>8</v>
      </c>
      <c r="E405" s="3">
        <v>404458</v>
      </c>
      <c r="F405" s="3">
        <v>405015</v>
      </c>
      <c r="G405" s="1" t="s">
        <v>13</v>
      </c>
      <c r="H405" s="1" t="b">
        <f t="shared" si="20"/>
        <v>0</v>
      </c>
    </row>
    <row r="406" spans="1:8" ht="21" x14ac:dyDescent="0.25">
      <c r="A406" s="2" t="str">
        <f>HYPERLINK("https://rth.dk/resources/bsgatlas/details.php?id=BSGatlas-operon-170","BSGatlas-operon-170")</f>
        <v>BSGatlas-operon-170</v>
      </c>
      <c r="B406" s="2" t="str">
        <f>HYPERLINK("https://rth.dk/resources/bsgatlas/details.php?id=BSGatlas-gene-439","BSGatlas-gene-439")</f>
        <v>BSGatlas-gene-439</v>
      </c>
      <c r="C406" s="1" t="s">
        <v>419</v>
      </c>
      <c r="D406" s="1" t="s">
        <v>8</v>
      </c>
      <c r="E406" s="3">
        <v>405069</v>
      </c>
      <c r="F406" s="3">
        <v>406007</v>
      </c>
      <c r="G406" s="1" t="s">
        <v>13</v>
      </c>
      <c r="H406" s="1" t="b">
        <f t="shared" si="20"/>
        <v>0</v>
      </c>
    </row>
    <row r="407" spans="1:8" ht="21" x14ac:dyDescent="0.25">
      <c r="A407" s="2" t="str">
        <f>HYPERLINK("https://rth.dk/resources/bsgatlas/details.php?id=BSGatlas-operon-171","BSGatlas-operon-171")</f>
        <v>BSGatlas-operon-171</v>
      </c>
      <c r="B407" s="2" t="str">
        <f>HYPERLINK("https://rth.dk/resources/bsgatlas/details.php?id=BSGatlas-gene-440","BSGatlas-gene-440")</f>
        <v>BSGatlas-gene-440</v>
      </c>
      <c r="C407" s="1" t="s">
        <v>420</v>
      </c>
      <c r="D407" s="1" t="s">
        <v>8</v>
      </c>
      <c r="E407" s="3">
        <v>406131</v>
      </c>
      <c r="F407" s="3">
        <v>407465</v>
      </c>
      <c r="G407" s="1" t="s">
        <v>9</v>
      </c>
      <c r="H407" s="1" t="b">
        <f t="shared" si="20"/>
        <v>1</v>
      </c>
    </row>
    <row r="408" spans="1:8" ht="21" x14ac:dyDescent="0.25">
      <c r="A408" s="2" t="str">
        <f>HYPERLINK("https://rth.dk/resources/bsgatlas/details.php?id=BSGatlas-operon-172","BSGatlas-operon-172")</f>
        <v>BSGatlas-operon-172</v>
      </c>
      <c r="B408" s="2" t="str">
        <f>HYPERLINK("https://rth.dk/resources/bsgatlas/details.php?id=BSGatlas-gene-442","BSGatlas-gene-442")</f>
        <v>BSGatlas-gene-442</v>
      </c>
      <c r="C408" s="1" t="s">
        <v>421</v>
      </c>
      <c r="D408" s="1" t="s">
        <v>276</v>
      </c>
      <c r="E408" s="3">
        <v>407638</v>
      </c>
      <c r="F408" s="3">
        <v>408135</v>
      </c>
      <c r="G408" s="1" t="s">
        <v>13</v>
      </c>
      <c r="H408" s="1" t="b">
        <f t="shared" si="20"/>
        <v>0</v>
      </c>
    </row>
    <row r="409" spans="1:8" ht="21" x14ac:dyDescent="0.25">
      <c r="A409" s="2" t="str">
        <f>HYPERLINK("https://rth.dk/resources/bsgatlas/details.php?id=BSGatlas-operon-173","BSGatlas-operon-173")</f>
        <v>BSGatlas-operon-173</v>
      </c>
      <c r="B409" s="2" t="str">
        <f>HYPERLINK("https://rth.dk/resources/bsgatlas/details.php?id=BSGatlas-gene-443","BSGatlas-gene-443")</f>
        <v>BSGatlas-gene-443</v>
      </c>
      <c r="C409" s="1" t="s">
        <v>422</v>
      </c>
      <c r="D409" s="1" t="s">
        <v>8</v>
      </c>
      <c r="E409" s="3">
        <v>408240</v>
      </c>
      <c r="F409" s="3">
        <v>408887</v>
      </c>
      <c r="G409" s="1" t="s">
        <v>13</v>
      </c>
      <c r="H409" s="1" t="b">
        <f t="shared" si="20"/>
        <v>1</v>
      </c>
    </row>
    <row r="410" spans="1:8" ht="21" x14ac:dyDescent="0.25">
      <c r="A410" s="2" t="str">
        <f>HYPERLINK("https://rth.dk/resources/bsgatlas/details.php?id=BSGatlas-operon-174","BSGatlas-operon-174")</f>
        <v>BSGatlas-operon-174</v>
      </c>
      <c r="B410" s="2" t="str">
        <f>HYPERLINK("https://rth.dk/resources/bsgatlas/details.php?id=BSGatlas-gene-444","BSGatlas-gene-444")</f>
        <v>BSGatlas-gene-444</v>
      </c>
      <c r="C410" s="1" t="s">
        <v>423</v>
      </c>
      <c r="D410" s="1" t="s">
        <v>8</v>
      </c>
      <c r="E410" s="3">
        <v>409208</v>
      </c>
      <c r="F410" s="3">
        <v>409951</v>
      </c>
      <c r="G410" s="1" t="s">
        <v>13</v>
      </c>
      <c r="H410" s="1" t="b">
        <f t="shared" si="20"/>
        <v>0</v>
      </c>
    </row>
    <row r="411" spans="1:8" ht="21" x14ac:dyDescent="0.25">
      <c r="A411" s="2" t="str">
        <f>HYPERLINK("https://rth.dk/resources/bsgatlas/details.php?id=BSGatlas-operon-174","BSGatlas-operon-174")</f>
        <v>BSGatlas-operon-174</v>
      </c>
      <c r="B411" s="2" t="str">
        <f>HYPERLINK("https://rth.dk/resources/bsgatlas/details.php?id=BSGatlas-gene-445","BSGatlas-gene-445")</f>
        <v>BSGatlas-gene-445</v>
      </c>
      <c r="C411" s="1" t="s">
        <v>424</v>
      </c>
      <c r="D411" s="1" t="s">
        <v>8</v>
      </c>
      <c r="E411" s="3">
        <v>409965</v>
      </c>
      <c r="F411" s="3">
        <v>410669</v>
      </c>
      <c r="G411" s="1" t="s">
        <v>13</v>
      </c>
      <c r="H411" s="1" t="b">
        <f t="shared" si="20"/>
        <v>0</v>
      </c>
    </row>
    <row r="412" spans="1:8" ht="21" x14ac:dyDescent="0.25">
      <c r="A412" s="2" t="str">
        <f>HYPERLINK("https://rth.dk/resources/bsgatlas/details.php?id=BSGatlas-operon-174","BSGatlas-operon-174")</f>
        <v>BSGatlas-operon-174</v>
      </c>
      <c r="B412" s="2" t="str">
        <f>HYPERLINK("https://rth.dk/resources/bsgatlas/details.php?id=BSGatlas-gene-446","BSGatlas-gene-446")</f>
        <v>BSGatlas-gene-446</v>
      </c>
      <c r="C412" s="1" t="s">
        <v>425</v>
      </c>
      <c r="D412" s="1" t="s">
        <v>8</v>
      </c>
      <c r="E412" s="3">
        <v>410656</v>
      </c>
      <c r="F412" s="3">
        <v>411462</v>
      </c>
      <c r="G412" s="1" t="s">
        <v>13</v>
      </c>
      <c r="H412" s="1" t="b">
        <f t="shared" si="20"/>
        <v>0</v>
      </c>
    </row>
    <row r="413" spans="1:8" ht="21" x14ac:dyDescent="0.25">
      <c r="A413" s="2" t="str">
        <f>HYPERLINK("https://rth.dk/resources/bsgatlas/details.php?id=BSGatlas-operon-175","BSGatlas-operon-175")</f>
        <v>BSGatlas-operon-175</v>
      </c>
      <c r="B413" s="2" t="str">
        <f>HYPERLINK("https://rth.dk/resources/bsgatlas/details.php?id=BSGatlas-gene-447","BSGatlas-gene-447")</f>
        <v>BSGatlas-gene-447</v>
      </c>
      <c r="C413" s="1" t="s">
        <v>426</v>
      </c>
      <c r="D413" s="1" t="s">
        <v>8</v>
      </c>
      <c r="E413" s="3">
        <v>411578</v>
      </c>
      <c r="F413" s="3">
        <v>412450</v>
      </c>
      <c r="G413" s="1" t="s">
        <v>13</v>
      </c>
      <c r="H413" s="1" t="b">
        <f t="shared" si="20"/>
        <v>1</v>
      </c>
    </row>
    <row r="414" spans="1:8" ht="21" x14ac:dyDescent="0.25">
      <c r="A414" s="2" t="str">
        <f>HYPERLINK("https://rth.dk/resources/bsgatlas/details.php?id=BSGatlas-operon-176","BSGatlas-operon-176")</f>
        <v>BSGatlas-operon-176</v>
      </c>
      <c r="B414" s="2" t="str">
        <f>HYPERLINK("https://rth.dk/resources/bsgatlas/details.php?id=BSGatlas-gene-448","BSGatlas-gene-448")</f>
        <v>BSGatlas-gene-448</v>
      </c>
      <c r="C414" s="1" t="s">
        <v>427</v>
      </c>
      <c r="D414" s="1" t="s">
        <v>8</v>
      </c>
      <c r="E414" s="3">
        <v>412540</v>
      </c>
      <c r="F414" s="3">
        <v>413154</v>
      </c>
      <c r="G414" s="1" t="s">
        <v>9</v>
      </c>
      <c r="H414" s="1" t="b">
        <f t="shared" si="20"/>
        <v>0</v>
      </c>
    </row>
    <row r="415" spans="1:8" ht="21" x14ac:dyDescent="0.25">
      <c r="A415" s="2" t="str">
        <f>HYPERLINK("https://rth.dk/resources/bsgatlas/details.php?id=BSGatlas-operon-176","BSGatlas-operon-176")</f>
        <v>BSGatlas-operon-176</v>
      </c>
      <c r="B415" s="2" t="str">
        <f>HYPERLINK("https://rth.dk/resources/bsgatlas/details.php?id=BSGatlas-gene-449","BSGatlas-gene-449")</f>
        <v>BSGatlas-gene-449</v>
      </c>
      <c r="C415" s="1" t="s">
        <v>428</v>
      </c>
      <c r="D415" s="1" t="s">
        <v>8</v>
      </c>
      <c r="E415" s="3">
        <v>413157</v>
      </c>
      <c r="F415" s="3">
        <v>414578</v>
      </c>
      <c r="G415" s="1" t="s">
        <v>9</v>
      </c>
      <c r="H415" s="1" t="b">
        <f t="shared" si="20"/>
        <v>0</v>
      </c>
    </row>
    <row r="416" spans="1:8" ht="21" x14ac:dyDescent="0.25">
      <c r="A416" s="2" t="str">
        <f>HYPERLINK("https://rth.dk/resources/bsgatlas/details.php?id=BSGatlas-operon-176","BSGatlas-operon-176")</f>
        <v>BSGatlas-operon-176</v>
      </c>
      <c r="B416" s="2" t="str">
        <f>HYPERLINK("https://rth.dk/resources/bsgatlas/details.php?id=BSGatlas-gene-450","BSGatlas-gene-450")</f>
        <v>BSGatlas-gene-450</v>
      </c>
      <c r="C416" s="1" t="s">
        <v>429</v>
      </c>
      <c r="D416" s="1" t="s">
        <v>8</v>
      </c>
      <c r="E416" s="3">
        <v>414595</v>
      </c>
      <c r="F416" s="3">
        <v>414822</v>
      </c>
      <c r="G416" s="1" t="s">
        <v>9</v>
      </c>
      <c r="H416" s="1" t="b">
        <f t="shared" si="20"/>
        <v>0</v>
      </c>
    </row>
    <row r="417" spans="1:8" ht="21" x14ac:dyDescent="0.25">
      <c r="A417" s="2" t="str">
        <f>HYPERLINK("https://rth.dk/resources/bsgatlas/details.php?id=BSGatlas-operon-177","BSGatlas-operon-177")</f>
        <v>BSGatlas-operon-177</v>
      </c>
      <c r="B417" s="2" t="str">
        <f>HYPERLINK("https://rth.dk/resources/bsgatlas/details.php?id=BSGatlas-gene-451","BSGatlas-gene-451")</f>
        <v>BSGatlas-gene-451</v>
      </c>
      <c r="C417" s="1" t="s">
        <v>430</v>
      </c>
      <c r="D417" s="1" t="s">
        <v>8</v>
      </c>
      <c r="E417" s="3">
        <v>414819</v>
      </c>
      <c r="F417" s="3">
        <v>415283</v>
      </c>
      <c r="G417" s="1" t="s">
        <v>9</v>
      </c>
      <c r="H417" s="1" t="b">
        <f t="shared" si="20"/>
        <v>1</v>
      </c>
    </row>
    <row r="418" spans="1:8" ht="21" x14ac:dyDescent="0.25">
      <c r="A418" s="2" t="str">
        <f>HYPERLINK("https://rth.dk/resources/bsgatlas/details.php?id=BSGatlas-operon-178","BSGatlas-operon-178")</f>
        <v>BSGatlas-operon-178</v>
      </c>
      <c r="B418" s="2" t="str">
        <f>HYPERLINK("https://rth.dk/resources/bsgatlas/details.php?id=BSGatlas-gene-452","BSGatlas-gene-452")</f>
        <v>BSGatlas-gene-452</v>
      </c>
      <c r="C418" s="1" t="s">
        <v>431</v>
      </c>
      <c r="D418" s="1" t="s">
        <v>8</v>
      </c>
      <c r="E418" s="3">
        <v>415350</v>
      </c>
      <c r="F418" s="3">
        <v>416195</v>
      </c>
      <c r="G418" s="1" t="s">
        <v>9</v>
      </c>
      <c r="H418" s="1" t="b">
        <f t="shared" si="20"/>
        <v>0</v>
      </c>
    </row>
    <row r="419" spans="1:8" ht="21" x14ac:dyDescent="0.25">
      <c r="A419" s="2" t="str">
        <f>HYPERLINK("https://rth.dk/resources/bsgatlas/details.php?id=BSGatlas-operon-179","BSGatlas-operon-179")</f>
        <v>BSGatlas-operon-179</v>
      </c>
      <c r="B419" s="2" t="str">
        <f>HYPERLINK("https://rth.dk/resources/bsgatlas/details.php?id=BSGatlas-gene-453","BSGatlas-gene-453")</f>
        <v>BSGatlas-gene-453</v>
      </c>
      <c r="C419" s="1" t="s">
        <v>432</v>
      </c>
      <c r="D419" s="1" t="s">
        <v>8</v>
      </c>
      <c r="E419" s="3">
        <v>416235</v>
      </c>
      <c r="F419" s="3">
        <v>417713</v>
      </c>
      <c r="G419" s="1" t="s">
        <v>13</v>
      </c>
      <c r="H419" s="1" t="b">
        <f t="shared" si="20"/>
        <v>1</v>
      </c>
    </row>
    <row r="420" spans="1:8" ht="21" x14ac:dyDescent="0.25">
      <c r="A420" s="2" t="str">
        <f>HYPERLINK("https://rth.dk/resources/bsgatlas/details.php?id=BSGatlas-operon-180","BSGatlas-operon-180")</f>
        <v>BSGatlas-operon-180</v>
      </c>
      <c r="B420" s="2" t="str">
        <f>HYPERLINK("https://rth.dk/resources/bsgatlas/details.php?id=BSGatlas-gene-454","BSGatlas-gene-454")</f>
        <v>BSGatlas-gene-454</v>
      </c>
      <c r="C420" s="1" t="s">
        <v>433</v>
      </c>
      <c r="D420" s="1" t="s">
        <v>8</v>
      </c>
      <c r="E420" s="3">
        <v>417993</v>
      </c>
      <c r="F420" s="3">
        <v>419747</v>
      </c>
      <c r="G420" s="1" t="s">
        <v>9</v>
      </c>
      <c r="H420" s="1" t="b">
        <f t="shared" si="20"/>
        <v>0</v>
      </c>
    </row>
    <row r="421" spans="1:8" ht="21" x14ac:dyDescent="0.25">
      <c r="A421" s="2" t="str">
        <f>HYPERLINK("https://rth.dk/resources/bsgatlas/details.php?id=BSGatlas-operon-181","BSGatlas-operon-181")</f>
        <v>BSGatlas-operon-181</v>
      </c>
      <c r="B421" s="2" t="str">
        <f>HYPERLINK("https://rth.dk/resources/bsgatlas/details.php?id=BSGatlas-gene-455","BSGatlas-gene-455")</f>
        <v>BSGatlas-gene-455</v>
      </c>
      <c r="C421" s="1" t="s">
        <v>434</v>
      </c>
      <c r="D421" s="1" t="s">
        <v>8</v>
      </c>
      <c r="E421" s="3">
        <v>419763</v>
      </c>
      <c r="F421" s="3">
        <v>419984</v>
      </c>
      <c r="G421" s="1" t="s">
        <v>13</v>
      </c>
      <c r="H421" s="1" t="b">
        <f t="shared" si="20"/>
        <v>1</v>
      </c>
    </row>
    <row r="422" spans="1:8" ht="21" x14ac:dyDescent="0.25">
      <c r="A422" s="2" t="str">
        <f>HYPERLINK("https://rth.dk/resources/bsgatlas/details.php?id=BSGatlas-operon-182","BSGatlas-operon-182")</f>
        <v>BSGatlas-operon-182</v>
      </c>
      <c r="B422" s="2" t="str">
        <f>HYPERLINK("https://rth.dk/resources/bsgatlas/details.php?id=BSGatlas-gene-456","BSGatlas-gene-456")</f>
        <v>BSGatlas-gene-456</v>
      </c>
      <c r="C422" s="1" t="s">
        <v>435</v>
      </c>
      <c r="D422" s="1" t="s">
        <v>8</v>
      </c>
      <c r="E422" s="3">
        <v>420110</v>
      </c>
      <c r="F422" s="3">
        <v>421744</v>
      </c>
      <c r="G422" s="1" t="s">
        <v>9</v>
      </c>
      <c r="H422" s="1" t="b">
        <f t="shared" si="20"/>
        <v>0</v>
      </c>
    </row>
    <row r="423" spans="1:8" ht="21" x14ac:dyDescent="0.25">
      <c r="A423" s="2" t="str">
        <f>HYPERLINK("https://rth.dk/resources/bsgatlas/details.php?id=BSGatlas-operon-182","BSGatlas-operon-182")</f>
        <v>BSGatlas-operon-182</v>
      </c>
      <c r="B423" s="2" t="str">
        <f>HYPERLINK("https://rth.dk/resources/bsgatlas/details.php?id=BSGatlas-gene-457","BSGatlas-gene-457")</f>
        <v>BSGatlas-gene-457</v>
      </c>
      <c r="C423" s="1" t="s">
        <v>436</v>
      </c>
      <c r="D423" s="1" t="s">
        <v>8</v>
      </c>
      <c r="E423" s="3">
        <v>421734</v>
      </c>
      <c r="F423" s="3">
        <v>422957</v>
      </c>
      <c r="G423" s="1" t="s">
        <v>9</v>
      </c>
      <c r="H423" s="1" t="b">
        <f t="shared" si="20"/>
        <v>0</v>
      </c>
    </row>
    <row r="424" spans="1:8" ht="21" x14ac:dyDescent="0.25">
      <c r="A424" s="2" t="str">
        <f>HYPERLINK("https://rth.dk/resources/bsgatlas/details.php?id=BSGatlas-operon-182","BSGatlas-operon-182")</f>
        <v>BSGatlas-operon-182</v>
      </c>
      <c r="B424" s="2" t="str">
        <f>HYPERLINK("https://rth.dk/resources/bsgatlas/details.php?id=BSGatlas-gene-458","BSGatlas-gene-458")</f>
        <v>BSGatlas-gene-458</v>
      </c>
      <c r="C424" s="1" t="s">
        <v>437</v>
      </c>
      <c r="D424" s="1" t="s">
        <v>8</v>
      </c>
      <c r="E424" s="3">
        <v>422982</v>
      </c>
      <c r="F424" s="3">
        <v>424103</v>
      </c>
      <c r="G424" s="1" t="s">
        <v>9</v>
      </c>
      <c r="H424" s="1" t="b">
        <f t="shared" si="20"/>
        <v>0</v>
      </c>
    </row>
    <row r="425" spans="1:8" ht="21" x14ac:dyDescent="0.25">
      <c r="A425" s="2" t="str">
        <f>HYPERLINK("https://rth.dk/resources/bsgatlas/details.php?id=BSGatlas-operon-183","BSGatlas-operon-183")</f>
        <v>BSGatlas-operon-183</v>
      </c>
      <c r="B425" s="2" t="str">
        <f>HYPERLINK("https://rth.dk/resources/bsgatlas/details.php?id=BSGatlas-gene-459","BSGatlas-gene-459")</f>
        <v>BSGatlas-gene-459</v>
      </c>
      <c r="C425" s="1" t="s">
        <v>438</v>
      </c>
      <c r="D425" s="1" t="s">
        <v>8</v>
      </c>
      <c r="E425" s="3">
        <v>424208</v>
      </c>
      <c r="F425" s="3">
        <v>424888</v>
      </c>
      <c r="G425" s="1" t="s">
        <v>13</v>
      </c>
      <c r="H425" s="1" t="b">
        <f t="shared" si="20"/>
        <v>1</v>
      </c>
    </row>
    <row r="426" spans="1:8" ht="21" x14ac:dyDescent="0.25">
      <c r="A426" s="2" t="str">
        <f>HYPERLINK("https://rth.dk/resources/bsgatlas/details.php?id=BSGatlas-operon-183","BSGatlas-operon-183")</f>
        <v>BSGatlas-operon-183</v>
      </c>
      <c r="B426" s="2" t="str">
        <f>HYPERLINK("https://rth.dk/resources/bsgatlas/details.php?id=BSGatlas-gene-460","BSGatlas-gene-460")</f>
        <v>BSGatlas-gene-460</v>
      </c>
      <c r="C426" s="1" t="s">
        <v>439</v>
      </c>
      <c r="D426" s="1" t="s">
        <v>8</v>
      </c>
      <c r="E426" s="3">
        <v>424904</v>
      </c>
      <c r="F426" s="3">
        <v>426364</v>
      </c>
      <c r="G426" s="1" t="s">
        <v>13</v>
      </c>
      <c r="H426" s="1" t="b">
        <f t="shared" si="20"/>
        <v>1</v>
      </c>
    </row>
    <row r="427" spans="1:8" ht="21" x14ac:dyDescent="0.25">
      <c r="A427" s="2" t="str">
        <f>HYPERLINK("https://rth.dk/resources/bsgatlas/details.php?id=BSGatlas-operon-184","BSGatlas-operon-184")</f>
        <v>BSGatlas-operon-184</v>
      </c>
      <c r="B427" s="2" t="str">
        <f>HYPERLINK("https://rth.dk/resources/bsgatlas/details.php?id=BSGatlas-gene-461","BSGatlas-gene-461")</f>
        <v>BSGatlas-gene-461</v>
      </c>
      <c r="C427" s="1" t="s">
        <v>440</v>
      </c>
      <c r="D427" s="1" t="s">
        <v>8</v>
      </c>
      <c r="E427" s="3">
        <v>426577</v>
      </c>
      <c r="F427" s="3">
        <v>427260</v>
      </c>
      <c r="G427" s="1" t="s">
        <v>9</v>
      </c>
      <c r="H427" s="1" t="b">
        <f t="shared" si="20"/>
        <v>0</v>
      </c>
    </row>
    <row r="428" spans="1:8" ht="21" x14ac:dyDescent="0.25">
      <c r="A428" s="2" t="str">
        <f>HYPERLINK("https://rth.dk/resources/bsgatlas/details.php?id=BSGatlas-operon-184","BSGatlas-operon-184")</f>
        <v>BSGatlas-operon-184</v>
      </c>
      <c r="B428" s="2" t="str">
        <f>HYPERLINK("https://rth.dk/resources/bsgatlas/details.php?id=BSGatlas-gene-462","BSGatlas-gene-462")</f>
        <v>BSGatlas-gene-462</v>
      </c>
      <c r="C428" s="1" t="s">
        <v>441</v>
      </c>
      <c r="D428" s="1" t="s">
        <v>8</v>
      </c>
      <c r="E428" s="3">
        <v>427247</v>
      </c>
      <c r="F428" s="3">
        <v>428668</v>
      </c>
      <c r="G428" s="1" t="s">
        <v>9</v>
      </c>
      <c r="H428" s="1" t="b">
        <f t="shared" si="20"/>
        <v>0</v>
      </c>
    </row>
    <row r="429" spans="1:8" ht="21" x14ac:dyDescent="0.25">
      <c r="A429" s="2" t="str">
        <f>HYPERLINK("https://rth.dk/resources/bsgatlas/details.php?id=BSGatlas-operon-185","BSGatlas-operon-185")</f>
        <v>BSGatlas-operon-185</v>
      </c>
      <c r="B429" s="2" t="str">
        <f>HYPERLINK("https://rth.dk/resources/bsgatlas/details.php?id=BSGatlas-gene-463","BSGatlas-gene-463")</f>
        <v>BSGatlas-gene-463</v>
      </c>
      <c r="C429" s="1" t="s">
        <v>442</v>
      </c>
      <c r="D429" s="1" t="s">
        <v>8</v>
      </c>
      <c r="E429" s="3">
        <v>428831</v>
      </c>
      <c r="F429" s="3">
        <v>429979</v>
      </c>
      <c r="G429" s="1" t="s">
        <v>9</v>
      </c>
      <c r="H429" s="1" t="b">
        <f t="shared" si="20"/>
        <v>1</v>
      </c>
    </row>
    <row r="430" spans="1:8" ht="21" x14ac:dyDescent="0.25">
      <c r="A430" s="2" t="str">
        <f>HYPERLINK("https://rth.dk/resources/bsgatlas/details.php?id=BSGatlas-operon-185","BSGatlas-operon-185")</f>
        <v>BSGatlas-operon-185</v>
      </c>
      <c r="B430" s="2" t="str">
        <f>HYPERLINK("https://rth.dk/resources/bsgatlas/details.php?id=BSGatlas-gene-464","BSGatlas-gene-464")</f>
        <v>BSGatlas-gene-464</v>
      </c>
      <c r="C430" s="1" t="s">
        <v>443</v>
      </c>
      <c r="D430" s="1" t="s">
        <v>8</v>
      </c>
      <c r="E430" s="3">
        <v>429963</v>
      </c>
      <c r="F430" s="3">
        <v>430085</v>
      </c>
      <c r="G430" s="1" t="s">
        <v>9</v>
      </c>
      <c r="H430" s="1" t="b">
        <f t="shared" si="20"/>
        <v>1</v>
      </c>
    </row>
    <row r="431" spans="1:8" ht="21" x14ac:dyDescent="0.25">
      <c r="A431" s="2" t="str">
        <f>HYPERLINK("https://rth.dk/resources/bsgatlas/details.php?id=BSGatlas-operon-186","BSGatlas-operon-186")</f>
        <v>BSGatlas-operon-186</v>
      </c>
      <c r="B431" s="2" t="str">
        <f>HYPERLINK("https://rth.dk/resources/bsgatlas/details.php?id=BSGatlas-gene-465","BSGatlas-gene-465")</f>
        <v>BSGatlas-gene-465</v>
      </c>
      <c r="C431" s="1" t="s">
        <v>444</v>
      </c>
      <c r="D431" s="1" t="s">
        <v>8</v>
      </c>
      <c r="E431" s="3">
        <v>430185</v>
      </c>
      <c r="F431" s="3">
        <v>430274</v>
      </c>
      <c r="G431" s="1" t="s">
        <v>13</v>
      </c>
      <c r="H431" s="1" t="b">
        <f t="shared" si="20"/>
        <v>0</v>
      </c>
    </row>
    <row r="432" spans="1:8" ht="21" x14ac:dyDescent="0.25">
      <c r="A432" s="2" t="str">
        <f>HYPERLINK("https://rth.dk/resources/bsgatlas/details.php?id=BSGatlas-operon-186","BSGatlas-operon-186")</f>
        <v>BSGatlas-operon-186</v>
      </c>
      <c r="B432" s="2" t="str">
        <f>HYPERLINK("https://rth.dk/resources/bsgatlas/details.php?id=BSGatlas-gene-466","BSGatlas-gene-466")</f>
        <v>BSGatlas-gene-466</v>
      </c>
      <c r="C432" s="1" t="s">
        <v>445</v>
      </c>
      <c r="D432" s="1" t="s">
        <v>8</v>
      </c>
      <c r="E432" s="3">
        <v>430356</v>
      </c>
      <c r="F432" s="3">
        <v>430469</v>
      </c>
      <c r="G432" s="1" t="s">
        <v>13</v>
      </c>
      <c r="H432" s="1" t="b">
        <f t="shared" si="20"/>
        <v>0</v>
      </c>
    </row>
    <row r="433" spans="1:8" ht="21" x14ac:dyDescent="0.25">
      <c r="A433" s="2" t="str">
        <f>HYPERLINK("https://rth.dk/resources/bsgatlas/details.php?id=BSGatlas-operon-187","BSGatlas-operon-187")</f>
        <v>BSGatlas-operon-187</v>
      </c>
      <c r="B433" s="2" t="str">
        <f>HYPERLINK("https://rth.dk/resources/bsgatlas/details.php?id=BSGatlas-gene-467","BSGatlas-gene-467")</f>
        <v>BSGatlas-gene-467</v>
      </c>
      <c r="C433" s="1" t="s">
        <v>446</v>
      </c>
      <c r="D433" s="1" t="s">
        <v>8</v>
      </c>
      <c r="E433" s="3">
        <v>430623</v>
      </c>
      <c r="F433" s="3">
        <v>431987</v>
      </c>
      <c r="G433" s="1" t="s">
        <v>13</v>
      </c>
      <c r="H433" s="1" t="b">
        <f t="shared" si="20"/>
        <v>1</v>
      </c>
    </row>
    <row r="434" spans="1:8" ht="21" x14ac:dyDescent="0.25">
      <c r="A434" s="2" t="str">
        <f>HYPERLINK("https://rth.dk/resources/bsgatlas/details.php?id=BSGatlas-operon-188","BSGatlas-operon-188")</f>
        <v>BSGatlas-operon-188</v>
      </c>
      <c r="B434" s="2" t="str">
        <f>HYPERLINK("https://rth.dk/resources/bsgatlas/details.php?id=BSGatlas-gene-468","BSGatlas-gene-468")</f>
        <v>BSGatlas-gene-468</v>
      </c>
      <c r="C434" s="1" t="s">
        <v>447</v>
      </c>
      <c r="D434" s="1" t="s">
        <v>8</v>
      </c>
      <c r="E434" s="3">
        <v>432372</v>
      </c>
      <c r="F434" s="3">
        <v>433322</v>
      </c>
      <c r="G434" s="1" t="s">
        <v>9</v>
      </c>
      <c r="H434" s="1" t="b">
        <f t="shared" si="20"/>
        <v>0</v>
      </c>
    </row>
    <row r="435" spans="1:8" ht="21" x14ac:dyDescent="0.25">
      <c r="A435" s="2" t="str">
        <f>HYPERLINK("https://rth.dk/resources/bsgatlas/details.php?id=BSGatlas-operon-188","BSGatlas-operon-188")</f>
        <v>BSGatlas-operon-188</v>
      </c>
      <c r="B435" s="2" t="str">
        <f>HYPERLINK("https://rth.dk/resources/bsgatlas/details.php?id=BSGatlas-gene-469","BSGatlas-gene-469")</f>
        <v>BSGatlas-gene-469</v>
      </c>
      <c r="C435" s="1" t="s">
        <v>448</v>
      </c>
      <c r="D435" s="1" t="s">
        <v>8</v>
      </c>
      <c r="E435" s="3">
        <v>433315</v>
      </c>
      <c r="F435" s="3">
        <v>434262</v>
      </c>
      <c r="G435" s="1" t="s">
        <v>9</v>
      </c>
      <c r="H435" s="1" t="b">
        <f t="shared" si="20"/>
        <v>0</v>
      </c>
    </row>
    <row r="436" spans="1:8" ht="21" x14ac:dyDescent="0.25">
      <c r="A436" s="2" t="str">
        <f>HYPERLINK("https://rth.dk/resources/bsgatlas/details.php?id=BSGatlas-operon-188","BSGatlas-operon-188")</f>
        <v>BSGatlas-operon-188</v>
      </c>
      <c r="B436" s="2" t="str">
        <f>HYPERLINK("https://rth.dk/resources/bsgatlas/details.php?id=BSGatlas-gene-470","BSGatlas-gene-470")</f>
        <v>BSGatlas-gene-470</v>
      </c>
      <c r="C436" s="1" t="s">
        <v>449</v>
      </c>
      <c r="D436" s="1" t="s">
        <v>8</v>
      </c>
      <c r="E436" s="3">
        <v>434256</v>
      </c>
      <c r="F436" s="3">
        <v>435014</v>
      </c>
      <c r="G436" s="1" t="s">
        <v>9</v>
      </c>
      <c r="H436" s="1" t="b">
        <f t="shared" si="20"/>
        <v>0</v>
      </c>
    </row>
    <row r="437" spans="1:8" ht="21" x14ac:dyDescent="0.25">
      <c r="A437" s="2" t="str">
        <f>HYPERLINK("https://rth.dk/resources/bsgatlas/details.php?id=BSGatlas-operon-188","BSGatlas-operon-188")</f>
        <v>BSGatlas-operon-188</v>
      </c>
      <c r="B437" s="2" t="str">
        <f>HYPERLINK("https://rth.dk/resources/bsgatlas/details.php?id=BSGatlas-gene-471","BSGatlas-gene-471")</f>
        <v>BSGatlas-gene-471</v>
      </c>
      <c r="C437" s="1" t="s">
        <v>450</v>
      </c>
      <c r="D437" s="1" t="s">
        <v>8</v>
      </c>
      <c r="E437" s="3">
        <v>435036</v>
      </c>
      <c r="F437" s="3">
        <v>435989</v>
      </c>
      <c r="G437" s="1" t="s">
        <v>9</v>
      </c>
      <c r="H437" s="1" t="b">
        <f t="shared" si="20"/>
        <v>0</v>
      </c>
    </row>
    <row r="438" spans="1:8" ht="21" x14ac:dyDescent="0.25">
      <c r="A438" s="2" t="str">
        <f>HYPERLINK("https://rth.dk/resources/bsgatlas/details.php?id=BSGatlas-operon-189","BSGatlas-operon-189")</f>
        <v>BSGatlas-operon-189</v>
      </c>
      <c r="B438" s="2" t="str">
        <f>HYPERLINK("https://rth.dk/resources/bsgatlas/details.php?id=BSGatlas-gene-472","BSGatlas-gene-472")</f>
        <v>BSGatlas-gene-472</v>
      </c>
      <c r="C438" s="1" t="s">
        <v>451</v>
      </c>
      <c r="D438" s="1" t="s">
        <v>8</v>
      </c>
      <c r="E438" s="3">
        <v>436036</v>
      </c>
      <c r="F438" s="3">
        <v>437454</v>
      </c>
      <c r="G438" s="1" t="s">
        <v>13</v>
      </c>
      <c r="H438" s="1" t="b">
        <f t="shared" si="20"/>
        <v>1</v>
      </c>
    </row>
    <row r="439" spans="1:8" ht="21" x14ac:dyDescent="0.25">
      <c r="A439" s="2" t="str">
        <f>HYPERLINK("https://rth.dk/resources/bsgatlas/details.php?id=BSGatlas-operon-189","BSGatlas-operon-189")</f>
        <v>BSGatlas-operon-189</v>
      </c>
      <c r="B439" s="2" t="str">
        <f>HYPERLINK("https://rth.dk/resources/bsgatlas/details.php?id=BSGatlas-gene-473","BSGatlas-gene-473")</f>
        <v>BSGatlas-gene-473</v>
      </c>
      <c r="C439" s="1" t="s">
        <v>452</v>
      </c>
      <c r="D439" s="1" t="s">
        <v>8</v>
      </c>
      <c r="E439" s="3">
        <v>437474</v>
      </c>
      <c r="F439" s="3">
        <v>438352</v>
      </c>
      <c r="G439" s="1" t="s">
        <v>13</v>
      </c>
      <c r="H439" s="1" t="b">
        <f t="shared" si="20"/>
        <v>1</v>
      </c>
    </row>
    <row r="440" spans="1:8" ht="21" x14ac:dyDescent="0.25">
      <c r="A440" s="2" t="str">
        <f>HYPERLINK("https://rth.dk/resources/bsgatlas/details.php?id=BSGatlas-operon-190","BSGatlas-operon-190")</f>
        <v>BSGatlas-operon-190</v>
      </c>
      <c r="B440" s="2" t="str">
        <f>HYPERLINK("https://rth.dk/resources/bsgatlas/details.php?id=BSGatlas-gene-474","BSGatlas-gene-474")</f>
        <v>BSGatlas-gene-474</v>
      </c>
      <c r="C440" s="1" t="s">
        <v>453</v>
      </c>
      <c r="D440" s="1" t="s">
        <v>8</v>
      </c>
      <c r="E440" s="3">
        <v>438516</v>
      </c>
      <c r="F440" s="3">
        <v>439265</v>
      </c>
      <c r="G440" s="1" t="s">
        <v>13</v>
      </c>
      <c r="H440" s="1" t="b">
        <f t="shared" si="20"/>
        <v>0</v>
      </c>
    </row>
    <row r="441" spans="1:8" ht="21" x14ac:dyDescent="0.25">
      <c r="A441" s="2" t="str">
        <f>HYPERLINK("https://rth.dk/resources/bsgatlas/details.php?id=BSGatlas-operon-190","BSGatlas-operon-190")</f>
        <v>BSGatlas-operon-190</v>
      </c>
      <c r="B441" s="2" t="str">
        <f>HYPERLINK("https://rth.dk/resources/bsgatlas/details.php?id=BSGatlas-gene-475","BSGatlas-gene-475")</f>
        <v>BSGatlas-gene-475</v>
      </c>
      <c r="C441" s="1" t="s">
        <v>454</v>
      </c>
      <c r="D441" s="1" t="s">
        <v>8</v>
      </c>
      <c r="E441" s="3">
        <v>439282</v>
      </c>
      <c r="F441" s="3">
        <v>439569</v>
      </c>
      <c r="G441" s="1" t="s">
        <v>13</v>
      </c>
      <c r="H441" s="1" t="b">
        <f t="shared" si="20"/>
        <v>0</v>
      </c>
    </row>
    <row r="442" spans="1:8" ht="21" x14ac:dyDescent="0.25">
      <c r="A442" s="2" t="str">
        <f>HYPERLINK("https://rth.dk/resources/bsgatlas/details.php?id=BSGatlas-operon-191","BSGatlas-operon-191")</f>
        <v>BSGatlas-operon-191</v>
      </c>
      <c r="B442" s="2" t="str">
        <f>HYPERLINK("https://rth.dk/resources/bsgatlas/details.php?id=BSGatlas-gene-476","BSGatlas-gene-476")</f>
        <v>BSGatlas-gene-476</v>
      </c>
      <c r="C442" s="1" t="s">
        <v>455</v>
      </c>
      <c r="D442" s="1" t="s">
        <v>8</v>
      </c>
      <c r="E442" s="3">
        <v>439709</v>
      </c>
      <c r="F442" s="3">
        <v>440023</v>
      </c>
      <c r="G442" s="1" t="s">
        <v>9</v>
      </c>
      <c r="H442" s="1" t="b">
        <f t="shared" si="20"/>
        <v>1</v>
      </c>
    </row>
    <row r="443" spans="1:8" ht="21" x14ac:dyDescent="0.25">
      <c r="A443" s="2" t="str">
        <f>HYPERLINK("https://rth.dk/resources/bsgatlas/details.php?id=BSGatlas-operon-192","BSGatlas-operon-192")</f>
        <v>BSGatlas-operon-192</v>
      </c>
      <c r="B443" s="2" t="str">
        <f>HYPERLINK("https://rth.dk/resources/bsgatlas/details.php?id=BSGatlas-gene-477","BSGatlas-gene-477")</f>
        <v>BSGatlas-gene-477</v>
      </c>
      <c r="C443" s="1" t="s">
        <v>456</v>
      </c>
      <c r="D443" s="1" t="s">
        <v>8</v>
      </c>
      <c r="E443" s="3">
        <v>440025</v>
      </c>
      <c r="F443" s="3">
        <v>441464</v>
      </c>
      <c r="G443" s="1" t="s">
        <v>13</v>
      </c>
      <c r="H443" s="1" t="b">
        <f t="shared" si="20"/>
        <v>0</v>
      </c>
    </row>
    <row r="444" spans="1:8" ht="21" x14ac:dyDescent="0.25">
      <c r="A444" s="2" t="str">
        <f>HYPERLINK("https://rth.dk/resources/bsgatlas/details.php?id=BSGatlas-operon-193","BSGatlas-operon-193")</f>
        <v>BSGatlas-operon-193</v>
      </c>
      <c r="B444" s="2" t="str">
        <f>HYPERLINK("https://rth.dk/resources/bsgatlas/details.php?id=BSGatlas-gene-478","BSGatlas-gene-478")</f>
        <v>BSGatlas-gene-478</v>
      </c>
      <c r="C444" s="1" t="s">
        <v>457</v>
      </c>
      <c r="D444" s="1" t="s">
        <v>8</v>
      </c>
      <c r="E444" s="3">
        <v>441571</v>
      </c>
      <c r="F444" s="3">
        <v>442881</v>
      </c>
      <c r="G444" s="1" t="s">
        <v>9</v>
      </c>
      <c r="H444" s="1" t="b">
        <f t="shared" si="20"/>
        <v>1</v>
      </c>
    </row>
    <row r="445" spans="1:8" ht="21" x14ac:dyDescent="0.25">
      <c r="A445" s="2" t="str">
        <f>HYPERLINK("https://rth.dk/resources/bsgatlas/details.php?id=BSGatlas-operon-193","BSGatlas-operon-193")</f>
        <v>BSGatlas-operon-193</v>
      </c>
      <c r="B445" s="2" t="str">
        <f>HYPERLINK("https://rth.dk/resources/bsgatlas/details.php?id=BSGatlas-gene-479","BSGatlas-gene-479")</f>
        <v>BSGatlas-gene-479</v>
      </c>
      <c r="C445" s="1" t="s">
        <v>458</v>
      </c>
      <c r="D445" s="1" t="s">
        <v>8</v>
      </c>
      <c r="E445" s="3">
        <v>442950</v>
      </c>
      <c r="F445" s="3">
        <v>444338</v>
      </c>
      <c r="G445" s="1" t="s">
        <v>9</v>
      </c>
      <c r="H445" s="1" t="b">
        <f t="shared" si="20"/>
        <v>1</v>
      </c>
    </row>
    <row r="446" spans="1:8" ht="21" x14ac:dyDescent="0.25">
      <c r="A446" s="2" t="str">
        <f>HYPERLINK("https://rth.dk/resources/bsgatlas/details.php?id=BSGatlas-operon-194","BSGatlas-operon-194")</f>
        <v>BSGatlas-operon-194</v>
      </c>
      <c r="B446" s="2" t="str">
        <f>HYPERLINK("https://rth.dk/resources/bsgatlas/details.php?id=BSGatlas-gene-480","BSGatlas-gene-480")</f>
        <v>BSGatlas-gene-480</v>
      </c>
      <c r="C446" s="1" t="s">
        <v>459</v>
      </c>
      <c r="D446" s="1" t="s">
        <v>8</v>
      </c>
      <c r="E446" s="3">
        <v>444461</v>
      </c>
      <c r="F446" s="3">
        <v>445324</v>
      </c>
      <c r="G446" s="1" t="s">
        <v>9</v>
      </c>
      <c r="H446" s="1" t="b">
        <f t="shared" si="20"/>
        <v>0</v>
      </c>
    </row>
    <row r="447" spans="1:8" ht="21" x14ac:dyDescent="0.25">
      <c r="A447" s="2" t="str">
        <f>HYPERLINK("https://rth.dk/resources/bsgatlas/details.php?id=BSGatlas-operon-194","BSGatlas-operon-194")</f>
        <v>BSGatlas-operon-194</v>
      </c>
      <c r="B447" s="2" t="str">
        <f>HYPERLINK("https://rth.dk/resources/bsgatlas/details.php?id=BSGatlas-gene-481","BSGatlas-gene-481")</f>
        <v>BSGatlas-gene-481</v>
      </c>
      <c r="C447" s="1" t="s">
        <v>460</v>
      </c>
      <c r="D447" s="1" t="s">
        <v>8</v>
      </c>
      <c r="E447" s="3">
        <v>445344</v>
      </c>
      <c r="F447" s="3">
        <v>446129</v>
      </c>
      <c r="G447" s="1" t="s">
        <v>9</v>
      </c>
      <c r="H447" s="1" t="b">
        <f t="shared" si="20"/>
        <v>0</v>
      </c>
    </row>
    <row r="448" spans="1:8" ht="21" x14ac:dyDescent="0.25">
      <c r="A448" s="2" t="str">
        <f>HYPERLINK("https://rth.dk/resources/bsgatlas/details.php?id=BSGatlas-operon-195","BSGatlas-operon-195")</f>
        <v>BSGatlas-operon-195</v>
      </c>
      <c r="B448" s="2" t="str">
        <f>HYPERLINK("https://rth.dk/resources/bsgatlas/details.php?id=BSGatlas-gene-482","BSGatlas-gene-482")</f>
        <v>BSGatlas-gene-482</v>
      </c>
      <c r="C448" s="1" t="s">
        <v>461</v>
      </c>
      <c r="D448" s="1" t="s">
        <v>8</v>
      </c>
      <c r="E448" s="3">
        <v>446174</v>
      </c>
      <c r="F448" s="3">
        <v>446788</v>
      </c>
      <c r="G448" s="1" t="s">
        <v>13</v>
      </c>
      <c r="H448" s="1" t="b">
        <f t="shared" si="20"/>
        <v>1</v>
      </c>
    </row>
    <row r="449" spans="1:8" ht="21" x14ac:dyDescent="0.25">
      <c r="A449" s="2" t="str">
        <f>HYPERLINK("https://rth.dk/resources/bsgatlas/details.php?id=BSGatlas-operon-195","BSGatlas-operon-195")</f>
        <v>BSGatlas-operon-195</v>
      </c>
      <c r="B449" s="2" t="str">
        <f>HYPERLINK("https://rth.dk/resources/bsgatlas/details.php?id=BSGatlas-gene-483","BSGatlas-gene-483")</f>
        <v>BSGatlas-gene-483</v>
      </c>
      <c r="C449" s="1" t="s">
        <v>462</v>
      </c>
      <c r="D449" s="1" t="s">
        <v>8</v>
      </c>
      <c r="E449" s="3">
        <v>446801</v>
      </c>
      <c r="F449" s="3">
        <v>448426</v>
      </c>
      <c r="G449" s="1" t="s">
        <v>13</v>
      </c>
      <c r="H449" s="1" t="b">
        <f t="shared" si="20"/>
        <v>1</v>
      </c>
    </row>
    <row r="450" spans="1:8" ht="21" x14ac:dyDescent="0.25">
      <c r="A450" s="2" t="str">
        <f>HYPERLINK("https://rth.dk/resources/bsgatlas/details.php?id=BSGatlas-operon-195","BSGatlas-operon-195")</f>
        <v>BSGatlas-operon-195</v>
      </c>
      <c r="B450" s="2" t="str">
        <f>HYPERLINK("https://rth.dk/resources/bsgatlas/details.php?id=BSGatlas-gene-484","BSGatlas-gene-484")</f>
        <v>BSGatlas-gene-484</v>
      </c>
      <c r="C450" s="1" t="s">
        <v>463</v>
      </c>
      <c r="D450" s="1" t="s">
        <v>8</v>
      </c>
      <c r="E450" s="3">
        <v>448461</v>
      </c>
      <c r="F450" s="3">
        <v>449033</v>
      </c>
      <c r="G450" s="1" t="s">
        <v>13</v>
      </c>
      <c r="H450" s="1" t="b">
        <f t="shared" ref="H450:H513" si="21">_xlfn.XOR(A449&lt;&gt;A450,H449)</f>
        <v>1</v>
      </c>
    </row>
    <row r="451" spans="1:8" ht="21" x14ac:dyDescent="0.25">
      <c r="A451" s="2" t="str">
        <f>HYPERLINK("https://rth.dk/resources/bsgatlas/details.php?id=BSGatlas-operon-196","BSGatlas-operon-196")</f>
        <v>BSGatlas-operon-196</v>
      </c>
      <c r="B451" s="2" t="str">
        <f>HYPERLINK("https://rth.dk/resources/bsgatlas/details.php?id=BSGatlas-gene-485","BSGatlas-gene-485")</f>
        <v>BSGatlas-gene-485</v>
      </c>
      <c r="C451" s="1" t="s">
        <v>464</v>
      </c>
      <c r="D451" s="1" t="s">
        <v>8</v>
      </c>
      <c r="E451" s="3">
        <v>449198</v>
      </c>
      <c r="F451" s="3">
        <v>449551</v>
      </c>
      <c r="G451" s="1" t="s">
        <v>9</v>
      </c>
      <c r="H451" s="1" t="b">
        <f t="shared" si="21"/>
        <v>0</v>
      </c>
    </row>
    <row r="452" spans="1:8" ht="21" x14ac:dyDescent="0.25">
      <c r="A452" s="2" t="str">
        <f>HYPERLINK("https://rth.dk/resources/bsgatlas/details.php?id=BSGatlas-operon-197","BSGatlas-operon-197")</f>
        <v>BSGatlas-operon-197</v>
      </c>
      <c r="B452" s="2" t="str">
        <f>HYPERLINK("https://rth.dk/resources/bsgatlas/details.php?id=BSGatlas-gene-486","BSGatlas-gene-486")</f>
        <v>BSGatlas-gene-486</v>
      </c>
      <c r="C452" s="1" t="s">
        <v>465</v>
      </c>
      <c r="D452" s="1" t="s">
        <v>8</v>
      </c>
      <c r="E452" s="3">
        <v>449724</v>
      </c>
      <c r="F452" s="3">
        <v>451160</v>
      </c>
      <c r="G452" s="1" t="s">
        <v>9</v>
      </c>
      <c r="H452" s="1" t="b">
        <f t="shared" si="21"/>
        <v>1</v>
      </c>
    </row>
    <row r="453" spans="1:8" ht="21" x14ac:dyDescent="0.25">
      <c r="A453" s="2" t="str">
        <f>HYPERLINK("https://rth.dk/resources/bsgatlas/details.php?id=BSGatlas-operon-197","BSGatlas-operon-197")</f>
        <v>BSGatlas-operon-197</v>
      </c>
      <c r="B453" s="2" t="str">
        <f>HYPERLINK("https://rth.dk/resources/bsgatlas/details.php?id=BSGatlas-gene-487","BSGatlas-gene-487")</f>
        <v>BSGatlas-gene-487</v>
      </c>
      <c r="C453" s="1" t="s">
        <v>466</v>
      </c>
      <c r="D453" s="1" t="s">
        <v>8</v>
      </c>
      <c r="E453" s="3">
        <v>451185</v>
      </c>
      <c r="F453" s="3">
        <v>451616</v>
      </c>
      <c r="G453" s="1" t="s">
        <v>9</v>
      </c>
      <c r="H453" s="1" t="b">
        <f t="shared" si="21"/>
        <v>1</v>
      </c>
    </row>
    <row r="454" spans="1:8" ht="21" x14ac:dyDescent="0.25">
      <c r="A454" s="2" t="str">
        <f>HYPERLINK("https://rth.dk/resources/bsgatlas/details.php?id=BSGatlas-operon-197","BSGatlas-operon-197")</f>
        <v>BSGatlas-operon-197</v>
      </c>
      <c r="B454" s="2" t="str">
        <f>HYPERLINK("https://rth.dk/resources/bsgatlas/details.php?id=BSGatlas-gene-488","BSGatlas-gene-488")</f>
        <v>BSGatlas-gene-488</v>
      </c>
      <c r="C454" s="1" t="s">
        <v>467</v>
      </c>
      <c r="D454" s="1" t="s">
        <v>8</v>
      </c>
      <c r="E454" s="3">
        <v>451618</v>
      </c>
      <c r="F454" s="3">
        <v>452739</v>
      </c>
      <c r="G454" s="1" t="s">
        <v>9</v>
      </c>
      <c r="H454" s="1" t="b">
        <f t="shared" si="21"/>
        <v>1</v>
      </c>
    </row>
    <row r="455" spans="1:8" ht="21" x14ac:dyDescent="0.25">
      <c r="A455" s="2" t="str">
        <f>HYPERLINK("https://rth.dk/resources/bsgatlas/details.php?id=BSGatlas-operon-198","BSGatlas-operon-198")</f>
        <v>BSGatlas-operon-198</v>
      </c>
      <c r="B455" s="2" t="str">
        <f>HYPERLINK("https://rth.dk/resources/bsgatlas/details.php?id=BSGatlas-gene-489","BSGatlas-gene-489")</f>
        <v>BSGatlas-gene-489</v>
      </c>
      <c r="C455" s="1" t="s">
        <v>468</v>
      </c>
      <c r="D455" s="1" t="s">
        <v>8</v>
      </c>
      <c r="E455" s="3">
        <v>452830</v>
      </c>
      <c r="F455" s="3">
        <v>453894</v>
      </c>
      <c r="G455" s="1" t="s">
        <v>9</v>
      </c>
      <c r="H455" s="1" t="b">
        <f t="shared" si="21"/>
        <v>0</v>
      </c>
    </row>
    <row r="456" spans="1:8" ht="21" x14ac:dyDescent="0.25">
      <c r="A456" s="2" t="str">
        <f>HYPERLINK("https://rth.dk/resources/bsgatlas/details.php?id=BSGatlas-operon-199","BSGatlas-operon-199")</f>
        <v>BSGatlas-operon-199</v>
      </c>
      <c r="B456" s="2" t="str">
        <f>HYPERLINK("https://rth.dk/resources/bsgatlas/details.php?id=BSGatlas-gene-490","BSGatlas-gene-490")</f>
        <v>BSGatlas-gene-490</v>
      </c>
      <c r="C456" s="1" t="s">
        <v>469</v>
      </c>
      <c r="D456" s="1" t="s">
        <v>8</v>
      </c>
      <c r="E456" s="3">
        <v>454029</v>
      </c>
      <c r="F456" s="3">
        <v>454592</v>
      </c>
      <c r="G456" s="1" t="s">
        <v>9</v>
      </c>
      <c r="H456" s="1" t="b">
        <f t="shared" si="21"/>
        <v>1</v>
      </c>
    </row>
    <row r="457" spans="1:8" ht="21" x14ac:dyDescent="0.25">
      <c r="A457" s="2" t="str">
        <f>HYPERLINK("https://rth.dk/resources/bsgatlas/details.php?id=BSGatlas-operon-200","BSGatlas-operon-200")</f>
        <v>BSGatlas-operon-200</v>
      </c>
      <c r="B457" s="2" t="str">
        <f>HYPERLINK("https://rth.dk/resources/bsgatlas/details.php?id=BSGatlas-gene-491","BSGatlas-gene-491")</f>
        <v>BSGatlas-gene-491</v>
      </c>
      <c r="C457" s="1" t="s">
        <v>470</v>
      </c>
      <c r="D457" s="1" t="s">
        <v>8</v>
      </c>
      <c r="E457" s="3">
        <v>454652</v>
      </c>
      <c r="F457" s="3">
        <v>455260</v>
      </c>
      <c r="G457" s="1" t="s">
        <v>13</v>
      </c>
      <c r="H457" s="1" t="b">
        <f t="shared" si="21"/>
        <v>0</v>
      </c>
    </row>
    <row r="458" spans="1:8" ht="21" x14ac:dyDescent="0.25">
      <c r="A458" s="2" t="str">
        <f>HYPERLINK("https://rth.dk/resources/bsgatlas/details.php?id=BSGatlas-operon-201","BSGatlas-operon-201")</f>
        <v>BSGatlas-operon-201</v>
      </c>
      <c r="B458" s="2" t="str">
        <f>HYPERLINK("https://rth.dk/resources/bsgatlas/details.php?id=BSGatlas-gene-492","BSGatlas-gene-492")</f>
        <v>BSGatlas-gene-492</v>
      </c>
      <c r="C458" s="1" t="s">
        <v>471</v>
      </c>
      <c r="D458" s="1" t="s">
        <v>8</v>
      </c>
      <c r="E458" s="3">
        <v>455346</v>
      </c>
      <c r="F458" s="3">
        <v>455738</v>
      </c>
      <c r="G458" s="1" t="s">
        <v>9</v>
      </c>
      <c r="H458" s="1" t="b">
        <f t="shared" si="21"/>
        <v>1</v>
      </c>
    </row>
    <row r="459" spans="1:8" ht="21" x14ac:dyDescent="0.25">
      <c r="A459" s="2" t="str">
        <f>HYPERLINK("https://rth.dk/resources/bsgatlas/details.php?id=BSGatlas-operon-202","BSGatlas-operon-202")</f>
        <v>BSGatlas-operon-202</v>
      </c>
      <c r="B459" s="2" t="str">
        <f>HYPERLINK("https://rth.dk/resources/bsgatlas/details.php?id=BSGatlas-gene-493","BSGatlas-gene-493")</f>
        <v>BSGatlas-gene-493</v>
      </c>
      <c r="C459" s="1" t="s">
        <v>472</v>
      </c>
      <c r="D459" s="1" t="s">
        <v>8</v>
      </c>
      <c r="E459" s="3">
        <v>455771</v>
      </c>
      <c r="F459" s="3">
        <v>455935</v>
      </c>
      <c r="G459" s="1" t="s">
        <v>13</v>
      </c>
      <c r="H459" s="1" t="b">
        <f t="shared" si="21"/>
        <v>0</v>
      </c>
    </row>
    <row r="460" spans="1:8" ht="21" x14ac:dyDescent="0.25">
      <c r="A460" s="2" t="str">
        <f>HYPERLINK("https://rth.dk/resources/bsgatlas/details.php?id=BSGatlas-operon-203","BSGatlas-operon-203")</f>
        <v>BSGatlas-operon-203</v>
      </c>
      <c r="B460" s="2" t="str">
        <f>HYPERLINK("https://rth.dk/resources/bsgatlas/details.php?id=BSGatlas-gene-494","BSGatlas-gene-494")</f>
        <v>BSGatlas-gene-494</v>
      </c>
      <c r="C460" s="1" t="s">
        <v>473</v>
      </c>
      <c r="D460" s="1" t="s">
        <v>8</v>
      </c>
      <c r="E460" s="3">
        <v>456068</v>
      </c>
      <c r="F460" s="3">
        <v>456817</v>
      </c>
      <c r="G460" s="1" t="s">
        <v>9</v>
      </c>
      <c r="H460" s="1" t="b">
        <f t="shared" si="21"/>
        <v>1</v>
      </c>
    </row>
    <row r="461" spans="1:8" ht="21" x14ac:dyDescent="0.25">
      <c r="A461" s="2" t="str">
        <f t="shared" ref="A461:A467" si="22">HYPERLINK("https://rth.dk/resources/bsgatlas/details.php?id=BSGatlas-operon-204","BSGatlas-operon-204")</f>
        <v>BSGatlas-operon-204</v>
      </c>
      <c r="B461" s="2" t="str">
        <f>HYPERLINK("https://rth.dk/resources/bsgatlas/details.php?id=BSGatlas-gene-495","BSGatlas-gene-495")</f>
        <v>BSGatlas-gene-495</v>
      </c>
      <c r="C461" s="1" t="s">
        <v>474</v>
      </c>
      <c r="D461" s="1" t="s">
        <v>8</v>
      </c>
      <c r="E461" s="3">
        <v>457023</v>
      </c>
      <c r="F461" s="3">
        <v>457796</v>
      </c>
      <c r="G461" s="1" t="s">
        <v>9</v>
      </c>
      <c r="H461" s="1" t="b">
        <f t="shared" si="21"/>
        <v>0</v>
      </c>
    </row>
    <row r="462" spans="1:8" ht="21" x14ac:dyDescent="0.25">
      <c r="A462" s="2" t="str">
        <f t="shared" si="22"/>
        <v>BSGatlas-operon-204</v>
      </c>
      <c r="B462" s="2" t="str">
        <f>HYPERLINK("https://rth.dk/resources/bsgatlas/details.php?id=BSGatlas-gene-496","BSGatlas-gene-496")</f>
        <v>BSGatlas-gene-496</v>
      </c>
      <c r="C462" s="1" t="s">
        <v>475</v>
      </c>
      <c r="D462" s="1" t="s">
        <v>8</v>
      </c>
      <c r="E462" s="3">
        <v>457811</v>
      </c>
      <c r="F462" s="3">
        <v>459025</v>
      </c>
      <c r="G462" s="1" t="s">
        <v>9</v>
      </c>
      <c r="H462" s="1" t="b">
        <f t="shared" si="21"/>
        <v>0</v>
      </c>
    </row>
    <row r="463" spans="1:8" ht="21" x14ac:dyDescent="0.25">
      <c r="A463" s="2" t="str">
        <f t="shared" si="22"/>
        <v>BSGatlas-operon-204</v>
      </c>
      <c r="B463" s="2" t="str">
        <f>HYPERLINK("https://rth.dk/resources/bsgatlas/details.php?id=BSGatlas-gene-497","BSGatlas-gene-497")</f>
        <v>BSGatlas-gene-497</v>
      </c>
      <c r="C463" s="1" t="s">
        <v>476</v>
      </c>
      <c r="D463" s="1" t="s">
        <v>8</v>
      </c>
      <c r="E463" s="3">
        <v>459049</v>
      </c>
      <c r="F463" s="3">
        <v>459822</v>
      </c>
      <c r="G463" s="1" t="s">
        <v>9</v>
      </c>
      <c r="H463" s="1" t="b">
        <f t="shared" si="21"/>
        <v>0</v>
      </c>
    </row>
    <row r="464" spans="1:8" ht="21" x14ac:dyDescent="0.25">
      <c r="A464" s="2" t="str">
        <f t="shared" si="22"/>
        <v>BSGatlas-operon-204</v>
      </c>
      <c r="B464" s="2" t="str">
        <f>HYPERLINK("https://rth.dk/resources/bsgatlas/details.php?id=BSGatlas-gene-498","BSGatlas-gene-498")</f>
        <v>BSGatlas-gene-498</v>
      </c>
      <c r="C464" s="1" t="s">
        <v>477</v>
      </c>
      <c r="D464" s="1" t="s">
        <v>8</v>
      </c>
      <c r="E464" s="3">
        <v>459867</v>
      </c>
      <c r="F464" s="3">
        <v>460589</v>
      </c>
      <c r="G464" s="1" t="s">
        <v>9</v>
      </c>
      <c r="H464" s="1" t="b">
        <f t="shared" si="21"/>
        <v>0</v>
      </c>
    </row>
    <row r="465" spans="1:8" ht="21" x14ac:dyDescent="0.25">
      <c r="A465" s="2" t="str">
        <f t="shared" si="22"/>
        <v>BSGatlas-operon-204</v>
      </c>
      <c r="B465" s="2" t="str">
        <f>HYPERLINK("https://rth.dk/resources/bsgatlas/details.php?id=BSGatlas-gene-499","BSGatlas-gene-499")</f>
        <v>BSGatlas-gene-499</v>
      </c>
      <c r="C465" s="1" t="s">
        <v>478</v>
      </c>
      <c r="D465" s="1" t="s">
        <v>8</v>
      </c>
      <c r="E465" s="3">
        <v>460592</v>
      </c>
      <c r="F465" s="3">
        <v>461599</v>
      </c>
      <c r="G465" s="1" t="s">
        <v>9</v>
      </c>
      <c r="H465" s="1" t="b">
        <f t="shared" si="21"/>
        <v>0</v>
      </c>
    </row>
    <row r="466" spans="1:8" ht="21" x14ac:dyDescent="0.25">
      <c r="A466" s="2" t="str">
        <f t="shared" si="22"/>
        <v>BSGatlas-operon-204</v>
      </c>
      <c r="B466" s="2" t="str">
        <f>HYPERLINK("https://rth.dk/resources/bsgatlas/details.php?id=BSGatlas-gene-500","BSGatlas-gene-500")</f>
        <v>BSGatlas-gene-500</v>
      </c>
      <c r="C466" s="1" t="s">
        <v>479</v>
      </c>
      <c r="D466" s="1" t="s">
        <v>8</v>
      </c>
      <c r="E466" s="3">
        <v>461615</v>
      </c>
      <c r="F466" s="3">
        <v>462367</v>
      </c>
      <c r="G466" s="1" t="s">
        <v>9</v>
      </c>
      <c r="H466" s="1" t="b">
        <f t="shared" si="21"/>
        <v>0</v>
      </c>
    </row>
    <row r="467" spans="1:8" ht="21" x14ac:dyDescent="0.25">
      <c r="A467" s="2" t="str">
        <f t="shared" si="22"/>
        <v>BSGatlas-operon-204</v>
      </c>
      <c r="B467" s="2" t="str">
        <f>HYPERLINK("https://rth.dk/resources/bsgatlas/details.php?id=BSGatlas-gene-501","BSGatlas-gene-501")</f>
        <v>BSGatlas-gene-501</v>
      </c>
      <c r="C467" s="1" t="s">
        <v>480</v>
      </c>
      <c r="D467" s="1" t="s">
        <v>8</v>
      </c>
      <c r="E467" s="3">
        <v>462431</v>
      </c>
      <c r="F467" s="3">
        <v>463072</v>
      </c>
      <c r="G467" s="1" t="s">
        <v>9</v>
      </c>
      <c r="H467" s="1" t="b">
        <f t="shared" si="21"/>
        <v>0</v>
      </c>
    </row>
    <row r="468" spans="1:8" ht="21" x14ac:dyDescent="0.25">
      <c r="A468" s="2" t="str">
        <f>HYPERLINK("https://rth.dk/resources/bsgatlas/details.php?id=BSGatlas-operon-205","BSGatlas-operon-205")</f>
        <v>BSGatlas-operon-205</v>
      </c>
      <c r="B468" s="2" t="str">
        <f>HYPERLINK("https://rth.dk/resources/bsgatlas/details.php?id=BSGatlas-gene-503","BSGatlas-gene-503")</f>
        <v>BSGatlas-gene-503</v>
      </c>
      <c r="C468" s="1" t="s">
        <v>481</v>
      </c>
      <c r="D468" s="1" t="s">
        <v>8</v>
      </c>
      <c r="E468" s="3">
        <v>463496</v>
      </c>
      <c r="F468" s="3">
        <v>463783</v>
      </c>
      <c r="G468" s="1" t="s">
        <v>13</v>
      </c>
      <c r="H468" s="1" t="b">
        <f t="shared" si="21"/>
        <v>1</v>
      </c>
    </row>
    <row r="469" spans="1:8" ht="21" x14ac:dyDescent="0.25">
      <c r="A469" s="2" t="str">
        <f>HYPERLINK("https://rth.dk/resources/bsgatlas/details.php?id=BSGatlas-operon-206","BSGatlas-operon-206")</f>
        <v>BSGatlas-operon-206</v>
      </c>
      <c r="B469" s="2" t="str">
        <f>HYPERLINK("https://rth.dk/resources/bsgatlas/details.php?id=BSGatlas-gene-502","BSGatlas-gene-502")</f>
        <v>BSGatlas-gene-502</v>
      </c>
      <c r="C469" s="1" t="s">
        <v>482</v>
      </c>
      <c r="D469" s="1" t="s">
        <v>8</v>
      </c>
      <c r="E469" s="3">
        <v>463245</v>
      </c>
      <c r="F469" s="3">
        <v>463490</v>
      </c>
      <c r="G469" s="1" t="s">
        <v>9</v>
      </c>
      <c r="H469" s="1" t="b">
        <f t="shared" si="21"/>
        <v>0</v>
      </c>
    </row>
    <row r="470" spans="1:8" ht="21" x14ac:dyDescent="0.25">
      <c r="A470" s="2" t="str">
        <f>HYPERLINK("https://rth.dk/resources/bsgatlas/details.php?id=BSGatlas-operon-207","BSGatlas-operon-207")</f>
        <v>BSGatlas-operon-207</v>
      </c>
      <c r="B470" s="2" t="str">
        <f>HYPERLINK("https://rth.dk/resources/bsgatlas/details.php?id=BSGatlas-gene-504","BSGatlas-gene-504")</f>
        <v>BSGatlas-gene-504</v>
      </c>
      <c r="C470" s="1" t="s">
        <v>483</v>
      </c>
      <c r="D470" s="1" t="s">
        <v>8</v>
      </c>
      <c r="E470" s="3">
        <v>463934</v>
      </c>
      <c r="F470" s="3">
        <v>465940</v>
      </c>
      <c r="G470" s="1" t="s">
        <v>9</v>
      </c>
      <c r="H470" s="1" t="b">
        <f t="shared" si="21"/>
        <v>1</v>
      </c>
    </row>
    <row r="471" spans="1:8" ht="21" x14ac:dyDescent="0.25">
      <c r="A471" s="2" t="str">
        <f>HYPERLINK("https://rth.dk/resources/bsgatlas/details.php?id=BSGatlas-operon-207","BSGatlas-operon-207")</f>
        <v>BSGatlas-operon-207</v>
      </c>
      <c r="B471" s="2" t="str">
        <f>HYPERLINK("https://rth.dk/resources/bsgatlas/details.php?id=BSGatlas-gene-505","BSGatlas-gene-505")</f>
        <v>BSGatlas-gene-505</v>
      </c>
      <c r="C471" s="1" t="s">
        <v>484</v>
      </c>
      <c r="D471" s="1" t="s">
        <v>8</v>
      </c>
      <c r="E471" s="3">
        <v>466042</v>
      </c>
      <c r="F471" s="3">
        <v>466944</v>
      </c>
      <c r="G471" s="1" t="s">
        <v>9</v>
      </c>
      <c r="H471" s="1" t="b">
        <f t="shared" si="21"/>
        <v>1</v>
      </c>
    </row>
    <row r="472" spans="1:8" ht="21" x14ac:dyDescent="0.25">
      <c r="A472" s="2" t="str">
        <f>HYPERLINK("https://rth.dk/resources/bsgatlas/details.php?id=BSGatlas-operon-208","BSGatlas-operon-208")</f>
        <v>BSGatlas-operon-208</v>
      </c>
      <c r="B472" s="2" t="str">
        <f>HYPERLINK("https://rth.dk/resources/bsgatlas/details.php?id=BSGatlas-gene-506","BSGatlas-gene-506")</f>
        <v>BSGatlas-gene-506</v>
      </c>
      <c r="C472" s="1" t="s">
        <v>485</v>
      </c>
      <c r="D472" s="1" t="s">
        <v>8</v>
      </c>
      <c r="E472" s="3">
        <v>467130</v>
      </c>
      <c r="F472" s="3">
        <v>469214</v>
      </c>
      <c r="G472" s="1" t="s">
        <v>9</v>
      </c>
      <c r="H472" s="1" t="b">
        <f t="shared" si="21"/>
        <v>0</v>
      </c>
    </row>
    <row r="473" spans="1:8" ht="21" x14ac:dyDescent="0.25">
      <c r="A473" s="2" t="str">
        <f>HYPERLINK("https://rth.dk/resources/bsgatlas/details.php?id=BSGatlas-operon-209","BSGatlas-operon-209")</f>
        <v>BSGatlas-operon-209</v>
      </c>
      <c r="B473" s="2" t="str">
        <f>HYPERLINK("https://rth.dk/resources/bsgatlas/details.php?id=BSGatlas-gene-507","BSGatlas-gene-507")</f>
        <v>BSGatlas-gene-507</v>
      </c>
      <c r="C473" s="1" t="s">
        <v>486</v>
      </c>
      <c r="D473" s="1" t="s">
        <v>8</v>
      </c>
      <c r="E473" s="3">
        <v>469426</v>
      </c>
      <c r="F473" s="3">
        <v>470937</v>
      </c>
      <c r="G473" s="1" t="s">
        <v>9</v>
      </c>
      <c r="H473" s="1" t="b">
        <f t="shared" si="21"/>
        <v>1</v>
      </c>
    </row>
    <row r="474" spans="1:8" ht="21" x14ac:dyDescent="0.25">
      <c r="A474" s="2" t="str">
        <f>HYPERLINK("https://rth.dk/resources/bsgatlas/details.php?id=BSGatlas-operon-210","BSGatlas-operon-210")</f>
        <v>BSGatlas-operon-210</v>
      </c>
      <c r="B474" s="2" t="str">
        <f>HYPERLINK("https://rth.dk/resources/bsgatlas/details.php?id=BSGatlas-gene-508","BSGatlas-gene-508")</f>
        <v>BSGatlas-gene-508</v>
      </c>
      <c r="C474" s="1" t="s">
        <v>487</v>
      </c>
      <c r="D474" s="1" t="s">
        <v>8</v>
      </c>
      <c r="E474" s="3">
        <v>470957</v>
      </c>
      <c r="F474" s="3">
        <v>471502</v>
      </c>
      <c r="G474" s="1" t="s">
        <v>13</v>
      </c>
      <c r="H474" s="1" t="b">
        <f t="shared" si="21"/>
        <v>0</v>
      </c>
    </row>
    <row r="475" spans="1:8" ht="21" x14ac:dyDescent="0.25">
      <c r="A475" s="2" t="str">
        <f>HYPERLINK("https://rth.dk/resources/bsgatlas/details.php?id=BSGatlas-operon-211","BSGatlas-operon-211")</f>
        <v>BSGatlas-operon-211</v>
      </c>
      <c r="B475" s="2" t="str">
        <f>HYPERLINK("https://rth.dk/resources/bsgatlas/details.php?id=BSGatlas-gene-509","BSGatlas-gene-509")</f>
        <v>BSGatlas-gene-509</v>
      </c>
      <c r="C475" s="1" t="s">
        <v>488</v>
      </c>
      <c r="D475" s="1" t="s">
        <v>8</v>
      </c>
      <c r="E475" s="3">
        <v>471709</v>
      </c>
      <c r="F475" s="3">
        <v>472569</v>
      </c>
      <c r="G475" s="1" t="s">
        <v>9</v>
      </c>
      <c r="H475" s="1" t="b">
        <f t="shared" si="21"/>
        <v>1</v>
      </c>
    </row>
    <row r="476" spans="1:8" ht="21" x14ac:dyDescent="0.25">
      <c r="A476" s="2" t="str">
        <f>HYPERLINK("https://rth.dk/resources/bsgatlas/details.php?id=BSGatlas-operon-211","BSGatlas-operon-211")</f>
        <v>BSGatlas-operon-211</v>
      </c>
      <c r="B476" s="2" t="str">
        <f>HYPERLINK("https://rth.dk/resources/bsgatlas/details.php?id=BSGatlas-gene-510","BSGatlas-gene-510")</f>
        <v>BSGatlas-gene-510</v>
      </c>
      <c r="C476" s="1" t="s">
        <v>489</v>
      </c>
      <c r="D476" s="1" t="s">
        <v>8</v>
      </c>
      <c r="E476" s="3">
        <v>472585</v>
      </c>
      <c r="F476" s="3">
        <v>473088</v>
      </c>
      <c r="G476" s="1" t="s">
        <v>9</v>
      </c>
      <c r="H476" s="1" t="b">
        <f t="shared" si="21"/>
        <v>1</v>
      </c>
    </row>
    <row r="477" spans="1:8" ht="21" x14ac:dyDescent="0.25">
      <c r="A477" s="2" t="str">
        <f>HYPERLINK("https://rth.dk/resources/bsgatlas/details.php?id=BSGatlas-operon-211","BSGatlas-operon-211")</f>
        <v>BSGatlas-operon-211</v>
      </c>
      <c r="B477" s="2" t="str">
        <f>HYPERLINK("https://rth.dk/resources/bsgatlas/details.php?id=BSGatlas-gene-511","BSGatlas-gene-511")</f>
        <v>BSGatlas-gene-511</v>
      </c>
      <c r="C477" s="1" t="s">
        <v>490</v>
      </c>
      <c r="D477" s="1" t="s">
        <v>8</v>
      </c>
      <c r="E477" s="3">
        <v>473174</v>
      </c>
      <c r="F477" s="3">
        <v>473725</v>
      </c>
      <c r="G477" s="1" t="s">
        <v>9</v>
      </c>
      <c r="H477" s="1" t="b">
        <f t="shared" si="21"/>
        <v>1</v>
      </c>
    </row>
    <row r="478" spans="1:8" ht="21" x14ac:dyDescent="0.25">
      <c r="A478" s="2" t="str">
        <f>HYPERLINK("https://rth.dk/resources/bsgatlas/details.php?id=BSGatlas-operon-211","BSGatlas-operon-211")</f>
        <v>BSGatlas-operon-211</v>
      </c>
      <c r="B478" s="2" t="str">
        <f>HYPERLINK("https://rth.dk/resources/bsgatlas/details.php?id=BSGatlas-gene-512","BSGatlas-gene-512")</f>
        <v>BSGatlas-gene-512</v>
      </c>
      <c r="C478" s="1" t="s">
        <v>491</v>
      </c>
      <c r="D478" s="1" t="s">
        <v>8</v>
      </c>
      <c r="E478" s="3">
        <v>473803</v>
      </c>
      <c r="F478" s="3">
        <v>474225</v>
      </c>
      <c r="G478" s="1" t="s">
        <v>9</v>
      </c>
      <c r="H478" s="1" t="b">
        <f t="shared" si="21"/>
        <v>1</v>
      </c>
    </row>
    <row r="479" spans="1:8" ht="21" x14ac:dyDescent="0.25">
      <c r="A479" s="2" t="str">
        <f>HYPERLINK("https://rth.dk/resources/bsgatlas/details.php?id=BSGatlas-operon-212","BSGatlas-operon-212")</f>
        <v>BSGatlas-operon-212</v>
      </c>
      <c r="B479" s="2" t="str">
        <f>HYPERLINK("https://rth.dk/resources/bsgatlas/details.php?id=BSGatlas-gene-513","BSGatlas-gene-513")</f>
        <v>BSGatlas-gene-513</v>
      </c>
      <c r="C479" s="1" t="s">
        <v>492</v>
      </c>
      <c r="D479" s="1" t="s">
        <v>12</v>
      </c>
      <c r="E479" s="3">
        <v>474268</v>
      </c>
      <c r="F479" s="3">
        <v>474634</v>
      </c>
      <c r="G479" s="1" t="s">
        <v>9</v>
      </c>
      <c r="H479" s="1" t="b">
        <f t="shared" si="21"/>
        <v>0</v>
      </c>
    </row>
    <row r="480" spans="1:8" ht="21" x14ac:dyDescent="0.25">
      <c r="A480" s="2" t="str">
        <f>HYPERLINK("https://rth.dk/resources/bsgatlas/details.php?id=BSGatlas-operon-213","BSGatlas-operon-213")</f>
        <v>BSGatlas-operon-213</v>
      </c>
      <c r="B480" s="2" t="str">
        <f>HYPERLINK("https://rth.dk/resources/bsgatlas/details.php?id=BSGatlas-gene-514","BSGatlas-gene-514")</f>
        <v>BSGatlas-gene-514</v>
      </c>
      <c r="C480" s="1" t="s">
        <v>493</v>
      </c>
      <c r="D480" s="1" t="s">
        <v>55</v>
      </c>
      <c r="E480" s="3">
        <v>474329</v>
      </c>
      <c r="F480" s="3">
        <v>474597</v>
      </c>
      <c r="G480" s="1" t="s">
        <v>13</v>
      </c>
      <c r="H480" s="1" t="b">
        <f t="shared" si="21"/>
        <v>1</v>
      </c>
    </row>
    <row r="481" spans="1:8" ht="21" x14ac:dyDescent="0.25">
      <c r="A481" s="2" t="str">
        <f>HYPERLINK("https://rth.dk/resources/bsgatlas/details.php?id=BSGatlas-operon-214","BSGatlas-operon-214")</f>
        <v>BSGatlas-operon-214</v>
      </c>
      <c r="B481" s="2" t="str">
        <f>HYPERLINK("https://rth.dk/resources/bsgatlas/details.php?id=BSGatlas-gene-515","BSGatlas-gene-515")</f>
        <v>BSGatlas-gene-515</v>
      </c>
      <c r="C481" s="1" t="s">
        <v>494</v>
      </c>
      <c r="D481" s="1" t="s">
        <v>8</v>
      </c>
      <c r="E481" s="3">
        <v>474731</v>
      </c>
      <c r="F481" s="3">
        <v>475540</v>
      </c>
      <c r="G481" s="1" t="s">
        <v>9</v>
      </c>
      <c r="H481" s="1" t="b">
        <f t="shared" si="21"/>
        <v>0</v>
      </c>
    </row>
    <row r="482" spans="1:8" ht="21" x14ac:dyDescent="0.25">
      <c r="A482" s="2" t="str">
        <f>HYPERLINK("https://rth.dk/resources/bsgatlas/details.php?id=BSGatlas-operon-215","BSGatlas-operon-215")</f>
        <v>BSGatlas-operon-215</v>
      </c>
      <c r="B482" s="2" t="str">
        <f>HYPERLINK("https://rth.dk/resources/bsgatlas/details.php?id=BSGatlas-gene-516","BSGatlas-gene-516")</f>
        <v>BSGatlas-gene-516</v>
      </c>
      <c r="C482" s="1" t="s">
        <v>495</v>
      </c>
      <c r="D482" s="1" t="s">
        <v>8</v>
      </c>
      <c r="E482" s="3">
        <v>475584</v>
      </c>
      <c r="F482" s="3">
        <v>475874</v>
      </c>
      <c r="G482" s="1" t="s">
        <v>13</v>
      </c>
      <c r="H482" s="1" t="b">
        <f t="shared" si="21"/>
        <v>1</v>
      </c>
    </row>
    <row r="483" spans="1:8" ht="21" x14ac:dyDescent="0.25">
      <c r="A483" s="2" t="str">
        <f>HYPERLINK("https://rth.dk/resources/bsgatlas/details.php?id=BSGatlas-operon-216","BSGatlas-operon-216")</f>
        <v>BSGatlas-operon-216</v>
      </c>
      <c r="B483" s="2" t="str">
        <f>HYPERLINK("https://rth.dk/resources/bsgatlas/details.php?id=BSGatlas-gene-517","BSGatlas-gene-517")</f>
        <v>BSGatlas-gene-517</v>
      </c>
      <c r="C483" s="1" t="s">
        <v>496</v>
      </c>
      <c r="D483" s="1" t="s">
        <v>8</v>
      </c>
      <c r="E483" s="3">
        <v>476059</v>
      </c>
      <c r="F483" s="3">
        <v>476493</v>
      </c>
      <c r="G483" s="1" t="s">
        <v>9</v>
      </c>
      <c r="H483" s="1" t="b">
        <f t="shared" si="21"/>
        <v>0</v>
      </c>
    </row>
    <row r="484" spans="1:8" ht="21" x14ac:dyDescent="0.25">
      <c r="A484" s="2" t="str">
        <f>HYPERLINK("https://rth.dk/resources/bsgatlas/details.php?id=BSGatlas-operon-216","BSGatlas-operon-216")</f>
        <v>BSGatlas-operon-216</v>
      </c>
      <c r="B484" s="2" t="str">
        <f>HYPERLINK("https://rth.dk/resources/bsgatlas/details.php?id=BSGatlas-gene-518","BSGatlas-gene-518")</f>
        <v>BSGatlas-gene-518</v>
      </c>
      <c r="C484" s="1" t="s">
        <v>497</v>
      </c>
      <c r="D484" s="1" t="s">
        <v>8</v>
      </c>
      <c r="E484" s="3">
        <v>476558</v>
      </c>
      <c r="F484" s="3">
        <v>478741</v>
      </c>
      <c r="G484" s="1" t="s">
        <v>9</v>
      </c>
      <c r="H484" s="1" t="b">
        <f t="shared" si="21"/>
        <v>0</v>
      </c>
    </row>
    <row r="485" spans="1:8" ht="21" x14ac:dyDescent="0.25">
      <c r="A485" s="2" t="str">
        <f>HYPERLINK("https://rth.dk/resources/bsgatlas/details.php?id=BSGatlas-operon-217","BSGatlas-operon-217")</f>
        <v>BSGatlas-operon-217</v>
      </c>
      <c r="B485" s="2" t="str">
        <f>HYPERLINK("https://rth.dk/resources/bsgatlas/details.php?id=BSGatlas-gene-519","BSGatlas-gene-519")</f>
        <v>BSGatlas-gene-519</v>
      </c>
      <c r="C485" s="1" t="s">
        <v>498</v>
      </c>
      <c r="D485" s="1" t="s">
        <v>8</v>
      </c>
      <c r="E485" s="3">
        <v>478944</v>
      </c>
      <c r="F485" s="3">
        <v>480032</v>
      </c>
      <c r="G485" s="1" t="s">
        <v>9</v>
      </c>
      <c r="H485" s="1" t="b">
        <f t="shared" si="21"/>
        <v>1</v>
      </c>
    </row>
    <row r="486" spans="1:8" ht="21" x14ac:dyDescent="0.25">
      <c r="A486" s="2" t="str">
        <f>HYPERLINK("https://rth.dk/resources/bsgatlas/details.php?id=BSGatlas-operon-217","BSGatlas-operon-217")</f>
        <v>BSGatlas-operon-217</v>
      </c>
      <c r="B486" s="2" t="str">
        <f>HYPERLINK("https://rth.dk/resources/bsgatlas/details.php?id=BSGatlas-gene-520","BSGatlas-gene-520")</f>
        <v>BSGatlas-gene-520</v>
      </c>
      <c r="C486" s="1" t="s">
        <v>499</v>
      </c>
      <c r="D486" s="1" t="s">
        <v>8</v>
      </c>
      <c r="E486" s="3">
        <v>480013</v>
      </c>
      <c r="F486" s="3">
        <v>480864</v>
      </c>
      <c r="G486" s="1" t="s">
        <v>9</v>
      </c>
      <c r="H486" s="1" t="b">
        <f t="shared" si="21"/>
        <v>1</v>
      </c>
    </row>
    <row r="487" spans="1:8" ht="21" x14ac:dyDescent="0.25">
      <c r="A487" s="2" t="str">
        <f>HYPERLINK("https://rth.dk/resources/bsgatlas/details.php?id=BSGatlas-operon-217","BSGatlas-operon-217")</f>
        <v>BSGatlas-operon-217</v>
      </c>
      <c r="B487" s="2" t="str">
        <f>HYPERLINK("https://rth.dk/resources/bsgatlas/details.php?id=BSGatlas-gene-521","BSGatlas-gene-521")</f>
        <v>BSGatlas-gene-521</v>
      </c>
      <c r="C487" s="1" t="s">
        <v>500</v>
      </c>
      <c r="D487" s="1" t="s">
        <v>8</v>
      </c>
      <c r="E487" s="3">
        <v>480875</v>
      </c>
      <c r="F487" s="3">
        <v>482584</v>
      </c>
      <c r="G487" s="1" t="s">
        <v>9</v>
      </c>
      <c r="H487" s="1" t="b">
        <f t="shared" si="21"/>
        <v>1</v>
      </c>
    </row>
    <row r="488" spans="1:8" ht="21" x14ac:dyDescent="0.25">
      <c r="A488" s="2" t="str">
        <f>HYPERLINK("https://rth.dk/resources/bsgatlas/details.php?id=BSGatlas-operon-217","BSGatlas-operon-217")</f>
        <v>BSGatlas-operon-217</v>
      </c>
      <c r="B488" s="2" t="str">
        <f>HYPERLINK("https://rth.dk/resources/bsgatlas/details.php?id=BSGatlas-gene-522","BSGatlas-gene-522")</f>
        <v>BSGatlas-gene-522</v>
      </c>
      <c r="C488" s="1" t="s">
        <v>501</v>
      </c>
      <c r="D488" s="1" t="s">
        <v>8</v>
      </c>
      <c r="E488" s="3">
        <v>482577</v>
      </c>
      <c r="F488" s="3">
        <v>483839</v>
      </c>
      <c r="G488" s="1" t="s">
        <v>9</v>
      </c>
      <c r="H488" s="1" t="b">
        <f t="shared" si="21"/>
        <v>1</v>
      </c>
    </row>
    <row r="489" spans="1:8" ht="21" x14ac:dyDescent="0.25">
      <c r="A489" s="2" t="str">
        <f>HYPERLINK("https://rth.dk/resources/bsgatlas/details.php?id=BSGatlas-operon-217","BSGatlas-operon-217")</f>
        <v>BSGatlas-operon-217</v>
      </c>
      <c r="B489" s="2" t="str">
        <f>HYPERLINK("https://rth.dk/resources/bsgatlas/details.php?id=BSGatlas-gene-523","BSGatlas-gene-523")</f>
        <v>BSGatlas-gene-523</v>
      </c>
      <c r="C489" s="1" t="s">
        <v>502</v>
      </c>
      <c r="D489" s="1" t="s">
        <v>8</v>
      </c>
      <c r="E489" s="3">
        <v>483845</v>
      </c>
      <c r="F489" s="3">
        <v>485956</v>
      </c>
      <c r="G489" s="1" t="s">
        <v>9</v>
      </c>
      <c r="H489" s="1" t="b">
        <f t="shared" si="21"/>
        <v>1</v>
      </c>
    </row>
    <row r="490" spans="1:8" ht="21" x14ac:dyDescent="0.25">
      <c r="A490" s="2" t="str">
        <f>HYPERLINK("https://rth.dk/resources/bsgatlas/details.php?id=BSGatlas-operon-218","BSGatlas-operon-218")</f>
        <v>BSGatlas-operon-218</v>
      </c>
      <c r="B490" s="2" t="str">
        <f>HYPERLINK("https://rth.dk/resources/bsgatlas/details.php?id=BSGatlas-gene-525","BSGatlas-gene-525")</f>
        <v>BSGatlas-gene-525</v>
      </c>
      <c r="C490" s="1" t="s">
        <v>503</v>
      </c>
      <c r="D490" s="1" t="s">
        <v>8</v>
      </c>
      <c r="E490" s="3">
        <v>486432</v>
      </c>
      <c r="F490" s="3">
        <v>488255</v>
      </c>
      <c r="G490" s="1" t="s">
        <v>9</v>
      </c>
      <c r="H490" s="1" t="b">
        <f t="shared" si="21"/>
        <v>0</v>
      </c>
    </row>
    <row r="491" spans="1:8" ht="21" x14ac:dyDescent="0.25">
      <c r="A491" s="2" t="str">
        <f>HYPERLINK("https://rth.dk/resources/bsgatlas/details.php?id=BSGatlas-operon-219","BSGatlas-operon-219")</f>
        <v>BSGatlas-operon-219</v>
      </c>
      <c r="B491" s="2" t="str">
        <f>HYPERLINK("https://rth.dk/resources/bsgatlas/details.php?id=BSGatlas-gene-524","BSGatlas-gene-524")</f>
        <v>BSGatlas-gene-524</v>
      </c>
      <c r="C491" s="1" t="s">
        <v>504</v>
      </c>
      <c r="D491" s="1" t="s">
        <v>34</v>
      </c>
      <c r="E491" s="3">
        <v>486091</v>
      </c>
      <c r="F491" s="3">
        <v>486235</v>
      </c>
      <c r="G491" s="1" t="s">
        <v>9</v>
      </c>
      <c r="H491" s="1" t="b">
        <f t="shared" si="21"/>
        <v>1</v>
      </c>
    </row>
    <row r="492" spans="1:8" ht="21" x14ac:dyDescent="0.25">
      <c r="A492" s="2" t="str">
        <f>HYPERLINK("https://rth.dk/resources/bsgatlas/details.php?id=BSGatlas-operon-220","BSGatlas-operon-220")</f>
        <v>BSGatlas-operon-220</v>
      </c>
      <c r="B492" s="2" t="str">
        <f>HYPERLINK("https://rth.dk/resources/bsgatlas/details.php?id=BSGatlas-gene-527","BSGatlas-gene-527")</f>
        <v>BSGatlas-gene-527</v>
      </c>
      <c r="C492" s="1" t="s">
        <v>505</v>
      </c>
      <c r="D492" s="1" t="s">
        <v>8</v>
      </c>
      <c r="E492" s="3">
        <v>488830</v>
      </c>
      <c r="F492" s="3">
        <v>490554</v>
      </c>
      <c r="G492" s="1" t="s">
        <v>9</v>
      </c>
      <c r="H492" s="1" t="b">
        <f t="shared" si="21"/>
        <v>0</v>
      </c>
    </row>
    <row r="493" spans="1:8" ht="21" x14ac:dyDescent="0.25">
      <c r="A493" s="2" t="str">
        <f>HYPERLINK("https://rth.dk/resources/bsgatlas/details.php?id=BSGatlas-operon-221","BSGatlas-operon-221")</f>
        <v>BSGatlas-operon-221</v>
      </c>
      <c r="B493" s="2" t="str">
        <f>HYPERLINK("https://rth.dk/resources/bsgatlas/details.php?id=BSGatlas-gene-528","BSGatlas-gene-528")</f>
        <v>BSGatlas-gene-528</v>
      </c>
      <c r="C493" s="1" t="s">
        <v>506</v>
      </c>
      <c r="D493" s="1" t="s">
        <v>12</v>
      </c>
      <c r="E493" s="3">
        <v>490527</v>
      </c>
      <c r="F493" s="3">
        <v>490638</v>
      </c>
      <c r="G493" s="1" t="s">
        <v>13</v>
      </c>
      <c r="H493" s="1" t="b">
        <f t="shared" si="21"/>
        <v>1</v>
      </c>
    </row>
    <row r="494" spans="1:8" ht="21" x14ac:dyDescent="0.25">
      <c r="A494" s="2" t="str">
        <f>HYPERLINK("https://rth.dk/resources/bsgatlas/details.php?id=BSGatlas-operon-222","BSGatlas-operon-222")</f>
        <v>BSGatlas-operon-222</v>
      </c>
      <c r="B494" s="2" t="str">
        <f>HYPERLINK("https://rth.dk/resources/bsgatlas/details.php?id=BSGatlas-gene-529","BSGatlas-gene-529")</f>
        <v>BSGatlas-gene-529</v>
      </c>
      <c r="C494" s="1" t="s">
        <v>318</v>
      </c>
      <c r="D494" s="1" t="s">
        <v>8</v>
      </c>
      <c r="E494" s="3">
        <v>490546</v>
      </c>
      <c r="F494" s="3">
        <v>490749</v>
      </c>
      <c r="G494" s="1" t="s">
        <v>13</v>
      </c>
      <c r="H494" s="1" t="b">
        <f t="shared" si="21"/>
        <v>0</v>
      </c>
    </row>
    <row r="495" spans="1:8" ht="21" x14ac:dyDescent="0.25">
      <c r="A495" s="2" t="str">
        <f>HYPERLINK("https://rth.dk/resources/bsgatlas/details.php?id=BSGatlas-operon-223","BSGatlas-operon-223")</f>
        <v>BSGatlas-operon-223</v>
      </c>
      <c r="B495" s="2" t="str">
        <f>HYPERLINK("https://rth.dk/resources/bsgatlas/details.php?id=BSGatlas-gene-530","BSGatlas-gene-530")</f>
        <v>BSGatlas-gene-530</v>
      </c>
      <c r="C495" s="1" t="s">
        <v>507</v>
      </c>
      <c r="D495" s="1" t="s">
        <v>12</v>
      </c>
      <c r="E495" s="3">
        <v>490639</v>
      </c>
      <c r="F495" s="3">
        <v>490854</v>
      </c>
      <c r="G495" s="1" t="s">
        <v>9</v>
      </c>
      <c r="H495" s="1" t="b">
        <f t="shared" si="21"/>
        <v>1</v>
      </c>
    </row>
    <row r="496" spans="1:8" ht="21" x14ac:dyDescent="0.25">
      <c r="A496" s="2" t="str">
        <f>HYPERLINK("https://rth.dk/resources/bsgatlas/details.php?id=BSGatlas-operon-224","BSGatlas-operon-224")</f>
        <v>BSGatlas-operon-224</v>
      </c>
      <c r="B496" s="2" t="str">
        <f>HYPERLINK("https://rth.dk/resources/bsgatlas/details.php?id=BSGatlas-gene-531","BSGatlas-gene-531")</f>
        <v>BSGatlas-gene-531</v>
      </c>
      <c r="C496" s="1" t="s">
        <v>508</v>
      </c>
      <c r="D496" s="1" t="s">
        <v>8</v>
      </c>
      <c r="E496" s="3">
        <v>490777</v>
      </c>
      <c r="F496" s="3">
        <v>491043</v>
      </c>
      <c r="G496" s="1" t="s">
        <v>13</v>
      </c>
      <c r="H496" s="1" t="b">
        <f t="shared" si="21"/>
        <v>0</v>
      </c>
    </row>
    <row r="497" spans="1:8" ht="21" x14ac:dyDescent="0.25">
      <c r="A497" s="2" t="str">
        <f>HYPERLINK("https://rth.dk/resources/bsgatlas/details.php?id=BSGatlas-operon-225","BSGatlas-operon-225")</f>
        <v>BSGatlas-operon-225</v>
      </c>
      <c r="B497" s="2" t="str">
        <f>HYPERLINK("https://rth.dk/resources/bsgatlas/details.php?id=BSGatlas-gene-532","BSGatlas-gene-532")</f>
        <v>BSGatlas-gene-532</v>
      </c>
      <c r="C497" s="1" t="s">
        <v>509</v>
      </c>
      <c r="D497" s="1" t="s">
        <v>8</v>
      </c>
      <c r="E497" s="3">
        <v>491147</v>
      </c>
      <c r="F497" s="3">
        <v>492424</v>
      </c>
      <c r="G497" s="1" t="s">
        <v>13</v>
      </c>
      <c r="H497" s="1" t="b">
        <f t="shared" si="21"/>
        <v>1</v>
      </c>
    </row>
    <row r="498" spans="1:8" ht="21" x14ac:dyDescent="0.25">
      <c r="A498" s="2" t="str">
        <f>HYPERLINK("https://rth.dk/resources/bsgatlas/details.php?id=BSGatlas-operon-226","BSGatlas-operon-226")</f>
        <v>BSGatlas-operon-226</v>
      </c>
      <c r="B498" s="2" t="str">
        <f>HYPERLINK("https://rth.dk/resources/bsgatlas/details.php?id=BSGatlas-gene-533","BSGatlas-gene-533")</f>
        <v>BSGatlas-gene-533</v>
      </c>
      <c r="C498" s="1" t="s">
        <v>510</v>
      </c>
      <c r="D498" s="1" t="s">
        <v>8</v>
      </c>
      <c r="E498" s="3">
        <v>492654</v>
      </c>
      <c r="F498" s="3">
        <v>492911</v>
      </c>
      <c r="G498" s="1" t="s">
        <v>13</v>
      </c>
      <c r="H498" s="1" t="b">
        <f t="shared" si="21"/>
        <v>0</v>
      </c>
    </row>
    <row r="499" spans="1:8" ht="21" x14ac:dyDescent="0.25">
      <c r="A499" s="2" t="str">
        <f>HYPERLINK("https://rth.dk/resources/bsgatlas/details.php?id=BSGatlas-operon-226","BSGatlas-operon-226")</f>
        <v>BSGatlas-operon-226</v>
      </c>
      <c r="B499" s="2" t="str">
        <f>HYPERLINK("https://rth.dk/resources/bsgatlas/details.php?id=BSGatlas-gene-534","BSGatlas-gene-534")</f>
        <v>BSGatlas-gene-534</v>
      </c>
      <c r="C499" s="1" t="s">
        <v>511</v>
      </c>
      <c r="D499" s="1" t="s">
        <v>8</v>
      </c>
      <c r="E499" s="3">
        <v>492989</v>
      </c>
      <c r="F499" s="3">
        <v>493441</v>
      </c>
      <c r="G499" s="1" t="s">
        <v>13</v>
      </c>
      <c r="H499" s="1" t="b">
        <f t="shared" si="21"/>
        <v>0</v>
      </c>
    </row>
    <row r="500" spans="1:8" ht="21" x14ac:dyDescent="0.25">
      <c r="A500" s="2" t="str">
        <f>HYPERLINK("https://rth.dk/resources/bsgatlas/details.php?id=BSGatlas-operon-227","BSGatlas-operon-227")</f>
        <v>BSGatlas-operon-227</v>
      </c>
      <c r="B500" s="2" t="str">
        <f>HYPERLINK("https://rth.dk/resources/bsgatlas/details.php?id=BSGatlas-gene-535","BSGatlas-gene-535")</f>
        <v>BSGatlas-gene-535</v>
      </c>
      <c r="C500" s="1" t="s">
        <v>512</v>
      </c>
      <c r="D500" s="1" t="s">
        <v>8</v>
      </c>
      <c r="E500" s="3">
        <v>493559</v>
      </c>
      <c r="F500" s="3">
        <v>494377</v>
      </c>
      <c r="G500" s="1" t="s">
        <v>9</v>
      </c>
      <c r="H500" s="1" t="b">
        <f t="shared" si="21"/>
        <v>1</v>
      </c>
    </row>
    <row r="501" spans="1:8" ht="21" x14ac:dyDescent="0.25">
      <c r="A501" s="2" t="str">
        <f>HYPERLINK("https://rth.dk/resources/bsgatlas/details.php?id=BSGatlas-operon-228","BSGatlas-operon-228")</f>
        <v>BSGatlas-operon-228</v>
      </c>
      <c r="B501" s="2" t="str">
        <f>HYPERLINK("https://rth.dk/resources/bsgatlas/details.php?id=BSGatlas-gene-536","BSGatlas-gene-536")</f>
        <v>BSGatlas-gene-536</v>
      </c>
      <c r="C501" s="1" t="s">
        <v>513</v>
      </c>
      <c r="D501" s="1" t="s">
        <v>8</v>
      </c>
      <c r="E501" s="3">
        <v>494506</v>
      </c>
      <c r="F501" s="3">
        <v>494877</v>
      </c>
      <c r="G501" s="1" t="s">
        <v>9</v>
      </c>
      <c r="H501" s="1" t="b">
        <f t="shared" si="21"/>
        <v>0</v>
      </c>
    </row>
    <row r="502" spans="1:8" ht="21" x14ac:dyDescent="0.25">
      <c r="A502" s="2" t="str">
        <f>HYPERLINK("https://rth.dk/resources/bsgatlas/details.php?id=BSGatlas-operon-229","BSGatlas-operon-229")</f>
        <v>BSGatlas-operon-229</v>
      </c>
      <c r="B502" s="2" t="str">
        <f>HYPERLINK("https://rth.dk/resources/bsgatlas/details.php?id=BSGatlas-gene-539","BSGatlas-gene-539")</f>
        <v>BSGatlas-gene-539</v>
      </c>
      <c r="C502" s="1" t="s">
        <v>514</v>
      </c>
      <c r="D502" s="1" t="s">
        <v>8</v>
      </c>
      <c r="E502" s="3">
        <v>495740</v>
      </c>
      <c r="F502" s="3">
        <v>496561</v>
      </c>
      <c r="G502" s="1" t="s">
        <v>13</v>
      </c>
      <c r="H502" s="1" t="b">
        <f t="shared" si="21"/>
        <v>1</v>
      </c>
    </row>
    <row r="503" spans="1:8" ht="21" x14ac:dyDescent="0.25">
      <c r="A503" s="2" t="str">
        <f>HYPERLINK("https://rth.dk/resources/bsgatlas/details.php?id=BSGatlas-operon-229","BSGatlas-operon-229")</f>
        <v>BSGatlas-operon-229</v>
      </c>
      <c r="B503" s="2" t="str">
        <f>HYPERLINK("https://rth.dk/resources/bsgatlas/details.php?id=BSGatlas-gene-540","BSGatlas-gene-540")</f>
        <v>BSGatlas-gene-540</v>
      </c>
      <c r="C503" s="1" t="s">
        <v>515</v>
      </c>
      <c r="D503" s="1" t="s">
        <v>8</v>
      </c>
      <c r="E503" s="3">
        <v>496646</v>
      </c>
      <c r="F503" s="3">
        <v>497698</v>
      </c>
      <c r="G503" s="1" t="s">
        <v>13</v>
      </c>
      <c r="H503" s="1" t="b">
        <f t="shared" si="21"/>
        <v>1</v>
      </c>
    </row>
    <row r="504" spans="1:8" ht="21" x14ac:dyDescent="0.25">
      <c r="A504" s="2" t="str">
        <f>HYPERLINK("https://rth.dk/resources/bsgatlas/details.php?id=BSGatlas-operon-230","BSGatlas-operon-230")</f>
        <v>BSGatlas-operon-230</v>
      </c>
      <c r="B504" s="2" t="str">
        <f>HYPERLINK("https://rth.dk/resources/bsgatlas/details.php?id=BSGatlas-gene-537","BSGatlas-gene-537")</f>
        <v>BSGatlas-gene-537</v>
      </c>
      <c r="C504" s="1" t="s">
        <v>516</v>
      </c>
      <c r="D504" s="1" t="s">
        <v>8</v>
      </c>
      <c r="E504" s="3">
        <v>495009</v>
      </c>
      <c r="F504" s="3">
        <v>495350</v>
      </c>
      <c r="G504" s="1" t="s">
        <v>9</v>
      </c>
      <c r="H504" s="1" t="b">
        <f t="shared" si="21"/>
        <v>0</v>
      </c>
    </row>
    <row r="505" spans="1:8" ht="21" x14ac:dyDescent="0.25">
      <c r="A505" s="2" t="str">
        <f>HYPERLINK("https://rth.dk/resources/bsgatlas/details.php?id=BSGatlas-operon-230","BSGatlas-operon-230")</f>
        <v>BSGatlas-operon-230</v>
      </c>
      <c r="B505" s="2" t="str">
        <f>HYPERLINK("https://rth.dk/resources/bsgatlas/details.php?id=BSGatlas-gene-538","BSGatlas-gene-538")</f>
        <v>BSGatlas-gene-538</v>
      </c>
      <c r="C505" s="1" t="s">
        <v>517</v>
      </c>
      <c r="D505" s="1" t="s">
        <v>8</v>
      </c>
      <c r="E505" s="3">
        <v>495344</v>
      </c>
      <c r="F505" s="3">
        <v>495703</v>
      </c>
      <c r="G505" s="1" t="s">
        <v>9</v>
      </c>
      <c r="H505" s="1" t="b">
        <f t="shared" si="21"/>
        <v>0</v>
      </c>
    </row>
    <row r="506" spans="1:8" ht="21" x14ac:dyDescent="0.25">
      <c r="A506" s="2" t="str">
        <f>HYPERLINK("https://rth.dk/resources/bsgatlas/details.php?id=BSGatlas-operon-231","BSGatlas-operon-231")</f>
        <v>BSGatlas-operon-231</v>
      </c>
      <c r="B506" s="2" t="str">
        <f>HYPERLINK("https://rth.dk/resources/bsgatlas/details.php?id=BSGatlas-gene-541","BSGatlas-gene-541")</f>
        <v>BSGatlas-gene-541</v>
      </c>
      <c r="C506" s="1" t="s">
        <v>518</v>
      </c>
      <c r="D506" s="1" t="s">
        <v>8</v>
      </c>
      <c r="E506" s="3">
        <v>497768</v>
      </c>
      <c r="F506" s="3">
        <v>499375</v>
      </c>
      <c r="G506" s="1" t="s">
        <v>9</v>
      </c>
      <c r="H506" s="1" t="b">
        <f t="shared" si="21"/>
        <v>1</v>
      </c>
    </row>
    <row r="507" spans="1:8" ht="21" x14ac:dyDescent="0.25">
      <c r="A507" s="2" t="str">
        <f>HYPERLINK("https://rth.dk/resources/bsgatlas/details.php?id=BSGatlas-operon-231","BSGatlas-operon-231")</f>
        <v>BSGatlas-operon-231</v>
      </c>
      <c r="B507" s="2" t="str">
        <f>HYPERLINK("https://rth.dk/resources/bsgatlas/details.php?id=BSGatlas-gene-542","BSGatlas-gene-542")</f>
        <v>BSGatlas-gene-542</v>
      </c>
      <c r="C507" s="1" t="s">
        <v>519</v>
      </c>
      <c r="D507" s="1" t="s">
        <v>8</v>
      </c>
      <c r="E507" s="3">
        <v>499365</v>
      </c>
      <c r="F507" s="3">
        <v>500045</v>
      </c>
      <c r="G507" s="1" t="s">
        <v>9</v>
      </c>
      <c r="H507" s="1" t="b">
        <f t="shared" si="21"/>
        <v>1</v>
      </c>
    </row>
    <row r="508" spans="1:8" ht="21" x14ac:dyDescent="0.25">
      <c r="A508" s="2" t="str">
        <f>HYPERLINK("https://rth.dk/resources/bsgatlas/details.php?id=BSGatlas-operon-231","BSGatlas-operon-231")</f>
        <v>BSGatlas-operon-231</v>
      </c>
      <c r="B508" s="2" t="str">
        <f>HYPERLINK("https://rth.dk/resources/bsgatlas/details.php?id=BSGatlas-gene-543","BSGatlas-gene-543")</f>
        <v>BSGatlas-gene-543</v>
      </c>
      <c r="C508" s="1" t="s">
        <v>520</v>
      </c>
      <c r="D508" s="1" t="s">
        <v>8</v>
      </c>
      <c r="E508" s="3">
        <v>500166</v>
      </c>
      <c r="F508" s="3">
        <v>501431</v>
      </c>
      <c r="G508" s="1" t="s">
        <v>9</v>
      </c>
      <c r="H508" s="1" t="b">
        <f t="shared" si="21"/>
        <v>1</v>
      </c>
    </row>
    <row r="509" spans="1:8" ht="21" x14ac:dyDescent="0.25">
      <c r="A509" s="2" t="str">
        <f>HYPERLINK("https://rth.dk/resources/bsgatlas/details.php?id=BSGatlas-operon-232","BSGatlas-operon-232")</f>
        <v>BSGatlas-operon-232</v>
      </c>
      <c r="B509" s="2" t="str">
        <f>HYPERLINK("https://rth.dk/resources/bsgatlas/details.php?id=BSGatlas-gene-544","BSGatlas-gene-544")</f>
        <v>BSGatlas-gene-544</v>
      </c>
      <c r="C509" s="1" t="s">
        <v>521</v>
      </c>
      <c r="D509" s="1" t="s">
        <v>8</v>
      </c>
      <c r="E509" s="3">
        <v>501579</v>
      </c>
      <c r="F509" s="3">
        <v>502631</v>
      </c>
      <c r="G509" s="1" t="s">
        <v>9</v>
      </c>
      <c r="H509" s="1" t="b">
        <f t="shared" si="21"/>
        <v>0</v>
      </c>
    </row>
    <row r="510" spans="1:8" ht="21" x14ac:dyDescent="0.25">
      <c r="A510" s="2" t="str">
        <f>HYPERLINK("https://rth.dk/resources/bsgatlas/details.php?id=BSGatlas-operon-233","BSGatlas-operon-233")</f>
        <v>BSGatlas-operon-233</v>
      </c>
      <c r="B510" s="2" t="str">
        <f>HYPERLINK("https://rth.dk/resources/bsgatlas/details.php?id=BSGatlas-gene-545","BSGatlas-gene-545")</f>
        <v>BSGatlas-gene-545</v>
      </c>
      <c r="C510" s="1" t="s">
        <v>522</v>
      </c>
      <c r="D510" s="1" t="s">
        <v>34</v>
      </c>
      <c r="E510" s="3">
        <v>502668</v>
      </c>
      <c r="F510" s="3">
        <v>502883</v>
      </c>
      <c r="G510" s="1" t="s">
        <v>9</v>
      </c>
      <c r="H510" s="1" t="b">
        <f t="shared" si="21"/>
        <v>1</v>
      </c>
    </row>
    <row r="511" spans="1:8" ht="21" x14ac:dyDescent="0.25">
      <c r="A511" s="2" t="str">
        <f>HYPERLINK("https://rth.dk/resources/bsgatlas/details.php?id=BSGatlas-operon-234","BSGatlas-operon-234")</f>
        <v>BSGatlas-operon-234</v>
      </c>
      <c r="B511" s="2" t="str">
        <f>HYPERLINK("https://rth.dk/resources/bsgatlas/details.php?id=BSGatlas-gene-548","BSGatlas-gene-548")</f>
        <v>BSGatlas-gene-548</v>
      </c>
      <c r="C511" s="1" t="s">
        <v>523</v>
      </c>
      <c r="D511" s="1" t="s">
        <v>8</v>
      </c>
      <c r="E511" s="3">
        <v>504689</v>
      </c>
      <c r="F511" s="3">
        <v>505024</v>
      </c>
      <c r="G511" s="1" t="s">
        <v>9</v>
      </c>
      <c r="H511" s="1" t="b">
        <f t="shared" si="21"/>
        <v>0</v>
      </c>
    </row>
    <row r="512" spans="1:8" ht="21" x14ac:dyDescent="0.25">
      <c r="A512" s="2" t="str">
        <f>HYPERLINK("https://rth.dk/resources/bsgatlas/details.php?id=BSGatlas-operon-235","BSGatlas-operon-235")</f>
        <v>BSGatlas-operon-235</v>
      </c>
      <c r="B512" s="2" t="str">
        <f>HYPERLINK("https://rth.dk/resources/bsgatlas/details.php?id=BSGatlas-gene-549","BSGatlas-gene-549")</f>
        <v>BSGatlas-gene-549</v>
      </c>
      <c r="C512" s="1" t="s">
        <v>524</v>
      </c>
      <c r="D512" s="1" t="s">
        <v>8</v>
      </c>
      <c r="E512" s="3">
        <v>505152</v>
      </c>
      <c r="F512" s="3">
        <v>506297</v>
      </c>
      <c r="G512" s="1" t="s">
        <v>9</v>
      </c>
      <c r="H512" s="1" t="b">
        <f t="shared" si="21"/>
        <v>1</v>
      </c>
    </row>
    <row r="513" spans="1:8" ht="21" x14ac:dyDescent="0.25">
      <c r="A513" s="2" t="str">
        <f>HYPERLINK("https://rth.dk/resources/bsgatlas/details.php?id=BSGatlas-operon-236","BSGatlas-operon-236")</f>
        <v>BSGatlas-operon-236</v>
      </c>
      <c r="B513" s="2" t="str">
        <f>HYPERLINK("https://rth.dk/resources/bsgatlas/details.php?id=BSGatlas-gene-550","BSGatlas-gene-550")</f>
        <v>BSGatlas-gene-550</v>
      </c>
      <c r="C513" s="1" t="s">
        <v>525</v>
      </c>
      <c r="D513" s="1" t="s">
        <v>8</v>
      </c>
      <c r="E513" s="3">
        <v>506322</v>
      </c>
      <c r="F513" s="3">
        <v>506501</v>
      </c>
      <c r="G513" s="1" t="s">
        <v>13</v>
      </c>
      <c r="H513" s="1" t="b">
        <f t="shared" si="21"/>
        <v>0</v>
      </c>
    </row>
    <row r="514" spans="1:8" ht="21" x14ac:dyDescent="0.25">
      <c r="A514" s="2" t="str">
        <f>HYPERLINK("https://rth.dk/resources/bsgatlas/details.php?id=BSGatlas-operon-236","BSGatlas-operon-236")</f>
        <v>BSGatlas-operon-236</v>
      </c>
      <c r="B514" s="2" t="str">
        <f>HYPERLINK("https://rth.dk/resources/bsgatlas/details.php?id=BSGatlas-gene-551","BSGatlas-gene-551")</f>
        <v>BSGatlas-gene-551</v>
      </c>
      <c r="C514" s="1" t="s">
        <v>526</v>
      </c>
      <c r="D514" s="1" t="s">
        <v>8</v>
      </c>
      <c r="E514" s="3">
        <v>506455</v>
      </c>
      <c r="F514" s="3">
        <v>506619</v>
      </c>
      <c r="G514" s="1" t="s">
        <v>13</v>
      </c>
      <c r="H514" s="1" t="b">
        <f t="shared" ref="H514:H577" si="23">_xlfn.XOR(A513&lt;&gt;A514,H513)</f>
        <v>0</v>
      </c>
    </row>
    <row r="515" spans="1:8" ht="21" x14ac:dyDescent="0.25">
      <c r="A515" s="2" t="str">
        <f>HYPERLINK("https://rth.dk/resources/bsgatlas/details.php?id=BSGatlas-operon-237","BSGatlas-operon-237")</f>
        <v>BSGatlas-operon-237</v>
      </c>
      <c r="B515" s="2" t="str">
        <f>HYPERLINK("https://rth.dk/resources/bsgatlas/details.php?id=BSGatlas-gene-552","BSGatlas-gene-552")</f>
        <v>BSGatlas-gene-552</v>
      </c>
      <c r="C515" s="1" t="s">
        <v>527</v>
      </c>
      <c r="D515" s="1" t="s">
        <v>8</v>
      </c>
      <c r="E515" s="3">
        <v>506866</v>
      </c>
      <c r="F515" s="3">
        <v>507738</v>
      </c>
      <c r="G515" s="1" t="s">
        <v>9</v>
      </c>
      <c r="H515" s="1" t="b">
        <f t="shared" si="23"/>
        <v>1</v>
      </c>
    </row>
    <row r="516" spans="1:8" ht="21" x14ac:dyDescent="0.25">
      <c r="A516" s="2" t="str">
        <f>HYPERLINK("https://rth.dk/resources/bsgatlas/details.php?id=BSGatlas-operon-238","BSGatlas-operon-238")</f>
        <v>BSGatlas-operon-238</v>
      </c>
      <c r="B516" s="2" t="str">
        <f>HYPERLINK("https://rth.dk/resources/bsgatlas/details.php?id=BSGatlas-gene-553","BSGatlas-gene-553")</f>
        <v>BSGatlas-gene-553</v>
      </c>
      <c r="C516" s="1" t="s">
        <v>528</v>
      </c>
      <c r="D516" s="1" t="s">
        <v>8</v>
      </c>
      <c r="E516" s="3">
        <v>507753</v>
      </c>
      <c r="F516" s="3">
        <v>508073</v>
      </c>
      <c r="G516" s="1" t="s">
        <v>13</v>
      </c>
      <c r="H516" s="1" t="b">
        <f t="shared" si="23"/>
        <v>0</v>
      </c>
    </row>
    <row r="517" spans="1:8" ht="21" x14ac:dyDescent="0.25">
      <c r="A517" s="2" t="str">
        <f>HYPERLINK("https://rth.dk/resources/bsgatlas/details.php?id=BSGatlas-operon-239","BSGatlas-operon-239")</f>
        <v>BSGatlas-operon-239</v>
      </c>
      <c r="B517" s="2" t="str">
        <f>HYPERLINK("https://rth.dk/resources/bsgatlas/details.php?id=BSGatlas-gene-554","BSGatlas-gene-554")</f>
        <v>BSGatlas-gene-554</v>
      </c>
      <c r="C517" s="1" t="s">
        <v>529</v>
      </c>
      <c r="D517" s="1" t="s">
        <v>8</v>
      </c>
      <c r="E517" s="3">
        <v>508248</v>
      </c>
      <c r="F517" s="3">
        <v>509312</v>
      </c>
      <c r="G517" s="1" t="s">
        <v>9</v>
      </c>
      <c r="H517" s="1" t="b">
        <f t="shared" si="23"/>
        <v>1</v>
      </c>
    </row>
    <row r="518" spans="1:8" ht="21" x14ac:dyDescent="0.25">
      <c r="A518" s="2" t="str">
        <f>HYPERLINK("https://rth.dk/resources/bsgatlas/details.php?id=BSGatlas-operon-239","BSGatlas-operon-239")</f>
        <v>BSGatlas-operon-239</v>
      </c>
      <c r="B518" s="2" t="str">
        <f>HYPERLINK("https://rth.dk/resources/bsgatlas/details.php?id=BSGatlas-gene-555","BSGatlas-gene-555")</f>
        <v>BSGatlas-gene-555</v>
      </c>
      <c r="C518" s="1" t="s">
        <v>530</v>
      </c>
      <c r="D518" s="1" t="s">
        <v>8</v>
      </c>
      <c r="E518" s="3">
        <v>509384</v>
      </c>
      <c r="F518" s="3">
        <v>510757</v>
      </c>
      <c r="G518" s="1" t="s">
        <v>9</v>
      </c>
      <c r="H518" s="1" t="b">
        <f t="shared" si="23"/>
        <v>1</v>
      </c>
    </row>
    <row r="519" spans="1:8" ht="21" x14ac:dyDescent="0.25">
      <c r="A519" s="2" t="str">
        <f>HYPERLINK("https://rth.dk/resources/bsgatlas/details.php?id=BSGatlas-operon-240","BSGatlas-operon-240")</f>
        <v>BSGatlas-operon-240</v>
      </c>
      <c r="B519" s="2" t="str">
        <f>HYPERLINK("https://rth.dk/resources/bsgatlas/details.php?id=BSGatlas-gene-556","BSGatlas-gene-556")</f>
        <v>BSGatlas-gene-556</v>
      </c>
      <c r="C519" s="1" t="s">
        <v>531</v>
      </c>
      <c r="D519" s="1" t="s">
        <v>8</v>
      </c>
      <c r="E519" s="3">
        <v>511157</v>
      </c>
      <c r="F519" s="3">
        <v>512641</v>
      </c>
      <c r="G519" s="1" t="s">
        <v>9</v>
      </c>
      <c r="H519" s="1" t="b">
        <f t="shared" si="23"/>
        <v>0</v>
      </c>
    </row>
    <row r="520" spans="1:8" ht="21" x14ac:dyDescent="0.25">
      <c r="A520" s="2" t="str">
        <f>HYPERLINK("https://rth.dk/resources/bsgatlas/details.php?id=BSGatlas-operon-241","BSGatlas-operon-241")</f>
        <v>BSGatlas-operon-241</v>
      </c>
      <c r="B520" s="2" t="str">
        <f>HYPERLINK("https://rth.dk/resources/bsgatlas/details.php?id=BSGatlas-gene-557","BSGatlas-gene-557")</f>
        <v>BSGatlas-gene-557</v>
      </c>
      <c r="C520" s="1" t="s">
        <v>532</v>
      </c>
      <c r="D520" s="1" t="s">
        <v>8</v>
      </c>
      <c r="E520" s="3">
        <v>512814</v>
      </c>
      <c r="F520" s="3">
        <v>513293</v>
      </c>
      <c r="G520" s="1" t="s">
        <v>9</v>
      </c>
      <c r="H520" s="1" t="b">
        <f t="shared" si="23"/>
        <v>1</v>
      </c>
    </row>
    <row r="521" spans="1:8" ht="21" x14ac:dyDescent="0.25">
      <c r="A521" s="2" t="str">
        <f>HYPERLINK("https://rth.dk/resources/bsgatlas/details.php?id=BSGatlas-operon-241","BSGatlas-operon-241")</f>
        <v>BSGatlas-operon-241</v>
      </c>
      <c r="B521" s="2" t="str">
        <f>HYPERLINK("https://rth.dk/resources/bsgatlas/details.php?id=BSGatlas-gene-558","BSGatlas-gene-558")</f>
        <v>BSGatlas-gene-558</v>
      </c>
      <c r="C521" s="1" t="s">
        <v>533</v>
      </c>
      <c r="D521" s="1" t="s">
        <v>8</v>
      </c>
      <c r="E521" s="3">
        <v>513283</v>
      </c>
      <c r="F521" s="3">
        <v>514764</v>
      </c>
      <c r="G521" s="1" t="s">
        <v>9</v>
      </c>
      <c r="H521" s="1" t="b">
        <f t="shared" si="23"/>
        <v>1</v>
      </c>
    </row>
    <row r="522" spans="1:8" ht="21" x14ac:dyDescent="0.25">
      <c r="A522" s="2" t="str">
        <f>HYPERLINK("https://rth.dk/resources/bsgatlas/details.php?id=BSGatlas-operon-242","BSGatlas-operon-242")</f>
        <v>BSGatlas-operon-242</v>
      </c>
      <c r="B522" s="2" t="str">
        <f>HYPERLINK("https://rth.dk/resources/bsgatlas/details.php?id=BSGatlas-gene-560","BSGatlas-gene-560")</f>
        <v>BSGatlas-gene-560</v>
      </c>
      <c r="C522" s="1" t="s">
        <v>534</v>
      </c>
      <c r="D522" s="1" t="s">
        <v>8</v>
      </c>
      <c r="E522" s="3">
        <v>515016</v>
      </c>
      <c r="F522" s="3">
        <v>515615</v>
      </c>
      <c r="G522" s="1" t="s">
        <v>13</v>
      </c>
      <c r="H522" s="1" t="b">
        <f t="shared" si="23"/>
        <v>0</v>
      </c>
    </row>
    <row r="523" spans="1:8" ht="21" x14ac:dyDescent="0.25">
      <c r="A523" s="2" t="str">
        <f>HYPERLINK("https://rth.dk/resources/bsgatlas/details.php?id=BSGatlas-operon-243","BSGatlas-operon-243")</f>
        <v>BSGatlas-operon-243</v>
      </c>
      <c r="B523" s="2" t="str">
        <f>HYPERLINK("https://rth.dk/resources/bsgatlas/details.php?id=BSGatlas-gene-559","BSGatlas-gene-559")</f>
        <v>BSGatlas-gene-559</v>
      </c>
      <c r="C523" s="1" t="s">
        <v>54</v>
      </c>
      <c r="D523" s="1" t="s">
        <v>55</v>
      </c>
      <c r="E523" s="3">
        <v>514831</v>
      </c>
      <c r="F523" s="3">
        <v>514898</v>
      </c>
      <c r="G523" s="1" t="s">
        <v>9</v>
      </c>
      <c r="H523" s="1" t="b">
        <f t="shared" si="23"/>
        <v>1</v>
      </c>
    </row>
    <row r="524" spans="1:8" ht="21" x14ac:dyDescent="0.25">
      <c r="A524" s="2" t="str">
        <f>HYPERLINK("https://rth.dk/resources/bsgatlas/details.php?id=BSGatlas-operon-244","BSGatlas-operon-244")</f>
        <v>BSGatlas-operon-244</v>
      </c>
      <c r="B524" s="2" t="str">
        <f>HYPERLINK("https://rth.dk/resources/bsgatlas/details.php?id=BSGatlas-gene-561","BSGatlas-gene-561")</f>
        <v>BSGatlas-gene-561</v>
      </c>
      <c r="C524" s="1" t="s">
        <v>535</v>
      </c>
      <c r="D524" s="1" t="s">
        <v>8</v>
      </c>
      <c r="E524" s="3">
        <v>515710</v>
      </c>
      <c r="F524" s="3">
        <v>516075</v>
      </c>
      <c r="G524" s="1" t="s">
        <v>9</v>
      </c>
      <c r="H524" s="1" t="b">
        <f t="shared" si="23"/>
        <v>0</v>
      </c>
    </row>
    <row r="525" spans="1:8" ht="21" x14ac:dyDescent="0.25">
      <c r="A525" s="2" t="str">
        <f>HYPERLINK("https://rth.dk/resources/bsgatlas/details.php?id=BSGatlas-operon-244","BSGatlas-operon-244")</f>
        <v>BSGatlas-operon-244</v>
      </c>
      <c r="B525" s="2" t="str">
        <f>HYPERLINK("https://rth.dk/resources/bsgatlas/details.php?id=BSGatlas-gene-562","BSGatlas-gene-562")</f>
        <v>BSGatlas-gene-562</v>
      </c>
      <c r="C525" s="1" t="s">
        <v>536</v>
      </c>
      <c r="D525" s="1" t="s">
        <v>8</v>
      </c>
      <c r="E525" s="3">
        <v>516241</v>
      </c>
      <c r="F525" s="3">
        <v>517257</v>
      </c>
      <c r="G525" s="1" t="s">
        <v>9</v>
      </c>
      <c r="H525" s="1" t="b">
        <f t="shared" si="23"/>
        <v>0</v>
      </c>
    </row>
    <row r="526" spans="1:8" ht="21" x14ac:dyDescent="0.25">
      <c r="A526" s="2" t="str">
        <f>HYPERLINK("https://rth.dk/resources/bsgatlas/details.php?id=BSGatlas-operon-245","BSGatlas-operon-245")</f>
        <v>BSGatlas-operon-245</v>
      </c>
      <c r="B526" s="2" t="str">
        <f>HYPERLINK("https://rth.dk/resources/bsgatlas/details.php?id=BSGatlas-gene-563","BSGatlas-gene-563")</f>
        <v>BSGatlas-gene-563</v>
      </c>
      <c r="C526" s="1" t="s">
        <v>537</v>
      </c>
      <c r="D526" s="1" t="s">
        <v>8</v>
      </c>
      <c r="E526" s="3">
        <v>517372</v>
      </c>
      <c r="F526" s="3">
        <v>518541</v>
      </c>
      <c r="G526" s="1" t="s">
        <v>9</v>
      </c>
      <c r="H526" s="1" t="b">
        <f t="shared" si="23"/>
        <v>1</v>
      </c>
    </row>
    <row r="527" spans="1:8" ht="21" x14ac:dyDescent="0.25">
      <c r="A527" s="2" t="str">
        <f>HYPERLINK("https://rth.dk/resources/bsgatlas/details.php?id=BSGatlas-operon-245","BSGatlas-operon-245")</f>
        <v>BSGatlas-operon-245</v>
      </c>
      <c r="B527" s="2" t="str">
        <f>HYPERLINK("https://rth.dk/resources/bsgatlas/details.php?id=BSGatlas-gene-564","BSGatlas-gene-564")</f>
        <v>BSGatlas-gene-564</v>
      </c>
      <c r="C527" s="1" t="s">
        <v>538</v>
      </c>
      <c r="D527" s="1" t="s">
        <v>8</v>
      </c>
      <c r="E527" s="3">
        <v>518657</v>
      </c>
      <c r="F527" s="3">
        <v>518938</v>
      </c>
      <c r="G527" s="1" t="s">
        <v>9</v>
      </c>
      <c r="H527" s="1" t="b">
        <f t="shared" si="23"/>
        <v>1</v>
      </c>
    </row>
    <row r="528" spans="1:8" ht="21" x14ac:dyDescent="0.25">
      <c r="A528" s="2" t="str">
        <f>HYPERLINK("https://rth.dk/resources/bsgatlas/details.php?id=BSGatlas-operon-245","BSGatlas-operon-245")</f>
        <v>BSGatlas-operon-245</v>
      </c>
      <c r="B528" s="2" t="str">
        <f>HYPERLINK("https://rth.dk/resources/bsgatlas/details.php?id=BSGatlas-gene-565","BSGatlas-gene-565")</f>
        <v>BSGatlas-gene-565</v>
      </c>
      <c r="C528" s="1" t="s">
        <v>539</v>
      </c>
      <c r="D528" s="1" t="s">
        <v>8</v>
      </c>
      <c r="E528" s="3">
        <v>518943</v>
      </c>
      <c r="F528" s="3">
        <v>519293</v>
      </c>
      <c r="G528" s="1" t="s">
        <v>9</v>
      </c>
      <c r="H528" s="1" t="b">
        <f t="shared" si="23"/>
        <v>1</v>
      </c>
    </row>
    <row r="529" spans="1:8" ht="21" x14ac:dyDescent="0.25">
      <c r="A529" s="2" t="str">
        <f>HYPERLINK("https://rth.dk/resources/bsgatlas/details.php?id=BSGatlas-operon-246","BSGatlas-operon-246")</f>
        <v>BSGatlas-operon-246</v>
      </c>
      <c r="B529" s="2" t="str">
        <f>HYPERLINK("https://rth.dk/resources/bsgatlas/details.php?id=BSGatlas-gene-566","BSGatlas-gene-566")</f>
        <v>BSGatlas-gene-566</v>
      </c>
      <c r="C529" s="1" t="s">
        <v>540</v>
      </c>
      <c r="D529" s="1" t="s">
        <v>12</v>
      </c>
      <c r="E529" s="3">
        <v>519083</v>
      </c>
      <c r="F529" s="3">
        <v>519559</v>
      </c>
      <c r="G529" s="1" t="s">
        <v>13</v>
      </c>
      <c r="H529" s="1" t="b">
        <f t="shared" si="23"/>
        <v>0</v>
      </c>
    </row>
    <row r="530" spans="1:8" ht="21" x14ac:dyDescent="0.25">
      <c r="A530" s="2" t="str">
        <f t="shared" ref="A530:A537" si="24">HYPERLINK("https://rth.dk/resources/bsgatlas/details.php?id=BSGatlas-operon-247","BSGatlas-operon-247")</f>
        <v>BSGatlas-operon-247</v>
      </c>
      <c r="B530" s="2" t="str">
        <f>HYPERLINK("https://rth.dk/resources/bsgatlas/details.php?id=BSGatlas-gene-567","BSGatlas-gene-567")</f>
        <v>BSGatlas-gene-567</v>
      </c>
      <c r="C530" s="1" t="s">
        <v>541</v>
      </c>
      <c r="D530" s="1" t="s">
        <v>8</v>
      </c>
      <c r="E530" s="3">
        <v>519408</v>
      </c>
      <c r="F530" s="3">
        <v>520232</v>
      </c>
      <c r="G530" s="1" t="s">
        <v>9</v>
      </c>
      <c r="H530" s="1" t="b">
        <f t="shared" si="23"/>
        <v>1</v>
      </c>
    </row>
    <row r="531" spans="1:8" ht="21" x14ac:dyDescent="0.25">
      <c r="A531" s="2" t="str">
        <f t="shared" si="24"/>
        <v>BSGatlas-operon-247</v>
      </c>
      <c r="B531" s="2" t="str">
        <f>HYPERLINK("https://rth.dk/resources/bsgatlas/details.php?id=BSGatlas-gene-568","BSGatlas-gene-568")</f>
        <v>BSGatlas-gene-568</v>
      </c>
      <c r="C531" s="1" t="s">
        <v>542</v>
      </c>
      <c r="D531" s="1" t="s">
        <v>8</v>
      </c>
      <c r="E531" s="3">
        <v>520237</v>
      </c>
      <c r="F531" s="3">
        <v>520602</v>
      </c>
      <c r="G531" s="1" t="s">
        <v>9</v>
      </c>
      <c r="H531" s="1" t="b">
        <f t="shared" si="23"/>
        <v>1</v>
      </c>
    </row>
    <row r="532" spans="1:8" ht="21" x14ac:dyDescent="0.25">
      <c r="A532" s="2" t="str">
        <f t="shared" si="24"/>
        <v>BSGatlas-operon-247</v>
      </c>
      <c r="B532" s="2" t="str">
        <f>HYPERLINK("https://rth.dk/resources/bsgatlas/details.php?id=BSGatlas-gene-569","BSGatlas-gene-569")</f>
        <v>BSGatlas-gene-569</v>
      </c>
      <c r="C532" s="1" t="s">
        <v>543</v>
      </c>
      <c r="D532" s="1" t="s">
        <v>8</v>
      </c>
      <c r="E532" s="3">
        <v>520606</v>
      </c>
      <c r="F532" s="3">
        <v>521007</v>
      </c>
      <c r="G532" s="1" t="s">
        <v>9</v>
      </c>
      <c r="H532" s="1" t="b">
        <f t="shared" si="23"/>
        <v>1</v>
      </c>
    </row>
    <row r="533" spans="1:8" ht="21" x14ac:dyDescent="0.25">
      <c r="A533" s="2" t="str">
        <f t="shared" si="24"/>
        <v>BSGatlas-operon-247</v>
      </c>
      <c r="B533" s="2" t="str">
        <f>HYPERLINK("https://rth.dk/resources/bsgatlas/details.php?id=BSGatlas-gene-570","BSGatlas-gene-570")</f>
        <v>BSGatlas-gene-570</v>
      </c>
      <c r="C533" s="1" t="s">
        <v>544</v>
      </c>
      <c r="D533" s="1" t="s">
        <v>8</v>
      </c>
      <c r="E533" s="3">
        <v>521019</v>
      </c>
      <c r="F533" s="3">
        <v>522026</v>
      </c>
      <c r="G533" s="1" t="s">
        <v>9</v>
      </c>
      <c r="H533" s="1" t="b">
        <f t="shared" si="23"/>
        <v>1</v>
      </c>
    </row>
    <row r="534" spans="1:8" ht="21" x14ac:dyDescent="0.25">
      <c r="A534" s="2" t="str">
        <f t="shared" si="24"/>
        <v>BSGatlas-operon-247</v>
      </c>
      <c r="B534" s="2" t="str">
        <f>HYPERLINK("https://rth.dk/resources/bsgatlas/details.php?id=BSGatlas-gene-571","BSGatlas-gene-571")</f>
        <v>BSGatlas-gene-571</v>
      </c>
      <c r="C534" s="1" t="s">
        <v>545</v>
      </c>
      <c r="D534" s="1" t="s">
        <v>8</v>
      </c>
      <c r="E534" s="3">
        <v>522088</v>
      </c>
      <c r="F534" s="3">
        <v>522417</v>
      </c>
      <c r="G534" s="1" t="s">
        <v>9</v>
      </c>
      <c r="H534" s="1" t="b">
        <f t="shared" si="23"/>
        <v>1</v>
      </c>
    </row>
    <row r="535" spans="1:8" ht="21" x14ac:dyDescent="0.25">
      <c r="A535" s="2" t="str">
        <f t="shared" si="24"/>
        <v>BSGatlas-operon-247</v>
      </c>
      <c r="B535" s="2" t="str">
        <f>HYPERLINK("https://rth.dk/resources/bsgatlas/details.php?id=BSGatlas-gene-572","BSGatlas-gene-572")</f>
        <v>BSGatlas-gene-572</v>
      </c>
      <c r="C535" s="1" t="s">
        <v>546</v>
      </c>
      <c r="D535" s="1" t="s">
        <v>8</v>
      </c>
      <c r="E535" s="3">
        <v>522414</v>
      </c>
      <c r="F535" s="3">
        <v>522896</v>
      </c>
      <c r="G535" s="1" t="s">
        <v>9</v>
      </c>
      <c r="H535" s="1" t="b">
        <f t="shared" si="23"/>
        <v>1</v>
      </c>
    </row>
    <row r="536" spans="1:8" ht="21" x14ac:dyDescent="0.25">
      <c r="A536" s="2" t="str">
        <f t="shared" si="24"/>
        <v>BSGatlas-operon-247</v>
      </c>
      <c r="B536" s="2" t="str">
        <f>HYPERLINK("https://rth.dk/resources/bsgatlas/details.php?id=BSGatlas-gene-573","BSGatlas-gene-573")</f>
        <v>BSGatlas-gene-573</v>
      </c>
      <c r="C536" s="1" t="s">
        <v>547</v>
      </c>
      <c r="D536" s="1" t="s">
        <v>8</v>
      </c>
      <c r="E536" s="3">
        <v>522862</v>
      </c>
      <c r="F536" s="3">
        <v>523650</v>
      </c>
      <c r="G536" s="1" t="s">
        <v>9</v>
      </c>
      <c r="H536" s="1" t="b">
        <f t="shared" si="23"/>
        <v>1</v>
      </c>
    </row>
    <row r="537" spans="1:8" ht="21" x14ac:dyDescent="0.25">
      <c r="A537" s="2" t="str">
        <f t="shared" si="24"/>
        <v>BSGatlas-operon-247</v>
      </c>
      <c r="B537" s="2" t="str">
        <f>HYPERLINK("https://rth.dk/resources/bsgatlas/details.php?id=BSGatlas-gene-574","BSGatlas-gene-574")</f>
        <v>BSGatlas-gene-574</v>
      </c>
      <c r="C537" s="1" t="s">
        <v>548</v>
      </c>
      <c r="D537" s="1" t="s">
        <v>8</v>
      </c>
      <c r="E537" s="3">
        <v>523650</v>
      </c>
      <c r="F537" s="3">
        <v>524249</v>
      </c>
      <c r="G537" s="1" t="s">
        <v>9</v>
      </c>
      <c r="H537" s="1" t="b">
        <f t="shared" si="23"/>
        <v>1</v>
      </c>
    </row>
    <row r="538" spans="1:8" ht="21" x14ac:dyDescent="0.25">
      <c r="A538" s="2" t="str">
        <f>HYPERLINK("https://rth.dk/resources/bsgatlas/details.php?id=BSGatlas-operon-248","BSGatlas-operon-248")</f>
        <v>BSGatlas-operon-248</v>
      </c>
      <c r="B538" s="2" t="str">
        <f>HYPERLINK("https://rth.dk/resources/bsgatlas/details.php?id=BSGatlas-gene-575","BSGatlas-gene-575")</f>
        <v>BSGatlas-gene-575</v>
      </c>
      <c r="C538" s="1" t="s">
        <v>318</v>
      </c>
      <c r="D538" s="1" t="s">
        <v>8</v>
      </c>
      <c r="E538" s="3">
        <v>524360</v>
      </c>
      <c r="F538" s="3">
        <v>524476</v>
      </c>
      <c r="G538" s="1" t="s">
        <v>9</v>
      </c>
      <c r="H538" s="1" t="b">
        <f t="shared" si="23"/>
        <v>0</v>
      </c>
    </row>
    <row r="539" spans="1:8" ht="21" x14ac:dyDescent="0.25">
      <c r="A539" s="2" t="str">
        <f>HYPERLINK("https://rth.dk/resources/bsgatlas/details.php?id=BSGatlas-operon-249","BSGatlas-operon-249")</f>
        <v>BSGatlas-operon-249</v>
      </c>
      <c r="B539" s="2" t="str">
        <f>HYPERLINK("https://rth.dk/resources/bsgatlas/details.php?id=BSGatlas-gene-576","BSGatlas-gene-576")</f>
        <v>BSGatlas-gene-576</v>
      </c>
      <c r="C539" s="1" t="s">
        <v>549</v>
      </c>
      <c r="D539" s="1" t="s">
        <v>8</v>
      </c>
      <c r="E539" s="3">
        <v>524492</v>
      </c>
      <c r="F539" s="3">
        <v>524785</v>
      </c>
      <c r="G539" s="1" t="s">
        <v>9</v>
      </c>
      <c r="H539" s="1" t="b">
        <f t="shared" si="23"/>
        <v>1</v>
      </c>
    </row>
    <row r="540" spans="1:8" ht="21" x14ac:dyDescent="0.25">
      <c r="A540" s="2" t="str">
        <f>HYPERLINK("https://rth.dk/resources/bsgatlas/details.php?id=BSGatlas-operon-249","BSGatlas-operon-249")</f>
        <v>BSGatlas-operon-249</v>
      </c>
      <c r="B540" s="2" t="str">
        <f>HYPERLINK("https://rth.dk/resources/bsgatlas/details.php?id=BSGatlas-gene-577","BSGatlas-gene-577")</f>
        <v>BSGatlas-gene-577</v>
      </c>
      <c r="C540" s="1" t="s">
        <v>550</v>
      </c>
      <c r="D540" s="1" t="s">
        <v>8</v>
      </c>
      <c r="E540" s="3">
        <v>524782</v>
      </c>
      <c r="F540" s="3">
        <v>525222</v>
      </c>
      <c r="G540" s="1" t="s">
        <v>9</v>
      </c>
      <c r="H540" s="1" t="b">
        <f t="shared" si="23"/>
        <v>1</v>
      </c>
    </row>
    <row r="541" spans="1:8" ht="21" x14ac:dyDescent="0.25">
      <c r="A541" s="2" t="str">
        <f>HYPERLINK("https://rth.dk/resources/bsgatlas/details.php?id=BSGatlas-operon-249","BSGatlas-operon-249")</f>
        <v>BSGatlas-operon-249</v>
      </c>
      <c r="B541" s="2" t="str">
        <f>HYPERLINK("https://rth.dk/resources/bsgatlas/details.php?id=BSGatlas-gene-579","BSGatlas-gene-579")</f>
        <v>BSGatlas-gene-579</v>
      </c>
      <c r="C541" s="1" t="s">
        <v>551</v>
      </c>
      <c r="D541" s="1" t="s">
        <v>8</v>
      </c>
      <c r="E541" s="3">
        <v>525206</v>
      </c>
      <c r="F541" s="3">
        <v>525649</v>
      </c>
      <c r="G541" s="1" t="s">
        <v>9</v>
      </c>
      <c r="H541" s="1" t="b">
        <f t="shared" si="23"/>
        <v>1</v>
      </c>
    </row>
    <row r="542" spans="1:8" ht="21" x14ac:dyDescent="0.25">
      <c r="A542" s="2" t="str">
        <f>HYPERLINK("https://rth.dk/resources/bsgatlas/details.php?id=BSGatlas-operon-250","BSGatlas-operon-250")</f>
        <v>BSGatlas-operon-250</v>
      </c>
      <c r="B542" s="2" t="str">
        <f>HYPERLINK("https://rth.dk/resources/bsgatlas/details.php?id=BSGatlas-gene-578","BSGatlas-gene-578")</f>
        <v>BSGatlas-gene-578</v>
      </c>
      <c r="C542" s="1" t="s">
        <v>552</v>
      </c>
      <c r="D542" s="1" t="s">
        <v>12</v>
      </c>
      <c r="E542" s="3">
        <v>525021</v>
      </c>
      <c r="F542" s="3">
        <v>528076</v>
      </c>
      <c r="G542" s="1" t="s">
        <v>13</v>
      </c>
      <c r="H542" s="1" t="b">
        <f t="shared" si="23"/>
        <v>0</v>
      </c>
    </row>
    <row r="543" spans="1:8" ht="21" x14ac:dyDescent="0.25">
      <c r="A543" s="2" t="str">
        <f>HYPERLINK("https://rth.dk/resources/bsgatlas/details.php?id=BSGatlas-operon-250","BSGatlas-operon-250")</f>
        <v>BSGatlas-operon-250</v>
      </c>
      <c r="B543" s="2" t="str">
        <f>HYPERLINK("https://rth.dk/resources/bsgatlas/details.php?id=BSGatlas-gene-581","BSGatlas-gene-581")</f>
        <v>BSGatlas-gene-581</v>
      </c>
      <c r="C543" s="1" t="s">
        <v>553</v>
      </c>
      <c r="D543" s="1" t="s">
        <v>8</v>
      </c>
      <c r="E543" s="3">
        <v>527912</v>
      </c>
      <c r="F543" s="3">
        <v>528025</v>
      </c>
      <c r="G543" s="1" t="s">
        <v>13</v>
      </c>
      <c r="H543" s="1" t="b">
        <f t="shared" si="23"/>
        <v>0</v>
      </c>
    </row>
    <row r="544" spans="1:8" ht="21" x14ac:dyDescent="0.25">
      <c r="A544" s="2" t="str">
        <f>HYPERLINK("https://rth.dk/resources/bsgatlas/details.php?id=BSGatlas-operon-251","BSGatlas-operon-251")</f>
        <v>BSGatlas-operon-251</v>
      </c>
      <c r="B544" s="2" t="str">
        <f>HYPERLINK("https://rth.dk/resources/bsgatlas/details.php?id=BSGatlas-gene-580","BSGatlas-gene-580")</f>
        <v>BSGatlas-gene-580</v>
      </c>
      <c r="C544" s="1" t="s">
        <v>554</v>
      </c>
      <c r="D544" s="1" t="s">
        <v>8</v>
      </c>
      <c r="E544" s="3">
        <v>525743</v>
      </c>
      <c r="F544" s="3">
        <v>527902</v>
      </c>
      <c r="G544" s="1" t="s">
        <v>9</v>
      </c>
      <c r="H544" s="1" t="b">
        <f t="shared" si="23"/>
        <v>1</v>
      </c>
    </row>
    <row r="545" spans="1:8" ht="21" x14ac:dyDescent="0.25">
      <c r="A545" s="2" t="str">
        <f>HYPERLINK("https://rth.dk/resources/bsgatlas/details.php?id=BSGatlas-operon-252","BSGatlas-operon-252")</f>
        <v>BSGatlas-operon-252</v>
      </c>
      <c r="B545" s="2" t="str">
        <f>HYPERLINK("https://rth.dk/resources/bsgatlas/details.php?id=BSGatlas-gene-582","BSGatlas-gene-582")</f>
        <v>BSGatlas-gene-582</v>
      </c>
      <c r="C545" s="1" t="s">
        <v>555</v>
      </c>
      <c r="D545" s="1" t="s">
        <v>8</v>
      </c>
      <c r="E545" s="3">
        <v>528129</v>
      </c>
      <c r="F545" s="3">
        <v>528581</v>
      </c>
      <c r="G545" s="1" t="s">
        <v>9</v>
      </c>
      <c r="H545" s="1" t="b">
        <f t="shared" si="23"/>
        <v>0</v>
      </c>
    </row>
    <row r="546" spans="1:8" ht="21" x14ac:dyDescent="0.25">
      <c r="A546" s="2" t="str">
        <f>HYPERLINK("https://rth.dk/resources/bsgatlas/details.php?id=BSGatlas-operon-253","BSGatlas-operon-253")</f>
        <v>BSGatlas-operon-253</v>
      </c>
      <c r="B546" s="2" t="str">
        <f>HYPERLINK("https://rth.dk/resources/bsgatlas/details.php?id=BSGatlas-gene-583","BSGatlas-gene-583")</f>
        <v>BSGatlas-gene-583</v>
      </c>
      <c r="C546" s="1" t="s">
        <v>556</v>
      </c>
      <c r="D546" s="1" t="s">
        <v>23</v>
      </c>
      <c r="E546" s="3">
        <v>528703</v>
      </c>
      <c r="F546" s="3">
        <v>528778</v>
      </c>
      <c r="G546" s="1" t="s">
        <v>9</v>
      </c>
      <c r="H546" s="1" t="b">
        <f t="shared" si="23"/>
        <v>1</v>
      </c>
    </row>
    <row r="547" spans="1:8" ht="21" x14ac:dyDescent="0.25">
      <c r="A547" s="2" t="str">
        <f>HYPERLINK("https://rth.dk/resources/bsgatlas/details.php?id=BSGatlas-operon-254","BSGatlas-operon-254")</f>
        <v>BSGatlas-operon-254</v>
      </c>
      <c r="B547" s="2" t="str">
        <f>HYPERLINK("https://rth.dk/resources/bsgatlas/details.php?id=BSGatlas-gene-590","BSGatlas-gene-590")</f>
        <v>BSGatlas-gene-590</v>
      </c>
      <c r="C547" s="1" t="s">
        <v>557</v>
      </c>
      <c r="D547" s="1" t="s">
        <v>8</v>
      </c>
      <c r="E547" s="3">
        <v>529505</v>
      </c>
      <c r="F547" s="3">
        <v>530611</v>
      </c>
      <c r="G547" s="1" t="s">
        <v>13</v>
      </c>
      <c r="H547" s="1" t="b">
        <f t="shared" si="23"/>
        <v>0</v>
      </c>
    </row>
    <row r="548" spans="1:8" ht="21" x14ac:dyDescent="0.25">
      <c r="A548" s="2" t="str">
        <f>HYPERLINK("https://rth.dk/resources/bsgatlas/details.php?id=BSGatlas-operon-254","BSGatlas-operon-254")</f>
        <v>BSGatlas-operon-254</v>
      </c>
      <c r="B548" s="2" t="str">
        <f>HYPERLINK("https://rth.dk/resources/bsgatlas/details.php?id=BSGatlas-gene-591","BSGatlas-gene-591")</f>
        <v>BSGatlas-gene-591</v>
      </c>
      <c r="C548" s="1" t="s">
        <v>558</v>
      </c>
      <c r="D548" s="1" t="s">
        <v>8</v>
      </c>
      <c r="E548" s="3">
        <v>530624</v>
      </c>
      <c r="F548" s="3">
        <v>531133</v>
      </c>
      <c r="G548" s="1" t="s">
        <v>13</v>
      </c>
      <c r="H548" s="1" t="b">
        <f t="shared" si="23"/>
        <v>0</v>
      </c>
    </row>
    <row r="549" spans="1:8" ht="21" x14ac:dyDescent="0.25">
      <c r="A549" s="2" t="str">
        <f>HYPERLINK("https://rth.dk/resources/bsgatlas/details.php?id=BSGatlas-operon-254","BSGatlas-operon-254")</f>
        <v>BSGatlas-operon-254</v>
      </c>
      <c r="B549" s="2" t="str">
        <f>HYPERLINK("https://rth.dk/resources/bsgatlas/details.php?id=BSGatlas-gene-592","BSGatlas-gene-592")</f>
        <v>BSGatlas-gene-592</v>
      </c>
      <c r="C549" s="1" t="s">
        <v>559</v>
      </c>
      <c r="D549" s="1" t="s">
        <v>8</v>
      </c>
      <c r="E549" s="3">
        <v>531130</v>
      </c>
      <c r="F549" s="3">
        <v>531513</v>
      </c>
      <c r="G549" s="1" t="s">
        <v>13</v>
      </c>
      <c r="H549" s="1" t="b">
        <f t="shared" si="23"/>
        <v>0</v>
      </c>
    </row>
    <row r="550" spans="1:8" ht="21" x14ac:dyDescent="0.25">
      <c r="A550" s="2" t="str">
        <f>HYPERLINK("https://rth.dk/resources/bsgatlas/details.php?id=BSGatlas-operon-255","BSGatlas-operon-255")</f>
        <v>BSGatlas-operon-255</v>
      </c>
      <c r="B550" s="2" t="str">
        <f>HYPERLINK("https://rth.dk/resources/bsgatlas/details.php?id=BSGatlas-gene-588","BSGatlas-gene-588")</f>
        <v>BSGatlas-gene-588</v>
      </c>
      <c r="C550" s="1" t="s">
        <v>560</v>
      </c>
      <c r="D550" s="1" t="s">
        <v>23</v>
      </c>
      <c r="E550" s="3">
        <v>529173</v>
      </c>
      <c r="F550" s="3">
        <v>529255</v>
      </c>
      <c r="G550" s="1" t="s">
        <v>9</v>
      </c>
      <c r="H550" s="1" t="b">
        <f t="shared" si="23"/>
        <v>1</v>
      </c>
    </row>
    <row r="551" spans="1:8" ht="21" x14ac:dyDescent="0.25">
      <c r="A551" s="2" t="str">
        <f>HYPERLINK("https://rth.dk/resources/bsgatlas/details.php?id=BSGatlas-operon-256","BSGatlas-operon-256")</f>
        <v>BSGatlas-operon-256</v>
      </c>
      <c r="B551" s="2" t="str">
        <f>HYPERLINK("https://rth.dk/resources/bsgatlas/details.php?id=BSGatlas-gene-589","BSGatlas-gene-589")</f>
        <v>BSGatlas-gene-589</v>
      </c>
      <c r="C551" s="1" t="s">
        <v>561</v>
      </c>
      <c r="D551" s="1" t="s">
        <v>23</v>
      </c>
      <c r="E551" s="3">
        <v>529335</v>
      </c>
      <c r="F551" s="3">
        <v>529422</v>
      </c>
      <c r="G551" s="1" t="s">
        <v>9</v>
      </c>
      <c r="H551" s="1" t="b">
        <f t="shared" si="23"/>
        <v>0</v>
      </c>
    </row>
    <row r="552" spans="1:8" ht="21" x14ac:dyDescent="0.25">
      <c r="A552" s="2" t="str">
        <f t="shared" ref="A552:A571" si="25">HYPERLINK("https://rth.dk/resources/bsgatlas/details.php?id=BSGatlas-operon-257","BSGatlas-operon-257")</f>
        <v>BSGatlas-operon-257</v>
      </c>
      <c r="B552" s="2" t="str">
        <f>HYPERLINK("https://rth.dk/resources/bsgatlas/details.php?id=BSGatlas-gene-593","BSGatlas-gene-593")</f>
        <v>BSGatlas-gene-593</v>
      </c>
      <c r="C552" s="1" t="s">
        <v>562</v>
      </c>
      <c r="D552" s="1" t="s">
        <v>8</v>
      </c>
      <c r="E552" s="3">
        <v>531787</v>
      </c>
      <c r="F552" s="3">
        <v>531981</v>
      </c>
      <c r="G552" s="1" t="s">
        <v>9</v>
      </c>
      <c r="H552" s="1" t="b">
        <f t="shared" si="23"/>
        <v>1</v>
      </c>
    </row>
    <row r="553" spans="1:8" ht="21" x14ac:dyDescent="0.25">
      <c r="A553" s="2" t="str">
        <f t="shared" si="25"/>
        <v>BSGatlas-operon-257</v>
      </c>
      <c r="B553" s="2" t="str">
        <f>HYPERLINK("https://rth.dk/resources/bsgatlas/details.php?id=BSGatlas-gene-594","BSGatlas-gene-594")</f>
        <v>BSGatlas-gene-594</v>
      </c>
      <c r="C553" s="1" t="s">
        <v>563</v>
      </c>
      <c r="D553" s="1" t="s">
        <v>8</v>
      </c>
      <c r="E553" s="3">
        <v>531978</v>
      </c>
      <c r="F553" s="3">
        <v>532238</v>
      </c>
      <c r="G553" s="1" t="s">
        <v>9</v>
      </c>
      <c r="H553" s="1" t="b">
        <f t="shared" si="23"/>
        <v>1</v>
      </c>
    </row>
    <row r="554" spans="1:8" ht="21" x14ac:dyDescent="0.25">
      <c r="A554" s="2" t="str">
        <f t="shared" si="25"/>
        <v>BSGatlas-operon-257</v>
      </c>
      <c r="B554" s="2" t="str">
        <f>HYPERLINK("https://rth.dk/resources/bsgatlas/details.php?id=BSGatlas-gene-595","BSGatlas-gene-595")</f>
        <v>BSGatlas-gene-595</v>
      </c>
      <c r="C554" s="1" t="s">
        <v>564</v>
      </c>
      <c r="D554" s="1" t="s">
        <v>8</v>
      </c>
      <c r="E554" s="3">
        <v>532292</v>
      </c>
      <c r="F554" s="3">
        <v>532552</v>
      </c>
      <c r="G554" s="1" t="s">
        <v>9</v>
      </c>
      <c r="H554" s="1" t="b">
        <f t="shared" si="23"/>
        <v>1</v>
      </c>
    </row>
    <row r="555" spans="1:8" ht="21" x14ac:dyDescent="0.25">
      <c r="A555" s="2" t="str">
        <f t="shared" si="25"/>
        <v>BSGatlas-operon-257</v>
      </c>
      <c r="B555" s="2" t="str">
        <f>HYPERLINK("https://rth.dk/resources/bsgatlas/details.php?id=BSGatlas-gene-597","BSGatlas-gene-597")</f>
        <v>BSGatlas-gene-597</v>
      </c>
      <c r="C555" s="1" t="s">
        <v>318</v>
      </c>
      <c r="D555" s="1" t="s">
        <v>8</v>
      </c>
      <c r="E555" s="3">
        <v>532758</v>
      </c>
      <c r="F555" s="3">
        <v>532886</v>
      </c>
      <c r="G555" s="1" t="s">
        <v>9</v>
      </c>
      <c r="H555" s="1" t="b">
        <f t="shared" si="23"/>
        <v>1</v>
      </c>
    </row>
    <row r="556" spans="1:8" ht="21" x14ac:dyDescent="0.25">
      <c r="A556" s="2" t="str">
        <f t="shared" si="25"/>
        <v>BSGatlas-operon-257</v>
      </c>
      <c r="B556" s="2" t="str">
        <f>HYPERLINK("https://rth.dk/resources/bsgatlas/details.php?id=BSGatlas-gene-598","BSGatlas-gene-598")</f>
        <v>BSGatlas-gene-598</v>
      </c>
      <c r="C556" s="1" t="s">
        <v>565</v>
      </c>
      <c r="D556" s="1" t="s">
        <v>8</v>
      </c>
      <c r="E556" s="3">
        <v>532922</v>
      </c>
      <c r="F556" s="3">
        <v>533302</v>
      </c>
      <c r="G556" s="1" t="s">
        <v>9</v>
      </c>
      <c r="H556" s="1" t="b">
        <f t="shared" si="23"/>
        <v>1</v>
      </c>
    </row>
    <row r="557" spans="1:8" ht="21" x14ac:dyDescent="0.25">
      <c r="A557" s="2" t="str">
        <f t="shared" si="25"/>
        <v>BSGatlas-operon-257</v>
      </c>
      <c r="B557" s="2" t="str">
        <f>HYPERLINK("https://rth.dk/resources/bsgatlas/details.php?id=BSGatlas-gene-599","BSGatlas-gene-599")</f>
        <v>BSGatlas-gene-599</v>
      </c>
      <c r="C557" s="1" t="s">
        <v>566</v>
      </c>
      <c r="D557" s="1" t="s">
        <v>8</v>
      </c>
      <c r="E557" s="3">
        <v>533338</v>
      </c>
      <c r="F557" s="3">
        <v>534780</v>
      </c>
      <c r="G557" s="1" t="s">
        <v>9</v>
      </c>
      <c r="H557" s="1" t="b">
        <f t="shared" si="23"/>
        <v>1</v>
      </c>
    </row>
    <row r="558" spans="1:8" ht="21" x14ac:dyDescent="0.25">
      <c r="A558" s="2" t="str">
        <f t="shared" si="25"/>
        <v>BSGatlas-operon-257</v>
      </c>
      <c r="B558" s="2" t="str">
        <f>HYPERLINK("https://rth.dk/resources/bsgatlas/details.php?id=BSGatlas-gene-600","BSGatlas-gene-600")</f>
        <v>BSGatlas-gene-600</v>
      </c>
      <c r="C558" s="1" t="s">
        <v>567</v>
      </c>
      <c r="D558" s="1" t="s">
        <v>8</v>
      </c>
      <c r="E558" s="3">
        <v>534773</v>
      </c>
      <c r="F558" s="3">
        <v>535831</v>
      </c>
      <c r="G558" s="1" t="s">
        <v>9</v>
      </c>
      <c r="H558" s="1" t="b">
        <f t="shared" si="23"/>
        <v>1</v>
      </c>
    </row>
    <row r="559" spans="1:8" ht="21" x14ac:dyDescent="0.25">
      <c r="A559" s="2" t="str">
        <f t="shared" si="25"/>
        <v>BSGatlas-operon-257</v>
      </c>
      <c r="B559" s="2" t="str">
        <f>HYPERLINK("https://rth.dk/resources/bsgatlas/details.php?id=BSGatlas-gene-601","BSGatlas-gene-601")</f>
        <v>BSGatlas-gene-601</v>
      </c>
      <c r="C559" s="1" t="s">
        <v>568</v>
      </c>
      <c r="D559" s="1" t="s">
        <v>55</v>
      </c>
      <c r="E559" s="3">
        <v>535879</v>
      </c>
      <c r="F559" s="3">
        <v>535933</v>
      </c>
      <c r="G559" s="1" t="s">
        <v>9</v>
      </c>
      <c r="H559" s="1" t="b">
        <f t="shared" si="23"/>
        <v>1</v>
      </c>
    </row>
    <row r="560" spans="1:8" ht="21" x14ac:dyDescent="0.25">
      <c r="A560" s="2" t="str">
        <f t="shared" si="25"/>
        <v>BSGatlas-operon-257</v>
      </c>
      <c r="B560" s="2" t="str">
        <f>HYPERLINK("https://rth.dk/resources/bsgatlas/details.php?id=BSGatlas-gene-602","BSGatlas-gene-602")</f>
        <v>BSGatlas-gene-602</v>
      </c>
      <c r="C560" s="1" t="s">
        <v>569</v>
      </c>
      <c r="D560" s="1" t="s">
        <v>8</v>
      </c>
      <c r="E560" s="3">
        <v>536096</v>
      </c>
      <c r="F560" s="3">
        <v>536365</v>
      </c>
      <c r="G560" s="1" t="s">
        <v>9</v>
      </c>
      <c r="H560" s="1" t="b">
        <f t="shared" si="23"/>
        <v>1</v>
      </c>
    </row>
    <row r="561" spans="1:8" ht="21" x14ac:dyDescent="0.25">
      <c r="A561" s="2" t="str">
        <f t="shared" si="25"/>
        <v>BSGatlas-operon-257</v>
      </c>
      <c r="B561" s="2" t="str">
        <f>HYPERLINK("https://rth.dk/resources/bsgatlas/details.php?id=BSGatlas-gene-603","BSGatlas-gene-603")</f>
        <v>BSGatlas-gene-603</v>
      </c>
      <c r="C561" s="1" t="s">
        <v>570</v>
      </c>
      <c r="D561" s="1" t="s">
        <v>8</v>
      </c>
      <c r="E561" s="3">
        <v>536404</v>
      </c>
      <c r="F561" s="3">
        <v>536670</v>
      </c>
      <c r="G561" s="1" t="s">
        <v>9</v>
      </c>
      <c r="H561" s="1" t="b">
        <f t="shared" si="23"/>
        <v>1</v>
      </c>
    </row>
    <row r="562" spans="1:8" ht="21" x14ac:dyDescent="0.25">
      <c r="A562" s="2" t="str">
        <f t="shared" si="25"/>
        <v>BSGatlas-operon-257</v>
      </c>
      <c r="B562" s="2" t="str">
        <f>HYPERLINK("https://rth.dk/resources/bsgatlas/details.php?id=BSGatlas-gene-604","BSGatlas-gene-604")</f>
        <v>BSGatlas-gene-604</v>
      </c>
      <c r="C562" s="1" t="s">
        <v>571</v>
      </c>
      <c r="D562" s="1" t="s">
        <v>8</v>
      </c>
      <c r="E562" s="3">
        <v>536687</v>
      </c>
      <c r="F562" s="3">
        <v>536995</v>
      </c>
      <c r="G562" s="1" t="s">
        <v>9</v>
      </c>
      <c r="H562" s="1" t="b">
        <f t="shared" si="23"/>
        <v>1</v>
      </c>
    </row>
    <row r="563" spans="1:8" ht="21" x14ac:dyDescent="0.25">
      <c r="A563" s="2" t="str">
        <f t="shared" si="25"/>
        <v>BSGatlas-operon-257</v>
      </c>
      <c r="B563" s="2" t="str">
        <f>HYPERLINK("https://rth.dk/resources/bsgatlas/details.php?id=BSGatlas-gene-605","BSGatlas-gene-605")</f>
        <v>BSGatlas-gene-605</v>
      </c>
      <c r="C563" s="1" t="s">
        <v>572</v>
      </c>
      <c r="D563" s="1" t="s">
        <v>8</v>
      </c>
      <c r="E563" s="3">
        <v>536985</v>
      </c>
      <c r="F563" s="3">
        <v>538049</v>
      </c>
      <c r="G563" s="1" t="s">
        <v>9</v>
      </c>
      <c r="H563" s="1" t="b">
        <f t="shared" si="23"/>
        <v>1</v>
      </c>
    </row>
    <row r="564" spans="1:8" ht="21" x14ac:dyDescent="0.25">
      <c r="A564" s="2" t="str">
        <f t="shared" si="25"/>
        <v>BSGatlas-operon-257</v>
      </c>
      <c r="B564" s="2" t="str">
        <f>HYPERLINK("https://rth.dk/resources/bsgatlas/details.php?id=BSGatlas-gene-606","BSGatlas-gene-606")</f>
        <v>BSGatlas-gene-606</v>
      </c>
      <c r="C564" s="1" t="s">
        <v>573</v>
      </c>
      <c r="D564" s="1" t="s">
        <v>8</v>
      </c>
      <c r="E564" s="3">
        <v>538061</v>
      </c>
      <c r="F564" s="3">
        <v>538309</v>
      </c>
      <c r="G564" s="1" t="s">
        <v>9</v>
      </c>
      <c r="H564" s="1" t="b">
        <f t="shared" si="23"/>
        <v>1</v>
      </c>
    </row>
    <row r="565" spans="1:8" ht="21" x14ac:dyDescent="0.25">
      <c r="A565" s="2" t="str">
        <f t="shared" si="25"/>
        <v>BSGatlas-operon-257</v>
      </c>
      <c r="B565" s="2" t="str">
        <f>HYPERLINK("https://rth.dk/resources/bsgatlas/details.php?id=BSGatlas-gene-607","BSGatlas-gene-607")</f>
        <v>BSGatlas-gene-607</v>
      </c>
      <c r="C565" s="1" t="s">
        <v>574</v>
      </c>
      <c r="D565" s="1" t="s">
        <v>8</v>
      </c>
      <c r="E565" s="3">
        <v>538322</v>
      </c>
      <c r="F565" s="3">
        <v>538846</v>
      </c>
      <c r="G565" s="1" t="s">
        <v>9</v>
      </c>
      <c r="H565" s="1" t="b">
        <f t="shared" si="23"/>
        <v>1</v>
      </c>
    </row>
    <row r="566" spans="1:8" ht="21" x14ac:dyDescent="0.25">
      <c r="A566" s="2" t="str">
        <f t="shared" si="25"/>
        <v>BSGatlas-operon-257</v>
      </c>
      <c r="B566" s="2" t="str">
        <f>HYPERLINK("https://rth.dk/resources/bsgatlas/details.php?id=BSGatlas-gene-608","BSGatlas-gene-608")</f>
        <v>BSGatlas-gene-608</v>
      </c>
      <c r="C566" s="1" t="s">
        <v>575</v>
      </c>
      <c r="D566" s="1" t="s">
        <v>8</v>
      </c>
      <c r="E566" s="3">
        <v>538734</v>
      </c>
      <c r="F566" s="3">
        <v>541229</v>
      </c>
      <c r="G566" s="1" t="s">
        <v>9</v>
      </c>
      <c r="H566" s="1" t="b">
        <f t="shared" si="23"/>
        <v>1</v>
      </c>
    </row>
    <row r="567" spans="1:8" ht="21" x14ac:dyDescent="0.25">
      <c r="A567" s="2" t="str">
        <f t="shared" si="25"/>
        <v>BSGatlas-operon-257</v>
      </c>
      <c r="B567" s="2" t="str">
        <f>HYPERLINK("https://rth.dk/resources/bsgatlas/details.php?id=BSGatlas-gene-609","BSGatlas-gene-609")</f>
        <v>BSGatlas-gene-609</v>
      </c>
      <c r="C567" s="1" t="s">
        <v>576</v>
      </c>
      <c r="D567" s="1" t="s">
        <v>8</v>
      </c>
      <c r="E567" s="3">
        <v>541248</v>
      </c>
      <c r="F567" s="3">
        <v>541574</v>
      </c>
      <c r="G567" s="1" t="s">
        <v>9</v>
      </c>
      <c r="H567" s="1" t="b">
        <f t="shared" si="23"/>
        <v>1</v>
      </c>
    </row>
    <row r="568" spans="1:8" ht="21" x14ac:dyDescent="0.25">
      <c r="A568" s="2" t="str">
        <f t="shared" si="25"/>
        <v>BSGatlas-operon-257</v>
      </c>
      <c r="B568" s="2" t="str">
        <f>HYPERLINK("https://rth.dk/resources/bsgatlas/details.php?id=BSGatlas-gene-610","BSGatlas-gene-610")</f>
        <v>BSGatlas-gene-610</v>
      </c>
      <c r="C568" s="1" t="s">
        <v>577</v>
      </c>
      <c r="D568" s="1" t="s">
        <v>8</v>
      </c>
      <c r="E568" s="3">
        <v>541578</v>
      </c>
      <c r="F568" s="3">
        <v>544025</v>
      </c>
      <c r="G568" s="1" t="s">
        <v>9</v>
      </c>
      <c r="H568" s="1" t="b">
        <f t="shared" si="23"/>
        <v>1</v>
      </c>
    </row>
    <row r="569" spans="1:8" ht="21" x14ac:dyDescent="0.25">
      <c r="A569" s="2" t="str">
        <f t="shared" si="25"/>
        <v>BSGatlas-operon-257</v>
      </c>
      <c r="B569" s="2" t="str">
        <f>HYPERLINK("https://rth.dk/resources/bsgatlas/details.php?id=BSGatlas-gene-611","BSGatlas-gene-611")</f>
        <v>BSGatlas-gene-611</v>
      </c>
      <c r="C569" s="1" t="s">
        <v>578</v>
      </c>
      <c r="D569" s="1" t="s">
        <v>8</v>
      </c>
      <c r="E569" s="3">
        <v>544022</v>
      </c>
      <c r="F569" s="3">
        <v>545011</v>
      </c>
      <c r="G569" s="1" t="s">
        <v>9</v>
      </c>
      <c r="H569" s="1" t="b">
        <f t="shared" si="23"/>
        <v>1</v>
      </c>
    </row>
    <row r="570" spans="1:8" ht="21" x14ac:dyDescent="0.25">
      <c r="A570" s="2" t="str">
        <f t="shared" si="25"/>
        <v>BSGatlas-operon-257</v>
      </c>
      <c r="B570" s="2" t="str">
        <f>HYPERLINK("https://rth.dk/resources/bsgatlas/details.php?id=BSGatlas-gene-612","BSGatlas-gene-612")</f>
        <v>BSGatlas-gene-612</v>
      </c>
      <c r="C570" s="1" t="s">
        <v>579</v>
      </c>
      <c r="D570" s="1" t="s">
        <v>8</v>
      </c>
      <c r="E570" s="3">
        <v>545026</v>
      </c>
      <c r="F570" s="3">
        <v>545532</v>
      </c>
      <c r="G570" s="1" t="s">
        <v>9</v>
      </c>
      <c r="H570" s="1" t="b">
        <f t="shared" si="23"/>
        <v>1</v>
      </c>
    </row>
    <row r="571" spans="1:8" ht="21" x14ac:dyDescent="0.25">
      <c r="A571" s="2" t="str">
        <f t="shared" si="25"/>
        <v>BSGatlas-operon-257</v>
      </c>
      <c r="B571" s="2" t="str">
        <f>HYPERLINK("https://rth.dk/resources/bsgatlas/details.php?id=BSGatlas-gene-613","BSGatlas-gene-613")</f>
        <v>BSGatlas-gene-613</v>
      </c>
      <c r="C571" s="1" t="s">
        <v>580</v>
      </c>
      <c r="D571" s="1" t="s">
        <v>8</v>
      </c>
      <c r="E571" s="3">
        <v>545595</v>
      </c>
      <c r="F571" s="3">
        <v>545975</v>
      </c>
      <c r="G571" s="1" t="s">
        <v>9</v>
      </c>
      <c r="H571" s="1" t="b">
        <f t="shared" si="23"/>
        <v>1</v>
      </c>
    </row>
    <row r="572" spans="1:8" ht="21" x14ac:dyDescent="0.25">
      <c r="A572" s="2" t="str">
        <f>HYPERLINK("https://rth.dk/resources/bsgatlas/details.php?id=BSGatlas-operon-258","BSGatlas-operon-258")</f>
        <v>BSGatlas-operon-258</v>
      </c>
      <c r="B572" s="2" t="str">
        <f>HYPERLINK("https://rth.dk/resources/bsgatlas/details.php?id=BSGatlas-gene-596","BSGatlas-gene-596")</f>
        <v>BSGatlas-gene-596</v>
      </c>
      <c r="C572" s="1" t="s">
        <v>581</v>
      </c>
      <c r="D572" s="1" t="s">
        <v>55</v>
      </c>
      <c r="E572" s="3">
        <v>532583</v>
      </c>
      <c r="F572" s="3">
        <v>532642</v>
      </c>
      <c r="G572" s="1" t="s">
        <v>13</v>
      </c>
      <c r="H572" s="1" t="b">
        <f t="shared" si="23"/>
        <v>0</v>
      </c>
    </row>
    <row r="573" spans="1:8" ht="21" x14ac:dyDescent="0.25">
      <c r="A573" s="2" t="str">
        <f>HYPERLINK("https://rth.dk/resources/bsgatlas/details.php?id=BSGatlas-operon-259","BSGatlas-operon-259")</f>
        <v>BSGatlas-operon-259</v>
      </c>
      <c r="B573" s="2" t="str">
        <f>HYPERLINK("https://rth.dk/resources/bsgatlas/details.php?id=BSGatlas-gene-614","BSGatlas-gene-614")</f>
        <v>BSGatlas-gene-614</v>
      </c>
      <c r="C573" s="1" t="s">
        <v>582</v>
      </c>
      <c r="D573" s="1" t="s">
        <v>8</v>
      </c>
      <c r="E573" s="3">
        <v>546166</v>
      </c>
      <c r="F573" s="3">
        <v>546966</v>
      </c>
      <c r="G573" s="1" t="s">
        <v>13</v>
      </c>
      <c r="H573" s="1" t="b">
        <f t="shared" si="23"/>
        <v>1</v>
      </c>
    </row>
    <row r="574" spans="1:8" ht="21" x14ac:dyDescent="0.25">
      <c r="A574" s="2" t="str">
        <f>HYPERLINK("https://rth.dk/resources/bsgatlas/details.php?id=BSGatlas-operon-260","BSGatlas-operon-260")</f>
        <v>BSGatlas-operon-260</v>
      </c>
      <c r="B574" s="2" t="str">
        <f>HYPERLINK("https://rth.dk/resources/bsgatlas/details.php?id=BSGatlas-gene-615","BSGatlas-gene-615")</f>
        <v>BSGatlas-gene-615</v>
      </c>
      <c r="C574" s="1" t="s">
        <v>583</v>
      </c>
      <c r="D574" s="1" t="s">
        <v>8</v>
      </c>
      <c r="E574" s="3">
        <v>547306</v>
      </c>
      <c r="F574" s="3">
        <v>548481</v>
      </c>
      <c r="G574" s="1" t="s">
        <v>9</v>
      </c>
      <c r="H574" s="1" t="b">
        <f t="shared" si="23"/>
        <v>0</v>
      </c>
    </row>
    <row r="575" spans="1:8" ht="21" x14ac:dyDescent="0.25">
      <c r="A575" s="2" t="str">
        <f>HYPERLINK("https://rth.dk/resources/bsgatlas/details.php?id=BSGatlas-operon-260","BSGatlas-operon-260")</f>
        <v>BSGatlas-operon-260</v>
      </c>
      <c r="B575" s="2" t="str">
        <f>HYPERLINK("https://rth.dk/resources/bsgatlas/details.php?id=BSGatlas-gene-616","BSGatlas-gene-616")</f>
        <v>BSGatlas-gene-616</v>
      </c>
      <c r="C575" s="1" t="s">
        <v>584</v>
      </c>
      <c r="D575" s="1" t="s">
        <v>8</v>
      </c>
      <c r="E575" s="3">
        <v>548438</v>
      </c>
      <c r="F575" s="3">
        <v>548557</v>
      </c>
      <c r="G575" s="1" t="s">
        <v>9</v>
      </c>
      <c r="H575" s="1" t="b">
        <f t="shared" si="23"/>
        <v>0</v>
      </c>
    </row>
    <row r="576" spans="1:8" ht="21" x14ac:dyDescent="0.25">
      <c r="A576" s="2" t="str">
        <f>HYPERLINK("https://rth.dk/resources/bsgatlas/details.php?id=BSGatlas-operon-261","BSGatlas-operon-261")</f>
        <v>BSGatlas-operon-261</v>
      </c>
      <c r="B576" s="2" t="str">
        <f>HYPERLINK("https://rth.dk/resources/bsgatlas/details.php?id=BSGatlas-gene-617","BSGatlas-gene-617")</f>
        <v>BSGatlas-gene-617</v>
      </c>
      <c r="C576" s="1" t="s">
        <v>585</v>
      </c>
      <c r="D576" s="1" t="s">
        <v>8</v>
      </c>
      <c r="E576" s="3">
        <v>548710</v>
      </c>
      <c r="F576" s="3">
        <v>549651</v>
      </c>
      <c r="G576" s="1" t="s">
        <v>9</v>
      </c>
      <c r="H576" s="1" t="b">
        <f t="shared" si="23"/>
        <v>1</v>
      </c>
    </row>
    <row r="577" spans="1:8" ht="21" x14ac:dyDescent="0.25">
      <c r="A577" s="2" t="str">
        <f>HYPERLINK("https://rth.dk/resources/bsgatlas/details.php?id=BSGatlas-operon-262","BSGatlas-operon-262")</f>
        <v>BSGatlas-operon-262</v>
      </c>
      <c r="B577" s="2" t="str">
        <f>HYPERLINK("https://rth.dk/resources/bsgatlas/details.php?id=BSGatlas-gene-618","BSGatlas-gene-618")</f>
        <v>BSGatlas-gene-618</v>
      </c>
      <c r="C577" s="1" t="s">
        <v>586</v>
      </c>
      <c r="D577" s="1" t="s">
        <v>8</v>
      </c>
      <c r="E577" s="3">
        <v>550240</v>
      </c>
      <c r="F577" s="3">
        <v>551259</v>
      </c>
      <c r="G577" s="1" t="s">
        <v>13</v>
      </c>
      <c r="H577" s="1" t="b">
        <f t="shared" si="23"/>
        <v>0</v>
      </c>
    </row>
    <row r="578" spans="1:8" ht="21" x14ac:dyDescent="0.25">
      <c r="A578" s="2" t="str">
        <f>HYPERLINK("https://rth.dk/resources/bsgatlas/details.php?id=BSGatlas-operon-263","BSGatlas-operon-263")</f>
        <v>BSGatlas-operon-263</v>
      </c>
      <c r="B578" s="2" t="str">
        <f>HYPERLINK("https://rth.dk/resources/bsgatlas/details.php?id=BSGatlas-gene-619","BSGatlas-gene-619")</f>
        <v>BSGatlas-gene-619</v>
      </c>
      <c r="C578" s="1" t="s">
        <v>587</v>
      </c>
      <c r="D578" s="1" t="s">
        <v>8</v>
      </c>
      <c r="E578" s="3">
        <v>551519</v>
      </c>
      <c r="F578" s="3">
        <v>551929</v>
      </c>
      <c r="G578" s="1" t="s">
        <v>9</v>
      </c>
      <c r="H578" s="1" t="b">
        <f t="shared" ref="H578:H641" si="26">_xlfn.XOR(A577&lt;&gt;A578,H577)</f>
        <v>1</v>
      </c>
    </row>
    <row r="579" spans="1:8" ht="21" x14ac:dyDescent="0.25">
      <c r="A579" s="2" t="str">
        <f>HYPERLINK("https://rth.dk/resources/bsgatlas/details.php?id=BSGatlas-operon-264","BSGatlas-operon-264")</f>
        <v>BSGatlas-operon-264</v>
      </c>
      <c r="B579" s="2" t="str">
        <f>HYPERLINK("https://rth.dk/resources/bsgatlas/details.php?id=BSGatlas-gene-620","BSGatlas-gene-620")</f>
        <v>BSGatlas-gene-620</v>
      </c>
      <c r="C579" s="1" t="s">
        <v>588</v>
      </c>
      <c r="D579" s="1" t="s">
        <v>8</v>
      </c>
      <c r="E579" s="3">
        <v>552052</v>
      </c>
      <c r="F579" s="3">
        <v>552501</v>
      </c>
      <c r="G579" s="1" t="s">
        <v>13</v>
      </c>
      <c r="H579" s="1" t="b">
        <f t="shared" si="26"/>
        <v>0</v>
      </c>
    </row>
    <row r="580" spans="1:8" ht="21" x14ac:dyDescent="0.25">
      <c r="A580" s="2" t="str">
        <f>HYPERLINK("https://rth.dk/resources/bsgatlas/details.php?id=BSGatlas-operon-265","BSGatlas-operon-265")</f>
        <v>BSGatlas-operon-265</v>
      </c>
      <c r="B580" s="2" t="str">
        <f>HYPERLINK("https://rth.dk/resources/bsgatlas/details.php?id=BSGatlas-gene-622","BSGatlas-gene-622")</f>
        <v>BSGatlas-gene-622</v>
      </c>
      <c r="C580" s="1" t="s">
        <v>589</v>
      </c>
      <c r="D580" s="1" t="s">
        <v>8</v>
      </c>
      <c r="E580" s="3">
        <v>553711</v>
      </c>
      <c r="F580" s="3">
        <v>554475</v>
      </c>
      <c r="G580" s="1" t="s">
        <v>9</v>
      </c>
      <c r="H580" s="1" t="b">
        <f t="shared" si="26"/>
        <v>1</v>
      </c>
    </row>
    <row r="581" spans="1:8" ht="21" x14ac:dyDescent="0.25">
      <c r="A581" s="2" t="str">
        <f>HYPERLINK("https://rth.dk/resources/bsgatlas/details.php?id=BSGatlas-operon-266","BSGatlas-operon-266")</f>
        <v>BSGatlas-operon-266</v>
      </c>
      <c r="B581" s="2" t="str">
        <f>HYPERLINK("https://rth.dk/resources/bsgatlas/details.php?id=BSGatlas-gene-624","BSGatlas-gene-624")</f>
        <v>BSGatlas-gene-624</v>
      </c>
      <c r="C581" s="1" t="s">
        <v>590</v>
      </c>
      <c r="D581" s="1" t="s">
        <v>8</v>
      </c>
      <c r="E581" s="3">
        <v>556562</v>
      </c>
      <c r="F581" s="3">
        <v>556738</v>
      </c>
      <c r="G581" s="1" t="s">
        <v>9</v>
      </c>
      <c r="H581" s="1" t="b">
        <f t="shared" si="26"/>
        <v>0</v>
      </c>
    </row>
    <row r="582" spans="1:8" ht="21" x14ac:dyDescent="0.25">
      <c r="A582" s="2" t="str">
        <f>HYPERLINK("https://rth.dk/resources/bsgatlas/details.php?id=BSGatlas-operon-267","BSGatlas-operon-267")</f>
        <v>BSGatlas-operon-267</v>
      </c>
      <c r="B582" s="2" t="str">
        <f>HYPERLINK("https://rth.dk/resources/bsgatlas/details.php?id=BSGatlas-gene-625","BSGatlas-gene-625")</f>
        <v>BSGatlas-gene-625</v>
      </c>
      <c r="C582" s="1" t="s">
        <v>591</v>
      </c>
      <c r="D582" s="1" t="s">
        <v>8</v>
      </c>
      <c r="E582" s="3">
        <v>556763</v>
      </c>
      <c r="F582" s="3">
        <v>557449</v>
      </c>
      <c r="G582" s="1" t="s">
        <v>9</v>
      </c>
      <c r="H582" s="1" t="b">
        <f t="shared" si="26"/>
        <v>1</v>
      </c>
    </row>
    <row r="583" spans="1:8" ht="21" x14ac:dyDescent="0.25">
      <c r="A583" s="2" t="str">
        <f>HYPERLINK("https://rth.dk/resources/bsgatlas/details.php?id=BSGatlas-operon-268","BSGatlas-operon-268")</f>
        <v>BSGatlas-operon-268</v>
      </c>
      <c r="B583" s="2" t="str">
        <f>HYPERLINK("https://rth.dk/resources/bsgatlas/details.php?id=BSGatlas-gene-626","BSGatlas-gene-626")</f>
        <v>BSGatlas-gene-626</v>
      </c>
      <c r="C583" s="1" t="s">
        <v>592</v>
      </c>
      <c r="D583" s="1" t="s">
        <v>8</v>
      </c>
      <c r="E583" s="3">
        <v>557873</v>
      </c>
      <c r="F583" s="3">
        <v>558058</v>
      </c>
      <c r="G583" s="1" t="s">
        <v>9</v>
      </c>
      <c r="H583" s="1" t="b">
        <f t="shared" si="26"/>
        <v>0</v>
      </c>
    </row>
    <row r="584" spans="1:8" ht="21" x14ac:dyDescent="0.25">
      <c r="A584" s="2" t="str">
        <f>HYPERLINK("https://rth.dk/resources/bsgatlas/details.php?id=BSGatlas-operon-269","BSGatlas-operon-269")</f>
        <v>BSGatlas-operon-269</v>
      </c>
      <c r="B584" s="2" t="str">
        <f>HYPERLINK("https://rth.dk/resources/bsgatlas/details.php?id=BSGatlas-gene-628","BSGatlas-gene-628")</f>
        <v>BSGatlas-gene-628</v>
      </c>
      <c r="C584" s="1" t="s">
        <v>593</v>
      </c>
      <c r="D584" s="1" t="s">
        <v>34</v>
      </c>
      <c r="E584" s="3">
        <v>559182</v>
      </c>
      <c r="F584" s="3">
        <v>559512</v>
      </c>
      <c r="G584" s="1" t="s">
        <v>9</v>
      </c>
      <c r="H584" s="1" t="b">
        <f t="shared" si="26"/>
        <v>1</v>
      </c>
    </row>
    <row r="585" spans="1:8" ht="21" x14ac:dyDescent="0.25">
      <c r="A585" s="2" t="str">
        <f>HYPERLINK("https://rth.dk/resources/bsgatlas/details.php?id=BSGatlas-operon-269","BSGatlas-operon-269")</f>
        <v>BSGatlas-operon-269</v>
      </c>
      <c r="B585" s="2" t="str">
        <f>HYPERLINK("https://rth.dk/resources/bsgatlas/details.php?id=BSGatlas-gene-629","BSGatlas-gene-629")</f>
        <v>BSGatlas-gene-629</v>
      </c>
      <c r="C585" s="1" t="s">
        <v>594</v>
      </c>
      <c r="D585" s="1" t="s">
        <v>8</v>
      </c>
      <c r="E585" s="3">
        <v>559264</v>
      </c>
      <c r="F585" s="3">
        <v>559464</v>
      </c>
      <c r="G585" s="1" t="s">
        <v>9</v>
      </c>
      <c r="H585" s="1" t="b">
        <f t="shared" si="26"/>
        <v>1</v>
      </c>
    </row>
    <row r="586" spans="1:8" ht="21" x14ac:dyDescent="0.25">
      <c r="A586" s="2" t="str">
        <f>HYPERLINK("https://rth.dk/resources/bsgatlas/details.php?id=BSGatlas-operon-270","BSGatlas-operon-270")</f>
        <v>BSGatlas-operon-270</v>
      </c>
      <c r="B586" s="2" t="str">
        <f>HYPERLINK("https://rth.dk/resources/bsgatlas/details.php?id=BSGatlas-gene-630","BSGatlas-gene-630")</f>
        <v>BSGatlas-gene-630</v>
      </c>
      <c r="C586" s="1" t="s">
        <v>595</v>
      </c>
      <c r="D586" s="1" t="s">
        <v>12</v>
      </c>
      <c r="E586" s="3">
        <v>559532</v>
      </c>
      <c r="F586" s="3">
        <v>559610</v>
      </c>
      <c r="G586" s="1" t="s">
        <v>13</v>
      </c>
      <c r="H586" s="1" t="b">
        <f t="shared" si="26"/>
        <v>0</v>
      </c>
    </row>
    <row r="587" spans="1:8" ht="21" x14ac:dyDescent="0.25">
      <c r="A587" s="2" t="str">
        <f>HYPERLINK("https://rth.dk/resources/bsgatlas/details.php?id=BSGatlas-operon-271","BSGatlas-operon-271")</f>
        <v>BSGatlas-operon-271</v>
      </c>
      <c r="B587" s="2" t="str">
        <f>HYPERLINK("https://rth.dk/resources/bsgatlas/details.php?id=BSGatlas-gene-632","BSGatlas-gene-632")</f>
        <v>BSGatlas-gene-632</v>
      </c>
      <c r="C587" s="1" t="s">
        <v>596</v>
      </c>
      <c r="D587" s="1" t="s">
        <v>8</v>
      </c>
      <c r="E587" s="3">
        <v>560151</v>
      </c>
      <c r="F587" s="3">
        <v>560612</v>
      </c>
      <c r="G587" s="1" t="s">
        <v>13</v>
      </c>
      <c r="H587" s="1" t="b">
        <f t="shared" si="26"/>
        <v>1</v>
      </c>
    </row>
    <row r="588" spans="1:8" ht="21" x14ac:dyDescent="0.25">
      <c r="A588" s="2" t="str">
        <f>HYPERLINK("https://rth.dk/resources/bsgatlas/details.php?id=BSGatlas-operon-272","BSGatlas-operon-272")</f>
        <v>BSGatlas-operon-272</v>
      </c>
      <c r="B588" s="2" t="str">
        <f>HYPERLINK("https://rth.dk/resources/bsgatlas/details.php?id=BSGatlas-gene-633","BSGatlas-gene-633")</f>
        <v>BSGatlas-gene-633</v>
      </c>
      <c r="C588" s="1" t="s">
        <v>597</v>
      </c>
      <c r="D588" s="1" t="s">
        <v>12</v>
      </c>
      <c r="E588" s="3">
        <v>560674</v>
      </c>
      <c r="F588" s="3">
        <v>561156</v>
      </c>
      <c r="G588" s="1" t="s">
        <v>9</v>
      </c>
      <c r="H588" s="1" t="b">
        <f t="shared" si="26"/>
        <v>0</v>
      </c>
    </row>
    <row r="589" spans="1:8" ht="21" x14ac:dyDescent="0.25">
      <c r="A589" s="2" t="str">
        <f>HYPERLINK("https://rth.dk/resources/bsgatlas/details.php?id=BSGatlas-operon-273","BSGatlas-operon-273")</f>
        <v>BSGatlas-operon-273</v>
      </c>
      <c r="B589" s="2" t="str">
        <f>HYPERLINK("https://rth.dk/resources/bsgatlas/details.php?id=BSGatlas-gene-634","BSGatlas-gene-634")</f>
        <v>BSGatlas-gene-634</v>
      </c>
      <c r="C589" s="1" t="s">
        <v>598</v>
      </c>
      <c r="D589" s="1" t="s">
        <v>8</v>
      </c>
      <c r="E589" s="3">
        <v>561180</v>
      </c>
      <c r="F589" s="3">
        <v>561416</v>
      </c>
      <c r="G589" s="1" t="s">
        <v>13</v>
      </c>
      <c r="H589" s="1" t="b">
        <f t="shared" si="26"/>
        <v>1</v>
      </c>
    </row>
    <row r="590" spans="1:8" ht="21" x14ac:dyDescent="0.25">
      <c r="A590" s="2" t="str">
        <f>HYPERLINK("https://rth.dk/resources/bsgatlas/details.php?id=BSGatlas-operon-273","BSGatlas-operon-273")</f>
        <v>BSGatlas-operon-273</v>
      </c>
      <c r="B590" s="2" t="str">
        <f>HYPERLINK("https://rth.dk/resources/bsgatlas/details.php?id=BSGatlas-gene-635","BSGatlas-gene-635")</f>
        <v>BSGatlas-gene-635</v>
      </c>
      <c r="C590" s="1" t="s">
        <v>599</v>
      </c>
      <c r="D590" s="1" t="s">
        <v>8</v>
      </c>
      <c r="E590" s="3">
        <v>561514</v>
      </c>
      <c r="F590" s="3">
        <v>562389</v>
      </c>
      <c r="G590" s="1" t="s">
        <v>13</v>
      </c>
      <c r="H590" s="1" t="b">
        <f t="shared" si="26"/>
        <v>1</v>
      </c>
    </row>
    <row r="591" spans="1:8" ht="21" x14ac:dyDescent="0.25">
      <c r="A591" s="2" t="str">
        <f>HYPERLINK("https://rth.dk/resources/bsgatlas/details.php?id=BSGatlas-operon-274","BSGatlas-operon-274")</f>
        <v>BSGatlas-operon-274</v>
      </c>
      <c r="B591" s="2" t="str">
        <f>HYPERLINK("https://rth.dk/resources/bsgatlas/details.php?id=BSGatlas-gene-636","BSGatlas-gene-636")</f>
        <v>BSGatlas-gene-636</v>
      </c>
      <c r="C591" s="1" t="s">
        <v>600</v>
      </c>
      <c r="D591" s="1" t="s">
        <v>8</v>
      </c>
      <c r="E591" s="3">
        <v>562502</v>
      </c>
      <c r="F591" s="3">
        <v>563461</v>
      </c>
      <c r="G591" s="1" t="s">
        <v>9</v>
      </c>
      <c r="H591" s="1" t="b">
        <f t="shared" si="26"/>
        <v>0</v>
      </c>
    </row>
    <row r="592" spans="1:8" ht="21" x14ac:dyDescent="0.25">
      <c r="A592" s="2" t="str">
        <f>HYPERLINK("https://rth.dk/resources/bsgatlas/details.php?id=BSGatlas-operon-275","BSGatlas-operon-275")</f>
        <v>BSGatlas-operon-275</v>
      </c>
      <c r="B592" s="2" t="str">
        <f>HYPERLINK("https://rth.dk/resources/bsgatlas/details.php?id=BSGatlas-gene-637","BSGatlas-gene-637")</f>
        <v>BSGatlas-gene-637</v>
      </c>
      <c r="C592" s="1" t="s">
        <v>601</v>
      </c>
      <c r="D592" s="1" t="s">
        <v>8</v>
      </c>
      <c r="E592" s="3">
        <v>563614</v>
      </c>
      <c r="F592" s="3">
        <v>564486</v>
      </c>
      <c r="G592" s="1" t="s">
        <v>13</v>
      </c>
      <c r="H592" s="1" t="b">
        <f t="shared" si="26"/>
        <v>1</v>
      </c>
    </row>
    <row r="593" spans="1:8" ht="21" x14ac:dyDescent="0.25">
      <c r="A593" s="2" t="str">
        <f>HYPERLINK("https://rth.dk/resources/bsgatlas/details.php?id=BSGatlas-operon-276","BSGatlas-operon-276")</f>
        <v>BSGatlas-operon-276</v>
      </c>
      <c r="B593" s="2" t="str">
        <f>HYPERLINK("https://rth.dk/resources/bsgatlas/details.php?id=BSGatlas-gene-638","BSGatlas-gene-638")</f>
        <v>BSGatlas-gene-638</v>
      </c>
      <c r="C593" s="1" t="s">
        <v>602</v>
      </c>
      <c r="D593" s="1" t="s">
        <v>8</v>
      </c>
      <c r="E593" s="3">
        <v>564713</v>
      </c>
      <c r="F593" s="3">
        <v>566101</v>
      </c>
      <c r="G593" s="1" t="s">
        <v>9</v>
      </c>
      <c r="H593" s="1" t="b">
        <f t="shared" si="26"/>
        <v>0</v>
      </c>
    </row>
    <row r="594" spans="1:8" ht="21" x14ac:dyDescent="0.25">
      <c r="A594" s="2" t="str">
        <f>HYPERLINK("https://rth.dk/resources/bsgatlas/details.php?id=BSGatlas-operon-277","BSGatlas-operon-277")</f>
        <v>BSGatlas-operon-277</v>
      </c>
      <c r="B594" s="2" t="str">
        <f>HYPERLINK("https://rth.dk/resources/bsgatlas/details.php?id=BSGatlas-gene-640","BSGatlas-gene-640")</f>
        <v>BSGatlas-gene-640</v>
      </c>
      <c r="C594" s="1" t="s">
        <v>603</v>
      </c>
      <c r="D594" s="1" t="s">
        <v>8</v>
      </c>
      <c r="E594" s="3">
        <v>567662</v>
      </c>
      <c r="F594" s="3">
        <v>568108</v>
      </c>
      <c r="G594" s="1" t="s">
        <v>9</v>
      </c>
      <c r="H594" s="1" t="b">
        <f t="shared" si="26"/>
        <v>1</v>
      </c>
    </row>
    <row r="595" spans="1:8" ht="21" x14ac:dyDescent="0.25">
      <c r="A595" s="2" t="str">
        <f>HYPERLINK("https://rth.dk/resources/bsgatlas/details.php?id=BSGatlas-operon-278","BSGatlas-operon-278")</f>
        <v>BSGatlas-operon-278</v>
      </c>
      <c r="B595" s="2" t="str">
        <f>HYPERLINK("https://rth.dk/resources/bsgatlas/details.php?id=BSGatlas-gene-641","BSGatlas-gene-641")</f>
        <v>BSGatlas-gene-641</v>
      </c>
      <c r="C595" s="1" t="s">
        <v>604</v>
      </c>
      <c r="D595" s="1" t="s">
        <v>8</v>
      </c>
      <c r="E595" s="3">
        <v>568345</v>
      </c>
      <c r="F595" s="3">
        <v>568938</v>
      </c>
      <c r="G595" s="1" t="s">
        <v>9</v>
      </c>
      <c r="H595" s="1" t="b">
        <f t="shared" si="26"/>
        <v>0</v>
      </c>
    </row>
    <row r="596" spans="1:8" ht="21" x14ac:dyDescent="0.25">
      <c r="A596" s="2" t="str">
        <f>HYPERLINK("https://rth.dk/resources/bsgatlas/details.php?id=BSGatlas-operon-279","BSGatlas-operon-279")</f>
        <v>BSGatlas-operon-279</v>
      </c>
      <c r="B596" s="2" t="str">
        <f>HYPERLINK("https://rth.dk/resources/bsgatlas/details.php?id=BSGatlas-gene-642","BSGatlas-gene-642")</f>
        <v>BSGatlas-gene-642</v>
      </c>
      <c r="C596" s="1" t="s">
        <v>605</v>
      </c>
      <c r="D596" s="1" t="s">
        <v>8</v>
      </c>
      <c r="E596" s="3">
        <v>569290</v>
      </c>
      <c r="F596" s="3">
        <v>569949</v>
      </c>
      <c r="G596" s="1" t="s">
        <v>13</v>
      </c>
      <c r="H596" s="1" t="b">
        <f t="shared" si="26"/>
        <v>1</v>
      </c>
    </row>
    <row r="597" spans="1:8" ht="21" x14ac:dyDescent="0.25">
      <c r="A597" s="2" t="str">
        <f>HYPERLINK("https://rth.dk/resources/bsgatlas/details.php?id=BSGatlas-operon-280","BSGatlas-operon-280")</f>
        <v>BSGatlas-operon-280</v>
      </c>
      <c r="B597" s="2" t="str">
        <f>HYPERLINK("https://rth.dk/resources/bsgatlas/details.php?id=BSGatlas-gene-643","BSGatlas-gene-643")</f>
        <v>BSGatlas-gene-643</v>
      </c>
      <c r="C597" s="1" t="s">
        <v>606</v>
      </c>
      <c r="D597" s="1" t="s">
        <v>8</v>
      </c>
      <c r="E597" s="3">
        <v>570371</v>
      </c>
      <c r="F597" s="3">
        <v>571234</v>
      </c>
      <c r="G597" s="1" t="s">
        <v>13</v>
      </c>
      <c r="H597" s="1" t="b">
        <f t="shared" si="26"/>
        <v>0</v>
      </c>
    </row>
    <row r="598" spans="1:8" ht="21" x14ac:dyDescent="0.25">
      <c r="A598" s="2" t="str">
        <f>HYPERLINK("https://rth.dk/resources/bsgatlas/details.php?id=BSGatlas-operon-281","BSGatlas-operon-281")</f>
        <v>BSGatlas-operon-281</v>
      </c>
      <c r="B598" s="2" t="str">
        <f>HYPERLINK("https://rth.dk/resources/bsgatlas/details.php?id=BSGatlas-gene-644","BSGatlas-gene-644")</f>
        <v>BSGatlas-gene-644</v>
      </c>
      <c r="C598" s="1" t="s">
        <v>607</v>
      </c>
      <c r="D598" s="1" t="s">
        <v>8</v>
      </c>
      <c r="E598" s="3">
        <v>571389</v>
      </c>
      <c r="F598" s="3">
        <v>572780</v>
      </c>
      <c r="G598" s="1" t="s">
        <v>9</v>
      </c>
      <c r="H598" s="1" t="b">
        <f t="shared" si="26"/>
        <v>1</v>
      </c>
    </row>
    <row r="599" spans="1:8" ht="21" x14ac:dyDescent="0.25">
      <c r="A599" s="2" t="str">
        <f>HYPERLINK("https://rth.dk/resources/bsgatlas/details.php?id=BSGatlas-operon-282","BSGatlas-operon-282")</f>
        <v>BSGatlas-operon-282</v>
      </c>
      <c r="B599" s="2" t="str">
        <f>HYPERLINK("https://rth.dk/resources/bsgatlas/details.php?id=BSGatlas-gene-645","BSGatlas-gene-645")</f>
        <v>BSGatlas-gene-645</v>
      </c>
      <c r="C599" s="1" t="s">
        <v>608</v>
      </c>
      <c r="D599" s="1" t="s">
        <v>8</v>
      </c>
      <c r="E599" s="3">
        <v>572974</v>
      </c>
      <c r="F599" s="3">
        <v>573399</v>
      </c>
      <c r="G599" s="1" t="s">
        <v>9</v>
      </c>
      <c r="H599" s="1" t="b">
        <f t="shared" si="26"/>
        <v>0</v>
      </c>
    </row>
    <row r="600" spans="1:8" ht="21" x14ac:dyDescent="0.25">
      <c r="A600" s="2" t="str">
        <f>HYPERLINK("https://rth.dk/resources/bsgatlas/details.php?id=BSGatlas-operon-283","BSGatlas-operon-283")</f>
        <v>BSGatlas-operon-283</v>
      </c>
      <c r="B600" s="2" t="str">
        <f>HYPERLINK("https://rth.dk/resources/bsgatlas/details.php?id=BSGatlas-gene-646","BSGatlas-gene-646")</f>
        <v>BSGatlas-gene-646</v>
      </c>
      <c r="C600" s="1" t="s">
        <v>609</v>
      </c>
      <c r="D600" s="1" t="s">
        <v>8</v>
      </c>
      <c r="E600" s="3">
        <v>573452</v>
      </c>
      <c r="F600" s="3">
        <v>574024</v>
      </c>
      <c r="G600" s="1" t="s">
        <v>13</v>
      </c>
      <c r="H600" s="1" t="b">
        <f t="shared" si="26"/>
        <v>1</v>
      </c>
    </row>
    <row r="601" spans="1:8" ht="21" x14ac:dyDescent="0.25">
      <c r="A601" s="2" t="str">
        <f>HYPERLINK("https://rth.dk/resources/bsgatlas/details.php?id=BSGatlas-operon-283","BSGatlas-operon-283")</f>
        <v>BSGatlas-operon-283</v>
      </c>
      <c r="B601" s="2" t="str">
        <f>HYPERLINK("https://rth.dk/resources/bsgatlas/details.php?id=BSGatlas-gene-647","BSGatlas-gene-647")</f>
        <v>BSGatlas-gene-647</v>
      </c>
      <c r="C601" s="1" t="s">
        <v>610</v>
      </c>
      <c r="D601" s="1" t="s">
        <v>8</v>
      </c>
      <c r="E601" s="3">
        <v>574106</v>
      </c>
      <c r="F601" s="3">
        <v>574435</v>
      </c>
      <c r="G601" s="1" t="s">
        <v>13</v>
      </c>
      <c r="H601" s="1" t="b">
        <f t="shared" si="26"/>
        <v>1</v>
      </c>
    </row>
    <row r="602" spans="1:8" ht="21" x14ac:dyDescent="0.25">
      <c r="A602" s="2" t="str">
        <f>HYPERLINK("https://rth.dk/resources/bsgatlas/details.php?id=BSGatlas-operon-284","BSGatlas-operon-284")</f>
        <v>BSGatlas-operon-284</v>
      </c>
      <c r="B602" s="2" t="str">
        <f>HYPERLINK("https://rth.dk/resources/bsgatlas/details.php?id=BSGatlas-gene-648","BSGatlas-gene-648")</f>
        <v>BSGatlas-gene-648</v>
      </c>
      <c r="C602" s="1" t="s">
        <v>611</v>
      </c>
      <c r="D602" s="1" t="s">
        <v>8</v>
      </c>
      <c r="E602" s="3">
        <v>574690</v>
      </c>
      <c r="F602" s="3">
        <v>575562</v>
      </c>
      <c r="G602" s="1" t="s">
        <v>9</v>
      </c>
      <c r="H602" s="1" t="b">
        <f t="shared" si="26"/>
        <v>0</v>
      </c>
    </row>
    <row r="603" spans="1:8" ht="21" x14ac:dyDescent="0.25">
      <c r="A603" s="2" t="str">
        <f>HYPERLINK("https://rth.dk/resources/bsgatlas/details.php?id=BSGatlas-operon-285","BSGatlas-operon-285")</f>
        <v>BSGatlas-operon-285</v>
      </c>
      <c r="B603" s="2" t="str">
        <f>HYPERLINK("https://rth.dk/resources/bsgatlas/details.php?id=BSGatlas-gene-649","BSGatlas-gene-649")</f>
        <v>BSGatlas-gene-649</v>
      </c>
      <c r="C603" s="1" t="s">
        <v>612</v>
      </c>
      <c r="D603" s="1" t="s">
        <v>8</v>
      </c>
      <c r="E603" s="3">
        <v>575712</v>
      </c>
      <c r="F603" s="3">
        <v>576098</v>
      </c>
      <c r="G603" s="1" t="s">
        <v>13</v>
      </c>
      <c r="H603" s="1" t="b">
        <f t="shared" si="26"/>
        <v>1</v>
      </c>
    </row>
    <row r="604" spans="1:8" ht="21" x14ac:dyDescent="0.25">
      <c r="A604" s="2" t="str">
        <f>HYPERLINK("https://rth.dk/resources/bsgatlas/details.php?id=BSGatlas-operon-286","BSGatlas-operon-286")</f>
        <v>BSGatlas-operon-286</v>
      </c>
      <c r="B604" s="2" t="str">
        <f>HYPERLINK("https://rth.dk/resources/bsgatlas/details.php?id=BSGatlas-gene-650","BSGatlas-gene-650")</f>
        <v>BSGatlas-gene-650</v>
      </c>
      <c r="C604" s="1" t="s">
        <v>613</v>
      </c>
      <c r="D604" s="1" t="s">
        <v>8</v>
      </c>
      <c r="E604" s="3">
        <v>576209</v>
      </c>
      <c r="F604" s="3">
        <v>576802</v>
      </c>
      <c r="G604" s="1" t="s">
        <v>9</v>
      </c>
      <c r="H604" s="1" t="b">
        <f t="shared" si="26"/>
        <v>0</v>
      </c>
    </row>
    <row r="605" spans="1:8" ht="21" x14ac:dyDescent="0.25">
      <c r="A605" s="2" t="str">
        <f>HYPERLINK("https://rth.dk/resources/bsgatlas/details.php?id=BSGatlas-operon-287","BSGatlas-operon-287")</f>
        <v>BSGatlas-operon-287</v>
      </c>
      <c r="B605" s="2" t="str">
        <f>HYPERLINK("https://rth.dk/resources/bsgatlas/details.php?id=BSGatlas-gene-651","BSGatlas-gene-651")</f>
        <v>BSGatlas-gene-651</v>
      </c>
      <c r="C605" s="1" t="s">
        <v>614</v>
      </c>
      <c r="D605" s="1" t="s">
        <v>8</v>
      </c>
      <c r="E605" s="3">
        <v>576946</v>
      </c>
      <c r="F605" s="3">
        <v>578133</v>
      </c>
      <c r="G605" s="1" t="s">
        <v>13</v>
      </c>
      <c r="H605" s="1" t="b">
        <f t="shared" si="26"/>
        <v>1</v>
      </c>
    </row>
    <row r="606" spans="1:8" ht="21" x14ac:dyDescent="0.25">
      <c r="A606" s="2" t="str">
        <f>HYPERLINK("https://rth.dk/resources/bsgatlas/details.php?id=BSGatlas-operon-288","BSGatlas-operon-288")</f>
        <v>BSGatlas-operon-288</v>
      </c>
      <c r="B606" s="2" t="str">
        <f>HYPERLINK("https://rth.dk/resources/bsgatlas/details.php?id=BSGatlas-gene-652","BSGatlas-gene-652")</f>
        <v>BSGatlas-gene-652</v>
      </c>
      <c r="C606" s="1" t="s">
        <v>615</v>
      </c>
      <c r="D606" s="1" t="s">
        <v>8</v>
      </c>
      <c r="E606" s="3">
        <v>578337</v>
      </c>
      <c r="F606" s="3">
        <v>578933</v>
      </c>
      <c r="G606" s="1" t="s">
        <v>9</v>
      </c>
      <c r="H606" s="1" t="b">
        <f t="shared" si="26"/>
        <v>0</v>
      </c>
    </row>
    <row r="607" spans="1:8" ht="21" x14ac:dyDescent="0.25">
      <c r="A607" s="2" t="str">
        <f>HYPERLINK("https://rth.dk/resources/bsgatlas/details.php?id=BSGatlas-operon-288","BSGatlas-operon-288")</f>
        <v>BSGatlas-operon-288</v>
      </c>
      <c r="B607" s="2" t="str">
        <f>HYPERLINK("https://rth.dk/resources/bsgatlas/details.php?id=BSGatlas-gene-653","BSGatlas-gene-653")</f>
        <v>BSGatlas-gene-653</v>
      </c>
      <c r="C607" s="1" t="s">
        <v>616</v>
      </c>
      <c r="D607" s="1" t="s">
        <v>8</v>
      </c>
      <c r="E607" s="3">
        <v>579047</v>
      </c>
      <c r="F607" s="3">
        <v>579232</v>
      </c>
      <c r="G607" s="1" t="s">
        <v>9</v>
      </c>
      <c r="H607" s="1" t="b">
        <f t="shared" si="26"/>
        <v>0</v>
      </c>
    </row>
    <row r="608" spans="1:8" ht="21" x14ac:dyDescent="0.25">
      <c r="A608" s="2" t="str">
        <f>HYPERLINK("https://rth.dk/resources/bsgatlas/details.php?id=BSGatlas-operon-289","BSGatlas-operon-289")</f>
        <v>BSGatlas-operon-289</v>
      </c>
      <c r="B608" s="2" t="str">
        <f>HYPERLINK("https://rth.dk/resources/bsgatlas/details.php?id=BSGatlas-gene-654","BSGatlas-gene-654")</f>
        <v>BSGatlas-gene-654</v>
      </c>
      <c r="C608" s="1" t="s">
        <v>617</v>
      </c>
      <c r="D608" s="1" t="s">
        <v>8</v>
      </c>
      <c r="E608" s="3">
        <v>579541</v>
      </c>
      <c r="F608" s="3">
        <v>579876</v>
      </c>
      <c r="G608" s="1" t="s">
        <v>9</v>
      </c>
      <c r="H608" s="1" t="b">
        <f t="shared" si="26"/>
        <v>1</v>
      </c>
    </row>
    <row r="609" spans="1:8" ht="21" x14ac:dyDescent="0.25">
      <c r="A609" s="2" t="str">
        <f>HYPERLINK("https://rth.dk/resources/bsgatlas/details.php?id=BSGatlas-operon-289","BSGatlas-operon-289")</f>
        <v>BSGatlas-operon-289</v>
      </c>
      <c r="B609" s="2" t="str">
        <f>HYPERLINK("https://rth.dk/resources/bsgatlas/details.php?id=BSGatlas-gene-655","BSGatlas-gene-655")</f>
        <v>BSGatlas-gene-655</v>
      </c>
      <c r="C609" s="1" t="s">
        <v>618</v>
      </c>
      <c r="D609" s="1" t="s">
        <v>8</v>
      </c>
      <c r="E609" s="3">
        <v>579889</v>
      </c>
      <c r="F609" s="3">
        <v>581196</v>
      </c>
      <c r="G609" s="1" t="s">
        <v>9</v>
      </c>
      <c r="H609" s="1" t="b">
        <f t="shared" si="26"/>
        <v>1</v>
      </c>
    </row>
    <row r="610" spans="1:8" ht="21" x14ac:dyDescent="0.25">
      <c r="A610" s="2" t="str">
        <f>HYPERLINK("https://rth.dk/resources/bsgatlas/details.php?id=BSGatlas-operon-289","BSGatlas-operon-289")</f>
        <v>BSGatlas-operon-289</v>
      </c>
      <c r="B610" s="2" t="str">
        <f>HYPERLINK("https://rth.dk/resources/bsgatlas/details.php?id=BSGatlas-gene-656","BSGatlas-gene-656")</f>
        <v>BSGatlas-gene-656</v>
      </c>
      <c r="C610" s="1" t="s">
        <v>619</v>
      </c>
      <c r="D610" s="1" t="s">
        <v>276</v>
      </c>
      <c r="E610" s="3">
        <v>581228</v>
      </c>
      <c r="F610" s="3">
        <v>581329</v>
      </c>
      <c r="G610" s="1" t="s">
        <v>9</v>
      </c>
      <c r="H610" s="1" t="b">
        <f t="shared" si="26"/>
        <v>1</v>
      </c>
    </row>
    <row r="611" spans="1:8" ht="21" x14ac:dyDescent="0.25">
      <c r="A611" s="2" t="str">
        <f>HYPERLINK("https://rth.dk/resources/bsgatlas/details.php?id=BSGatlas-operon-289","BSGatlas-operon-289")</f>
        <v>BSGatlas-operon-289</v>
      </c>
      <c r="B611" s="2" t="str">
        <f>HYPERLINK("https://rth.dk/resources/bsgatlas/details.php?id=BSGatlas-gene-657","BSGatlas-gene-657")</f>
        <v>BSGatlas-gene-657</v>
      </c>
      <c r="C611" s="1" t="s">
        <v>620</v>
      </c>
      <c r="D611" s="1" t="s">
        <v>276</v>
      </c>
      <c r="E611" s="3">
        <v>581341</v>
      </c>
      <c r="F611" s="3">
        <v>581454</v>
      </c>
      <c r="G611" s="1" t="s">
        <v>9</v>
      </c>
      <c r="H611" s="1" t="b">
        <f t="shared" si="26"/>
        <v>1</v>
      </c>
    </row>
    <row r="612" spans="1:8" ht="21" x14ac:dyDescent="0.25">
      <c r="A612" s="2" t="str">
        <f>HYPERLINK("https://rth.dk/resources/bsgatlas/details.php?id=BSGatlas-operon-290","BSGatlas-operon-290")</f>
        <v>BSGatlas-operon-290</v>
      </c>
      <c r="B612" s="2" t="str">
        <f>HYPERLINK("https://rth.dk/resources/bsgatlas/details.php?id=BSGatlas-gene-658","BSGatlas-gene-658")</f>
        <v>BSGatlas-gene-658</v>
      </c>
      <c r="C612" s="1" t="s">
        <v>621</v>
      </c>
      <c r="D612" s="1" t="s">
        <v>8</v>
      </c>
      <c r="E612" s="3">
        <v>581694</v>
      </c>
      <c r="F612" s="3">
        <v>582479</v>
      </c>
      <c r="G612" s="1" t="s">
        <v>9</v>
      </c>
      <c r="H612" s="1" t="b">
        <f t="shared" si="26"/>
        <v>0</v>
      </c>
    </row>
    <row r="613" spans="1:8" ht="21" x14ac:dyDescent="0.25">
      <c r="A613" s="2" t="str">
        <f>HYPERLINK("https://rth.dk/resources/bsgatlas/details.php?id=BSGatlas-operon-291","BSGatlas-operon-291")</f>
        <v>BSGatlas-operon-291</v>
      </c>
      <c r="B613" s="2" t="str">
        <f>HYPERLINK("https://rth.dk/resources/bsgatlas/details.php?id=BSGatlas-gene-659","BSGatlas-gene-659")</f>
        <v>BSGatlas-gene-659</v>
      </c>
      <c r="C613" s="1" t="s">
        <v>622</v>
      </c>
      <c r="D613" s="1" t="s">
        <v>8</v>
      </c>
      <c r="E613" s="3">
        <v>582536</v>
      </c>
      <c r="F613" s="3">
        <v>583456</v>
      </c>
      <c r="G613" s="1" t="s">
        <v>13</v>
      </c>
      <c r="H613" s="1" t="b">
        <f t="shared" si="26"/>
        <v>1</v>
      </c>
    </row>
    <row r="614" spans="1:8" ht="21" x14ac:dyDescent="0.25">
      <c r="A614" s="2" t="str">
        <f>HYPERLINK("https://rth.dk/resources/bsgatlas/details.php?id=BSGatlas-operon-292","BSGatlas-operon-292")</f>
        <v>BSGatlas-operon-292</v>
      </c>
      <c r="B614" s="2" t="str">
        <f>HYPERLINK("https://rth.dk/resources/bsgatlas/details.php?id=BSGatlas-gene-660","BSGatlas-gene-660")</f>
        <v>BSGatlas-gene-660</v>
      </c>
      <c r="C614" s="1" t="s">
        <v>623</v>
      </c>
      <c r="D614" s="1" t="s">
        <v>8</v>
      </c>
      <c r="E614" s="3">
        <v>583589</v>
      </c>
      <c r="F614" s="3">
        <v>585037</v>
      </c>
      <c r="G614" s="1" t="s">
        <v>9</v>
      </c>
      <c r="H614" s="1" t="b">
        <f t="shared" si="26"/>
        <v>0</v>
      </c>
    </row>
    <row r="615" spans="1:8" ht="21" x14ac:dyDescent="0.25">
      <c r="A615" s="2" t="str">
        <f>HYPERLINK("https://rth.dk/resources/bsgatlas/details.php?id=BSGatlas-operon-293","BSGatlas-operon-293")</f>
        <v>BSGatlas-operon-293</v>
      </c>
      <c r="B615" s="2" t="str">
        <f>HYPERLINK("https://rth.dk/resources/bsgatlas/details.php?id=BSGatlas-gene-661","BSGatlas-gene-661")</f>
        <v>BSGatlas-gene-661</v>
      </c>
      <c r="C615" s="1" t="s">
        <v>624</v>
      </c>
      <c r="D615" s="1" t="s">
        <v>8</v>
      </c>
      <c r="E615" s="3">
        <v>585155</v>
      </c>
      <c r="F615" s="3">
        <v>585778</v>
      </c>
      <c r="G615" s="1" t="s">
        <v>13</v>
      </c>
      <c r="H615" s="1" t="b">
        <f t="shared" si="26"/>
        <v>1</v>
      </c>
    </row>
    <row r="616" spans="1:8" ht="21" x14ac:dyDescent="0.25">
      <c r="A616" s="2" t="str">
        <f>HYPERLINK("https://rth.dk/resources/bsgatlas/details.php?id=BSGatlas-operon-294","BSGatlas-operon-294")</f>
        <v>BSGatlas-operon-294</v>
      </c>
      <c r="B616" s="2" t="str">
        <f>HYPERLINK("https://rth.dk/resources/bsgatlas/details.php?id=BSGatlas-gene-662","BSGatlas-gene-662")</f>
        <v>BSGatlas-gene-662</v>
      </c>
      <c r="C616" s="1" t="s">
        <v>625</v>
      </c>
      <c r="D616" s="1" t="s">
        <v>8</v>
      </c>
      <c r="E616" s="3">
        <v>585868</v>
      </c>
      <c r="F616" s="3">
        <v>586548</v>
      </c>
      <c r="G616" s="1" t="s">
        <v>9</v>
      </c>
      <c r="H616" s="1" t="b">
        <f t="shared" si="26"/>
        <v>0</v>
      </c>
    </row>
    <row r="617" spans="1:8" ht="21" x14ac:dyDescent="0.25">
      <c r="A617" s="2" t="str">
        <f>HYPERLINK("https://rth.dk/resources/bsgatlas/details.php?id=BSGatlas-operon-295","BSGatlas-operon-295")</f>
        <v>BSGatlas-operon-295</v>
      </c>
      <c r="B617" s="2" t="str">
        <f>HYPERLINK("https://rth.dk/resources/bsgatlas/details.php?id=BSGatlas-gene-663","BSGatlas-gene-663")</f>
        <v>BSGatlas-gene-663</v>
      </c>
      <c r="C617" s="1" t="s">
        <v>626</v>
      </c>
      <c r="D617" s="1" t="s">
        <v>8</v>
      </c>
      <c r="E617" s="3">
        <v>586628</v>
      </c>
      <c r="F617" s="3">
        <v>587071</v>
      </c>
      <c r="G617" s="1" t="s">
        <v>13</v>
      </c>
      <c r="H617" s="1" t="b">
        <f t="shared" si="26"/>
        <v>1</v>
      </c>
    </row>
    <row r="618" spans="1:8" ht="21" x14ac:dyDescent="0.25">
      <c r="A618" s="2" t="str">
        <f>HYPERLINK("https://rth.dk/resources/bsgatlas/details.php?id=BSGatlas-operon-296","BSGatlas-operon-296")</f>
        <v>BSGatlas-operon-296</v>
      </c>
      <c r="B618" s="2" t="str">
        <f>HYPERLINK("https://rth.dk/resources/bsgatlas/details.php?id=BSGatlas-gene-666","BSGatlas-gene-666")</f>
        <v>BSGatlas-gene-666</v>
      </c>
      <c r="C618" s="1" t="s">
        <v>627</v>
      </c>
      <c r="D618" s="1" t="s">
        <v>8</v>
      </c>
      <c r="E618" s="3">
        <v>587744</v>
      </c>
      <c r="F618" s="3">
        <v>588967</v>
      </c>
      <c r="G618" s="1" t="s">
        <v>9</v>
      </c>
      <c r="H618" s="1" t="b">
        <f t="shared" si="26"/>
        <v>0</v>
      </c>
    </row>
    <row r="619" spans="1:8" ht="21" x14ac:dyDescent="0.25">
      <c r="A619" s="2" t="str">
        <f>HYPERLINK("https://rth.dk/resources/bsgatlas/details.php?id=BSGatlas-operon-296","BSGatlas-operon-296")</f>
        <v>BSGatlas-operon-296</v>
      </c>
      <c r="B619" s="2" t="str">
        <f>HYPERLINK("https://rth.dk/resources/bsgatlas/details.php?id=BSGatlas-gene-667","BSGatlas-gene-667")</f>
        <v>BSGatlas-gene-667</v>
      </c>
      <c r="C619" s="1" t="s">
        <v>628</v>
      </c>
      <c r="D619" s="1" t="s">
        <v>8</v>
      </c>
      <c r="E619" s="3">
        <v>588960</v>
      </c>
      <c r="F619" s="3">
        <v>589601</v>
      </c>
      <c r="G619" s="1" t="s">
        <v>9</v>
      </c>
      <c r="H619" s="1" t="b">
        <f t="shared" si="26"/>
        <v>0</v>
      </c>
    </row>
    <row r="620" spans="1:8" ht="21" x14ac:dyDescent="0.25">
      <c r="A620" s="2" t="str">
        <f>HYPERLINK("https://rth.dk/resources/bsgatlas/details.php?id=BSGatlas-operon-297","BSGatlas-operon-297")</f>
        <v>BSGatlas-operon-297</v>
      </c>
      <c r="B620" s="2" t="str">
        <f>HYPERLINK("https://rth.dk/resources/bsgatlas/details.php?id=BSGatlas-gene-668","BSGatlas-gene-668")</f>
        <v>BSGatlas-gene-668</v>
      </c>
      <c r="C620" s="1" t="s">
        <v>629</v>
      </c>
      <c r="D620" s="1" t="s">
        <v>8</v>
      </c>
      <c r="E620" s="3">
        <v>589717</v>
      </c>
      <c r="F620" s="3">
        <v>591891</v>
      </c>
      <c r="G620" s="1" t="s">
        <v>9</v>
      </c>
      <c r="H620" s="1" t="b">
        <f t="shared" si="26"/>
        <v>1</v>
      </c>
    </row>
    <row r="621" spans="1:8" ht="21" x14ac:dyDescent="0.25">
      <c r="A621" s="2" t="str">
        <f>HYPERLINK("https://rth.dk/resources/bsgatlas/details.php?id=BSGatlas-operon-298","BSGatlas-operon-298")</f>
        <v>BSGatlas-operon-298</v>
      </c>
      <c r="B621" s="2" t="str">
        <f>HYPERLINK("https://rth.dk/resources/bsgatlas/details.php?id=BSGatlas-gene-669","BSGatlas-gene-669")</f>
        <v>BSGatlas-gene-669</v>
      </c>
      <c r="C621" s="1" t="s">
        <v>630</v>
      </c>
      <c r="D621" s="1" t="s">
        <v>8</v>
      </c>
      <c r="E621" s="3">
        <v>592303</v>
      </c>
      <c r="F621" s="3">
        <v>593205</v>
      </c>
      <c r="G621" s="1" t="s">
        <v>13</v>
      </c>
      <c r="H621" s="1" t="b">
        <f t="shared" si="26"/>
        <v>0</v>
      </c>
    </row>
    <row r="622" spans="1:8" ht="21" x14ac:dyDescent="0.25">
      <c r="A622" s="2" t="str">
        <f>HYPERLINK("https://rth.dk/resources/bsgatlas/details.php?id=BSGatlas-operon-299","BSGatlas-operon-299")</f>
        <v>BSGatlas-operon-299</v>
      </c>
      <c r="B622" s="2" t="str">
        <f>HYPERLINK("https://rth.dk/resources/bsgatlas/details.php?id=BSGatlas-gene-670","BSGatlas-gene-670")</f>
        <v>BSGatlas-gene-670</v>
      </c>
      <c r="C622" s="1" t="s">
        <v>631</v>
      </c>
      <c r="D622" s="1" t="s">
        <v>8</v>
      </c>
      <c r="E622" s="3">
        <v>593407</v>
      </c>
      <c r="F622" s="3">
        <v>594096</v>
      </c>
      <c r="G622" s="1" t="s">
        <v>13</v>
      </c>
      <c r="H622" s="1" t="b">
        <f t="shared" si="26"/>
        <v>1</v>
      </c>
    </row>
    <row r="623" spans="1:8" ht="21" x14ac:dyDescent="0.25">
      <c r="A623" s="2" t="str">
        <f>HYPERLINK("https://rth.dk/resources/bsgatlas/details.php?id=BSGatlas-operon-300","BSGatlas-operon-300")</f>
        <v>BSGatlas-operon-300</v>
      </c>
      <c r="B623" s="2" t="str">
        <f>HYPERLINK("https://rth.dk/resources/bsgatlas/details.php?id=BSGatlas-gene-671","BSGatlas-gene-671")</f>
        <v>BSGatlas-gene-671</v>
      </c>
      <c r="C623" s="1" t="s">
        <v>632</v>
      </c>
      <c r="D623" s="1" t="s">
        <v>8</v>
      </c>
      <c r="E623" s="3">
        <v>594186</v>
      </c>
      <c r="F623" s="3">
        <v>594998</v>
      </c>
      <c r="G623" s="1" t="s">
        <v>13</v>
      </c>
      <c r="H623" s="1" t="b">
        <f t="shared" si="26"/>
        <v>0</v>
      </c>
    </row>
    <row r="624" spans="1:8" ht="21" x14ac:dyDescent="0.25">
      <c r="A624" s="2" t="str">
        <f>HYPERLINK("https://rth.dk/resources/bsgatlas/details.php?id=BSGatlas-operon-301","BSGatlas-operon-301")</f>
        <v>BSGatlas-operon-301</v>
      </c>
      <c r="B624" s="2" t="str">
        <f>HYPERLINK("https://rth.dk/resources/bsgatlas/details.php?id=BSGatlas-gene-672","BSGatlas-gene-672")</f>
        <v>BSGatlas-gene-672</v>
      </c>
      <c r="C624" s="1" t="s">
        <v>633</v>
      </c>
      <c r="D624" s="1" t="s">
        <v>8</v>
      </c>
      <c r="E624" s="3">
        <v>595109</v>
      </c>
      <c r="F624" s="3">
        <v>596002</v>
      </c>
      <c r="G624" s="1" t="s">
        <v>13</v>
      </c>
      <c r="H624" s="1" t="b">
        <f t="shared" si="26"/>
        <v>1</v>
      </c>
    </row>
    <row r="625" spans="1:8" ht="21" x14ac:dyDescent="0.25">
      <c r="A625" s="2" t="str">
        <f>HYPERLINK("https://rth.dk/resources/bsgatlas/details.php?id=BSGatlas-operon-302","BSGatlas-operon-302")</f>
        <v>BSGatlas-operon-302</v>
      </c>
      <c r="B625" s="2" t="str">
        <f>HYPERLINK("https://rth.dk/resources/bsgatlas/details.php?id=BSGatlas-gene-673","BSGatlas-gene-673")</f>
        <v>BSGatlas-gene-673</v>
      </c>
      <c r="C625" s="1" t="s">
        <v>634</v>
      </c>
      <c r="D625" s="1" t="s">
        <v>8</v>
      </c>
      <c r="E625" s="3">
        <v>596478</v>
      </c>
      <c r="F625" s="3">
        <v>597098</v>
      </c>
      <c r="G625" s="1" t="s">
        <v>9</v>
      </c>
      <c r="H625" s="1" t="b">
        <f t="shared" si="26"/>
        <v>0</v>
      </c>
    </row>
    <row r="626" spans="1:8" ht="21" x14ac:dyDescent="0.25">
      <c r="A626" s="2" t="str">
        <f>HYPERLINK("https://rth.dk/resources/bsgatlas/details.php?id=BSGatlas-operon-302","BSGatlas-operon-302")</f>
        <v>BSGatlas-operon-302</v>
      </c>
      <c r="B626" s="2" t="str">
        <f>HYPERLINK("https://rth.dk/resources/bsgatlas/details.php?id=BSGatlas-gene-674","BSGatlas-gene-674")</f>
        <v>BSGatlas-gene-674</v>
      </c>
      <c r="C626" s="1" t="s">
        <v>635</v>
      </c>
      <c r="D626" s="1" t="s">
        <v>8</v>
      </c>
      <c r="E626" s="3">
        <v>597114</v>
      </c>
      <c r="F626" s="3">
        <v>598052</v>
      </c>
      <c r="G626" s="1" t="s">
        <v>9</v>
      </c>
      <c r="H626" s="1" t="b">
        <f t="shared" si="26"/>
        <v>0</v>
      </c>
    </row>
    <row r="627" spans="1:8" ht="21" x14ac:dyDescent="0.25">
      <c r="A627" s="2" t="str">
        <f>HYPERLINK("https://rth.dk/resources/bsgatlas/details.php?id=BSGatlas-operon-302","BSGatlas-operon-302")</f>
        <v>BSGatlas-operon-302</v>
      </c>
      <c r="B627" s="2" t="str">
        <f>HYPERLINK("https://rth.dk/resources/bsgatlas/details.php?id=BSGatlas-gene-675","BSGatlas-gene-675")</f>
        <v>BSGatlas-gene-675</v>
      </c>
      <c r="C627" s="1" t="s">
        <v>636</v>
      </c>
      <c r="D627" s="1" t="s">
        <v>8</v>
      </c>
      <c r="E627" s="3">
        <v>598154</v>
      </c>
      <c r="F627" s="3">
        <v>598543</v>
      </c>
      <c r="G627" s="1" t="s">
        <v>9</v>
      </c>
      <c r="H627" s="1" t="b">
        <f t="shared" si="26"/>
        <v>0</v>
      </c>
    </row>
    <row r="628" spans="1:8" ht="21" x14ac:dyDescent="0.25">
      <c r="A628" s="2" t="str">
        <f>HYPERLINK("https://rth.dk/resources/bsgatlas/details.php?id=BSGatlas-operon-303","BSGatlas-operon-303")</f>
        <v>BSGatlas-operon-303</v>
      </c>
      <c r="B628" s="2" t="str">
        <f>HYPERLINK("https://rth.dk/resources/bsgatlas/details.php?id=BSGatlas-gene-676","BSGatlas-gene-676")</f>
        <v>BSGatlas-gene-676</v>
      </c>
      <c r="C628" s="1" t="s">
        <v>637</v>
      </c>
      <c r="D628" s="1" t="s">
        <v>8</v>
      </c>
      <c r="E628" s="3">
        <v>598729</v>
      </c>
      <c r="F628" s="3">
        <v>599067</v>
      </c>
      <c r="G628" s="1" t="s">
        <v>9</v>
      </c>
      <c r="H628" s="1" t="b">
        <f t="shared" si="26"/>
        <v>1</v>
      </c>
    </row>
    <row r="629" spans="1:8" ht="21" x14ac:dyDescent="0.25">
      <c r="A629" s="2" t="str">
        <f>HYPERLINK("https://rth.dk/resources/bsgatlas/details.php?id=BSGatlas-operon-304","BSGatlas-operon-304")</f>
        <v>BSGatlas-operon-304</v>
      </c>
      <c r="B629" s="2" t="str">
        <f>HYPERLINK("https://rth.dk/resources/bsgatlas/details.php?id=BSGatlas-gene-677","BSGatlas-gene-677")</f>
        <v>BSGatlas-gene-677</v>
      </c>
      <c r="C629" s="1" t="s">
        <v>638</v>
      </c>
      <c r="D629" s="1" t="s">
        <v>8</v>
      </c>
      <c r="E629" s="3">
        <v>599107</v>
      </c>
      <c r="F629" s="3">
        <v>599343</v>
      </c>
      <c r="G629" s="1" t="s">
        <v>13</v>
      </c>
      <c r="H629" s="1" t="b">
        <f t="shared" si="26"/>
        <v>0</v>
      </c>
    </row>
    <row r="630" spans="1:8" ht="21" x14ac:dyDescent="0.25">
      <c r="A630" s="2" t="str">
        <f>HYPERLINK("https://rth.dk/resources/bsgatlas/details.php?id=BSGatlas-operon-305","BSGatlas-operon-305")</f>
        <v>BSGatlas-operon-305</v>
      </c>
      <c r="B630" s="2" t="str">
        <f>HYPERLINK("https://rth.dk/resources/bsgatlas/details.php?id=BSGatlas-gene-680","BSGatlas-gene-680")</f>
        <v>BSGatlas-gene-680</v>
      </c>
      <c r="C630" s="1" t="s">
        <v>639</v>
      </c>
      <c r="D630" s="1" t="s">
        <v>8</v>
      </c>
      <c r="E630" s="3">
        <v>601019</v>
      </c>
      <c r="F630" s="3">
        <v>601726</v>
      </c>
      <c r="G630" s="1" t="s">
        <v>9</v>
      </c>
      <c r="H630" s="1" t="b">
        <f t="shared" si="26"/>
        <v>1</v>
      </c>
    </row>
    <row r="631" spans="1:8" ht="21" x14ac:dyDescent="0.25">
      <c r="A631" s="2" t="str">
        <f>HYPERLINK("https://rth.dk/resources/bsgatlas/details.php?id=BSGatlas-operon-306","BSGatlas-operon-306")</f>
        <v>BSGatlas-operon-306</v>
      </c>
      <c r="B631" s="2" t="str">
        <f>HYPERLINK("https://rth.dk/resources/bsgatlas/details.php?id=BSGatlas-gene-678","BSGatlas-gene-678")</f>
        <v>BSGatlas-gene-678</v>
      </c>
      <c r="C631" s="1" t="s">
        <v>640</v>
      </c>
      <c r="D631" s="1" t="s">
        <v>8</v>
      </c>
      <c r="E631" s="3">
        <v>599875</v>
      </c>
      <c r="F631" s="3">
        <v>600105</v>
      </c>
      <c r="G631" s="1" t="s">
        <v>13</v>
      </c>
      <c r="H631" s="1" t="b">
        <f t="shared" si="26"/>
        <v>0</v>
      </c>
    </row>
    <row r="632" spans="1:8" ht="21" x14ac:dyDescent="0.25">
      <c r="A632" s="2" t="str">
        <f>HYPERLINK("https://rth.dk/resources/bsgatlas/details.php?id=BSGatlas-operon-307","BSGatlas-operon-307")</f>
        <v>BSGatlas-operon-307</v>
      </c>
      <c r="B632" s="2" t="str">
        <f>HYPERLINK("https://rth.dk/resources/bsgatlas/details.php?id=BSGatlas-gene-679","BSGatlas-gene-679")</f>
        <v>BSGatlas-gene-679</v>
      </c>
      <c r="C632" s="1" t="s">
        <v>641</v>
      </c>
      <c r="D632" s="1" t="s">
        <v>8</v>
      </c>
      <c r="E632" s="3">
        <v>600229</v>
      </c>
      <c r="F632" s="3">
        <v>600906</v>
      </c>
      <c r="G632" s="1" t="s">
        <v>13</v>
      </c>
      <c r="H632" s="1" t="b">
        <f t="shared" si="26"/>
        <v>1</v>
      </c>
    </row>
    <row r="633" spans="1:8" ht="21" x14ac:dyDescent="0.25">
      <c r="A633" s="2" t="str">
        <f>HYPERLINK("https://rth.dk/resources/bsgatlas/details.php?id=BSGatlas-operon-308","BSGatlas-operon-308")</f>
        <v>BSGatlas-operon-308</v>
      </c>
      <c r="B633" s="2" t="str">
        <f>HYPERLINK("https://rth.dk/resources/bsgatlas/details.php?id=BSGatlas-gene-681","BSGatlas-gene-681")</f>
        <v>BSGatlas-gene-681</v>
      </c>
      <c r="C633" s="1" t="s">
        <v>642</v>
      </c>
      <c r="D633" s="1" t="s">
        <v>8</v>
      </c>
      <c r="E633" s="3">
        <v>601741</v>
      </c>
      <c r="F633" s="3">
        <v>602172</v>
      </c>
      <c r="G633" s="1" t="s">
        <v>13</v>
      </c>
      <c r="H633" s="1" t="b">
        <f t="shared" si="26"/>
        <v>0</v>
      </c>
    </row>
    <row r="634" spans="1:8" ht="21" x14ac:dyDescent="0.25">
      <c r="A634" s="2" t="str">
        <f>HYPERLINK("https://rth.dk/resources/bsgatlas/details.php?id=BSGatlas-operon-308","BSGatlas-operon-308")</f>
        <v>BSGatlas-operon-308</v>
      </c>
      <c r="B634" s="2" t="str">
        <f>HYPERLINK("https://rth.dk/resources/bsgatlas/details.php?id=BSGatlas-gene-682","BSGatlas-gene-682")</f>
        <v>BSGatlas-gene-682</v>
      </c>
      <c r="C634" s="1" t="s">
        <v>643</v>
      </c>
      <c r="D634" s="1" t="s">
        <v>8</v>
      </c>
      <c r="E634" s="3">
        <v>602185</v>
      </c>
      <c r="F634" s="3">
        <v>602427</v>
      </c>
      <c r="G634" s="1" t="s">
        <v>13</v>
      </c>
      <c r="H634" s="1" t="b">
        <f t="shared" si="26"/>
        <v>0</v>
      </c>
    </row>
    <row r="635" spans="1:8" ht="21" x14ac:dyDescent="0.25">
      <c r="A635" s="2" t="str">
        <f>HYPERLINK("https://rth.dk/resources/bsgatlas/details.php?id=BSGatlas-operon-308","BSGatlas-operon-308")</f>
        <v>BSGatlas-operon-308</v>
      </c>
      <c r="B635" s="2" t="str">
        <f>HYPERLINK("https://rth.dk/resources/bsgatlas/details.php?id=BSGatlas-gene-683","BSGatlas-gene-683")</f>
        <v>BSGatlas-gene-683</v>
      </c>
      <c r="C635" s="1" t="s">
        <v>644</v>
      </c>
      <c r="D635" s="1" t="s">
        <v>8</v>
      </c>
      <c r="E635" s="3">
        <v>602441</v>
      </c>
      <c r="F635" s="3">
        <v>602713</v>
      </c>
      <c r="G635" s="1" t="s">
        <v>13</v>
      </c>
      <c r="H635" s="1" t="b">
        <f t="shared" si="26"/>
        <v>0</v>
      </c>
    </row>
    <row r="636" spans="1:8" ht="21" x14ac:dyDescent="0.25">
      <c r="A636" s="2" t="str">
        <f>HYPERLINK("https://rth.dk/resources/bsgatlas/details.php?id=BSGatlas-operon-309","BSGatlas-operon-309")</f>
        <v>BSGatlas-operon-309</v>
      </c>
      <c r="B636" s="2" t="str">
        <f>HYPERLINK("https://rth.dk/resources/bsgatlas/details.php?id=BSGatlas-gene-684","BSGatlas-gene-684")</f>
        <v>BSGatlas-gene-684</v>
      </c>
      <c r="C636" s="1" t="s">
        <v>645</v>
      </c>
      <c r="D636" s="1" t="s">
        <v>8</v>
      </c>
      <c r="E636" s="3">
        <v>603012</v>
      </c>
      <c r="F636" s="3">
        <v>603599</v>
      </c>
      <c r="G636" s="1" t="s">
        <v>9</v>
      </c>
      <c r="H636" s="1" t="b">
        <f t="shared" si="26"/>
        <v>1</v>
      </c>
    </row>
    <row r="637" spans="1:8" ht="21" x14ac:dyDescent="0.25">
      <c r="A637" s="2" t="str">
        <f>HYPERLINK("https://rth.dk/resources/bsgatlas/details.php?id=BSGatlas-operon-309","BSGatlas-operon-309")</f>
        <v>BSGatlas-operon-309</v>
      </c>
      <c r="B637" s="2" t="str">
        <f>HYPERLINK("https://rth.dk/resources/bsgatlas/details.php?id=BSGatlas-gene-685","BSGatlas-gene-685")</f>
        <v>BSGatlas-gene-685</v>
      </c>
      <c r="C637" s="1" t="s">
        <v>646</v>
      </c>
      <c r="D637" s="1" t="s">
        <v>8</v>
      </c>
      <c r="E637" s="3">
        <v>603596</v>
      </c>
      <c r="F637" s="3">
        <v>603940</v>
      </c>
      <c r="G637" s="1" t="s">
        <v>9</v>
      </c>
      <c r="H637" s="1" t="b">
        <f t="shared" si="26"/>
        <v>1</v>
      </c>
    </row>
    <row r="638" spans="1:8" ht="21" x14ac:dyDescent="0.25">
      <c r="A638" s="2" t="str">
        <f>HYPERLINK("https://rth.dk/resources/bsgatlas/details.php?id=BSGatlas-operon-309","BSGatlas-operon-309")</f>
        <v>BSGatlas-operon-309</v>
      </c>
      <c r="B638" s="2" t="str">
        <f>HYPERLINK("https://rth.dk/resources/bsgatlas/details.php?id=BSGatlas-gene-686","BSGatlas-gene-686")</f>
        <v>BSGatlas-gene-686</v>
      </c>
      <c r="C638" s="1" t="s">
        <v>647</v>
      </c>
      <c r="D638" s="1" t="s">
        <v>8</v>
      </c>
      <c r="E638" s="3">
        <v>604103</v>
      </c>
      <c r="F638" s="3">
        <v>604576</v>
      </c>
      <c r="G638" s="1" t="s">
        <v>9</v>
      </c>
      <c r="H638" s="1" t="b">
        <f t="shared" si="26"/>
        <v>1</v>
      </c>
    </row>
    <row r="639" spans="1:8" ht="21" x14ac:dyDescent="0.25">
      <c r="A639" s="2" t="str">
        <f>HYPERLINK("https://rth.dk/resources/bsgatlas/details.php?id=BSGatlas-operon-310","BSGatlas-operon-310")</f>
        <v>BSGatlas-operon-310</v>
      </c>
      <c r="B639" s="2" t="str">
        <f>HYPERLINK("https://rth.dk/resources/bsgatlas/details.php?id=BSGatlas-gene-687","BSGatlas-gene-687")</f>
        <v>BSGatlas-gene-687</v>
      </c>
      <c r="C639" s="1" t="s">
        <v>648</v>
      </c>
      <c r="D639" s="1" t="s">
        <v>8</v>
      </c>
      <c r="E639" s="3">
        <v>604736</v>
      </c>
      <c r="F639" s="3">
        <v>606379</v>
      </c>
      <c r="G639" s="1" t="s">
        <v>13</v>
      </c>
      <c r="H639" s="1" t="b">
        <f t="shared" si="26"/>
        <v>0</v>
      </c>
    </row>
    <row r="640" spans="1:8" ht="21" x14ac:dyDescent="0.25">
      <c r="A640" s="2" t="str">
        <f>HYPERLINK("https://rth.dk/resources/bsgatlas/details.php?id=BSGatlas-operon-311","BSGatlas-operon-311")</f>
        <v>BSGatlas-operon-311</v>
      </c>
      <c r="B640" s="2" t="str">
        <f>HYPERLINK("https://rth.dk/resources/bsgatlas/details.php?id=BSGatlas-gene-688","BSGatlas-gene-688")</f>
        <v>BSGatlas-gene-688</v>
      </c>
      <c r="C640" s="1" t="s">
        <v>649</v>
      </c>
      <c r="D640" s="1" t="s">
        <v>55</v>
      </c>
      <c r="E640" s="3">
        <v>606406</v>
      </c>
      <c r="F640" s="3">
        <v>606606</v>
      </c>
      <c r="G640" s="1" t="s">
        <v>13</v>
      </c>
      <c r="H640" s="1" t="b">
        <f t="shared" si="26"/>
        <v>1</v>
      </c>
    </row>
    <row r="641" spans="1:8" ht="21" x14ac:dyDescent="0.25">
      <c r="A641" s="2" t="str">
        <f>HYPERLINK("https://rth.dk/resources/bsgatlas/details.php?id=BSGatlas-operon-312","BSGatlas-operon-312")</f>
        <v>BSGatlas-operon-312</v>
      </c>
      <c r="B641" s="2" t="str">
        <f>HYPERLINK("https://rth.dk/resources/bsgatlas/details.php?id=BSGatlas-gene-689","BSGatlas-gene-689")</f>
        <v>BSGatlas-gene-689</v>
      </c>
      <c r="C641" s="1" t="s">
        <v>650</v>
      </c>
      <c r="D641" s="1" t="s">
        <v>8</v>
      </c>
      <c r="E641" s="3">
        <v>606699</v>
      </c>
      <c r="F641" s="3">
        <v>608075</v>
      </c>
      <c r="G641" s="1" t="s">
        <v>13</v>
      </c>
      <c r="H641" s="1" t="b">
        <f t="shared" si="26"/>
        <v>0</v>
      </c>
    </row>
    <row r="642" spans="1:8" ht="21" x14ac:dyDescent="0.25">
      <c r="A642" s="2" t="str">
        <f>HYPERLINK("https://rth.dk/resources/bsgatlas/details.php?id=BSGatlas-operon-313","BSGatlas-operon-313")</f>
        <v>BSGatlas-operon-313</v>
      </c>
      <c r="B642" s="2" t="str">
        <f>HYPERLINK("https://rth.dk/resources/bsgatlas/details.php?id=BSGatlas-gene-690","BSGatlas-gene-690")</f>
        <v>BSGatlas-gene-690</v>
      </c>
      <c r="C642" s="1" t="s">
        <v>651</v>
      </c>
      <c r="D642" s="1" t="s">
        <v>8</v>
      </c>
      <c r="E642" s="3">
        <v>608246</v>
      </c>
      <c r="F642" s="3">
        <v>608764</v>
      </c>
      <c r="G642" s="1" t="s">
        <v>13</v>
      </c>
      <c r="H642" s="1" t="b">
        <f t="shared" ref="H642:H705" si="27">_xlfn.XOR(A641&lt;&gt;A642,H641)</f>
        <v>1</v>
      </c>
    </row>
    <row r="643" spans="1:8" ht="21" x14ac:dyDescent="0.25">
      <c r="A643" s="2" t="str">
        <f>HYPERLINK("https://rth.dk/resources/bsgatlas/details.php?id=BSGatlas-operon-314","BSGatlas-operon-314")</f>
        <v>BSGatlas-operon-314</v>
      </c>
      <c r="B643" s="2" t="str">
        <f>HYPERLINK("https://rth.dk/resources/bsgatlas/details.php?id=BSGatlas-gene-691","BSGatlas-gene-691")</f>
        <v>BSGatlas-gene-691</v>
      </c>
      <c r="C643" s="1" t="s">
        <v>652</v>
      </c>
      <c r="D643" s="1" t="s">
        <v>8</v>
      </c>
      <c r="E643" s="3">
        <v>608933</v>
      </c>
      <c r="F643" s="3">
        <v>609391</v>
      </c>
      <c r="G643" s="1" t="s">
        <v>9</v>
      </c>
      <c r="H643" s="1" t="b">
        <f t="shared" si="27"/>
        <v>0</v>
      </c>
    </row>
    <row r="644" spans="1:8" ht="21" x14ac:dyDescent="0.25">
      <c r="A644" s="2" t="str">
        <f>HYPERLINK("https://rth.dk/resources/bsgatlas/details.php?id=BSGatlas-operon-314","BSGatlas-operon-314")</f>
        <v>BSGatlas-operon-314</v>
      </c>
      <c r="B644" s="2" t="str">
        <f>HYPERLINK("https://rth.dk/resources/bsgatlas/details.php?id=BSGatlas-gene-692","BSGatlas-gene-692")</f>
        <v>BSGatlas-gene-692</v>
      </c>
      <c r="C644" s="1" t="s">
        <v>653</v>
      </c>
      <c r="D644" s="1" t="s">
        <v>8</v>
      </c>
      <c r="E644" s="3">
        <v>609388</v>
      </c>
      <c r="F644" s="3">
        <v>612045</v>
      </c>
      <c r="G644" s="1" t="s">
        <v>9</v>
      </c>
      <c r="H644" s="1" t="b">
        <f t="shared" si="27"/>
        <v>0</v>
      </c>
    </row>
    <row r="645" spans="1:8" ht="21" x14ac:dyDescent="0.25">
      <c r="A645" s="2" t="str">
        <f>HYPERLINK("https://rth.dk/resources/bsgatlas/details.php?id=BSGatlas-operon-315","BSGatlas-operon-315")</f>
        <v>BSGatlas-operon-315</v>
      </c>
      <c r="B645" s="2" t="str">
        <f>HYPERLINK("https://rth.dk/resources/bsgatlas/details.php?id=BSGatlas-gene-693","BSGatlas-gene-693")</f>
        <v>BSGatlas-gene-693</v>
      </c>
      <c r="C645" s="1" t="s">
        <v>654</v>
      </c>
      <c r="D645" s="1" t="s">
        <v>8</v>
      </c>
      <c r="E645" s="3">
        <v>612191</v>
      </c>
      <c r="F645" s="3">
        <v>612820</v>
      </c>
      <c r="G645" s="1" t="s">
        <v>13</v>
      </c>
      <c r="H645" s="1" t="b">
        <f t="shared" si="27"/>
        <v>1</v>
      </c>
    </row>
    <row r="646" spans="1:8" ht="21" x14ac:dyDescent="0.25">
      <c r="A646" s="2" t="str">
        <f>HYPERLINK("https://rth.dk/resources/bsgatlas/details.php?id=BSGatlas-operon-315","BSGatlas-operon-315")</f>
        <v>BSGatlas-operon-315</v>
      </c>
      <c r="B646" s="2" t="str">
        <f>HYPERLINK("https://rth.dk/resources/bsgatlas/details.php?id=BSGatlas-gene-694","BSGatlas-gene-694")</f>
        <v>BSGatlas-gene-694</v>
      </c>
      <c r="C646" s="1" t="s">
        <v>655</v>
      </c>
      <c r="D646" s="1" t="s">
        <v>8</v>
      </c>
      <c r="E646" s="3">
        <v>612836</v>
      </c>
      <c r="F646" s="3">
        <v>613330</v>
      </c>
      <c r="G646" s="1" t="s">
        <v>13</v>
      </c>
      <c r="H646" s="1" t="b">
        <f t="shared" si="27"/>
        <v>1</v>
      </c>
    </row>
    <row r="647" spans="1:8" ht="21" x14ac:dyDescent="0.25">
      <c r="A647" s="2" t="str">
        <f>HYPERLINK("https://rth.dk/resources/bsgatlas/details.php?id=BSGatlas-operon-316","BSGatlas-operon-316")</f>
        <v>BSGatlas-operon-316</v>
      </c>
      <c r="B647" s="2" t="str">
        <f>HYPERLINK("https://rth.dk/resources/bsgatlas/details.php?id=BSGatlas-gene-695","BSGatlas-gene-695")</f>
        <v>BSGatlas-gene-695</v>
      </c>
      <c r="C647" s="1" t="s">
        <v>656</v>
      </c>
      <c r="D647" s="1" t="s">
        <v>8</v>
      </c>
      <c r="E647" s="3">
        <v>613641</v>
      </c>
      <c r="F647" s="3">
        <v>614849</v>
      </c>
      <c r="G647" s="1" t="s">
        <v>9</v>
      </c>
      <c r="H647" s="1" t="b">
        <f t="shared" si="27"/>
        <v>0</v>
      </c>
    </row>
    <row r="648" spans="1:8" ht="21" x14ac:dyDescent="0.25">
      <c r="A648" s="2" t="str">
        <f>HYPERLINK("https://rth.dk/resources/bsgatlas/details.php?id=BSGatlas-operon-317","BSGatlas-operon-317")</f>
        <v>BSGatlas-operon-317</v>
      </c>
      <c r="B648" s="2" t="str">
        <f>HYPERLINK("https://rth.dk/resources/bsgatlas/details.php?id=BSGatlas-gene-696","BSGatlas-gene-696")</f>
        <v>BSGatlas-gene-696</v>
      </c>
      <c r="C648" s="1" t="s">
        <v>657</v>
      </c>
      <c r="D648" s="1" t="s">
        <v>8</v>
      </c>
      <c r="E648" s="3">
        <v>614885</v>
      </c>
      <c r="F648" s="3">
        <v>615622</v>
      </c>
      <c r="G648" s="1" t="s">
        <v>13</v>
      </c>
      <c r="H648" s="1" t="b">
        <f t="shared" si="27"/>
        <v>1</v>
      </c>
    </row>
    <row r="649" spans="1:8" ht="21" x14ac:dyDescent="0.25">
      <c r="A649" s="2" t="str">
        <f>HYPERLINK("https://rth.dk/resources/bsgatlas/details.php?id=BSGatlas-operon-318","BSGatlas-operon-318")</f>
        <v>BSGatlas-operon-318</v>
      </c>
      <c r="B649" s="2" t="str">
        <f>HYPERLINK("https://rth.dk/resources/bsgatlas/details.php?id=BSGatlas-gene-697","BSGatlas-gene-697")</f>
        <v>BSGatlas-gene-697</v>
      </c>
      <c r="C649" s="1" t="s">
        <v>658</v>
      </c>
      <c r="D649" s="1" t="s">
        <v>8</v>
      </c>
      <c r="E649" s="3">
        <v>615871</v>
      </c>
      <c r="F649" s="3">
        <v>616545</v>
      </c>
      <c r="G649" s="1" t="s">
        <v>9</v>
      </c>
      <c r="H649" s="1" t="b">
        <f t="shared" si="27"/>
        <v>0</v>
      </c>
    </row>
    <row r="650" spans="1:8" ht="21" x14ac:dyDescent="0.25">
      <c r="A650" s="2" t="str">
        <f>HYPERLINK("https://rth.dk/resources/bsgatlas/details.php?id=BSGatlas-operon-319","BSGatlas-operon-319")</f>
        <v>BSGatlas-operon-319</v>
      </c>
      <c r="B650" s="2" t="str">
        <f>HYPERLINK("https://rth.dk/resources/bsgatlas/details.php?id=BSGatlas-gene-698","BSGatlas-gene-698")</f>
        <v>BSGatlas-gene-698</v>
      </c>
      <c r="C650" s="1" t="s">
        <v>659</v>
      </c>
      <c r="D650" s="1" t="s">
        <v>8</v>
      </c>
      <c r="E650" s="3">
        <v>616672</v>
      </c>
      <c r="F650" s="3">
        <v>617934</v>
      </c>
      <c r="G650" s="1" t="s">
        <v>9</v>
      </c>
      <c r="H650" s="1" t="b">
        <f t="shared" si="27"/>
        <v>1</v>
      </c>
    </row>
    <row r="651" spans="1:8" ht="21" x14ac:dyDescent="0.25">
      <c r="A651" s="2" t="str">
        <f>HYPERLINK("https://rth.dk/resources/bsgatlas/details.php?id=BSGatlas-operon-320","BSGatlas-operon-320")</f>
        <v>BSGatlas-operon-320</v>
      </c>
      <c r="B651" s="2" t="str">
        <f>HYPERLINK("https://rth.dk/resources/bsgatlas/details.php?id=BSGatlas-gene-699","BSGatlas-gene-699")</f>
        <v>BSGatlas-gene-699</v>
      </c>
      <c r="C651" s="1" t="s">
        <v>660</v>
      </c>
      <c r="D651" s="1" t="s">
        <v>8</v>
      </c>
      <c r="E651" s="3">
        <v>618095</v>
      </c>
      <c r="F651" s="3">
        <v>619282</v>
      </c>
      <c r="G651" s="1" t="s">
        <v>9</v>
      </c>
      <c r="H651" s="1" t="b">
        <f t="shared" si="27"/>
        <v>0</v>
      </c>
    </row>
    <row r="652" spans="1:8" ht="21" x14ac:dyDescent="0.25">
      <c r="A652" s="2" t="str">
        <f>HYPERLINK("https://rth.dk/resources/bsgatlas/details.php?id=BSGatlas-operon-321","BSGatlas-operon-321")</f>
        <v>BSGatlas-operon-321</v>
      </c>
      <c r="B652" s="2" t="str">
        <f>HYPERLINK("https://rth.dk/resources/bsgatlas/details.php?id=BSGatlas-gene-700","BSGatlas-gene-700")</f>
        <v>BSGatlas-gene-700</v>
      </c>
      <c r="C652" s="1" t="s">
        <v>661</v>
      </c>
      <c r="D652" s="1" t="s">
        <v>8</v>
      </c>
      <c r="E652" s="3">
        <v>619321</v>
      </c>
      <c r="F652" s="3">
        <v>620031</v>
      </c>
      <c r="G652" s="1" t="s">
        <v>13</v>
      </c>
      <c r="H652" s="1" t="b">
        <f t="shared" si="27"/>
        <v>1</v>
      </c>
    </row>
    <row r="653" spans="1:8" ht="21" x14ac:dyDescent="0.25">
      <c r="A653" s="2" t="str">
        <f>HYPERLINK("https://rth.dk/resources/bsgatlas/details.php?id=BSGatlas-operon-321","BSGatlas-operon-321")</f>
        <v>BSGatlas-operon-321</v>
      </c>
      <c r="B653" s="2" t="str">
        <f>HYPERLINK("https://rth.dk/resources/bsgatlas/details.php?id=BSGatlas-gene-701","BSGatlas-gene-701")</f>
        <v>BSGatlas-gene-701</v>
      </c>
      <c r="C653" s="1" t="s">
        <v>662</v>
      </c>
      <c r="D653" s="1" t="s">
        <v>8</v>
      </c>
      <c r="E653" s="3">
        <v>620097</v>
      </c>
      <c r="F653" s="3">
        <v>621485</v>
      </c>
      <c r="G653" s="1" t="s">
        <v>13</v>
      </c>
      <c r="H653" s="1" t="b">
        <f t="shared" si="27"/>
        <v>1</v>
      </c>
    </row>
    <row r="654" spans="1:8" ht="21" x14ac:dyDescent="0.25">
      <c r="A654" s="2" t="str">
        <f>HYPERLINK("https://rth.dk/resources/bsgatlas/details.php?id=BSGatlas-operon-322","BSGatlas-operon-322")</f>
        <v>BSGatlas-operon-322</v>
      </c>
      <c r="B654" s="2" t="str">
        <f>HYPERLINK("https://rth.dk/resources/bsgatlas/details.php?id=BSGatlas-gene-702","BSGatlas-gene-702")</f>
        <v>BSGatlas-gene-702</v>
      </c>
      <c r="C654" s="1" t="s">
        <v>663</v>
      </c>
      <c r="D654" s="1" t="s">
        <v>8</v>
      </c>
      <c r="E654" s="3">
        <v>621847</v>
      </c>
      <c r="F654" s="3">
        <v>622218</v>
      </c>
      <c r="G654" s="1" t="s">
        <v>9</v>
      </c>
      <c r="H654" s="1" t="b">
        <f t="shared" si="27"/>
        <v>0</v>
      </c>
    </row>
    <row r="655" spans="1:8" ht="21" x14ac:dyDescent="0.25">
      <c r="A655" s="2" t="str">
        <f>HYPERLINK("https://rth.dk/resources/bsgatlas/details.php?id=BSGatlas-operon-323","BSGatlas-operon-323")</f>
        <v>BSGatlas-operon-323</v>
      </c>
      <c r="B655" s="2" t="str">
        <f>HYPERLINK("https://rth.dk/resources/bsgatlas/details.php?id=BSGatlas-gene-703","BSGatlas-gene-703")</f>
        <v>BSGatlas-gene-703</v>
      </c>
      <c r="C655" s="1" t="s">
        <v>664</v>
      </c>
      <c r="D655" s="1" t="s">
        <v>8</v>
      </c>
      <c r="E655" s="3">
        <v>622293</v>
      </c>
      <c r="F655" s="3">
        <v>622790</v>
      </c>
      <c r="G655" s="1" t="s">
        <v>13</v>
      </c>
      <c r="H655" s="1" t="b">
        <f t="shared" si="27"/>
        <v>1</v>
      </c>
    </row>
    <row r="656" spans="1:8" ht="21" x14ac:dyDescent="0.25">
      <c r="A656" s="2" t="str">
        <f>HYPERLINK("https://rth.dk/resources/bsgatlas/details.php?id=BSGatlas-operon-323","BSGatlas-operon-323")</f>
        <v>BSGatlas-operon-323</v>
      </c>
      <c r="B656" s="2" t="str">
        <f>HYPERLINK("https://rth.dk/resources/bsgatlas/details.php?id=BSGatlas-gene-704","BSGatlas-gene-704")</f>
        <v>BSGatlas-gene-704</v>
      </c>
      <c r="C656" s="1" t="s">
        <v>665</v>
      </c>
      <c r="D656" s="1" t="s">
        <v>8</v>
      </c>
      <c r="E656" s="3">
        <v>622808</v>
      </c>
      <c r="F656" s="3">
        <v>623290</v>
      </c>
      <c r="G656" s="1" t="s">
        <v>13</v>
      </c>
      <c r="H656" s="1" t="b">
        <f t="shared" si="27"/>
        <v>1</v>
      </c>
    </row>
    <row r="657" spans="1:8" ht="21" x14ac:dyDescent="0.25">
      <c r="A657" s="2" t="str">
        <f>HYPERLINK("https://rth.dk/resources/bsgatlas/details.php?id=BSGatlas-operon-324","BSGatlas-operon-324")</f>
        <v>BSGatlas-operon-324</v>
      </c>
      <c r="B657" s="2" t="str">
        <f>HYPERLINK("https://rth.dk/resources/bsgatlas/details.php?id=BSGatlas-gene-705","BSGatlas-gene-705")</f>
        <v>BSGatlas-gene-705</v>
      </c>
      <c r="C657" s="1" t="s">
        <v>666</v>
      </c>
      <c r="D657" s="1" t="s">
        <v>8</v>
      </c>
      <c r="E657" s="3">
        <v>623373</v>
      </c>
      <c r="F657" s="3">
        <v>624350</v>
      </c>
      <c r="G657" s="1" t="s">
        <v>9</v>
      </c>
      <c r="H657" s="1" t="b">
        <f t="shared" si="27"/>
        <v>0</v>
      </c>
    </row>
    <row r="658" spans="1:8" ht="21" x14ac:dyDescent="0.25">
      <c r="A658" s="2" t="str">
        <f>HYPERLINK("https://rth.dk/resources/bsgatlas/details.php?id=BSGatlas-operon-325","BSGatlas-operon-325")</f>
        <v>BSGatlas-operon-325</v>
      </c>
      <c r="B658" s="2" t="str">
        <f>HYPERLINK("https://rth.dk/resources/bsgatlas/details.php?id=BSGatlas-gene-706","BSGatlas-gene-706")</f>
        <v>BSGatlas-gene-706</v>
      </c>
      <c r="C658" s="1" t="s">
        <v>667</v>
      </c>
      <c r="D658" s="1" t="s">
        <v>8</v>
      </c>
      <c r="E658" s="3">
        <v>624492</v>
      </c>
      <c r="F658" s="3">
        <v>625109</v>
      </c>
      <c r="G658" s="1" t="s">
        <v>9</v>
      </c>
      <c r="H658" s="1" t="b">
        <f t="shared" si="27"/>
        <v>1</v>
      </c>
    </row>
    <row r="659" spans="1:8" ht="21" x14ac:dyDescent="0.25">
      <c r="A659" s="2" t="str">
        <f>HYPERLINK("https://rth.dk/resources/bsgatlas/details.php?id=BSGatlas-operon-326","BSGatlas-operon-326")</f>
        <v>BSGatlas-operon-326</v>
      </c>
      <c r="B659" s="2" t="str">
        <f>HYPERLINK("https://rth.dk/resources/bsgatlas/details.php?id=BSGatlas-gene-707","BSGatlas-gene-707")</f>
        <v>BSGatlas-gene-707</v>
      </c>
      <c r="C659" s="1" t="s">
        <v>668</v>
      </c>
      <c r="D659" s="1" t="s">
        <v>8</v>
      </c>
      <c r="E659" s="3">
        <v>625125</v>
      </c>
      <c r="F659" s="3">
        <v>626291</v>
      </c>
      <c r="G659" s="1" t="s">
        <v>13</v>
      </c>
      <c r="H659" s="1" t="b">
        <f t="shared" si="27"/>
        <v>0</v>
      </c>
    </row>
    <row r="660" spans="1:8" ht="21" x14ac:dyDescent="0.25">
      <c r="A660" s="2" t="str">
        <f>HYPERLINK("https://rth.dk/resources/bsgatlas/details.php?id=BSGatlas-operon-327","BSGatlas-operon-327")</f>
        <v>BSGatlas-operon-327</v>
      </c>
      <c r="B660" s="2" t="str">
        <f>HYPERLINK("https://rth.dk/resources/bsgatlas/details.php?id=BSGatlas-gene-708","BSGatlas-gene-708")</f>
        <v>BSGatlas-gene-708</v>
      </c>
      <c r="C660" s="1" t="s">
        <v>669</v>
      </c>
      <c r="D660" s="1" t="s">
        <v>34</v>
      </c>
      <c r="E660" s="3">
        <v>626346</v>
      </c>
      <c r="F660" s="3">
        <v>626446</v>
      </c>
      <c r="G660" s="1" t="s">
        <v>13</v>
      </c>
      <c r="H660" s="1" t="b">
        <f t="shared" si="27"/>
        <v>1</v>
      </c>
    </row>
    <row r="661" spans="1:8" ht="21" x14ac:dyDescent="0.25">
      <c r="A661" s="2" t="str">
        <f t="shared" ref="A661:A668" si="28">HYPERLINK("https://rth.dk/resources/bsgatlas/details.php?id=BSGatlas-operon-328","BSGatlas-operon-328")</f>
        <v>BSGatlas-operon-328</v>
      </c>
      <c r="B661" s="2" t="str">
        <f>HYPERLINK("https://rth.dk/resources/bsgatlas/details.php?id=BSGatlas-gene-709","BSGatlas-gene-709")</f>
        <v>BSGatlas-gene-709</v>
      </c>
      <c r="C661" s="1" t="s">
        <v>670</v>
      </c>
      <c r="D661" s="1" t="s">
        <v>8</v>
      </c>
      <c r="E661" s="3">
        <v>626622</v>
      </c>
      <c r="F661" s="3">
        <v>626933</v>
      </c>
      <c r="G661" s="1" t="s">
        <v>9</v>
      </c>
      <c r="H661" s="1" t="b">
        <f t="shared" si="27"/>
        <v>0</v>
      </c>
    </row>
    <row r="662" spans="1:8" ht="21" x14ac:dyDescent="0.25">
      <c r="A662" s="2" t="str">
        <f t="shared" si="28"/>
        <v>BSGatlas-operon-328</v>
      </c>
      <c r="B662" s="2" t="str">
        <f>HYPERLINK("https://rth.dk/resources/bsgatlas/details.php?id=BSGatlas-gene-710","BSGatlas-gene-710")</f>
        <v>BSGatlas-gene-710</v>
      </c>
      <c r="C662" s="1" t="s">
        <v>671</v>
      </c>
      <c r="D662" s="1" t="s">
        <v>8</v>
      </c>
      <c r="E662" s="3">
        <v>626933</v>
      </c>
      <c r="F662" s="3">
        <v>627265</v>
      </c>
      <c r="G662" s="1" t="s">
        <v>9</v>
      </c>
      <c r="H662" s="1" t="b">
        <f t="shared" si="27"/>
        <v>0</v>
      </c>
    </row>
    <row r="663" spans="1:8" ht="21" x14ac:dyDescent="0.25">
      <c r="A663" s="2" t="str">
        <f t="shared" si="28"/>
        <v>BSGatlas-operon-328</v>
      </c>
      <c r="B663" s="2" t="str">
        <f>HYPERLINK("https://rth.dk/resources/bsgatlas/details.php?id=BSGatlas-gene-711","BSGatlas-gene-711")</f>
        <v>BSGatlas-gene-711</v>
      </c>
      <c r="C663" s="1" t="s">
        <v>672</v>
      </c>
      <c r="D663" s="1" t="s">
        <v>8</v>
      </c>
      <c r="E663" s="3">
        <v>627284</v>
      </c>
      <c r="F663" s="3">
        <v>628612</v>
      </c>
      <c r="G663" s="1" t="s">
        <v>9</v>
      </c>
      <c r="H663" s="1" t="b">
        <f t="shared" si="27"/>
        <v>0</v>
      </c>
    </row>
    <row r="664" spans="1:8" ht="21" x14ac:dyDescent="0.25">
      <c r="A664" s="2" t="str">
        <f t="shared" si="28"/>
        <v>BSGatlas-operon-328</v>
      </c>
      <c r="B664" s="2" t="str">
        <f>HYPERLINK("https://rth.dk/resources/bsgatlas/details.php?id=BSGatlas-gene-712","BSGatlas-gene-712")</f>
        <v>BSGatlas-gene-712</v>
      </c>
      <c r="C664" s="1" t="s">
        <v>673</v>
      </c>
      <c r="D664" s="1" t="s">
        <v>8</v>
      </c>
      <c r="E664" s="3">
        <v>628630</v>
      </c>
      <c r="F664" s="3">
        <v>630027</v>
      </c>
      <c r="G664" s="1" t="s">
        <v>9</v>
      </c>
      <c r="H664" s="1" t="b">
        <f t="shared" si="27"/>
        <v>0</v>
      </c>
    </row>
    <row r="665" spans="1:8" ht="21" x14ac:dyDescent="0.25">
      <c r="A665" s="2" t="str">
        <f t="shared" si="28"/>
        <v>BSGatlas-operon-328</v>
      </c>
      <c r="B665" s="2" t="str">
        <f>HYPERLINK("https://rth.dk/resources/bsgatlas/details.php?id=BSGatlas-gene-713","BSGatlas-gene-713")</f>
        <v>BSGatlas-gene-713</v>
      </c>
      <c r="C665" s="1" t="s">
        <v>674</v>
      </c>
      <c r="D665" s="1" t="s">
        <v>8</v>
      </c>
      <c r="E665" s="3">
        <v>630170</v>
      </c>
      <c r="F665" s="3">
        <v>630883</v>
      </c>
      <c r="G665" s="1" t="s">
        <v>9</v>
      </c>
      <c r="H665" s="1" t="b">
        <f t="shared" si="27"/>
        <v>0</v>
      </c>
    </row>
    <row r="666" spans="1:8" ht="21" x14ac:dyDescent="0.25">
      <c r="A666" s="2" t="str">
        <f t="shared" si="28"/>
        <v>BSGatlas-operon-328</v>
      </c>
      <c r="B666" s="2" t="str">
        <f>HYPERLINK("https://rth.dk/resources/bsgatlas/details.php?id=BSGatlas-gene-714","BSGatlas-gene-714")</f>
        <v>BSGatlas-gene-714</v>
      </c>
      <c r="C666" s="1" t="s">
        <v>675</v>
      </c>
      <c r="D666" s="1" t="s">
        <v>8</v>
      </c>
      <c r="E666" s="3">
        <v>630912</v>
      </c>
      <c r="F666" s="3">
        <v>631811</v>
      </c>
      <c r="G666" s="1" t="s">
        <v>9</v>
      </c>
      <c r="H666" s="1" t="b">
        <f t="shared" si="27"/>
        <v>0</v>
      </c>
    </row>
    <row r="667" spans="1:8" ht="21" x14ac:dyDescent="0.25">
      <c r="A667" s="2" t="str">
        <f t="shared" si="28"/>
        <v>BSGatlas-operon-328</v>
      </c>
      <c r="B667" s="2" t="str">
        <f>HYPERLINK("https://rth.dk/resources/bsgatlas/details.php?id=BSGatlas-gene-715","BSGatlas-gene-715")</f>
        <v>BSGatlas-gene-715</v>
      </c>
      <c r="C667" s="1" t="s">
        <v>676</v>
      </c>
      <c r="D667" s="1" t="s">
        <v>8</v>
      </c>
      <c r="E667" s="3">
        <v>631808</v>
      </c>
      <c r="F667" s="3">
        <v>632755</v>
      </c>
      <c r="G667" s="1" t="s">
        <v>9</v>
      </c>
      <c r="H667" s="1" t="b">
        <f t="shared" si="27"/>
        <v>0</v>
      </c>
    </row>
    <row r="668" spans="1:8" ht="21" x14ac:dyDescent="0.25">
      <c r="A668" s="2" t="str">
        <f t="shared" si="28"/>
        <v>BSGatlas-operon-328</v>
      </c>
      <c r="B668" s="2" t="str">
        <f>HYPERLINK("https://rth.dk/resources/bsgatlas/details.php?id=BSGatlas-gene-716","BSGatlas-gene-716")</f>
        <v>BSGatlas-gene-716</v>
      </c>
      <c r="C668" s="1" t="s">
        <v>677</v>
      </c>
      <c r="D668" s="1" t="s">
        <v>8</v>
      </c>
      <c r="E668" s="3">
        <v>632774</v>
      </c>
      <c r="F668" s="3">
        <v>633862</v>
      </c>
      <c r="G668" s="1" t="s">
        <v>9</v>
      </c>
      <c r="H668" s="1" t="b">
        <f t="shared" si="27"/>
        <v>0</v>
      </c>
    </row>
    <row r="669" spans="1:8" ht="21" x14ac:dyDescent="0.25">
      <c r="A669" s="2" t="str">
        <f>HYPERLINK("https://rth.dk/resources/bsgatlas/details.php?id=BSGatlas-operon-329","BSGatlas-operon-329")</f>
        <v>BSGatlas-operon-329</v>
      </c>
      <c r="B669" s="2" t="str">
        <f>HYPERLINK("https://rth.dk/resources/bsgatlas/details.php?id=BSGatlas-gene-717","BSGatlas-gene-717")</f>
        <v>BSGatlas-gene-717</v>
      </c>
      <c r="C669" s="1" t="s">
        <v>678</v>
      </c>
      <c r="D669" s="1" t="s">
        <v>276</v>
      </c>
      <c r="E669" s="3">
        <v>633923</v>
      </c>
      <c r="F669" s="3">
        <v>634651</v>
      </c>
      <c r="G669" s="1" t="s">
        <v>13</v>
      </c>
      <c r="H669" s="1" t="b">
        <f t="shared" si="27"/>
        <v>1</v>
      </c>
    </row>
    <row r="670" spans="1:8" ht="21" x14ac:dyDescent="0.25">
      <c r="A670" s="2" t="str">
        <f>HYPERLINK("https://rth.dk/resources/bsgatlas/details.php?id=BSGatlas-operon-329","BSGatlas-operon-329")</f>
        <v>BSGatlas-operon-329</v>
      </c>
      <c r="B670" s="2" t="str">
        <f>HYPERLINK("https://rth.dk/resources/bsgatlas/details.php?id=BSGatlas-gene-718","BSGatlas-gene-718")</f>
        <v>BSGatlas-gene-718</v>
      </c>
      <c r="C670" s="1" t="s">
        <v>679</v>
      </c>
      <c r="D670" s="1" t="s">
        <v>276</v>
      </c>
      <c r="E670" s="3">
        <v>634651</v>
      </c>
      <c r="F670" s="3">
        <v>634776</v>
      </c>
      <c r="G670" s="1" t="s">
        <v>13</v>
      </c>
      <c r="H670" s="1" t="b">
        <f t="shared" si="27"/>
        <v>1</v>
      </c>
    </row>
    <row r="671" spans="1:8" ht="21" x14ac:dyDescent="0.25">
      <c r="A671" s="2" t="str">
        <f>HYPERLINK("https://rth.dk/resources/bsgatlas/details.php?id=BSGatlas-operon-330","BSGatlas-operon-330")</f>
        <v>BSGatlas-operon-330</v>
      </c>
      <c r="B671" s="2" t="str">
        <f>HYPERLINK("https://rth.dk/resources/bsgatlas/details.php?id=BSGatlas-gene-719","BSGatlas-gene-719")</f>
        <v>BSGatlas-gene-719</v>
      </c>
      <c r="C671" s="1" t="s">
        <v>680</v>
      </c>
      <c r="D671" s="1" t="s">
        <v>23</v>
      </c>
      <c r="E671" s="3">
        <v>635109</v>
      </c>
      <c r="F671" s="3">
        <v>635186</v>
      </c>
      <c r="G671" s="1" t="s">
        <v>9</v>
      </c>
      <c r="H671" s="1" t="b">
        <f t="shared" si="27"/>
        <v>0</v>
      </c>
    </row>
    <row r="672" spans="1:8" ht="21" x14ac:dyDescent="0.25">
      <c r="A672" s="2" t="str">
        <f>HYPERLINK("https://rth.dk/resources/bsgatlas/details.php?id=BSGatlas-operon-331","BSGatlas-operon-331")</f>
        <v>BSGatlas-operon-331</v>
      </c>
      <c r="B672" s="2" t="str">
        <f>HYPERLINK("https://rth.dk/resources/bsgatlas/details.php?id=BSGatlas-gene-721","BSGatlas-gene-721")</f>
        <v>BSGatlas-gene-721</v>
      </c>
      <c r="C672" s="1" t="s">
        <v>54</v>
      </c>
      <c r="D672" s="1" t="s">
        <v>55</v>
      </c>
      <c r="E672" s="3">
        <v>635371</v>
      </c>
      <c r="F672" s="3">
        <v>635438</v>
      </c>
      <c r="G672" s="1" t="s">
        <v>13</v>
      </c>
      <c r="H672" s="1" t="b">
        <f t="shared" si="27"/>
        <v>1</v>
      </c>
    </row>
    <row r="673" spans="1:8" ht="21" x14ac:dyDescent="0.25">
      <c r="A673" s="2" t="str">
        <f>HYPERLINK("https://rth.dk/resources/bsgatlas/details.php?id=BSGatlas-operon-332","BSGatlas-operon-332")</f>
        <v>BSGatlas-operon-332</v>
      </c>
      <c r="B673" s="2" t="str">
        <f>HYPERLINK("https://rth.dk/resources/bsgatlas/details.php?id=BSGatlas-gene-722","BSGatlas-gene-722")</f>
        <v>BSGatlas-gene-722</v>
      </c>
      <c r="C673" s="1" t="s">
        <v>681</v>
      </c>
      <c r="D673" s="1" t="s">
        <v>21</v>
      </c>
      <c r="E673" s="3">
        <v>635433</v>
      </c>
      <c r="F673" s="3">
        <v>636987</v>
      </c>
      <c r="G673" s="1" t="s">
        <v>9</v>
      </c>
      <c r="H673" s="1" t="b">
        <f t="shared" si="27"/>
        <v>0</v>
      </c>
    </row>
    <row r="674" spans="1:8" ht="21" x14ac:dyDescent="0.25">
      <c r="A674" s="2" t="str">
        <f>HYPERLINK("https://rth.dk/resources/bsgatlas/details.php?id=BSGatlas-operon-332","BSGatlas-operon-332")</f>
        <v>BSGatlas-operon-332</v>
      </c>
      <c r="B674" s="2" t="str">
        <f>HYPERLINK("https://rth.dk/resources/bsgatlas/details.php?id=BSGatlas-gene-723","BSGatlas-gene-723")</f>
        <v>BSGatlas-gene-723</v>
      </c>
      <c r="C674" s="1" t="s">
        <v>682</v>
      </c>
      <c r="D674" s="1" t="s">
        <v>21</v>
      </c>
      <c r="E674" s="3">
        <v>637152</v>
      </c>
      <c r="F674" s="3">
        <v>640082</v>
      </c>
      <c r="G674" s="1" t="s">
        <v>9</v>
      </c>
      <c r="H674" s="1" t="b">
        <f t="shared" si="27"/>
        <v>0</v>
      </c>
    </row>
    <row r="675" spans="1:8" ht="21" x14ac:dyDescent="0.25">
      <c r="A675" s="2" t="str">
        <f>HYPERLINK("https://rth.dk/resources/bsgatlas/details.php?id=BSGatlas-operon-332","BSGatlas-operon-332")</f>
        <v>BSGatlas-operon-332</v>
      </c>
      <c r="B675" s="2" t="str">
        <f>HYPERLINK("https://rth.dk/resources/bsgatlas/details.php?id=BSGatlas-gene-724","BSGatlas-gene-724")</f>
        <v>BSGatlas-gene-724</v>
      </c>
      <c r="C675" s="1" t="s">
        <v>683</v>
      </c>
      <c r="D675" s="1" t="s">
        <v>21</v>
      </c>
      <c r="E675" s="3">
        <v>640137</v>
      </c>
      <c r="F675" s="3">
        <v>640254</v>
      </c>
      <c r="G675" s="1" t="s">
        <v>9</v>
      </c>
      <c r="H675" s="1" t="b">
        <f t="shared" si="27"/>
        <v>0</v>
      </c>
    </row>
    <row r="676" spans="1:8" ht="21" x14ac:dyDescent="0.25">
      <c r="A676" s="2" t="str">
        <f>HYPERLINK("https://rth.dk/resources/bsgatlas/details.php?id=BSGatlas-operon-333","BSGatlas-operon-333")</f>
        <v>BSGatlas-operon-333</v>
      </c>
      <c r="B676" s="2" t="str">
        <f>HYPERLINK("https://rth.dk/resources/bsgatlas/details.php?id=BSGatlas-gene-726","BSGatlas-gene-726")</f>
        <v>BSGatlas-gene-726</v>
      </c>
      <c r="C676" s="1" t="s">
        <v>684</v>
      </c>
      <c r="D676" s="1" t="s">
        <v>23</v>
      </c>
      <c r="E676" s="3">
        <v>640404</v>
      </c>
      <c r="F676" s="3">
        <v>640481</v>
      </c>
      <c r="G676" s="1" t="s">
        <v>9</v>
      </c>
      <c r="H676" s="1" t="b">
        <f t="shared" si="27"/>
        <v>1</v>
      </c>
    </row>
    <row r="677" spans="1:8" ht="21" x14ac:dyDescent="0.25">
      <c r="A677" s="2" t="str">
        <f>HYPERLINK("https://rth.dk/resources/bsgatlas/details.php?id=BSGatlas-operon-334","BSGatlas-operon-334")</f>
        <v>BSGatlas-operon-334</v>
      </c>
      <c r="B677" s="2" t="str">
        <f>HYPERLINK("https://rth.dk/resources/bsgatlas/details.php?id=BSGatlas-gene-727","BSGatlas-gene-727")</f>
        <v>BSGatlas-gene-727</v>
      </c>
      <c r="C677" s="1" t="s">
        <v>685</v>
      </c>
      <c r="D677" s="1" t="s">
        <v>8</v>
      </c>
      <c r="E677" s="3">
        <v>640662</v>
      </c>
      <c r="F677" s="3">
        <v>641639</v>
      </c>
      <c r="G677" s="1" t="s">
        <v>9</v>
      </c>
      <c r="H677" s="1" t="b">
        <f t="shared" si="27"/>
        <v>0</v>
      </c>
    </row>
    <row r="678" spans="1:8" ht="21" x14ac:dyDescent="0.25">
      <c r="A678" s="2" t="str">
        <f>HYPERLINK("https://rth.dk/resources/bsgatlas/details.php?id=BSGatlas-operon-334","BSGatlas-operon-334")</f>
        <v>BSGatlas-operon-334</v>
      </c>
      <c r="B678" s="2" t="str">
        <f>HYPERLINK("https://rth.dk/resources/bsgatlas/details.php?id=BSGatlas-gene-728","BSGatlas-gene-728")</f>
        <v>BSGatlas-gene-728</v>
      </c>
      <c r="C678" s="1" t="s">
        <v>686</v>
      </c>
      <c r="D678" s="1" t="s">
        <v>8</v>
      </c>
      <c r="E678" s="3">
        <v>641654</v>
      </c>
      <c r="F678" s="3">
        <v>642130</v>
      </c>
      <c r="G678" s="1" t="s">
        <v>9</v>
      </c>
      <c r="H678" s="1" t="b">
        <f t="shared" si="27"/>
        <v>0</v>
      </c>
    </row>
    <row r="679" spans="1:8" ht="21" x14ac:dyDescent="0.25">
      <c r="A679" s="2" t="str">
        <f>HYPERLINK("https://rth.dk/resources/bsgatlas/details.php?id=BSGatlas-operon-334","BSGatlas-operon-334")</f>
        <v>BSGatlas-operon-334</v>
      </c>
      <c r="B679" s="2" t="str">
        <f>HYPERLINK("https://rth.dk/resources/bsgatlas/details.php?id=BSGatlas-gene-729","BSGatlas-gene-729")</f>
        <v>BSGatlas-gene-729</v>
      </c>
      <c r="C679" s="1" t="s">
        <v>687</v>
      </c>
      <c r="D679" s="1" t="s">
        <v>8</v>
      </c>
      <c r="E679" s="3">
        <v>642111</v>
      </c>
      <c r="F679" s="3">
        <v>642800</v>
      </c>
      <c r="G679" s="1" t="s">
        <v>9</v>
      </c>
      <c r="H679" s="1" t="b">
        <f t="shared" si="27"/>
        <v>0</v>
      </c>
    </row>
    <row r="680" spans="1:8" ht="21" x14ac:dyDescent="0.25">
      <c r="A680" s="2" t="str">
        <f>HYPERLINK("https://rth.dk/resources/bsgatlas/details.php?id=BSGatlas-operon-334","BSGatlas-operon-334")</f>
        <v>BSGatlas-operon-334</v>
      </c>
      <c r="B680" s="2" t="str">
        <f>HYPERLINK("https://rth.dk/resources/bsgatlas/details.php?id=BSGatlas-gene-730","BSGatlas-gene-730")</f>
        <v>BSGatlas-gene-730</v>
      </c>
      <c r="C680" s="1" t="s">
        <v>688</v>
      </c>
      <c r="D680" s="1" t="s">
        <v>8</v>
      </c>
      <c r="E680" s="3">
        <v>642810</v>
      </c>
      <c r="F680" s="3">
        <v>643265</v>
      </c>
      <c r="G680" s="1" t="s">
        <v>9</v>
      </c>
      <c r="H680" s="1" t="b">
        <f t="shared" si="27"/>
        <v>0</v>
      </c>
    </row>
    <row r="681" spans="1:8" ht="21" x14ac:dyDescent="0.25">
      <c r="A681" s="2" t="str">
        <f>HYPERLINK("https://rth.dk/resources/bsgatlas/details.php?id=BSGatlas-operon-334","BSGatlas-operon-334")</f>
        <v>BSGatlas-operon-334</v>
      </c>
      <c r="B681" s="2" t="str">
        <f>HYPERLINK("https://rth.dk/resources/bsgatlas/details.php?id=BSGatlas-gene-731","BSGatlas-gene-731")</f>
        <v>BSGatlas-gene-731</v>
      </c>
      <c r="C681" s="1" t="s">
        <v>689</v>
      </c>
      <c r="D681" s="1" t="s">
        <v>8</v>
      </c>
      <c r="E681" s="3">
        <v>643258</v>
      </c>
      <c r="F681" s="3">
        <v>644298</v>
      </c>
      <c r="G681" s="1" t="s">
        <v>9</v>
      </c>
      <c r="H681" s="1" t="b">
        <f t="shared" si="27"/>
        <v>0</v>
      </c>
    </row>
    <row r="682" spans="1:8" ht="21" x14ac:dyDescent="0.25">
      <c r="A682" s="2" t="str">
        <f>HYPERLINK("https://rth.dk/resources/bsgatlas/details.php?id=BSGatlas-operon-335","BSGatlas-operon-335")</f>
        <v>BSGatlas-operon-335</v>
      </c>
      <c r="B682" s="2" t="str">
        <f>HYPERLINK("https://rth.dk/resources/bsgatlas/details.php?id=BSGatlas-gene-732","BSGatlas-gene-732")</f>
        <v>BSGatlas-gene-732</v>
      </c>
      <c r="C682" s="1" t="s">
        <v>690</v>
      </c>
      <c r="D682" s="1" t="s">
        <v>8</v>
      </c>
      <c r="E682" s="3">
        <v>644528</v>
      </c>
      <c r="F682" s="3">
        <v>646456</v>
      </c>
      <c r="G682" s="1" t="s">
        <v>13</v>
      </c>
      <c r="H682" s="1" t="b">
        <f t="shared" si="27"/>
        <v>1</v>
      </c>
    </row>
    <row r="683" spans="1:8" ht="21" x14ac:dyDescent="0.25">
      <c r="A683" s="2" t="str">
        <f>HYPERLINK("https://rth.dk/resources/bsgatlas/details.php?id=BSGatlas-operon-336","BSGatlas-operon-336")</f>
        <v>BSGatlas-operon-336</v>
      </c>
      <c r="B683" s="2" t="str">
        <f>HYPERLINK("https://rth.dk/resources/bsgatlas/details.php?id=BSGatlas-gene-733","BSGatlas-gene-733")</f>
        <v>BSGatlas-gene-733</v>
      </c>
      <c r="C683" s="1" t="s">
        <v>691</v>
      </c>
      <c r="D683" s="1" t="s">
        <v>8</v>
      </c>
      <c r="E683" s="3">
        <v>646582</v>
      </c>
      <c r="F683" s="3">
        <v>647094</v>
      </c>
      <c r="G683" s="1" t="s">
        <v>9</v>
      </c>
      <c r="H683" s="1" t="b">
        <f t="shared" si="27"/>
        <v>0</v>
      </c>
    </row>
    <row r="684" spans="1:8" ht="21" x14ac:dyDescent="0.25">
      <c r="A684" s="2" t="str">
        <f>HYPERLINK("https://rth.dk/resources/bsgatlas/details.php?id=BSGatlas-operon-336","BSGatlas-operon-336")</f>
        <v>BSGatlas-operon-336</v>
      </c>
      <c r="B684" s="2" t="str">
        <f>HYPERLINK("https://rth.dk/resources/bsgatlas/details.php?id=BSGatlas-gene-734","BSGatlas-gene-734")</f>
        <v>BSGatlas-gene-734</v>
      </c>
      <c r="C684" s="1" t="s">
        <v>692</v>
      </c>
      <c r="D684" s="1" t="s">
        <v>8</v>
      </c>
      <c r="E684" s="3">
        <v>647091</v>
      </c>
      <c r="F684" s="3">
        <v>647738</v>
      </c>
      <c r="G684" s="1" t="s">
        <v>9</v>
      </c>
      <c r="H684" s="1" t="b">
        <f t="shared" si="27"/>
        <v>0</v>
      </c>
    </row>
    <row r="685" spans="1:8" ht="21" x14ac:dyDescent="0.25">
      <c r="A685" s="2" t="str">
        <f>HYPERLINK("https://rth.dk/resources/bsgatlas/details.php?id=BSGatlas-operon-336","BSGatlas-operon-336")</f>
        <v>BSGatlas-operon-336</v>
      </c>
      <c r="B685" s="2" t="str">
        <f>HYPERLINK("https://rth.dk/resources/bsgatlas/details.php?id=BSGatlas-gene-735","BSGatlas-gene-735")</f>
        <v>BSGatlas-gene-735</v>
      </c>
      <c r="C685" s="1" t="s">
        <v>693</v>
      </c>
      <c r="D685" s="1" t="s">
        <v>8</v>
      </c>
      <c r="E685" s="3">
        <v>647760</v>
      </c>
      <c r="F685" s="3">
        <v>647933</v>
      </c>
      <c r="G685" s="1" t="s">
        <v>9</v>
      </c>
      <c r="H685" s="1" t="b">
        <f t="shared" si="27"/>
        <v>0</v>
      </c>
    </row>
    <row r="686" spans="1:8" ht="21" x14ac:dyDescent="0.25">
      <c r="A686" s="2" t="str">
        <f>HYPERLINK("https://rth.dk/resources/bsgatlas/details.php?id=BSGatlas-operon-336","BSGatlas-operon-336")</f>
        <v>BSGatlas-operon-336</v>
      </c>
      <c r="B686" s="2" t="str">
        <f>HYPERLINK("https://rth.dk/resources/bsgatlas/details.php?id=BSGatlas-gene-736","BSGatlas-gene-736")</f>
        <v>BSGatlas-gene-736</v>
      </c>
      <c r="C686" s="1" t="s">
        <v>694</v>
      </c>
      <c r="D686" s="1" t="s">
        <v>8</v>
      </c>
      <c r="E686" s="3">
        <v>647940</v>
      </c>
      <c r="F686" s="3">
        <v>648704</v>
      </c>
      <c r="G686" s="1" t="s">
        <v>9</v>
      </c>
      <c r="H686" s="1" t="b">
        <f t="shared" si="27"/>
        <v>0</v>
      </c>
    </row>
    <row r="687" spans="1:8" ht="21" x14ac:dyDescent="0.25">
      <c r="A687" s="2" t="str">
        <f>HYPERLINK("https://rth.dk/resources/bsgatlas/details.php?id=BSGatlas-operon-337","BSGatlas-operon-337")</f>
        <v>BSGatlas-operon-337</v>
      </c>
      <c r="B687" s="2" t="str">
        <f>HYPERLINK("https://rth.dk/resources/bsgatlas/details.php?id=BSGatlas-gene-737","BSGatlas-gene-737")</f>
        <v>BSGatlas-gene-737</v>
      </c>
      <c r="C687" s="1" t="s">
        <v>695</v>
      </c>
      <c r="D687" s="1" t="s">
        <v>8</v>
      </c>
      <c r="E687" s="3">
        <v>648742</v>
      </c>
      <c r="F687" s="3">
        <v>648933</v>
      </c>
      <c r="G687" s="1" t="s">
        <v>13</v>
      </c>
      <c r="H687" s="1" t="b">
        <f t="shared" si="27"/>
        <v>1</v>
      </c>
    </row>
    <row r="688" spans="1:8" ht="21" x14ac:dyDescent="0.25">
      <c r="A688" s="2" t="str">
        <f>HYPERLINK("https://rth.dk/resources/bsgatlas/details.php?id=BSGatlas-operon-337","BSGatlas-operon-337")</f>
        <v>BSGatlas-operon-337</v>
      </c>
      <c r="B688" s="2" t="str">
        <f>HYPERLINK("https://rth.dk/resources/bsgatlas/details.php?id=BSGatlas-gene-738","BSGatlas-gene-738")</f>
        <v>BSGatlas-gene-738</v>
      </c>
      <c r="C688" s="1" t="s">
        <v>696</v>
      </c>
      <c r="D688" s="1" t="s">
        <v>8</v>
      </c>
      <c r="E688" s="3">
        <v>648930</v>
      </c>
      <c r="F688" s="3">
        <v>649664</v>
      </c>
      <c r="G688" s="1" t="s">
        <v>13</v>
      </c>
      <c r="H688" s="1" t="b">
        <f t="shared" si="27"/>
        <v>1</v>
      </c>
    </row>
    <row r="689" spans="1:8" ht="21" x14ac:dyDescent="0.25">
      <c r="A689" s="2" t="str">
        <f>HYPERLINK("https://rth.dk/resources/bsgatlas/details.php?id=BSGatlas-operon-338","BSGatlas-operon-338")</f>
        <v>BSGatlas-operon-338</v>
      </c>
      <c r="B689" s="2" t="str">
        <f>HYPERLINK("https://rth.dk/resources/bsgatlas/details.php?id=BSGatlas-gene-739","BSGatlas-gene-739")</f>
        <v>BSGatlas-gene-739</v>
      </c>
      <c r="C689" s="1" t="s">
        <v>697</v>
      </c>
      <c r="D689" s="1" t="s">
        <v>8</v>
      </c>
      <c r="E689" s="3">
        <v>649903</v>
      </c>
      <c r="F689" s="3">
        <v>650187</v>
      </c>
      <c r="G689" s="1" t="s">
        <v>9</v>
      </c>
      <c r="H689" s="1" t="b">
        <f t="shared" si="27"/>
        <v>0</v>
      </c>
    </row>
    <row r="690" spans="1:8" ht="21" x14ac:dyDescent="0.25">
      <c r="A690" s="2" t="str">
        <f>HYPERLINK("https://rth.dk/resources/bsgatlas/details.php?id=BSGatlas-operon-338","BSGatlas-operon-338")</f>
        <v>BSGatlas-operon-338</v>
      </c>
      <c r="B690" s="2" t="str">
        <f>HYPERLINK("https://rth.dk/resources/bsgatlas/details.php?id=BSGatlas-gene-740","BSGatlas-gene-740")</f>
        <v>BSGatlas-gene-740</v>
      </c>
      <c r="C690" s="1" t="s">
        <v>698</v>
      </c>
      <c r="D690" s="1" t="s">
        <v>8</v>
      </c>
      <c r="E690" s="3">
        <v>650234</v>
      </c>
      <c r="F690" s="3">
        <v>651868</v>
      </c>
      <c r="G690" s="1" t="s">
        <v>9</v>
      </c>
      <c r="H690" s="1" t="b">
        <f t="shared" si="27"/>
        <v>0</v>
      </c>
    </row>
    <row r="691" spans="1:8" ht="21" x14ac:dyDescent="0.25">
      <c r="A691" s="2" t="str">
        <f>HYPERLINK("https://rth.dk/resources/bsgatlas/details.php?id=BSGatlas-operon-339","BSGatlas-operon-339")</f>
        <v>BSGatlas-operon-339</v>
      </c>
      <c r="B691" s="2" t="str">
        <f>HYPERLINK("https://rth.dk/resources/bsgatlas/details.php?id=BSGatlas-gene-750","BSGatlas-gene-750")</f>
        <v>BSGatlas-gene-750</v>
      </c>
      <c r="C691" s="1" t="s">
        <v>699</v>
      </c>
      <c r="D691" s="1" t="s">
        <v>8</v>
      </c>
      <c r="E691" s="3">
        <v>655223</v>
      </c>
      <c r="F691" s="3">
        <v>656506</v>
      </c>
      <c r="G691" s="1" t="s">
        <v>9</v>
      </c>
      <c r="H691" s="1" t="b">
        <f t="shared" si="27"/>
        <v>1</v>
      </c>
    </row>
    <row r="692" spans="1:8" ht="21" x14ac:dyDescent="0.25">
      <c r="A692" s="2" t="str">
        <f>HYPERLINK("https://rth.dk/resources/bsgatlas/details.php?id=BSGatlas-operon-339","BSGatlas-operon-339")</f>
        <v>BSGatlas-operon-339</v>
      </c>
      <c r="B692" s="2" t="str">
        <f>HYPERLINK("https://rth.dk/resources/bsgatlas/details.php?id=BSGatlas-gene-751","BSGatlas-gene-751")</f>
        <v>BSGatlas-gene-751</v>
      </c>
      <c r="C692" s="1" t="s">
        <v>700</v>
      </c>
      <c r="D692" s="1" t="s">
        <v>8</v>
      </c>
      <c r="E692" s="3">
        <v>656528</v>
      </c>
      <c r="F692" s="3">
        <v>657697</v>
      </c>
      <c r="G692" s="1" t="s">
        <v>9</v>
      </c>
      <c r="H692" s="1" t="b">
        <f t="shared" si="27"/>
        <v>1</v>
      </c>
    </row>
    <row r="693" spans="1:8" ht="21" x14ac:dyDescent="0.25">
      <c r="A693" s="2" t="str">
        <f>HYPERLINK("https://rth.dk/resources/bsgatlas/details.php?id=BSGatlas-operon-340","BSGatlas-operon-340")</f>
        <v>BSGatlas-operon-340</v>
      </c>
      <c r="B693" s="2" t="str">
        <f>HYPERLINK("https://rth.dk/resources/bsgatlas/details.php?id=BSGatlas-gene-752","BSGatlas-gene-752")</f>
        <v>BSGatlas-gene-752</v>
      </c>
      <c r="C693" s="1" t="s">
        <v>701</v>
      </c>
      <c r="D693" s="1" t="s">
        <v>276</v>
      </c>
      <c r="E693" s="3">
        <v>657793</v>
      </c>
      <c r="F693" s="3">
        <v>658062</v>
      </c>
      <c r="G693" s="1" t="s">
        <v>13</v>
      </c>
      <c r="H693" s="1" t="b">
        <f t="shared" si="27"/>
        <v>0</v>
      </c>
    </row>
    <row r="694" spans="1:8" ht="21" x14ac:dyDescent="0.25">
      <c r="A694" s="2" t="str">
        <f>HYPERLINK("https://rth.dk/resources/bsgatlas/details.php?id=BSGatlas-operon-341","BSGatlas-operon-341")</f>
        <v>BSGatlas-operon-341</v>
      </c>
      <c r="B694" s="2" t="str">
        <f>HYPERLINK("https://rth.dk/resources/bsgatlas/details.php?id=BSGatlas-gene-755","BSGatlas-gene-755")</f>
        <v>BSGatlas-gene-755</v>
      </c>
      <c r="C694" s="1" t="s">
        <v>702</v>
      </c>
      <c r="D694" s="1" t="s">
        <v>12</v>
      </c>
      <c r="E694" s="3">
        <v>658495</v>
      </c>
      <c r="F694" s="3">
        <v>658899</v>
      </c>
      <c r="G694" s="1" t="s">
        <v>9</v>
      </c>
      <c r="H694" s="1" t="b">
        <f t="shared" si="27"/>
        <v>1</v>
      </c>
    </row>
    <row r="695" spans="1:8" ht="21" x14ac:dyDescent="0.25">
      <c r="A695" s="2" t="str">
        <f>HYPERLINK("https://rth.dk/resources/bsgatlas/details.php?id=BSGatlas-operon-342","BSGatlas-operon-342")</f>
        <v>BSGatlas-operon-342</v>
      </c>
      <c r="B695" s="2" t="str">
        <f>HYPERLINK("https://rth.dk/resources/bsgatlas/details.php?id=BSGatlas-gene-760","BSGatlas-gene-760")</f>
        <v>BSGatlas-gene-760</v>
      </c>
      <c r="C695" s="1" t="s">
        <v>703</v>
      </c>
      <c r="D695" s="1" t="s">
        <v>12</v>
      </c>
      <c r="E695" s="3">
        <v>659158</v>
      </c>
      <c r="F695" s="3">
        <v>659332</v>
      </c>
      <c r="G695" s="1" t="s">
        <v>13</v>
      </c>
      <c r="H695" s="1" t="b">
        <f t="shared" si="27"/>
        <v>0</v>
      </c>
    </row>
    <row r="696" spans="1:8" ht="21" x14ac:dyDescent="0.25">
      <c r="A696" s="2" t="str">
        <f>HYPERLINK("https://rth.dk/resources/bsgatlas/details.php?id=BSGatlas-operon-343","BSGatlas-operon-343")</f>
        <v>BSGatlas-operon-343</v>
      </c>
      <c r="B696" s="2" t="str">
        <f>HYPERLINK("https://rth.dk/resources/bsgatlas/details.php?id=BSGatlas-gene-761","BSGatlas-gene-761")</f>
        <v>BSGatlas-gene-761</v>
      </c>
      <c r="C696" s="1" t="s">
        <v>704</v>
      </c>
      <c r="D696" s="1" t="s">
        <v>8</v>
      </c>
      <c r="E696" s="3">
        <v>659623</v>
      </c>
      <c r="F696" s="3">
        <v>660564</v>
      </c>
      <c r="G696" s="1" t="s">
        <v>9</v>
      </c>
      <c r="H696" s="1" t="b">
        <f t="shared" si="27"/>
        <v>1</v>
      </c>
    </row>
    <row r="697" spans="1:8" ht="21" x14ac:dyDescent="0.25">
      <c r="A697" s="2" t="str">
        <f>HYPERLINK("https://rth.dk/resources/bsgatlas/details.php?id=BSGatlas-operon-343","BSGatlas-operon-343")</f>
        <v>BSGatlas-operon-343</v>
      </c>
      <c r="B697" s="2" t="str">
        <f>HYPERLINK("https://rth.dk/resources/bsgatlas/details.php?id=BSGatlas-gene-762","BSGatlas-gene-762")</f>
        <v>BSGatlas-gene-762</v>
      </c>
      <c r="C697" s="1" t="s">
        <v>705</v>
      </c>
      <c r="D697" s="1" t="s">
        <v>8</v>
      </c>
      <c r="E697" s="3">
        <v>660596</v>
      </c>
      <c r="F697" s="3">
        <v>661627</v>
      </c>
      <c r="G697" s="1" t="s">
        <v>9</v>
      </c>
      <c r="H697" s="1" t="b">
        <f t="shared" si="27"/>
        <v>1</v>
      </c>
    </row>
    <row r="698" spans="1:8" ht="21" x14ac:dyDescent="0.25">
      <c r="A698" s="2" t="str">
        <f>HYPERLINK("https://rth.dk/resources/bsgatlas/details.php?id=BSGatlas-operon-343","BSGatlas-operon-343")</f>
        <v>BSGatlas-operon-343</v>
      </c>
      <c r="B698" s="2" t="str">
        <f>HYPERLINK("https://rth.dk/resources/bsgatlas/details.php?id=BSGatlas-gene-763","BSGatlas-gene-763")</f>
        <v>BSGatlas-gene-763</v>
      </c>
      <c r="C698" s="1" t="s">
        <v>706</v>
      </c>
      <c r="D698" s="1" t="s">
        <v>8</v>
      </c>
      <c r="E698" s="3">
        <v>661630</v>
      </c>
      <c r="F698" s="3">
        <v>663027</v>
      </c>
      <c r="G698" s="1" t="s">
        <v>9</v>
      </c>
      <c r="H698" s="1" t="b">
        <f t="shared" si="27"/>
        <v>1</v>
      </c>
    </row>
    <row r="699" spans="1:8" ht="21" x14ac:dyDescent="0.25">
      <c r="A699" s="2" t="str">
        <f>HYPERLINK("https://rth.dk/resources/bsgatlas/details.php?id=BSGatlas-operon-344","BSGatlas-operon-344")</f>
        <v>BSGatlas-operon-344</v>
      </c>
      <c r="B699" s="2" t="str">
        <f>HYPERLINK("https://rth.dk/resources/bsgatlas/details.php?id=BSGatlas-gene-766","BSGatlas-gene-766")</f>
        <v>BSGatlas-gene-766</v>
      </c>
      <c r="C699" s="1" t="s">
        <v>707</v>
      </c>
      <c r="D699" s="1" t="s">
        <v>8</v>
      </c>
      <c r="E699" s="3">
        <v>664319</v>
      </c>
      <c r="F699" s="3">
        <v>664669</v>
      </c>
      <c r="G699" s="1" t="s">
        <v>9</v>
      </c>
      <c r="H699" s="1" t="b">
        <f t="shared" si="27"/>
        <v>0</v>
      </c>
    </row>
    <row r="700" spans="1:8" ht="21" x14ac:dyDescent="0.25">
      <c r="A700" s="2" t="str">
        <f>HYPERLINK("https://rth.dk/resources/bsgatlas/details.php?id=BSGatlas-operon-345","BSGatlas-operon-345")</f>
        <v>BSGatlas-operon-345</v>
      </c>
      <c r="B700" s="2" t="str">
        <f>HYPERLINK("https://rth.dk/resources/bsgatlas/details.php?id=BSGatlas-gene-767","BSGatlas-gene-767")</f>
        <v>BSGatlas-gene-767</v>
      </c>
      <c r="C700" s="1" t="s">
        <v>708</v>
      </c>
      <c r="D700" s="1" t="s">
        <v>8</v>
      </c>
      <c r="E700" s="3">
        <v>664775</v>
      </c>
      <c r="F700" s="3">
        <v>667264</v>
      </c>
      <c r="G700" s="1" t="s">
        <v>13</v>
      </c>
      <c r="H700" s="1" t="b">
        <f t="shared" si="27"/>
        <v>1</v>
      </c>
    </row>
    <row r="701" spans="1:8" ht="21" x14ac:dyDescent="0.25">
      <c r="A701" s="2" t="str">
        <f>HYPERLINK("https://rth.dk/resources/bsgatlas/details.php?id=BSGatlas-operon-346","BSGatlas-operon-346")</f>
        <v>BSGatlas-operon-346</v>
      </c>
      <c r="B701" s="2" t="str">
        <f>HYPERLINK("https://rth.dk/resources/bsgatlas/details.php?id=BSGatlas-gene-768","BSGatlas-gene-768")</f>
        <v>BSGatlas-gene-768</v>
      </c>
      <c r="C701" s="1" t="s">
        <v>709</v>
      </c>
      <c r="D701" s="1" t="s">
        <v>8</v>
      </c>
      <c r="E701" s="3">
        <v>667466</v>
      </c>
      <c r="F701" s="3">
        <v>668527</v>
      </c>
      <c r="G701" s="1" t="s">
        <v>9</v>
      </c>
      <c r="H701" s="1" t="b">
        <f t="shared" si="27"/>
        <v>0</v>
      </c>
    </row>
    <row r="702" spans="1:8" ht="21" x14ac:dyDescent="0.25">
      <c r="A702" s="2" t="str">
        <f>HYPERLINK("https://rth.dk/resources/bsgatlas/details.php?id=BSGatlas-operon-346","BSGatlas-operon-346")</f>
        <v>BSGatlas-operon-346</v>
      </c>
      <c r="B702" s="2" t="str">
        <f>HYPERLINK("https://rth.dk/resources/bsgatlas/details.php?id=BSGatlas-gene-769","BSGatlas-gene-769")</f>
        <v>BSGatlas-gene-769</v>
      </c>
      <c r="C702" s="1" t="s">
        <v>710</v>
      </c>
      <c r="D702" s="1" t="s">
        <v>8</v>
      </c>
      <c r="E702" s="3">
        <v>668601</v>
      </c>
      <c r="F702" s="3">
        <v>669992</v>
      </c>
      <c r="G702" s="1" t="s">
        <v>9</v>
      </c>
      <c r="H702" s="1" t="b">
        <f t="shared" si="27"/>
        <v>0</v>
      </c>
    </row>
    <row r="703" spans="1:8" ht="21" x14ac:dyDescent="0.25">
      <c r="A703" s="2" t="str">
        <f>HYPERLINK("https://rth.dk/resources/bsgatlas/details.php?id=BSGatlas-operon-346","BSGatlas-operon-346")</f>
        <v>BSGatlas-operon-346</v>
      </c>
      <c r="B703" s="2" t="str">
        <f>HYPERLINK("https://rth.dk/resources/bsgatlas/details.php?id=BSGatlas-gene-770","BSGatlas-gene-770")</f>
        <v>BSGatlas-gene-770</v>
      </c>
      <c r="C703" s="1" t="s">
        <v>711</v>
      </c>
      <c r="D703" s="1" t="s">
        <v>8</v>
      </c>
      <c r="E703" s="3">
        <v>670087</v>
      </c>
      <c r="F703" s="3">
        <v>671049</v>
      </c>
      <c r="G703" s="1" t="s">
        <v>9</v>
      </c>
      <c r="H703" s="1" t="b">
        <f t="shared" si="27"/>
        <v>0</v>
      </c>
    </row>
    <row r="704" spans="1:8" ht="21" x14ac:dyDescent="0.25">
      <c r="A704" s="2" t="str">
        <f>HYPERLINK("https://rth.dk/resources/bsgatlas/details.php?id=BSGatlas-operon-347","BSGatlas-operon-347")</f>
        <v>BSGatlas-operon-347</v>
      </c>
      <c r="B704" s="2" t="str">
        <f>HYPERLINK("https://rth.dk/resources/bsgatlas/details.php?id=BSGatlas-gene-771","BSGatlas-gene-771")</f>
        <v>BSGatlas-gene-771</v>
      </c>
      <c r="C704" s="1" t="s">
        <v>712</v>
      </c>
      <c r="D704" s="1" t="s">
        <v>8</v>
      </c>
      <c r="E704" s="3">
        <v>671245</v>
      </c>
      <c r="F704" s="3">
        <v>671928</v>
      </c>
      <c r="G704" s="1" t="s">
        <v>9</v>
      </c>
      <c r="H704" s="1" t="b">
        <f t="shared" si="27"/>
        <v>1</v>
      </c>
    </row>
    <row r="705" spans="1:8" ht="21" x14ac:dyDescent="0.25">
      <c r="A705" s="2" t="str">
        <f>HYPERLINK("https://rth.dk/resources/bsgatlas/details.php?id=BSGatlas-operon-347","BSGatlas-operon-347")</f>
        <v>BSGatlas-operon-347</v>
      </c>
      <c r="B705" s="2" t="str">
        <f>HYPERLINK("https://rth.dk/resources/bsgatlas/details.php?id=BSGatlas-gene-772","BSGatlas-gene-772")</f>
        <v>BSGatlas-gene-772</v>
      </c>
      <c r="C705" s="1" t="s">
        <v>713</v>
      </c>
      <c r="D705" s="1" t="s">
        <v>8</v>
      </c>
      <c r="E705" s="3">
        <v>671994</v>
      </c>
      <c r="F705" s="3">
        <v>673019</v>
      </c>
      <c r="G705" s="1" t="s">
        <v>9</v>
      </c>
      <c r="H705" s="1" t="b">
        <f t="shared" si="27"/>
        <v>1</v>
      </c>
    </row>
    <row r="706" spans="1:8" ht="21" x14ac:dyDescent="0.25">
      <c r="A706" s="2" t="str">
        <f>HYPERLINK("https://rth.dk/resources/bsgatlas/details.php?id=BSGatlas-operon-347","BSGatlas-operon-347")</f>
        <v>BSGatlas-operon-347</v>
      </c>
      <c r="B706" s="2" t="str">
        <f>HYPERLINK("https://rth.dk/resources/bsgatlas/details.php?id=BSGatlas-gene-773","BSGatlas-gene-773")</f>
        <v>BSGatlas-gene-773</v>
      </c>
      <c r="C706" s="1" t="s">
        <v>714</v>
      </c>
      <c r="D706" s="1" t="s">
        <v>8</v>
      </c>
      <c r="E706" s="3">
        <v>673019</v>
      </c>
      <c r="F706" s="3">
        <v>673783</v>
      </c>
      <c r="G706" s="1" t="s">
        <v>9</v>
      </c>
      <c r="H706" s="1" t="b">
        <f t="shared" ref="H706:H769" si="29">_xlfn.XOR(A705&lt;&gt;A706,H705)</f>
        <v>1</v>
      </c>
    </row>
    <row r="707" spans="1:8" ht="21" x14ac:dyDescent="0.25">
      <c r="A707" s="2" t="str">
        <f>HYPERLINK("https://rth.dk/resources/bsgatlas/details.php?id=BSGatlas-operon-347","BSGatlas-operon-347")</f>
        <v>BSGatlas-operon-347</v>
      </c>
      <c r="B707" s="2" t="str">
        <f>HYPERLINK("https://rth.dk/resources/bsgatlas/details.php?id=BSGatlas-gene-774","BSGatlas-gene-774")</f>
        <v>BSGatlas-gene-774</v>
      </c>
      <c r="C707" s="1" t="s">
        <v>715</v>
      </c>
      <c r="D707" s="1" t="s">
        <v>8</v>
      </c>
      <c r="E707" s="3">
        <v>673814</v>
      </c>
      <c r="F707" s="3">
        <v>674785</v>
      </c>
      <c r="G707" s="1" t="s">
        <v>9</v>
      </c>
      <c r="H707" s="1" t="b">
        <f t="shared" si="29"/>
        <v>1</v>
      </c>
    </row>
    <row r="708" spans="1:8" ht="21" x14ac:dyDescent="0.25">
      <c r="A708" s="2" t="str">
        <f>HYPERLINK("https://rth.dk/resources/bsgatlas/details.php?id=BSGatlas-operon-348","BSGatlas-operon-348")</f>
        <v>BSGatlas-operon-348</v>
      </c>
      <c r="B708" s="2" t="str">
        <f>HYPERLINK("https://rth.dk/resources/bsgatlas/details.php?id=BSGatlas-gene-775","BSGatlas-gene-775")</f>
        <v>BSGatlas-gene-775</v>
      </c>
      <c r="C708" s="1" t="s">
        <v>716</v>
      </c>
      <c r="D708" s="1" t="s">
        <v>8</v>
      </c>
      <c r="E708" s="3">
        <v>674832</v>
      </c>
      <c r="F708" s="3">
        <v>675857</v>
      </c>
      <c r="G708" s="1" t="s">
        <v>13</v>
      </c>
      <c r="H708" s="1" t="b">
        <f t="shared" si="29"/>
        <v>0</v>
      </c>
    </row>
    <row r="709" spans="1:8" ht="21" x14ac:dyDescent="0.25">
      <c r="A709" s="2" t="str">
        <f>HYPERLINK("https://rth.dk/resources/bsgatlas/details.php?id=BSGatlas-operon-349","BSGatlas-operon-349")</f>
        <v>BSGatlas-operon-349</v>
      </c>
      <c r="B709" s="2" t="str">
        <f>HYPERLINK("https://rth.dk/resources/bsgatlas/details.php?id=BSGatlas-gene-776","BSGatlas-gene-776")</f>
        <v>BSGatlas-gene-776</v>
      </c>
      <c r="C709" s="1" t="s">
        <v>717</v>
      </c>
      <c r="D709" s="1" t="s">
        <v>8</v>
      </c>
      <c r="E709" s="3">
        <v>676442</v>
      </c>
      <c r="F709" s="3">
        <v>677863</v>
      </c>
      <c r="G709" s="1" t="s">
        <v>9</v>
      </c>
      <c r="H709" s="1" t="b">
        <f t="shared" si="29"/>
        <v>1</v>
      </c>
    </row>
    <row r="710" spans="1:8" ht="21" x14ac:dyDescent="0.25">
      <c r="A710" s="2" t="str">
        <f>HYPERLINK("https://rth.dk/resources/bsgatlas/details.php?id=BSGatlas-operon-350","BSGatlas-operon-350")</f>
        <v>BSGatlas-operon-350</v>
      </c>
      <c r="B710" s="2" t="str">
        <f>HYPERLINK("https://rth.dk/resources/bsgatlas/details.php?id=BSGatlas-gene-777","BSGatlas-gene-777")</f>
        <v>BSGatlas-gene-777</v>
      </c>
      <c r="C710" s="1" t="s">
        <v>718</v>
      </c>
      <c r="D710" s="1" t="s">
        <v>8</v>
      </c>
      <c r="E710" s="3">
        <v>677911</v>
      </c>
      <c r="F710" s="3">
        <v>678951</v>
      </c>
      <c r="G710" s="1" t="s">
        <v>13</v>
      </c>
      <c r="H710" s="1" t="b">
        <f t="shared" si="29"/>
        <v>0</v>
      </c>
    </row>
    <row r="711" spans="1:8" ht="21" x14ac:dyDescent="0.25">
      <c r="A711" s="2" t="str">
        <f>HYPERLINK("https://rth.dk/resources/bsgatlas/details.php?id=BSGatlas-operon-351","BSGatlas-operon-351")</f>
        <v>BSGatlas-operon-351</v>
      </c>
      <c r="B711" s="2" t="str">
        <f>HYPERLINK("https://rth.dk/resources/bsgatlas/details.php?id=BSGatlas-gene-779","BSGatlas-gene-779")</f>
        <v>BSGatlas-gene-779</v>
      </c>
      <c r="C711" s="1" t="s">
        <v>719</v>
      </c>
      <c r="D711" s="1" t="s">
        <v>8</v>
      </c>
      <c r="E711" s="3">
        <v>679390</v>
      </c>
      <c r="F711" s="3">
        <v>679761</v>
      </c>
      <c r="G711" s="1" t="s">
        <v>9</v>
      </c>
      <c r="H711" s="1" t="b">
        <f t="shared" si="29"/>
        <v>1</v>
      </c>
    </row>
    <row r="712" spans="1:8" ht="21" x14ac:dyDescent="0.25">
      <c r="A712" s="2" t="str">
        <f>HYPERLINK("https://rth.dk/resources/bsgatlas/details.php?id=BSGatlas-operon-351","BSGatlas-operon-351")</f>
        <v>BSGatlas-operon-351</v>
      </c>
      <c r="B712" s="2" t="str">
        <f>HYPERLINK("https://rth.dk/resources/bsgatlas/details.php?id=BSGatlas-gene-780","BSGatlas-gene-780")</f>
        <v>BSGatlas-gene-780</v>
      </c>
      <c r="C712" s="1" t="s">
        <v>720</v>
      </c>
      <c r="D712" s="1" t="s">
        <v>8</v>
      </c>
      <c r="E712" s="3">
        <v>679827</v>
      </c>
      <c r="F712" s="3">
        <v>680873</v>
      </c>
      <c r="G712" s="1" t="s">
        <v>9</v>
      </c>
      <c r="H712" s="1" t="b">
        <f t="shared" si="29"/>
        <v>1</v>
      </c>
    </row>
    <row r="713" spans="1:8" ht="21" x14ac:dyDescent="0.25">
      <c r="A713" s="2" t="str">
        <f>HYPERLINK("https://rth.dk/resources/bsgatlas/details.php?id=BSGatlas-operon-352","BSGatlas-operon-352")</f>
        <v>BSGatlas-operon-352</v>
      </c>
      <c r="B713" s="2" t="str">
        <f>HYPERLINK("https://rth.dk/resources/bsgatlas/details.php?id=BSGatlas-gene-778","BSGatlas-gene-778")</f>
        <v>BSGatlas-gene-778</v>
      </c>
      <c r="C713" s="1" t="s">
        <v>721</v>
      </c>
      <c r="D713" s="1" t="s">
        <v>12</v>
      </c>
      <c r="E713" s="3">
        <v>679090</v>
      </c>
      <c r="F713" s="3">
        <v>679220</v>
      </c>
      <c r="G713" s="1" t="s">
        <v>13</v>
      </c>
      <c r="H713" s="1" t="b">
        <f t="shared" si="29"/>
        <v>0</v>
      </c>
    </row>
    <row r="714" spans="1:8" ht="21" x14ac:dyDescent="0.25">
      <c r="A714" s="2" t="str">
        <f>HYPERLINK("https://rth.dk/resources/bsgatlas/details.php?id=BSGatlas-operon-353","BSGatlas-operon-353")</f>
        <v>BSGatlas-operon-353</v>
      </c>
      <c r="B714" s="2" t="str">
        <f>HYPERLINK("https://rth.dk/resources/bsgatlas/details.php?id=BSGatlas-gene-781","BSGatlas-gene-781")</f>
        <v>BSGatlas-gene-781</v>
      </c>
      <c r="C714" s="1" t="s">
        <v>722</v>
      </c>
      <c r="D714" s="1" t="s">
        <v>8</v>
      </c>
      <c r="E714" s="3">
        <v>680907</v>
      </c>
      <c r="F714" s="3">
        <v>681065</v>
      </c>
      <c r="G714" s="1" t="s">
        <v>13</v>
      </c>
      <c r="H714" s="1" t="b">
        <f t="shared" si="29"/>
        <v>1</v>
      </c>
    </row>
    <row r="715" spans="1:8" ht="21" x14ac:dyDescent="0.25">
      <c r="A715" s="2" t="str">
        <f>HYPERLINK("https://rth.dk/resources/bsgatlas/details.php?id=BSGatlas-operon-354","BSGatlas-operon-354")</f>
        <v>BSGatlas-operon-354</v>
      </c>
      <c r="B715" s="2" t="str">
        <f>HYPERLINK("https://rth.dk/resources/bsgatlas/details.php?id=BSGatlas-gene-782","BSGatlas-gene-782")</f>
        <v>BSGatlas-gene-782</v>
      </c>
      <c r="C715" s="1" t="s">
        <v>723</v>
      </c>
      <c r="D715" s="1" t="s">
        <v>8</v>
      </c>
      <c r="E715" s="3">
        <v>681255</v>
      </c>
      <c r="F715" s="3">
        <v>681464</v>
      </c>
      <c r="G715" s="1" t="s">
        <v>13</v>
      </c>
      <c r="H715" s="1" t="b">
        <f t="shared" si="29"/>
        <v>0</v>
      </c>
    </row>
    <row r="716" spans="1:8" ht="21" x14ac:dyDescent="0.25">
      <c r="A716" s="2" t="str">
        <f>HYPERLINK("https://rth.dk/resources/bsgatlas/details.php?id=BSGatlas-operon-354","BSGatlas-operon-354")</f>
        <v>BSGatlas-operon-354</v>
      </c>
      <c r="B716" s="2" t="str">
        <f>HYPERLINK("https://rth.dk/resources/bsgatlas/details.php?id=BSGatlas-gene-783","BSGatlas-gene-783")</f>
        <v>BSGatlas-gene-783</v>
      </c>
      <c r="C716" s="1" t="s">
        <v>724</v>
      </c>
      <c r="D716" s="1" t="s">
        <v>8</v>
      </c>
      <c r="E716" s="3">
        <v>681547</v>
      </c>
      <c r="F716" s="3">
        <v>682362</v>
      </c>
      <c r="G716" s="1" t="s">
        <v>13</v>
      </c>
      <c r="H716" s="1" t="b">
        <f t="shared" si="29"/>
        <v>0</v>
      </c>
    </row>
    <row r="717" spans="1:8" ht="21" x14ac:dyDescent="0.25">
      <c r="A717" s="2" t="str">
        <f>HYPERLINK("https://rth.dk/resources/bsgatlas/details.php?id=BSGatlas-operon-354","BSGatlas-operon-354")</f>
        <v>BSGatlas-operon-354</v>
      </c>
      <c r="B717" s="2" t="str">
        <f>HYPERLINK("https://rth.dk/resources/bsgatlas/details.php?id=BSGatlas-gene-784","BSGatlas-gene-784")</f>
        <v>BSGatlas-gene-784</v>
      </c>
      <c r="C717" s="1" t="s">
        <v>725</v>
      </c>
      <c r="D717" s="1" t="s">
        <v>8</v>
      </c>
      <c r="E717" s="3">
        <v>682375</v>
      </c>
      <c r="F717" s="3">
        <v>683364</v>
      </c>
      <c r="G717" s="1" t="s">
        <v>13</v>
      </c>
      <c r="H717" s="1" t="b">
        <f t="shared" si="29"/>
        <v>0</v>
      </c>
    </row>
    <row r="718" spans="1:8" ht="21" x14ac:dyDescent="0.25">
      <c r="A718" s="2" t="str">
        <f>HYPERLINK("https://rth.dk/resources/bsgatlas/details.php?id=BSGatlas-operon-355","BSGatlas-operon-355")</f>
        <v>BSGatlas-operon-355</v>
      </c>
      <c r="B718" s="2" t="str">
        <f>HYPERLINK("https://rth.dk/resources/bsgatlas/details.php?id=BSGatlas-gene-785","BSGatlas-gene-785")</f>
        <v>BSGatlas-gene-785</v>
      </c>
      <c r="C718" s="1" t="s">
        <v>726</v>
      </c>
      <c r="D718" s="1" t="s">
        <v>8</v>
      </c>
      <c r="E718" s="3">
        <v>683462</v>
      </c>
      <c r="F718" s="3">
        <v>685003</v>
      </c>
      <c r="G718" s="1" t="s">
        <v>13</v>
      </c>
      <c r="H718" s="1" t="b">
        <f t="shared" si="29"/>
        <v>1</v>
      </c>
    </row>
    <row r="719" spans="1:8" ht="21" x14ac:dyDescent="0.25">
      <c r="A719" s="2" t="str">
        <f>HYPERLINK("https://rth.dk/resources/bsgatlas/details.php?id=BSGatlas-operon-356","BSGatlas-operon-356")</f>
        <v>BSGatlas-operon-356</v>
      </c>
      <c r="B719" s="2" t="str">
        <f>HYPERLINK("https://rth.dk/resources/bsgatlas/details.php?id=BSGatlas-gene-786","BSGatlas-gene-786")</f>
        <v>BSGatlas-gene-786</v>
      </c>
      <c r="C719" s="1" t="s">
        <v>727</v>
      </c>
      <c r="D719" s="1" t="s">
        <v>8</v>
      </c>
      <c r="E719" s="3">
        <v>685155</v>
      </c>
      <c r="F719" s="3">
        <v>686564</v>
      </c>
      <c r="G719" s="1" t="s">
        <v>13</v>
      </c>
      <c r="H719" s="1" t="b">
        <f t="shared" si="29"/>
        <v>0</v>
      </c>
    </row>
    <row r="720" spans="1:8" ht="21" x14ac:dyDescent="0.25">
      <c r="A720" s="2" t="str">
        <f>HYPERLINK("https://rth.dk/resources/bsgatlas/details.php?id=BSGatlas-operon-357","BSGatlas-operon-357")</f>
        <v>BSGatlas-operon-357</v>
      </c>
      <c r="B720" s="2" t="str">
        <f>HYPERLINK("https://rth.dk/resources/bsgatlas/details.php?id=BSGatlas-gene-788","BSGatlas-gene-788")</f>
        <v>BSGatlas-gene-788</v>
      </c>
      <c r="C720" s="1" t="s">
        <v>728</v>
      </c>
      <c r="D720" s="1" t="s">
        <v>8</v>
      </c>
      <c r="E720" s="3">
        <v>686962</v>
      </c>
      <c r="F720" s="3">
        <v>687834</v>
      </c>
      <c r="G720" s="1" t="s">
        <v>9</v>
      </c>
      <c r="H720" s="1" t="b">
        <f t="shared" si="29"/>
        <v>1</v>
      </c>
    </row>
    <row r="721" spans="1:8" ht="21" x14ac:dyDescent="0.25">
      <c r="A721" s="2" t="str">
        <f>HYPERLINK("https://rth.dk/resources/bsgatlas/details.php?id=BSGatlas-operon-358","BSGatlas-operon-358")</f>
        <v>BSGatlas-operon-358</v>
      </c>
      <c r="B721" s="2" t="str">
        <f>HYPERLINK("https://rth.dk/resources/bsgatlas/details.php?id=BSGatlas-gene-789","BSGatlas-gene-789")</f>
        <v>BSGatlas-gene-789</v>
      </c>
      <c r="C721" s="1" t="s">
        <v>729</v>
      </c>
      <c r="D721" s="1" t="s">
        <v>8</v>
      </c>
      <c r="E721" s="3">
        <v>688184</v>
      </c>
      <c r="F721" s="3">
        <v>689146</v>
      </c>
      <c r="G721" s="1" t="s">
        <v>9</v>
      </c>
      <c r="H721" s="1" t="b">
        <f t="shared" si="29"/>
        <v>0</v>
      </c>
    </row>
    <row r="722" spans="1:8" ht="21" x14ac:dyDescent="0.25">
      <c r="A722" s="2" t="str">
        <f>HYPERLINK("https://rth.dk/resources/bsgatlas/details.php?id=BSGatlas-operon-359","BSGatlas-operon-359")</f>
        <v>BSGatlas-operon-359</v>
      </c>
      <c r="B722" s="2" t="str">
        <f>HYPERLINK("https://rth.dk/resources/bsgatlas/details.php?id=BSGatlas-gene-792","BSGatlas-gene-792")</f>
        <v>BSGatlas-gene-792</v>
      </c>
      <c r="C722" s="1" t="s">
        <v>522</v>
      </c>
      <c r="D722" s="1" t="s">
        <v>34</v>
      </c>
      <c r="E722" s="3">
        <v>692609</v>
      </c>
      <c r="F722" s="3">
        <v>692701</v>
      </c>
      <c r="G722" s="1" t="s">
        <v>9</v>
      </c>
      <c r="H722" s="1" t="b">
        <f t="shared" si="29"/>
        <v>1</v>
      </c>
    </row>
    <row r="723" spans="1:8" ht="21" x14ac:dyDescent="0.25">
      <c r="A723" s="2" t="str">
        <f>HYPERLINK("https://rth.dk/resources/bsgatlas/details.php?id=BSGatlas-operon-360","BSGatlas-operon-360")</f>
        <v>BSGatlas-operon-360</v>
      </c>
      <c r="B723" s="2" t="str">
        <f>HYPERLINK("https://rth.dk/resources/bsgatlas/details.php?id=BSGatlas-gene-793","BSGatlas-gene-793")</f>
        <v>BSGatlas-gene-793</v>
      </c>
      <c r="C723" s="1" t="s">
        <v>730</v>
      </c>
      <c r="D723" s="1" t="s">
        <v>8</v>
      </c>
      <c r="E723" s="3">
        <v>692740</v>
      </c>
      <c r="F723" s="3">
        <v>694281</v>
      </c>
      <c r="G723" s="1" t="s">
        <v>9</v>
      </c>
      <c r="H723" s="1" t="b">
        <f t="shared" si="29"/>
        <v>0</v>
      </c>
    </row>
    <row r="724" spans="1:8" ht="21" x14ac:dyDescent="0.25">
      <c r="A724" s="2" t="str">
        <f>HYPERLINK("https://rth.dk/resources/bsgatlas/details.php?id=BSGatlas-operon-361","BSGatlas-operon-361")</f>
        <v>BSGatlas-operon-361</v>
      </c>
      <c r="B724" s="2" t="str">
        <f>HYPERLINK("https://rth.dk/resources/bsgatlas/details.php?id=BSGatlas-gene-795","BSGatlas-gene-795")</f>
        <v>BSGatlas-gene-795</v>
      </c>
      <c r="C724" s="1" t="s">
        <v>731</v>
      </c>
      <c r="D724" s="1" t="s">
        <v>8</v>
      </c>
      <c r="E724" s="3">
        <v>694662</v>
      </c>
      <c r="F724" s="3">
        <v>695984</v>
      </c>
      <c r="G724" s="1" t="s">
        <v>9</v>
      </c>
      <c r="H724" s="1" t="b">
        <f t="shared" si="29"/>
        <v>1</v>
      </c>
    </row>
    <row r="725" spans="1:8" ht="21" x14ac:dyDescent="0.25">
      <c r="A725" s="2" t="str">
        <f>HYPERLINK("https://rth.dk/resources/bsgatlas/details.php?id=BSGatlas-operon-362","BSGatlas-operon-362")</f>
        <v>BSGatlas-operon-362</v>
      </c>
      <c r="B725" s="2" t="str">
        <f>HYPERLINK("https://rth.dk/resources/bsgatlas/details.php?id=BSGatlas-gene-794","BSGatlas-gene-794")</f>
        <v>BSGatlas-gene-794</v>
      </c>
      <c r="C725" s="1" t="s">
        <v>732</v>
      </c>
      <c r="D725" s="1" t="s">
        <v>34</v>
      </c>
      <c r="E725" s="3">
        <v>694424</v>
      </c>
      <c r="F725" s="3">
        <v>694527</v>
      </c>
      <c r="G725" s="1" t="s">
        <v>9</v>
      </c>
      <c r="H725" s="1" t="b">
        <f t="shared" si="29"/>
        <v>0</v>
      </c>
    </row>
    <row r="726" spans="1:8" ht="21" x14ac:dyDescent="0.25">
      <c r="A726" s="2" t="str">
        <f>HYPERLINK("https://rth.dk/resources/bsgatlas/details.php?id=BSGatlas-operon-363","BSGatlas-operon-363")</f>
        <v>BSGatlas-operon-363</v>
      </c>
      <c r="B726" s="2" t="str">
        <f>HYPERLINK("https://rth.dk/resources/bsgatlas/details.php?id=BSGatlas-gene-796","BSGatlas-gene-796")</f>
        <v>BSGatlas-gene-796</v>
      </c>
      <c r="C726" s="1" t="s">
        <v>733</v>
      </c>
      <c r="D726" s="1" t="s">
        <v>8</v>
      </c>
      <c r="E726" s="3">
        <v>696195</v>
      </c>
      <c r="F726" s="3">
        <v>696998</v>
      </c>
      <c r="G726" s="1" t="s">
        <v>9</v>
      </c>
      <c r="H726" s="1" t="b">
        <f t="shared" si="29"/>
        <v>1</v>
      </c>
    </row>
    <row r="727" spans="1:8" ht="21" x14ac:dyDescent="0.25">
      <c r="A727" s="2" t="str">
        <f>HYPERLINK("https://rth.dk/resources/bsgatlas/details.php?id=BSGatlas-operon-364","BSGatlas-operon-364")</f>
        <v>BSGatlas-operon-364</v>
      </c>
      <c r="B727" s="2" t="str">
        <f>HYPERLINK("https://rth.dk/resources/bsgatlas/details.php?id=BSGatlas-gene-797","BSGatlas-gene-797")</f>
        <v>BSGatlas-gene-797</v>
      </c>
      <c r="C727" s="1" t="s">
        <v>734</v>
      </c>
      <c r="D727" s="1" t="s">
        <v>8</v>
      </c>
      <c r="E727" s="3">
        <v>697157</v>
      </c>
      <c r="F727" s="3">
        <v>697324</v>
      </c>
      <c r="G727" s="1" t="s">
        <v>9</v>
      </c>
      <c r="H727" s="1" t="b">
        <f t="shared" si="29"/>
        <v>0</v>
      </c>
    </row>
    <row r="728" spans="1:8" ht="21" x14ac:dyDescent="0.25">
      <c r="A728" s="2" t="str">
        <f>HYPERLINK("https://rth.dk/resources/bsgatlas/details.php?id=BSGatlas-operon-365","BSGatlas-operon-365")</f>
        <v>BSGatlas-operon-365</v>
      </c>
      <c r="B728" s="2" t="str">
        <f>HYPERLINK("https://rth.dk/resources/bsgatlas/details.php?id=BSGatlas-gene-798","BSGatlas-gene-798")</f>
        <v>BSGatlas-gene-798</v>
      </c>
      <c r="C728" s="1" t="s">
        <v>735</v>
      </c>
      <c r="D728" s="1" t="s">
        <v>8</v>
      </c>
      <c r="E728" s="3">
        <v>697538</v>
      </c>
      <c r="F728" s="3">
        <v>698092</v>
      </c>
      <c r="G728" s="1" t="s">
        <v>9</v>
      </c>
      <c r="H728" s="1" t="b">
        <f t="shared" si="29"/>
        <v>1</v>
      </c>
    </row>
    <row r="729" spans="1:8" ht="21" x14ac:dyDescent="0.25">
      <c r="A729" s="2" t="str">
        <f>HYPERLINK("https://rth.dk/resources/bsgatlas/details.php?id=BSGatlas-operon-365","BSGatlas-operon-365")</f>
        <v>BSGatlas-operon-365</v>
      </c>
      <c r="B729" s="2" t="str">
        <f>HYPERLINK("https://rth.dk/resources/bsgatlas/details.php?id=BSGatlas-gene-799","BSGatlas-gene-799")</f>
        <v>BSGatlas-gene-799</v>
      </c>
      <c r="C729" s="1" t="s">
        <v>736</v>
      </c>
      <c r="D729" s="1" t="s">
        <v>8</v>
      </c>
      <c r="E729" s="3">
        <v>698092</v>
      </c>
      <c r="F729" s="3">
        <v>698289</v>
      </c>
      <c r="G729" s="1" t="s">
        <v>9</v>
      </c>
      <c r="H729" s="1" t="b">
        <f t="shared" si="29"/>
        <v>1</v>
      </c>
    </row>
    <row r="730" spans="1:8" ht="21" x14ac:dyDescent="0.25">
      <c r="A730" s="2" t="str">
        <f>HYPERLINK("https://rth.dk/resources/bsgatlas/details.php?id=BSGatlas-operon-366","BSGatlas-operon-366")</f>
        <v>BSGatlas-operon-366</v>
      </c>
      <c r="B730" s="2" t="str">
        <f>HYPERLINK("https://rth.dk/resources/bsgatlas/details.php?id=BSGatlas-gene-800","BSGatlas-gene-800")</f>
        <v>BSGatlas-gene-800</v>
      </c>
      <c r="C730" s="1" t="s">
        <v>737</v>
      </c>
      <c r="D730" s="1" t="s">
        <v>34</v>
      </c>
      <c r="E730" s="3">
        <v>698368</v>
      </c>
      <c r="F730" s="3">
        <v>698471</v>
      </c>
      <c r="G730" s="1" t="s">
        <v>9</v>
      </c>
      <c r="H730" s="1" t="b">
        <f t="shared" si="29"/>
        <v>0</v>
      </c>
    </row>
    <row r="731" spans="1:8" ht="21" x14ac:dyDescent="0.25">
      <c r="A731" s="2" t="str">
        <f t="shared" ref="A731:A743" si="30">HYPERLINK("https://rth.dk/resources/bsgatlas/details.php?id=BSGatlas-operon-367","BSGatlas-operon-367")</f>
        <v>BSGatlas-operon-367</v>
      </c>
      <c r="B731" s="2" t="str">
        <f>HYPERLINK("https://rth.dk/resources/bsgatlas/details.php?id=BSGatlas-gene-801","BSGatlas-gene-801")</f>
        <v>BSGatlas-gene-801</v>
      </c>
      <c r="C731" s="1" t="s">
        <v>738</v>
      </c>
      <c r="D731" s="1" t="s">
        <v>34</v>
      </c>
      <c r="E731" s="3">
        <v>698372</v>
      </c>
      <c r="F731" s="3">
        <v>698571</v>
      </c>
      <c r="G731" s="1" t="s">
        <v>9</v>
      </c>
      <c r="H731" s="1" t="b">
        <f t="shared" si="29"/>
        <v>1</v>
      </c>
    </row>
    <row r="732" spans="1:8" ht="21" x14ac:dyDescent="0.25">
      <c r="A732" s="2" t="str">
        <f t="shared" si="30"/>
        <v>BSGatlas-operon-367</v>
      </c>
      <c r="B732" s="2" t="str">
        <f>HYPERLINK("https://rth.dk/resources/bsgatlas/details.php?id=BSGatlas-gene-802","BSGatlas-gene-802")</f>
        <v>BSGatlas-gene-802</v>
      </c>
      <c r="C732" s="1" t="s">
        <v>739</v>
      </c>
      <c r="D732" s="1" t="s">
        <v>8</v>
      </c>
      <c r="E732" s="3">
        <v>698612</v>
      </c>
      <c r="F732" s="3">
        <v>699100</v>
      </c>
      <c r="G732" s="1" t="s">
        <v>9</v>
      </c>
      <c r="H732" s="1" t="b">
        <f t="shared" si="29"/>
        <v>1</v>
      </c>
    </row>
    <row r="733" spans="1:8" ht="21" x14ac:dyDescent="0.25">
      <c r="A733" s="2" t="str">
        <f t="shared" si="30"/>
        <v>BSGatlas-operon-367</v>
      </c>
      <c r="B733" s="2" t="str">
        <f>HYPERLINK("https://rth.dk/resources/bsgatlas/details.php?id=BSGatlas-gene-803","BSGatlas-gene-803")</f>
        <v>BSGatlas-gene-803</v>
      </c>
      <c r="C733" s="1" t="s">
        <v>740</v>
      </c>
      <c r="D733" s="1" t="s">
        <v>8</v>
      </c>
      <c r="E733" s="3">
        <v>699093</v>
      </c>
      <c r="F733" s="3">
        <v>700235</v>
      </c>
      <c r="G733" s="1" t="s">
        <v>9</v>
      </c>
      <c r="H733" s="1" t="b">
        <f t="shared" si="29"/>
        <v>1</v>
      </c>
    </row>
    <row r="734" spans="1:8" ht="21" x14ac:dyDescent="0.25">
      <c r="A734" s="2" t="str">
        <f t="shared" si="30"/>
        <v>BSGatlas-operon-367</v>
      </c>
      <c r="B734" s="2" t="str">
        <f>HYPERLINK("https://rth.dk/resources/bsgatlas/details.php?id=BSGatlas-gene-804","BSGatlas-gene-804")</f>
        <v>BSGatlas-gene-804</v>
      </c>
      <c r="C734" s="1" t="s">
        <v>741</v>
      </c>
      <c r="D734" s="1" t="s">
        <v>8</v>
      </c>
      <c r="E734" s="3">
        <v>700232</v>
      </c>
      <c r="F734" s="3">
        <v>701527</v>
      </c>
      <c r="G734" s="1" t="s">
        <v>9</v>
      </c>
      <c r="H734" s="1" t="b">
        <f t="shared" si="29"/>
        <v>1</v>
      </c>
    </row>
    <row r="735" spans="1:8" ht="21" x14ac:dyDescent="0.25">
      <c r="A735" s="2" t="str">
        <f t="shared" si="30"/>
        <v>BSGatlas-operon-367</v>
      </c>
      <c r="B735" s="2" t="str">
        <f>HYPERLINK("https://rth.dk/resources/bsgatlas/details.php?id=BSGatlas-gene-805","BSGatlas-gene-805")</f>
        <v>BSGatlas-gene-805</v>
      </c>
      <c r="C735" s="1" t="s">
        <v>742</v>
      </c>
      <c r="D735" s="1" t="s">
        <v>8</v>
      </c>
      <c r="E735" s="3">
        <v>701601</v>
      </c>
      <c r="F735" s="3">
        <v>702326</v>
      </c>
      <c r="G735" s="1" t="s">
        <v>9</v>
      </c>
      <c r="H735" s="1" t="b">
        <f t="shared" si="29"/>
        <v>1</v>
      </c>
    </row>
    <row r="736" spans="1:8" ht="21" x14ac:dyDescent="0.25">
      <c r="A736" s="2" t="str">
        <f t="shared" si="30"/>
        <v>BSGatlas-operon-367</v>
      </c>
      <c r="B736" s="2" t="str">
        <f>HYPERLINK("https://rth.dk/resources/bsgatlas/details.php?id=BSGatlas-gene-806","BSGatlas-gene-806")</f>
        <v>BSGatlas-gene-806</v>
      </c>
      <c r="C736" s="1" t="s">
        <v>743</v>
      </c>
      <c r="D736" s="1" t="s">
        <v>8</v>
      </c>
      <c r="E736" s="3">
        <v>702319</v>
      </c>
      <c r="F736" s="3">
        <v>702573</v>
      </c>
      <c r="G736" s="1" t="s">
        <v>9</v>
      </c>
      <c r="H736" s="1" t="b">
        <f t="shared" si="29"/>
        <v>1</v>
      </c>
    </row>
    <row r="737" spans="1:8" ht="21" x14ac:dyDescent="0.25">
      <c r="A737" s="2" t="str">
        <f t="shared" si="30"/>
        <v>BSGatlas-operon-367</v>
      </c>
      <c r="B737" s="2" t="str">
        <f>HYPERLINK("https://rth.dk/resources/bsgatlas/details.php?id=BSGatlas-gene-807","BSGatlas-gene-807")</f>
        <v>BSGatlas-gene-807</v>
      </c>
      <c r="C737" s="1" t="s">
        <v>744</v>
      </c>
      <c r="D737" s="1" t="s">
        <v>8</v>
      </c>
      <c r="E737" s="3">
        <v>702570</v>
      </c>
      <c r="F737" s="3">
        <v>703253</v>
      </c>
      <c r="G737" s="1" t="s">
        <v>9</v>
      </c>
      <c r="H737" s="1" t="b">
        <f t="shared" si="29"/>
        <v>1</v>
      </c>
    </row>
    <row r="738" spans="1:8" ht="21" x14ac:dyDescent="0.25">
      <c r="A738" s="2" t="str">
        <f t="shared" si="30"/>
        <v>BSGatlas-operon-367</v>
      </c>
      <c r="B738" s="2" t="str">
        <f>HYPERLINK("https://rth.dk/resources/bsgatlas/details.php?id=BSGatlas-gene-808","BSGatlas-gene-808")</f>
        <v>BSGatlas-gene-808</v>
      </c>
      <c r="C738" s="1" t="s">
        <v>745</v>
      </c>
      <c r="D738" s="1" t="s">
        <v>8</v>
      </c>
      <c r="E738" s="3">
        <v>703237</v>
      </c>
      <c r="F738" s="3">
        <v>705465</v>
      </c>
      <c r="G738" s="1" t="s">
        <v>9</v>
      </c>
      <c r="H738" s="1" t="b">
        <f t="shared" si="29"/>
        <v>1</v>
      </c>
    </row>
    <row r="739" spans="1:8" ht="21" x14ac:dyDescent="0.25">
      <c r="A739" s="2" t="str">
        <f t="shared" si="30"/>
        <v>BSGatlas-operon-367</v>
      </c>
      <c r="B739" s="2" t="str">
        <f>HYPERLINK("https://rth.dk/resources/bsgatlas/details.php?id=BSGatlas-gene-809","BSGatlas-gene-809")</f>
        <v>BSGatlas-gene-809</v>
      </c>
      <c r="C739" s="1" t="s">
        <v>746</v>
      </c>
      <c r="D739" s="1" t="s">
        <v>8</v>
      </c>
      <c r="E739" s="3">
        <v>705441</v>
      </c>
      <c r="F739" s="3">
        <v>706871</v>
      </c>
      <c r="G739" s="1" t="s">
        <v>9</v>
      </c>
      <c r="H739" s="1" t="b">
        <f t="shared" si="29"/>
        <v>1</v>
      </c>
    </row>
    <row r="740" spans="1:8" ht="21" x14ac:dyDescent="0.25">
      <c r="A740" s="2" t="str">
        <f t="shared" si="30"/>
        <v>BSGatlas-operon-367</v>
      </c>
      <c r="B740" s="2" t="str">
        <f>HYPERLINK("https://rth.dk/resources/bsgatlas/details.php?id=BSGatlas-gene-810","BSGatlas-gene-810")</f>
        <v>BSGatlas-gene-810</v>
      </c>
      <c r="C740" s="1" t="s">
        <v>747</v>
      </c>
      <c r="D740" s="1" t="s">
        <v>8</v>
      </c>
      <c r="E740" s="3">
        <v>706973</v>
      </c>
      <c r="F740" s="3">
        <v>708013</v>
      </c>
      <c r="G740" s="1" t="s">
        <v>9</v>
      </c>
      <c r="H740" s="1" t="b">
        <f t="shared" si="29"/>
        <v>1</v>
      </c>
    </row>
    <row r="741" spans="1:8" ht="21" x14ac:dyDescent="0.25">
      <c r="A741" s="2" t="str">
        <f t="shared" si="30"/>
        <v>BSGatlas-operon-367</v>
      </c>
      <c r="B741" s="2" t="str">
        <f>HYPERLINK("https://rth.dk/resources/bsgatlas/details.php?id=BSGatlas-gene-811","BSGatlas-gene-811")</f>
        <v>BSGatlas-gene-811</v>
      </c>
      <c r="C741" s="1" t="s">
        <v>748</v>
      </c>
      <c r="D741" s="1" t="s">
        <v>8</v>
      </c>
      <c r="E741" s="3">
        <v>708010</v>
      </c>
      <c r="F741" s="3">
        <v>708597</v>
      </c>
      <c r="G741" s="1" t="s">
        <v>9</v>
      </c>
      <c r="H741" s="1" t="b">
        <f t="shared" si="29"/>
        <v>1</v>
      </c>
    </row>
    <row r="742" spans="1:8" ht="21" x14ac:dyDescent="0.25">
      <c r="A742" s="2" t="str">
        <f t="shared" si="30"/>
        <v>BSGatlas-operon-367</v>
      </c>
      <c r="B742" s="2" t="str">
        <f>HYPERLINK("https://rth.dk/resources/bsgatlas/details.php?id=BSGatlas-gene-812","BSGatlas-gene-812")</f>
        <v>BSGatlas-gene-812</v>
      </c>
      <c r="C742" s="1" t="s">
        <v>749</v>
      </c>
      <c r="D742" s="1" t="s">
        <v>8</v>
      </c>
      <c r="E742" s="3">
        <v>708594</v>
      </c>
      <c r="F742" s="3">
        <v>710132</v>
      </c>
      <c r="G742" s="1" t="s">
        <v>9</v>
      </c>
      <c r="H742" s="1" t="b">
        <f t="shared" si="29"/>
        <v>1</v>
      </c>
    </row>
    <row r="743" spans="1:8" ht="21" x14ac:dyDescent="0.25">
      <c r="A743" s="2" t="str">
        <f t="shared" si="30"/>
        <v>BSGatlas-operon-367</v>
      </c>
      <c r="B743" s="2" t="str">
        <f>HYPERLINK("https://rth.dk/resources/bsgatlas/details.php?id=BSGatlas-gene-813","BSGatlas-gene-813")</f>
        <v>BSGatlas-gene-813</v>
      </c>
      <c r="C743" s="1" t="s">
        <v>750</v>
      </c>
      <c r="D743" s="1" t="s">
        <v>8</v>
      </c>
      <c r="E743" s="3">
        <v>710148</v>
      </c>
      <c r="F743" s="3">
        <v>711416</v>
      </c>
      <c r="G743" s="1" t="s">
        <v>9</v>
      </c>
      <c r="H743" s="1" t="b">
        <f t="shared" si="29"/>
        <v>1</v>
      </c>
    </row>
    <row r="744" spans="1:8" ht="21" x14ac:dyDescent="0.25">
      <c r="A744" s="2" t="str">
        <f>HYPERLINK("https://rth.dk/resources/bsgatlas/details.php?id=BSGatlas-operon-368","BSGatlas-operon-368")</f>
        <v>BSGatlas-operon-368</v>
      </c>
      <c r="B744" s="2" t="str">
        <f>HYPERLINK("https://rth.dk/resources/bsgatlas/details.php?id=BSGatlas-gene-814","BSGatlas-gene-814")</f>
        <v>BSGatlas-gene-814</v>
      </c>
      <c r="C744" s="1" t="s">
        <v>751</v>
      </c>
      <c r="D744" s="1" t="s">
        <v>8</v>
      </c>
      <c r="E744" s="3">
        <v>711456</v>
      </c>
      <c r="F744" s="3">
        <v>711875</v>
      </c>
      <c r="G744" s="1" t="s">
        <v>13</v>
      </c>
      <c r="H744" s="1" t="b">
        <f t="shared" si="29"/>
        <v>0</v>
      </c>
    </row>
    <row r="745" spans="1:8" ht="21" x14ac:dyDescent="0.25">
      <c r="A745" s="2" t="str">
        <f>HYPERLINK("https://rth.dk/resources/bsgatlas/details.php?id=BSGatlas-operon-369","BSGatlas-operon-369")</f>
        <v>BSGatlas-operon-369</v>
      </c>
      <c r="B745" s="2" t="str">
        <f>HYPERLINK("https://rth.dk/resources/bsgatlas/details.php?id=BSGatlas-gene-815","BSGatlas-gene-815")</f>
        <v>BSGatlas-gene-815</v>
      </c>
      <c r="C745" s="1" t="s">
        <v>752</v>
      </c>
      <c r="D745" s="1" t="s">
        <v>8</v>
      </c>
      <c r="E745" s="3">
        <v>712019</v>
      </c>
      <c r="F745" s="3">
        <v>713293</v>
      </c>
      <c r="G745" s="1" t="s">
        <v>9</v>
      </c>
      <c r="H745" s="1" t="b">
        <f t="shared" si="29"/>
        <v>1</v>
      </c>
    </row>
    <row r="746" spans="1:8" ht="21" x14ac:dyDescent="0.25">
      <c r="A746" s="2" t="str">
        <f>HYPERLINK("https://rth.dk/resources/bsgatlas/details.php?id=BSGatlas-operon-370","BSGatlas-operon-370")</f>
        <v>BSGatlas-operon-370</v>
      </c>
      <c r="B746" s="2" t="str">
        <f>HYPERLINK("https://rth.dk/resources/bsgatlas/details.php?id=BSGatlas-gene-816","BSGatlas-gene-816")</f>
        <v>BSGatlas-gene-816</v>
      </c>
      <c r="C746" s="1" t="s">
        <v>753</v>
      </c>
      <c r="D746" s="1" t="s">
        <v>8</v>
      </c>
      <c r="E746" s="3">
        <v>713308</v>
      </c>
      <c r="F746" s="3">
        <v>713535</v>
      </c>
      <c r="G746" s="1" t="s">
        <v>13</v>
      </c>
      <c r="H746" s="1" t="b">
        <f t="shared" si="29"/>
        <v>0</v>
      </c>
    </row>
    <row r="747" spans="1:8" ht="21" x14ac:dyDescent="0.25">
      <c r="A747" s="2" t="str">
        <f>HYPERLINK("https://rth.dk/resources/bsgatlas/details.php?id=BSGatlas-operon-371","BSGatlas-operon-371")</f>
        <v>BSGatlas-operon-371</v>
      </c>
      <c r="B747" s="2" t="str">
        <f>HYPERLINK("https://rth.dk/resources/bsgatlas/details.php?id=BSGatlas-gene-817","BSGatlas-gene-817")</f>
        <v>BSGatlas-gene-817</v>
      </c>
      <c r="C747" s="1" t="s">
        <v>754</v>
      </c>
      <c r="D747" s="1" t="s">
        <v>8</v>
      </c>
      <c r="E747" s="3">
        <v>713664</v>
      </c>
      <c r="F747" s="3">
        <v>715406</v>
      </c>
      <c r="G747" s="1" t="s">
        <v>9</v>
      </c>
      <c r="H747" s="1" t="b">
        <f t="shared" si="29"/>
        <v>1</v>
      </c>
    </row>
    <row r="748" spans="1:8" ht="21" x14ac:dyDescent="0.25">
      <c r="A748" s="2" t="str">
        <f>HYPERLINK("https://rth.dk/resources/bsgatlas/details.php?id=BSGatlas-operon-371","BSGatlas-operon-371")</f>
        <v>BSGatlas-operon-371</v>
      </c>
      <c r="B748" s="2" t="str">
        <f>HYPERLINK("https://rth.dk/resources/bsgatlas/details.php?id=BSGatlas-gene-818","BSGatlas-gene-818")</f>
        <v>BSGatlas-gene-818</v>
      </c>
      <c r="C748" s="1" t="s">
        <v>755</v>
      </c>
      <c r="D748" s="1" t="s">
        <v>8</v>
      </c>
      <c r="E748" s="3">
        <v>715433</v>
      </c>
      <c r="F748" s="3">
        <v>716428</v>
      </c>
      <c r="G748" s="1" t="s">
        <v>9</v>
      </c>
      <c r="H748" s="1" t="b">
        <f t="shared" si="29"/>
        <v>1</v>
      </c>
    </row>
    <row r="749" spans="1:8" ht="21" x14ac:dyDescent="0.25">
      <c r="A749" s="2" t="str">
        <f>HYPERLINK("https://rth.dk/resources/bsgatlas/details.php?id=BSGatlas-operon-371","BSGatlas-operon-371")</f>
        <v>BSGatlas-operon-371</v>
      </c>
      <c r="B749" s="2" t="str">
        <f>HYPERLINK("https://rth.dk/resources/bsgatlas/details.php?id=BSGatlas-gene-819","BSGatlas-gene-819")</f>
        <v>BSGatlas-gene-819</v>
      </c>
      <c r="C749" s="1" t="s">
        <v>756</v>
      </c>
      <c r="D749" s="1" t="s">
        <v>8</v>
      </c>
      <c r="E749" s="3">
        <v>716431</v>
      </c>
      <c r="F749" s="3">
        <v>716745</v>
      </c>
      <c r="G749" s="1" t="s">
        <v>9</v>
      </c>
      <c r="H749" s="1" t="b">
        <f t="shared" si="29"/>
        <v>1</v>
      </c>
    </row>
    <row r="750" spans="1:8" ht="21" x14ac:dyDescent="0.25">
      <c r="A750" s="2" t="str">
        <f>HYPERLINK("https://rth.dk/resources/bsgatlas/details.php?id=BSGatlas-operon-372","BSGatlas-operon-372")</f>
        <v>BSGatlas-operon-372</v>
      </c>
      <c r="B750" s="2" t="str">
        <f>HYPERLINK("https://rth.dk/resources/bsgatlas/details.php?id=BSGatlas-gene-820","BSGatlas-gene-820")</f>
        <v>BSGatlas-gene-820</v>
      </c>
      <c r="C750" s="1" t="s">
        <v>757</v>
      </c>
      <c r="D750" s="1" t="s">
        <v>8</v>
      </c>
      <c r="E750" s="3">
        <v>716780</v>
      </c>
      <c r="F750" s="3">
        <v>718357</v>
      </c>
      <c r="G750" s="1" t="s">
        <v>13</v>
      </c>
      <c r="H750" s="1" t="b">
        <f t="shared" si="29"/>
        <v>0</v>
      </c>
    </row>
    <row r="751" spans="1:8" ht="21" x14ac:dyDescent="0.25">
      <c r="A751" s="2" t="str">
        <f>HYPERLINK("https://rth.dk/resources/bsgatlas/details.php?id=BSGatlas-operon-373","BSGatlas-operon-373")</f>
        <v>BSGatlas-operon-373</v>
      </c>
      <c r="B751" s="2" t="str">
        <f>HYPERLINK("https://rth.dk/resources/bsgatlas/details.php?id=BSGatlas-gene-821","BSGatlas-gene-821")</f>
        <v>BSGatlas-gene-821</v>
      </c>
      <c r="C751" s="1" t="s">
        <v>758</v>
      </c>
      <c r="D751" s="1" t="s">
        <v>8</v>
      </c>
      <c r="E751" s="3">
        <v>718622</v>
      </c>
      <c r="F751" s="3">
        <v>719308</v>
      </c>
      <c r="G751" s="1" t="s">
        <v>9</v>
      </c>
      <c r="H751" s="1" t="b">
        <f t="shared" si="29"/>
        <v>1</v>
      </c>
    </row>
    <row r="752" spans="1:8" ht="21" x14ac:dyDescent="0.25">
      <c r="A752" s="2" t="str">
        <f>HYPERLINK("https://rth.dk/resources/bsgatlas/details.php?id=BSGatlas-operon-373","BSGatlas-operon-373")</f>
        <v>BSGatlas-operon-373</v>
      </c>
      <c r="B752" s="2" t="str">
        <f>HYPERLINK("https://rth.dk/resources/bsgatlas/details.php?id=BSGatlas-gene-822","BSGatlas-gene-822")</f>
        <v>BSGatlas-gene-822</v>
      </c>
      <c r="C752" s="1" t="s">
        <v>759</v>
      </c>
      <c r="D752" s="1" t="s">
        <v>8</v>
      </c>
      <c r="E752" s="3">
        <v>719370</v>
      </c>
      <c r="F752" s="3">
        <v>721589</v>
      </c>
      <c r="G752" s="1" t="s">
        <v>9</v>
      </c>
      <c r="H752" s="1" t="b">
        <f t="shared" si="29"/>
        <v>1</v>
      </c>
    </row>
    <row r="753" spans="1:8" ht="21" x14ac:dyDescent="0.25">
      <c r="A753" s="2" t="str">
        <f>HYPERLINK("https://rth.dk/resources/bsgatlas/details.php?id=BSGatlas-operon-373","BSGatlas-operon-373")</f>
        <v>BSGatlas-operon-373</v>
      </c>
      <c r="B753" s="2" t="str">
        <f>HYPERLINK("https://rth.dk/resources/bsgatlas/details.php?id=BSGatlas-gene-823","BSGatlas-gene-823")</f>
        <v>BSGatlas-gene-823</v>
      </c>
      <c r="C753" s="1" t="s">
        <v>760</v>
      </c>
      <c r="D753" s="1" t="s">
        <v>8</v>
      </c>
      <c r="E753" s="3">
        <v>721613</v>
      </c>
      <c r="F753" s="3">
        <v>723619</v>
      </c>
      <c r="G753" s="1" t="s">
        <v>9</v>
      </c>
      <c r="H753" s="1" t="b">
        <f t="shared" si="29"/>
        <v>1</v>
      </c>
    </row>
    <row r="754" spans="1:8" ht="21" x14ac:dyDescent="0.25">
      <c r="A754" s="2" t="str">
        <f>HYPERLINK("https://rth.dk/resources/bsgatlas/details.php?id=BSGatlas-operon-373","BSGatlas-operon-373")</f>
        <v>BSGatlas-operon-373</v>
      </c>
      <c r="B754" s="2" t="str">
        <f>HYPERLINK("https://rth.dk/resources/bsgatlas/details.php?id=BSGatlas-gene-824","BSGatlas-gene-824")</f>
        <v>BSGatlas-gene-824</v>
      </c>
      <c r="C754" s="1" t="s">
        <v>761</v>
      </c>
      <c r="D754" s="1" t="s">
        <v>8</v>
      </c>
      <c r="E754" s="3">
        <v>723635</v>
      </c>
      <c r="F754" s="3">
        <v>724825</v>
      </c>
      <c r="G754" s="1" t="s">
        <v>9</v>
      </c>
      <c r="H754" s="1" t="b">
        <f t="shared" si="29"/>
        <v>1</v>
      </c>
    </row>
    <row r="755" spans="1:8" ht="21" x14ac:dyDescent="0.25">
      <c r="A755" s="2" t="str">
        <f>HYPERLINK("https://rth.dk/resources/bsgatlas/details.php?id=BSGatlas-operon-374","BSGatlas-operon-374")</f>
        <v>BSGatlas-operon-374</v>
      </c>
      <c r="B755" s="2" t="str">
        <f>HYPERLINK("https://rth.dk/resources/bsgatlas/details.php?id=BSGatlas-gene-825","BSGatlas-gene-825")</f>
        <v>BSGatlas-gene-825</v>
      </c>
      <c r="C755" s="1" t="s">
        <v>762</v>
      </c>
      <c r="D755" s="1" t="s">
        <v>8</v>
      </c>
      <c r="E755" s="3">
        <v>724987</v>
      </c>
      <c r="F755" s="3">
        <v>725997</v>
      </c>
      <c r="G755" s="1" t="s">
        <v>9</v>
      </c>
      <c r="H755" s="1" t="b">
        <f t="shared" si="29"/>
        <v>0</v>
      </c>
    </row>
    <row r="756" spans="1:8" ht="21" x14ac:dyDescent="0.25">
      <c r="A756" s="2" t="str">
        <f>HYPERLINK("https://rth.dk/resources/bsgatlas/details.php?id=BSGatlas-operon-375","BSGatlas-operon-375")</f>
        <v>BSGatlas-operon-375</v>
      </c>
      <c r="B756" s="2" t="str">
        <f>HYPERLINK("https://rth.dk/resources/bsgatlas/details.php?id=BSGatlas-gene-827","BSGatlas-gene-827")</f>
        <v>BSGatlas-gene-827</v>
      </c>
      <c r="C756" s="1" t="s">
        <v>763</v>
      </c>
      <c r="D756" s="1" t="s">
        <v>8</v>
      </c>
      <c r="E756" s="3">
        <v>726035</v>
      </c>
      <c r="F756" s="3">
        <v>726733</v>
      </c>
      <c r="G756" s="1" t="s">
        <v>13</v>
      </c>
      <c r="H756" s="1" t="b">
        <f t="shared" si="29"/>
        <v>1</v>
      </c>
    </row>
    <row r="757" spans="1:8" ht="21" x14ac:dyDescent="0.25">
      <c r="A757" s="2" t="str">
        <f>HYPERLINK("https://rth.dk/resources/bsgatlas/details.php?id=BSGatlas-operon-376","BSGatlas-operon-376")</f>
        <v>BSGatlas-operon-376</v>
      </c>
      <c r="B757" s="2" t="str">
        <f>HYPERLINK("https://rth.dk/resources/bsgatlas/details.php?id=BSGatlas-gene-828","BSGatlas-gene-828")</f>
        <v>BSGatlas-gene-828</v>
      </c>
      <c r="C757" s="1" t="s">
        <v>764</v>
      </c>
      <c r="D757" s="1" t="s">
        <v>8</v>
      </c>
      <c r="E757" s="3">
        <v>726840</v>
      </c>
      <c r="F757" s="3">
        <v>728318</v>
      </c>
      <c r="G757" s="1" t="s">
        <v>13</v>
      </c>
      <c r="H757" s="1" t="b">
        <f t="shared" si="29"/>
        <v>0</v>
      </c>
    </row>
    <row r="758" spans="1:8" ht="21" x14ac:dyDescent="0.25">
      <c r="A758" s="2" t="str">
        <f>HYPERLINK("https://rth.dk/resources/bsgatlas/details.php?id=BSGatlas-operon-377","BSGatlas-operon-377")</f>
        <v>BSGatlas-operon-377</v>
      </c>
      <c r="B758" s="2" t="str">
        <f>HYPERLINK("https://rth.dk/resources/bsgatlas/details.php?id=BSGatlas-gene-829","BSGatlas-gene-829")</f>
        <v>BSGatlas-gene-829</v>
      </c>
      <c r="C758" s="1" t="s">
        <v>765</v>
      </c>
      <c r="D758" s="1" t="s">
        <v>8</v>
      </c>
      <c r="E758" s="3">
        <v>728732</v>
      </c>
      <c r="F758" s="3">
        <v>729022</v>
      </c>
      <c r="G758" s="1" t="s">
        <v>9</v>
      </c>
      <c r="H758" s="1" t="b">
        <f t="shared" si="29"/>
        <v>1</v>
      </c>
    </row>
    <row r="759" spans="1:8" ht="21" x14ac:dyDescent="0.25">
      <c r="A759" s="2" t="str">
        <f>HYPERLINK("https://rth.dk/resources/bsgatlas/details.php?id=BSGatlas-operon-377","BSGatlas-operon-377")</f>
        <v>BSGatlas-operon-377</v>
      </c>
      <c r="B759" s="2" t="str">
        <f>HYPERLINK("https://rth.dk/resources/bsgatlas/details.php?id=BSGatlas-gene-830","BSGatlas-gene-830")</f>
        <v>BSGatlas-gene-830</v>
      </c>
      <c r="C759" s="1" t="s">
        <v>766</v>
      </c>
      <c r="D759" s="1" t="s">
        <v>8</v>
      </c>
      <c r="E759" s="3">
        <v>729038</v>
      </c>
      <c r="F759" s="3">
        <v>730495</v>
      </c>
      <c r="G759" s="1" t="s">
        <v>9</v>
      </c>
      <c r="H759" s="1" t="b">
        <f t="shared" si="29"/>
        <v>1</v>
      </c>
    </row>
    <row r="760" spans="1:8" ht="21" x14ac:dyDescent="0.25">
      <c r="A760" s="2" t="str">
        <f>HYPERLINK("https://rth.dk/resources/bsgatlas/details.php?id=BSGatlas-operon-377","BSGatlas-operon-377")</f>
        <v>BSGatlas-operon-377</v>
      </c>
      <c r="B760" s="2" t="str">
        <f>HYPERLINK("https://rth.dk/resources/bsgatlas/details.php?id=BSGatlas-gene-831","BSGatlas-gene-831")</f>
        <v>BSGatlas-gene-831</v>
      </c>
      <c r="C760" s="1" t="s">
        <v>767</v>
      </c>
      <c r="D760" s="1" t="s">
        <v>8</v>
      </c>
      <c r="E760" s="3">
        <v>730509</v>
      </c>
      <c r="F760" s="3">
        <v>731939</v>
      </c>
      <c r="G760" s="1" t="s">
        <v>9</v>
      </c>
      <c r="H760" s="1" t="b">
        <f t="shared" si="29"/>
        <v>1</v>
      </c>
    </row>
    <row r="761" spans="1:8" ht="21" x14ac:dyDescent="0.25">
      <c r="A761" s="2" t="str">
        <f>HYPERLINK("https://rth.dk/resources/bsgatlas/details.php?id=BSGatlas-operon-378","BSGatlas-operon-378")</f>
        <v>BSGatlas-operon-378</v>
      </c>
      <c r="B761" s="2" t="str">
        <f>HYPERLINK("https://rth.dk/resources/bsgatlas/details.php?id=BSGatlas-gene-832","BSGatlas-gene-832")</f>
        <v>BSGatlas-gene-832</v>
      </c>
      <c r="C761" s="1" t="s">
        <v>768</v>
      </c>
      <c r="D761" s="1" t="s">
        <v>8</v>
      </c>
      <c r="E761" s="3">
        <v>731954</v>
      </c>
      <c r="F761" s="3">
        <v>732823</v>
      </c>
      <c r="G761" s="1" t="s">
        <v>13</v>
      </c>
      <c r="H761" s="1" t="b">
        <f t="shared" si="29"/>
        <v>0</v>
      </c>
    </row>
    <row r="762" spans="1:8" ht="21" x14ac:dyDescent="0.25">
      <c r="A762" s="2" t="str">
        <f>HYPERLINK("https://rth.dk/resources/bsgatlas/details.php?id=BSGatlas-operon-379","BSGatlas-operon-379")</f>
        <v>BSGatlas-operon-379</v>
      </c>
      <c r="B762" s="2" t="str">
        <f>HYPERLINK("https://rth.dk/resources/bsgatlas/details.php?id=BSGatlas-gene-833","BSGatlas-gene-833")</f>
        <v>BSGatlas-gene-833</v>
      </c>
      <c r="C762" s="1" t="s">
        <v>769</v>
      </c>
      <c r="D762" s="1" t="s">
        <v>8</v>
      </c>
      <c r="E762" s="3">
        <v>732955</v>
      </c>
      <c r="F762" s="3">
        <v>736113</v>
      </c>
      <c r="G762" s="1" t="s">
        <v>9</v>
      </c>
      <c r="H762" s="1" t="b">
        <f t="shared" si="29"/>
        <v>1</v>
      </c>
    </row>
    <row r="763" spans="1:8" ht="21" x14ac:dyDescent="0.25">
      <c r="A763" s="2" t="str">
        <f t="shared" ref="A763:A768" si="31">HYPERLINK("https://rth.dk/resources/bsgatlas/details.php?id=BSGatlas-operon-380","BSGatlas-operon-380")</f>
        <v>BSGatlas-operon-380</v>
      </c>
      <c r="B763" s="2" t="str">
        <f>HYPERLINK("https://rth.dk/resources/bsgatlas/details.php?id=BSGatlas-gene-834","BSGatlas-gene-834")</f>
        <v>BSGatlas-gene-834</v>
      </c>
      <c r="C763" s="1" t="s">
        <v>770</v>
      </c>
      <c r="D763" s="1" t="s">
        <v>8</v>
      </c>
      <c r="E763" s="3">
        <v>736436</v>
      </c>
      <c r="F763" s="3">
        <v>737347</v>
      </c>
      <c r="G763" s="1" t="s">
        <v>9</v>
      </c>
      <c r="H763" s="1" t="b">
        <f t="shared" si="29"/>
        <v>0</v>
      </c>
    </row>
    <row r="764" spans="1:8" ht="21" x14ac:dyDescent="0.25">
      <c r="A764" s="2" t="str">
        <f t="shared" si="31"/>
        <v>BSGatlas-operon-380</v>
      </c>
      <c r="B764" s="2" t="str">
        <f>HYPERLINK("https://rth.dk/resources/bsgatlas/details.php?id=BSGatlas-gene-835","BSGatlas-gene-835")</f>
        <v>BSGatlas-gene-835</v>
      </c>
      <c r="C764" s="1" t="s">
        <v>771</v>
      </c>
      <c r="D764" s="1" t="s">
        <v>8</v>
      </c>
      <c r="E764" s="3">
        <v>737603</v>
      </c>
      <c r="F764" s="3">
        <v>738982</v>
      </c>
      <c r="G764" s="1" t="s">
        <v>9</v>
      </c>
      <c r="H764" s="1" t="b">
        <f t="shared" si="29"/>
        <v>0</v>
      </c>
    </row>
    <row r="765" spans="1:8" ht="21" x14ac:dyDescent="0.25">
      <c r="A765" s="2" t="str">
        <f t="shared" si="31"/>
        <v>BSGatlas-operon-380</v>
      </c>
      <c r="B765" s="2" t="str">
        <f>HYPERLINK("https://rth.dk/resources/bsgatlas/details.php?id=BSGatlas-gene-837","BSGatlas-gene-837")</f>
        <v>BSGatlas-gene-837</v>
      </c>
      <c r="C765" s="1" t="s">
        <v>772</v>
      </c>
      <c r="D765" s="1" t="s">
        <v>8</v>
      </c>
      <c r="E765" s="3">
        <v>739878</v>
      </c>
      <c r="F765" s="3">
        <v>740213</v>
      </c>
      <c r="G765" s="1" t="s">
        <v>9</v>
      </c>
      <c r="H765" s="1" t="b">
        <f t="shared" si="29"/>
        <v>0</v>
      </c>
    </row>
    <row r="766" spans="1:8" ht="21" x14ac:dyDescent="0.25">
      <c r="A766" s="2" t="str">
        <f t="shared" si="31"/>
        <v>BSGatlas-operon-380</v>
      </c>
      <c r="B766" s="2" t="str">
        <f>HYPERLINK("https://rth.dk/resources/bsgatlas/details.php?id=BSGatlas-gene-838","BSGatlas-gene-838")</f>
        <v>BSGatlas-gene-838</v>
      </c>
      <c r="C766" s="1" t="s">
        <v>773</v>
      </c>
      <c r="D766" s="1" t="s">
        <v>8</v>
      </c>
      <c r="E766" s="3">
        <v>740288</v>
      </c>
      <c r="F766" s="3">
        <v>742927</v>
      </c>
      <c r="G766" s="1" t="s">
        <v>9</v>
      </c>
      <c r="H766" s="1" t="b">
        <f t="shared" si="29"/>
        <v>0</v>
      </c>
    </row>
    <row r="767" spans="1:8" ht="21" x14ac:dyDescent="0.25">
      <c r="A767" s="2" t="str">
        <f t="shared" si="31"/>
        <v>BSGatlas-operon-380</v>
      </c>
      <c r="B767" s="2" t="str">
        <f>HYPERLINK("https://rth.dk/resources/bsgatlas/details.php?id=BSGatlas-gene-839","BSGatlas-gene-839")</f>
        <v>BSGatlas-gene-839</v>
      </c>
      <c r="C767" s="1" t="s">
        <v>774</v>
      </c>
      <c r="D767" s="1" t="s">
        <v>8</v>
      </c>
      <c r="E767" s="3">
        <v>742939</v>
      </c>
      <c r="F767" s="3">
        <v>744738</v>
      </c>
      <c r="G767" s="1" t="s">
        <v>9</v>
      </c>
      <c r="H767" s="1" t="b">
        <f t="shared" si="29"/>
        <v>0</v>
      </c>
    </row>
    <row r="768" spans="1:8" ht="21" x14ac:dyDescent="0.25">
      <c r="A768" s="2" t="str">
        <f t="shared" si="31"/>
        <v>BSGatlas-operon-380</v>
      </c>
      <c r="B768" s="2" t="str">
        <f>HYPERLINK("https://rth.dk/resources/bsgatlas/details.php?id=BSGatlas-gene-840","BSGatlas-gene-840")</f>
        <v>BSGatlas-gene-840</v>
      </c>
      <c r="C768" s="1" t="s">
        <v>775</v>
      </c>
      <c r="D768" s="1" t="s">
        <v>8</v>
      </c>
      <c r="E768" s="3">
        <v>744851</v>
      </c>
      <c r="F768" s="3">
        <v>745999</v>
      </c>
      <c r="G768" s="1" t="s">
        <v>9</v>
      </c>
      <c r="H768" s="1" t="b">
        <f t="shared" si="29"/>
        <v>0</v>
      </c>
    </row>
    <row r="769" spans="1:8" ht="21" x14ac:dyDescent="0.25">
      <c r="A769" s="2" t="str">
        <f>HYPERLINK("https://rth.dk/resources/bsgatlas/details.php?id=BSGatlas-operon-381","BSGatlas-operon-381")</f>
        <v>BSGatlas-operon-381</v>
      </c>
      <c r="B769" s="2" t="str">
        <f>HYPERLINK("https://rth.dk/resources/bsgatlas/details.php?id=BSGatlas-gene-836","BSGatlas-gene-836")</f>
        <v>BSGatlas-gene-836</v>
      </c>
      <c r="C769" s="1" t="s">
        <v>776</v>
      </c>
      <c r="D769" s="1" t="s">
        <v>8</v>
      </c>
      <c r="E769" s="3">
        <v>738995</v>
      </c>
      <c r="F769" s="3">
        <v>739897</v>
      </c>
      <c r="G769" s="1" t="s">
        <v>13</v>
      </c>
      <c r="H769" s="1" t="b">
        <f t="shared" si="29"/>
        <v>1</v>
      </c>
    </row>
    <row r="770" spans="1:8" ht="21" x14ac:dyDescent="0.25">
      <c r="A770" s="2" t="str">
        <f>HYPERLINK("https://rth.dk/resources/bsgatlas/details.php?id=BSGatlas-operon-382","BSGatlas-operon-382")</f>
        <v>BSGatlas-operon-382</v>
      </c>
      <c r="B770" s="2" t="str">
        <f>HYPERLINK("https://rth.dk/resources/bsgatlas/details.php?id=BSGatlas-gene-843","BSGatlas-gene-843")</f>
        <v>BSGatlas-gene-843</v>
      </c>
      <c r="C770" s="1" t="s">
        <v>777</v>
      </c>
      <c r="D770" s="1" t="s">
        <v>8</v>
      </c>
      <c r="E770" s="3">
        <v>747079</v>
      </c>
      <c r="F770" s="3">
        <v>747534</v>
      </c>
      <c r="G770" s="1" t="s">
        <v>13</v>
      </c>
      <c r="H770" s="1" t="b">
        <f t="shared" ref="H770:H833" si="32">_xlfn.XOR(A769&lt;&gt;A770,H769)</f>
        <v>0</v>
      </c>
    </row>
    <row r="771" spans="1:8" ht="21" x14ac:dyDescent="0.25">
      <c r="A771" s="2" t="str">
        <f>HYPERLINK("https://rth.dk/resources/bsgatlas/details.php?id=BSGatlas-operon-382","BSGatlas-operon-382")</f>
        <v>BSGatlas-operon-382</v>
      </c>
      <c r="B771" s="2" t="str">
        <f>HYPERLINK("https://rth.dk/resources/bsgatlas/details.php?id=BSGatlas-gene-844","BSGatlas-gene-844")</f>
        <v>BSGatlas-gene-844</v>
      </c>
      <c r="C771" s="1" t="s">
        <v>778</v>
      </c>
      <c r="D771" s="1" t="s">
        <v>8</v>
      </c>
      <c r="E771" s="3">
        <v>747554</v>
      </c>
      <c r="F771" s="3">
        <v>749563</v>
      </c>
      <c r="G771" s="1" t="s">
        <v>13</v>
      </c>
      <c r="H771" s="1" t="b">
        <f t="shared" si="32"/>
        <v>0</v>
      </c>
    </row>
    <row r="772" spans="1:8" ht="21" x14ac:dyDescent="0.25">
      <c r="A772" s="2" t="str">
        <f>HYPERLINK("https://rth.dk/resources/bsgatlas/details.php?id=BSGatlas-operon-383","BSGatlas-operon-383")</f>
        <v>BSGatlas-operon-383</v>
      </c>
      <c r="B772" s="2" t="str">
        <f>HYPERLINK("https://rth.dk/resources/bsgatlas/details.php?id=BSGatlas-gene-846","BSGatlas-gene-846")</f>
        <v>BSGatlas-gene-846</v>
      </c>
      <c r="C772" s="1" t="s">
        <v>779</v>
      </c>
      <c r="D772" s="1" t="s">
        <v>8</v>
      </c>
      <c r="E772" s="3">
        <v>750959</v>
      </c>
      <c r="F772" s="3">
        <v>752089</v>
      </c>
      <c r="G772" s="1" t="s">
        <v>9</v>
      </c>
      <c r="H772" s="1" t="b">
        <f t="shared" si="32"/>
        <v>1</v>
      </c>
    </row>
    <row r="773" spans="1:8" ht="21" x14ac:dyDescent="0.25">
      <c r="A773" s="2" t="str">
        <f>HYPERLINK("https://rth.dk/resources/bsgatlas/details.php?id=BSGatlas-operon-383","BSGatlas-operon-383")</f>
        <v>BSGatlas-operon-383</v>
      </c>
      <c r="B773" s="2" t="str">
        <f>HYPERLINK("https://rth.dk/resources/bsgatlas/details.php?id=BSGatlas-gene-847","BSGatlas-gene-847")</f>
        <v>BSGatlas-gene-847</v>
      </c>
      <c r="C773" s="1" t="s">
        <v>780</v>
      </c>
      <c r="D773" s="1" t="s">
        <v>8</v>
      </c>
      <c r="E773" s="3">
        <v>752079</v>
      </c>
      <c r="F773" s="3">
        <v>752252</v>
      </c>
      <c r="G773" s="1" t="s">
        <v>9</v>
      </c>
      <c r="H773" s="1" t="b">
        <f t="shared" si="32"/>
        <v>1</v>
      </c>
    </row>
    <row r="774" spans="1:8" ht="21" x14ac:dyDescent="0.25">
      <c r="A774" s="2" t="str">
        <f>HYPERLINK("https://rth.dk/resources/bsgatlas/details.php?id=BSGatlas-operon-384","BSGatlas-operon-384")</f>
        <v>BSGatlas-operon-384</v>
      </c>
      <c r="B774" s="2" t="str">
        <f>HYPERLINK("https://rth.dk/resources/bsgatlas/details.php?id=BSGatlas-gene-848","BSGatlas-gene-848")</f>
        <v>BSGatlas-gene-848</v>
      </c>
      <c r="C774" s="1" t="s">
        <v>781</v>
      </c>
      <c r="D774" s="1" t="s">
        <v>8</v>
      </c>
      <c r="E774" s="3">
        <v>752412</v>
      </c>
      <c r="F774" s="3">
        <v>753131</v>
      </c>
      <c r="G774" s="1" t="s">
        <v>9</v>
      </c>
      <c r="H774" s="1" t="b">
        <f t="shared" si="32"/>
        <v>0</v>
      </c>
    </row>
    <row r="775" spans="1:8" ht="21" x14ac:dyDescent="0.25">
      <c r="A775" s="2" t="str">
        <f>HYPERLINK("https://rth.dk/resources/bsgatlas/details.php?id=BSGatlas-operon-385","BSGatlas-operon-385")</f>
        <v>BSGatlas-operon-385</v>
      </c>
      <c r="B775" s="2" t="str">
        <f>HYPERLINK("https://rth.dk/resources/bsgatlas/details.php?id=BSGatlas-gene-849","BSGatlas-gene-849")</f>
        <v>BSGatlas-gene-849</v>
      </c>
      <c r="C775" s="1" t="s">
        <v>782</v>
      </c>
      <c r="D775" s="1" t="s">
        <v>8</v>
      </c>
      <c r="E775" s="3">
        <v>753265</v>
      </c>
      <c r="F775" s="3">
        <v>753702</v>
      </c>
      <c r="G775" s="1" t="s">
        <v>9</v>
      </c>
      <c r="H775" s="1" t="b">
        <f t="shared" si="32"/>
        <v>1</v>
      </c>
    </row>
    <row r="776" spans="1:8" ht="21" x14ac:dyDescent="0.25">
      <c r="A776" s="2" t="str">
        <f>HYPERLINK("https://rth.dk/resources/bsgatlas/details.php?id=BSGatlas-operon-386","BSGatlas-operon-386")</f>
        <v>BSGatlas-operon-386</v>
      </c>
      <c r="B776" s="2" t="str">
        <f>HYPERLINK("https://rth.dk/resources/bsgatlas/details.php?id=BSGatlas-gene-850","BSGatlas-gene-850")</f>
        <v>BSGatlas-gene-850</v>
      </c>
      <c r="C776" s="1" t="s">
        <v>783</v>
      </c>
      <c r="D776" s="1" t="s">
        <v>8</v>
      </c>
      <c r="E776" s="3">
        <v>753817</v>
      </c>
      <c r="F776" s="3">
        <v>754401</v>
      </c>
      <c r="G776" s="1" t="s">
        <v>9</v>
      </c>
      <c r="H776" s="1" t="b">
        <f t="shared" si="32"/>
        <v>0</v>
      </c>
    </row>
    <row r="777" spans="1:8" ht="21" x14ac:dyDescent="0.25">
      <c r="A777" s="2" t="str">
        <f>HYPERLINK("https://rth.dk/resources/bsgatlas/details.php?id=BSGatlas-operon-387","BSGatlas-operon-387")</f>
        <v>BSGatlas-operon-387</v>
      </c>
      <c r="B777" s="2" t="str">
        <f>HYPERLINK("https://rth.dk/resources/bsgatlas/details.php?id=BSGatlas-gene-851","BSGatlas-gene-851")</f>
        <v>BSGatlas-gene-851</v>
      </c>
      <c r="C777" s="1" t="s">
        <v>784</v>
      </c>
      <c r="D777" s="1" t="s">
        <v>8</v>
      </c>
      <c r="E777" s="3">
        <v>754480</v>
      </c>
      <c r="F777" s="3">
        <v>754923</v>
      </c>
      <c r="G777" s="1" t="s">
        <v>9</v>
      </c>
      <c r="H777" s="1" t="b">
        <f t="shared" si="32"/>
        <v>1</v>
      </c>
    </row>
    <row r="778" spans="1:8" ht="21" x14ac:dyDescent="0.25">
      <c r="A778" s="2" t="str">
        <f>HYPERLINK("https://rth.dk/resources/bsgatlas/details.php?id=BSGatlas-operon-387","BSGatlas-operon-387")</f>
        <v>BSGatlas-operon-387</v>
      </c>
      <c r="B778" s="2" t="str">
        <f>HYPERLINK("https://rth.dk/resources/bsgatlas/details.php?id=BSGatlas-gene-852","BSGatlas-gene-852")</f>
        <v>BSGatlas-gene-852</v>
      </c>
      <c r="C778" s="1" t="s">
        <v>785</v>
      </c>
      <c r="D778" s="1" t="s">
        <v>8</v>
      </c>
      <c r="E778" s="3">
        <v>754920</v>
      </c>
      <c r="F778" s="3">
        <v>755780</v>
      </c>
      <c r="G778" s="1" t="s">
        <v>9</v>
      </c>
      <c r="H778" s="1" t="b">
        <f t="shared" si="32"/>
        <v>1</v>
      </c>
    </row>
    <row r="779" spans="1:8" ht="21" x14ac:dyDescent="0.25">
      <c r="A779" s="2" t="str">
        <f>HYPERLINK("https://rth.dk/resources/bsgatlas/details.php?id=BSGatlas-operon-388","BSGatlas-operon-388")</f>
        <v>BSGatlas-operon-388</v>
      </c>
      <c r="B779" s="2" t="str">
        <f>HYPERLINK("https://rth.dk/resources/bsgatlas/details.php?id=BSGatlas-gene-853","BSGatlas-gene-853")</f>
        <v>BSGatlas-gene-853</v>
      </c>
      <c r="C779" s="1" t="s">
        <v>786</v>
      </c>
      <c r="D779" s="1" t="s">
        <v>8</v>
      </c>
      <c r="E779" s="3">
        <v>755907</v>
      </c>
      <c r="F779" s="3">
        <v>756155</v>
      </c>
      <c r="G779" s="1" t="s">
        <v>9</v>
      </c>
      <c r="H779" s="1" t="b">
        <f t="shared" si="32"/>
        <v>0</v>
      </c>
    </row>
    <row r="780" spans="1:8" ht="21" x14ac:dyDescent="0.25">
      <c r="A780" s="2" t="str">
        <f>HYPERLINK("https://rth.dk/resources/bsgatlas/details.php?id=BSGatlas-operon-388","BSGatlas-operon-388")</f>
        <v>BSGatlas-operon-388</v>
      </c>
      <c r="B780" s="2" t="str">
        <f>HYPERLINK("https://rth.dk/resources/bsgatlas/details.php?id=BSGatlas-gene-854","BSGatlas-gene-854")</f>
        <v>BSGatlas-gene-854</v>
      </c>
      <c r="C780" s="1" t="s">
        <v>787</v>
      </c>
      <c r="D780" s="1" t="s">
        <v>8</v>
      </c>
      <c r="E780" s="3">
        <v>756139</v>
      </c>
      <c r="F780" s="3">
        <v>756402</v>
      </c>
      <c r="G780" s="1" t="s">
        <v>9</v>
      </c>
      <c r="H780" s="1" t="b">
        <f t="shared" si="32"/>
        <v>0</v>
      </c>
    </row>
    <row r="781" spans="1:8" ht="21" x14ac:dyDescent="0.25">
      <c r="A781" s="2" t="str">
        <f>HYPERLINK("https://rth.dk/resources/bsgatlas/details.php?id=BSGatlas-operon-388","BSGatlas-operon-388")</f>
        <v>BSGatlas-operon-388</v>
      </c>
      <c r="B781" s="2" t="str">
        <f>HYPERLINK("https://rth.dk/resources/bsgatlas/details.php?id=BSGatlas-gene-855","BSGatlas-gene-855")</f>
        <v>BSGatlas-gene-855</v>
      </c>
      <c r="C781" s="1" t="s">
        <v>788</v>
      </c>
      <c r="D781" s="1" t="s">
        <v>8</v>
      </c>
      <c r="E781" s="3">
        <v>756417</v>
      </c>
      <c r="F781" s="3">
        <v>756986</v>
      </c>
      <c r="G781" s="1" t="s">
        <v>9</v>
      </c>
      <c r="H781" s="1" t="b">
        <f t="shared" si="32"/>
        <v>0</v>
      </c>
    </row>
    <row r="782" spans="1:8" ht="21" x14ac:dyDescent="0.25">
      <c r="A782" s="2" t="str">
        <f>HYPERLINK("https://rth.dk/resources/bsgatlas/details.php?id=BSGatlas-operon-388","BSGatlas-operon-388")</f>
        <v>BSGatlas-operon-388</v>
      </c>
      <c r="B782" s="2" t="str">
        <f>HYPERLINK("https://rth.dk/resources/bsgatlas/details.php?id=BSGatlas-gene-856","BSGatlas-gene-856")</f>
        <v>BSGatlas-gene-856</v>
      </c>
      <c r="C782" s="1" t="s">
        <v>789</v>
      </c>
      <c r="D782" s="1" t="s">
        <v>8</v>
      </c>
      <c r="E782" s="3">
        <v>757111</v>
      </c>
      <c r="F782" s="3">
        <v>757653</v>
      </c>
      <c r="G782" s="1" t="s">
        <v>9</v>
      </c>
      <c r="H782" s="1" t="b">
        <f t="shared" si="32"/>
        <v>0</v>
      </c>
    </row>
    <row r="783" spans="1:8" ht="21" x14ac:dyDescent="0.25">
      <c r="A783" s="2" t="str">
        <f>HYPERLINK("https://rth.dk/resources/bsgatlas/details.php?id=BSGatlas-operon-388","BSGatlas-operon-388")</f>
        <v>BSGatlas-operon-388</v>
      </c>
      <c r="B783" s="2" t="str">
        <f>HYPERLINK("https://rth.dk/resources/bsgatlas/details.php?id=BSGatlas-gene-857","BSGatlas-gene-857")</f>
        <v>BSGatlas-gene-857</v>
      </c>
      <c r="C783" s="1" t="s">
        <v>790</v>
      </c>
      <c r="D783" s="1" t="s">
        <v>8</v>
      </c>
      <c r="E783" s="3">
        <v>757676</v>
      </c>
      <c r="F783" s="3">
        <v>757978</v>
      </c>
      <c r="G783" s="1" t="s">
        <v>9</v>
      </c>
      <c r="H783" s="1" t="b">
        <f t="shared" si="32"/>
        <v>0</v>
      </c>
    </row>
    <row r="784" spans="1:8" ht="21" x14ac:dyDescent="0.25">
      <c r="A784" s="2" t="str">
        <f>HYPERLINK("https://rth.dk/resources/bsgatlas/details.php?id=BSGatlas-operon-389","BSGatlas-operon-389")</f>
        <v>BSGatlas-operon-389</v>
      </c>
      <c r="B784" s="2" t="str">
        <f>HYPERLINK("https://rth.dk/resources/bsgatlas/details.php?id=BSGatlas-gene-858","BSGatlas-gene-858")</f>
        <v>BSGatlas-gene-858</v>
      </c>
      <c r="C784" s="1" t="s">
        <v>791</v>
      </c>
      <c r="D784" s="1" t="s">
        <v>8</v>
      </c>
      <c r="E784" s="3">
        <v>758093</v>
      </c>
      <c r="F784" s="3">
        <v>758722</v>
      </c>
      <c r="G784" s="1" t="s">
        <v>9</v>
      </c>
      <c r="H784" s="1" t="b">
        <f t="shared" si="32"/>
        <v>1</v>
      </c>
    </row>
    <row r="785" spans="1:8" ht="21" x14ac:dyDescent="0.25">
      <c r="A785" s="2" t="str">
        <f>HYPERLINK("https://rth.dk/resources/bsgatlas/details.php?id=BSGatlas-operon-389","BSGatlas-operon-389")</f>
        <v>BSGatlas-operon-389</v>
      </c>
      <c r="B785" s="2" t="str">
        <f>HYPERLINK("https://rth.dk/resources/bsgatlas/details.php?id=BSGatlas-gene-859","BSGatlas-gene-859")</f>
        <v>BSGatlas-gene-859</v>
      </c>
      <c r="C785" s="1" t="s">
        <v>792</v>
      </c>
      <c r="D785" s="1" t="s">
        <v>8</v>
      </c>
      <c r="E785" s="3">
        <v>758719</v>
      </c>
      <c r="F785" s="3">
        <v>760452</v>
      </c>
      <c r="G785" s="1" t="s">
        <v>9</v>
      </c>
      <c r="H785" s="1" t="b">
        <f t="shared" si="32"/>
        <v>1</v>
      </c>
    </row>
    <row r="786" spans="1:8" ht="21" x14ac:dyDescent="0.25">
      <c r="A786" s="2" t="str">
        <f>HYPERLINK("https://rth.dk/resources/bsgatlas/details.php?id=BSGatlas-operon-389","BSGatlas-operon-389")</f>
        <v>BSGatlas-operon-389</v>
      </c>
      <c r="B786" s="2" t="str">
        <f>HYPERLINK("https://rth.dk/resources/bsgatlas/details.php?id=BSGatlas-gene-860","BSGatlas-gene-860")</f>
        <v>BSGatlas-gene-860</v>
      </c>
      <c r="C786" s="1" t="s">
        <v>793</v>
      </c>
      <c r="D786" s="1" t="s">
        <v>8</v>
      </c>
      <c r="E786" s="3">
        <v>760452</v>
      </c>
      <c r="F786" s="3">
        <v>761558</v>
      </c>
      <c r="G786" s="1" t="s">
        <v>9</v>
      </c>
      <c r="H786" s="1" t="b">
        <f t="shared" si="32"/>
        <v>1</v>
      </c>
    </row>
    <row r="787" spans="1:8" ht="21" x14ac:dyDescent="0.25">
      <c r="A787" s="2" t="str">
        <f>HYPERLINK("https://rth.dk/resources/bsgatlas/details.php?id=BSGatlas-operon-390","BSGatlas-operon-390")</f>
        <v>BSGatlas-operon-390</v>
      </c>
      <c r="B787" s="2" t="str">
        <f>HYPERLINK("https://rth.dk/resources/bsgatlas/details.php?id=BSGatlas-gene-861","BSGatlas-gene-861")</f>
        <v>BSGatlas-gene-861</v>
      </c>
      <c r="C787" s="1" t="s">
        <v>794</v>
      </c>
      <c r="D787" s="1" t="s">
        <v>8</v>
      </c>
      <c r="E787" s="3">
        <v>761662</v>
      </c>
      <c r="F787" s="3">
        <v>762945</v>
      </c>
      <c r="G787" s="1" t="s">
        <v>9</v>
      </c>
      <c r="H787" s="1" t="b">
        <f t="shared" si="32"/>
        <v>0</v>
      </c>
    </row>
    <row r="788" spans="1:8" ht="21" x14ac:dyDescent="0.25">
      <c r="A788" s="2" t="str">
        <f t="shared" ref="A788:A795" si="33">HYPERLINK("https://rth.dk/resources/bsgatlas/details.php?id=BSGatlas-operon-391","BSGatlas-operon-391")</f>
        <v>BSGatlas-operon-391</v>
      </c>
      <c r="B788" s="2" t="str">
        <f>HYPERLINK("https://rth.dk/resources/bsgatlas/details.php?id=BSGatlas-gene-865","BSGatlas-gene-865")</f>
        <v>BSGatlas-gene-865</v>
      </c>
      <c r="C788" s="1" t="s">
        <v>795</v>
      </c>
      <c r="D788" s="1" t="s">
        <v>8</v>
      </c>
      <c r="E788" s="3">
        <v>765838</v>
      </c>
      <c r="F788" s="3">
        <v>768123</v>
      </c>
      <c r="G788" s="1" t="s">
        <v>9</v>
      </c>
      <c r="H788" s="1" t="b">
        <f t="shared" si="32"/>
        <v>1</v>
      </c>
    </row>
    <row r="789" spans="1:8" ht="21" x14ac:dyDescent="0.25">
      <c r="A789" s="2" t="str">
        <f t="shared" si="33"/>
        <v>BSGatlas-operon-391</v>
      </c>
      <c r="B789" s="2" t="str">
        <f>HYPERLINK("https://rth.dk/resources/bsgatlas/details.php?id=BSGatlas-gene-866","BSGatlas-gene-866")</f>
        <v>BSGatlas-gene-866</v>
      </c>
      <c r="C789" s="1" t="s">
        <v>796</v>
      </c>
      <c r="D789" s="1" t="s">
        <v>8</v>
      </c>
      <c r="E789" s="3">
        <v>768137</v>
      </c>
      <c r="F789" s="3">
        <v>768835</v>
      </c>
      <c r="G789" s="1" t="s">
        <v>9</v>
      </c>
      <c r="H789" s="1" t="b">
        <f t="shared" si="32"/>
        <v>1</v>
      </c>
    </row>
    <row r="790" spans="1:8" ht="21" x14ac:dyDescent="0.25">
      <c r="A790" s="2" t="str">
        <f t="shared" si="33"/>
        <v>BSGatlas-operon-391</v>
      </c>
      <c r="B790" s="2" t="str">
        <f>HYPERLINK("https://rth.dk/resources/bsgatlas/details.php?id=BSGatlas-gene-867","BSGatlas-gene-867")</f>
        <v>BSGatlas-gene-867</v>
      </c>
      <c r="C790" s="1" t="s">
        <v>797</v>
      </c>
      <c r="D790" s="1" t="s">
        <v>8</v>
      </c>
      <c r="E790" s="3">
        <v>768828</v>
      </c>
      <c r="F790" s="3">
        <v>769490</v>
      </c>
      <c r="G790" s="1" t="s">
        <v>9</v>
      </c>
      <c r="H790" s="1" t="b">
        <f t="shared" si="32"/>
        <v>1</v>
      </c>
    </row>
    <row r="791" spans="1:8" ht="21" x14ac:dyDescent="0.25">
      <c r="A791" s="2" t="str">
        <f t="shared" si="33"/>
        <v>BSGatlas-operon-391</v>
      </c>
      <c r="B791" s="2" t="str">
        <f>HYPERLINK("https://rth.dk/resources/bsgatlas/details.php?id=BSGatlas-gene-868","BSGatlas-gene-868")</f>
        <v>BSGatlas-gene-868</v>
      </c>
      <c r="C791" s="1" t="s">
        <v>798</v>
      </c>
      <c r="D791" s="1" t="s">
        <v>8</v>
      </c>
      <c r="E791" s="3">
        <v>769487</v>
      </c>
      <c r="F791" s="3">
        <v>770113</v>
      </c>
      <c r="G791" s="1" t="s">
        <v>9</v>
      </c>
      <c r="H791" s="1" t="b">
        <f t="shared" si="32"/>
        <v>1</v>
      </c>
    </row>
    <row r="792" spans="1:8" ht="21" x14ac:dyDescent="0.25">
      <c r="A792" s="2" t="str">
        <f t="shared" si="33"/>
        <v>BSGatlas-operon-391</v>
      </c>
      <c r="B792" s="2" t="str">
        <f>HYPERLINK("https://rth.dk/resources/bsgatlas/details.php?id=BSGatlas-gene-869","BSGatlas-gene-869")</f>
        <v>BSGatlas-gene-869</v>
      </c>
      <c r="C792" s="1" t="s">
        <v>799</v>
      </c>
      <c r="D792" s="1" t="s">
        <v>8</v>
      </c>
      <c r="E792" s="3">
        <v>770234</v>
      </c>
      <c r="F792" s="3">
        <v>772096</v>
      </c>
      <c r="G792" s="1" t="s">
        <v>9</v>
      </c>
      <c r="H792" s="1" t="b">
        <f t="shared" si="32"/>
        <v>1</v>
      </c>
    </row>
    <row r="793" spans="1:8" ht="21" x14ac:dyDescent="0.25">
      <c r="A793" s="2" t="str">
        <f t="shared" si="33"/>
        <v>BSGatlas-operon-391</v>
      </c>
      <c r="B793" s="2" t="str">
        <f>HYPERLINK("https://rth.dk/resources/bsgatlas/details.php?id=BSGatlas-gene-870","BSGatlas-gene-870")</f>
        <v>BSGatlas-gene-870</v>
      </c>
      <c r="C793" s="1" t="s">
        <v>800</v>
      </c>
      <c r="D793" s="1" t="s">
        <v>8</v>
      </c>
      <c r="E793" s="3">
        <v>772142</v>
      </c>
      <c r="F793" s="3">
        <v>773980</v>
      </c>
      <c r="G793" s="1" t="s">
        <v>9</v>
      </c>
      <c r="H793" s="1" t="b">
        <f t="shared" si="32"/>
        <v>1</v>
      </c>
    </row>
    <row r="794" spans="1:8" ht="21" x14ac:dyDescent="0.25">
      <c r="A794" s="2" t="str">
        <f t="shared" si="33"/>
        <v>BSGatlas-operon-391</v>
      </c>
      <c r="B794" s="2" t="str">
        <f>HYPERLINK("https://rth.dk/resources/bsgatlas/details.php?id=BSGatlas-gene-871","BSGatlas-gene-871")</f>
        <v>BSGatlas-gene-871</v>
      </c>
      <c r="C794" s="1" t="s">
        <v>801</v>
      </c>
      <c r="D794" s="1" t="s">
        <v>8</v>
      </c>
      <c r="E794" s="3">
        <v>774138</v>
      </c>
      <c r="F794" s="3">
        <v>774791</v>
      </c>
      <c r="G794" s="1" t="s">
        <v>9</v>
      </c>
      <c r="H794" s="1" t="b">
        <f t="shared" si="32"/>
        <v>1</v>
      </c>
    </row>
    <row r="795" spans="1:8" ht="21" x14ac:dyDescent="0.25">
      <c r="A795" s="2" t="str">
        <f t="shared" si="33"/>
        <v>BSGatlas-operon-391</v>
      </c>
      <c r="B795" s="2" t="str">
        <f>HYPERLINK("https://rth.dk/resources/bsgatlas/details.php?id=BSGatlas-gene-872","BSGatlas-gene-872")</f>
        <v>BSGatlas-gene-872</v>
      </c>
      <c r="C795" s="1" t="s">
        <v>802</v>
      </c>
      <c r="D795" s="1" t="s">
        <v>8</v>
      </c>
      <c r="E795" s="3">
        <v>774799</v>
      </c>
      <c r="F795" s="3">
        <v>776790</v>
      </c>
      <c r="G795" s="1" t="s">
        <v>9</v>
      </c>
      <c r="H795" s="1" t="b">
        <f t="shared" si="32"/>
        <v>1</v>
      </c>
    </row>
    <row r="796" spans="1:8" ht="21" x14ac:dyDescent="0.25">
      <c r="A796" s="2" t="str">
        <f>HYPERLINK("https://rth.dk/resources/bsgatlas/details.php?id=BSGatlas-operon-392","BSGatlas-operon-392")</f>
        <v>BSGatlas-operon-392</v>
      </c>
      <c r="B796" s="2" t="str">
        <f>HYPERLINK("https://rth.dk/resources/bsgatlas/details.php?id=BSGatlas-gene-877","BSGatlas-gene-877")</f>
        <v>BSGatlas-gene-877</v>
      </c>
      <c r="C796" s="1" t="s">
        <v>803</v>
      </c>
      <c r="D796" s="1" t="s">
        <v>8</v>
      </c>
      <c r="E796" s="3">
        <v>782958</v>
      </c>
      <c r="F796" s="3">
        <v>784298</v>
      </c>
      <c r="G796" s="1" t="s">
        <v>9</v>
      </c>
      <c r="H796" s="1" t="b">
        <f t="shared" si="32"/>
        <v>0</v>
      </c>
    </row>
    <row r="797" spans="1:8" ht="21" x14ac:dyDescent="0.25">
      <c r="A797" s="2" t="str">
        <f>HYPERLINK("https://rth.dk/resources/bsgatlas/details.php?id=BSGatlas-operon-392","BSGatlas-operon-392")</f>
        <v>BSGatlas-operon-392</v>
      </c>
      <c r="B797" s="2" t="str">
        <f>HYPERLINK("https://rth.dk/resources/bsgatlas/details.php?id=BSGatlas-gene-878","BSGatlas-gene-878")</f>
        <v>BSGatlas-gene-878</v>
      </c>
      <c r="C797" s="1" t="s">
        <v>804</v>
      </c>
      <c r="D797" s="1" t="s">
        <v>8</v>
      </c>
      <c r="E797" s="3">
        <v>784381</v>
      </c>
      <c r="F797" s="3">
        <v>785076</v>
      </c>
      <c r="G797" s="1" t="s">
        <v>9</v>
      </c>
      <c r="H797" s="1" t="b">
        <f t="shared" si="32"/>
        <v>0</v>
      </c>
    </row>
    <row r="798" spans="1:8" ht="21" x14ac:dyDescent="0.25">
      <c r="A798" s="2" t="str">
        <f>HYPERLINK("https://rth.dk/resources/bsgatlas/details.php?id=BSGatlas-operon-393","BSGatlas-operon-393")</f>
        <v>BSGatlas-operon-393</v>
      </c>
      <c r="B798" s="2" t="str">
        <f>HYPERLINK("https://rth.dk/resources/bsgatlas/details.php?id=BSGatlas-gene-879","BSGatlas-gene-879")</f>
        <v>BSGatlas-gene-879</v>
      </c>
      <c r="C798" s="1" t="s">
        <v>805</v>
      </c>
      <c r="D798" s="1" t="s">
        <v>8</v>
      </c>
      <c r="E798" s="3">
        <v>785113</v>
      </c>
      <c r="F798" s="3">
        <v>785439</v>
      </c>
      <c r="G798" s="1" t="s">
        <v>13</v>
      </c>
      <c r="H798" s="1" t="b">
        <f t="shared" si="32"/>
        <v>1</v>
      </c>
    </row>
    <row r="799" spans="1:8" ht="21" x14ac:dyDescent="0.25">
      <c r="A799" s="2" t="str">
        <f>HYPERLINK("https://rth.dk/resources/bsgatlas/details.php?id=BSGatlas-operon-394","BSGatlas-operon-394")</f>
        <v>BSGatlas-operon-394</v>
      </c>
      <c r="B799" s="2" t="str">
        <f>HYPERLINK("https://rth.dk/resources/bsgatlas/details.php?id=BSGatlas-gene-880","BSGatlas-gene-880")</f>
        <v>BSGatlas-gene-880</v>
      </c>
      <c r="C799" s="1" t="s">
        <v>806</v>
      </c>
      <c r="D799" s="1" t="s">
        <v>8</v>
      </c>
      <c r="E799" s="3">
        <v>785543</v>
      </c>
      <c r="F799" s="3">
        <v>785905</v>
      </c>
      <c r="G799" s="1" t="s">
        <v>13</v>
      </c>
      <c r="H799" s="1" t="b">
        <f t="shared" si="32"/>
        <v>0</v>
      </c>
    </row>
    <row r="800" spans="1:8" ht="21" x14ac:dyDescent="0.25">
      <c r="A800" s="2" t="str">
        <f>HYPERLINK("https://rth.dk/resources/bsgatlas/details.php?id=BSGatlas-operon-395","BSGatlas-operon-395")</f>
        <v>BSGatlas-operon-395</v>
      </c>
      <c r="B800" s="2" t="str">
        <f>HYPERLINK("https://rth.dk/resources/bsgatlas/details.php?id=BSGatlas-gene-881","BSGatlas-gene-881")</f>
        <v>BSGatlas-gene-881</v>
      </c>
      <c r="C800" s="1" t="s">
        <v>807</v>
      </c>
      <c r="D800" s="1" t="s">
        <v>12</v>
      </c>
      <c r="E800" s="3">
        <v>785976</v>
      </c>
      <c r="F800" s="3">
        <v>786536</v>
      </c>
      <c r="G800" s="1" t="s">
        <v>13</v>
      </c>
      <c r="H800" s="1" t="b">
        <f t="shared" si="32"/>
        <v>1</v>
      </c>
    </row>
    <row r="801" spans="1:8" ht="21" x14ac:dyDescent="0.25">
      <c r="A801" s="2" t="str">
        <f>HYPERLINK("https://rth.dk/resources/bsgatlas/details.php?id=BSGatlas-operon-396","BSGatlas-operon-396")</f>
        <v>BSGatlas-operon-396</v>
      </c>
      <c r="B801" s="2" t="str">
        <f>HYPERLINK("https://rth.dk/resources/bsgatlas/details.php?id=BSGatlas-gene-882","BSGatlas-gene-882")</f>
        <v>BSGatlas-gene-882</v>
      </c>
      <c r="C801" s="1" t="s">
        <v>808</v>
      </c>
      <c r="D801" s="1" t="s">
        <v>276</v>
      </c>
      <c r="E801" s="3">
        <v>786689</v>
      </c>
      <c r="F801" s="3">
        <v>787264</v>
      </c>
      <c r="G801" s="1" t="s">
        <v>9</v>
      </c>
      <c r="H801" s="1" t="b">
        <f t="shared" si="32"/>
        <v>0</v>
      </c>
    </row>
    <row r="802" spans="1:8" ht="21" x14ac:dyDescent="0.25">
      <c r="A802" s="2" t="str">
        <f>HYPERLINK("https://rth.dk/resources/bsgatlas/details.php?id=BSGatlas-operon-396","BSGatlas-operon-396")</f>
        <v>BSGatlas-operon-396</v>
      </c>
      <c r="B802" s="2" t="str">
        <f>HYPERLINK("https://rth.dk/resources/bsgatlas/details.php?id=BSGatlas-gene-883","BSGatlas-gene-883")</f>
        <v>BSGatlas-gene-883</v>
      </c>
      <c r="C802" s="1" t="s">
        <v>808</v>
      </c>
      <c r="D802" s="1" t="s">
        <v>276</v>
      </c>
      <c r="E802" s="3">
        <v>787264</v>
      </c>
      <c r="F802" s="3">
        <v>787560</v>
      </c>
      <c r="G802" s="1" t="s">
        <v>9</v>
      </c>
      <c r="H802" s="1" t="b">
        <f t="shared" si="32"/>
        <v>0</v>
      </c>
    </row>
    <row r="803" spans="1:8" ht="21" x14ac:dyDescent="0.25">
      <c r="A803" s="2" t="str">
        <f>HYPERLINK("https://rth.dk/resources/bsgatlas/details.php?id=BSGatlas-operon-397","BSGatlas-operon-397")</f>
        <v>BSGatlas-operon-397</v>
      </c>
      <c r="B803" s="2" t="str">
        <f>HYPERLINK("https://rth.dk/resources/bsgatlas/details.php?id=BSGatlas-gene-884","BSGatlas-gene-884")</f>
        <v>BSGatlas-gene-884</v>
      </c>
      <c r="C803" s="1" t="s">
        <v>809</v>
      </c>
      <c r="D803" s="1" t="s">
        <v>8</v>
      </c>
      <c r="E803" s="3">
        <v>787715</v>
      </c>
      <c r="F803" s="3">
        <v>787882</v>
      </c>
      <c r="G803" s="1" t="s">
        <v>9</v>
      </c>
      <c r="H803" s="1" t="b">
        <f t="shared" si="32"/>
        <v>1</v>
      </c>
    </row>
    <row r="804" spans="1:8" ht="21" x14ac:dyDescent="0.25">
      <c r="A804" s="2" t="str">
        <f>HYPERLINK("https://rth.dk/resources/bsgatlas/details.php?id=BSGatlas-operon-397","BSGatlas-operon-397")</f>
        <v>BSGatlas-operon-397</v>
      </c>
      <c r="B804" s="2" t="str">
        <f>HYPERLINK("https://rth.dk/resources/bsgatlas/details.php?id=BSGatlas-gene-885","BSGatlas-gene-885")</f>
        <v>BSGatlas-gene-885</v>
      </c>
      <c r="C804" s="1" t="s">
        <v>810</v>
      </c>
      <c r="D804" s="1" t="s">
        <v>8</v>
      </c>
      <c r="E804" s="3">
        <v>787992</v>
      </c>
      <c r="F804" s="3">
        <v>788636</v>
      </c>
      <c r="G804" s="1" t="s">
        <v>9</v>
      </c>
      <c r="H804" s="1" t="b">
        <f t="shared" si="32"/>
        <v>1</v>
      </c>
    </row>
    <row r="805" spans="1:8" ht="21" x14ac:dyDescent="0.25">
      <c r="A805" s="2" t="str">
        <f>HYPERLINK("https://rth.dk/resources/bsgatlas/details.php?id=BSGatlas-operon-397","BSGatlas-operon-397")</f>
        <v>BSGatlas-operon-397</v>
      </c>
      <c r="B805" s="2" t="str">
        <f>HYPERLINK("https://rth.dk/resources/bsgatlas/details.php?id=BSGatlas-gene-886","BSGatlas-gene-886")</f>
        <v>BSGatlas-gene-886</v>
      </c>
      <c r="C805" s="1" t="s">
        <v>811</v>
      </c>
      <c r="D805" s="1" t="s">
        <v>8</v>
      </c>
      <c r="E805" s="3">
        <v>788636</v>
      </c>
      <c r="F805" s="3">
        <v>789628</v>
      </c>
      <c r="G805" s="1" t="s">
        <v>9</v>
      </c>
      <c r="H805" s="1" t="b">
        <f t="shared" si="32"/>
        <v>1</v>
      </c>
    </row>
    <row r="806" spans="1:8" ht="21" x14ac:dyDescent="0.25">
      <c r="A806" s="2" t="str">
        <f>HYPERLINK("https://rth.dk/resources/bsgatlas/details.php?id=BSGatlas-operon-398","BSGatlas-operon-398")</f>
        <v>BSGatlas-operon-398</v>
      </c>
      <c r="B806" s="2" t="str">
        <f>HYPERLINK("https://rth.dk/resources/bsgatlas/details.php?id=BSGatlas-gene-887","BSGatlas-gene-887")</f>
        <v>BSGatlas-gene-887</v>
      </c>
      <c r="C806" s="1" t="s">
        <v>812</v>
      </c>
      <c r="D806" s="1" t="s">
        <v>8</v>
      </c>
      <c r="E806" s="3">
        <v>789652</v>
      </c>
      <c r="F806" s="3">
        <v>790155</v>
      </c>
      <c r="G806" s="1" t="s">
        <v>13</v>
      </c>
      <c r="H806" s="1" t="b">
        <f t="shared" si="32"/>
        <v>0</v>
      </c>
    </row>
    <row r="807" spans="1:8" ht="21" x14ac:dyDescent="0.25">
      <c r="A807" s="2" t="str">
        <f>HYPERLINK("https://rth.dk/resources/bsgatlas/details.php?id=BSGatlas-operon-399","BSGatlas-operon-399")</f>
        <v>BSGatlas-operon-399</v>
      </c>
      <c r="B807" s="2" t="str">
        <f>HYPERLINK("https://rth.dk/resources/bsgatlas/details.php?id=BSGatlas-gene-888","BSGatlas-gene-888")</f>
        <v>BSGatlas-gene-888</v>
      </c>
      <c r="C807" s="1" t="s">
        <v>813</v>
      </c>
      <c r="D807" s="1" t="s">
        <v>8</v>
      </c>
      <c r="E807" s="3">
        <v>790318</v>
      </c>
      <c r="F807" s="3">
        <v>791427</v>
      </c>
      <c r="G807" s="1" t="s">
        <v>9</v>
      </c>
      <c r="H807" s="1" t="b">
        <f t="shared" si="32"/>
        <v>1</v>
      </c>
    </row>
    <row r="808" spans="1:8" ht="21" x14ac:dyDescent="0.25">
      <c r="A808" s="2" t="str">
        <f>HYPERLINK("https://rth.dk/resources/bsgatlas/details.php?id=BSGatlas-operon-400","BSGatlas-operon-400")</f>
        <v>BSGatlas-operon-400</v>
      </c>
      <c r="B808" s="2" t="str">
        <f>HYPERLINK("https://rth.dk/resources/bsgatlas/details.php?id=BSGatlas-gene-889","BSGatlas-gene-889")</f>
        <v>BSGatlas-gene-889</v>
      </c>
      <c r="C808" s="1" t="s">
        <v>814</v>
      </c>
      <c r="D808" s="1" t="s">
        <v>8</v>
      </c>
      <c r="E808" s="3">
        <v>791462</v>
      </c>
      <c r="F808" s="3">
        <v>792532</v>
      </c>
      <c r="G808" s="1" t="s">
        <v>13</v>
      </c>
      <c r="H808" s="1" t="b">
        <f t="shared" si="32"/>
        <v>0</v>
      </c>
    </row>
    <row r="809" spans="1:8" ht="21" x14ac:dyDescent="0.25">
      <c r="A809" s="2" t="str">
        <f>HYPERLINK("https://rth.dk/resources/bsgatlas/details.php?id=BSGatlas-operon-401","BSGatlas-operon-401")</f>
        <v>BSGatlas-operon-401</v>
      </c>
      <c r="B809" s="2" t="str">
        <f>HYPERLINK("https://rth.dk/resources/bsgatlas/details.php?id=BSGatlas-gene-890","BSGatlas-gene-890")</f>
        <v>BSGatlas-gene-890</v>
      </c>
      <c r="C809" s="1" t="s">
        <v>815</v>
      </c>
      <c r="D809" s="1" t="s">
        <v>8</v>
      </c>
      <c r="E809" s="3">
        <v>792682</v>
      </c>
      <c r="F809" s="3">
        <v>795867</v>
      </c>
      <c r="G809" s="1" t="s">
        <v>9</v>
      </c>
      <c r="H809" s="1" t="b">
        <f t="shared" si="32"/>
        <v>1</v>
      </c>
    </row>
    <row r="810" spans="1:8" ht="21" x14ac:dyDescent="0.25">
      <c r="A810" s="2" t="str">
        <f>HYPERLINK("https://rth.dk/resources/bsgatlas/details.php?id=BSGatlas-operon-402","BSGatlas-operon-402")</f>
        <v>BSGatlas-operon-402</v>
      </c>
      <c r="B810" s="2" t="str">
        <f>HYPERLINK("https://rth.dk/resources/bsgatlas/details.php?id=BSGatlas-gene-891","BSGatlas-gene-891")</f>
        <v>BSGatlas-gene-891</v>
      </c>
      <c r="C810" s="1" t="s">
        <v>816</v>
      </c>
      <c r="D810" s="1" t="s">
        <v>12</v>
      </c>
      <c r="E810" s="3">
        <v>796025</v>
      </c>
      <c r="F810" s="3">
        <v>796075</v>
      </c>
      <c r="G810" s="1" t="s">
        <v>9</v>
      </c>
      <c r="H810" s="1" t="b">
        <f t="shared" si="32"/>
        <v>0</v>
      </c>
    </row>
    <row r="811" spans="1:8" ht="21" x14ac:dyDescent="0.25">
      <c r="A811" s="2" t="str">
        <f>HYPERLINK("https://rth.dk/resources/bsgatlas/details.php?id=BSGatlas-operon-403","BSGatlas-operon-403")</f>
        <v>BSGatlas-operon-403</v>
      </c>
      <c r="B811" s="2" t="str">
        <f>HYPERLINK("https://rth.dk/resources/bsgatlas/details.php?id=BSGatlas-gene-893","BSGatlas-gene-893")</f>
        <v>BSGatlas-gene-893</v>
      </c>
      <c r="C811" s="1" t="s">
        <v>817</v>
      </c>
      <c r="D811" s="1" t="s">
        <v>8</v>
      </c>
      <c r="E811" s="3">
        <v>796314</v>
      </c>
      <c r="F811" s="3">
        <v>798233</v>
      </c>
      <c r="G811" s="1" t="s">
        <v>9</v>
      </c>
      <c r="H811" s="1" t="b">
        <f t="shared" si="32"/>
        <v>1</v>
      </c>
    </row>
    <row r="812" spans="1:8" ht="21" x14ac:dyDescent="0.25">
      <c r="A812" s="2" t="str">
        <f>HYPERLINK("https://rth.dk/resources/bsgatlas/details.php?id=BSGatlas-operon-404","BSGatlas-operon-404")</f>
        <v>BSGatlas-operon-404</v>
      </c>
      <c r="B812" s="2" t="str">
        <f>HYPERLINK("https://rth.dk/resources/bsgatlas/details.php?id=BSGatlas-gene-894","BSGatlas-gene-894")</f>
        <v>BSGatlas-gene-894</v>
      </c>
      <c r="C812" s="1" t="s">
        <v>818</v>
      </c>
      <c r="D812" s="1" t="s">
        <v>8</v>
      </c>
      <c r="E812" s="3">
        <v>798469</v>
      </c>
      <c r="F812" s="3">
        <v>799233</v>
      </c>
      <c r="G812" s="1" t="s">
        <v>9</v>
      </c>
      <c r="H812" s="1" t="b">
        <f t="shared" si="32"/>
        <v>0</v>
      </c>
    </row>
    <row r="813" spans="1:8" ht="21" x14ac:dyDescent="0.25">
      <c r="A813" s="2" t="str">
        <f>HYPERLINK("https://rth.dk/resources/bsgatlas/details.php?id=BSGatlas-operon-404","BSGatlas-operon-404")</f>
        <v>BSGatlas-operon-404</v>
      </c>
      <c r="B813" s="2" t="str">
        <f>HYPERLINK("https://rth.dk/resources/bsgatlas/details.php?id=BSGatlas-gene-895","BSGatlas-gene-895")</f>
        <v>BSGatlas-gene-895</v>
      </c>
      <c r="C813" s="1" t="s">
        <v>819</v>
      </c>
      <c r="D813" s="1" t="s">
        <v>8</v>
      </c>
      <c r="E813" s="3">
        <v>799240</v>
      </c>
      <c r="F813" s="3">
        <v>800208</v>
      </c>
      <c r="G813" s="1" t="s">
        <v>9</v>
      </c>
      <c r="H813" s="1" t="b">
        <f t="shared" si="32"/>
        <v>0</v>
      </c>
    </row>
    <row r="814" spans="1:8" ht="21" x14ac:dyDescent="0.25">
      <c r="A814" s="2" t="str">
        <f>HYPERLINK("https://rth.dk/resources/bsgatlas/details.php?id=BSGatlas-operon-404","BSGatlas-operon-404")</f>
        <v>BSGatlas-operon-404</v>
      </c>
      <c r="B814" s="2" t="str">
        <f>HYPERLINK("https://rth.dk/resources/bsgatlas/details.php?id=BSGatlas-gene-896","BSGatlas-gene-896")</f>
        <v>BSGatlas-gene-896</v>
      </c>
      <c r="C814" s="1" t="s">
        <v>820</v>
      </c>
      <c r="D814" s="1" t="s">
        <v>8</v>
      </c>
      <c r="E814" s="3">
        <v>800232</v>
      </c>
      <c r="F814" s="3">
        <v>801143</v>
      </c>
      <c r="G814" s="1" t="s">
        <v>9</v>
      </c>
      <c r="H814" s="1" t="b">
        <f t="shared" si="32"/>
        <v>0</v>
      </c>
    </row>
    <row r="815" spans="1:8" ht="21" x14ac:dyDescent="0.25">
      <c r="A815" s="2" t="str">
        <f>HYPERLINK("https://rth.dk/resources/bsgatlas/details.php?id=BSGatlas-operon-404","BSGatlas-operon-404")</f>
        <v>BSGatlas-operon-404</v>
      </c>
      <c r="B815" s="2" t="str">
        <f>HYPERLINK("https://rth.dk/resources/bsgatlas/details.php?id=BSGatlas-gene-897","BSGatlas-gene-897")</f>
        <v>BSGatlas-gene-897</v>
      </c>
      <c r="C815" s="1" t="s">
        <v>821</v>
      </c>
      <c r="D815" s="1" t="s">
        <v>8</v>
      </c>
      <c r="E815" s="3">
        <v>801172</v>
      </c>
      <c r="F815" s="3">
        <v>802350</v>
      </c>
      <c r="G815" s="1" t="s">
        <v>9</v>
      </c>
      <c r="H815" s="1" t="b">
        <f t="shared" si="32"/>
        <v>0</v>
      </c>
    </row>
    <row r="816" spans="1:8" ht="21" x14ac:dyDescent="0.25">
      <c r="A816" s="2" t="str">
        <f>HYPERLINK("https://rth.dk/resources/bsgatlas/details.php?id=BSGatlas-operon-404","BSGatlas-operon-404")</f>
        <v>BSGatlas-operon-404</v>
      </c>
      <c r="B816" s="2" t="str">
        <f>HYPERLINK("https://rth.dk/resources/bsgatlas/details.php?id=BSGatlas-gene-898","BSGatlas-gene-898")</f>
        <v>BSGatlas-gene-898</v>
      </c>
      <c r="C816" s="1" t="s">
        <v>822</v>
      </c>
      <c r="D816" s="1" t="s">
        <v>8</v>
      </c>
      <c r="E816" s="3">
        <v>802351</v>
      </c>
      <c r="F816" s="3">
        <v>803286</v>
      </c>
      <c r="G816" s="1" t="s">
        <v>9</v>
      </c>
      <c r="H816" s="1" t="b">
        <f t="shared" si="32"/>
        <v>0</v>
      </c>
    </row>
    <row r="817" spans="1:8" ht="21" x14ac:dyDescent="0.25">
      <c r="A817" s="2" t="str">
        <f>HYPERLINK("https://rth.dk/resources/bsgatlas/details.php?id=BSGatlas-operon-405","BSGatlas-operon-405")</f>
        <v>BSGatlas-operon-405</v>
      </c>
      <c r="B817" s="2" t="str">
        <f>HYPERLINK("https://rth.dk/resources/bsgatlas/details.php?id=BSGatlas-gene-899","BSGatlas-gene-899")</f>
        <v>BSGatlas-gene-899</v>
      </c>
      <c r="C817" s="1" t="s">
        <v>823</v>
      </c>
      <c r="D817" s="1" t="s">
        <v>8</v>
      </c>
      <c r="E817" s="3">
        <v>803317</v>
      </c>
      <c r="F817" s="3">
        <v>804546</v>
      </c>
      <c r="G817" s="1" t="s">
        <v>13</v>
      </c>
      <c r="H817" s="1" t="b">
        <f t="shared" si="32"/>
        <v>1</v>
      </c>
    </row>
    <row r="818" spans="1:8" ht="21" x14ac:dyDescent="0.25">
      <c r="A818" s="2" t="str">
        <f>HYPERLINK("https://rth.dk/resources/bsgatlas/details.php?id=BSGatlas-operon-406","BSGatlas-operon-406")</f>
        <v>BSGatlas-operon-406</v>
      </c>
      <c r="B818" s="2" t="str">
        <f>HYPERLINK("https://rth.dk/resources/bsgatlas/details.php?id=BSGatlas-gene-900","BSGatlas-gene-900")</f>
        <v>BSGatlas-gene-900</v>
      </c>
      <c r="C818" s="1" t="s">
        <v>824</v>
      </c>
      <c r="D818" s="1" t="s">
        <v>8</v>
      </c>
      <c r="E818" s="3">
        <v>804657</v>
      </c>
      <c r="F818" s="3">
        <v>805364</v>
      </c>
      <c r="G818" s="1" t="s">
        <v>13</v>
      </c>
      <c r="H818" s="1" t="b">
        <f t="shared" si="32"/>
        <v>0</v>
      </c>
    </row>
    <row r="819" spans="1:8" ht="21" x14ac:dyDescent="0.25">
      <c r="A819" s="2" t="str">
        <f>HYPERLINK("https://rth.dk/resources/bsgatlas/details.php?id=BSGatlas-operon-406","BSGatlas-operon-406")</f>
        <v>BSGatlas-operon-406</v>
      </c>
      <c r="B819" s="2" t="str">
        <f>HYPERLINK("https://rth.dk/resources/bsgatlas/details.php?id=BSGatlas-gene-901","BSGatlas-gene-901")</f>
        <v>BSGatlas-gene-901</v>
      </c>
      <c r="C819" s="1" t="s">
        <v>825</v>
      </c>
      <c r="D819" s="1" t="s">
        <v>8</v>
      </c>
      <c r="E819" s="3">
        <v>805456</v>
      </c>
      <c r="F819" s="3">
        <v>806841</v>
      </c>
      <c r="G819" s="1" t="s">
        <v>13</v>
      </c>
      <c r="H819" s="1" t="b">
        <f t="shared" si="32"/>
        <v>0</v>
      </c>
    </row>
    <row r="820" spans="1:8" ht="21" x14ac:dyDescent="0.25">
      <c r="A820" s="2" t="str">
        <f>HYPERLINK("https://rth.dk/resources/bsgatlas/details.php?id=BSGatlas-operon-407","BSGatlas-operon-407")</f>
        <v>BSGatlas-operon-407</v>
      </c>
      <c r="B820" s="2" t="str">
        <f>HYPERLINK("https://rth.dk/resources/bsgatlas/details.php?id=BSGatlas-gene-902","BSGatlas-gene-902")</f>
        <v>BSGatlas-gene-902</v>
      </c>
      <c r="C820" s="1" t="s">
        <v>826</v>
      </c>
      <c r="D820" s="1" t="s">
        <v>8</v>
      </c>
      <c r="E820" s="3">
        <v>807091</v>
      </c>
      <c r="F820" s="3">
        <v>808548</v>
      </c>
      <c r="G820" s="1" t="s">
        <v>9</v>
      </c>
      <c r="H820" s="1" t="b">
        <f t="shared" si="32"/>
        <v>1</v>
      </c>
    </row>
    <row r="821" spans="1:8" ht="21" x14ac:dyDescent="0.25">
      <c r="A821" s="2" t="str">
        <f>HYPERLINK("https://rth.dk/resources/bsgatlas/details.php?id=BSGatlas-operon-407","BSGatlas-operon-407")</f>
        <v>BSGatlas-operon-407</v>
      </c>
      <c r="B821" s="2" t="str">
        <f>HYPERLINK("https://rth.dk/resources/bsgatlas/details.php?id=BSGatlas-gene-903","BSGatlas-gene-903")</f>
        <v>BSGatlas-gene-903</v>
      </c>
      <c r="C821" s="1" t="s">
        <v>827</v>
      </c>
      <c r="D821" s="1" t="s">
        <v>8</v>
      </c>
      <c r="E821" s="3">
        <v>808562</v>
      </c>
      <c r="F821" s="3">
        <v>809422</v>
      </c>
      <c r="G821" s="1" t="s">
        <v>9</v>
      </c>
      <c r="H821" s="1" t="b">
        <f t="shared" si="32"/>
        <v>1</v>
      </c>
    </row>
    <row r="822" spans="1:8" ht="21" x14ac:dyDescent="0.25">
      <c r="A822" s="2" t="str">
        <f>HYPERLINK("https://rth.dk/resources/bsgatlas/details.php?id=BSGatlas-operon-408","BSGatlas-operon-408")</f>
        <v>BSGatlas-operon-408</v>
      </c>
      <c r="B822" s="2" t="str">
        <f>HYPERLINK("https://rth.dk/resources/bsgatlas/details.php?id=BSGatlas-gene-904","BSGatlas-gene-904")</f>
        <v>BSGatlas-gene-904</v>
      </c>
      <c r="C822" s="1" t="s">
        <v>828</v>
      </c>
      <c r="D822" s="1" t="s">
        <v>8</v>
      </c>
      <c r="E822" s="3">
        <v>809557</v>
      </c>
      <c r="F822" s="3">
        <v>811446</v>
      </c>
      <c r="G822" s="1" t="s">
        <v>9</v>
      </c>
      <c r="H822" s="1" t="b">
        <f t="shared" si="32"/>
        <v>0</v>
      </c>
    </row>
    <row r="823" spans="1:8" ht="21" x14ac:dyDescent="0.25">
      <c r="A823" s="2" t="str">
        <f>HYPERLINK("https://rth.dk/resources/bsgatlas/details.php?id=BSGatlas-operon-409","BSGatlas-operon-409")</f>
        <v>BSGatlas-operon-409</v>
      </c>
      <c r="B823" s="2" t="str">
        <f>HYPERLINK("https://rth.dk/resources/bsgatlas/details.php?id=BSGatlas-gene-905","BSGatlas-gene-905")</f>
        <v>BSGatlas-gene-905</v>
      </c>
      <c r="C823" s="1" t="s">
        <v>829</v>
      </c>
      <c r="D823" s="1" t="s">
        <v>8</v>
      </c>
      <c r="E823" s="3">
        <v>811569</v>
      </c>
      <c r="F823" s="3">
        <v>812015</v>
      </c>
      <c r="G823" s="1" t="s">
        <v>9</v>
      </c>
      <c r="H823" s="1" t="b">
        <f t="shared" si="32"/>
        <v>1</v>
      </c>
    </row>
    <row r="824" spans="1:8" ht="21" x14ac:dyDescent="0.25">
      <c r="A824" s="2" t="str">
        <f>HYPERLINK("https://rth.dk/resources/bsgatlas/details.php?id=BSGatlas-operon-410","BSGatlas-operon-410")</f>
        <v>BSGatlas-operon-410</v>
      </c>
      <c r="B824" s="2" t="str">
        <f>HYPERLINK("https://rth.dk/resources/bsgatlas/details.php?id=BSGatlas-gene-906","BSGatlas-gene-906")</f>
        <v>BSGatlas-gene-906</v>
      </c>
      <c r="C824" s="1" t="s">
        <v>830</v>
      </c>
      <c r="D824" s="1" t="s">
        <v>8</v>
      </c>
      <c r="E824" s="3">
        <v>812140</v>
      </c>
      <c r="F824" s="3">
        <v>812562</v>
      </c>
      <c r="G824" s="1" t="s">
        <v>9</v>
      </c>
      <c r="H824" s="1" t="b">
        <f t="shared" si="32"/>
        <v>0</v>
      </c>
    </row>
    <row r="825" spans="1:8" ht="21" x14ac:dyDescent="0.25">
      <c r="A825" s="2" t="str">
        <f>HYPERLINK("https://rth.dk/resources/bsgatlas/details.php?id=BSGatlas-operon-410","BSGatlas-operon-410")</f>
        <v>BSGatlas-operon-410</v>
      </c>
      <c r="B825" s="2" t="str">
        <f>HYPERLINK("https://rth.dk/resources/bsgatlas/details.php?id=BSGatlas-gene-907","BSGatlas-gene-907")</f>
        <v>BSGatlas-gene-907</v>
      </c>
      <c r="C825" s="1" t="s">
        <v>831</v>
      </c>
      <c r="D825" s="1" t="s">
        <v>8</v>
      </c>
      <c r="E825" s="3">
        <v>812628</v>
      </c>
      <c r="F825" s="3">
        <v>813818</v>
      </c>
      <c r="G825" s="1" t="s">
        <v>9</v>
      </c>
      <c r="H825" s="1" t="b">
        <f t="shared" si="32"/>
        <v>0</v>
      </c>
    </row>
    <row r="826" spans="1:8" ht="21" x14ac:dyDescent="0.25">
      <c r="A826" s="2" t="str">
        <f>HYPERLINK("https://rth.dk/resources/bsgatlas/details.php?id=BSGatlas-operon-411","BSGatlas-operon-411")</f>
        <v>BSGatlas-operon-411</v>
      </c>
      <c r="B826" s="2" t="str">
        <f>HYPERLINK("https://rth.dk/resources/bsgatlas/details.php?id=BSGatlas-gene-909","BSGatlas-gene-909")</f>
        <v>BSGatlas-gene-909</v>
      </c>
      <c r="C826" s="1" t="s">
        <v>832</v>
      </c>
      <c r="D826" s="1" t="s">
        <v>8</v>
      </c>
      <c r="E826" s="3">
        <v>814384</v>
      </c>
      <c r="F826" s="3">
        <v>815940</v>
      </c>
      <c r="G826" s="1" t="s">
        <v>13</v>
      </c>
      <c r="H826" s="1" t="b">
        <f t="shared" si="32"/>
        <v>1</v>
      </c>
    </row>
    <row r="827" spans="1:8" ht="21" x14ac:dyDescent="0.25">
      <c r="A827" s="2" t="str">
        <f>HYPERLINK("https://rth.dk/resources/bsgatlas/details.php?id=BSGatlas-operon-412","BSGatlas-operon-412")</f>
        <v>BSGatlas-operon-412</v>
      </c>
      <c r="B827" s="2" t="str">
        <f>HYPERLINK("https://rth.dk/resources/bsgatlas/details.php?id=BSGatlas-gene-910","BSGatlas-gene-910")</f>
        <v>BSGatlas-gene-910</v>
      </c>
      <c r="C827" s="1" t="s">
        <v>833</v>
      </c>
      <c r="D827" s="1" t="s">
        <v>8</v>
      </c>
      <c r="E827" s="3">
        <v>816113</v>
      </c>
      <c r="F827" s="3">
        <v>817243</v>
      </c>
      <c r="G827" s="1" t="s">
        <v>9</v>
      </c>
      <c r="H827" s="1" t="b">
        <f t="shared" si="32"/>
        <v>0</v>
      </c>
    </row>
    <row r="828" spans="1:8" ht="21" x14ac:dyDescent="0.25">
      <c r="A828" s="2" t="str">
        <f>HYPERLINK("https://rth.dk/resources/bsgatlas/details.php?id=BSGatlas-operon-413","BSGatlas-operon-413")</f>
        <v>BSGatlas-operon-413</v>
      </c>
      <c r="B828" s="2" t="str">
        <f>HYPERLINK("https://rth.dk/resources/bsgatlas/details.php?id=BSGatlas-gene-911","BSGatlas-gene-911")</f>
        <v>BSGatlas-gene-911</v>
      </c>
      <c r="C828" s="1" t="s">
        <v>834</v>
      </c>
      <c r="D828" s="1" t="s">
        <v>8</v>
      </c>
      <c r="E828" s="3">
        <v>817311</v>
      </c>
      <c r="F828" s="3">
        <v>817757</v>
      </c>
      <c r="G828" s="1" t="s">
        <v>9</v>
      </c>
      <c r="H828" s="1" t="b">
        <f t="shared" si="32"/>
        <v>1</v>
      </c>
    </row>
    <row r="829" spans="1:8" ht="21" x14ac:dyDescent="0.25">
      <c r="A829" s="2" t="str">
        <f>HYPERLINK("https://rth.dk/resources/bsgatlas/details.php?id=BSGatlas-operon-414","BSGatlas-operon-414")</f>
        <v>BSGatlas-operon-414</v>
      </c>
      <c r="B829" s="2" t="str">
        <f>HYPERLINK("https://rth.dk/resources/bsgatlas/details.php?id=BSGatlas-gene-912","BSGatlas-gene-912")</f>
        <v>BSGatlas-gene-912</v>
      </c>
      <c r="C829" s="1" t="s">
        <v>835</v>
      </c>
      <c r="D829" s="1" t="s">
        <v>8</v>
      </c>
      <c r="E829" s="3">
        <v>817810</v>
      </c>
      <c r="F829" s="3">
        <v>818829</v>
      </c>
      <c r="G829" s="1" t="s">
        <v>13</v>
      </c>
      <c r="H829" s="1" t="b">
        <f t="shared" si="32"/>
        <v>0</v>
      </c>
    </row>
    <row r="830" spans="1:8" ht="21" x14ac:dyDescent="0.25">
      <c r="A830" s="2" t="str">
        <f>HYPERLINK("https://rth.dk/resources/bsgatlas/details.php?id=BSGatlas-operon-414","BSGatlas-operon-414")</f>
        <v>BSGatlas-operon-414</v>
      </c>
      <c r="B830" s="2" t="str">
        <f>HYPERLINK("https://rth.dk/resources/bsgatlas/details.php?id=BSGatlas-gene-914","BSGatlas-gene-914")</f>
        <v>BSGatlas-gene-914</v>
      </c>
      <c r="C830" s="1" t="s">
        <v>836</v>
      </c>
      <c r="D830" s="1" t="s">
        <v>8</v>
      </c>
      <c r="E830" s="3">
        <v>819311</v>
      </c>
      <c r="F830" s="3">
        <v>820531</v>
      </c>
      <c r="G830" s="1" t="s">
        <v>13</v>
      </c>
      <c r="H830" s="1" t="b">
        <f t="shared" si="32"/>
        <v>0</v>
      </c>
    </row>
    <row r="831" spans="1:8" ht="21" x14ac:dyDescent="0.25">
      <c r="A831" s="2" t="str">
        <f>HYPERLINK("https://rth.dk/resources/bsgatlas/details.php?id=BSGatlas-operon-415","BSGatlas-operon-415")</f>
        <v>BSGatlas-operon-415</v>
      </c>
      <c r="B831" s="2" t="str">
        <f>HYPERLINK("https://rth.dk/resources/bsgatlas/details.php?id=BSGatlas-gene-913","BSGatlas-gene-913")</f>
        <v>BSGatlas-gene-913</v>
      </c>
      <c r="C831" s="1" t="s">
        <v>837</v>
      </c>
      <c r="D831" s="1" t="s">
        <v>12</v>
      </c>
      <c r="E831" s="3">
        <v>818976</v>
      </c>
      <c r="F831" s="3">
        <v>820073</v>
      </c>
      <c r="G831" s="1" t="s">
        <v>9</v>
      </c>
      <c r="H831" s="1" t="b">
        <f t="shared" si="32"/>
        <v>1</v>
      </c>
    </row>
    <row r="832" spans="1:8" ht="21" x14ac:dyDescent="0.25">
      <c r="A832" s="2" t="str">
        <f>HYPERLINK("https://rth.dk/resources/bsgatlas/details.php?id=BSGatlas-operon-416","BSGatlas-operon-416")</f>
        <v>BSGatlas-operon-416</v>
      </c>
      <c r="B832" s="2" t="str">
        <f>HYPERLINK("https://rth.dk/resources/bsgatlas/details.php?id=BSGatlas-gene-915","BSGatlas-gene-915")</f>
        <v>BSGatlas-gene-915</v>
      </c>
      <c r="C832" s="1" t="s">
        <v>838</v>
      </c>
      <c r="D832" s="1" t="s">
        <v>12</v>
      </c>
      <c r="E832" s="3">
        <v>820666</v>
      </c>
      <c r="F832" s="3">
        <v>820838</v>
      </c>
      <c r="G832" s="1" t="s">
        <v>9</v>
      </c>
      <c r="H832" s="1" t="b">
        <f t="shared" si="32"/>
        <v>0</v>
      </c>
    </row>
    <row r="833" spans="1:8" ht="21" x14ac:dyDescent="0.25">
      <c r="A833" s="2" t="str">
        <f>HYPERLINK("https://rth.dk/resources/bsgatlas/details.php?id=BSGatlas-operon-417","BSGatlas-operon-417")</f>
        <v>BSGatlas-operon-417</v>
      </c>
      <c r="B833" s="2" t="str">
        <f>HYPERLINK("https://rth.dk/resources/bsgatlas/details.php?id=BSGatlas-gene-916","BSGatlas-gene-916")</f>
        <v>BSGatlas-gene-916</v>
      </c>
      <c r="C833" s="1" t="s">
        <v>839</v>
      </c>
      <c r="D833" s="1" t="s">
        <v>8</v>
      </c>
      <c r="E833" s="3">
        <v>820867</v>
      </c>
      <c r="F833" s="3">
        <v>822330</v>
      </c>
      <c r="G833" s="1" t="s">
        <v>9</v>
      </c>
      <c r="H833" s="1" t="b">
        <f t="shared" si="32"/>
        <v>1</v>
      </c>
    </row>
    <row r="834" spans="1:8" ht="21" x14ac:dyDescent="0.25">
      <c r="A834" s="2" t="str">
        <f>HYPERLINK("https://rth.dk/resources/bsgatlas/details.php?id=BSGatlas-operon-418","BSGatlas-operon-418")</f>
        <v>BSGatlas-operon-418</v>
      </c>
      <c r="B834" s="2" t="str">
        <f>HYPERLINK("https://rth.dk/resources/bsgatlas/details.php?id=BSGatlas-gene-917","BSGatlas-gene-917")</f>
        <v>BSGatlas-gene-917</v>
      </c>
      <c r="C834" s="1" t="s">
        <v>840</v>
      </c>
      <c r="D834" s="1" t="s">
        <v>8</v>
      </c>
      <c r="E834" s="3">
        <v>822903</v>
      </c>
      <c r="F834" s="3">
        <v>823703</v>
      </c>
      <c r="G834" s="1" t="s">
        <v>13</v>
      </c>
      <c r="H834" s="1" t="b">
        <f t="shared" ref="H834:H897" si="34">_xlfn.XOR(A833&lt;&gt;A834,H833)</f>
        <v>0</v>
      </c>
    </row>
    <row r="835" spans="1:8" ht="21" x14ac:dyDescent="0.25">
      <c r="A835" s="2" t="str">
        <f>HYPERLINK("https://rth.dk/resources/bsgatlas/details.php?id=BSGatlas-operon-418","BSGatlas-operon-418")</f>
        <v>BSGatlas-operon-418</v>
      </c>
      <c r="B835" s="2" t="str">
        <f>HYPERLINK("https://rth.dk/resources/bsgatlas/details.php?id=BSGatlas-gene-918","BSGatlas-gene-918")</f>
        <v>BSGatlas-gene-918</v>
      </c>
      <c r="C835" s="1" t="s">
        <v>841</v>
      </c>
      <c r="D835" s="1" t="s">
        <v>8</v>
      </c>
      <c r="E835" s="3">
        <v>823716</v>
      </c>
      <c r="F835" s="3">
        <v>824717</v>
      </c>
      <c r="G835" s="1" t="s">
        <v>13</v>
      </c>
      <c r="H835" s="1" t="b">
        <f t="shared" si="34"/>
        <v>0</v>
      </c>
    </row>
    <row r="836" spans="1:8" ht="21" x14ac:dyDescent="0.25">
      <c r="A836" s="2" t="str">
        <f>HYPERLINK("https://rth.dk/resources/bsgatlas/details.php?id=BSGatlas-operon-418","BSGatlas-operon-418")</f>
        <v>BSGatlas-operon-418</v>
      </c>
      <c r="B836" s="2" t="str">
        <f>HYPERLINK("https://rth.dk/resources/bsgatlas/details.php?id=BSGatlas-gene-919","BSGatlas-gene-919")</f>
        <v>BSGatlas-gene-919</v>
      </c>
      <c r="C836" s="1" t="s">
        <v>842</v>
      </c>
      <c r="D836" s="1" t="s">
        <v>8</v>
      </c>
      <c r="E836" s="3">
        <v>824714</v>
      </c>
      <c r="F836" s="3">
        <v>825715</v>
      </c>
      <c r="G836" s="1" t="s">
        <v>13</v>
      </c>
      <c r="H836" s="1" t="b">
        <f t="shared" si="34"/>
        <v>0</v>
      </c>
    </row>
    <row r="837" spans="1:8" ht="21" x14ac:dyDescent="0.25">
      <c r="A837" s="2" t="str">
        <f>HYPERLINK("https://rth.dk/resources/bsgatlas/details.php?id=BSGatlas-operon-418","BSGatlas-operon-418")</f>
        <v>BSGatlas-operon-418</v>
      </c>
      <c r="B837" s="2" t="str">
        <f>HYPERLINK("https://rth.dk/resources/bsgatlas/details.php?id=BSGatlas-gene-920","BSGatlas-gene-920")</f>
        <v>BSGatlas-gene-920</v>
      </c>
      <c r="C837" s="1" t="s">
        <v>843</v>
      </c>
      <c r="D837" s="1" t="s">
        <v>8</v>
      </c>
      <c r="E837" s="3">
        <v>825787</v>
      </c>
      <c r="F837" s="3">
        <v>826734</v>
      </c>
      <c r="G837" s="1" t="s">
        <v>13</v>
      </c>
      <c r="H837" s="1" t="b">
        <f t="shared" si="34"/>
        <v>0</v>
      </c>
    </row>
    <row r="838" spans="1:8" ht="21" x14ac:dyDescent="0.25">
      <c r="A838" s="2" t="str">
        <f>HYPERLINK("https://rth.dk/resources/bsgatlas/details.php?id=BSGatlas-operon-418","BSGatlas-operon-418")</f>
        <v>BSGatlas-operon-418</v>
      </c>
      <c r="B838" s="2" t="str">
        <f>HYPERLINK("https://rth.dk/resources/bsgatlas/details.php?id=BSGatlas-gene-921","BSGatlas-gene-921")</f>
        <v>BSGatlas-gene-921</v>
      </c>
      <c r="C838" s="1" t="s">
        <v>844</v>
      </c>
      <c r="D838" s="1" t="s">
        <v>8</v>
      </c>
      <c r="E838" s="3">
        <v>826843</v>
      </c>
      <c r="F838" s="3">
        <v>827211</v>
      </c>
      <c r="G838" s="1" t="s">
        <v>13</v>
      </c>
      <c r="H838" s="1" t="b">
        <f t="shared" si="34"/>
        <v>0</v>
      </c>
    </row>
    <row r="839" spans="1:8" ht="21" x14ac:dyDescent="0.25">
      <c r="A839" s="2" t="str">
        <f>HYPERLINK("https://rth.dk/resources/bsgatlas/details.php?id=BSGatlas-operon-419","BSGatlas-operon-419")</f>
        <v>BSGatlas-operon-419</v>
      </c>
      <c r="B839" s="2" t="str">
        <f>HYPERLINK("https://rth.dk/resources/bsgatlas/details.php?id=BSGatlas-gene-922","BSGatlas-gene-922")</f>
        <v>BSGatlas-gene-922</v>
      </c>
      <c r="C839" s="1" t="s">
        <v>845</v>
      </c>
      <c r="D839" s="1" t="s">
        <v>8</v>
      </c>
      <c r="E839" s="3">
        <v>827252</v>
      </c>
      <c r="F839" s="3">
        <v>827419</v>
      </c>
      <c r="G839" s="1" t="s">
        <v>9</v>
      </c>
      <c r="H839" s="1" t="b">
        <f t="shared" si="34"/>
        <v>1</v>
      </c>
    </row>
    <row r="840" spans="1:8" ht="21" x14ac:dyDescent="0.25">
      <c r="A840" s="2" t="str">
        <f>HYPERLINK("https://rth.dk/resources/bsgatlas/details.php?id=BSGatlas-operon-419","BSGatlas-operon-419")</f>
        <v>BSGatlas-operon-419</v>
      </c>
      <c r="B840" s="2" t="str">
        <f>HYPERLINK("https://rth.dk/resources/bsgatlas/details.php?id=BSGatlas-gene-923","BSGatlas-gene-923")</f>
        <v>BSGatlas-gene-923</v>
      </c>
      <c r="C840" s="1" t="s">
        <v>846</v>
      </c>
      <c r="D840" s="1" t="s">
        <v>8</v>
      </c>
      <c r="E840" s="3">
        <v>827455</v>
      </c>
      <c r="F840" s="3">
        <v>827802</v>
      </c>
      <c r="G840" s="1" t="s">
        <v>9</v>
      </c>
      <c r="H840" s="1" t="b">
        <f t="shared" si="34"/>
        <v>1</v>
      </c>
    </row>
    <row r="841" spans="1:8" ht="21" x14ac:dyDescent="0.25">
      <c r="A841" s="2" t="str">
        <f>HYPERLINK("https://rth.dk/resources/bsgatlas/details.php?id=BSGatlas-operon-420","BSGatlas-operon-420")</f>
        <v>BSGatlas-operon-420</v>
      </c>
      <c r="B841" s="2" t="str">
        <f>HYPERLINK("https://rth.dk/resources/bsgatlas/details.php?id=BSGatlas-gene-924","BSGatlas-gene-924")</f>
        <v>BSGatlas-gene-924</v>
      </c>
      <c r="C841" s="1" t="s">
        <v>847</v>
      </c>
      <c r="D841" s="1" t="s">
        <v>8</v>
      </c>
      <c r="E841" s="3">
        <v>827993</v>
      </c>
      <c r="F841" s="3">
        <v>829255</v>
      </c>
      <c r="G841" s="1" t="s">
        <v>9</v>
      </c>
      <c r="H841" s="1" t="b">
        <f t="shared" si="34"/>
        <v>0</v>
      </c>
    </row>
    <row r="842" spans="1:8" ht="21" x14ac:dyDescent="0.25">
      <c r="A842" s="2" t="str">
        <f>HYPERLINK("https://rth.dk/resources/bsgatlas/details.php?id=BSGatlas-operon-421","BSGatlas-operon-421")</f>
        <v>BSGatlas-operon-421</v>
      </c>
      <c r="B842" s="2" t="str">
        <f>HYPERLINK("https://rth.dk/resources/bsgatlas/details.php?id=BSGatlas-gene-925","BSGatlas-gene-925")</f>
        <v>BSGatlas-gene-925</v>
      </c>
      <c r="C842" s="1" t="s">
        <v>848</v>
      </c>
      <c r="D842" s="1" t="s">
        <v>8</v>
      </c>
      <c r="E842" s="3">
        <v>829382</v>
      </c>
      <c r="F842" s="3">
        <v>830818</v>
      </c>
      <c r="G842" s="1" t="s">
        <v>9</v>
      </c>
      <c r="H842" s="1" t="b">
        <f t="shared" si="34"/>
        <v>1</v>
      </c>
    </row>
    <row r="843" spans="1:8" ht="21" x14ac:dyDescent="0.25">
      <c r="A843" s="2" t="str">
        <f>HYPERLINK("https://rth.dk/resources/bsgatlas/details.php?id=BSGatlas-operon-422","BSGatlas-operon-422")</f>
        <v>BSGatlas-operon-422</v>
      </c>
      <c r="B843" s="2" t="str">
        <f>HYPERLINK("https://rth.dk/resources/bsgatlas/details.php?id=BSGatlas-gene-926","BSGatlas-gene-926")</f>
        <v>BSGatlas-gene-926</v>
      </c>
      <c r="C843" s="1" t="s">
        <v>849</v>
      </c>
      <c r="D843" s="1" t="s">
        <v>8</v>
      </c>
      <c r="E843" s="3">
        <v>830945</v>
      </c>
      <c r="F843" s="3">
        <v>832573</v>
      </c>
      <c r="G843" s="1" t="s">
        <v>9</v>
      </c>
      <c r="H843" s="1" t="b">
        <f t="shared" si="34"/>
        <v>0</v>
      </c>
    </row>
    <row r="844" spans="1:8" ht="21" x14ac:dyDescent="0.25">
      <c r="A844" s="2" t="str">
        <f>HYPERLINK("https://rth.dk/resources/bsgatlas/details.php?id=BSGatlas-operon-422","BSGatlas-operon-422")</f>
        <v>BSGatlas-operon-422</v>
      </c>
      <c r="B844" s="2" t="str">
        <f>HYPERLINK("https://rth.dk/resources/bsgatlas/details.php?id=BSGatlas-gene-927","BSGatlas-gene-927")</f>
        <v>BSGatlas-gene-927</v>
      </c>
      <c r="C844" s="1" t="s">
        <v>850</v>
      </c>
      <c r="D844" s="1" t="s">
        <v>8</v>
      </c>
      <c r="E844" s="3">
        <v>832545</v>
      </c>
      <c r="F844" s="3">
        <v>833225</v>
      </c>
      <c r="G844" s="1" t="s">
        <v>9</v>
      </c>
      <c r="H844" s="1" t="b">
        <f t="shared" si="34"/>
        <v>0</v>
      </c>
    </row>
    <row r="845" spans="1:8" ht="21" x14ac:dyDescent="0.25">
      <c r="A845" s="2" t="str">
        <f>HYPERLINK("https://rth.dk/resources/bsgatlas/details.php?id=BSGatlas-operon-422","BSGatlas-operon-422")</f>
        <v>BSGatlas-operon-422</v>
      </c>
      <c r="B845" s="2" t="str">
        <f>HYPERLINK("https://rth.dk/resources/bsgatlas/details.php?id=BSGatlas-gene-928","BSGatlas-gene-928")</f>
        <v>BSGatlas-gene-928</v>
      </c>
      <c r="C845" s="1" t="s">
        <v>851</v>
      </c>
      <c r="D845" s="1" t="s">
        <v>8</v>
      </c>
      <c r="E845" s="3">
        <v>833228</v>
      </c>
      <c r="F845" s="3">
        <v>834187</v>
      </c>
      <c r="G845" s="1" t="s">
        <v>9</v>
      </c>
      <c r="H845" s="1" t="b">
        <f t="shared" si="34"/>
        <v>0</v>
      </c>
    </row>
    <row r="846" spans="1:8" ht="21" x14ac:dyDescent="0.25">
      <c r="A846" s="2" t="str">
        <f>HYPERLINK("https://rth.dk/resources/bsgatlas/details.php?id=BSGatlas-operon-423","BSGatlas-operon-423")</f>
        <v>BSGatlas-operon-423</v>
      </c>
      <c r="B846" s="2" t="str">
        <f>HYPERLINK("https://rth.dk/resources/bsgatlas/details.php?id=BSGatlas-gene-929","BSGatlas-gene-929")</f>
        <v>BSGatlas-gene-929</v>
      </c>
      <c r="C846" s="1" t="s">
        <v>852</v>
      </c>
      <c r="D846" s="1" t="s">
        <v>8</v>
      </c>
      <c r="E846" s="3">
        <v>834383</v>
      </c>
      <c r="F846" s="3">
        <v>835684</v>
      </c>
      <c r="G846" s="1" t="s">
        <v>9</v>
      </c>
      <c r="H846" s="1" t="b">
        <f t="shared" si="34"/>
        <v>1</v>
      </c>
    </row>
    <row r="847" spans="1:8" ht="21" x14ac:dyDescent="0.25">
      <c r="A847" s="2" t="str">
        <f>HYPERLINK("https://rth.dk/resources/bsgatlas/details.php?id=BSGatlas-operon-423","BSGatlas-operon-423")</f>
        <v>BSGatlas-operon-423</v>
      </c>
      <c r="B847" s="2" t="str">
        <f>HYPERLINK("https://rth.dk/resources/bsgatlas/details.php?id=BSGatlas-gene-930","BSGatlas-gene-930")</f>
        <v>BSGatlas-gene-930</v>
      </c>
      <c r="C847" s="1" t="s">
        <v>853</v>
      </c>
      <c r="D847" s="1" t="s">
        <v>8</v>
      </c>
      <c r="E847" s="3">
        <v>835740</v>
      </c>
      <c r="F847" s="3">
        <v>836534</v>
      </c>
      <c r="G847" s="1" t="s">
        <v>9</v>
      </c>
      <c r="H847" s="1" t="b">
        <f t="shared" si="34"/>
        <v>1</v>
      </c>
    </row>
    <row r="848" spans="1:8" ht="21" x14ac:dyDescent="0.25">
      <c r="A848" s="2" t="str">
        <f>HYPERLINK("https://rth.dk/resources/bsgatlas/details.php?id=BSGatlas-operon-424","BSGatlas-operon-424")</f>
        <v>BSGatlas-operon-424</v>
      </c>
      <c r="B848" s="2" t="str">
        <f>HYPERLINK("https://rth.dk/resources/bsgatlas/details.php?id=BSGatlas-gene-931","BSGatlas-gene-931")</f>
        <v>BSGatlas-gene-931</v>
      </c>
      <c r="C848" s="1" t="s">
        <v>854</v>
      </c>
      <c r="D848" s="1" t="s">
        <v>8</v>
      </c>
      <c r="E848" s="3">
        <v>836653</v>
      </c>
      <c r="F848" s="3">
        <v>837744</v>
      </c>
      <c r="G848" s="1" t="s">
        <v>9</v>
      </c>
      <c r="H848" s="1" t="b">
        <f t="shared" si="34"/>
        <v>0</v>
      </c>
    </row>
    <row r="849" spans="1:8" ht="21" x14ac:dyDescent="0.25">
      <c r="A849" s="2" t="str">
        <f>HYPERLINK("https://rth.dk/resources/bsgatlas/details.php?id=BSGatlas-operon-424","BSGatlas-operon-424")</f>
        <v>BSGatlas-operon-424</v>
      </c>
      <c r="B849" s="2" t="str">
        <f>HYPERLINK("https://rth.dk/resources/bsgatlas/details.php?id=BSGatlas-gene-933","BSGatlas-gene-933")</f>
        <v>BSGatlas-gene-933</v>
      </c>
      <c r="C849" s="1" t="s">
        <v>855</v>
      </c>
      <c r="D849" s="1" t="s">
        <v>8</v>
      </c>
      <c r="E849" s="3">
        <v>838077</v>
      </c>
      <c r="F849" s="3">
        <v>838742</v>
      </c>
      <c r="G849" s="1" t="s">
        <v>9</v>
      </c>
      <c r="H849" s="1" t="b">
        <f t="shared" si="34"/>
        <v>0</v>
      </c>
    </row>
    <row r="850" spans="1:8" ht="21" x14ac:dyDescent="0.25">
      <c r="A850" s="2" t="str">
        <f>HYPERLINK("https://rth.dk/resources/bsgatlas/details.php?id=BSGatlas-operon-425","BSGatlas-operon-425")</f>
        <v>BSGatlas-operon-425</v>
      </c>
      <c r="B850" s="2" t="str">
        <f>HYPERLINK("https://rth.dk/resources/bsgatlas/details.php?id=BSGatlas-gene-932","BSGatlas-gene-932")</f>
        <v>BSGatlas-gene-932</v>
      </c>
      <c r="C850" s="1" t="s">
        <v>856</v>
      </c>
      <c r="D850" s="1" t="s">
        <v>8</v>
      </c>
      <c r="E850" s="3">
        <v>837735</v>
      </c>
      <c r="F850" s="3">
        <v>838010</v>
      </c>
      <c r="G850" s="1" t="s">
        <v>13</v>
      </c>
      <c r="H850" s="1" t="b">
        <f t="shared" si="34"/>
        <v>1</v>
      </c>
    </row>
    <row r="851" spans="1:8" ht="21" x14ac:dyDescent="0.25">
      <c r="A851" s="2" t="str">
        <f>HYPERLINK("https://rth.dk/resources/bsgatlas/details.php?id=BSGatlas-operon-426","BSGatlas-operon-426")</f>
        <v>BSGatlas-operon-426</v>
      </c>
      <c r="B851" s="2" t="str">
        <f>HYPERLINK("https://rth.dk/resources/bsgatlas/details.php?id=BSGatlas-gene-934","BSGatlas-gene-934")</f>
        <v>BSGatlas-gene-934</v>
      </c>
      <c r="C851" s="1" t="s">
        <v>857</v>
      </c>
      <c r="D851" s="1" t="s">
        <v>8</v>
      </c>
      <c r="E851" s="3">
        <v>838783</v>
      </c>
      <c r="F851" s="3">
        <v>838920</v>
      </c>
      <c r="G851" s="1" t="s">
        <v>13</v>
      </c>
      <c r="H851" s="1" t="b">
        <f t="shared" si="34"/>
        <v>0</v>
      </c>
    </row>
    <row r="852" spans="1:8" ht="21" x14ac:dyDescent="0.25">
      <c r="A852" s="2" t="str">
        <f>HYPERLINK("https://rth.dk/resources/bsgatlas/details.php?id=BSGatlas-operon-427","BSGatlas-operon-427")</f>
        <v>BSGatlas-operon-427</v>
      </c>
      <c r="B852" s="2" t="str">
        <f>HYPERLINK("https://rth.dk/resources/bsgatlas/details.php?id=BSGatlas-gene-935","BSGatlas-gene-935")</f>
        <v>BSGatlas-gene-935</v>
      </c>
      <c r="C852" s="1" t="s">
        <v>858</v>
      </c>
      <c r="D852" s="1" t="s">
        <v>12</v>
      </c>
      <c r="E852" s="3">
        <v>839062</v>
      </c>
      <c r="F852" s="3">
        <v>840126</v>
      </c>
      <c r="G852" s="1" t="s">
        <v>9</v>
      </c>
      <c r="H852" s="1" t="b">
        <f t="shared" si="34"/>
        <v>1</v>
      </c>
    </row>
    <row r="853" spans="1:8" ht="21" x14ac:dyDescent="0.25">
      <c r="A853" s="2" t="str">
        <f>HYPERLINK("https://rth.dk/resources/bsgatlas/details.php?id=BSGatlas-operon-428","BSGatlas-operon-428")</f>
        <v>BSGatlas-operon-428</v>
      </c>
      <c r="B853" s="2" t="str">
        <f>HYPERLINK("https://rth.dk/resources/bsgatlas/details.php?id=BSGatlas-gene-936","BSGatlas-gene-936")</f>
        <v>BSGatlas-gene-936</v>
      </c>
      <c r="C853" s="1" t="s">
        <v>859</v>
      </c>
      <c r="D853" s="1" t="s">
        <v>8</v>
      </c>
      <c r="E853" s="3">
        <v>839077</v>
      </c>
      <c r="F853" s="3">
        <v>839232</v>
      </c>
      <c r="G853" s="1" t="s">
        <v>13</v>
      </c>
      <c r="H853" s="1" t="b">
        <f t="shared" si="34"/>
        <v>0</v>
      </c>
    </row>
    <row r="854" spans="1:8" ht="21" x14ac:dyDescent="0.25">
      <c r="A854" s="2" t="str">
        <f>HYPERLINK("https://rth.dk/resources/bsgatlas/details.php?id=BSGatlas-operon-428","BSGatlas-operon-428")</f>
        <v>BSGatlas-operon-428</v>
      </c>
      <c r="B854" s="2" t="str">
        <f>HYPERLINK("https://rth.dk/resources/bsgatlas/details.php?id=BSGatlas-gene-937","BSGatlas-gene-937")</f>
        <v>BSGatlas-gene-937</v>
      </c>
      <c r="C854" s="1" t="s">
        <v>860</v>
      </c>
      <c r="D854" s="1" t="s">
        <v>8</v>
      </c>
      <c r="E854" s="3">
        <v>839339</v>
      </c>
      <c r="F854" s="3">
        <v>839653</v>
      </c>
      <c r="G854" s="1" t="s">
        <v>13</v>
      </c>
      <c r="H854" s="1" t="b">
        <f t="shared" si="34"/>
        <v>0</v>
      </c>
    </row>
    <row r="855" spans="1:8" ht="21" x14ac:dyDescent="0.25">
      <c r="A855" s="2" t="str">
        <f>HYPERLINK("https://rth.dk/resources/bsgatlas/details.php?id=BSGatlas-operon-428","BSGatlas-operon-428")</f>
        <v>BSGatlas-operon-428</v>
      </c>
      <c r="B855" s="2" t="str">
        <f>HYPERLINK("https://rth.dk/resources/bsgatlas/details.php?id=BSGatlas-gene-938","BSGatlas-gene-938")</f>
        <v>BSGatlas-gene-938</v>
      </c>
      <c r="C855" s="1" t="s">
        <v>861</v>
      </c>
      <c r="D855" s="1" t="s">
        <v>8</v>
      </c>
      <c r="E855" s="3">
        <v>839735</v>
      </c>
      <c r="F855" s="3">
        <v>840484</v>
      </c>
      <c r="G855" s="1" t="s">
        <v>13</v>
      </c>
      <c r="H855" s="1" t="b">
        <f t="shared" si="34"/>
        <v>0</v>
      </c>
    </row>
    <row r="856" spans="1:8" ht="21" x14ac:dyDescent="0.25">
      <c r="A856" s="2" t="str">
        <f>HYPERLINK("https://rth.dk/resources/bsgatlas/details.php?id=BSGatlas-operon-429","BSGatlas-operon-429")</f>
        <v>BSGatlas-operon-429</v>
      </c>
      <c r="B856" s="2" t="str">
        <f>HYPERLINK("https://rth.dk/resources/bsgatlas/details.php?id=BSGatlas-gene-939","BSGatlas-gene-939")</f>
        <v>BSGatlas-gene-939</v>
      </c>
      <c r="C856" s="1" t="s">
        <v>862</v>
      </c>
      <c r="D856" s="1" t="s">
        <v>8</v>
      </c>
      <c r="E856" s="3">
        <v>840656</v>
      </c>
      <c r="F856" s="3">
        <v>842014</v>
      </c>
      <c r="G856" s="1" t="s">
        <v>9</v>
      </c>
      <c r="H856" s="1" t="b">
        <f t="shared" si="34"/>
        <v>1</v>
      </c>
    </row>
    <row r="857" spans="1:8" ht="21" x14ac:dyDescent="0.25">
      <c r="A857" s="2" t="str">
        <f>HYPERLINK("https://rth.dk/resources/bsgatlas/details.php?id=BSGatlas-operon-430","BSGatlas-operon-430")</f>
        <v>BSGatlas-operon-430</v>
      </c>
      <c r="B857" s="2" t="str">
        <f>HYPERLINK("https://rth.dk/resources/bsgatlas/details.php?id=BSGatlas-gene-940","BSGatlas-gene-940")</f>
        <v>BSGatlas-gene-940</v>
      </c>
      <c r="C857" s="1" t="s">
        <v>863</v>
      </c>
      <c r="D857" s="1" t="s">
        <v>8</v>
      </c>
      <c r="E857" s="3">
        <v>842047</v>
      </c>
      <c r="F857" s="3">
        <v>843996</v>
      </c>
      <c r="G857" s="1" t="s">
        <v>13</v>
      </c>
      <c r="H857" s="1" t="b">
        <f t="shared" si="34"/>
        <v>0</v>
      </c>
    </row>
    <row r="858" spans="1:8" ht="21" x14ac:dyDescent="0.25">
      <c r="A858" s="2" t="str">
        <f>HYPERLINK("https://rth.dk/resources/bsgatlas/details.php?id=BSGatlas-operon-431","BSGatlas-operon-431")</f>
        <v>BSGatlas-operon-431</v>
      </c>
      <c r="B858" s="2" t="str">
        <f>HYPERLINK("https://rth.dk/resources/bsgatlas/details.php?id=BSGatlas-gene-941","BSGatlas-gene-941")</f>
        <v>BSGatlas-gene-941</v>
      </c>
      <c r="C858" s="1" t="s">
        <v>864</v>
      </c>
      <c r="D858" s="1" t="s">
        <v>8</v>
      </c>
      <c r="E858" s="3">
        <v>844097</v>
      </c>
      <c r="F858" s="3">
        <v>844234</v>
      </c>
      <c r="G858" s="1" t="s">
        <v>9</v>
      </c>
      <c r="H858" s="1" t="b">
        <f t="shared" si="34"/>
        <v>1</v>
      </c>
    </row>
    <row r="859" spans="1:8" ht="21" x14ac:dyDescent="0.25">
      <c r="A859" s="2" t="str">
        <f>HYPERLINK("https://rth.dk/resources/bsgatlas/details.php?id=BSGatlas-operon-431","BSGatlas-operon-431")</f>
        <v>BSGatlas-operon-431</v>
      </c>
      <c r="B859" s="2" t="str">
        <f>HYPERLINK("https://rth.dk/resources/bsgatlas/details.php?id=BSGatlas-gene-942","BSGatlas-gene-942")</f>
        <v>BSGatlas-gene-942</v>
      </c>
      <c r="C859" s="1" t="s">
        <v>865</v>
      </c>
      <c r="D859" s="1" t="s">
        <v>8</v>
      </c>
      <c r="E859" s="3">
        <v>844253</v>
      </c>
      <c r="F859" s="3">
        <v>844645</v>
      </c>
      <c r="G859" s="1" t="s">
        <v>9</v>
      </c>
      <c r="H859" s="1" t="b">
        <f t="shared" si="34"/>
        <v>1</v>
      </c>
    </row>
    <row r="860" spans="1:8" ht="21" x14ac:dyDescent="0.25">
      <c r="A860" s="2" t="str">
        <f>HYPERLINK("https://rth.dk/resources/bsgatlas/details.php?id=BSGatlas-operon-431","BSGatlas-operon-431")</f>
        <v>BSGatlas-operon-431</v>
      </c>
      <c r="B860" s="2" t="str">
        <f>HYPERLINK("https://rth.dk/resources/bsgatlas/details.php?id=BSGatlas-gene-943","BSGatlas-gene-943")</f>
        <v>BSGatlas-gene-943</v>
      </c>
      <c r="C860" s="1" t="s">
        <v>866</v>
      </c>
      <c r="D860" s="1" t="s">
        <v>8</v>
      </c>
      <c r="E860" s="3">
        <v>844770</v>
      </c>
      <c r="F860" s="3">
        <v>846185</v>
      </c>
      <c r="G860" s="1" t="s">
        <v>9</v>
      </c>
      <c r="H860" s="1" t="b">
        <f t="shared" si="34"/>
        <v>1</v>
      </c>
    </row>
    <row r="861" spans="1:8" ht="21" x14ac:dyDescent="0.25">
      <c r="A861" s="2" t="str">
        <f>HYPERLINK("https://rth.dk/resources/bsgatlas/details.php?id=BSGatlas-operon-432","BSGatlas-operon-432")</f>
        <v>BSGatlas-operon-432</v>
      </c>
      <c r="B861" s="2" t="str">
        <f>HYPERLINK("https://rth.dk/resources/bsgatlas/details.php?id=BSGatlas-gene-944","BSGatlas-gene-944")</f>
        <v>BSGatlas-gene-944</v>
      </c>
      <c r="C861" s="1" t="s">
        <v>867</v>
      </c>
      <c r="D861" s="1" t="s">
        <v>8</v>
      </c>
      <c r="E861" s="3">
        <v>846182</v>
      </c>
      <c r="F861" s="3">
        <v>847258</v>
      </c>
      <c r="G861" s="1" t="s">
        <v>13</v>
      </c>
      <c r="H861" s="1" t="b">
        <f t="shared" si="34"/>
        <v>0</v>
      </c>
    </row>
    <row r="862" spans="1:8" ht="21" x14ac:dyDescent="0.25">
      <c r="A862" s="2" t="str">
        <f>HYPERLINK("https://rth.dk/resources/bsgatlas/details.php?id=BSGatlas-operon-432","BSGatlas-operon-432")</f>
        <v>BSGatlas-operon-432</v>
      </c>
      <c r="B862" s="2" t="str">
        <f>HYPERLINK("https://rth.dk/resources/bsgatlas/details.php?id=BSGatlas-gene-945","BSGatlas-gene-945")</f>
        <v>BSGatlas-gene-945</v>
      </c>
      <c r="C862" s="1" t="s">
        <v>868</v>
      </c>
      <c r="D862" s="1" t="s">
        <v>8</v>
      </c>
      <c r="E862" s="3">
        <v>847282</v>
      </c>
      <c r="F862" s="3">
        <v>847482</v>
      </c>
      <c r="G862" s="1" t="s">
        <v>13</v>
      </c>
      <c r="H862" s="1" t="b">
        <f t="shared" si="34"/>
        <v>0</v>
      </c>
    </row>
    <row r="863" spans="1:8" ht="21" x14ac:dyDescent="0.25">
      <c r="A863" s="2" t="str">
        <f>HYPERLINK("https://rth.dk/resources/bsgatlas/details.php?id=BSGatlas-operon-432","BSGatlas-operon-432")</f>
        <v>BSGatlas-operon-432</v>
      </c>
      <c r="B863" s="2" t="str">
        <f>HYPERLINK("https://rth.dk/resources/bsgatlas/details.php?id=BSGatlas-gene-946","BSGatlas-gene-946")</f>
        <v>BSGatlas-gene-946</v>
      </c>
      <c r="C863" s="1" t="s">
        <v>869</v>
      </c>
      <c r="D863" s="1" t="s">
        <v>8</v>
      </c>
      <c r="E863" s="3">
        <v>847498</v>
      </c>
      <c r="F863" s="3">
        <v>848652</v>
      </c>
      <c r="G863" s="1" t="s">
        <v>13</v>
      </c>
      <c r="H863" s="1" t="b">
        <f t="shared" si="34"/>
        <v>0</v>
      </c>
    </row>
    <row r="864" spans="1:8" ht="21" x14ac:dyDescent="0.25">
      <c r="A864" s="2" t="str">
        <f>HYPERLINK("https://rth.dk/resources/bsgatlas/details.php?id=BSGatlas-operon-432","BSGatlas-operon-432")</f>
        <v>BSGatlas-operon-432</v>
      </c>
      <c r="B864" s="2" t="str">
        <f>HYPERLINK("https://rth.dk/resources/bsgatlas/details.php?id=BSGatlas-gene-947","BSGatlas-gene-947")</f>
        <v>BSGatlas-gene-947</v>
      </c>
      <c r="C864" s="1" t="s">
        <v>870</v>
      </c>
      <c r="D864" s="1" t="s">
        <v>8</v>
      </c>
      <c r="E864" s="3">
        <v>848633</v>
      </c>
      <c r="F864" s="3">
        <v>850174</v>
      </c>
      <c r="G864" s="1" t="s">
        <v>13</v>
      </c>
      <c r="H864" s="1" t="b">
        <f t="shared" si="34"/>
        <v>0</v>
      </c>
    </row>
    <row r="865" spans="1:8" ht="21" x14ac:dyDescent="0.25">
      <c r="A865" s="2" t="str">
        <f>HYPERLINK("https://rth.dk/resources/bsgatlas/details.php?id=BSGatlas-operon-433","BSGatlas-operon-433")</f>
        <v>BSGatlas-operon-433</v>
      </c>
      <c r="B865" s="2" t="str">
        <f>HYPERLINK("https://rth.dk/resources/bsgatlas/details.php?id=BSGatlas-gene-948","BSGatlas-gene-948")</f>
        <v>BSGatlas-gene-948</v>
      </c>
      <c r="C865" s="1" t="s">
        <v>871</v>
      </c>
      <c r="D865" s="1" t="s">
        <v>8</v>
      </c>
      <c r="E865" s="3">
        <v>850367</v>
      </c>
      <c r="F865" s="3">
        <v>851779</v>
      </c>
      <c r="G865" s="1" t="s">
        <v>9</v>
      </c>
      <c r="H865" s="1" t="b">
        <f t="shared" si="34"/>
        <v>1</v>
      </c>
    </row>
    <row r="866" spans="1:8" ht="21" x14ac:dyDescent="0.25">
      <c r="A866" s="2" t="str">
        <f>HYPERLINK("https://rth.dk/resources/bsgatlas/details.php?id=BSGatlas-operon-433","BSGatlas-operon-433")</f>
        <v>BSGatlas-operon-433</v>
      </c>
      <c r="B866" s="2" t="str">
        <f>HYPERLINK("https://rth.dk/resources/bsgatlas/details.php?id=BSGatlas-gene-949","BSGatlas-gene-949")</f>
        <v>BSGatlas-gene-949</v>
      </c>
      <c r="C866" s="1" t="s">
        <v>872</v>
      </c>
      <c r="D866" s="1" t="s">
        <v>8</v>
      </c>
      <c r="E866" s="3">
        <v>851850</v>
      </c>
      <c r="F866" s="3">
        <v>853535</v>
      </c>
      <c r="G866" s="1" t="s">
        <v>9</v>
      </c>
      <c r="H866" s="1" t="b">
        <f t="shared" si="34"/>
        <v>1</v>
      </c>
    </row>
    <row r="867" spans="1:8" ht="21" x14ac:dyDescent="0.25">
      <c r="A867" s="2" t="str">
        <f>HYPERLINK("https://rth.dk/resources/bsgatlas/details.php?id=BSGatlas-operon-433","BSGatlas-operon-433")</f>
        <v>BSGatlas-operon-433</v>
      </c>
      <c r="B867" s="2" t="str">
        <f>HYPERLINK("https://rth.dk/resources/bsgatlas/details.php?id=BSGatlas-gene-950","BSGatlas-gene-950")</f>
        <v>BSGatlas-gene-950</v>
      </c>
      <c r="C867" s="1" t="s">
        <v>873</v>
      </c>
      <c r="D867" s="1" t="s">
        <v>8</v>
      </c>
      <c r="E867" s="3">
        <v>853556</v>
      </c>
      <c r="F867" s="3">
        <v>854272</v>
      </c>
      <c r="G867" s="1" t="s">
        <v>9</v>
      </c>
      <c r="H867" s="1" t="b">
        <f t="shared" si="34"/>
        <v>1</v>
      </c>
    </row>
    <row r="868" spans="1:8" ht="21" x14ac:dyDescent="0.25">
      <c r="A868" s="2" t="str">
        <f>HYPERLINK("https://rth.dk/resources/bsgatlas/details.php?id=BSGatlas-operon-434","BSGatlas-operon-434")</f>
        <v>BSGatlas-operon-434</v>
      </c>
      <c r="B868" s="2" t="str">
        <f>HYPERLINK("https://rth.dk/resources/bsgatlas/details.php?id=BSGatlas-gene-951","BSGatlas-gene-951")</f>
        <v>BSGatlas-gene-951</v>
      </c>
      <c r="C868" s="1" t="s">
        <v>874</v>
      </c>
      <c r="D868" s="1" t="s">
        <v>8</v>
      </c>
      <c r="E868" s="3">
        <v>854412</v>
      </c>
      <c r="F868" s="3">
        <v>855077</v>
      </c>
      <c r="G868" s="1" t="s">
        <v>9</v>
      </c>
      <c r="H868" s="1" t="b">
        <f t="shared" si="34"/>
        <v>0</v>
      </c>
    </row>
    <row r="869" spans="1:8" ht="21" x14ac:dyDescent="0.25">
      <c r="A869" s="2" t="str">
        <f>HYPERLINK("https://rth.dk/resources/bsgatlas/details.php?id=BSGatlas-operon-435","BSGatlas-operon-435")</f>
        <v>BSGatlas-operon-435</v>
      </c>
      <c r="B869" s="2" t="str">
        <f>HYPERLINK("https://rth.dk/resources/bsgatlas/details.php?id=BSGatlas-gene-952","BSGatlas-gene-952")</f>
        <v>BSGatlas-gene-952</v>
      </c>
      <c r="C869" s="1" t="s">
        <v>875</v>
      </c>
      <c r="D869" s="1" t="s">
        <v>8</v>
      </c>
      <c r="E869" s="3">
        <v>855114</v>
      </c>
      <c r="F869" s="3">
        <v>859502</v>
      </c>
      <c r="G869" s="1" t="s">
        <v>13</v>
      </c>
      <c r="H869" s="1" t="b">
        <f t="shared" si="34"/>
        <v>1</v>
      </c>
    </row>
    <row r="870" spans="1:8" ht="21" x14ac:dyDescent="0.25">
      <c r="A870" s="2" t="str">
        <f>HYPERLINK("https://rth.dk/resources/bsgatlas/details.php?id=BSGatlas-operon-436","BSGatlas-operon-436")</f>
        <v>BSGatlas-operon-436</v>
      </c>
      <c r="B870" s="2" t="str">
        <f>HYPERLINK("https://rth.dk/resources/bsgatlas/details.php?id=BSGatlas-gene-953","BSGatlas-gene-953")</f>
        <v>BSGatlas-gene-953</v>
      </c>
      <c r="C870" s="1" t="s">
        <v>876</v>
      </c>
      <c r="D870" s="1" t="s">
        <v>8</v>
      </c>
      <c r="E870" s="3">
        <v>859745</v>
      </c>
      <c r="F870" s="3">
        <v>860263</v>
      </c>
      <c r="G870" s="1" t="s">
        <v>9</v>
      </c>
      <c r="H870" s="1" t="b">
        <f t="shared" si="34"/>
        <v>0</v>
      </c>
    </row>
    <row r="871" spans="1:8" ht="21" x14ac:dyDescent="0.25">
      <c r="A871" s="2" t="str">
        <f>HYPERLINK("https://rth.dk/resources/bsgatlas/details.php?id=BSGatlas-operon-437","BSGatlas-operon-437")</f>
        <v>BSGatlas-operon-437</v>
      </c>
      <c r="B871" s="2" t="str">
        <f>HYPERLINK("https://rth.dk/resources/bsgatlas/details.php?id=BSGatlas-gene-954","BSGatlas-gene-954")</f>
        <v>BSGatlas-gene-954</v>
      </c>
      <c r="C871" s="1" t="s">
        <v>877</v>
      </c>
      <c r="D871" s="1" t="s">
        <v>8</v>
      </c>
      <c r="E871" s="3">
        <v>860303</v>
      </c>
      <c r="F871" s="3">
        <v>861493</v>
      </c>
      <c r="G871" s="1" t="s">
        <v>13</v>
      </c>
      <c r="H871" s="1" t="b">
        <f t="shared" si="34"/>
        <v>1</v>
      </c>
    </row>
    <row r="872" spans="1:8" ht="21" x14ac:dyDescent="0.25">
      <c r="A872" s="2" t="str">
        <f>HYPERLINK("https://rth.dk/resources/bsgatlas/details.php?id=BSGatlas-operon-437","BSGatlas-operon-437")</f>
        <v>BSGatlas-operon-437</v>
      </c>
      <c r="B872" s="2" t="str">
        <f>HYPERLINK("https://rth.dk/resources/bsgatlas/details.php?id=BSGatlas-gene-955","BSGatlas-gene-955")</f>
        <v>BSGatlas-gene-955</v>
      </c>
      <c r="C872" s="1" t="s">
        <v>878</v>
      </c>
      <c r="D872" s="1" t="s">
        <v>8</v>
      </c>
      <c r="E872" s="3">
        <v>861586</v>
      </c>
      <c r="F872" s="3">
        <v>861801</v>
      </c>
      <c r="G872" s="1" t="s">
        <v>13</v>
      </c>
      <c r="H872" s="1" t="b">
        <f t="shared" si="34"/>
        <v>1</v>
      </c>
    </row>
    <row r="873" spans="1:8" ht="21" x14ac:dyDescent="0.25">
      <c r="A873" s="2" t="str">
        <f>HYPERLINK("https://rth.dk/resources/bsgatlas/details.php?id=BSGatlas-operon-438","BSGatlas-operon-438")</f>
        <v>BSGatlas-operon-438</v>
      </c>
      <c r="B873" s="2" t="str">
        <f>HYPERLINK("https://rth.dk/resources/bsgatlas/details.php?id=BSGatlas-gene-956","BSGatlas-gene-956")</f>
        <v>BSGatlas-gene-956</v>
      </c>
      <c r="C873" s="1" t="s">
        <v>879</v>
      </c>
      <c r="D873" s="1" t="s">
        <v>8</v>
      </c>
      <c r="E873" s="3">
        <v>862004</v>
      </c>
      <c r="F873" s="3">
        <v>862474</v>
      </c>
      <c r="G873" s="1" t="s">
        <v>9</v>
      </c>
      <c r="H873" s="1" t="b">
        <f t="shared" si="34"/>
        <v>0</v>
      </c>
    </row>
    <row r="874" spans="1:8" ht="21" x14ac:dyDescent="0.25">
      <c r="A874" s="2" t="str">
        <f>HYPERLINK("https://rth.dk/resources/bsgatlas/details.php?id=BSGatlas-operon-438","BSGatlas-operon-438")</f>
        <v>BSGatlas-operon-438</v>
      </c>
      <c r="B874" s="2" t="str">
        <f>HYPERLINK("https://rth.dk/resources/bsgatlas/details.php?id=BSGatlas-gene-957","BSGatlas-gene-957")</f>
        <v>BSGatlas-gene-957</v>
      </c>
      <c r="C874" s="1" t="s">
        <v>880</v>
      </c>
      <c r="D874" s="1" t="s">
        <v>8</v>
      </c>
      <c r="E874" s="3">
        <v>862492</v>
      </c>
      <c r="F874" s="3">
        <v>862812</v>
      </c>
      <c r="G874" s="1" t="s">
        <v>9</v>
      </c>
      <c r="H874" s="1" t="b">
        <f t="shared" si="34"/>
        <v>0</v>
      </c>
    </row>
    <row r="875" spans="1:8" ht="21" x14ac:dyDescent="0.25">
      <c r="A875" s="2" t="str">
        <f>HYPERLINK("https://rth.dk/resources/bsgatlas/details.php?id=BSGatlas-operon-438","BSGatlas-operon-438")</f>
        <v>BSGatlas-operon-438</v>
      </c>
      <c r="B875" s="2" t="str">
        <f>HYPERLINK("https://rth.dk/resources/bsgatlas/details.php?id=BSGatlas-gene-958","BSGatlas-gene-958")</f>
        <v>BSGatlas-gene-958</v>
      </c>
      <c r="C875" s="1" t="s">
        <v>881</v>
      </c>
      <c r="D875" s="1" t="s">
        <v>8</v>
      </c>
      <c r="E875" s="3">
        <v>862836</v>
      </c>
      <c r="F875" s="3">
        <v>863663</v>
      </c>
      <c r="G875" s="1" t="s">
        <v>9</v>
      </c>
      <c r="H875" s="1" t="b">
        <f t="shared" si="34"/>
        <v>0</v>
      </c>
    </row>
    <row r="876" spans="1:8" ht="21" x14ac:dyDescent="0.25">
      <c r="A876" s="2" t="str">
        <f>HYPERLINK("https://rth.dk/resources/bsgatlas/details.php?id=BSGatlas-operon-439","BSGatlas-operon-439")</f>
        <v>BSGatlas-operon-439</v>
      </c>
      <c r="B876" s="2" t="str">
        <f>HYPERLINK("https://rth.dk/resources/bsgatlas/details.php?id=BSGatlas-gene-959","BSGatlas-gene-959")</f>
        <v>BSGatlas-gene-959</v>
      </c>
      <c r="C876" s="1" t="s">
        <v>882</v>
      </c>
      <c r="D876" s="1" t="s">
        <v>12</v>
      </c>
      <c r="E876" s="3">
        <v>863681</v>
      </c>
      <c r="F876" s="3">
        <v>863837</v>
      </c>
      <c r="G876" s="1" t="s">
        <v>9</v>
      </c>
      <c r="H876" s="1" t="b">
        <f t="shared" si="34"/>
        <v>1</v>
      </c>
    </row>
    <row r="877" spans="1:8" ht="21" x14ac:dyDescent="0.25">
      <c r="A877" s="2" t="str">
        <f>HYPERLINK("https://rth.dk/resources/bsgatlas/details.php?id=BSGatlas-operon-440","BSGatlas-operon-440")</f>
        <v>BSGatlas-operon-440</v>
      </c>
      <c r="B877" s="2" t="str">
        <f>HYPERLINK("https://rth.dk/resources/bsgatlas/details.php?id=BSGatlas-gene-960","BSGatlas-gene-960")</f>
        <v>BSGatlas-gene-960</v>
      </c>
      <c r="C877" s="1" t="s">
        <v>883</v>
      </c>
      <c r="D877" s="1" t="s">
        <v>8</v>
      </c>
      <c r="E877" s="3">
        <v>863862</v>
      </c>
      <c r="F877" s="3">
        <v>865037</v>
      </c>
      <c r="G877" s="1" t="s">
        <v>13</v>
      </c>
      <c r="H877" s="1" t="b">
        <f t="shared" si="34"/>
        <v>0</v>
      </c>
    </row>
    <row r="878" spans="1:8" ht="21" x14ac:dyDescent="0.25">
      <c r="A878" s="2" t="str">
        <f>HYPERLINK("https://rth.dk/resources/bsgatlas/details.php?id=BSGatlas-operon-441","BSGatlas-operon-441")</f>
        <v>BSGatlas-operon-441</v>
      </c>
      <c r="B878" s="2" t="str">
        <f>HYPERLINK("https://rth.dk/resources/bsgatlas/details.php?id=BSGatlas-gene-961","BSGatlas-gene-961")</f>
        <v>BSGatlas-gene-961</v>
      </c>
      <c r="C878" s="1" t="s">
        <v>884</v>
      </c>
      <c r="D878" s="1" t="s">
        <v>8</v>
      </c>
      <c r="E878" s="3">
        <v>865205</v>
      </c>
      <c r="F878" s="3">
        <v>866260</v>
      </c>
      <c r="G878" s="1" t="s">
        <v>9</v>
      </c>
      <c r="H878" s="1" t="b">
        <f t="shared" si="34"/>
        <v>1</v>
      </c>
    </row>
    <row r="879" spans="1:8" ht="21" x14ac:dyDescent="0.25">
      <c r="A879" s="2" t="str">
        <f>HYPERLINK("https://rth.dk/resources/bsgatlas/details.php?id=BSGatlas-operon-441","BSGatlas-operon-441")</f>
        <v>BSGatlas-operon-441</v>
      </c>
      <c r="B879" s="2" t="str">
        <f>HYPERLINK("https://rth.dk/resources/bsgatlas/details.php?id=BSGatlas-gene-962","BSGatlas-gene-962")</f>
        <v>BSGatlas-gene-962</v>
      </c>
      <c r="C879" s="1" t="s">
        <v>885</v>
      </c>
      <c r="D879" s="1" t="s">
        <v>8</v>
      </c>
      <c r="E879" s="3">
        <v>866331</v>
      </c>
      <c r="F879" s="3">
        <v>867125</v>
      </c>
      <c r="G879" s="1" t="s">
        <v>9</v>
      </c>
      <c r="H879" s="1" t="b">
        <f t="shared" si="34"/>
        <v>1</v>
      </c>
    </row>
    <row r="880" spans="1:8" ht="21" x14ac:dyDescent="0.25">
      <c r="A880" s="2" t="str">
        <f>HYPERLINK("https://rth.dk/resources/bsgatlas/details.php?id=BSGatlas-operon-442","BSGatlas-operon-442")</f>
        <v>BSGatlas-operon-442</v>
      </c>
      <c r="B880" s="2" t="str">
        <f>HYPERLINK("https://rth.dk/resources/bsgatlas/details.php?id=BSGatlas-gene-963","BSGatlas-gene-963")</f>
        <v>BSGatlas-gene-963</v>
      </c>
      <c r="C880" s="1" t="s">
        <v>886</v>
      </c>
      <c r="D880" s="1" t="s">
        <v>8</v>
      </c>
      <c r="E880" s="3">
        <v>867164</v>
      </c>
      <c r="F880" s="3">
        <v>868006</v>
      </c>
      <c r="G880" s="1" t="s">
        <v>13</v>
      </c>
      <c r="H880" s="1" t="b">
        <f t="shared" si="34"/>
        <v>0</v>
      </c>
    </row>
    <row r="881" spans="1:8" ht="21" x14ac:dyDescent="0.25">
      <c r="A881" s="2" t="str">
        <f>HYPERLINK("https://rth.dk/resources/bsgatlas/details.php?id=BSGatlas-operon-442","BSGatlas-operon-442")</f>
        <v>BSGatlas-operon-442</v>
      </c>
      <c r="B881" s="2" t="str">
        <f>HYPERLINK("https://rth.dk/resources/bsgatlas/details.php?id=BSGatlas-gene-964","BSGatlas-gene-964")</f>
        <v>BSGatlas-gene-964</v>
      </c>
      <c r="C881" s="1" t="s">
        <v>887</v>
      </c>
      <c r="D881" s="1" t="s">
        <v>8</v>
      </c>
      <c r="E881" s="3">
        <v>868007</v>
      </c>
      <c r="F881" s="3">
        <v>869128</v>
      </c>
      <c r="G881" s="1" t="s">
        <v>13</v>
      </c>
      <c r="H881" s="1" t="b">
        <f t="shared" si="34"/>
        <v>0</v>
      </c>
    </row>
    <row r="882" spans="1:8" ht="21" x14ac:dyDescent="0.25">
      <c r="A882" s="2" t="str">
        <f>HYPERLINK("https://rth.dk/resources/bsgatlas/details.php?id=BSGatlas-operon-443","BSGatlas-operon-443")</f>
        <v>BSGatlas-operon-443</v>
      </c>
      <c r="B882" s="2" t="str">
        <f>HYPERLINK("https://rth.dk/resources/bsgatlas/details.php?id=BSGatlas-gene-965","BSGatlas-gene-965")</f>
        <v>BSGatlas-gene-965</v>
      </c>
      <c r="C882" s="1" t="s">
        <v>888</v>
      </c>
      <c r="D882" s="1" t="s">
        <v>8</v>
      </c>
      <c r="E882" s="3">
        <v>869273</v>
      </c>
      <c r="F882" s="3">
        <v>869458</v>
      </c>
      <c r="G882" s="1" t="s">
        <v>9</v>
      </c>
      <c r="H882" s="1" t="b">
        <f t="shared" si="34"/>
        <v>1</v>
      </c>
    </row>
    <row r="883" spans="1:8" ht="21" x14ac:dyDescent="0.25">
      <c r="A883" s="2" t="str">
        <f>HYPERLINK("https://rth.dk/resources/bsgatlas/details.php?id=BSGatlas-operon-444","BSGatlas-operon-444")</f>
        <v>BSGatlas-operon-444</v>
      </c>
      <c r="B883" s="2" t="str">
        <f>HYPERLINK("https://rth.dk/resources/bsgatlas/details.php?id=BSGatlas-gene-966","BSGatlas-gene-966")</f>
        <v>BSGatlas-gene-966</v>
      </c>
      <c r="C883" s="1" t="s">
        <v>889</v>
      </c>
      <c r="D883" s="1" t="s">
        <v>8</v>
      </c>
      <c r="E883" s="3">
        <v>869559</v>
      </c>
      <c r="F883" s="3">
        <v>870350</v>
      </c>
      <c r="G883" s="1" t="s">
        <v>9</v>
      </c>
      <c r="H883" s="1" t="b">
        <f t="shared" si="34"/>
        <v>0</v>
      </c>
    </row>
    <row r="884" spans="1:8" ht="21" x14ac:dyDescent="0.25">
      <c r="A884" s="2" t="str">
        <f>HYPERLINK("https://rth.dk/resources/bsgatlas/details.php?id=BSGatlas-operon-445","BSGatlas-operon-445")</f>
        <v>BSGatlas-operon-445</v>
      </c>
      <c r="B884" s="2" t="str">
        <f>HYPERLINK("https://rth.dk/resources/bsgatlas/details.php?id=BSGatlas-gene-967","BSGatlas-gene-967")</f>
        <v>BSGatlas-gene-967</v>
      </c>
      <c r="C884" s="1" t="s">
        <v>890</v>
      </c>
      <c r="D884" s="1" t="s">
        <v>8</v>
      </c>
      <c r="E884" s="3">
        <v>870388</v>
      </c>
      <c r="F884" s="3">
        <v>871248</v>
      </c>
      <c r="G884" s="1" t="s">
        <v>13</v>
      </c>
      <c r="H884" s="1" t="b">
        <f t="shared" si="34"/>
        <v>1</v>
      </c>
    </row>
    <row r="885" spans="1:8" ht="21" x14ac:dyDescent="0.25">
      <c r="A885" s="2" t="str">
        <f>HYPERLINK("https://rth.dk/resources/bsgatlas/details.php?id=BSGatlas-operon-446","BSGatlas-operon-446")</f>
        <v>BSGatlas-operon-446</v>
      </c>
      <c r="B885" s="2" t="str">
        <f>HYPERLINK("https://rth.dk/resources/bsgatlas/details.php?id=BSGatlas-gene-968","BSGatlas-gene-968")</f>
        <v>BSGatlas-gene-968</v>
      </c>
      <c r="C885" s="1" t="s">
        <v>891</v>
      </c>
      <c r="D885" s="1" t="s">
        <v>8</v>
      </c>
      <c r="E885" s="3">
        <v>871347</v>
      </c>
      <c r="F885" s="3">
        <v>872306</v>
      </c>
      <c r="G885" s="1" t="s">
        <v>13</v>
      </c>
      <c r="H885" s="1" t="b">
        <f t="shared" si="34"/>
        <v>0</v>
      </c>
    </row>
    <row r="886" spans="1:8" ht="21" x14ac:dyDescent="0.25">
      <c r="A886" s="2" t="str">
        <f>HYPERLINK("https://rth.dk/resources/bsgatlas/details.php?id=BSGatlas-operon-447","BSGatlas-operon-447")</f>
        <v>BSGatlas-operon-447</v>
      </c>
      <c r="B886" s="2" t="str">
        <f>HYPERLINK("https://rth.dk/resources/bsgatlas/details.php?id=BSGatlas-gene-969","BSGatlas-gene-969")</f>
        <v>BSGatlas-gene-969</v>
      </c>
      <c r="C886" s="1" t="s">
        <v>892</v>
      </c>
      <c r="D886" s="1" t="s">
        <v>8</v>
      </c>
      <c r="E886" s="3">
        <v>872425</v>
      </c>
      <c r="F886" s="3">
        <v>873288</v>
      </c>
      <c r="G886" s="1" t="s">
        <v>9</v>
      </c>
      <c r="H886" s="1" t="b">
        <f t="shared" si="34"/>
        <v>1</v>
      </c>
    </row>
    <row r="887" spans="1:8" ht="21" x14ac:dyDescent="0.25">
      <c r="A887" s="2" t="str">
        <f>HYPERLINK("https://rth.dk/resources/bsgatlas/details.php?id=BSGatlas-operon-447","BSGatlas-operon-447")</f>
        <v>BSGatlas-operon-447</v>
      </c>
      <c r="B887" s="2" t="str">
        <f>HYPERLINK("https://rth.dk/resources/bsgatlas/details.php?id=BSGatlas-gene-970","BSGatlas-gene-970")</f>
        <v>BSGatlas-gene-970</v>
      </c>
      <c r="C887" s="1" t="s">
        <v>893</v>
      </c>
      <c r="D887" s="1" t="s">
        <v>8</v>
      </c>
      <c r="E887" s="3">
        <v>873402</v>
      </c>
      <c r="F887" s="3">
        <v>874802</v>
      </c>
      <c r="G887" s="1" t="s">
        <v>9</v>
      </c>
      <c r="H887" s="1" t="b">
        <f t="shared" si="34"/>
        <v>1</v>
      </c>
    </row>
    <row r="888" spans="1:8" ht="21" x14ac:dyDescent="0.25">
      <c r="A888" s="2" t="str">
        <f>HYPERLINK("https://rth.dk/resources/bsgatlas/details.php?id=BSGatlas-operon-448","BSGatlas-operon-448")</f>
        <v>BSGatlas-operon-448</v>
      </c>
      <c r="B888" s="2" t="str">
        <f>HYPERLINK("https://rth.dk/resources/bsgatlas/details.php?id=BSGatlas-gene-971","BSGatlas-gene-971")</f>
        <v>BSGatlas-gene-971</v>
      </c>
      <c r="C888" s="1" t="s">
        <v>894</v>
      </c>
      <c r="D888" s="1" t="s">
        <v>8</v>
      </c>
      <c r="E888" s="3">
        <v>875428</v>
      </c>
      <c r="F888" s="3">
        <v>875694</v>
      </c>
      <c r="G888" s="1" t="s">
        <v>9</v>
      </c>
      <c r="H888" s="1" t="b">
        <f t="shared" si="34"/>
        <v>0</v>
      </c>
    </row>
    <row r="889" spans="1:8" ht="21" x14ac:dyDescent="0.25">
      <c r="A889" s="2" t="str">
        <f>HYPERLINK("https://rth.dk/resources/bsgatlas/details.php?id=BSGatlas-operon-449","BSGatlas-operon-449")</f>
        <v>BSGatlas-operon-449</v>
      </c>
      <c r="B889" s="2" t="str">
        <f>HYPERLINK("https://rth.dk/resources/bsgatlas/details.php?id=BSGatlas-gene-972","BSGatlas-gene-972")</f>
        <v>BSGatlas-gene-972</v>
      </c>
      <c r="C889" s="1" t="s">
        <v>895</v>
      </c>
      <c r="D889" s="1" t="s">
        <v>8</v>
      </c>
      <c r="E889" s="3">
        <v>876426</v>
      </c>
      <c r="F889" s="3">
        <v>877403</v>
      </c>
      <c r="G889" s="1" t="s">
        <v>9</v>
      </c>
      <c r="H889" s="1" t="b">
        <f t="shared" si="34"/>
        <v>1</v>
      </c>
    </row>
    <row r="890" spans="1:8" ht="21" x14ac:dyDescent="0.25">
      <c r="A890" s="2" t="str">
        <f>HYPERLINK("https://rth.dk/resources/bsgatlas/details.php?id=BSGatlas-operon-450","BSGatlas-operon-450")</f>
        <v>BSGatlas-operon-450</v>
      </c>
      <c r="B890" s="2" t="str">
        <f>HYPERLINK("https://rth.dk/resources/bsgatlas/details.php?id=BSGatlas-gene-973","BSGatlas-gene-973")</f>
        <v>BSGatlas-gene-973</v>
      </c>
      <c r="C890" s="1" t="s">
        <v>896</v>
      </c>
      <c r="D890" s="1" t="s">
        <v>8</v>
      </c>
      <c r="E890" s="3">
        <v>877599</v>
      </c>
      <c r="F890" s="3">
        <v>878051</v>
      </c>
      <c r="G890" s="1" t="s">
        <v>9</v>
      </c>
      <c r="H890" s="1" t="b">
        <f t="shared" si="34"/>
        <v>0</v>
      </c>
    </row>
    <row r="891" spans="1:8" ht="21" x14ac:dyDescent="0.25">
      <c r="A891" s="2" t="str">
        <f>HYPERLINK("https://rth.dk/resources/bsgatlas/details.php?id=BSGatlas-operon-450","BSGatlas-operon-450")</f>
        <v>BSGatlas-operon-450</v>
      </c>
      <c r="B891" s="2" t="str">
        <f>HYPERLINK("https://rth.dk/resources/bsgatlas/details.php?id=BSGatlas-gene-974","BSGatlas-gene-974")</f>
        <v>BSGatlas-gene-974</v>
      </c>
      <c r="C891" s="1" t="s">
        <v>897</v>
      </c>
      <c r="D891" s="1" t="s">
        <v>8</v>
      </c>
      <c r="E891" s="3">
        <v>878081</v>
      </c>
      <c r="F891" s="3">
        <v>878770</v>
      </c>
      <c r="G891" s="1" t="s">
        <v>9</v>
      </c>
      <c r="H891" s="1" t="b">
        <f t="shared" si="34"/>
        <v>0</v>
      </c>
    </row>
    <row r="892" spans="1:8" ht="21" x14ac:dyDescent="0.25">
      <c r="A892" s="2" t="str">
        <f>HYPERLINK("https://rth.dk/resources/bsgatlas/details.php?id=BSGatlas-operon-451","BSGatlas-operon-451")</f>
        <v>BSGatlas-operon-451</v>
      </c>
      <c r="B892" s="2" t="str">
        <f>HYPERLINK("https://rth.dk/resources/bsgatlas/details.php?id=BSGatlas-gene-975","BSGatlas-gene-975")</f>
        <v>BSGatlas-gene-975</v>
      </c>
      <c r="C892" s="1" t="s">
        <v>898</v>
      </c>
      <c r="D892" s="1" t="s">
        <v>8</v>
      </c>
      <c r="E892" s="3">
        <v>879002</v>
      </c>
      <c r="F892" s="3">
        <v>880003</v>
      </c>
      <c r="G892" s="1" t="s">
        <v>9</v>
      </c>
      <c r="H892" s="1" t="b">
        <f t="shared" si="34"/>
        <v>1</v>
      </c>
    </row>
    <row r="893" spans="1:8" ht="21" x14ac:dyDescent="0.25">
      <c r="A893" s="2" t="str">
        <f>HYPERLINK("https://rth.dk/resources/bsgatlas/details.php?id=BSGatlas-operon-451","BSGatlas-operon-451")</f>
        <v>BSGatlas-operon-451</v>
      </c>
      <c r="B893" s="2" t="str">
        <f>HYPERLINK("https://rth.dk/resources/bsgatlas/details.php?id=BSGatlas-gene-976","BSGatlas-gene-976")</f>
        <v>BSGatlas-gene-976</v>
      </c>
      <c r="C893" s="1" t="s">
        <v>899</v>
      </c>
      <c r="D893" s="1" t="s">
        <v>8</v>
      </c>
      <c r="E893" s="3">
        <v>880007</v>
      </c>
      <c r="F893" s="3">
        <v>881035</v>
      </c>
      <c r="G893" s="1" t="s">
        <v>9</v>
      </c>
      <c r="H893" s="1" t="b">
        <f t="shared" si="34"/>
        <v>1</v>
      </c>
    </row>
    <row r="894" spans="1:8" ht="21" x14ac:dyDescent="0.25">
      <c r="A894" s="2" t="str">
        <f>HYPERLINK("https://rth.dk/resources/bsgatlas/details.php?id=BSGatlas-operon-451","BSGatlas-operon-451")</f>
        <v>BSGatlas-operon-451</v>
      </c>
      <c r="B894" s="2" t="str">
        <f>HYPERLINK("https://rth.dk/resources/bsgatlas/details.php?id=BSGatlas-gene-977","BSGatlas-gene-977")</f>
        <v>BSGatlas-gene-977</v>
      </c>
      <c r="C894" s="1" t="s">
        <v>900</v>
      </c>
      <c r="D894" s="1" t="s">
        <v>8</v>
      </c>
      <c r="E894" s="3">
        <v>881049</v>
      </c>
      <c r="F894" s="3">
        <v>882245</v>
      </c>
      <c r="G894" s="1" t="s">
        <v>9</v>
      </c>
      <c r="H894" s="1" t="b">
        <f t="shared" si="34"/>
        <v>1</v>
      </c>
    </row>
    <row r="895" spans="1:8" ht="21" x14ac:dyDescent="0.25">
      <c r="A895" s="2" t="str">
        <f>HYPERLINK("https://rth.dk/resources/bsgatlas/details.php?id=BSGatlas-operon-451","BSGatlas-operon-451")</f>
        <v>BSGatlas-operon-451</v>
      </c>
      <c r="B895" s="2" t="str">
        <f>HYPERLINK("https://rth.dk/resources/bsgatlas/details.php?id=BSGatlas-gene-978","BSGatlas-gene-978")</f>
        <v>BSGatlas-gene-978</v>
      </c>
      <c r="C895" s="1" t="s">
        <v>901</v>
      </c>
      <c r="D895" s="1" t="s">
        <v>8</v>
      </c>
      <c r="E895" s="3">
        <v>882266</v>
      </c>
      <c r="F895" s="3">
        <v>883642</v>
      </c>
      <c r="G895" s="1" t="s">
        <v>9</v>
      </c>
      <c r="H895" s="1" t="b">
        <f t="shared" si="34"/>
        <v>1</v>
      </c>
    </row>
    <row r="896" spans="1:8" ht="21" x14ac:dyDescent="0.25">
      <c r="A896" s="2" t="str">
        <f>HYPERLINK("https://rth.dk/resources/bsgatlas/details.php?id=BSGatlas-operon-452","BSGatlas-operon-452")</f>
        <v>BSGatlas-operon-452</v>
      </c>
      <c r="B896" s="2" t="str">
        <f>HYPERLINK("https://rth.dk/resources/bsgatlas/details.php?id=BSGatlas-gene-979","BSGatlas-gene-979")</f>
        <v>BSGatlas-gene-979</v>
      </c>
      <c r="C896" s="1" t="s">
        <v>902</v>
      </c>
      <c r="D896" s="1" t="s">
        <v>8</v>
      </c>
      <c r="E896" s="3">
        <v>883758</v>
      </c>
      <c r="F896" s="3">
        <v>885575</v>
      </c>
      <c r="G896" s="1" t="s">
        <v>9</v>
      </c>
      <c r="H896" s="1" t="b">
        <f t="shared" si="34"/>
        <v>0</v>
      </c>
    </row>
    <row r="897" spans="1:8" ht="21" x14ac:dyDescent="0.25">
      <c r="A897" s="2" t="str">
        <f>HYPERLINK("https://rth.dk/resources/bsgatlas/details.php?id=BSGatlas-operon-452","BSGatlas-operon-452")</f>
        <v>BSGatlas-operon-452</v>
      </c>
      <c r="B897" s="2" t="str">
        <f>HYPERLINK("https://rth.dk/resources/bsgatlas/details.php?id=BSGatlas-gene-980","BSGatlas-gene-980")</f>
        <v>BSGatlas-gene-980</v>
      </c>
      <c r="C897" s="1" t="s">
        <v>903</v>
      </c>
      <c r="D897" s="1" t="s">
        <v>8</v>
      </c>
      <c r="E897" s="3">
        <v>885629</v>
      </c>
      <c r="F897" s="3">
        <v>885808</v>
      </c>
      <c r="G897" s="1" t="s">
        <v>9</v>
      </c>
      <c r="H897" s="1" t="b">
        <f t="shared" si="34"/>
        <v>0</v>
      </c>
    </row>
    <row r="898" spans="1:8" ht="21" x14ac:dyDescent="0.25">
      <c r="A898" s="2" t="str">
        <f t="shared" ref="A898:A903" si="35">HYPERLINK("https://rth.dk/resources/bsgatlas/details.php?id=BSGatlas-operon-453","BSGatlas-operon-453")</f>
        <v>BSGatlas-operon-453</v>
      </c>
      <c r="B898" s="2" t="str">
        <f>HYPERLINK("https://rth.dk/resources/bsgatlas/details.php?id=BSGatlas-gene-981","BSGatlas-gene-981")</f>
        <v>BSGatlas-gene-981</v>
      </c>
      <c r="C898" s="1" t="s">
        <v>904</v>
      </c>
      <c r="D898" s="1" t="s">
        <v>8</v>
      </c>
      <c r="E898" s="3">
        <v>885844</v>
      </c>
      <c r="F898" s="3">
        <v>886173</v>
      </c>
      <c r="G898" s="1" t="s">
        <v>13</v>
      </c>
      <c r="H898" s="1" t="b">
        <f t="shared" ref="H898:H961" si="36">_xlfn.XOR(A897&lt;&gt;A898,H897)</f>
        <v>1</v>
      </c>
    </row>
    <row r="899" spans="1:8" ht="21" x14ac:dyDescent="0.25">
      <c r="A899" s="2" t="str">
        <f t="shared" si="35"/>
        <v>BSGatlas-operon-453</v>
      </c>
      <c r="B899" s="2" t="str">
        <f>HYPERLINK("https://rth.dk/resources/bsgatlas/details.php?id=BSGatlas-gene-982","BSGatlas-gene-982")</f>
        <v>BSGatlas-gene-982</v>
      </c>
      <c r="C899" s="1" t="s">
        <v>905</v>
      </c>
      <c r="D899" s="1" t="s">
        <v>8</v>
      </c>
      <c r="E899" s="3">
        <v>886223</v>
      </c>
      <c r="F899" s="3">
        <v>886681</v>
      </c>
      <c r="G899" s="1" t="s">
        <v>13</v>
      </c>
      <c r="H899" s="1" t="b">
        <f t="shared" si="36"/>
        <v>1</v>
      </c>
    </row>
    <row r="900" spans="1:8" ht="21" x14ac:dyDescent="0.25">
      <c r="A900" s="2" t="str">
        <f t="shared" si="35"/>
        <v>BSGatlas-operon-453</v>
      </c>
      <c r="B900" s="2" t="str">
        <f>HYPERLINK("https://rth.dk/resources/bsgatlas/details.php?id=BSGatlas-gene-983","BSGatlas-gene-983")</f>
        <v>BSGatlas-gene-983</v>
      </c>
      <c r="C900" s="1" t="s">
        <v>906</v>
      </c>
      <c r="D900" s="1" t="s">
        <v>8</v>
      </c>
      <c r="E900" s="3">
        <v>886775</v>
      </c>
      <c r="F900" s="3">
        <v>887332</v>
      </c>
      <c r="G900" s="1" t="s">
        <v>13</v>
      </c>
      <c r="H900" s="1" t="b">
        <f t="shared" si="36"/>
        <v>1</v>
      </c>
    </row>
    <row r="901" spans="1:8" ht="21" x14ac:dyDescent="0.25">
      <c r="A901" s="2" t="str">
        <f t="shared" si="35"/>
        <v>BSGatlas-operon-453</v>
      </c>
      <c r="B901" s="2" t="str">
        <f>HYPERLINK("https://rth.dk/resources/bsgatlas/details.php?id=BSGatlas-gene-985","BSGatlas-gene-985")</f>
        <v>BSGatlas-gene-985</v>
      </c>
      <c r="C901" s="1" t="s">
        <v>907</v>
      </c>
      <c r="D901" s="1" t="s">
        <v>8</v>
      </c>
      <c r="E901" s="3">
        <v>887364</v>
      </c>
      <c r="F901" s="3">
        <v>888131</v>
      </c>
      <c r="G901" s="1" t="s">
        <v>13</v>
      </c>
      <c r="H901" s="1" t="b">
        <f t="shared" si="36"/>
        <v>1</v>
      </c>
    </row>
    <row r="902" spans="1:8" ht="21" x14ac:dyDescent="0.25">
      <c r="A902" s="2" t="str">
        <f t="shared" si="35"/>
        <v>BSGatlas-operon-453</v>
      </c>
      <c r="B902" s="2" t="str">
        <f>HYPERLINK("https://rth.dk/resources/bsgatlas/details.php?id=BSGatlas-gene-986","BSGatlas-gene-986")</f>
        <v>BSGatlas-gene-986</v>
      </c>
      <c r="C902" s="1" t="s">
        <v>908</v>
      </c>
      <c r="D902" s="1" t="s">
        <v>8</v>
      </c>
      <c r="E902" s="3">
        <v>888143</v>
      </c>
      <c r="F902" s="3">
        <v>889366</v>
      </c>
      <c r="G902" s="1" t="s">
        <v>13</v>
      </c>
      <c r="H902" s="1" t="b">
        <f t="shared" si="36"/>
        <v>1</v>
      </c>
    </row>
    <row r="903" spans="1:8" ht="21" x14ac:dyDescent="0.25">
      <c r="A903" s="2" t="str">
        <f t="shared" si="35"/>
        <v>BSGatlas-operon-453</v>
      </c>
      <c r="B903" s="2" t="str">
        <f>HYPERLINK("https://rth.dk/resources/bsgatlas/details.php?id=BSGatlas-gene-987","BSGatlas-gene-987")</f>
        <v>BSGatlas-gene-987</v>
      </c>
      <c r="C903" s="1" t="s">
        <v>909</v>
      </c>
      <c r="D903" s="1" t="s">
        <v>8</v>
      </c>
      <c r="E903" s="3">
        <v>889372</v>
      </c>
      <c r="F903" s="3">
        <v>889686</v>
      </c>
      <c r="G903" s="1" t="s">
        <v>13</v>
      </c>
      <c r="H903" s="1" t="b">
        <f t="shared" si="36"/>
        <v>1</v>
      </c>
    </row>
    <row r="904" spans="1:8" ht="21" x14ac:dyDescent="0.25">
      <c r="A904" s="2" t="str">
        <f>HYPERLINK("https://rth.dk/resources/bsgatlas/details.php?id=BSGatlas-operon-454","BSGatlas-operon-454")</f>
        <v>BSGatlas-operon-454</v>
      </c>
      <c r="B904" s="2" t="str">
        <f>HYPERLINK("https://rth.dk/resources/bsgatlas/details.php?id=BSGatlas-gene-984","BSGatlas-gene-984")</f>
        <v>BSGatlas-gene-984</v>
      </c>
      <c r="C904" s="1" t="s">
        <v>910</v>
      </c>
      <c r="D904" s="1" t="s">
        <v>12</v>
      </c>
      <c r="E904" s="3">
        <v>887222</v>
      </c>
      <c r="F904" s="3">
        <v>887809</v>
      </c>
      <c r="G904" s="1" t="s">
        <v>9</v>
      </c>
      <c r="H904" s="1" t="b">
        <f t="shared" si="36"/>
        <v>0</v>
      </c>
    </row>
    <row r="905" spans="1:8" ht="21" x14ac:dyDescent="0.25">
      <c r="A905" s="2" t="str">
        <f>HYPERLINK("https://rth.dk/resources/bsgatlas/details.php?id=BSGatlas-operon-455","BSGatlas-operon-455")</f>
        <v>BSGatlas-operon-455</v>
      </c>
      <c r="B905" s="2" t="str">
        <f>HYPERLINK("https://rth.dk/resources/bsgatlas/details.php?id=BSGatlas-gene-988","BSGatlas-gene-988")</f>
        <v>BSGatlas-gene-988</v>
      </c>
      <c r="C905" s="1" t="s">
        <v>911</v>
      </c>
      <c r="D905" s="1" t="s">
        <v>8</v>
      </c>
      <c r="E905" s="3">
        <v>890022</v>
      </c>
      <c r="F905" s="3">
        <v>891371</v>
      </c>
      <c r="G905" s="1" t="s">
        <v>9</v>
      </c>
      <c r="H905" s="1" t="b">
        <f t="shared" si="36"/>
        <v>1</v>
      </c>
    </row>
    <row r="906" spans="1:8" ht="21" x14ac:dyDescent="0.25">
      <c r="A906" s="2" t="str">
        <f>HYPERLINK("https://rth.dk/resources/bsgatlas/details.php?id=BSGatlas-operon-455","BSGatlas-operon-455")</f>
        <v>BSGatlas-operon-455</v>
      </c>
      <c r="B906" s="2" t="str">
        <f>HYPERLINK("https://rth.dk/resources/bsgatlas/details.php?id=BSGatlas-gene-989","BSGatlas-gene-989")</f>
        <v>BSGatlas-gene-989</v>
      </c>
      <c r="C906" s="1" t="s">
        <v>912</v>
      </c>
      <c r="D906" s="1" t="s">
        <v>8</v>
      </c>
      <c r="E906" s="3">
        <v>891436</v>
      </c>
      <c r="F906" s="3">
        <v>892200</v>
      </c>
      <c r="G906" s="1" t="s">
        <v>9</v>
      </c>
      <c r="H906" s="1" t="b">
        <f t="shared" si="36"/>
        <v>1</v>
      </c>
    </row>
    <row r="907" spans="1:8" ht="21" x14ac:dyDescent="0.25">
      <c r="A907" s="2" t="str">
        <f>HYPERLINK("https://rth.dk/resources/bsgatlas/details.php?id=BSGatlas-operon-455","BSGatlas-operon-455")</f>
        <v>BSGatlas-operon-455</v>
      </c>
      <c r="B907" s="2" t="str">
        <f>HYPERLINK("https://rth.dk/resources/bsgatlas/details.php?id=BSGatlas-gene-990","BSGatlas-gene-990")</f>
        <v>BSGatlas-gene-990</v>
      </c>
      <c r="C907" s="1" t="s">
        <v>913</v>
      </c>
      <c r="D907" s="1" t="s">
        <v>8</v>
      </c>
      <c r="E907" s="3">
        <v>892215</v>
      </c>
      <c r="F907" s="3">
        <v>893798</v>
      </c>
      <c r="G907" s="1" t="s">
        <v>9</v>
      </c>
      <c r="H907" s="1" t="b">
        <f t="shared" si="36"/>
        <v>1</v>
      </c>
    </row>
    <row r="908" spans="1:8" ht="21" x14ac:dyDescent="0.25">
      <c r="A908" s="2" t="str">
        <f>HYPERLINK("https://rth.dk/resources/bsgatlas/details.php?id=BSGatlas-operon-456","BSGatlas-operon-456")</f>
        <v>BSGatlas-operon-456</v>
      </c>
      <c r="B908" s="2" t="str">
        <f>HYPERLINK("https://rth.dk/resources/bsgatlas/details.php?id=BSGatlas-gene-991","BSGatlas-gene-991")</f>
        <v>BSGatlas-gene-991</v>
      </c>
      <c r="C908" s="1" t="s">
        <v>914</v>
      </c>
      <c r="D908" s="1" t="s">
        <v>8</v>
      </c>
      <c r="E908" s="3">
        <v>893904</v>
      </c>
      <c r="F908" s="3">
        <v>895625</v>
      </c>
      <c r="G908" s="1" t="s">
        <v>9</v>
      </c>
      <c r="H908" s="1" t="b">
        <f t="shared" si="36"/>
        <v>0</v>
      </c>
    </row>
    <row r="909" spans="1:8" ht="21" x14ac:dyDescent="0.25">
      <c r="A909" s="2" t="str">
        <f>HYPERLINK("https://rth.dk/resources/bsgatlas/details.php?id=BSGatlas-operon-456","BSGatlas-operon-456")</f>
        <v>BSGatlas-operon-456</v>
      </c>
      <c r="B909" s="2" t="str">
        <f>HYPERLINK("https://rth.dk/resources/bsgatlas/details.php?id=BSGatlas-gene-992","BSGatlas-gene-992")</f>
        <v>BSGatlas-gene-992</v>
      </c>
      <c r="C909" s="1" t="s">
        <v>915</v>
      </c>
      <c r="D909" s="1" t="s">
        <v>8</v>
      </c>
      <c r="E909" s="3">
        <v>895619</v>
      </c>
      <c r="F909" s="3">
        <v>897433</v>
      </c>
      <c r="G909" s="1" t="s">
        <v>9</v>
      </c>
      <c r="H909" s="1" t="b">
        <f t="shared" si="36"/>
        <v>0</v>
      </c>
    </row>
    <row r="910" spans="1:8" ht="21" x14ac:dyDescent="0.25">
      <c r="A910" s="2" t="str">
        <f>HYPERLINK("https://rth.dk/resources/bsgatlas/details.php?id=BSGatlas-operon-457","BSGatlas-operon-457")</f>
        <v>BSGatlas-operon-457</v>
      </c>
      <c r="B910" s="2" t="str">
        <f>HYPERLINK("https://rth.dk/resources/bsgatlas/details.php?id=BSGatlas-gene-993","BSGatlas-gene-993")</f>
        <v>BSGatlas-gene-993</v>
      </c>
      <c r="C910" s="1" t="s">
        <v>916</v>
      </c>
      <c r="D910" s="1" t="s">
        <v>8</v>
      </c>
      <c r="E910" s="3">
        <v>897588</v>
      </c>
      <c r="F910" s="3">
        <v>897992</v>
      </c>
      <c r="G910" s="1" t="s">
        <v>9</v>
      </c>
      <c r="H910" s="1" t="b">
        <f t="shared" si="36"/>
        <v>1</v>
      </c>
    </row>
    <row r="911" spans="1:8" ht="21" x14ac:dyDescent="0.25">
      <c r="A911" s="2" t="str">
        <f>HYPERLINK("https://rth.dk/resources/bsgatlas/details.php?id=BSGatlas-operon-457","BSGatlas-operon-457")</f>
        <v>BSGatlas-operon-457</v>
      </c>
      <c r="B911" s="2" t="str">
        <f>HYPERLINK("https://rth.dk/resources/bsgatlas/details.php?id=BSGatlas-gene-994","BSGatlas-gene-994")</f>
        <v>BSGatlas-gene-994</v>
      </c>
      <c r="C911" s="1" t="s">
        <v>917</v>
      </c>
      <c r="D911" s="1" t="s">
        <v>8</v>
      </c>
      <c r="E911" s="3">
        <v>898010</v>
      </c>
      <c r="F911" s="3">
        <v>898867</v>
      </c>
      <c r="G911" s="1" t="s">
        <v>9</v>
      </c>
      <c r="H911" s="1" t="b">
        <f t="shared" si="36"/>
        <v>1</v>
      </c>
    </row>
    <row r="912" spans="1:8" ht="21" x14ac:dyDescent="0.25">
      <c r="A912" s="2" t="str">
        <f>HYPERLINK("https://rth.dk/resources/bsgatlas/details.php?id=BSGatlas-operon-458","BSGatlas-operon-458")</f>
        <v>BSGatlas-operon-458</v>
      </c>
      <c r="B912" s="2" t="str">
        <f>HYPERLINK("https://rth.dk/resources/bsgatlas/details.php?id=BSGatlas-gene-995","BSGatlas-gene-995")</f>
        <v>BSGatlas-gene-995</v>
      </c>
      <c r="C912" s="1" t="s">
        <v>918</v>
      </c>
      <c r="D912" s="1" t="s">
        <v>8</v>
      </c>
      <c r="E912" s="3">
        <v>898961</v>
      </c>
      <c r="F912" s="3">
        <v>899905</v>
      </c>
      <c r="G912" s="1" t="s">
        <v>9</v>
      </c>
      <c r="H912" s="1" t="b">
        <f t="shared" si="36"/>
        <v>0</v>
      </c>
    </row>
    <row r="913" spans="1:8" ht="21" x14ac:dyDescent="0.25">
      <c r="A913" s="2" t="str">
        <f>HYPERLINK("https://rth.dk/resources/bsgatlas/details.php?id=BSGatlas-operon-459","BSGatlas-operon-459")</f>
        <v>BSGatlas-operon-459</v>
      </c>
      <c r="B913" s="2" t="str">
        <f>HYPERLINK("https://rth.dk/resources/bsgatlas/details.php?id=BSGatlas-gene-996","BSGatlas-gene-996")</f>
        <v>BSGatlas-gene-996</v>
      </c>
      <c r="C913" s="1" t="s">
        <v>919</v>
      </c>
      <c r="D913" s="1" t="s">
        <v>8</v>
      </c>
      <c r="E913" s="3">
        <v>900080</v>
      </c>
      <c r="F913" s="3">
        <v>901528</v>
      </c>
      <c r="G913" s="1" t="s">
        <v>9</v>
      </c>
      <c r="H913" s="1" t="b">
        <f t="shared" si="36"/>
        <v>1</v>
      </c>
    </row>
    <row r="914" spans="1:8" ht="21" x14ac:dyDescent="0.25">
      <c r="A914" s="2" t="str">
        <f>HYPERLINK("https://rth.dk/resources/bsgatlas/details.php?id=BSGatlas-operon-459","BSGatlas-operon-459")</f>
        <v>BSGatlas-operon-459</v>
      </c>
      <c r="B914" s="2" t="str">
        <f>HYPERLINK("https://rth.dk/resources/bsgatlas/details.php?id=BSGatlas-gene-997","BSGatlas-gene-997")</f>
        <v>BSGatlas-gene-997</v>
      </c>
      <c r="C914" s="1" t="s">
        <v>920</v>
      </c>
      <c r="D914" s="1" t="s">
        <v>8</v>
      </c>
      <c r="E914" s="3">
        <v>901555</v>
      </c>
      <c r="F914" s="3">
        <v>902496</v>
      </c>
      <c r="G914" s="1" t="s">
        <v>9</v>
      </c>
      <c r="H914" s="1" t="b">
        <f t="shared" si="36"/>
        <v>1</v>
      </c>
    </row>
    <row r="915" spans="1:8" ht="21" x14ac:dyDescent="0.25">
      <c r="A915" s="2" t="str">
        <f>HYPERLINK("https://rth.dk/resources/bsgatlas/details.php?id=BSGatlas-operon-459","BSGatlas-operon-459")</f>
        <v>BSGatlas-operon-459</v>
      </c>
      <c r="B915" s="2" t="str">
        <f>HYPERLINK("https://rth.dk/resources/bsgatlas/details.php?id=BSGatlas-gene-998","BSGatlas-gene-998")</f>
        <v>BSGatlas-gene-998</v>
      </c>
      <c r="C915" s="1" t="s">
        <v>921</v>
      </c>
      <c r="D915" s="1" t="s">
        <v>8</v>
      </c>
      <c r="E915" s="3">
        <v>902506</v>
      </c>
      <c r="F915" s="3">
        <v>903687</v>
      </c>
      <c r="G915" s="1" t="s">
        <v>9</v>
      </c>
      <c r="H915" s="1" t="b">
        <f t="shared" si="36"/>
        <v>1</v>
      </c>
    </row>
    <row r="916" spans="1:8" ht="21" x14ac:dyDescent="0.25">
      <c r="A916" s="2" t="str">
        <f>HYPERLINK("https://rth.dk/resources/bsgatlas/details.php?id=BSGatlas-operon-460","BSGatlas-operon-460")</f>
        <v>BSGatlas-operon-460</v>
      </c>
      <c r="B916" s="2" t="str">
        <f>HYPERLINK("https://rth.dk/resources/bsgatlas/details.php?id=BSGatlas-gene-999","BSGatlas-gene-999")</f>
        <v>BSGatlas-gene-999</v>
      </c>
      <c r="C916" s="1" t="s">
        <v>922</v>
      </c>
      <c r="D916" s="1" t="s">
        <v>8</v>
      </c>
      <c r="E916" s="3">
        <v>903811</v>
      </c>
      <c r="F916" s="3">
        <v>905013</v>
      </c>
      <c r="G916" s="1" t="s">
        <v>9</v>
      </c>
      <c r="H916" s="1" t="b">
        <f t="shared" si="36"/>
        <v>0</v>
      </c>
    </row>
    <row r="917" spans="1:8" ht="21" x14ac:dyDescent="0.25">
      <c r="A917" s="2" t="str">
        <f>HYPERLINK("https://rth.dk/resources/bsgatlas/details.php?id=BSGatlas-operon-460","BSGatlas-operon-460")</f>
        <v>BSGatlas-operon-460</v>
      </c>
      <c r="B917" s="2" t="str">
        <f>HYPERLINK("https://rth.dk/resources/bsgatlas/details.php?id=BSGatlas-gene-1000","BSGatlas-gene-1000")</f>
        <v>BSGatlas-gene-1000</v>
      </c>
      <c r="C917" s="1" t="s">
        <v>923</v>
      </c>
      <c r="D917" s="1" t="s">
        <v>8</v>
      </c>
      <c r="E917" s="3">
        <v>905010</v>
      </c>
      <c r="F917" s="3">
        <v>905672</v>
      </c>
      <c r="G917" s="1" t="s">
        <v>9</v>
      </c>
      <c r="H917" s="1" t="b">
        <f t="shared" si="36"/>
        <v>0</v>
      </c>
    </row>
    <row r="918" spans="1:8" ht="21" x14ac:dyDescent="0.25">
      <c r="A918" s="2" t="str">
        <f>HYPERLINK("https://rth.dk/resources/bsgatlas/details.php?id=BSGatlas-operon-461","BSGatlas-operon-461")</f>
        <v>BSGatlas-operon-461</v>
      </c>
      <c r="B918" s="2" t="str">
        <f>HYPERLINK("https://rth.dk/resources/bsgatlas/details.php?id=BSGatlas-gene-1001","BSGatlas-gene-1001")</f>
        <v>BSGatlas-gene-1001</v>
      </c>
      <c r="C918" s="1" t="s">
        <v>924</v>
      </c>
      <c r="D918" s="1" t="s">
        <v>8</v>
      </c>
      <c r="E918" s="3">
        <v>905816</v>
      </c>
      <c r="F918" s="3">
        <v>906751</v>
      </c>
      <c r="G918" s="1" t="s">
        <v>9</v>
      </c>
      <c r="H918" s="1" t="b">
        <f t="shared" si="36"/>
        <v>1</v>
      </c>
    </row>
    <row r="919" spans="1:8" ht="21" x14ac:dyDescent="0.25">
      <c r="A919" s="2" t="str">
        <f>HYPERLINK("https://rth.dk/resources/bsgatlas/details.php?id=BSGatlas-operon-461","BSGatlas-operon-461")</f>
        <v>BSGatlas-operon-461</v>
      </c>
      <c r="B919" s="2" t="str">
        <f>HYPERLINK("https://rth.dk/resources/bsgatlas/details.php?id=BSGatlas-gene-1002","BSGatlas-gene-1002")</f>
        <v>BSGatlas-gene-1002</v>
      </c>
      <c r="C919" s="1" t="s">
        <v>925</v>
      </c>
      <c r="D919" s="1" t="s">
        <v>8</v>
      </c>
      <c r="E919" s="3">
        <v>906764</v>
      </c>
      <c r="F919" s="3">
        <v>907954</v>
      </c>
      <c r="G919" s="1" t="s">
        <v>9</v>
      </c>
      <c r="H919" s="1" t="b">
        <f t="shared" si="36"/>
        <v>1</v>
      </c>
    </row>
    <row r="920" spans="1:8" ht="21" x14ac:dyDescent="0.25">
      <c r="A920" s="2" t="str">
        <f>HYPERLINK("https://rth.dk/resources/bsgatlas/details.php?id=BSGatlas-operon-461","BSGatlas-operon-461")</f>
        <v>BSGatlas-operon-461</v>
      </c>
      <c r="B920" s="2" t="str">
        <f>HYPERLINK("https://rth.dk/resources/bsgatlas/details.php?id=BSGatlas-gene-1003","BSGatlas-gene-1003")</f>
        <v>BSGatlas-gene-1003</v>
      </c>
      <c r="C920" s="1" t="s">
        <v>926</v>
      </c>
      <c r="D920" s="1" t="s">
        <v>8</v>
      </c>
      <c r="E920" s="3">
        <v>907968</v>
      </c>
      <c r="F920" s="3">
        <v>909125</v>
      </c>
      <c r="G920" s="1" t="s">
        <v>9</v>
      </c>
      <c r="H920" s="1" t="b">
        <f t="shared" si="36"/>
        <v>1</v>
      </c>
    </row>
    <row r="921" spans="1:8" ht="21" x14ac:dyDescent="0.25">
      <c r="A921" s="2" t="str">
        <f>HYPERLINK("https://rth.dk/resources/bsgatlas/details.php?id=BSGatlas-operon-462","BSGatlas-operon-462")</f>
        <v>BSGatlas-operon-462</v>
      </c>
      <c r="B921" s="2" t="str">
        <f>HYPERLINK("https://rth.dk/resources/bsgatlas/details.php?id=BSGatlas-gene-1004","BSGatlas-gene-1004")</f>
        <v>BSGatlas-gene-1004</v>
      </c>
      <c r="C921" s="1" t="s">
        <v>927</v>
      </c>
      <c r="D921" s="1" t="s">
        <v>8</v>
      </c>
      <c r="E921" s="3">
        <v>909198</v>
      </c>
      <c r="F921" s="3">
        <v>909746</v>
      </c>
      <c r="G921" s="1" t="s">
        <v>13</v>
      </c>
      <c r="H921" s="1" t="b">
        <f t="shared" si="36"/>
        <v>0</v>
      </c>
    </row>
    <row r="922" spans="1:8" ht="21" x14ac:dyDescent="0.25">
      <c r="A922" s="2" t="str">
        <f>HYPERLINK("https://rth.dk/resources/bsgatlas/details.php?id=BSGatlas-operon-463","BSGatlas-operon-463")</f>
        <v>BSGatlas-operon-463</v>
      </c>
      <c r="B922" s="2" t="str">
        <f>HYPERLINK("https://rth.dk/resources/bsgatlas/details.php?id=BSGatlas-gene-1005","BSGatlas-gene-1005")</f>
        <v>BSGatlas-gene-1005</v>
      </c>
      <c r="C922" s="1" t="s">
        <v>928</v>
      </c>
      <c r="D922" s="1" t="s">
        <v>8</v>
      </c>
      <c r="E922" s="3">
        <v>910019</v>
      </c>
      <c r="F922" s="3">
        <v>910651</v>
      </c>
      <c r="G922" s="1" t="s">
        <v>9</v>
      </c>
      <c r="H922" s="1" t="b">
        <f t="shared" si="36"/>
        <v>1</v>
      </c>
    </row>
    <row r="923" spans="1:8" ht="21" x14ac:dyDescent="0.25">
      <c r="A923" s="2" t="str">
        <f>HYPERLINK("https://rth.dk/resources/bsgatlas/details.php?id=BSGatlas-operon-464","BSGatlas-operon-464")</f>
        <v>BSGatlas-operon-464</v>
      </c>
      <c r="B923" s="2" t="str">
        <f>HYPERLINK("https://rth.dk/resources/bsgatlas/details.php?id=BSGatlas-gene-1006","BSGatlas-gene-1006")</f>
        <v>BSGatlas-gene-1006</v>
      </c>
      <c r="C923" s="1" t="s">
        <v>929</v>
      </c>
      <c r="D923" s="1" t="s">
        <v>8</v>
      </c>
      <c r="E923" s="3">
        <v>910840</v>
      </c>
      <c r="F923" s="3">
        <v>911928</v>
      </c>
      <c r="G923" s="1" t="s">
        <v>9</v>
      </c>
      <c r="H923" s="1" t="b">
        <f t="shared" si="36"/>
        <v>0</v>
      </c>
    </row>
    <row r="924" spans="1:8" ht="21" x14ac:dyDescent="0.25">
      <c r="A924" s="2" t="str">
        <f>HYPERLINK("https://rth.dk/resources/bsgatlas/details.php?id=BSGatlas-operon-465","BSGatlas-operon-465")</f>
        <v>BSGatlas-operon-465</v>
      </c>
      <c r="B924" s="2" t="str">
        <f>HYPERLINK("https://rth.dk/resources/bsgatlas/details.php?id=BSGatlas-gene-1007","BSGatlas-gene-1007")</f>
        <v>BSGatlas-gene-1007</v>
      </c>
      <c r="C924" s="1" t="s">
        <v>930</v>
      </c>
      <c r="D924" s="1" t="s">
        <v>12</v>
      </c>
      <c r="E924" s="3">
        <v>911330</v>
      </c>
      <c r="F924" s="3">
        <v>911718</v>
      </c>
      <c r="G924" s="1" t="s">
        <v>13</v>
      </c>
      <c r="H924" s="1" t="b">
        <f t="shared" si="36"/>
        <v>1</v>
      </c>
    </row>
    <row r="925" spans="1:8" ht="21" x14ac:dyDescent="0.25">
      <c r="A925" s="2" t="str">
        <f>HYPERLINK("https://rth.dk/resources/bsgatlas/details.php?id=BSGatlas-operon-466","BSGatlas-operon-466")</f>
        <v>BSGatlas-operon-466</v>
      </c>
      <c r="B925" s="2" t="str">
        <f>HYPERLINK("https://rth.dk/resources/bsgatlas/details.php?id=BSGatlas-gene-1008","BSGatlas-gene-1008")</f>
        <v>BSGatlas-gene-1008</v>
      </c>
      <c r="C925" s="1" t="s">
        <v>931</v>
      </c>
      <c r="D925" s="1" t="s">
        <v>8</v>
      </c>
      <c r="E925" s="3">
        <v>911964</v>
      </c>
      <c r="F925" s="3">
        <v>912581</v>
      </c>
      <c r="G925" s="1" t="s">
        <v>13</v>
      </c>
      <c r="H925" s="1" t="b">
        <f t="shared" si="36"/>
        <v>0</v>
      </c>
    </row>
    <row r="926" spans="1:8" ht="21" x14ac:dyDescent="0.25">
      <c r="A926" s="2" t="str">
        <f>HYPERLINK("https://rth.dk/resources/bsgatlas/details.php?id=BSGatlas-operon-466","BSGatlas-operon-466")</f>
        <v>BSGatlas-operon-466</v>
      </c>
      <c r="B926" s="2" t="str">
        <f>HYPERLINK("https://rth.dk/resources/bsgatlas/details.php?id=BSGatlas-gene-1009","BSGatlas-gene-1009")</f>
        <v>BSGatlas-gene-1009</v>
      </c>
      <c r="C926" s="1" t="s">
        <v>932</v>
      </c>
      <c r="D926" s="1" t="s">
        <v>8</v>
      </c>
      <c r="E926" s="3">
        <v>912547</v>
      </c>
      <c r="F926" s="3">
        <v>913800</v>
      </c>
      <c r="G926" s="1" t="s">
        <v>13</v>
      </c>
      <c r="H926" s="1" t="b">
        <f t="shared" si="36"/>
        <v>0</v>
      </c>
    </row>
    <row r="927" spans="1:8" ht="21" x14ac:dyDescent="0.25">
      <c r="A927" s="2" t="str">
        <f>HYPERLINK("https://rth.dk/resources/bsgatlas/details.php?id=BSGatlas-operon-467","BSGatlas-operon-467")</f>
        <v>BSGatlas-operon-467</v>
      </c>
      <c r="B927" s="2" t="str">
        <f>HYPERLINK("https://rth.dk/resources/bsgatlas/details.php?id=BSGatlas-gene-1010","BSGatlas-gene-1010")</f>
        <v>BSGatlas-gene-1010</v>
      </c>
      <c r="C927" s="1" t="s">
        <v>933</v>
      </c>
      <c r="D927" s="1" t="s">
        <v>8</v>
      </c>
      <c r="E927" s="3">
        <v>913924</v>
      </c>
      <c r="F927" s="3">
        <v>914460</v>
      </c>
      <c r="G927" s="1" t="s">
        <v>9</v>
      </c>
      <c r="H927" s="1" t="b">
        <f t="shared" si="36"/>
        <v>1</v>
      </c>
    </row>
    <row r="928" spans="1:8" ht="21" x14ac:dyDescent="0.25">
      <c r="A928" s="2" t="str">
        <f>HYPERLINK("https://rth.dk/resources/bsgatlas/details.php?id=BSGatlas-operon-468","BSGatlas-operon-468")</f>
        <v>BSGatlas-operon-468</v>
      </c>
      <c r="B928" s="2" t="str">
        <f>HYPERLINK("https://rth.dk/resources/bsgatlas/details.php?id=BSGatlas-gene-1011","BSGatlas-gene-1011")</f>
        <v>BSGatlas-gene-1011</v>
      </c>
      <c r="C928" s="1" t="s">
        <v>934</v>
      </c>
      <c r="D928" s="1" t="s">
        <v>8</v>
      </c>
      <c r="E928" s="3">
        <v>914457</v>
      </c>
      <c r="F928" s="3">
        <v>916013</v>
      </c>
      <c r="G928" s="1" t="s">
        <v>13</v>
      </c>
      <c r="H928" s="1" t="b">
        <f t="shared" si="36"/>
        <v>0</v>
      </c>
    </row>
    <row r="929" spans="1:8" ht="21" x14ac:dyDescent="0.25">
      <c r="A929" s="2" t="str">
        <f>HYPERLINK("https://rth.dk/resources/bsgatlas/details.php?id=BSGatlas-operon-469","BSGatlas-operon-469")</f>
        <v>BSGatlas-operon-469</v>
      </c>
      <c r="B929" s="2" t="str">
        <f>HYPERLINK("https://rth.dk/resources/bsgatlas/details.php?id=BSGatlas-gene-1012","BSGatlas-gene-1012")</f>
        <v>BSGatlas-gene-1012</v>
      </c>
      <c r="C929" s="1" t="s">
        <v>935</v>
      </c>
      <c r="D929" s="1" t="s">
        <v>8</v>
      </c>
      <c r="E929" s="3">
        <v>916124</v>
      </c>
      <c r="F929" s="3">
        <v>916606</v>
      </c>
      <c r="G929" s="1" t="s">
        <v>13</v>
      </c>
      <c r="H929" s="1" t="b">
        <f t="shared" si="36"/>
        <v>1</v>
      </c>
    </row>
    <row r="930" spans="1:8" ht="21" x14ac:dyDescent="0.25">
      <c r="A930" s="2" t="str">
        <f>HYPERLINK("https://rth.dk/resources/bsgatlas/details.php?id=BSGatlas-operon-470","BSGatlas-operon-470")</f>
        <v>BSGatlas-operon-470</v>
      </c>
      <c r="B930" s="2" t="str">
        <f>HYPERLINK("https://rth.dk/resources/bsgatlas/details.php?id=BSGatlas-gene-1013","BSGatlas-gene-1013")</f>
        <v>BSGatlas-gene-1013</v>
      </c>
      <c r="C930" s="1" t="s">
        <v>936</v>
      </c>
      <c r="D930" s="1" t="s">
        <v>8</v>
      </c>
      <c r="E930" s="3">
        <v>916778</v>
      </c>
      <c r="F930" s="3">
        <v>919348</v>
      </c>
      <c r="G930" s="1" t="s">
        <v>9</v>
      </c>
      <c r="H930" s="1" t="b">
        <f t="shared" si="36"/>
        <v>0</v>
      </c>
    </row>
    <row r="931" spans="1:8" ht="21" x14ac:dyDescent="0.25">
      <c r="A931" s="2" t="str">
        <f>HYPERLINK("https://rth.dk/resources/bsgatlas/details.php?id=BSGatlas-operon-471","BSGatlas-operon-471")</f>
        <v>BSGatlas-operon-471</v>
      </c>
      <c r="B931" s="2" t="str">
        <f>HYPERLINK("https://rth.dk/resources/bsgatlas/details.php?id=BSGatlas-gene-1014","BSGatlas-gene-1014")</f>
        <v>BSGatlas-gene-1014</v>
      </c>
      <c r="C931" s="1" t="s">
        <v>937</v>
      </c>
      <c r="D931" s="1" t="s">
        <v>8</v>
      </c>
      <c r="E931" s="3">
        <v>919366</v>
      </c>
      <c r="F931" s="3">
        <v>920343</v>
      </c>
      <c r="G931" s="1" t="s">
        <v>13</v>
      </c>
      <c r="H931" s="1" t="b">
        <f t="shared" si="36"/>
        <v>1</v>
      </c>
    </row>
    <row r="932" spans="1:8" ht="21" x14ac:dyDescent="0.25">
      <c r="A932" s="2" t="str">
        <f>HYPERLINK("https://rth.dk/resources/bsgatlas/details.php?id=BSGatlas-operon-472","BSGatlas-operon-472")</f>
        <v>BSGatlas-operon-472</v>
      </c>
      <c r="B932" s="2" t="str">
        <f>HYPERLINK("https://rth.dk/resources/bsgatlas/details.php?id=BSGatlas-gene-1015","BSGatlas-gene-1015")</f>
        <v>BSGatlas-gene-1015</v>
      </c>
      <c r="C932" s="1" t="s">
        <v>938</v>
      </c>
      <c r="D932" s="1" t="s">
        <v>8</v>
      </c>
      <c r="E932" s="3">
        <v>920474</v>
      </c>
      <c r="F932" s="3">
        <v>921475</v>
      </c>
      <c r="G932" s="1" t="s">
        <v>9</v>
      </c>
      <c r="H932" s="1" t="b">
        <f t="shared" si="36"/>
        <v>0</v>
      </c>
    </row>
    <row r="933" spans="1:8" ht="21" x14ac:dyDescent="0.25">
      <c r="A933" s="2" t="str">
        <f>HYPERLINK("https://rth.dk/resources/bsgatlas/details.php?id=BSGatlas-operon-472","BSGatlas-operon-472")</f>
        <v>BSGatlas-operon-472</v>
      </c>
      <c r="B933" s="2" t="str">
        <f>HYPERLINK("https://rth.dk/resources/bsgatlas/details.php?id=BSGatlas-gene-1016","BSGatlas-gene-1016")</f>
        <v>BSGatlas-gene-1016</v>
      </c>
      <c r="C933" s="1" t="s">
        <v>939</v>
      </c>
      <c r="D933" s="1" t="s">
        <v>8</v>
      </c>
      <c r="E933" s="3">
        <v>921472</v>
      </c>
      <c r="F933" s="3">
        <v>922503</v>
      </c>
      <c r="G933" s="1" t="s">
        <v>9</v>
      </c>
      <c r="H933" s="1" t="b">
        <f t="shared" si="36"/>
        <v>0</v>
      </c>
    </row>
    <row r="934" spans="1:8" ht="21" x14ac:dyDescent="0.25">
      <c r="A934" s="2" t="str">
        <f>HYPERLINK("https://rth.dk/resources/bsgatlas/details.php?id=BSGatlas-operon-473","BSGatlas-operon-473")</f>
        <v>BSGatlas-operon-473</v>
      </c>
      <c r="B934" s="2" t="str">
        <f>HYPERLINK("https://rth.dk/resources/bsgatlas/details.php?id=BSGatlas-gene-1017","BSGatlas-gene-1017")</f>
        <v>BSGatlas-gene-1017</v>
      </c>
      <c r="C934" s="1" t="s">
        <v>940</v>
      </c>
      <c r="D934" s="1" t="s">
        <v>8</v>
      </c>
      <c r="E934" s="3">
        <v>922618</v>
      </c>
      <c r="F934" s="3">
        <v>923499</v>
      </c>
      <c r="G934" s="1" t="s">
        <v>9</v>
      </c>
      <c r="H934" s="1" t="b">
        <f t="shared" si="36"/>
        <v>1</v>
      </c>
    </row>
    <row r="935" spans="1:8" ht="21" x14ac:dyDescent="0.25">
      <c r="A935" s="2" t="str">
        <f>HYPERLINK("https://rth.dk/resources/bsgatlas/details.php?id=BSGatlas-operon-473","BSGatlas-operon-473")</f>
        <v>BSGatlas-operon-473</v>
      </c>
      <c r="B935" s="2" t="str">
        <f>HYPERLINK("https://rth.dk/resources/bsgatlas/details.php?id=BSGatlas-gene-1018","BSGatlas-gene-1018")</f>
        <v>BSGatlas-gene-1018</v>
      </c>
      <c r="C935" s="1" t="s">
        <v>941</v>
      </c>
      <c r="D935" s="1" t="s">
        <v>8</v>
      </c>
      <c r="E935" s="3">
        <v>923587</v>
      </c>
      <c r="F935" s="3">
        <v>924171</v>
      </c>
      <c r="G935" s="1" t="s">
        <v>9</v>
      </c>
      <c r="H935" s="1" t="b">
        <f t="shared" si="36"/>
        <v>1</v>
      </c>
    </row>
    <row r="936" spans="1:8" ht="21" x14ac:dyDescent="0.25">
      <c r="A936" s="2" t="str">
        <f>HYPERLINK("https://rth.dk/resources/bsgatlas/details.php?id=BSGatlas-operon-474","BSGatlas-operon-474")</f>
        <v>BSGatlas-operon-474</v>
      </c>
      <c r="B936" s="2" t="str">
        <f>HYPERLINK("https://rth.dk/resources/bsgatlas/details.php?id=BSGatlas-gene-1019","BSGatlas-gene-1019")</f>
        <v>BSGatlas-gene-1019</v>
      </c>
      <c r="C936" s="1" t="s">
        <v>942</v>
      </c>
      <c r="D936" s="1" t="s">
        <v>8</v>
      </c>
      <c r="E936" s="3">
        <v>924210</v>
      </c>
      <c r="F936" s="3">
        <v>924401</v>
      </c>
      <c r="G936" s="1" t="s">
        <v>13</v>
      </c>
      <c r="H936" s="1" t="b">
        <f t="shared" si="36"/>
        <v>0</v>
      </c>
    </row>
    <row r="937" spans="1:8" ht="21" x14ac:dyDescent="0.25">
      <c r="A937" s="2" t="str">
        <f>HYPERLINK("https://rth.dk/resources/bsgatlas/details.php?id=BSGatlas-operon-474","BSGatlas-operon-474")</f>
        <v>BSGatlas-operon-474</v>
      </c>
      <c r="B937" s="2" t="str">
        <f>HYPERLINK("https://rth.dk/resources/bsgatlas/details.php?id=BSGatlas-gene-1020","BSGatlas-gene-1020")</f>
        <v>BSGatlas-gene-1020</v>
      </c>
      <c r="C937" s="1" t="s">
        <v>943</v>
      </c>
      <c r="D937" s="1" t="s">
        <v>8</v>
      </c>
      <c r="E937" s="3">
        <v>924468</v>
      </c>
      <c r="F937" s="3">
        <v>924578</v>
      </c>
      <c r="G937" s="1" t="s">
        <v>13</v>
      </c>
      <c r="H937" s="1" t="b">
        <f t="shared" si="36"/>
        <v>0</v>
      </c>
    </row>
    <row r="938" spans="1:8" ht="21" x14ac:dyDescent="0.25">
      <c r="A938" s="2" t="str">
        <f>HYPERLINK("https://rth.dk/resources/bsgatlas/details.php?id=BSGatlas-operon-474","BSGatlas-operon-474")</f>
        <v>BSGatlas-operon-474</v>
      </c>
      <c r="B938" s="2" t="str">
        <f>HYPERLINK("https://rth.dk/resources/bsgatlas/details.php?id=BSGatlas-gene-1021","BSGatlas-gene-1021")</f>
        <v>BSGatlas-gene-1021</v>
      </c>
      <c r="C938" s="1" t="s">
        <v>944</v>
      </c>
      <c r="D938" s="1" t="s">
        <v>8</v>
      </c>
      <c r="E938" s="3">
        <v>924633</v>
      </c>
      <c r="F938" s="3">
        <v>925544</v>
      </c>
      <c r="G938" s="1" t="s">
        <v>13</v>
      </c>
      <c r="H938" s="1" t="b">
        <f t="shared" si="36"/>
        <v>0</v>
      </c>
    </row>
    <row r="939" spans="1:8" ht="21" x14ac:dyDescent="0.25">
      <c r="A939" s="2" t="str">
        <f>HYPERLINK("https://rth.dk/resources/bsgatlas/details.php?id=BSGatlas-operon-475","BSGatlas-operon-475")</f>
        <v>BSGatlas-operon-475</v>
      </c>
      <c r="B939" s="2" t="str">
        <f>HYPERLINK("https://rth.dk/resources/bsgatlas/details.php?id=BSGatlas-gene-1022","BSGatlas-gene-1022")</f>
        <v>BSGatlas-gene-1022</v>
      </c>
      <c r="C939" s="1" t="s">
        <v>945</v>
      </c>
      <c r="D939" s="1" t="s">
        <v>8</v>
      </c>
      <c r="E939" s="3">
        <v>925633</v>
      </c>
      <c r="F939" s="3">
        <v>926427</v>
      </c>
      <c r="G939" s="1" t="s">
        <v>9</v>
      </c>
      <c r="H939" s="1" t="b">
        <f t="shared" si="36"/>
        <v>1</v>
      </c>
    </row>
    <row r="940" spans="1:8" ht="21" x14ac:dyDescent="0.25">
      <c r="A940" s="2" t="str">
        <f>HYPERLINK("https://rth.dk/resources/bsgatlas/details.php?id=BSGatlas-operon-475","BSGatlas-operon-475")</f>
        <v>BSGatlas-operon-475</v>
      </c>
      <c r="B940" s="2" t="str">
        <f>HYPERLINK("https://rth.dk/resources/bsgatlas/details.php?id=BSGatlas-gene-1023","BSGatlas-gene-1023")</f>
        <v>BSGatlas-gene-1023</v>
      </c>
      <c r="C940" s="1" t="s">
        <v>946</v>
      </c>
      <c r="D940" s="1" t="s">
        <v>8</v>
      </c>
      <c r="E940" s="3">
        <v>926429</v>
      </c>
      <c r="F940" s="3">
        <v>926743</v>
      </c>
      <c r="G940" s="1" t="s">
        <v>9</v>
      </c>
      <c r="H940" s="1" t="b">
        <f t="shared" si="36"/>
        <v>1</v>
      </c>
    </row>
    <row r="941" spans="1:8" ht="21" x14ac:dyDescent="0.25">
      <c r="A941" s="2" t="str">
        <f>HYPERLINK("https://rth.dk/resources/bsgatlas/details.php?id=BSGatlas-operon-476","BSGatlas-operon-476")</f>
        <v>BSGatlas-operon-476</v>
      </c>
      <c r="B941" s="2" t="str">
        <f>HYPERLINK("https://rth.dk/resources/bsgatlas/details.php?id=BSGatlas-gene-1025","BSGatlas-gene-1025")</f>
        <v>BSGatlas-gene-1025</v>
      </c>
      <c r="C941" s="1" t="s">
        <v>947</v>
      </c>
      <c r="D941" s="1" t="s">
        <v>8</v>
      </c>
      <c r="E941" s="3">
        <v>926886</v>
      </c>
      <c r="F941" s="3">
        <v>928079</v>
      </c>
      <c r="G941" s="1" t="s">
        <v>9</v>
      </c>
      <c r="H941" s="1" t="b">
        <f t="shared" si="36"/>
        <v>0</v>
      </c>
    </row>
    <row r="942" spans="1:8" ht="21" x14ac:dyDescent="0.25">
      <c r="A942" s="2" t="str">
        <f>HYPERLINK("https://rth.dk/resources/bsgatlas/details.php?id=BSGatlas-operon-477","BSGatlas-operon-477")</f>
        <v>BSGatlas-operon-477</v>
      </c>
      <c r="B942" s="2" t="str">
        <f>HYPERLINK("https://rth.dk/resources/bsgatlas/details.php?id=BSGatlas-gene-1026","BSGatlas-gene-1026")</f>
        <v>BSGatlas-gene-1026</v>
      </c>
      <c r="C942" s="1" t="s">
        <v>948</v>
      </c>
      <c r="D942" s="1" t="s">
        <v>8</v>
      </c>
      <c r="E942" s="3">
        <v>928112</v>
      </c>
      <c r="F942" s="3">
        <v>928264</v>
      </c>
      <c r="G942" s="1" t="s">
        <v>13</v>
      </c>
      <c r="H942" s="1" t="b">
        <f t="shared" si="36"/>
        <v>1</v>
      </c>
    </row>
    <row r="943" spans="1:8" ht="21" x14ac:dyDescent="0.25">
      <c r="A943" s="2" t="str">
        <f>HYPERLINK("https://rth.dk/resources/bsgatlas/details.php?id=BSGatlas-operon-478","BSGatlas-operon-478")</f>
        <v>BSGatlas-operon-478</v>
      </c>
      <c r="B943" s="2" t="str">
        <f>HYPERLINK("https://rth.dk/resources/bsgatlas/details.php?id=BSGatlas-gene-1027","BSGatlas-gene-1027")</f>
        <v>BSGatlas-gene-1027</v>
      </c>
      <c r="C943" s="1" t="s">
        <v>949</v>
      </c>
      <c r="D943" s="1" t="s">
        <v>8</v>
      </c>
      <c r="E943" s="3">
        <v>928389</v>
      </c>
      <c r="F943" s="3">
        <v>928658</v>
      </c>
      <c r="G943" s="1" t="s">
        <v>9</v>
      </c>
      <c r="H943" s="1" t="b">
        <f t="shared" si="36"/>
        <v>0</v>
      </c>
    </row>
    <row r="944" spans="1:8" ht="21" x14ac:dyDescent="0.25">
      <c r="A944" s="2" t="str">
        <f>HYPERLINK("https://rth.dk/resources/bsgatlas/details.php?id=BSGatlas-operon-479","BSGatlas-operon-479")</f>
        <v>BSGatlas-operon-479</v>
      </c>
      <c r="B944" s="2" t="str">
        <f>HYPERLINK("https://rth.dk/resources/bsgatlas/details.php?id=BSGatlas-gene-1028","BSGatlas-gene-1028")</f>
        <v>BSGatlas-gene-1028</v>
      </c>
      <c r="C944" s="1" t="s">
        <v>950</v>
      </c>
      <c r="D944" s="1" t="s">
        <v>8</v>
      </c>
      <c r="E944" s="3">
        <v>928803</v>
      </c>
      <c r="F944" s="3">
        <v>929321</v>
      </c>
      <c r="G944" s="1" t="s">
        <v>9</v>
      </c>
      <c r="H944" s="1" t="b">
        <f t="shared" si="36"/>
        <v>1</v>
      </c>
    </row>
    <row r="945" spans="1:8" ht="21" x14ac:dyDescent="0.25">
      <c r="A945" s="2" t="str">
        <f>HYPERLINK("https://rth.dk/resources/bsgatlas/details.php?id=BSGatlas-operon-479","BSGatlas-operon-479")</f>
        <v>BSGatlas-operon-479</v>
      </c>
      <c r="B945" s="2" t="str">
        <f>HYPERLINK("https://rth.dk/resources/bsgatlas/details.php?id=BSGatlas-gene-1029","BSGatlas-gene-1029")</f>
        <v>BSGatlas-gene-1029</v>
      </c>
      <c r="C945" s="1" t="s">
        <v>951</v>
      </c>
      <c r="D945" s="1" t="s">
        <v>8</v>
      </c>
      <c r="E945" s="3">
        <v>929406</v>
      </c>
      <c r="F945" s="3">
        <v>929738</v>
      </c>
      <c r="G945" s="1" t="s">
        <v>9</v>
      </c>
      <c r="H945" s="1" t="b">
        <f t="shared" si="36"/>
        <v>1</v>
      </c>
    </row>
    <row r="946" spans="1:8" ht="21" x14ac:dyDescent="0.25">
      <c r="A946" s="2" t="str">
        <f>HYPERLINK("https://rth.dk/resources/bsgatlas/details.php?id=BSGatlas-operon-479","BSGatlas-operon-479")</f>
        <v>BSGatlas-operon-479</v>
      </c>
      <c r="B946" s="2" t="str">
        <f>HYPERLINK("https://rth.dk/resources/bsgatlas/details.php?id=BSGatlas-gene-1030","BSGatlas-gene-1030")</f>
        <v>BSGatlas-gene-1030</v>
      </c>
      <c r="C946" s="1" t="s">
        <v>952</v>
      </c>
      <c r="D946" s="1" t="s">
        <v>8</v>
      </c>
      <c r="E946" s="3">
        <v>929725</v>
      </c>
      <c r="F946" s="3">
        <v>930585</v>
      </c>
      <c r="G946" s="1" t="s">
        <v>9</v>
      </c>
      <c r="H946" s="1" t="b">
        <f t="shared" si="36"/>
        <v>1</v>
      </c>
    </row>
    <row r="947" spans="1:8" ht="21" x14ac:dyDescent="0.25">
      <c r="A947" s="2" t="str">
        <f>HYPERLINK("https://rth.dk/resources/bsgatlas/details.php?id=BSGatlas-operon-480","BSGatlas-operon-480")</f>
        <v>BSGatlas-operon-480</v>
      </c>
      <c r="B947" s="2" t="str">
        <f>HYPERLINK("https://rth.dk/resources/bsgatlas/details.php?id=BSGatlas-gene-1031","BSGatlas-gene-1031")</f>
        <v>BSGatlas-gene-1031</v>
      </c>
      <c r="C947" s="1" t="s">
        <v>953</v>
      </c>
      <c r="D947" s="1" t="s">
        <v>8</v>
      </c>
      <c r="E947" s="3">
        <v>930818</v>
      </c>
      <c r="F947" s="3">
        <v>931807</v>
      </c>
      <c r="G947" s="1" t="s">
        <v>9</v>
      </c>
      <c r="H947" s="1" t="b">
        <f t="shared" si="36"/>
        <v>0</v>
      </c>
    </row>
    <row r="948" spans="1:8" ht="21" x14ac:dyDescent="0.25">
      <c r="A948" s="2" t="str">
        <f>HYPERLINK("https://rth.dk/resources/bsgatlas/details.php?id=BSGatlas-operon-480","BSGatlas-operon-480")</f>
        <v>BSGatlas-operon-480</v>
      </c>
      <c r="B948" s="2" t="str">
        <f>HYPERLINK("https://rth.dk/resources/bsgatlas/details.php?id=BSGatlas-gene-1032","BSGatlas-gene-1032")</f>
        <v>BSGatlas-gene-1032</v>
      </c>
      <c r="C948" s="1" t="s">
        <v>954</v>
      </c>
      <c r="D948" s="1" t="s">
        <v>8</v>
      </c>
      <c r="E948" s="3">
        <v>931879</v>
      </c>
      <c r="F948" s="3">
        <v>934464</v>
      </c>
      <c r="G948" s="1" t="s">
        <v>9</v>
      </c>
      <c r="H948" s="1" t="b">
        <f t="shared" si="36"/>
        <v>0</v>
      </c>
    </row>
    <row r="949" spans="1:8" ht="21" x14ac:dyDescent="0.25">
      <c r="A949" s="2" t="str">
        <f>HYPERLINK("https://rth.dk/resources/bsgatlas/details.php?id=BSGatlas-operon-481","BSGatlas-operon-481")</f>
        <v>BSGatlas-operon-481</v>
      </c>
      <c r="B949" s="2" t="str">
        <f>HYPERLINK("https://rth.dk/resources/bsgatlas/details.php?id=BSGatlas-gene-1033","BSGatlas-gene-1033")</f>
        <v>BSGatlas-gene-1033</v>
      </c>
      <c r="C949" s="1" t="s">
        <v>955</v>
      </c>
      <c r="D949" s="1" t="s">
        <v>8</v>
      </c>
      <c r="E949" s="3">
        <v>934457</v>
      </c>
      <c r="F949" s="3">
        <v>935440</v>
      </c>
      <c r="G949" s="1" t="s">
        <v>13</v>
      </c>
      <c r="H949" s="1" t="b">
        <f t="shared" si="36"/>
        <v>1</v>
      </c>
    </row>
    <row r="950" spans="1:8" ht="21" x14ac:dyDescent="0.25">
      <c r="A950" s="2" t="str">
        <f>HYPERLINK("https://rth.dk/resources/bsgatlas/details.php?id=BSGatlas-operon-482","BSGatlas-operon-482")</f>
        <v>BSGatlas-operon-482</v>
      </c>
      <c r="B950" s="2" t="str">
        <f>HYPERLINK("https://rth.dk/resources/bsgatlas/details.php?id=BSGatlas-gene-1034","BSGatlas-gene-1034")</f>
        <v>BSGatlas-gene-1034</v>
      </c>
      <c r="C950" s="1" t="s">
        <v>956</v>
      </c>
      <c r="D950" s="1" t="s">
        <v>8</v>
      </c>
      <c r="E950" s="3">
        <v>935656</v>
      </c>
      <c r="F950" s="3">
        <v>936765</v>
      </c>
      <c r="G950" s="1" t="s">
        <v>9</v>
      </c>
      <c r="H950" s="1" t="b">
        <f t="shared" si="36"/>
        <v>0</v>
      </c>
    </row>
    <row r="951" spans="1:8" ht="21" x14ac:dyDescent="0.25">
      <c r="A951" s="2" t="str">
        <f>HYPERLINK("https://rth.dk/resources/bsgatlas/details.php?id=BSGatlas-operon-482","BSGatlas-operon-482")</f>
        <v>BSGatlas-operon-482</v>
      </c>
      <c r="B951" s="2" t="str">
        <f>HYPERLINK("https://rth.dk/resources/bsgatlas/details.php?id=BSGatlas-gene-1036","BSGatlas-gene-1036")</f>
        <v>BSGatlas-gene-1036</v>
      </c>
      <c r="C951" s="1" t="s">
        <v>957</v>
      </c>
      <c r="D951" s="1" t="s">
        <v>8</v>
      </c>
      <c r="E951" s="3">
        <v>937079</v>
      </c>
      <c r="F951" s="3">
        <v>937831</v>
      </c>
      <c r="G951" s="1" t="s">
        <v>9</v>
      </c>
      <c r="H951" s="1" t="b">
        <f t="shared" si="36"/>
        <v>0</v>
      </c>
    </row>
    <row r="952" spans="1:8" ht="21" x14ac:dyDescent="0.25">
      <c r="A952" s="2" t="str">
        <f>HYPERLINK("https://rth.dk/resources/bsgatlas/details.php?id=BSGatlas-operon-482","BSGatlas-operon-482")</f>
        <v>BSGatlas-operon-482</v>
      </c>
      <c r="B952" s="2" t="str">
        <f>HYPERLINK("https://rth.dk/resources/bsgatlas/details.php?id=BSGatlas-gene-1037","BSGatlas-gene-1037")</f>
        <v>BSGatlas-gene-1037</v>
      </c>
      <c r="C952" s="1" t="s">
        <v>958</v>
      </c>
      <c r="D952" s="1" t="s">
        <v>8</v>
      </c>
      <c r="E952" s="3">
        <v>937900</v>
      </c>
      <c r="F952" s="3">
        <v>938154</v>
      </c>
      <c r="G952" s="1" t="s">
        <v>9</v>
      </c>
      <c r="H952" s="1" t="b">
        <f t="shared" si="36"/>
        <v>0</v>
      </c>
    </row>
    <row r="953" spans="1:8" ht="21" x14ac:dyDescent="0.25">
      <c r="A953" s="2" t="str">
        <f>HYPERLINK("https://rth.dk/resources/bsgatlas/details.php?id=BSGatlas-operon-483","BSGatlas-operon-483")</f>
        <v>BSGatlas-operon-483</v>
      </c>
      <c r="B953" s="2" t="str">
        <f>HYPERLINK("https://rth.dk/resources/bsgatlas/details.php?id=BSGatlas-gene-1035","BSGatlas-gene-1035")</f>
        <v>BSGatlas-gene-1035</v>
      </c>
      <c r="C953" s="1" t="s">
        <v>959</v>
      </c>
      <c r="D953" s="1" t="s">
        <v>8</v>
      </c>
      <c r="E953" s="3">
        <v>936773</v>
      </c>
      <c r="F953" s="3">
        <v>936997</v>
      </c>
      <c r="G953" s="1" t="s">
        <v>13</v>
      </c>
      <c r="H953" s="1" t="b">
        <f t="shared" si="36"/>
        <v>1</v>
      </c>
    </row>
    <row r="954" spans="1:8" ht="21" x14ac:dyDescent="0.25">
      <c r="A954" s="2" t="str">
        <f>HYPERLINK("https://rth.dk/resources/bsgatlas/details.php?id=BSGatlas-operon-484","BSGatlas-operon-484")</f>
        <v>BSGatlas-operon-484</v>
      </c>
      <c r="B954" s="2" t="str">
        <f>HYPERLINK("https://rth.dk/resources/bsgatlas/details.php?id=BSGatlas-gene-1038","BSGatlas-gene-1038")</f>
        <v>BSGatlas-gene-1038</v>
      </c>
      <c r="C954" s="1" t="s">
        <v>960</v>
      </c>
      <c r="D954" s="1" t="s">
        <v>8</v>
      </c>
      <c r="E954" s="3">
        <v>938243</v>
      </c>
      <c r="F954" s="3">
        <v>938587</v>
      </c>
      <c r="G954" s="1" t="s">
        <v>9</v>
      </c>
      <c r="H954" s="1" t="b">
        <f t="shared" si="36"/>
        <v>0</v>
      </c>
    </row>
    <row r="955" spans="1:8" ht="21" x14ac:dyDescent="0.25">
      <c r="A955" s="2" t="str">
        <f>HYPERLINK("https://rth.dk/resources/bsgatlas/details.php?id=BSGatlas-operon-485","BSGatlas-operon-485")</f>
        <v>BSGatlas-operon-485</v>
      </c>
      <c r="B955" s="2" t="str">
        <f>HYPERLINK("https://rth.dk/resources/bsgatlas/details.php?id=BSGatlas-gene-1039","BSGatlas-gene-1039")</f>
        <v>BSGatlas-gene-1039</v>
      </c>
      <c r="C955" s="1" t="s">
        <v>961</v>
      </c>
      <c r="D955" s="1" t="s">
        <v>8</v>
      </c>
      <c r="E955" s="3">
        <v>938731</v>
      </c>
      <c r="F955" s="3">
        <v>939261</v>
      </c>
      <c r="G955" s="1" t="s">
        <v>9</v>
      </c>
      <c r="H955" s="1" t="b">
        <f t="shared" si="36"/>
        <v>1</v>
      </c>
    </row>
    <row r="956" spans="1:8" ht="21" x14ac:dyDescent="0.25">
      <c r="A956" s="2" t="str">
        <f>HYPERLINK("https://rth.dk/resources/bsgatlas/details.php?id=BSGatlas-operon-485","BSGatlas-operon-485")</f>
        <v>BSGatlas-operon-485</v>
      </c>
      <c r="B956" s="2" t="str">
        <f>HYPERLINK("https://rth.dk/resources/bsgatlas/details.php?id=BSGatlas-gene-1040","BSGatlas-gene-1040")</f>
        <v>BSGatlas-gene-1040</v>
      </c>
      <c r="C956" s="1" t="s">
        <v>962</v>
      </c>
      <c r="D956" s="1" t="s">
        <v>8</v>
      </c>
      <c r="E956" s="3">
        <v>939349</v>
      </c>
      <c r="F956" s="3">
        <v>941091</v>
      </c>
      <c r="G956" s="1" t="s">
        <v>9</v>
      </c>
      <c r="H956" s="1" t="b">
        <f t="shared" si="36"/>
        <v>1</v>
      </c>
    </row>
    <row r="957" spans="1:8" ht="21" x14ac:dyDescent="0.25">
      <c r="A957" s="2" t="str">
        <f>HYPERLINK("https://rth.dk/resources/bsgatlas/details.php?id=BSGatlas-operon-486","BSGatlas-operon-486")</f>
        <v>BSGatlas-operon-486</v>
      </c>
      <c r="B957" s="2" t="str">
        <f>HYPERLINK("https://rth.dk/resources/bsgatlas/details.php?id=BSGatlas-gene-1041","BSGatlas-gene-1041")</f>
        <v>BSGatlas-gene-1041</v>
      </c>
      <c r="C957" s="1" t="s">
        <v>963</v>
      </c>
      <c r="D957" s="1" t="s">
        <v>8</v>
      </c>
      <c r="E957" s="3">
        <v>941168</v>
      </c>
      <c r="F957" s="3">
        <v>942229</v>
      </c>
      <c r="G957" s="1" t="s">
        <v>13</v>
      </c>
      <c r="H957" s="1" t="b">
        <f t="shared" si="36"/>
        <v>0</v>
      </c>
    </row>
    <row r="958" spans="1:8" ht="21" x14ac:dyDescent="0.25">
      <c r="A958" s="2" t="str">
        <f>HYPERLINK("https://rth.dk/resources/bsgatlas/details.php?id=BSGatlas-operon-487","BSGatlas-operon-487")</f>
        <v>BSGatlas-operon-487</v>
      </c>
      <c r="B958" s="2" t="str">
        <f>HYPERLINK("https://rth.dk/resources/bsgatlas/details.php?id=BSGatlas-gene-1042","BSGatlas-gene-1042")</f>
        <v>BSGatlas-gene-1042</v>
      </c>
      <c r="C958" s="1" t="s">
        <v>964</v>
      </c>
      <c r="D958" s="1" t="s">
        <v>8</v>
      </c>
      <c r="E958" s="3">
        <v>942449</v>
      </c>
      <c r="F958" s="3">
        <v>943738</v>
      </c>
      <c r="G958" s="1" t="s">
        <v>13</v>
      </c>
      <c r="H958" s="1" t="b">
        <f t="shared" si="36"/>
        <v>1</v>
      </c>
    </row>
    <row r="959" spans="1:8" ht="21" x14ac:dyDescent="0.25">
      <c r="A959" s="2" t="str">
        <f>HYPERLINK("https://rth.dk/resources/bsgatlas/details.php?id=BSGatlas-operon-488","BSGatlas-operon-488")</f>
        <v>BSGatlas-operon-488</v>
      </c>
      <c r="B959" s="2" t="str">
        <f>HYPERLINK("https://rth.dk/resources/bsgatlas/details.php?id=BSGatlas-gene-1043","BSGatlas-gene-1043")</f>
        <v>BSGatlas-gene-1043</v>
      </c>
      <c r="C959" s="1" t="s">
        <v>965</v>
      </c>
      <c r="D959" s="1" t="s">
        <v>8</v>
      </c>
      <c r="E959" s="3">
        <v>943891</v>
      </c>
      <c r="F959" s="3">
        <v>944364</v>
      </c>
      <c r="G959" s="1" t="s">
        <v>9</v>
      </c>
      <c r="H959" s="1" t="b">
        <f t="shared" si="36"/>
        <v>0</v>
      </c>
    </row>
    <row r="960" spans="1:8" ht="21" x14ac:dyDescent="0.25">
      <c r="A960" s="2" t="str">
        <f>HYPERLINK("https://rth.dk/resources/bsgatlas/details.php?id=BSGatlas-operon-488","BSGatlas-operon-488")</f>
        <v>BSGatlas-operon-488</v>
      </c>
      <c r="B960" s="2" t="str">
        <f>HYPERLINK("https://rth.dk/resources/bsgatlas/details.php?id=BSGatlas-gene-1044","BSGatlas-gene-1044")</f>
        <v>BSGatlas-gene-1044</v>
      </c>
      <c r="C960" s="1" t="s">
        <v>966</v>
      </c>
      <c r="D960" s="1" t="s">
        <v>8</v>
      </c>
      <c r="E960" s="3">
        <v>944487</v>
      </c>
      <c r="F960" s="3">
        <v>944924</v>
      </c>
      <c r="G960" s="1" t="s">
        <v>9</v>
      </c>
      <c r="H960" s="1" t="b">
        <f t="shared" si="36"/>
        <v>0</v>
      </c>
    </row>
    <row r="961" spans="1:8" ht="21" x14ac:dyDescent="0.25">
      <c r="A961" s="2" t="str">
        <f>HYPERLINK("https://rth.dk/resources/bsgatlas/details.php?id=BSGatlas-operon-489","BSGatlas-operon-489")</f>
        <v>BSGatlas-operon-489</v>
      </c>
      <c r="B961" s="2" t="str">
        <f>HYPERLINK("https://rth.dk/resources/bsgatlas/details.php?id=BSGatlas-gene-1045","BSGatlas-gene-1045")</f>
        <v>BSGatlas-gene-1045</v>
      </c>
      <c r="C961" s="1" t="s">
        <v>967</v>
      </c>
      <c r="D961" s="1" t="s">
        <v>8</v>
      </c>
      <c r="E961" s="3">
        <v>944959</v>
      </c>
      <c r="F961" s="3">
        <v>945312</v>
      </c>
      <c r="G961" s="1" t="s">
        <v>13</v>
      </c>
      <c r="H961" s="1" t="b">
        <f t="shared" si="36"/>
        <v>1</v>
      </c>
    </row>
    <row r="962" spans="1:8" ht="21" x14ac:dyDescent="0.25">
      <c r="A962" s="2" t="str">
        <f t="shared" ref="A962:A981" si="37">HYPERLINK("https://rth.dk/resources/bsgatlas/details.php?id=BSGatlas-operon-490","BSGatlas-operon-490")</f>
        <v>BSGatlas-operon-490</v>
      </c>
      <c r="B962" s="2" t="str">
        <f>HYPERLINK("https://rth.dk/resources/bsgatlas/details.php?id=BSGatlas-gene-1046","BSGatlas-gene-1046")</f>
        <v>BSGatlas-gene-1046</v>
      </c>
      <c r="C962" s="1" t="s">
        <v>968</v>
      </c>
      <c r="D962" s="1" t="s">
        <v>8</v>
      </c>
      <c r="E962" s="3">
        <v>945520</v>
      </c>
      <c r="F962" s="3">
        <v>946404</v>
      </c>
      <c r="G962" s="1" t="s">
        <v>9</v>
      </c>
      <c r="H962" s="1" t="b">
        <f t="shared" ref="H962:H1025" si="38">_xlfn.XOR(A961&lt;&gt;A962,H961)</f>
        <v>0</v>
      </c>
    </row>
    <row r="963" spans="1:8" ht="21" x14ac:dyDescent="0.25">
      <c r="A963" s="2" t="str">
        <f t="shared" si="37"/>
        <v>BSGatlas-operon-490</v>
      </c>
      <c r="B963" s="2" t="str">
        <f>HYPERLINK("https://rth.dk/resources/bsgatlas/details.php?id=BSGatlas-gene-1048","BSGatlas-gene-1048")</f>
        <v>BSGatlas-gene-1048</v>
      </c>
      <c r="C963" s="1" t="s">
        <v>969</v>
      </c>
      <c r="D963" s="1" t="s">
        <v>21</v>
      </c>
      <c r="E963" s="3">
        <v>946696</v>
      </c>
      <c r="F963" s="3">
        <v>948250</v>
      </c>
      <c r="G963" s="1" t="s">
        <v>9</v>
      </c>
      <c r="H963" s="1" t="b">
        <f t="shared" si="38"/>
        <v>0</v>
      </c>
    </row>
    <row r="964" spans="1:8" ht="21" x14ac:dyDescent="0.25">
      <c r="A964" s="2" t="str">
        <f t="shared" si="37"/>
        <v>BSGatlas-operon-490</v>
      </c>
      <c r="B964" s="2" t="str">
        <f>HYPERLINK("https://rth.dk/resources/bsgatlas/details.php?id=BSGatlas-gene-1049","BSGatlas-gene-1049")</f>
        <v>BSGatlas-gene-1049</v>
      </c>
      <c r="C964" s="1" t="s">
        <v>970</v>
      </c>
      <c r="D964" s="1" t="s">
        <v>21</v>
      </c>
      <c r="E964" s="3">
        <v>948415</v>
      </c>
      <c r="F964" s="3">
        <v>951345</v>
      </c>
      <c r="G964" s="1" t="s">
        <v>9</v>
      </c>
      <c r="H964" s="1" t="b">
        <f t="shared" si="38"/>
        <v>0</v>
      </c>
    </row>
    <row r="965" spans="1:8" ht="21" x14ac:dyDescent="0.25">
      <c r="A965" s="2" t="str">
        <f t="shared" si="37"/>
        <v>BSGatlas-operon-490</v>
      </c>
      <c r="B965" s="2" t="str">
        <f>HYPERLINK("https://rth.dk/resources/bsgatlas/details.php?id=BSGatlas-gene-1050","BSGatlas-gene-1050")</f>
        <v>BSGatlas-gene-1050</v>
      </c>
      <c r="C965" s="1" t="s">
        <v>971</v>
      </c>
      <c r="D965" s="1" t="s">
        <v>21</v>
      </c>
      <c r="E965" s="3">
        <v>951456</v>
      </c>
      <c r="F965" s="3">
        <v>951572</v>
      </c>
      <c r="G965" s="1" t="s">
        <v>9</v>
      </c>
      <c r="H965" s="1" t="b">
        <f t="shared" si="38"/>
        <v>0</v>
      </c>
    </row>
    <row r="966" spans="1:8" ht="21" x14ac:dyDescent="0.25">
      <c r="A966" s="2" t="str">
        <f t="shared" si="37"/>
        <v>BSGatlas-operon-490</v>
      </c>
      <c r="B966" s="2" t="str">
        <f>HYPERLINK("https://rth.dk/resources/bsgatlas/details.php?id=BSGatlas-gene-1051","BSGatlas-gene-1051")</f>
        <v>BSGatlas-gene-1051</v>
      </c>
      <c r="C966" s="1" t="s">
        <v>972</v>
      </c>
      <c r="D966" s="1" t="s">
        <v>23</v>
      </c>
      <c r="E966" s="3">
        <v>951581</v>
      </c>
      <c r="F966" s="3">
        <v>951656</v>
      </c>
      <c r="G966" s="1" t="s">
        <v>9</v>
      </c>
      <c r="H966" s="1" t="b">
        <f t="shared" si="38"/>
        <v>0</v>
      </c>
    </row>
    <row r="967" spans="1:8" ht="21" x14ac:dyDescent="0.25">
      <c r="A967" s="2" t="str">
        <f t="shared" si="37"/>
        <v>BSGatlas-operon-490</v>
      </c>
      <c r="B967" s="2" t="str">
        <f>HYPERLINK("https://rth.dk/resources/bsgatlas/details.php?id=BSGatlas-gene-1052","BSGatlas-gene-1052")</f>
        <v>BSGatlas-gene-1052</v>
      </c>
      <c r="C967" s="1" t="s">
        <v>973</v>
      </c>
      <c r="D967" s="1" t="s">
        <v>23</v>
      </c>
      <c r="E967" s="3">
        <v>951661</v>
      </c>
      <c r="F967" s="3">
        <v>951753</v>
      </c>
      <c r="G967" s="1" t="s">
        <v>9</v>
      </c>
      <c r="H967" s="1" t="b">
        <f t="shared" si="38"/>
        <v>0</v>
      </c>
    </row>
    <row r="968" spans="1:8" ht="21" x14ac:dyDescent="0.25">
      <c r="A968" s="2" t="str">
        <f t="shared" si="37"/>
        <v>BSGatlas-operon-490</v>
      </c>
      <c r="B968" s="2" t="str">
        <f>HYPERLINK("https://rth.dk/resources/bsgatlas/details.php?id=BSGatlas-gene-1053","BSGatlas-gene-1053")</f>
        <v>BSGatlas-gene-1053</v>
      </c>
      <c r="C968" s="1" t="s">
        <v>974</v>
      </c>
      <c r="D968" s="1" t="s">
        <v>23</v>
      </c>
      <c r="E968" s="3">
        <v>951787</v>
      </c>
      <c r="F968" s="3">
        <v>951859</v>
      </c>
      <c r="G968" s="1" t="s">
        <v>9</v>
      </c>
      <c r="H968" s="1" t="b">
        <f t="shared" si="38"/>
        <v>0</v>
      </c>
    </row>
    <row r="969" spans="1:8" ht="21" x14ac:dyDescent="0.25">
      <c r="A969" s="2" t="str">
        <f t="shared" si="37"/>
        <v>BSGatlas-operon-490</v>
      </c>
      <c r="B969" s="2" t="str">
        <f>HYPERLINK("https://rth.dk/resources/bsgatlas/details.php?id=BSGatlas-gene-1054","BSGatlas-gene-1054")</f>
        <v>BSGatlas-gene-1054</v>
      </c>
      <c r="C969" s="1" t="s">
        <v>975</v>
      </c>
      <c r="D969" s="1" t="s">
        <v>23</v>
      </c>
      <c r="E969" s="3">
        <v>951868</v>
      </c>
      <c r="F969" s="3">
        <v>951944</v>
      </c>
      <c r="G969" s="1" t="s">
        <v>9</v>
      </c>
      <c r="H969" s="1" t="b">
        <f t="shared" si="38"/>
        <v>0</v>
      </c>
    </row>
    <row r="970" spans="1:8" ht="21" x14ac:dyDescent="0.25">
      <c r="A970" s="2" t="str">
        <f t="shared" si="37"/>
        <v>BSGatlas-operon-490</v>
      </c>
      <c r="B970" s="2" t="str">
        <f>HYPERLINK("https://rth.dk/resources/bsgatlas/details.php?id=BSGatlas-gene-1055","BSGatlas-gene-1055")</f>
        <v>BSGatlas-gene-1055</v>
      </c>
      <c r="C970" s="1" t="s">
        <v>976</v>
      </c>
      <c r="D970" s="1" t="s">
        <v>23</v>
      </c>
      <c r="E970" s="3">
        <v>951953</v>
      </c>
      <c r="F970" s="3">
        <v>952030</v>
      </c>
      <c r="G970" s="1" t="s">
        <v>9</v>
      </c>
      <c r="H970" s="1" t="b">
        <f t="shared" si="38"/>
        <v>0</v>
      </c>
    </row>
    <row r="971" spans="1:8" ht="21" x14ac:dyDescent="0.25">
      <c r="A971" s="2" t="str">
        <f t="shared" si="37"/>
        <v>BSGatlas-operon-490</v>
      </c>
      <c r="B971" s="2" t="str">
        <f>HYPERLINK("https://rth.dk/resources/bsgatlas/details.php?id=BSGatlas-gene-1056","BSGatlas-gene-1056")</f>
        <v>BSGatlas-gene-1056</v>
      </c>
      <c r="C971" s="1" t="s">
        <v>977</v>
      </c>
      <c r="D971" s="1" t="s">
        <v>23</v>
      </c>
      <c r="E971" s="3">
        <v>952041</v>
      </c>
      <c r="F971" s="3">
        <v>952118</v>
      </c>
      <c r="G971" s="1" t="s">
        <v>9</v>
      </c>
      <c r="H971" s="1" t="b">
        <f t="shared" si="38"/>
        <v>0</v>
      </c>
    </row>
    <row r="972" spans="1:8" ht="21" x14ac:dyDescent="0.25">
      <c r="A972" s="2" t="str">
        <f t="shared" si="37"/>
        <v>BSGatlas-operon-490</v>
      </c>
      <c r="B972" s="2" t="str">
        <f>HYPERLINK("https://rth.dk/resources/bsgatlas/details.php?id=BSGatlas-gene-1057","BSGatlas-gene-1057")</f>
        <v>BSGatlas-gene-1057</v>
      </c>
      <c r="C972" s="1" t="s">
        <v>978</v>
      </c>
      <c r="D972" s="1" t="s">
        <v>23</v>
      </c>
      <c r="E972" s="3">
        <v>952130</v>
      </c>
      <c r="F972" s="3">
        <v>952206</v>
      </c>
      <c r="G972" s="1" t="s">
        <v>9</v>
      </c>
      <c r="H972" s="1" t="b">
        <f t="shared" si="38"/>
        <v>0</v>
      </c>
    </row>
    <row r="973" spans="1:8" ht="21" x14ac:dyDescent="0.25">
      <c r="A973" s="2" t="str">
        <f t="shared" si="37"/>
        <v>BSGatlas-operon-490</v>
      </c>
      <c r="B973" s="2" t="str">
        <f>HYPERLINK("https://rth.dk/resources/bsgatlas/details.php?id=BSGatlas-gene-1058","BSGatlas-gene-1058")</f>
        <v>BSGatlas-gene-1058</v>
      </c>
      <c r="C973" s="1" t="s">
        <v>979</v>
      </c>
      <c r="D973" s="1" t="s">
        <v>23</v>
      </c>
      <c r="E973" s="3">
        <v>952211</v>
      </c>
      <c r="F973" s="3">
        <v>952284</v>
      </c>
      <c r="G973" s="1" t="s">
        <v>9</v>
      </c>
      <c r="H973" s="1" t="b">
        <f t="shared" si="38"/>
        <v>0</v>
      </c>
    </row>
    <row r="974" spans="1:8" ht="21" x14ac:dyDescent="0.25">
      <c r="A974" s="2" t="str">
        <f t="shared" si="37"/>
        <v>BSGatlas-operon-490</v>
      </c>
      <c r="B974" s="2" t="str">
        <f>HYPERLINK("https://rth.dk/resources/bsgatlas/details.php?id=BSGatlas-gene-1059","BSGatlas-gene-1059")</f>
        <v>BSGatlas-gene-1059</v>
      </c>
      <c r="C974" s="1" t="s">
        <v>980</v>
      </c>
      <c r="D974" s="1" t="s">
        <v>23</v>
      </c>
      <c r="E974" s="3">
        <v>952306</v>
      </c>
      <c r="F974" s="3">
        <v>952391</v>
      </c>
      <c r="G974" s="1" t="s">
        <v>9</v>
      </c>
      <c r="H974" s="1" t="b">
        <f t="shared" si="38"/>
        <v>0</v>
      </c>
    </row>
    <row r="975" spans="1:8" ht="21" x14ac:dyDescent="0.25">
      <c r="A975" s="2" t="str">
        <f t="shared" si="37"/>
        <v>BSGatlas-operon-490</v>
      </c>
      <c r="B975" s="2" t="str">
        <f>HYPERLINK("https://rth.dk/resources/bsgatlas/details.php?id=BSGatlas-gene-1060","BSGatlas-gene-1060")</f>
        <v>BSGatlas-gene-1060</v>
      </c>
      <c r="C975" s="1" t="s">
        <v>981</v>
      </c>
      <c r="D975" s="1" t="s">
        <v>23</v>
      </c>
      <c r="E975" s="3">
        <v>952396</v>
      </c>
      <c r="F975" s="3">
        <v>952470</v>
      </c>
      <c r="G975" s="1" t="s">
        <v>9</v>
      </c>
      <c r="H975" s="1" t="b">
        <f t="shared" si="38"/>
        <v>0</v>
      </c>
    </row>
    <row r="976" spans="1:8" ht="21" x14ac:dyDescent="0.25">
      <c r="A976" s="2" t="str">
        <f t="shared" si="37"/>
        <v>BSGatlas-operon-490</v>
      </c>
      <c r="B976" s="2" t="str">
        <f>HYPERLINK("https://rth.dk/resources/bsgatlas/details.php?id=BSGatlas-gene-1061","BSGatlas-gene-1061")</f>
        <v>BSGatlas-gene-1061</v>
      </c>
      <c r="C976" s="1" t="s">
        <v>982</v>
      </c>
      <c r="D976" s="1" t="s">
        <v>23</v>
      </c>
      <c r="E976" s="3">
        <v>952494</v>
      </c>
      <c r="F976" s="3">
        <v>952570</v>
      </c>
      <c r="G976" s="1" t="s">
        <v>9</v>
      </c>
      <c r="H976" s="1" t="b">
        <f t="shared" si="38"/>
        <v>0</v>
      </c>
    </row>
    <row r="977" spans="1:8" ht="21" x14ac:dyDescent="0.25">
      <c r="A977" s="2" t="str">
        <f t="shared" si="37"/>
        <v>BSGatlas-operon-490</v>
      </c>
      <c r="B977" s="2" t="str">
        <f>HYPERLINK("https://rth.dk/resources/bsgatlas/details.php?id=BSGatlas-gene-1062","BSGatlas-gene-1062")</f>
        <v>BSGatlas-gene-1062</v>
      </c>
      <c r="C977" s="1" t="s">
        <v>983</v>
      </c>
      <c r="D977" s="1" t="s">
        <v>23</v>
      </c>
      <c r="E977" s="3">
        <v>952579</v>
      </c>
      <c r="F977" s="3">
        <v>952651</v>
      </c>
      <c r="G977" s="1" t="s">
        <v>9</v>
      </c>
      <c r="H977" s="1" t="b">
        <f t="shared" si="38"/>
        <v>0</v>
      </c>
    </row>
    <row r="978" spans="1:8" ht="21" x14ac:dyDescent="0.25">
      <c r="A978" s="2" t="str">
        <f t="shared" si="37"/>
        <v>BSGatlas-operon-490</v>
      </c>
      <c r="B978" s="2" t="str">
        <f>HYPERLINK("https://rth.dk/resources/bsgatlas/details.php?id=BSGatlas-gene-1063","BSGatlas-gene-1063")</f>
        <v>BSGatlas-gene-1063</v>
      </c>
      <c r="C978" s="1" t="s">
        <v>984</v>
      </c>
      <c r="D978" s="1" t="s">
        <v>23</v>
      </c>
      <c r="E978" s="3">
        <v>952700</v>
      </c>
      <c r="F978" s="3">
        <v>952775</v>
      </c>
      <c r="G978" s="1" t="s">
        <v>9</v>
      </c>
      <c r="H978" s="1" t="b">
        <f t="shared" si="38"/>
        <v>0</v>
      </c>
    </row>
    <row r="979" spans="1:8" ht="21" x14ac:dyDescent="0.25">
      <c r="A979" s="2" t="str">
        <f t="shared" si="37"/>
        <v>BSGatlas-operon-490</v>
      </c>
      <c r="B979" s="2" t="str">
        <f>HYPERLINK("https://rth.dk/resources/bsgatlas/details.php?id=BSGatlas-gene-1064","BSGatlas-gene-1064")</f>
        <v>BSGatlas-gene-1064</v>
      </c>
      <c r="C979" s="1" t="s">
        <v>985</v>
      </c>
      <c r="D979" s="1" t="s">
        <v>23</v>
      </c>
      <c r="E979" s="3">
        <v>952780</v>
      </c>
      <c r="F979" s="3">
        <v>952851</v>
      </c>
      <c r="G979" s="1" t="s">
        <v>9</v>
      </c>
      <c r="H979" s="1" t="b">
        <f t="shared" si="38"/>
        <v>0</v>
      </c>
    </row>
    <row r="980" spans="1:8" ht="21" x14ac:dyDescent="0.25">
      <c r="A980" s="2" t="str">
        <f t="shared" si="37"/>
        <v>BSGatlas-operon-490</v>
      </c>
      <c r="B980" s="2" t="str">
        <f>HYPERLINK("https://rth.dk/resources/bsgatlas/details.php?id=BSGatlas-gene-1065","BSGatlas-gene-1065")</f>
        <v>BSGatlas-gene-1065</v>
      </c>
      <c r="C980" s="1" t="s">
        <v>986</v>
      </c>
      <c r="D980" s="1" t="s">
        <v>23</v>
      </c>
      <c r="E980" s="3">
        <v>952858</v>
      </c>
      <c r="F980" s="3">
        <v>952947</v>
      </c>
      <c r="G980" s="1" t="s">
        <v>9</v>
      </c>
      <c r="H980" s="1" t="b">
        <f t="shared" si="38"/>
        <v>0</v>
      </c>
    </row>
    <row r="981" spans="1:8" ht="21" x14ac:dyDescent="0.25">
      <c r="A981" s="2" t="str">
        <f t="shared" si="37"/>
        <v>BSGatlas-operon-490</v>
      </c>
      <c r="B981" s="2" t="str">
        <f>HYPERLINK("https://rth.dk/resources/bsgatlas/details.php?id=BSGatlas-gene-1066","BSGatlas-gene-1066")</f>
        <v>BSGatlas-gene-1066</v>
      </c>
      <c r="C981" s="1" t="s">
        <v>987</v>
      </c>
      <c r="D981" s="1" t="s">
        <v>23</v>
      </c>
      <c r="E981" s="3">
        <v>953212</v>
      </c>
      <c r="F981" s="3">
        <v>953294</v>
      </c>
      <c r="G981" s="1" t="s">
        <v>9</v>
      </c>
      <c r="H981" s="1" t="b">
        <f t="shared" si="38"/>
        <v>0</v>
      </c>
    </row>
    <row r="982" spans="1:8" ht="21" x14ac:dyDescent="0.25">
      <c r="A982" s="2" t="str">
        <f>HYPERLINK("https://rth.dk/resources/bsgatlas/details.php?id=BSGatlas-operon-491","BSGatlas-operon-491")</f>
        <v>BSGatlas-operon-491</v>
      </c>
      <c r="B982" s="2" t="str">
        <f>HYPERLINK("https://rth.dk/resources/bsgatlas/details.php?id=BSGatlas-gene-1047","BSGatlas-gene-1047")</f>
        <v>BSGatlas-gene-1047</v>
      </c>
      <c r="C982" s="1" t="s">
        <v>54</v>
      </c>
      <c r="D982" s="1" t="s">
        <v>55</v>
      </c>
      <c r="E982" s="3">
        <v>946634</v>
      </c>
      <c r="F982" s="3">
        <v>946701</v>
      </c>
      <c r="G982" s="1" t="s">
        <v>13</v>
      </c>
      <c r="H982" s="1" t="b">
        <f t="shared" si="38"/>
        <v>1</v>
      </c>
    </row>
    <row r="983" spans="1:8" ht="21" x14ac:dyDescent="0.25">
      <c r="A983" s="2" t="str">
        <f>HYPERLINK("https://rth.dk/resources/bsgatlas/details.php?id=BSGatlas-operon-492","BSGatlas-operon-492")</f>
        <v>BSGatlas-operon-492</v>
      </c>
      <c r="B983" s="2" t="str">
        <f>HYPERLINK("https://rth.dk/resources/bsgatlas/details.php?id=BSGatlas-gene-1067","BSGatlas-gene-1067")</f>
        <v>BSGatlas-gene-1067</v>
      </c>
      <c r="C983" s="1" t="s">
        <v>988</v>
      </c>
      <c r="D983" s="1" t="s">
        <v>8</v>
      </c>
      <c r="E983" s="3">
        <v>953373</v>
      </c>
      <c r="F983" s="3">
        <v>954149</v>
      </c>
      <c r="G983" s="1" t="s">
        <v>13</v>
      </c>
      <c r="H983" s="1" t="b">
        <f t="shared" si="38"/>
        <v>0</v>
      </c>
    </row>
    <row r="984" spans="1:8" ht="21" x14ac:dyDescent="0.25">
      <c r="A984" s="2" t="str">
        <f>HYPERLINK("https://rth.dk/resources/bsgatlas/details.php?id=BSGatlas-operon-493","BSGatlas-operon-493")</f>
        <v>BSGatlas-operon-493</v>
      </c>
      <c r="B984" s="2" t="str">
        <f>HYPERLINK("https://rth.dk/resources/bsgatlas/details.php?id=BSGatlas-gene-1068","BSGatlas-gene-1068")</f>
        <v>BSGatlas-gene-1068</v>
      </c>
      <c r="C984" s="1" t="s">
        <v>989</v>
      </c>
      <c r="D984" s="1" t="s">
        <v>8</v>
      </c>
      <c r="E984" s="3">
        <v>954291</v>
      </c>
      <c r="F984" s="3">
        <v>954494</v>
      </c>
      <c r="G984" s="1" t="s">
        <v>9</v>
      </c>
      <c r="H984" s="1" t="b">
        <f t="shared" si="38"/>
        <v>1</v>
      </c>
    </row>
    <row r="985" spans="1:8" ht="21" x14ac:dyDescent="0.25">
      <c r="A985" s="2" t="str">
        <f>HYPERLINK("https://rth.dk/resources/bsgatlas/details.php?id=BSGatlas-operon-494","BSGatlas-operon-494")</f>
        <v>BSGatlas-operon-494</v>
      </c>
      <c r="B985" s="2" t="str">
        <f>HYPERLINK("https://rth.dk/resources/bsgatlas/details.php?id=BSGatlas-gene-1069","BSGatlas-gene-1069")</f>
        <v>BSGatlas-gene-1069</v>
      </c>
      <c r="C985" s="1" t="s">
        <v>990</v>
      </c>
      <c r="D985" s="1" t="s">
        <v>8</v>
      </c>
      <c r="E985" s="3">
        <v>954579</v>
      </c>
      <c r="F985" s="3">
        <v>954851</v>
      </c>
      <c r="G985" s="1" t="s">
        <v>13</v>
      </c>
      <c r="H985" s="1" t="b">
        <f t="shared" si="38"/>
        <v>0</v>
      </c>
    </row>
    <row r="986" spans="1:8" ht="21" x14ac:dyDescent="0.25">
      <c r="A986" s="2" t="str">
        <f>HYPERLINK("https://rth.dk/resources/bsgatlas/details.php?id=BSGatlas-operon-495","BSGatlas-operon-495")</f>
        <v>BSGatlas-operon-495</v>
      </c>
      <c r="B986" s="2" t="str">
        <f>HYPERLINK("https://rth.dk/resources/bsgatlas/details.php?id=BSGatlas-gene-1070","BSGatlas-gene-1070")</f>
        <v>BSGatlas-gene-1070</v>
      </c>
      <c r="C986" s="1" t="s">
        <v>991</v>
      </c>
      <c r="D986" s="1" t="s">
        <v>8</v>
      </c>
      <c r="E986" s="3">
        <v>954893</v>
      </c>
      <c r="F986" s="3">
        <v>955585</v>
      </c>
      <c r="G986" s="1" t="s">
        <v>9</v>
      </c>
      <c r="H986" s="1" t="b">
        <f t="shared" si="38"/>
        <v>1</v>
      </c>
    </row>
    <row r="987" spans="1:8" ht="21" x14ac:dyDescent="0.25">
      <c r="A987" s="2" t="str">
        <f>HYPERLINK("https://rth.dk/resources/bsgatlas/details.php?id=BSGatlas-operon-496","BSGatlas-operon-496")</f>
        <v>BSGatlas-operon-496</v>
      </c>
      <c r="B987" s="2" t="str">
        <f>HYPERLINK("https://rth.dk/resources/bsgatlas/details.php?id=BSGatlas-gene-1071","BSGatlas-gene-1071")</f>
        <v>BSGatlas-gene-1071</v>
      </c>
      <c r="C987" s="1" t="s">
        <v>992</v>
      </c>
      <c r="D987" s="1" t="s">
        <v>34</v>
      </c>
      <c r="E987" s="3">
        <v>955654</v>
      </c>
      <c r="F987" s="3">
        <v>955762</v>
      </c>
      <c r="G987" s="1" t="s">
        <v>9</v>
      </c>
      <c r="H987" s="1" t="b">
        <f t="shared" si="38"/>
        <v>0</v>
      </c>
    </row>
    <row r="988" spans="1:8" ht="21" x14ac:dyDescent="0.25">
      <c r="A988" s="2" t="str">
        <f>HYPERLINK("https://rth.dk/resources/bsgatlas/details.php?id=BSGatlas-operon-497","BSGatlas-operon-497")</f>
        <v>BSGatlas-operon-497</v>
      </c>
      <c r="B988" s="2" t="str">
        <f>HYPERLINK("https://rth.dk/resources/bsgatlas/details.php?id=BSGatlas-gene-1072","BSGatlas-gene-1072")</f>
        <v>BSGatlas-gene-1072</v>
      </c>
      <c r="C988" s="1" t="s">
        <v>993</v>
      </c>
      <c r="D988" s="1" t="s">
        <v>8</v>
      </c>
      <c r="E988" s="3">
        <v>955895</v>
      </c>
      <c r="F988" s="3">
        <v>957667</v>
      </c>
      <c r="G988" s="1" t="s">
        <v>9</v>
      </c>
      <c r="H988" s="1" t="b">
        <f t="shared" si="38"/>
        <v>1</v>
      </c>
    </row>
    <row r="989" spans="1:8" ht="21" x14ac:dyDescent="0.25">
      <c r="A989" s="2" t="str">
        <f>HYPERLINK("https://rth.dk/resources/bsgatlas/details.php?id=BSGatlas-operon-498","BSGatlas-operon-498")</f>
        <v>BSGatlas-operon-498</v>
      </c>
      <c r="B989" s="2" t="str">
        <f>HYPERLINK("https://rth.dk/resources/bsgatlas/details.php?id=BSGatlas-gene-1073","BSGatlas-gene-1073")</f>
        <v>BSGatlas-gene-1073</v>
      </c>
      <c r="C989" s="1" t="s">
        <v>994</v>
      </c>
      <c r="D989" s="1" t="s">
        <v>8</v>
      </c>
      <c r="E989" s="3">
        <v>957705</v>
      </c>
      <c r="F989" s="3">
        <v>959060</v>
      </c>
      <c r="G989" s="1" t="s">
        <v>13</v>
      </c>
      <c r="H989" s="1" t="b">
        <f t="shared" si="38"/>
        <v>0</v>
      </c>
    </row>
    <row r="990" spans="1:8" ht="21" x14ac:dyDescent="0.25">
      <c r="A990" s="2" t="str">
        <f>HYPERLINK("https://rth.dk/resources/bsgatlas/details.php?id=BSGatlas-operon-499","BSGatlas-operon-499")</f>
        <v>BSGatlas-operon-499</v>
      </c>
      <c r="B990" s="2" t="str">
        <f>HYPERLINK("https://rth.dk/resources/bsgatlas/details.php?id=BSGatlas-gene-1074","BSGatlas-gene-1074")</f>
        <v>BSGatlas-gene-1074</v>
      </c>
      <c r="C990" s="1" t="s">
        <v>995</v>
      </c>
      <c r="D990" s="1" t="s">
        <v>8</v>
      </c>
      <c r="E990" s="3">
        <v>959311</v>
      </c>
      <c r="F990" s="3">
        <v>959508</v>
      </c>
      <c r="G990" s="1" t="s">
        <v>9</v>
      </c>
      <c r="H990" s="1" t="b">
        <f t="shared" si="38"/>
        <v>1</v>
      </c>
    </row>
    <row r="991" spans="1:8" ht="21" x14ac:dyDescent="0.25">
      <c r="A991" s="2" t="str">
        <f>HYPERLINK("https://rth.dk/resources/bsgatlas/details.php?id=BSGatlas-operon-500","BSGatlas-operon-500")</f>
        <v>BSGatlas-operon-500</v>
      </c>
      <c r="B991" s="2" t="str">
        <f>HYPERLINK("https://rth.dk/resources/bsgatlas/details.php?id=BSGatlas-gene-1075","BSGatlas-gene-1075")</f>
        <v>BSGatlas-gene-1075</v>
      </c>
      <c r="C991" s="1" t="s">
        <v>996</v>
      </c>
      <c r="D991" s="1" t="s">
        <v>8</v>
      </c>
      <c r="E991" s="3">
        <v>959535</v>
      </c>
      <c r="F991" s="3">
        <v>960986</v>
      </c>
      <c r="G991" s="1" t="s">
        <v>13</v>
      </c>
      <c r="H991" s="1" t="b">
        <f t="shared" si="38"/>
        <v>0</v>
      </c>
    </row>
    <row r="992" spans="1:8" ht="21" x14ac:dyDescent="0.25">
      <c r="A992" s="2" t="str">
        <f>HYPERLINK("https://rth.dk/resources/bsgatlas/details.php?id=BSGatlas-operon-501","BSGatlas-operon-501")</f>
        <v>BSGatlas-operon-501</v>
      </c>
      <c r="B992" s="2" t="str">
        <f>HYPERLINK("https://rth.dk/resources/bsgatlas/details.php?id=BSGatlas-gene-1076","BSGatlas-gene-1076")</f>
        <v>BSGatlas-gene-1076</v>
      </c>
      <c r="C992" s="1" t="s">
        <v>997</v>
      </c>
      <c r="D992" s="1" t="s">
        <v>12</v>
      </c>
      <c r="E992" s="3">
        <v>961009</v>
      </c>
      <c r="F992" s="3">
        <v>961338</v>
      </c>
      <c r="G992" s="1" t="s">
        <v>9</v>
      </c>
      <c r="H992" s="1" t="b">
        <f t="shared" si="38"/>
        <v>1</v>
      </c>
    </row>
    <row r="993" spans="1:8" ht="21" x14ac:dyDescent="0.25">
      <c r="A993" s="2" t="str">
        <f>HYPERLINK("https://rth.dk/resources/bsgatlas/details.php?id=BSGatlas-operon-502","BSGatlas-operon-502")</f>
        <v>BSGatlas-operon-502</v>
      </c>
      <c r="B993" s="2" t="str">
        <f>HYPERLINK("https://rth.dk/resources/bsgatlas/details.php?id=BSGatlas-gene-1077","BSGatlas-gene-1077")</f>
        <v>BSGatlas-gene-1077</v>
      </c>
      <c r="C993" s="1" t="s">
        <v>998</v>
      </c>
      <c r="D993" s="1" t="s">
        <v>8</v>
      </c>
      <c r="E993" s="3">
        <v>961394</v>
      </c>
      <c r="F993" s="3">
        <v>962161</v>
      </c>
      <c r="G993" s="1" t="s">
        <v>9</v>
      </c>
      <c r="H993" s="1" t="b">
        <f t="shared" si="38"/>
        <v>0</v>
      </c>
    </row>
    <row r="994" spans="1:8" ht="21" x14ac:dyDescent="0.25">
      <c r="A994" s="2" t="str">
        <f>HYPERLINK("https://rth.dk/resources/bsgatlas/details.php?id=BSGatlas-operon-502","BSGatlas-operon-502")</f>
        <v>BSGatlas-operon-502</v>
      </c>
      <c r="B994" s="2" t="str">
        <f>HYPERLINK("https://rth.dk/resources/bsgatlas/details.php?id=BSGatlas-gene-1078","BSGatlas-gene-1078")</f>
        <v>BSGatlas-gene-1078</v>
      </c>
      <c r="C994" s="1" t="s">
        <v>999</v>
      </c>
      <c r="D994" s="1" t="s">
        <v>8</v>
      </c>
      <c r="E994" s="3">
        <v>962179</v>
      </c>
      <c r="F994" s="3">
        <v>963177</v>
      </c>
      <c r="G994" s="1" t="s">
        <v>9</v>
      </c>
      <c r="H994" s="1" t="b">
        <f t="shared" si="38"/>
        <v>0</v>
      </c>
    </row>
    <row r="995" spans="1:8" ht="21" x14ac:dyDescent="0.25">
      <c r="A995" s="2" t="str">
        <f>HYPERLINK("https://rth.dk/resources/bsgatlas/details.php?id=BSGatlas-operon-502","BSGatlas-operon-502")</f>
        <v>BSGatlas-operon-502</v>
      </c>
      <c r="B995" s="2" t="str">
        <f>HYPERLINK("https://rth.dk/resources/bsgatlas/details.php?id=BSGatlas-gene-1079","BSGatlas-gene-1079")</f>
        <v>BSGatlas-gene-1079</v>
      </c>
      <c r="C995" s="1" t="s">
        <v>1000</v>
      </c>
      <c r="D995" s="1" t="s">
        <v>8</v>
      </c>
      <c r="E995" s="3">
        <v>963174</v>
      </c>
      <c r="F995" s="3">
        <v>964004</v>
      </c>
      <c r="G995" s="1" t="s">
        <v>9</v>
      </c>
      <c r="H995" s="1" t="b">
        <f t="shared" si="38"/>
        <v>0</v>
      </c>
    </row>
    <row r="996" spans="1:8" ht="21" x14ac:dyDescent="0.25">
      <c r="A996" s="2" t="str">
        <f>HYPERLINK("https://rth.dk/resources/bsgatlas/details.php?id=BSGatlas-operon-502","BSGatlas-operon-502")</f>
        <v>BSGatlas-operon-502</v>
      </c>
      <c r="B996" s="2" t="str">
        <f>HYPERLINK("https://rth.dk/resources/bsgatlas/details.php?id=BSGatlas-gene-1080","BSGatlas-gene-1080")</f>
        <v>BSGatlas-gene-1080</v>
      </c>
      <c r="C996" s="1" t="s">
        <v>1001</v>
      </c>
      <c r="D996" s="1" t="s">
        <v>8</v>
      </c>
      <c r="E996" s="3">
        <v>964027</v>
      </c>
      <c r="F996" s="3">
        <v>965157</v>
      </c>
      <c r="G996" s="1" t="s">
        <v>9</v>
      </c>
      <c r="H996" s="1" t="b">
        <f t="shared" si="38"/>
        <v>0</v>
      </c>
    </row>
    <row r="997" spans="1:8" ht="21" x14ac:dyDescent="0.25">
      <c r="A997" s="2" t="str">
        <f>HYPERLINK("https://rth.dk/resources/bsgatlas/details.php?id=BSGatlas-operon-502","BSGatlas-operon-502")</f>
        <v>BSGatlas-operon-502</v>
      </c>
      <c r="B997" s="2" t="str">
        <f>HYPERLINK("https://rth.dk/resources/bsgatlas/details.php?id=BSGatlas-gene-1081","BSGatlas-gene-1081")</f>
        <v>BSGatlas-gene-1081</v>
      </c>
      <c r="C997" s="1" t="s">
        <v>1002</v>
      </c>
      <c r="D997" s="1" t="s">
        <v>8</v>
      </c>
      <c r="E997" s="3">
        <v>965261</v>
      </c>
      <c r="F997" s="3">
        <v>965797</v>
      </c>
      <c r="G997" s="1" t="s">
        <v>9</v>
      </c>
      <c r="H997" s="1" t="b">
        <f t="shared" si="38"/>
        <v>0</v>
      </c>
    </row>
    <row r="998" spans="1:8" ht="21" x14ac:dyDescent="0.25">
      <c r="A998" s="2" t="str">
        <f>HYPERLINK("https://rth.dk/resources/bsgatlas/details.php?id=BSGatlas-operon-503","BSGatlas-operon-503")</f>
        <v>BSGatlas-operon-503</v>
      </c>
      <c r="B998" s="2" t="str">
        <f>HYPERLINK("https://rth.dk/resources/bsgatlas/details.php?id=BSGatlas-gene-1082","BSGatlas-gene-1082")</f>
        <v>BSGatlas-gene-1082</v>
      </c>
      <c r="C998" s="1" t="s">
        <v>1003</v>
      </c>
      <c r="D998" s="1" t="s">
        <v>8</v>
      </c>
      <c r="E998" s="3">
        <v>965909</v>
      </c>
      <c r="F998" s="3">
        <v>966178</v>
      </c>
      <c r="G998" s="1" t="s">
        <v>9</v>
      </c>
      <c r="H998" s="1" t="b">
        <f t="shared" si="38"/>
        <v>1</v>
      </c>
    </row>
    <row r="999" spans="1:8" ht="21" x14ac:dyDescent="0.25">
      <c r="A999" s="2" t="str">
        <f>HYPERLINK("https://rth.dk/resources/bsgatlas/details.php?id=BSGatlas-operon-504","BSGatlas-operon-504")</f>
        <v>BSGatlas-operon-504</v>
      </c>
      <c r="B999" s="2" t="str">
        <f>HYPERLINK("https://rth.dk/resources/bsgatlas/details.php?id=BSGatlas-gene-1083","BSGatlas-gene-1083")</f>
        <v>BSGatlas-gene-1083</v>
      </c>
      <c r="C999" s="1" t="s">
        <v>1004</v>
      </c>
      <c r="D999" s="1" t="s">
        <v>8</v>
      </c>
      <c r="E999" s="3">
        <v>966196</v>
      </c>
      <c r="F999" s="3">
        <v>966669</v>
      </c>
      <c r="G999" s="1" t="s">
        <v>13</v>
      </c>
      <c r="H999" s="1" t="b">
        <f t="shared" si="38"/>
        <v>0</v>
      </c>
    </row>
    <row r="1000" spans="1:8" ht="21" x14ac:dyDescent="0.25">
      <c r="A1000" s="2" t="str">
        <f>HYPERLINK("https://rth.dk/resources/bsgatlas/details.php?id=BSGatlas-operon-504","BSGatlas-operon-504")</f>
        <v>BSGatlas-operon-504</v>
      </c>
      <c r="B1000" s="2" t="str">
        <f>HYPERLINK("https://rth.dk/resources/bsgatlas/details.php?id=BSGatlas-gene-1084","BSGatlas-gene-1084")</f>
        <v>BSGatlas-gene-1084</v>
      </c>
      <c r="C1000" s="1" t="s">
        <v>1005</v>
      </c>
      <c r="D1000" s="1" t="s">
        <v>8</v>
      </c>
      <c r="E1000" s="3">
        <v>966671</v>
      </c>
      <c r="F1000" s="3">
        <v>966871</v>
      </c>
      <c r="G1000" s="1" t="s">
        <v>13</v>
      </c>
      <c r="H1000" s="1" t="b">
        <f t="shared" si="38"/>
        <v>0</v>
      </c>
    </row>
    <row r="1001" spans="1:8" ht="21" x14ac:dyDescent="0.25">
      <c r="A1001" s="2" t="str">
        <f>HYPERLINK("https://rth.dk/resources/bsgatlas/details.php?id=BSGatlas-operon-505","BSGatlas-operon-505")</f>
        <v>BSGatlas-operon-505</v>
      </c>
      <c r="B1001" s="2" t="str">
        <f>HYPERLINK("https://rth.dk/resources/bsgatlas/details.php?id=BSGatlas-gene-1085","BSGatlas-gene-1085")</f>
        <v>BSGatlas-gene-1085</v>
      </c>
      <c r="C1001" s="1" t="s">
        <v>1006</v>
      </c>
      <c r="D1001" s="1" t="s">
        <v>23</v>
      </c>
      <c r="E1001" s="3">
        <v>967064</v>
      </c>
      <c r="F1001" s="3">
        <v>967138</v>
      </c>
      <c r="G1001" s="1" t="s">
        <v>9</v>
      </c>
      <c r="H1001" s="1" t="b">
        <f t="shared" si="38"/>
        <v>1</v>
      </c>
    </row>
    <row r="1002" spans="1:8" ht="21" x14ac:dyDescent="0.25">
      <c r="A1002" s="2" t="str">
        <f>HYPERLINK("https://rth.dk/resources/bsgatlas/details.php?id=BSGatlas-operon-506","BSGatlas-operon-506")</f>
        <v>BSGatlas-operon-506</v>
      </c>
      <c r="B1002" s="2" t="str">
        <f>HYPERLINK("https://rth.dk/resources/bsgatlas/details.php?id=BSGatlas-gene-1086","BSGatlas-gene-1086")</f>
        <v>BSGatlas-gene-1086</v>
      </c>
      <c r="C1002" s="1" t="s">
        <v>1007</v>
      </c>
      <c r="D1002" s="1" t="s">
        <v>8</v>
      </c>
      <c r="E1002" s="3">
        <v>967229</v>
      </c>
      <c r="F1002" s="3">
        <v>967852</v>
      </c>
      <c r="G1002" s="1" t="s">
        <v>13</v>
      </c>
      <c r="H1002" s="1" t="b">
        <f t="shared" si="38"/>
        <v>0</v>
      </c>
    </row>
    <row r="1003" spans="1:8" ht="21" x14ac:dyDescent="0.25">
      <c r="A1003" s="2" t="str">
        <f>HYPERLINK("https://rth.dk/resources/bsgatlas/details.php?id=BSGatlas-operon-507","BSGatlas-operon-507")</f>
        <v>BSGatlas-operon-507</v>
      </c>
      <c r="B1003" s="2" t="str">
        <f>HYPERLINK("https://rth.dk/resources/bsgatlas/details.php?id=BSGatlas-gene-1087","BSGatlas-gene-1087")</f>
        <v>BSGatlas-gene-1087</v>
      </c>
      <c r="C1003" s="1" t="s">
        <v>1008</v>
      </c>
      <c r="D1003" s="1" t="s">
        <v>8</v>
      </c>
      <c r="E1003" s="3">
        <v>967935</v>
      </c>
      <c r="F1003" s="3">
        <v>969095</v>
      </c>
      <c r="G1003" s="1" t="s">
        <v>9</v>
      </c>
      <c r="H1003" s="1" t="b">
        <f t="shared" si="38"/>
        <v>1</v>
      </c>
    </row>
    <row r="1004" spans="1:8" ht="21" x14ac:dyDescent="0.25">
      <c r="A1004" s="2" t="str">
        <f>HYPERLINK("https://rth.dk/resources/bsgatlas/details.php?id=BSGatlas-operon-508","BSGatlas-operon-508")</f>
        <v>BSGatlas-operon-508</v>
      </c>
      <c r="B1004" s="2" t="str">
        <f>HYPERLINK("https://rth.dk/resources/bsgatlas/details.php?id=BSGatlas-gene-1088","BSGatlas-gene-1088")</f>
        <v>BSGatlas-gene-1088</v>
      </c>
      <c r="C1004" s="1" t="s">
        <v>1009</v>
      </c>
      <c r="D1004" s="1" t="s">
        <v>8</v>
      </c>
      <c r="E1004" s="3">
        <v>969162</v>
      </c>
      <c r="F1004" s="3">
        <v>970097</v>
      </c>
      <c r="G1004" s="1" t="s">
        <v>9</v>
      </c>
      <c r="H1004" s="1" t="b">
        <f t="shared" si="38"/>
        <v>0</v>
      </c>
    </row>
    <row r="1005" spans="1:8" ht="21" x14ac:dyDescent="0.25">
      <c r="A1005" s="2" t="str">
        <f>HYPERLINK("https://rth.dk/resources/bsgatlas/details.php?id=BSGatlas-operon-508","BSGatlas-operon-508")</f>
        <v>BSGatlas-operon-508</v>
      </c>
      <c r="B1005" s="2" t="str">
        <f>HYPERLINK("https://rth.dk/resources/bsgatlas/details.php?id=BSGatlas-gene-1089","BSGatlas-gene-1089")</f>
        <v>BSGatlas-gene-1089</v>
      </c>
      <c r="C1005" s="1" t="s">
        <v>1010</v>
      </c>
      <c r="D1005" s="1" t="s">
        <v>8</v>
      </c>
      <c r="E1005" s="3">
        <v>970135</v>
      </c>
      <c r="F1005" s="3">
        <v>970617</v>
      </c>
      <c r="G1005" s="1" t="s">
        <v>9</v>
      </c>
      <c r="H1005" s="1" t="b">
        <f t="shared" si="38"/>
        <v>0</v>
      </c>
    </row>
    <row r="1006" spans="1:8" ht="21" x14ac:dyDescent="0.25">
      <c r="A1006" s="2" t="str">
        <f>HYPERLINK("https://rth.dk/resources/bsgatlas/details.php?id=BSGatlas-operon-509","BSGatlas-operon-509")</f>
        <v>BSGatlas-operon-509</v>
      </c>
      <c r="B1006" s="2" t="str">
        <f>HYPERLINK("https://rth.dk/resources/bsgatlas/details.php?id=BSGatlas-gene-1090","BSGatlas-gene-1090")</f>
        <v>BSGatlas-gene-1090</v>
      </c>
      <c r="C1006" s="1" t="s">
        <v>1011</v>
      </c>
      <c r="D1006" s="1" t="s">
        <v>8</v>
      </c>
      <c r="E1006" s="3">
        <v>970667</v>
      </c>
      <c r="F1006" s="3">
        <v>971383</v>
      </c>
      <c r="G1006" s="1" t="s">
        <v>9</v>
      </c>
      <c r="H1006" s="1" t="b">
        <f t="shared" si="38"/>
        <v>1</v>
      </c>
    </row>
    <row r="1007" spans="1:8" ht="21" x14ac:dyDescent="0.25">
      <c r="A1007" s="2" t="str">
        <f>HYPERLINK("https://rth.dk/resources/bsgatlas/details.php?id=BSGatlas-operon-509","BSGatlas-operon-509")</f>
        <v>BSGatlas-operon-509</v>
      </c>
      <c r="B1007" s="2" t="str">
        <f>HYPERLINK("https://rth.dk/resources/bsgatlas/details.php?id=BSGatlas-gene-1091","BSGatlas-gene-1091")</f>
        <v>BSGatlas-gene-1091</v>
      </c>
      <c r="C1007" s="1" t="s">
        <v>1012</v>
      </c>
      <c r="D1007" s="1" t="s">
        <v>8</v>
      </c>
      <c r="E1007" s="3">
        <v>971374</v>
      </c>
      <c r="F1007" s="3">
        <v>972087</v>
      </c>
      <c r="G1007" s="1" t="s">
        <v>9</v>
      </c>
      <c r="H1007" s="1" t="b">
        <f t="shared" si="38"/>
        <v>1</v>
      </c>
    </row>
    <row r="1008" spans="1:8" ht="21" x14ac:dyDescent="0.25">
      <c r="A1008" s="2" t="str">
        <f>HYPERLINK("https://rth.dk/resources/bsgatlas/details.php?id=BSGatlas-operon-509","BSGatlas-operon-509")</f>
        <v>BSGatlas-operon-509</v>
      </c>
      <c r="B1008" s="2" t="str">
        <f>HYPERLINK("https://rth.dk/resources/bsgatlas/details.php?id=BSGatlas-gene-1092","BSGatlas-gene-1092")</f>
        <v>BSGatlas-gene-1092</v>
      </c>
      <c r="C1008" s="1" t="s">
        <v>1013</v>
      </c>
      <c r="D1008" s="1" t="s">
        <v>8</v>
      </c>
      <c r="E1008" s="3">
        <v>972099</v>
      </c>
      <c r="F1008" s="3">
        <v>972806</v>
      </c>
      <c r="G1008" s="1" t="s">
        <v>9</v>
      </c>
      <c r="H1008" s="1" t="b">
        <f t="shared" si="38"/>
        <v>1</v>
      </c>
    </row>
    <row r="1009" spans="1:8" ht="21" x14ac:dyDescent="0.25">
      <c r="A1009" s="2" t="str">
        <f>HYPERLINK("https://rth.dk/resources/bsgatlas/details.php?id=BSGatlas-operon-510","BSGatlas-operon-510")</f>
        <v>BSGatlas-operon-510</v>
      </c>
      <c r="B1009" s="2" t="str">
        <f>HYPERLINK("https://rth.dk/resources/bsgatlas/details.php?id=BSGatlas-gene-1093","BSGatlas-gene-1093")</f>
        <v>BSGatlas-gene-1093</v>
      </c>
      <c r="C1009" s="1" t="s">
        <v>1014</v>
      </c>
      <c r="D1009" s="1" t="s">
        <v>12</v>
      </c>
      <c r="E1009" s="3">
        <v>972833</v>
      </c>
      <c r="F1009" s="3">
        <v>973008</v>
      </c>
      <c r="G1009" s="1" t="s">
        <v>13</v>
      </c>
      <c r="H1009" s="1" t="b">
        <f t="shared" si="38"/>
        <v>0</v>
      </c>
    </row>
    <row r="1010" spans="1:8" ht="21" x14ac:dyDescent="0.25">
      <c r="A1010" s="2" t="str">
        <f>HYPERLINK("https://rth.dk/resources/bsgatlas/details.php?id=BSGatlas-operon-511","BSGatlas-operon-511")</f>
        <v>BSGatlas-operon-511</v>
      </c>
      <c r="B1010" s="2" t="str">
        <f>HYPERLINK("https://rth.dk/resources/bsgatlas/details.php?id=BSGatlas-gene-1094","BSGatlas-gene-1094")</f>
        <v>BSGatlas-gene-1094</v>
      </c>
      <c r="C1010" s="1" t="s">
        <v>1015</v>
      </c>
      <c r="D1010" s="1" t="s">
        <v>8</v>
      </c>
      <c r="E1010" s="3">
        <v>973156</v>
      </c>
      <c r="F1010" s="3">
        <v>975051</v>
      </c>
      <c r="G1010" s="1" t="s">
        <v>9</v>
      </c>
      <c r="H1010" s="1" t="b">
        <f t="shared" si="38"/>
        <v>1</v>
      </c>
    </row>
    <row r="1011" spans="1:8" ht="21" x14ac:dyDescent="0.25">
      <c r="A1011" s="2" t="str">
        <f>HYPERLINK("https://rth.dk/resources/bsgatlas/details.php?id=BSGatlas-operon-512","BSGatlas-operon-512")</f>
        <v>BSGatlas-operon-512</v>
      </c>
      <c r="B1011" s="2" t="str">
        <f>HYPERLINK("https://rth.dk/resources/bsgatlas/details.php?id=BSGatlas-gene-1095","BSGatlas-gene-1095")</f>
        <v>BSGatlas-gene-1095</v>
      </c>
      <c r="C1011" s="1" t="s">
        <v>1016</v>
      </c>
      <c r="D1011" s="1" t="s">
        <v>8</v>
      </c>
      <c r="E1011" s="3">
        <v>975231</v>
      </c>
      <c r="F1011" s="3">
        <v>976409</v>
      </c>
      <c r="G1011" s="1" t="s">
        <v>9</v>
      </c>
      <c r="H1011" s="1" t="b">
        <f t="shared" si="38"/>
        <v>0</v>
      </c>
    </row>
    <row r="1012" spans="1:8" ht="21" x14ac:dyDescent="0.25">
      <c r="A1012" s="2" t="str">
        <f t="shared" ref="A1012:A1022" si="39">HYPERLINK("https://rth.dk/resources/bsgatlas/details.php?id=BSGatlas-operon-513","BSGatlas-operon-513")</f>
        <v>BSGatlas-operon-513</v>
      </c>
      <c r="B1012" s="2" t="str">
        <f>HYPERLINK("https://rth.dk/resources/bsgatlas/details.php?id=BSGatlas-gene-1096","BSGatlas-gene-1096")</f>
        <v>BSGatlas-gene-1096</v>
      </c>
      <c r="C1012" s="1" t="s">
        <v>1017</v>
      </c>
      <c r="D1012" s="1" t="s">
        <v>8</v>
      </c>
      <c r="E1012" s="3">
        <v>976569</v>
      </c>
      <c r="F1012" s="3">
        <v>977033</v>
      </c>
      <c r="G1012" s="1" t="s">
        <v>9</v>
      </c>
      <c r="H1012" s="1" t="b">
        <f t="shared" si="38"/>
        <v>1</v>
      </c>
    </row>
    <row r="1013" spans="1:8" ht="21" x14ac:dyDescent="0.25">
      <c r="A1013" s="2" t="str">
        <f t="shared" si="39"/>
        <v>BSGatlas-operon-513</v>
      </c>
      <c r="B1013" s="2" t="str">
        <f>HYPERLINK("https://rth.dk/resources/bsgatlas/details.php?id=BSGatlas-gene-1097","BSGatlas-gene-1097")</f>
        <v>BSGatlas-gene-1097</v>
      </c>
      <c r="C1013" s="1" t="s">
        <v>1018</v>
      </c>
      <c r="D1013" s="1" t="s">
        <v>8</v>
      </c>
      <c r="E1013" s="3">
        <v>977069</v>
      </c>
      <c r="F1013" s="3">
        <v>977734</v>
      </c>
      <c r="G1013" s="1" t="s">
        <v>9</v>
      </c>
      <c r="H1013" s="1" t="b">
        <f t="shared" si="38"/>
        <v>1</v>
      </c>
    </row>
    <row r="1014" spans="1:8" ht="21" x14ac:dyDescent="0.25">
      <c r="A1014" s="2" t="str">
        <f t="shared" si="39"/>
        <v>BSGatlas-operon-513</v>
      </c>
      <c r="B1014" s="2" t="str">
        <f>HYPERLINK("https://rth.dk/resources/bsgatlas/details.php?id=BSGatlas-gene-1098","BSGatlas-gene-1098")</f>
        <v>BSGatlas-gene-1098</v>
      </c>
      <c r="C1014" s="1" t="s">
        <v>1019</v>
      </c>
      <c r="D1014" s="1" t="s">
        <v>8</v>
      </c>
      <c r="E1014" s="3">
        <v>977775</v>
      </c>
      <c r="F1014" s="3">
        <v>979373</v>
      </c>
      <c r="G1014" s="1" t="s">
        <v>9</v>
      </c>
      <c r="H1014" s="1" t="b">
        <f t="shared" si="38"/>
        <v>1</v>
      </c>
    </row>
    <row r="1015" spans="1:8" ht="21" x14ac:dyDescent="0.25">
      <c r="A1015" s="2" t="str">
        <f t="shared" si="39"/>
        <v>BSGatlas-operon-513</v>
      </c>
      <c r="B1015" s="2" t="str">
        <f>HYPERLINK("https://rth.dk/resources/bsgatlas/details.php?id=BSGatlas-gene-1099","BSGatlas-gene-1099")</f>
        <v>BSGatlas-gene-1099</v>
      </c>
      <c r="C1015" s="1" t="s">
        <v>1020</v>
      </c>
      <c r="D1015" s="1" t="s">
        <v>8</v>
      </c>
      <c r="E1015" s="3">
        <v>979396</v>
      </c>
      <c r="F1015" s="3">
        <v>979926</v>
      </c>
      <c r="G1015" s="1" t="s">
        <v>9</v>
      </c>
      <c r="H1015" s="1" t="b">
        <f t="shared" si="38"/>
        <v>1</v>
      </c>
    </row>
    <row r="1016" spans="1:8" ht="21" x14ac:dyDescent="0.25">
      <c r="A1016" s="2" t="str">
        <f t="shared" si="39"/>
        <v>BSGatlas-operon-513</v>
      </c>
      <c r="B1016" s="2" t="str">
        <f>HYPERLINK("https://rth.dk/resources/bsgatlas/details.php?id=BSGatlas-gene-1100","BSGatlas-gene-1100")</f>
        <v>BSGatlas-gene-1100</v>
      </c>
      <c r="C1016" s="1" t="s">
        <v>1021</v>
      </c>
      <c r="D1016" s="1" t="s">
        <v>8</v>
      </c>
      <c r="E1016" s="3">
        <v>979939</v>
      </c>
      <c r="F1016" s="3">
        <v>980313</v>
      </c>
      <c r="G1016" s="1" t="s">
        <v>9</v>
      </c>
      <c r="H1016" s="1" t="b">
        <f t="shared" si="38"/>
        <v>1</v>
      </c>
    </row>
    <row r="1017" spans="1:8" ht="21" x14ac:dyDescent="0.25">
      <c r="A1017" s="2" t="str">
        <f t="shared" si="39"/>
        <v>BSGatlas-operon-513</v>
      </c>
      <c r="B1017" s="2" t="str">
        <f>HYPERLINK("https://rth.dk/resources/bsgatlas/details.php?id=BSGatlas-gene-1101","BSGatlas-gene-1101")</f>
        <v>BSGatlas-gene-1101</v>
      </c>
      <c r="C1017" s="1" t="s">
        <v>1022</v>
      </c>
      <c r="D1017" s="1" t="s">
        <v>8</v>
      </c>
      <c r="E1017" s="3">
        <v>980313</v>
      </c>
      <c r="F1017" s="3">
        <v>980468</v>
      </c>
      <c r="G1017" s="1" t="s">
        <v>9</v>
      </c>
      <c r="H1017" s="1" t="b">
        <f t="shared" si="38"/>
        <v>1</v>
      </c>
    </row>
    <row r="1018" spans="1:8" ht="21" x14ac:dyDescent="0.25">
      <c r="A1018" s="2" t="str">
        <f t="shared" si="39"/>
        <v>BSGatlas-operon-513</v>
      </c>
      <c r="B1018" s="2" t="str">
        <f>HYPERLINK("https://rth.dk/resources/bsgatlas/details.php?id=BSGatlas-gene-1102","BSGatlas-gene-1102")</f>
        <v>BSGatlas-gene-1102</v>
      </c>
      <c r="C1018" s="1" t="s">
        <v>1023</v>
      </c>
      <c r="D1018" s="1" t="s">
        <v>8</v>
      </c>
      <c r="E1018" s="3">
        <v>980473</v>
      </c>
      <c r="F1018" s="3">
        <v>981234</v>
      </c>
      <c r="G1018" s="1" t="s">
        <v>9</v>
      </c>
      <c r="H1018" s="1" t="b">
        <f t="shared" si="38"/>
        <v>1</v>
      </c>
    </row>
    <row r="1019" spans="1:8" ht="21" x14ac:dyDescent="0.25">
      <c r="A1019" s="2" t="str">
        <f t="shared" si="39"/>
        <v>BSGatlas-operon-513</v>
      </c>
      <c r="B1019" s="2" t="str">
        <f>HYPERLINK("https://rth.dk/resources/bsgatlas/details.php?id=BSGatlas-gene-1103","BSGatlas-gene-1103")</f>
        <v>BSGatlas-gene-1103</v>
      </c>
      <c r="C1019" s="1" t="s">
        <v>1024</v>
      </c>
      <c r="D1019" s="1" t="s">
        <v>8</v>
      </c>
      <c r="E1019" s="3">
        <v>981237</v>
      </c>
      <c r="F1019" s="3">
        <v>981602</v>
      </c>
      <c r="G1019" s="1" t="s">
        <v>9</v>
      </c>
      <c r="H1019" s="1" t="b">
        <f t="shared" si="38"/>
        <v>1</v>
      </c>
    </row>
    <row r="1020" spans="1:8" ht="21" x14ac:dyDescent="0.25">
      <c r="A1020" s="2" t="str">
        <f t="shared" si="39"/>
        <v>BSGatlas-operon-513</v>
      </c>
      <c r="B1020" s="2" t="str">
        <f>HYPERLINK("https://rth.dk/resources/bsgatlas/details.php?id=BSGatlas-gene-1104","BSGatlas-gene-1104")</f>
        <v>BSGatlas-gene-1104</v>
      </c>
      <c r="C1020" s="1" t="s">
        <v>1025</v>
      </c>
      <c r="D1020" s="1" t="s">
        <v>8</v>
      </c>
      <c r="E1020" s="3">
        <v>981604</v>
      </c>
      <c r="F1020" s="3">
        <v>982302</v>
      </c>
      <c r="G1020" s="1" t="s">
        <v>9</v>
      </c>
      <c r="H1020" s="1" t="b">
        <f t="shared" si="38"/>
        <v>1</v>
      </c>
    </row>
    <row r="1021" spans="1:8" ht="21" x14ac:dyDescent="0.25">
      <c r="A1021" s="2" t="str">
        <f t="shared" si="39"/>
        <v>BSGatlas-operon-513</v>
      </c>
      <c r="B1021" s="2" t="str">
        <f>HYPERLINK("https://rth.dk/resources/bsgatlas/details.php?id=BSGatlas-gene-1105","BSGatlas-gene-1105")</f>
        <v>BSGatlas-gene-1105</v>
      </c>
      <c r="C1021" s="1" t="s">
        <v>1026</v>
      </c>
      <c r="D1021" s="1" t="s">
        <v>8</v>
      </c>
      <c r="E1021" s="3">
        <v>982319</v>
      </c>
      <c r="F1021" s="3">
        <v>983236</v>
      </c>
      <c r="G1021" s="1" t="s">
        <v>9</v>
      </c>
      <c r="H1021" s="1" t="b">
        <f t="shared" si="38"/>
        <v>1</v>
      </c>
    </row>
    <row r="1022" spans="1:8" ht="21" x14ac:dyDescent="0.25">
      <c r="A1022" s="2" t="str">
        <f t="shared" si="39"/>
        <v>BSGatlas-operon-513</v>
      </c>
      <c r="B1022" s="2" t="str">
        <f>HYPERLINK("https://rth.dk/resources/bsgatlas/details.php?id=BSGatlas-gene-1106","BSGatlas-gene-1106")</f>
        <v>BSGatlas-gene-1106</v>
      </c>
      <c r="C1022" s="1" t="s">
        <v>1027</v>
      </c>
      <c r="D1022" s="1" t="s">
        <v>8</v>
      </c>
      <c r="E1022" s="3">
        <v>983229</v>
      </c>
      <c r="F1022" s="3">
        <v>984170</v>
      </c>
      <c r="G1022" s="1" t="s">
        <v>9</v>
      </c>
      <c r="H1022" s="1" t="b">
        <f t="shared" si="38"/>
        <v>1</v>
      </c>
    </row>
    <row r="1023" spans="1:8" ht="21" x14ac:dyDescent="0.25">
      <c r="A1023" s="2" t="str">
        <f>HYPERLINK("https://rth.dk/resources/bsgatlas/details.php?id=BSGatlas-operon-514","BSGatlas-operon-514")</f>
        <v>BSGatlas-operon-514</v>
      </c>
      <c r="B1023" s="2" t="str">
        <f>HYPERLINK("https://rth.dk/resources/bsgatlas/details.php?id=BSGatlas-gene-1107","BSGatlas-gene-1107")</f>
        <v>BSGatlas-gene-1107</v>
      </c>
      <c r="C1023" s="1" t="s">
        <v>593</v>
      </c>
      <c r="D1023" s="1" t="s">
        <v>34</v>
      </c>
      <c r="E1023" s="3">
        <v>984214</v>
      </c>
      <c r="F1023" s="3">
        <v>984527</v>
      </c>
      <c r="G1023" s="1" t="s">
        <v>13</v>
      </c>
      <c r="H1023" s="1" t="b">
        <f t="shared" si="38"/>
        <v>0</v>
      </c>
    </row>
    <row r="1024" spans="1:8" ht="21" x14ac:dyDescent="0.25">
      <c r="A1024" s="2" t="str">
        <f>HYPERLINK("https://rth.dk/resources/bsgatlas/details.php?id=BSGatlas-operon-514","BSGatlas-operon-514")</f>
        <v>BSGatlas-operon-514</v>
      </c>
      <c r="B1024" s="2" t="str">
        <f>HYPERLINK("https://rth.dk/resources/bsgatlas/details.php?id=BSGatlas-gene-1108","BSGatlas-gene-1108")</f>
        <v>BSGatlas-gene-1108</v>
      </c>
      <c r="C1024" s="1" t="s">
        <v>1028</v>
      </c>
      <c r="D1024" s="1" t="s">
        <v>8</v>
      </c>
      <c r="E1024" s="3">
        <v>984262</v>
      </c>
      <c r="F1024" s="3">
        <v>984465</v>
      </c>
      <c r="G1024" s="1" t="s">
        <v>13</v>
      </c>
      <c r="H1024" s="1" t="b">
        <f t="shared" si="38"/>
        <v>0</v>
      </c>
    </row>
    <row r="1025" spans="1:8" ht="21" x14ac:dyDescent="0.25">
      <c r="A1025" s="2" t="str">
        <f>HYPERLINK("https://rth.dk/resources/bsgatlas/details.php?id=BSGatlas-operon-515","BSGatlas-operon-515")</f>
        <v>BSGatlas-operon-515</v>
      </c>
      <c r="B1025" s="2" t="str">
        <f>HYPERLINK("https://rth.dk/resources/bsgatlas/details.php?id=BSGatlas-gene-1109","BSGatlas-gene-1109")</f>
        <v>BSGatlas-gene-1109</v>
      </c>
      <c r="C1025" s="1" t="s">
        <v>1029</v>
      </c>
      <c r="D1025" s="1" t="s">
        <v>8</v>
      </c>
      <c r="E1025" s="3">
        <v>984901</v>
      </c>
      <c r="F1025" s="3">
        <v>985731</v>
      </c>
      <c r="G1025" s="1" t="s">
        <v>9</v>
      </c>
      <c r="H1025" s="1" t="b">
        <f t="shared" si="38"/>
        <v>1</v>
      </c>
    </row>
    <row r="1026" spans="1:8" ht="21" x14ac:dyDescent="0.25">
      <c r="A1026" s="2" t="str">
        <f>HYPERLINK("https://rth.dk/resources/bsgatlas/details.php?id=BSGatlas-operon-516","BSGatlas-operon-516")</f>
        <v>BSGatlas-operon-516</v>
      </c>
      <c r="B1026" s="2" t="str">
        <f>HYPERLINK("https://rth.dk/resources/bsgatlas/details.php?id=BSGatlas-gene-1110","BSGatlas-gene-1110")</f>
        <v>BSGatlas-gene-1110</v>
      </c>
      <c r="C1026" s="1" t="s">
        <v>1030</v>
      </c>
      <c r="D1026" s="1" t="s">
        <v>8</v>
      </c>
      <c r="E1026" s="3">
        <v>985734</v>
      </c>
      <c r="F1026" s="3">
        <v>986813</v>
      </c>
      <c r="G1026" s="1" t="s">
        <v>13</v>
      </c>
      <c r="H1026" s="1" t="b">
        <f t="shared" ref="H1026:H1089" si="40">_xlfn.XOR(A1025&lt;&gt;A1026,H1025)</f>
        <v>0</v>
      </c>
    </row>
    <row r="1027" spans="1:8" ht="21" x14ac:dyDescent="0.25">
      <c r="A1027" s="2" t="str">
        <f>HYPERLINK("https://rth.dk/resources/bsgatlas/details.php?id=BSGatlas-operon-517","BSGatlas-operon-517")</f>
        <v>BSGatlas-operon-517</v>
      </c>
      <c r="B1027" s="2" t="str">
        <f>HYPERLINK("https://rth.dk/resources/bsgatlas/details.php?id=BSGatlas-gene-1111","BSGatlas-gene-1111")</f>
        <v>BSGatlas-gene-1111</v>
      </c>
      <c r="C1027" s="1" t="s">
        <v>1031</v>
      </c>
      <c r="D1027" s="1" t="s">
        <v>8</v>
      </c>
      <c r="E1027" s="3">
        <v>986986</v>
      </c>
      <c r="F1027" s="3">
        <v>988377</v>
      </c>
      <c r="G1027" s="1" t="s">
        <v>9</v>
      </c>
      <c r="H1027" s="1" t="b">
        <f t="shared" si="40"/>
        <v>1</v>
      </c>
    </row>
    <row r="1028" spans="1:8" ht="21" x14ac:dyDescent="0.25">
      <c r="A1028" s="2" t="str">
        <f>HYPERLINK("https://rth.dk/resources/bsgatlas/details.php?id=BSGatlas-operon-518","BSGatlas-operon-518")</f>
        <v>BSGatlas-operon-518</v>
      </c>
      <c r="B1028" s="2" t="str">
        <f>HYPERLINK("https://rth.dk/resources/bsgatlas/details.php?id=BSGatlas-gene-1112","BSGatlas-gene-1112")</f>
        <v>BSGatlas-gene-1112</v>
      </c>
      <c r="C1028" s="1" t="s">
        <v>1032</v>
      </c>
      <c r="D1028" s="1" t="s">
        <v>8</v>
      </c>
      <c r="E1028" s="3">
        <v>988417</v>
      </c>
      <c r="F1028" s="3">
        <v>988872</v>
      </c>
      <c r="G1028" s="1" t="s">
        <v>13</v>
      </c>
      <c r="H1028" s="1" t="b">
        <f t="shared" si="40"/>
        <v>0</v>
      </c>
    </row>
    <row r="1029" spans="1:8" ht="21" x14ac:dyDescent="0.25">
      <c r="A1029" s="2" t="str">
        <f>HYPERLINK("https://rth.dk/resources/bsgatlas/details.php?id=BSGatlas-operon-519","BSGatlas-operon-519")</f>
        <v>BSGatlas-operon-519</v>
      </c>
      <c r="B1029" s="2" t="str">
        <f>HYPERLINK("https://rth.dk/resources/bsgatlas/details.php?id=BSGatlas-gene-1113","BSGatlas-gene-1113")</f>
        <v>BSGatlas-gene-1113</v>
      </c>
      <c r="C1029" s="1" t="s">
        <v>1033</v>
      </c>
      <c r="D1029" s="1" t="s">
        <v>8</v>
      </c>
      <c r="E1029" s="3">
        <v>989022</v>
      </c>
      <c r="F1029" s="3">
        <v>989591</v>
      </c>
      <c r="G1029" s="1" t="s">
        <v>9</v>
      </c>
      <c r="H1029" s="1" t="b">
        <f t="shared" si="40"/>
        <v>1</v>
      </c>
    </row>
    <row r="1030" spans="1:8" ht="21" x14ac:dyDescent="0.25">
      <c r="A1030" s="2" t="str">
        <f>HYPERLINK("https://rth.dk/resources/bsgatlas/details.php?id=BSGatlas-operon-520","BSGatlas-operon-520")</f>
        <v>BSGatlas-operon-520</v>
      </c>
      <c r="B1030" s="2" t="str">
        <f>HYPERLINK("https://rth.dk/resources/bsgatlas/details.php?id=BSGatlas-gene-1114","BSGatlas-gene-1114")</f>
        <v>BSGatlas-gene-1114</v>
      </c>
      <c r="C1030" s="1" t="s">
        <v>1034</v>
      </c>
      <c r="D1030" s="1" t="s">
        <v>8</v>
      </c>
      <c r="E1030" s="3">
        <v>989712</v>
      </c>
      <c r="F1030" s="3">
        <v>990680</v>
      </c>
      <c r="G1030" s="1" t="s">
        <v>9</v>
      </c>
      <c r="H1030" s="1" t="b">
        <f t="shared" si="40"/>
        <v>0</v>
      </c>
    </row>
    <row r="1031" spans="1:8" ht="21" x14ac:dyDescent="0.25">
      <c r="A1031" s="2" t="str">
        <f>HYPERLINK("https://rth.dk/resources/bsgatlas/details.php?id=BSGatlas-operon-521","BSGatlas-operon-521")</f>
        <v>BSGatlas-operon-521</v>
      </c>
      <c r="B1031" s="2" t="str">
        <f>HYPERLINK("https://rth.dk/resources/bsgatlas/details.php?id=BSGatlas-gene-1115","BSGatlas-gene-1115")</f>
        <v>BSGatlas-gene-1115</v>
      </c>
      <c r="C1031" s="1" t="s">
        <v>1035</v>
      </c>
      <c r="D1031" s="1" t="s">
        <v>8</v>
      </c>
      <c r="E1031" s="3">
        <v>990612</v>
      </c>
      <c r="F1031" s="3">
        <v>991265</v>
      </c>
      <c r="G1031" s="1" t="s">
        <v>13</v>
      </c>
      <c r="H1031" s="1" t="b">
        <f t="shared" si="40"/>
        <v>1</v>
      </c>
    </row>
    <row r="1032" spans="1:8" ht="21" x14ac:dyDescent="0.25">
      <c r="A1032" s="2" t="str">
        <f>HYPERLINK("https://rth.dk/resources/bsgatlas/details.php?id=BSGatlas-operon-522","BSGatlas-operon-522")</f>
        <v>BSGatlas-operon-522</v>
      </c>
      <c r="B1032" s="2" t="str">
        <f>HYPERLINK("https://rth.dk/resources/bsgatlas/details.php?id=BSGatlas-gene-1116","BSGatlas-gene-1116")</f>
        <v>BSGatlas-gene-1116</v>
      </c>
      <c r="C1032" s="1" t="s">
        <v>1036</v>
      </c>
      <c r="D1032" s="1" t="s">
        <v>8</v>
      </c>
      <c r="E1032" s="3">
        <v>991348</v>
      </c>
      <c r="F1032" s="3">
        <v>995001</v>
      </c>
      <c r="G1032" s="1" t="s">
        <v>9</v>
      </c>
      <c r="H1032" s="1" t="b">
        <f t="shared" si="40"/>
        <v>0</v>
      </c>
    </row>
    <row r="1033" spans="1:8" ht="21" x14ac:dyDescent="0.25">
      <c r="A1033" s="2" t="str">
        <f>HYPERLINK("https://rth.dk/resources/bsgatlas/details.php?id=BSGatlas-operon-522","BSGatlas-operon-522")</f>
        <v>BSGatlas-operon-522</v>
      </c>
      <c r="B1033" s="2" t="str">
        <f>HYPERLINK("https://rth.dk/resources/bsgatlas/details.php?id=BSGatlas-gene-1117","BSGatlas-gene-1117")</f>
        <v>BSGatlas-gene-1117</v>
      </c>
      <c r="C1033" s="1" t="s">
        <v>1037</v>
      </c>
      <c r="D1033" s="1" t="s">
        <v>8</v>
      </c>
      <c r="E1033" s="3">
        <v>994998</v>
      </c>
      <c r="F1033" s="3">
        <v>995594</v>
      </c>
      <c r="G1033" s="1" t="s">
        <v>9</v>
      </c>
      <c r="H1033" s="1" t="b">
        <f t="shared" si="40"/>
        <v>0</v>
      </c>
    </row>
    <row r="1034" spans="1:8" ht="21" x14ac:dyDescent="0.25">
      <c r="A1034" s="2" t="str">
        <f>HYPERLINK("https://rth.dk/resources/bsgatlas/details.php?id=BSGatlas-operon-523","BSGatlas-operon-523")</f>
        <v>BSGatlas-operon-523</v>
      </c>
      <c r="B1034" s="2" t="str">
        <f>HYPERLINK("https://rth.dk/resources/bsgatlas/details.php?id=BSGatlas-gene-1118","BSGatlas-gene-1118")</f>
        <v>BSGatlas-gene-1118</v>
      </c>
      <c r="C1034" s="1" t="s">
        <v>1038</v>
      </c>
      <c r="D1034" s="1" t="s">
        <v>8</v>
      </c>
      <c r="E1034" s="3">
        <v>995624</v>
      </c>
      <c r="F1034" s="3">
        <v>996532</v>
      </c>
      <c r="G1034" s="1" t="s">
        <v>13</v>
      </c>
      <c r="H1034" s="1" t="b">
        <f t="shared" si="40"/>
        <v>1</v>
      </c>
    </row>
    <row r="1035" spans="1:8" ht="21" x14ac:dyDescent="0.25">
      <c r="A1035" s="2" t="str">
        <f>HYPERLINK("https://rth.dk/resources/bsgatlas/details.php?id=BSGatlas-operon-524","BSGatlas-operon-524")</f>
        <v>BSGatlas-operon-524</v>
      </c>
      <c r="B1035" s="2" t="str">
        <f>HYPERLINK("https://rth.dk/resources/bsgatlas/details.php?id=BSGatlas-gene-1119","BSGatlas-gene-1119")</f>
        <v>BSGatlas-gene-1119</v>
      </c>
      <c r="C1035" s="1" t="s">
        <v>1039</v>
      </c>
      <c r="D1035" s="1" t="s">
        <v>8</v>
      </c>
      <c r="E1035" s="3">
        <v>996643</v>
      </c>
      <c r="F1035" s="3">
        <v>997038</v>
      </c>
      <c r="G1035" s="1" t="s">
        <v>9</v>
      </c>
      <c r="H1035" s="1" t="b">
        <f t="shared" si="40"/>
        <v>0</v>
      </c>
    </row>
    <row r="1036" spans="1:8" ht="21" x14ac:dyDescent="0.25">
      <c r="A1036" s="2" t="str">
        <f>HYPERLINK("https://rth.dk/resources/bsgatlas/details.php?id=BSGatlas-operon-525","BSGatlas-operon-525")</f>
        <v>BSGatlas-operon-525</v>
      </c>
      <c r="B1036" s="2" t="str">
        <f>HYPERLINK("https://rth.dk/resources/bsgatlas/details.php?id=BSGatlas-gene-1120","BSGatlas-gene-1120")</f>
        <v>BSGatlas-gene-1120</v>
      </c>
      <c r="C1036" s="1" t="s">
        <v>1040</v>
      </c>
      <c r="D1036" s="1" t="s">
        <v>8</v>
      </c>
      <c r="E1036" s="3">
        <v>997175</v>
      </c>
      <c r="F1036" s="3">
        <v>997597</v>
      </c>
      <c r="G1036" s="1" t="s">
        <v>9</v>
      </c>
      <c r="H1036" s="1" t="b">
        <f t="shared" si="40"/>
        <v>1</v>
      </c>
    </row>
    <row r="1037" spans="1:8" ht="21" x14ac:dyDescent="0.25">
      <c r="A1037" s="2" t="str">
        <f>HYPERLINK("https://rth.dk/resources/bsgatlas/details.php?id=BSGatlas-operon-526","BSGatlas-operon-526")</f>
        <v>BSGatlas-operon-526</v>
      </c>
      <c r="B1037" s="2" t="str">
        <f>HYPERLINK("https://rth.dk/resources/bsgatlas/details.php?id=BSGatlas-gene-1121","BSGatlas-gene-1121")</f>
        <v>BSGatlas-gene-1121</v>
      </c>
      <c r="C1037" s="1" t="s">
        <v>1041</v>
      </c>
      <c r="D1037" s="1" t="s">
        <v>8</v>
      </c>
      <c r="E1037" s="3">
        <v>997724</v>
      </c>
      <c r="F1037" s="3">
        <v>998386</v>
      </c>
      <c r="G1037" s="1" t="s">
        <v>9</v>
      </c>
      <c r="H1037" s="1" t="b">
        <f t="shared" si="40"/>
        <v>0</v>
      </c>
    </row>
    <row r="1038" spans="1:8" ht="21" x14ac:dyDescent="0.25">
      <c r="A1038" s="2" t="str">
        <f>HYPERLINK("https://rth.dk/resources/bsgatlas/details.php?id=BSGatlas-operon-526","BSGatlas-operon-526")</f>
        <v>BSGatlas-operon-526</v>
      </c>
      <c r="B1038" s="2" t="str">
        <f>HYPERLINK("https://rth.dk/resources/bsgatlas/details.php?id=BSGatlas-gene-1122","BSGatlas-gene-1122")</f>
        <v>BSGatlas-gene-1122</v>
      </c>
      <c r="C1038" s="1" t="s">
        <v>1042</v>
      </c>
      <c r="D1038" s="1" t="s">
        <v>8</v>
      </c>
      <c r="E1038" s="3">
        <v>998402</v>
      </c>
      <c r="F1038" s="3">
        <v>999943</v>
      </c>
      <c r="G1038" s="1" t="s">
        <v>9</v>
      </c>
      <c r="H1038" s="1" t="b">
        <f t="shared" si="40"/>
        <v>0</v>
      </c>
    </row>
    <row r="1039" spans="1:8" ht="21" x14ac:dyDescent="0.25">
      <c r="A1039" s="2" t="str">
        <f>HYPERLINK("https://rth.dk/resources/bsgatlas/details.php?id=BSGatlas-operon-527","BSGatlas-operon-527")</f>
        <v>BSGatlas-operon-527</v>
      </c>
      <c r="B1039" s="2" t="str">
        <f>HYPERLINK("https://rth.dk/resources/bsgatlas/details.php?id=BSGatlas-gene-1124","BSGatlas-gene-1124")</f>
        <v>BSGatlas-gene-1124</v>
      </c>
      <c r="C1039" s="1" t="s">
        <v>1043</v>
      </c>
      <c r="D1039" s="1" t="s">
        <v>8</v>
      </c>
      <c r="E1039" s="3">
        <v>1000364</v>
      </c>
      <c r="F1039" s="3">
        <v>1001716</v>
      </c>
      <c r="G1039" s="1" t="s">
        <v>9</v>
      </c>
      <c r="H1039" s="1" t="b">
        <f t="shared" si="40"/>
        <v>1</v>
      </c>
    </row>
    <row r="1040" spans="1:8" ht="21" x14ac:dyDescent="0.25">
      <c r="A1040" s="2" t="str">
        <f>HYPERLINK("https://rth.dk/resources/bsgatlas/details.php?id=BSGatlas-operon-527","BSGatlas-operon-527")</f>
        <v>BSGatlas-operon-527</v>
      </c>
      <c r="B1040" s="2" t="str">
        <f>HYPERLINK("https://rth.dk/resources/bsgatlas/details.php?id=BSGatlas-gene-1125","BSGatlas-gene-1125")</f>
        <v>BSGatlas-gene-1125</v>
      </c>
      <c r="C1040" s="1" t="s">
        <v>1044</v>
      </c>
      <c r="D1040" s="1" t="s">
        <v>8</v>
      </c>
      <c r="E1040" s="3">
        <v>1001744</v>
      </c>
      <c r="F1040" s="3">
        <v>1002322</v>
      </c>
      <c r="G1040" s="1" t="s">
        <v>9</v>
      </c>
      <c r="H1040" s="1" t="b">
        <f t="shared" si="40"/>
        <v>1</v>
      </c>
    </row>
    <row r="1041" spans="1:8" ht="21" x14ac:dyDescent="0.25">
      <c r="A1041" s="2" t="str">
        <f>HYPERLINK("https://rth.dk/resources/bsgatlas/details.php?id=BSGatlas-operon-528","BSGatlas-operon-528")</f>
        <v>BSGatlas-operon-528</v>
      </c>
      <c r="B1041" s="2" t="str">
        <f>HYPERLINK("https://rth.dk/resources/bsgatlas/details.php?id=BSGatlas-gene-1127","BSGatlas-gene-1127")</f>
        <v>BSGatlas-gene-1127</v>
      </c>
      <c r="C1041" s="1" t="s">
        <v>1045</v>
      </c>
      <c r="D1041" s="1" t="s">
        <v>8</v>
      </c>
      <c r="E1041" s="3">
        <v>1002501</v>
      </c>
      <c r="F1041" s="3">
        <v>1003325</v>
      </c>
      <c r="G1041" s="1" t="s">
        <v>9</v>
      </c>
      <c r="H1041" s="1" t="b">
        <f t="shared" si="40"/>
        <v>0</v>
      </c>
    </row>
    <row r="1042" spans="1:8" ht="21" x14ac:dyDescent="0.25">
      <c r="A1042" s="2" t="str">
        <f>HYPERLINK("https://rth.dk/resources/bsgatlas/details.php?id=BSGatlas-operon-528","BSGatlas-operon-528")</f>
        <v>BSGatlas-operon-528</v>
      </c>
      <c r="B1042" s="2" t="str">
        <f>HYPERLINK("https://rth.dk/resources/bsgatlas/details.php?id=BSGatlas-gene-1128","BSGatlas-gene-1128")</f>
        <v>BSGatlas-gene-1128</v>
      </c>
      <c r="C1042" s="1" t="s">
        <v>1046</v>
      </c>
      <c r="D1042" s="1" t="s">
        <v>8</v>
      </c>
      <c r="E1042" s="3">
        <v>1003344</v>
      </c>
      <c r="F1042" s="3">
        <v>1004834</v>
      </c>
      <c r="G1042" s="1" t="s">
        <v>9</v>
      </c>
      <c r="H1042" s="1" t="b">
        <f t="shared" si="40"/>
        <v>0</v>
      </c>
    </row>
    <row r="1043" spans="1:8" ht="21" x14ac:dyDescent="0.25">
      <c r="A1043" s="2" t="str">
        <f>HYPERLINK("https://rth.dk/resources/bsgatlas/details.php?id=BSGatlas-operon-529","BSGatlas-operon-529")</f>
        <v>BSGatlas-operon-529</v>
      </c>
      <c r="B1043" s="2" t="str">
        <f>HYPERLINK("https://rth.dk/resources/bsgatlas/details.php?id=BSGatlas-gene-1130","BSGatlas-gene-1130")</f>
        <v>BSGatlas-gene-1130</v>
      </c>
      <c r="C1043" s="1" t="s">
        <v>1047</v>
      </c>
      <c r="D1043" s="1" t="s">
        <v>8</v>
      </c>
      <c r="E1043" s="3">
        <v>1004975</v>
      </c>
      <c r="F1043" s="3">
        <v>1006642</v>
      </c>
      <c r="G1043" s="1" t="s">
        <v>9</v>
      </c>
      <c r="H1043" s="1" t="b">
        <f t="shared" si="40"/>
        <v>1</v>
      </c>
    </row>
    <row r="1044" spans="1:8" ht="21" x14ac:dyDescent="0.25">
      <c r="A1044" s="2" t="str">
        <f>HYPERLINK("https://rth.dk/resources/bsgatlas/details.php?id=BSGatlas-operon-530","BSGatlas-operon-530")</f>
        <v>BSGatlas-operon-530</v>
      </c>
      <c r="B1044" s="2" t="str">
        <f>HYPERLINK("https://rth.dk/resources/bsgatlas/details.php?id=BSGatlas-gene-1131","BSGatlas-gene-1131")</f>
        <v>BSGatlas-gene-1131</v>
      </c>
      <c r="C1044" s="1" t="s">
        <v>1048</v>
      </c>
      <c r="D1044" s="1" t="s">
        <v>8</v>
      </c>
      <c r="E1044" s="3">
        <v>1006774</v>
      </c>
      <c r="F1044" s="3">
        <v>1008519</v>
      </c>
      <c r="G1044" s="1" t="s">
        <v>9</v>
      </c>
      <c r="H1044" s="1" t="b">
        <f t="shared" si="40"/>
        <v>0</v>
      </c>
    </row>
    <row r="1045" spans="1:8" ht="21" x14ac:dyDescent="0.25">
      <c r="A1045" s="2" t="str">
        <f>HYPERLINK("https://rth.dk/resources/bsgatlas/details.php?id=BSGatlas-operon-531","BSGatlas-operon-531")</f>
        <v>BSGatlas-operon-531</v>
      </c>
      <c r="B1045" s="2" t="str">
        <f>HYPERLINK("https://rth.dk/resources/bsgatlas/details.php?id=BSGatlas-gene-1132","BSGatlas-gene-1132")</f>
        <v>BSGatlas-gene-1132</v>
      </c>
      <c r="C1045" s="1" t="s">
        <v>1049</v>
      </c>
      <c r="D1045" s="1" t="s">
        <v>8</v>
      </c>
      <c r="E1045" s="3">
        <v>1008668</v>
      </c>
      <c r="F1045" s="3">
        <v>1009807</v>
      </c>
      <c r="G1045" s="1" t="s">
        <v>9</v>
      </c>
      <c r="H1045" s="1" t="b">
        <f t="shared" si="40"/>
        <v>1</v>
      </c>
    </row>
    <row r="1046" spans="1:8" ht="21" x14ac:dyDescent="0.25">
      <c r="A1046" s="2" t="str">
        <f>HYPERLINK("https://rth.dk/resources/bsgatlas/details.php?id=BSGatlas-operon-531","BSGatlas-operon-531")</f>
        <v>BSGatlas-operon-531</v>
      </c>
      <c r="B1046" s="2" t="str">
        <f>HYPERLINK("https://rth.dk/resources/bsgatlas/details.php?id=BSGatlas-gene-1133","BSGatlas-gene-1133")</f>
        <v>BSGatlas-gene-1133</v>
      </c>
      <c r="C1046" s="1" t="s">
        <v>1050</v>
      </c>
      <c r="D1046" s="1" t="s">
        <v>8</v>
      </c>
      <c r="E1046" s="3">
        <v>1009804</v>
      </c>
      <c r="F1046" s="3">
        <v>1010448</v>
      </c>
      <c r="G1046" s="1" t="s">
        <v>9</v>
      </c>
      <c r="H1046" s="1" t="b">
        <f t="shared" si="40"/>
        <v>1</v>
      </c>
    </row>
    <row r="1047" spans="1:8" ht="21" x14ac:dyDescent="0.25">
      <c r="A1047" s="2" t="str">
        <f>HYPERLINK("https://rth.dk/resources/bsgatlas/details.php?id=BSGatlas-operon-531","BSGatlas-operon-531")</f>
        <v>BSGatlas-operon-531</v>
      </c>
      <c r="B1047" s="2" t="str">
        <f>HYPERLINK("https://rth.dk/resources/bsgatlas/details.php?id=BSGatlas-gene-1134","BSGatlas-gene-1134")</f>
        <v>BSGatlas-gene-1134</v>
      </c>
      <c r="C1047" s="1" t="s">
        <v>1051</v>
      </c>
      <c r="D1047" s="1" t="s">
        <v>8</v>
      </c>
      <c r="E1047" s="3">
        <v>1010445</v>
      </c>
      <c r="F1047" s="3">
        <v>1010969</v>
      </c>
      <c r="G1047" s="1" t="s">
        <v>9</v>
      </c>
      <c r="H1047" s="1" t="b">
        <f t="shared" si="40"/>
        <v>1</v>
      </c>
    </row>
    <row r="1048" spans="1:8" ht="21" x14ac:dyDescent="0.25">
      <c r="A1048" s="2" t="str">
        <f>HYPERLINK("https://rth.dk/resources/bsgatlas/details.php?id=BSGatlas-operon-532","BSGatlas-operon-532")</f>
        <v>BSGatlas-operon-532</v>
      </c>
      <c r="B1048" s="2" t="str">
        <f>HYPERLINK("https://rth.dk/resources/bsgatlas/details.php?id=BSGatlas-gene-1135","BSGatlas-gene-1135")</f>
        <v>BSGatlas-gene-1135</v>
      </c>
      <c r="C1048" s="1" t="s">
        <v>1052</v>
      </c>
      <c r="D1048" s="1" t="s">
        <v>8</v>
      </c>
      <c r="E1048" s="3">
        <v>1010984</v>
      </c>
      <c r="F1048" s="3">
        <v>1011226</v>
      </c>
      <c r="G1048" s="1" t="s">
        <v>13</v>
      </c>
      <c r="H1048" s="1" t="b">
        <f t="shared" si="40"/>
        <v>0</v>
      </c>
    </row>
    <row r="1049" spans="1:8" ht="21" x14ac:dyDescent="0.25">
      <c r="A1049" s="2" t="str">
        <f>HYPERLINK("https://rth.dk/resources/bsgatlas/details.php?id=BSGatlas-operon-533","BSGatlas-operon-533")</f>
        <v>BSGatlas-operon-533</v>
      </c>
      <c r="B1049" s="2" t="str">
        <f>HYPERLINK("https://rth.dk/resources/bsgatlas/details.php?id=BSGatlas-gene-1136","BSGatlas-gene-1136")</f>
        <v>BSGatlas-gene-1136</v>
      </c>
      <c r="C1049" s="1" t="s">
        <v>1053</v>
      </c>
      <c r="D1049" s="1" t="s">
        <v>8</v>
      </c>
      <c r="E1049" s="3">
        <v>1011427</v>
      </c>
      <c r="F1049" s="3">
        <v>1011750</v>
      </c>
      <c r="G1049" s="1" t="s">
        <v>9</v>
      </c>
      <c r="H1049" s="1" t="b">
        <f t="shared" si="40"/>
        <v>1</v>
      </c>
    </row>
    <row r="1050" spans="1:8" ht="21" x14ac:dyDescent="0.25">
      <c r="A1050" s="2" t="str">
        <f>HYPERLINK("https://rth.dk/resources/bsgatlas/details.php?id=BSGatlas-operon-534","BSGatlas-operon-534")</f>
        <v>BSGatlas-operon-534</v>
      </c>
      <c r="B1050" s="2" t="str">
        <f>HYPERLINK("https://rth.dk/resources/bsgatlas/details.php?id=BSGatlas-gene-1137","BSGatlas-gene-1137")</f>
        <v>BSGatlas-gene-1137</v>
      </c>
      <c r="C1050" s="1" t="s">
        <v>1054</v>
      </c>
      <c r="D1050" s="1" t="s">
        <v>8</v>
      </c>
      <c r="E1050" s="3">
        <v>1011792</v>
      </c>
      <c r="F1050" s="3">
        <v>1013258</v>
      </c>
      <c r="G1050" s="1" t="s">
        <v>13</v>
      </c>
      <c r="H1050" s="1" t="b">
        <f t="shared" si="40"/>
        <v>0</v>
      </c>
    </row>
    <row r="1051" spans="1:8" ht="21" x14ac:dyDescent="0.25">
      <c r="A1051" s="2" t="str">
        <f>HYPERLINK("https://rth.dk/resources/bsgatlas/details.php?id=BSGatlas-operon-535","BSGatlas-operon-535")</f>
        <v>BSGatlas-operon-535</v>
      </c>
      <c r="B1051" s="2" t="str">
        <f>HYPERLINK("https://rth.dk/resources/bsgatlas/details.php?id=BSGatlas-gene-1138","BSGatlas-gene-1138")</f>
        <v>BSGatlas-gene-1138</v>
      </c>
      <c r="C1051" s="1" t="s">
        <v>1055</v>
      </c>
      <c r="D1051" s="1" t="s">
        <v>8</v>
      </c>
      <c r="E1051" s="3">
        <v>1013411</v>
      </c>
      <c r="F1051" s="3">
        <v>1013851</v>
      </c>
      <c r="G1051" s="1" t="s">
        <v>13</v>
      </c>
      <c r="H1051" s="1" t="b">
        <f t="shared" si="40"/>
        <v>1</v>
      </c>
    </row>
    <row r="1052" spans="1:8" ht="21" x14ac:dyDescent="0.25">
      <c r="A1052" s="2" t="str">
        <f>HYPERLINK("https://rth.dk/resources/bsgatlas/details.php?id=BSGatlas-operon-536","BSGatlas-operon-536")</f>
        <v>BSGatlas-operon-536</v>
      </c>
      <c r="B1052" s="2" t="str">
        <f>HYPERLINK("https://rth.dk/resources/bsgatlas/details.php?id=BSGatlas-gene-1139","BSGatlas-gene-1139")</f>
        <v>BSGatlas-gene-1139</v>
      </c>
      <c r="C1052" s="1" t="s">
        <v>1056</v>
      </c>
      <c r="D1052" s="1" t="s">
        <v>12</v>
      </c>
      <c r="E1052" s="3">
        <v>1013861</v>
      </c>
      <c r="F1052" s="3">
        <v>1013971</v>
      </c>
      <c r="G1052" s="1" t="s">
        <v>9</v>
      </c>
      <c r="H1052" s="1" t="b">
        <f t="shared" si="40"/>
        <v>0</v>
      </c>
    </row>
    <row r="1053" spans="1:8" ht="21" x14ac:dyDescent="0.25">
      <c r="A1053" s="2" t="str">
        <f>HYPERLINK("https://rth.dk/resources/bsgatlas/details.php?id=BSGatlas-operon-537","BSGatlas-operon-537")</f>
        <v>BSGatlas-operon-537</v>
      </c>
      <c r="B1053" s="2" t="str">
        <f>HYPERLINK("https://rth.dk/resources/bsgatlas/details.php?id=BSGatlas-gene-1140","BSGatlas-gene-1140")</f>
        <v>BSGatlas-gene-1140</v>
      </c>
      <c r="C1053" s="1" t="s">
        <v>1057</v>
      </c>
      <c r="D1053" s="1" t="s">
        <v>8</v>
      </c>
      <c r="E1053" s="3">
        <v>1013958</v>
      </c>
      <c r="F1053" s="3">
        <v>1015616</v>
      </c>
      <c r="G1053" s="1" t="s">
        <v>13</v>
      </c>
      <c r="H1053" s="1" t="b">
        <f t="shared" si="40"/>
        <v>1</v>
      </c>
    </row>
    <row r="1054" spans="1:8" ht="21" x14ac:dyDescent="0.25">
      <c r="A1054" s="2" t="str">
        <f>HYPERLINK("https://rth.dk/resources/bsgatlas/details.php?id=BSGatlas-operon-538","BSGatlas-operon-538")</f>
        <v>BSGatlas-operon-538</v>
      </c>
      <c r="B1054" s="2" t="str">
        <f>HYPERLINK("https://rth.dk/resources/bsgatlas/details.php?id=BSGatlas-gene-1141","BSGatlas-gene-1141")</f>
        <v>BSGatlas-gene-1141</v>
      </c>
      <c r="C1054" s="1" t="s">
        <v>1058</v>
      </c>
      <c r="D1054" s="1" t="s">
        <v>8</v>
      </c>
      <c r="E1054" s="3">
        <v>1015647</v>
      </c>
      <c r="F1054" s="3">
        <v>1017053</v>
      </c>
      <c r="G1054" s="1" t="s">
        <v>9</v>
      </c>
      <c r="H1054" s="1" t="b">
        <f t="shared" si="40"/>
        <v>0</v>
      </c>
    </row>
    <row r="1055" spans="1:8" ht="21" x14ac:dyDescent="0.25">
      <c r="A1055" s="2" t="str">
        <f>HYPERLINK("https://rth.dk/resources/bsgatlas/details.php?id=BSGatlas-operon-539","BSGatlas-operon-539")</f>
        <v>BSGatlas-operon-539</v>
      </c>
      <c r="B1055" s="2" t="str">
        <f>HYPERLINK("https://rth.dk/resources/bsgatlas/details.php?id=BSGatlas-gene-1142","BSGatlas-gene-1142")</f>
        <v>BSGatlas-gene-1142</v>
      </c>
      <c r="C1055" s="1" t="s">
        <v>1059</v>
      </c>
      <c r="D1055" s="1" t="s">
        <v>8</v>
      </c>
      <c r="E1055" s="3">
        <v>1017083</v>
      </c>
      <c r="F1055" s="3">
        <v>1018468</v>
      </c>
      <c r="G1055" s="1" t="s">
        <v>13</v>
      </c>
      <c r="H1055" s="1" t="b">
        <f t="shared" si="40"/>
        <v>1</v>
      </c>
    </row>
    <row r="1056" spans="1:8" ht="21" x14ac:dyDescent="0.25">
      <c r="A1056" s="2" t="str">
        <f>HYPERLINK("https://rth.dk/resources/bsgatlas/details.php?id=BSGatlas-operon-540","BSGatlas-operon-540")</f>
        <v>BSGatlas-operon-540</v>
      </c>
      <c r="B1056" s="2" t="str">
        <f>HYPERLINK("https://rth.dk/resources/bsgatlas/details.php?id=BSGatlas-gene-1143","BSGatlas-gene-1143")</f>
        <v>BSGatlas-gene-1143</v>
      </c>
      <c r="C1056" s="1" t="s">
        <v>1060</v>
      </c>
      <c r="D1056" s="1" t="s">
        <v>12</v>
      </c>
      <c r="E1056" s="3">
        <v>1018648</v>
      </c>
      <c r="F1056" s="3">
        <v>1018800</v>
      </c>
      <c r="G1056" s="1" t="s">
        <v>9</v>
      </c>
      <c r="H1056" s="1" t="b">
        <f t="shared" si="40"/>
        <v>0</v>
      </c>
    </row>
    <row r="1057" spans="1:8" ht="21" x14ac:dyDescent="0.25">
      <c r="A1057" s="2" t="str">
        <f>HYPERLINK("https://rth.dk/resources/bsgatlas/details.php?id=BSGatlas-operon-541","BSGatlas-operon-541")</f>
        <v>BSGatlas-operon-541</v>
      </c>
      <c r="B1057" s="2" t="str">
        <f>HYPERLINK("https://rth.dk/resources/bsgatlas/details.php?id=BSGatlas-gene-1144","BSGatlas-gene-1144")</f>
        <v>BSGatlas-gene-1144</v>
      </c>
      <c r="C1057" s="1" t="s">
        <v>1061</v>
      </c>
      <c r="D1057" s="1" t="s">
        <v>8</v>
      </c>
      <c r="E1057" s="3">
        <v>1018998</v>
      </c>
      <c r="F1057" s="3">
        <v>1020002</v>
      </c>
      <c r="G1057" s="1" t="s">
        <v>9</v>
      </c>
      <c r="H1057" s="1" t="b">
        <f t="shared" si="40"/>
        <v>1</v>
      </c>
    </row>
    <row r="1058" spans="1:8" ht="21" x14ac:dyDescent="0.25">
      <c r="A1058" s="2" t="str">
        <f>HYPERLINK("https://rth.dk/resources/bsgatlas/details.php?id=BSGatlas-operon-542","BSGatlas-operon-542")</f>
        <v>BSGatlas-operon-542</v>
      </c>
      <c r="B1058" s="2" t="str">
        <f>HYPERLINK("https://rth.dk/resources/bsgatlas/details.php?id=BSGatlas-gene-1145","BSGatlas-gene-1145")</f>
        <v>BSGatlas-gene-1145</v>
      </c>
      <c r="C1058" s="1" t="s">
        <v>1062</v>
      </c>
      <c r="D1058" s="1" t="s">
        <v>8</v>
      </c>
      <c r="E1058" s="3">
        <v>1020073</v>
      </c>
      <c r="F1058" s="3">
        <v>1020948</v>
      </c>
      <c r="G1058" s="1" t="s">
        <v>13</v>
      </c>
      <c r="H1058" s="1" t="b">
        <f t="shared" si="40"/>
        <v>0</v>
      </c>
    </row>
    <row r="1059" spans="1:8" ht="21" x14ac:dyDescent="0.25">
      <c r="A1059" s="2" t="str">
        <f>HYPERLINK("https://rth.dk/resources/bsgatlas/details.php?id=BSGatlas-operon-543","BSGatlas-operon-543")</f>
        <v>BSGatlas-operon-543</v>
      </c>
      <c r="B1059" s="2" t="str">
        <f>HYPERLINK("https://rth.dk/resources/bsgatlas/details.php?id=BSGatlas-gene-1146","BSGatlas-gene-1146")</f>
        <v>BSGatlas-gene-1146</v>
      </c>
      <c r="C1059" s="1" t="s">
        <v>1063</v>
      </c>
      <c r="D1059" s="1" t="s">
        <v>8</v>
      </c>
      <c r="E1059" s="3">
        <v>1021057</v>
      </c>
      <c r="F1059" s="3">
        <v>1022157</v>
      </c>
      <c r="G1059" s="1" t="s">
        <v>9</v>
      </c>
      <c r="H1059" s="1" t="b">
        <f t="shared" si="40"/>
        <v>1</v>
      </c>
    </row>
    <row r="1060" spans="1:8" ht="21" x14ac:dyDescent="0.25">
      <c r="A1060" s="2" t="str">
        <f>HYPERLINK("https://rth.dk/resources/bsgatlas/details.php?id=BSGatlas-operon-543","BSGatlas-operon-543")</f>
        <v>BSGatlas-operon-543</v>
      </c>
      <c r="B1060" s="2" t="str">
        <f>HYPERLINK("https://rth.dk/resources/bsgatlas/details.php?id=BSGatlas-gene-1147","BSGatlas-gene-1147")</f>
        <v>BSGatlas-gene-1147</v>
      </c>
      <c r="C1060" s="1" t="s">
        <v>1064</v>
      </c>
      <c r="D1060" s="1" t="s">
        <v>8</v>
      </c>
      <c r="E1060" s="3">
        <v>1022231</v>
      </c>
      <c r="F1060" s="3">
        <v>1023100</v>
      </c>
      <c r="G1060" s="1" t="s">
        <v>9</v>
      </c>
      <c r="H1060" s="1" t="b">
        <f t="shared" si="40"/>
        <v>1</v>
      </c>
    </row>
    <row r="1061" spans="1:8" ht="21" x14ac:dyDescent="0.25">
      <c r="A1061" s="2" t="str">
        <f>HYPERLINK("https://rth.dk/resources/bsgatlas/details.php?id=BSGatlas-operon-544","BSGatlas-operon-544")</f>
        <v>BSGatlas-operon-544</v>
      </c>
      <c r="B1061" s="2" t="str">
        <f>HYPERLINK("https://rth.dk/resources/bsgatlas/details.php?id=BSGatlas-gene-1148","BSGatlas-gene-1148")</f>
        <v>BSGatlas-gene-1148</v>
      </c>
      <c r="C1061" s="1" t="s">
        <v>1065</v>
      </c>
      <c r="D1061" s="1" t="s">
        <v>8</v>
      </c>
      <c r="E1061" s="3">
        <v>1023350</v>
      </c>
      <c r="F1061" s="3">
        <v>1024747</v>
      </c>
      <c r="G1061" s="1" t="s">
        <v>9</v>
      </c>
      <c r="H1061" s="1" t="b">
        <f t="shared" si="40"/>
        <v>0</v>
      </c>
    </row>
    <row r="1062" spans="1:8" ht="21" x14ac:dyDescent="0.25">
      <c r="A1062" s="2" t="str">
        <f>HYPERLINK("https://rth.dk/resources/bsgatlas/details.php?id=BSGatlas-operon-545","BSGatlas-operon-545")</f>
        <v>BSGatlas-operon-545</v>
      </c>
      <c r="B1062" s="2" t="str">
        <f>HYPERLINK("https://rth.dk/resources/bsgatlas/details.php?id=BSGatlas-gene-1149","BSGatlas-gene-1149")</f>
        <v>BSGatlas-gene-1149</v>
      </c>
      <c r="C1062" s="1" t="s">
        <v>1066</v>
      </c>
      <c r="D1062" s="1" t="s">
        <v>8</v>
      </c>
      <c r="E1062" s="3">
        <v>1024865</v>
      </c>
      <c r="F1062" s="3">
        <v>1026220</v>
      </c>
      <c r="G1062" s="1" t="s">
        <v>9</v>
      </c>
      <c r="H1062" s="1" t="b">
        <f t="shared" si="40"/>
        <v>1</v>
      </c>
    </row>
    <row r="1063" spans="1:8" ht="21" x14ac:dyDescent="0.25">
      <c r="A1063" s="2" t="str">
        <f>HYPERLINK("https://rth.dk/resources/bsgatlas/details.php?id=BSGatlas-operon-546","BSGatlas-operon-546")</f>
        <v>BSGatlas-operon-546</v>
      </c>
      <c r="B1063" s="2" t="str">
        <f>HYPERLINK("https://rth.dk/resources/bsgatlas/details.php?id=BSGatlas-gene-1150","BSGatlas-gene-1150")</f>
        <v>BSGatlas-gene-1150</v>
      </c>
      <c r="C1063" s="1" t="s">
        <v>1067</v>
      </c>
      <c r="D1063" s="1" t="s">
        <v>8</v>
      </c>
      <c r="E1063" s="3">
        <v>1026255</v>
      </c>
      <c r="F1063" s="3">
        <v>1027664</v>
      </c>
      <c r="G1063" s="1" t="s">
        <v>13</v>
      </c>
      <c r="H1063" s="1" t="b">
        <f t="shared" si="40"/>
        <v>0</v>
      </c>
    </row>
    <row r="1064" spans="1:8" ht="21" x14ac:dyDescent="0.25">
      <c r="A1064" s="2" t="str">
        <f>HYPERLINK("https://rth.dk/resources/bsgatlas/details.php?id=BSGatlas-operon-547","BSGatlas-operon-547")</f>
        <v>BSGatlas-operon-547</v>
      </c>
      <c r="B1064" s="2" t="str">
        <f>HYPERLINK("https://rth.dk/resources/bsgatlas/details.php?id=BSGatlas-gene-1151","BSGatlas-gene-1151")</f>
        <v>BSGatlas-gene-1151</v>
      </c>
      <c r="C1064" s="1" t="s">
        <v>1068</v>
      </c>
      <c r="D1064" s="1" t="s">
        <v>8</v>
      </c>
      <c r="E1064" s="3">
        <v>1027774</v>
      </c>
      <c r="F1064" s="3">
        <v>1028202</v>
      </c>
      <c r="G1064" s="1" t="s">
        <v>9</v>
      </c>
      <c r="H1064" s="1" t="b">
        <f t="shared" si="40"/>
        <v>1</v>
      </c>
    </row>
    <row r="1065" spans="1:8" ht="21" x14ac:dyDescent="0.25">
      <c r="A1065" s="2" t="str">
        <f>HYPERLINK("https://rth.dk/resources/bsgatlas/details.php?id=BSGatlas-operon-548","BSGatlas-operon-548")</f>
        <v>BSGatlas-operon-548</v>
      </c>
      <c r="B1065" s="2" t="str">
        <f>HYPERLINK("https://rth.dk/resources/bsgatlas/details.php?id=BSGatlas-gene-1152","BSGatlas-gene-1152")</f>
        <v>BSGatlas-gene-1152</v>
      </c>
      <c r="C1065" s="1" t="s">
        <v>1069</v>
      </c>
      <c r="D1065" s="1" t="s">
        <v>8</v>
      </c>
      <c r="E1065" s="3">
        <v>1028233</v>
      </c>
      <c r="F1065" s="3">
        <v>1028523</v>
      </c>
      <c r="G1065" s="1" t="s">
        <v>13</v>
      </c>
      <c r="H1065" s="1" t="b">
        <f t="shared" si="40"/>
        <v>0</v>
      </c>
    </row>
    <row r="1066" spans="1:8" ht="21" x14ac:dyDescent="0.25">
      <c r="A1066" s="2" t="str">
        <f>HYPERLINK("https://rth.dk/resources/bsgatlas/details.php?id=BSGatlas-operon-548","BSGatlas-operon-548")</f>
        <v>BSGatlas-operon-548</v>
      </c>
      <c r="B1066" s="2" t="str">
        <f>HYPERLINK("https://rth.dk/resources/bsgatlas/details.php?id=BSGatlas-gene-1153","BSGatlas-gene-1153")</f>
        <v>BSGatlas-gene-1153</v>
      </c>
      <c r="C1066" s="1" t="s">
        <v>1070</v>
      </c>
      <c r="D1066" s="1" t="s">
        <v>8</v>
      </c>
      <c r="E1066" s="3">
        <v>1028511</v>
      </c>
      <c r="F1066" s="3">
        <v>1029587</v>
      </c>
      <c r="G1066" s="1" t="s">
        <v>13</v>
      </c>
      <c r="H1066" s="1" t="b">
        <f t="shared" si="40"/>
        <v>0</v>
      </c>
    </row>
    <row r="1067" spans="1:8" ht="21" x14ac:dyDescent="0.25">
      <c r="A1067" s="2" t="str">
        <f>HYPERLINK("https://rth.dk/resources/bsgatlas/details.php?id=BSGatlas-operon-548","BSGatlas-operon-548")</f>
        <v>BSGatlas-operon-548</v>
      </c>
      <c r="B1067" s="2" t="str">
        <f>HYPERLINK("https://rth.dk/resources/bsgatlas/details.php?id=BSGatlas-gene-1154","BSGatlas-gene-1154")</f>
        <v>BSGatlas-gene-1154</v>
      </c>
      <c r="C1067" s="1" t="s">
        <v>1071</v>
      </c>
      <c r="D1067" s="1" t="s">
        <v>8</v>
      </c>
      <c r="E1067" s="3">
        <v>1029577</v>
      </c>
      <c r="F1067" s="3">
        <v>1030068</v>
      </c>
      <c r="G1067" s="1" t="s">
        <v>13</v>
      </c>
      <c r="H1067" s="1" t="b">
        <f t="shared" si="40"/>
        <v>0</v>
      </c>
    </row>
    <row r="1068" spans="1:8" ht="21" x14ac:dyDescent="0.25">
      <c r="A1068" s="2" t="str">
        <f>HYPERLINK("https://rth.dk/resources/bsgatlas/details.php?id=BSGatlas-operon-549","BSGatlas-operon-549")</f>
        <v>BSGatlas-operon-549</v>
      </c>
      <c r="B1068" s="2" t="str">
        <f>HYPERLINK("https://rth.dk/resources/bsgatlas/details.php?id=BSGatlas-gene-1155","BSGatlas-gene-1155")</f>
        <v>BSGatlas-gene-1155</v>
      </c>
      <c r="C1068" s="1" t="s">
        <v>1072</v>
      </c>
      <c r="D1068" s="1" t="s">
        <v>8</v>
      </c>
      <c r="E1068" s="3">
        <v>1030265</v>
      </c>
      <c r="F1068" s="3">
        <v>1031260</v>
      </c>
      <c r="G1068" s="1" t="s">
        <v>9</v>
      </c>
      <c r="H1068" s="1" t="b">
        <f t="shared" si="40"/>
        <v>1</v>
      </c>
    </row>
    <row r="1069" spans="1:8" ht="21" x14ac:dyDescent="0.25">
      <c r="A1069" s="2" t="str">
        <f>HYPERLINK("https://rth.dk/resources/bsgatlas/details.php?id=BSGatlas-operon-549","BSGatlas-operon-549")</f>
        <v>BSGatlas-operon-549</v>
      </c>
      <c r="B1069" s="2" t="str">
        <f>HYPERLINK("https://rth.dk/resources/bsgatlas/details.php?id=BSGatlas-gene-1156","BSGatlas-gene-1156")</f>
        <v>BSGatlas-gene-1156</v>
      </c>
      <c r="C1069" s="1" t="s">
        <v>1073</v>
      </c>
      <c r="D1069" s="1" t="s">
        <v>8</v>
      </c>
      <c r="E1069" s="3">
        <v>1031395</v>
      </c>
      <c r="F1069" s="3">
        <v>1031994</v>
      </c>
      <c r="G1069" s="1" t="s">
        <v>9</v>
      </c>
      <c r="H1069" s="1" t="b">
        <f t="shared" si="40"/>
        <v>1</v>
      </c>
    </row>
    <row r="1070" spans="1:8" ht="21" x14ac:dyDescent="0.25">
      <c r="A1070" s="2" t="str">
        <f>HYPERLINK("https://rth.dk/resources/bsgatlas/details.php?id=BSGatlas-operon-550","BSGatlas-operon-550")</f>
        <v>BSGatlas-operon-550</v>
      </c>
      <c r="B1070" s="2" t="str">
        <f>HYPERLINK("https://rth.dk/resources/bsgatlas/details.php?id=BSGatlas-gene-1157","BSGatlas-gene-1157")</f>
        <v>BSGatlas-gene-1157</v>
      </c>
      <c r="C1070" s="1" t="s">
        <v>1074</v>
      </c>
      <c r="D1070" s="1" t="s">
        <v>8</v>
      </c>
      <c r="E1070" s="3">
        <v>1032063</v>
      </c>
      <c r="F1070" s="3">
        <v>1033397</v>
      </c>
      <c r="G1070" s="1" t="s">
        <v>13</v>
      </c>
      <c r="H1070" s="1" t="b">
        <f t="shared" si="40"/>
        <v>0</v>
      </c>
    </row>
    <row r="1071" spans="1:8" ht="21" x14ac:dyDescent="0.25">
      <c r="A1071" s="2" t="str">
        <f>HYPERLINK("https://rth.dk/resources/bsgatlas/details.php?id=BSGatlas-operon-550","BSGatlas-operon-550")</f>
        <v>BSGatlas-operon-550</v>
      </c>
      <c r="B1071" s="2" t="str">
        <f>HYPERLINK("https://rth.dk/resources/bsgatlas/details.php?id=BSGatlas-gene-1158","BSGatlas-gene-1158")</f>
        <v>BSGatlas-gene-1158</v>
      </c>
      <c r="C1071" s="1" t="s">
        <v>1075</v>
      </c>
      <c r="D1071" s="1" t="s">
        <v>8</v>
      </c>
      <c r="E1071" s="3">
        <v>1033458</v>
      </c>
      <c r="F1071" s="3">
        <v>1033889</v>
      </c>
      <c r="G1071" s="1" t="s">
        <v>13</v>
      </c>
      <c r="H1071" s="1" t="b">
        <f t="shared" si="40"/>
        <v>0</v>
      </c>
    </row>
    <row r="1072" spans="1:8" ht="21" x14ac:dyDescent="0.25">
      <c r="A1072" s="2" t="str">
        <f>HYPERLINK("https://rth.dk/resources/bsgatlas/details.php?id=BSGatlas-operon-551","BSGatlas-operon-551")</f>
        <v>BSGatlas-operon-551</v>
      </c>
      <c r="B1072" s="2" t="str">
        <f>HYPERLINK("https://rth.dk/resources/bsgatlas/details.php?id=BSGatlas-gene-1159","BSGatlas-gene-1159")</f>
        <v>BSGatlas-gene-1159</v>
      </c>
      <c r="C1072" s="1" t="s">
        <v>1076</v>
      </c>
      <c r="D1072" s="1" t="s">
        <v>8</v>
      </c>
      <c r="E1072" s="3">
        <v>1034046</v>
      </c>
      <c r="F1072" s="3">
        <v>1035227</v>
      </c>
      <c r="G1072" s="1" t="s">
        <v>9</v>
      </c>
      <c r="H1072" s="1" t="b">
        <f t="shared" si="40"/>
        <v>1</v>
      </c>
    </row>
    <row r="1073" spans="1:8" ht="21" x14ac:dyDescent="0.25">
      <c r="A1073" s="2" t="str">
        <f>HYPERLINK("https://rth.dk/resources/bsgatlas/details.php?id=BSGatlas-operon-552","BSGatlas-operon-552")</f>
        <v>BSGatlas-operon-552</v>
      </c>
      <c r="B1073" s="2" t="str">
        <f>HYPERLINK("https://rth.dk/resources/bsgatlas/details.php?id=BSGatlas-gene-1161","BSGatlas-gene-1161")</f>
        <v>BSGatlas-gene-1161</v>
      </c>
      <c r="C1073" s="1" t="s">
        <v>1077</v>
      </c>
      <c r="D1073" s="1" t="s">
        <v>8</v>
      </c>
      <c r="E1073" s="3">
        <v>1035554</v>
      </c>
      <c r="F1073" s="3">
        <v>1036939</v>
      </c>
      <c r="G1073" s="1" t="s">
        <v>9</v>
      </c>
      <c r="H1073" s="1" t="b">
        <f t="shared" si="40"/>
        <v>0</v>
      </c>
    </row>
    <row r="1074" spans="1:8" ht="21" x14ac:dyDescent="0.25">
      <c r="A1074" s="2" t="str">
        <f>HYPERLINK("https://rth.dk/resources/bsgatlas/details.php?id=BSGatlas-operon-553","BSGatlas-operon-553")</f>
        <v>BSGatlas-operon-553</v>
      </c>
      <c r="B1074" s="2" t="str">
        <f>HYPERLINK("https://rth.dk/resources/bsgatlas/details.php?id=BSGatlas-gene-1162","BSGatlas-gene-1162")</f>
        <v>BSGatlas-gene-1162</v>
      </c>
      <c r="C1074" s="1" t="s">
        <v>1078</v>
      </c>
      <c r="D1074" s="1" t="s">
        <v>8</v>
      </c>
      <c r="E1074" s="3">
        <v>1036953</v>
      </c>
      <c r="F1074" s="3">
        <v>1037309</v>
      </c>
      <c r="G1074" s="1" t="s">
        <v>13</v>
      </c>
      <c r="H1074" s="1" t="b">
        <f t="shared" si="40"/>
        <v>1</v>
      </c>
    </row>
    <row r="1075" spans="1:8" ht="21" x14ac:dyDescent="0.25">
      <c r="A1075" s="2" t="str">
        <f>HYPERLINK("https://rth.dk/resources/bsgatlas/details.php?id=BSGatlas-operon-553","BSGatlas-operon-553")</f>
        <v>BSGatlas-operon-553</v>
      </c>
      <c r="B1075" s="2" t="str">
        <f>HYPERLINK("https://rth.dk/resources/bsgatlas/details.php?id=BSGatlas-gene-1163","BSGatlas-gene-1163")</f>
        <v>BSGatlas-gene-1163</v>
      </c>
      <c r="C1075" s="1" t="s">
        <v>1079</v>
      </c>
      <c r="D1075" s="1" t="s">
        <v>8</v>
      </c>
      <c r="E1075" s="3">
        <v>1037306</v>
      </c>
      <c r="F1075" s="3">
        <v>1037701</v>
      </c>
      <c r="G1075" s="1" t="s">
        <v>13</v>
      </c>
      <c r="H1075" s="1" t="b">
        <f t="shared" si="40"/>
        <v>1</v>
      </c>
    </row>
    <row r="1076" spans="1:8" ht="21" x14ac:dyDescent="0.25">
      <c r="A1076" s="2" t="str">
        <f>HYPERLINK("https://rth.dk/resources/bsgatlas/details.php?id=BSGatlas-operon-553","BSGatlas-operon-553")</f>
        <v>BSGatlas-operon-553</v>
      </c>
      <c r="B1076" s="2" t="str">
        <f>HYPERLINK("https://rth.dk/resources/bsgatlas/details.php?id=BSGatlas-gene-1164","BSGatlas-gene-1164")</f>
        <v>BSGatlas-gene-1164</v>
      </c>
      <c r="C1076" s="1" t="s">
        <v>1080</v>
      </c>
      <c r="D1076" s="1" t="s">
        <v>8</v>
      </c>
      <c r="E1076" s="3">
        <v>1037688</v>
      </c>
      <c r="F1076" s="3">
        <v>1038419</v>
      </c>
      <c r="G1076" s="1" t="s">
        <v>13</v>
      </c>
      <c r="H1076" s="1" t="b">
        <f t="shared" si="40"/>
        <v>1</v>
      </c>
    </row>
    <row r="1077" spans="1:8" ht="21" x14ac:dyDescent="0.25">
      <c r="A1077" s="2" t="str">
        <f>HYPERLINK("https://rth.dk/resources/bsgatlas/details.php?id=BSGatlas-operon-554","BSGatlas-operon-554")</f>
        <v>BSGatlas-operon-554</v>
      </c>
      <c r="B1077" s="2" t="str">
        <f>HYPERLINK("https://rth.dk/resources/bsgatlas/details.php?id=BSGatlas-gene-1165","BSGatlas-gene-1165")</f>
        <v>BSGatlas-gene-1165</v>
      </c>
      <c r="C1077" s="1" t="s">
        <v>1081</v>
      </c>
      <c r="D1077" s="1" t="s">
        <v>8</v>
      </c>
      <c r="E1077" s="3">
        <v>1038653</v>
      </c>
      <c r="F1077" s="3">
        <v>1038760</v>
      </c>
      <c r="G1077" s="1" t="s">
        <v>9</v>
      </c>
      <c r="H1077" s="1" t="b">
        <f t="shared" si="40"/>
        <v>0</v>
      </c>
    </row>
    <row r="1078" spans="1:8" ht="21" x14ac:dyDescent="0.25">
      <c r="A1078" s="2" t="str">
        <f>HYPERLINK("https://rth.dk/resources/bsgatlas/details.php?id=BSGatlas-operon-555","BSGatlas-operon-555")</f>
        <v>BSGatlas-operon-555</v>
      </c>
      <c r="B1078" s="2" t="str">
        <f>HYPERLINK("https://rth.dk/resources/bsgatlas/details.php?id=BSGatlas-gene-1166","BSGatlas-gene-1166")</f>
        <v>BSGatlas-gene-1166</v>
      </c>
      <c r="C1078" s="1" t="s">
        <v>1082</v>
      </c>
      <c r="D1078" s="1" t="s">
        <v>8</v>
      </c>
      <c r="E1078" s="3">
        <v>1038909</v>
      </c>
      <c r="F1078" s="3">
        <v>1040024</v>
      </c>
      <c r="G1078" s="1" t="s">
        <v>9</v>
      </c>
      <c r="H1078" s="1" t="b">
        <f t="shared" si="40"/>
        <v>1</v>
      </c>
    </row>
    <row r="1079" spans="1:8" ht="21" x14ac:dyDescent="0.25">
      <c r="A1079" s="2" t="str">
        <f>HYPERLINK("https://rth.dk/resources/bsgatlas/details.php?id=BSGatlas-operon-556","BSGatlas-operon-556")</f>
        <v>BSGatlas-operon-556</v>
      </c>
      <c r="B1079" s="2" t="str">
        <f>HYPERLINK("https://rth.dk/resources/bsgatlas/details.php?id=BSGatlas-gene-1167","BSGatlas-gene-1167")</f>
        <v>BSGatlas-gene-1167</v>
      </c>
      <c r="C1079" s="1" t="s">
        <v>1083</v>
      </c>
      <c r="D1079" s="1" t="s">
        <v>8</v>
      </c>
      <c r="E1079" s="3">
        <v>1040094</v>
      </c>
      <c r="F1079" s="3">
        <v>1040837</v>
      </c>
      <c r="G1079" s="1" t="s">
        <v>9</v>
      </c>
      <c r="H1079" s="1" t="b">
        <f t="shared" si="40"/>
        <v>0</v>
      </c>
    </row>
    <row r="1080" spans="1:8" ht="21" x14ac:dyDescent="0.25">
      <c r="A1080" s="2" t="str">
        <f>HYPERLINK("https://rth.dk/resources/bsgatlas/details.php?id=BSGatlas-operon-557","BSGatlas-operon-557")</f>
        <v>BSGatlas-operon-557</v>
      </c>
      <c r="B1080" s="2" t="str">
        <f>HYPERLINK("https://rth.dk/resources/bsgatlas/details.php?id=BSGatlas-gene-1168","BSGatlas-gene-1168")</f>
        <v>BSGatlas-gene-1168</v>
      </c>
      <c r="C1080" s="1" t="s">
        <v>1084</v>
      </c>
      <c r="D1080" s="1" t="s">
        <v>8</v>
      </c>
      <c r="E1080" s="3">
        <v>1040861</v>
      </c>
      <c r="F1080" s="3">
        <v>1041709</v>
      </c>
      <c r="G1080" s="1" t="s">
        <v>13</v>
      </c>
      <c r="H1080" s="1" t="b">
        <f t="shared" si="40"/>
        <v>1</v>
      </c>
    </row>
    <row r="1081" spans="1:8" ht="21" x14ac:dyDescent="0.25">
      <c r="A1081" s="2" t="str">
        <f>HYPERLINK("https://rth.dk/resources/bsgatlas/details.php?id=BSGatlas-operon-558","BSGatlas-operon-558")</f>
        <v>BSGatlas-operon-558</v>
      </c>
      <c r="B1081" s="2" t="str">
        <f>HYPERLINK("https://rth.dk/resources/bsgatlas/details.php?id=BSGatlas-gene-1169","BSGatlas-gene-1169")</f>
        <v>BSGatlas-gene-1169</v>
      </c>
      <c r="C1081" s="1" t="s">
        <v>1085</v>
      </c>
      <c r="D1081" s="1" t="s">
        <v>8</v>
      </c>
      <c r="E1081" s="3">
        <v>1041994</v>
      </c>
      <c r="F1081" s="3">
        <v>1042842</v>
      </c>
      <c r="G1081" s="1" t="s">
        <v>9</v>
      </c>
      <c r="H1081" s="1" t="b">
        <f t="shared" si="40"/>
        <v>0</v>
      </c>
    </row>
    <row r="1082" spans="1:8" ht="21" x14ac:dyDescent="0.25">
      <c r="A1082" s="2" t="str">
        <f>HYPERLINK("https://rth.dk/resources/bsgatlas/details.php?id=BSGatlas-operon-559","BSGatlas-operon-559")</f>
        <v>BSGatlas-operon-559</v>
      </c>
      <c r="B1082" s="2" t="str">
        <f>HYPERLINK("https://rth.dk/resources/bsgatlas/details.php?id=BSGatlas-gene-1170","BSGatlas-gene-1170")</f>
        <v>BSGatlas-gene-1170</v>
      </c>
      <c r="C1082" s="1" t="s">
        <v>1086</v>
      </c>
      <c r="D1082" s="1" t="s">
        <v>8</v>
      </c>
      <c r="E1082" s="3">
        <v>1042885</v>
      </c>
      <c r="F1082" s="3">
        <v>1044246</v>
      </c>
      <c r="G1082" s="1" t="s">
        <v>13</v>
      </c>
      <c r="H1082" s="1" t="b">
        <f t="shared" si="40"/>
        <v>1</v>
      </c>
    </row>
    <row r="1083" spans="1:8" ht="21" x14ac:dyDescent="0.25">
      <c r="A1083" s="2" t="str">
        <f>HYPERLINK("https://rth.dk/resources/bsgatlas/details.php?id=BSGatlas-operon-560","BSGatlas-operon-560")</f>
        <v>BSGatlas-operon-560</v>
      </c>
      <c r="B1083" s="2" t="str">
        <f>HYPERLINK("https://rth.dk/resources/bsgatlas/details.php?id=BSGatlas-gene-1171","BSGatlas-gene-1171")</f>
        <v>BSGatlas-gene-1171</v>
      </c>
      <c r="C1083" s="1" t="s">
        <v>1087</v>
      </c>
      <c r="D1083" s="1" t="s">
        <v>8</v>
      </c>
      <c r="E1083" s="3">
        <v>1044373</v>
      </c>
      <c r="F1083" s="3">
        <v>1044873</v>
      </c>
      <c r="G1083" s="1" t="s">
        <v>13</v>
      </c>
      <c r="H1083" s="1" t="b">
        <f t="shared" si="40"/>
        <v>0</v>
      </c>
    </row>
    <row r="1084" spans="1:8" ht="21" x14ac:dyDescent="0.25">
      <c r="A1084" s="2" t="str">
        <f>HYPERLINK("https://rth.dk/resources/bsgatlas/details.php?id=BSGatlas-operon-561","BSGatlas-operon-561")</f>
        <v>BSGatlas-operon-561</v>
      </c>
      <c r="B1084" s="2" t="str">
        <f>HYPERLINK("https://rth.dk/resources/bsgatlas/details.php?id=BSGatlas-gene-1173","BSGatlas-gene-1173")</f>
        <v>BSGatlas-gene-1173</v>
      </c>
      <c r="C1084" s="1" t="s">
        <v>1088</v>
      </c>
      <c r="D1084" s="1" t="s">
        <v>8</v>
      </c>
      <c r="E1084" s="3">
        <v>1045037</v>
      </c>
      <c r="F1084" s="3">
        <v>1045198</v>
      </c>
      <c r="G1084" s="1" t="s">
        <v>9</v>
      </c>
      <c r="H1084" s="1" t="b">
        <f t="shared" si="40"/>
        <v>1</v>
      </c>
    </row>
    <row r="1085" spans="1:8" ht="21" x14ac:dyDescent="0.25">
      <c r="A1085" s="2" t="str">
        <f>HYPERLINK("https://rth.dk/resources/bsgatlas/details.php?id=BSGatlas-operon-561","BSGatlas-operon-561")</f>
        <v>BSGatlas-operon-561</v>
      </c>
      <c r="B1085" s="2" t="str">
        <f>HYPERLINK("https://rth.dk/resources/bsgatlas/details.php?id=BSGatlas-gene-1174","BSGatlas-gene-1174")</f>
        <v>BSGatlas-gene-1174</v>
      </c>
      <c r="C1085" s="1" t="s">
        <v>1089</v>
      </c>
      <c r="D1085" s="1" t="s">
        <v>8</v>
      </c>
      <c r="E1085" s="3">
        <v>1045318</v>
      </c>
      <c r="F1085" s="3">
        <v>1047075</v>
      </c>
      <c r="G1085" s="1" t="s">
        <v>9</v>
      </c>
      <c r="H1085" s="1" t="b">
        <f t="shared" si="40"/>
        <v>1</v>
      </c>
    </row>
    <row r="1086" spans="1:8" ht="21" x14ac:dyDescent="0.25">
      <c r="A1086" s="2" t="str">
        <f>HYPERLINK("https://rth.dk/resources/bsgatlas/details.php?id=BSGatlas-operon-561","BSGatlas-operon-561")</f>
        <v>BSGatlas-operon-561</v>
      </c>
      <c r="B1086" s="2" t="str">
        <f>HYPERLINK("https://rth.dk/resources/bsgatlas/details.php?id=BSGatlas-gene-1175","BSGatlas-gene-1175")</f>
        <v>BSGatlas-gene-1175</v>
      </c>
      <c r="C1086" s="1" t="s">
        <v>1090</v>
      </c>
      <c r="D1086" s="1" t="s">
        <v>8</v>
      </c>
      <c r="E1086" s="3">
        <v>1047072</v>
      </c>
      <c r="F1086" s="3">
        <v>1049093</v>
      </c>
      <c r="G1086" s="1" t="s">
        <v>9</v>
      </c>
      <c r="H1086" s="1" t="b">
        <f t="shared" si="40"/>
        <v>1</v>
      </c>
    </row>
    <row r="1087" spans="1:8" ht="21" x14ac:dyDescent="0.25">
      <c r="A1087" s="2" t="str">
        <f>HYPERLINK("https://rth.dk/resources/bsgatlas/details.php?id=BSGatlas-operon-562","BSGatlas-operon-562")</f>
        <v>BSGatlas-operon-562</v>
      </c>
      <c r="B1087" s="2" t="str">
        <f>HYPERLINK("https://rth.dk/resources/bsgatlas/details.php?id=BSGatlas-gene-1172","BSGatlas-gene-1172")</f>
        <v>BSGatlas-gene-1172</v>
      </c>
      <c r="C1087" s="1" t="s">
        <v>1091</v>
      </c>
      <c r="D1087" s="1" t="s">
        <v>34</v>
      </c>
      <c r="E1087" s="3">
        <v>1044986</v>
      </c>
      <c r="F1087" s="3">
        <v>1045185</v>
      </c>
      <c r="G1087" s="1" t="s">
        <v>9</v>
      </c>
      <c r="H1087" s="1" t="b">
        <f t="shared" si="40"/>
        <v>0</v>
      </c>
    </row>
    <row r="1088" spans="1:8" ht="21" x14ac:dyDescent="0.25">
      <c r="A1088" s="2" t="str">
        <f>HYPERLINK("https://rth.dk/resources/bsgatlas/details.php?id=BSGatlas-operon-563","BSGatlas-operon-563")</f>
        <v>BSGatlas-operon-563</v>
      </c>
      <c r="B1088" s="2" t="str">
        <f>HYPERLINK("https://rth.dk/resources/bsgatlas/details.php?id=BSGatlas-gene-1176","BSGatlas-gene-1176")</f>
        <v>BSGatlas-gene-1176</v>
      </c>
      <c r="C1088" s="1" t="s">
        <v>1092</v>
      </c>
      <c r="D1088" s="1" t="s">
        <v>8</v>
      </c>
      <c r="E1088" s="3">
        <v>1049142</v>
      </c>
      <c r="F1088" s="3">
        <v>1049762</v>
      </c>
      <c r="G1088" s="1" t="s">
        <v>13</v>
      </c>
      <c r="H1088" s="1" t="b">
        <f t="shared" si="40"/>
        <v>1</v>
      </c>
    </row>
    <row r="1089" spans="1:8" ht="21" x14ac:dyDescent="0.25">
      <c r="A1089" s="2" t="str">
        <f>HYPERLINK("https://rth.dk/resources/bsgatlas/details.php?id=BSGatlas-operon-563","BSGatlas-operon-563")</f>
        <v>BSGatlas-operon-563</v>
      </c>
      <c r="B1089" s="2" t="str">
        <f>HYPERLINK("https://rth.dk/resources/bsgatlas/details.php?id=BSGatlas-gene-1177","BSGatlas-gene-1177")</f>
        <v>BSGatlas-gene-1177</v>
      </c>
      <c r="C1089" s="1" t="s">
        <v>1093</v>
      </c>
      <c r="D1089" s="1" t="s">
        <v>8</v>
      </c>
      <c r="E1089" s="3">
        <v>1049801</v>
      </c>
      <c r="F1089" s="3">
        <v>1049926</v>
      </c>
      <c r="G1089" s="1" t="s">
        <v>13</v>
      </c>
      <c r="H1089" s="1" t="b">
        <f t="shared" si="40"/>
        <v>1</v>
      </c>
    </row>
    <row r="1090" spans="1:8" ht="21" x14ac:dyDescent="0.25">
      <c r="A1090" s="2" t="str">
        <f>HYPERLINK("https://rth.dk/resources/bsgatlas/details.php?id=BSGatlas-operon-564","BSGatlas-operon-564")</f>
        <v>BSGatlas-operon-564</v>
      </c>
      <c r="B1090" s="2" t="str">
        <f>HYPERLINK("https://rth.dk/resources/bsgatlas/details.php?id=BSGatlas-gene-1178","BSGatlas-gene-1178")</f>
        <v>BSGatlas-gene-1178</v>
      </c>
      <c r="C1090" s="1" t="s">
        <v>1094</v>
      </c>
      <c r="D1090" s="1" t="s">
        <v>8</v>
      </c>
      <c r="E1090" s="3">
        <v>1050031</v>
      </c>
      <c r="F1090" s="3">
        <v>1050234</v>
      </c>
      <c r="G1090" s="1" t="s">
        <v>13</v>
      </c>
      <c r="H1090" s="1" t="b">
        <f t="shared" ref="H1090:H1153" si="41">_xlfn.XOR(A1089&lt;&gt;A1090,H1089)</f>
        <v>0</v>
      </c>
    </row>
    <row r="1091" spans="1:8" ht="21" x14ac:dyDescent="0.25">
      <c r="A1091" s="2" t="str">
        <f>HYPERLINK("https://rth.dk/resources/bsgatlas/details.php?id=BSGatlas-operon-565","BSGatlas-operon-565")</f>
        <v>BSGatlas-operon-565</v>
      </c>
      <c r="B1091" s="2" t="str">
        <f>HYPERLINK("https://rth.dk/resources/bsgatlas/details.php?id=BSGatlas-gene-1179","BSGatlas-gene-1179")</f>
        <v>BSGatlas-gene-1179</v>
      </c>
      <c r="C1091" s="1" t="s">
        <v>1095</v>
      </c>
      <c r="D1091" s="1" t="s">
        <v>8</v>
      </c>
      <c r="E1091" s="3">
        <v>1050443</v>
      </c>
      <c r="F1091" s="3">
        <v>1050661</v>
      </c>
      <c r="G1091" s="1" t="s">
        <v>13</v>
      </c>
      <c r="H1091" s="1" t="b">
        <f t="shared" si="41"/>
        <v>1</v>
      </c>
    </row>
    <row r="1092" spans="1:8" ht="21" x14ac:dyDescent="0.25">
      <c r="A1092" s="2" t="str">
        <f>HYPERLINK("https://rth.dk/resources/bsgatlas/details.php?id=BSGatlas-operon-566","BSGatlas-operon-566")</f>
        <v>BSGatlas-operon-566</v>
      </c>
      <c r="B1092" s="2" t="str">
        <f>HYPERLINK("https://rth.dk/resources/bsgatlas/details.php?id=BSGatlas-gene-1180","BSGatlas-gene-1180")</f>
        <v>BSGatlas-gene-1180</v>
      </c>
      <c r="C1092" s="1" t="s">
        <v>1096</v>
      </c>
      <c r="D1092" s="1" t="s">
        <v>8</v>
      </c>
      <c r="E1092" s="3">
        <v>1050811</v>
      </c>
      <c r="F1092" s="3">
        <v>1052172</v>
      </c>
      <c r="G1092" s="1" t="s">
        <v>13</v>
      </c>
      <c r="H1092" s="1" t="b">
        <f t="shared" si="41"/>
        <v>0</v>
      </c>
    </row>
    <row r="1093" spans="1:8" ht="21" x14ac:dyDescent="0.25">
      <c r="A1093" s="2" t="str">
        <f>HYPERLINK("https://rth.dk/resources/bsgatlas/details.php?id=BSGatlas-operon-566","BSGatlas-operon-566")</f>
        <v>BSGatlas-operon-566</v>
      </c>
      <c r="B1093" s="2" t="str">
        <f>HYPERLINK("https://rth.dk/resources/bsgatlas/details.php?id=BSGatlas-gene-1181","BSGatlas-gene-1181")</f>
        <v>BSGatlas-gene-1181</v>
      </c>
      <c r="C1093" s="1" t="s">
        <v>1097</v>
      </c>
      <c r="D1093" s="1" t="s">
        <v>8</v>
      </c>
      <c r="E1093" s="3">
        <v>1052162</v>
      </c>
      <c r="F1093" s="3">
        <v>1053253</v>
      </c>
      <c r="G1093" s="1" t="s">
        <v>13</v>
      </c>
      <c r="H1093" s="1" t="b">
        <f t="shared" si="41"/>
        <v>0</v>
      </c>
    </row>
    <row r="1094" spans="1:8" ht="21" x14ac:dyDescent="0.25">
      <c r="A1094" s="2" t="str">
        <f>HYPERLINK("https://rth.dk/resources/bsgatlas/details.php?id=BSGatlas-operon-567","BSGatlas-operon-567")</f>
        <v>BSGatlas-operon-567</v>
      </c>
      <c r="B1094" s="2" t="str">
        <f>HYPERLINK("https://rth.dk/resources/bsgatlas/details.php?id=BSGatlas-gene-1182","BSGatlas-gene-1182")</f>
        <v>BSGatlas-gene-1182</v>
      </c>
      <c r="C1094" s="1" t="s">
        <v>1098</v>
      </c>
      <c r="D1094" s="1" t="s">
        <v>8</v>
      </c>
      <c r="E1094" s="3">
        <v>1053520</v>
      </c>
      <c r="F1094" s="3">
        <v>1054653</v>
      </c>
      <c r="G1094" s="1" t="s">
        <v>9</v>
      </c>
      <c r="H1094" s="1" t="b">
        <f t="shared" si="41"/>
        <v>1</v>
      </c>
    </row>
    <row r="1095" spans="1:8" ht="21" x14ac:dyDescent="0.25">
      <c r="A1095" s="2" t="str">
        <f>HYPERLINK("https://rth.dk/resources/bsgatlas/details.php?id=BSGatlas-operon-567","BSGatlas-operon-567")</f>
        <v>BSGatlas-operon-567</v>
      </c>
      <c r="B1095" s="2" t="str">
        <f>HYPERLINK("https://rth.dk/resources/bsgatlas/details.php?id=BSGatlas-gene-1183","BSGatlas-gene-1183")</f>
        <v>BSGatlas-gene-1183</v>
      </c>
      <c r="C1095" s="1" t="s">
        <v>1099</v>
      </c>
      <c r="D1095" s="1" t="s">
        <v>8</v>
      </c>
      <c r="E1095" s="3">
        <v>1054746</v>
      </c>
      <c r="F1095" s="3">
        <v>1055099</v>
      </c>
      <c r="G1095" s="1" t="s">
        <v>9</v>
      </c>
      <c r="H1095" s="1" t="b">
        <f t="shared" si="41"/>
        <v>1</v>
      </c>
    </row>
    <row r="1096" spans="1:8" ht="21" x14ac:dyDescent="0.25">
      <c r="A1096" s="2" t="str">
        <f>HYPERLINK("https://rth.dk/resources/bsgatlas/details.php?id=BSGatlas-operon-568","BSGatlas-operon-568")</f>
        <v>BSGatlas-operon-568</v>
      </c>
      <c r="B1096" s="2" t="str">
        <f>HYPERLINK("https://rth.dk/resources/bsgatlas/details.php?id=BSGatlas-gene-1184","BSGatlas-gene-1184")</f>
        <v>BSGatlas-gene-1184</v>
      </c>
      <c r="C1096" s="1" t="s">
        <v>1100</v>
      </c>
      <c r="D1096" s="1" t="s">
        <v>8</v>
      </c>
      <c r="E1096" s="3">
        <v>1055143</v>
      </c>
      <c r="F1096" s="3">
        <v>1056216</v>
      </c>
      <c r="G1096" s="1" t="s">
        <v>13</v>
      </c>
      <c r="H1096" s="1" t="b">
        <f t="shared" si="41"/>
        <v>0</v>
      </c>
    </row>
    <row r="1097" spans="1:8" ht="21" x14ac:dyDescent="0.25">
      <c r="A1097" s="2" t="str">
        <f>HYPERLINK("https://rth.dk/resources/bsgatlas/details.php?id=BSGatlas-operon-569","BSGatlas-operon-569")</f>
        <v>BSGatlas-operon-569</v>
      </c>
      <c r="B1097" s="2" t="str">
        <f>HYPERLINK("https://rth.dk/resources/bsgatlas/details.php?id=BSGatlas-gene-1185","BSGatlas-gene-1185")</f>
        <v>BSGatlas-gene-1185</v>
      </c>
      <c r="C1097" s="1" t="s">
        <v>1101</v>
      </c>
      <c r="D1097" s="1" t="s">
        <v>12</v>
      </c>
      <c r="E1097" s="3">
        <v>1056371</v>
      </c>
      <c r="F1097" s="3">
        <v>1056619</v>
      </c>
      <c r="G1097" s="1" t="s">
        <v>9</v>
      </c>
      <c r="H1097" s="1" t="b">
        <f t="shared" si="41"/>
        <v>1</v>
      </c>
    </row>
    <row r="1098" spans="1:8" ht="21" x14ac:dyDescent="0.25">
      <c r="A1098" s="2" t="str">
        <f>HYPERLINK("https://rth.dk/resources/bsgatlas/details.php?id=BSGatlas-operon-570","BSGatlas-operon-570")</f>
        <v>BSGatlas-operon-570</v>
      </c>
      <c r="B1098" s="2" t="str">
        <f>HYPERLINK("https://rth.dk/resources/bsgatlas/details.php?id=BSGatlas-gene-1186","BSGatlas-gene-1186")</f>
        <v>BSGatlas-gene-1186</v>
      </c>
      <c r="C1098" s="1" t="s">
        <v>1102</v>
      </c>
      <c r="D1098" s="1" t="s">
        <v>8</v>
      </c>
      <c r="E1098" s="3">
        <v>1056702</v>
      </c>
      <c r="F1098" s="3">
        <v>1057568</v>
      </c>
      <c r="G1098" s="1" t="s">
        <v>9</v>
      </c>
      <c r="H1098" s="1" t="b">
        <f t="shared" si="41"/>
        <v>0</v>
      </c>
    </row>
    <row r="1099" spans="1:8" ht="21" x14ac:dyDescent="0.25">
      <c r="A1099" s="2" t="str">
        <f>HYPERLINK("https://rth.dk/resources/bsgatlas/details.php?id=BSGatlas-operon-571","BSGatlas-operon-571")</f>
        <v>BSGatlas-operon-571</v>
      </c>
      <c r="B1099" s="2" t="str">
        <f>HYPERLINK("https://rth.dk/resources/bsgatlas/details.php?id=BSGatlas-gene-1187","BSGatlas-gene-1187")</f>
        <v>BSGatlas-gene-1187</v>
      </c>
      <c r="C1099" s="1" t="s">
        <v>1103</v>
      </c>
      <c r="D1099" s="1" t="s">
        <v>8</v>
      </c>
      <c r="E1099" s="3">
        <v>1057680</v>
      </c>
      <c r="F1099" s="3">
        <v>1059185</v>
      </c>
      <c r="G1099" s="1" t="s">
        <v>9</v>
      </c>
      <c r="H1099" s="1" t="b">
        <f t="shared" si="41"/>
        <v>1</v>
      </c>
    </row>
    <row r="1100" spans="1:8" ht="21" x14ac:dyDescent="0.25">
      <c r="A1100" s="2" t="str">
        <f>HYPERLINK("https://rth.dk/resources/bsgatlas/details.php?id=BSGatlas-operon-572","BSGatlas-operon-572")</f>
        <v>BSGatlas-operon-572</v>
      </c>
      <c r="B1100" s="2" t="str">
        <f>HYPERLINK("https://rth.dk/resources/bsgatlas/details.php?id=BSGatlas-gene-1188","BSGatlas-gene-1188")</f>
        <v>BSGatlas-gene-1188</v>
      </c>
      <c r="C1100" s="1" t="s">
        <v>1104</v>
      </c>
      <c r="D1100" s="1" t="s">
        <v>8</v>
      </c>
      <c r="E1100" s="3">
        <v>1059203</v>
      </c>
      <c r="F1100" s="3">
        <v>1060420</v>
      </c>
      <c r="G1100" s="1" t="s">
        <v>13</v>
      </c>
      <c r="H1100" s="1" t="b">
        <f t="shared" si="41"/>
        <v>0</v>
      </c>
    </row>
    <row r="1101" spans="1:8" ht="21" x14ac:dyDescent="0.25">
      <c r="A1101" s="2" t="str">
        <f>HYPERLINK("https://rth.dk/resources/bsgatlas/details.php?id=BSGatlas-operon-572","BSGatlas-operon-572")</f>
        <v>BSGatlas-operon-572</v>
      </c>
      <c r="B1101" s="2" t="str">
        <f>HYPERLINK("https://rth.dk/resources/bsgatlas/details.php?id=BSGatlas-gene-1189","BSGatlas-gene-1189")</f>
        <v>BSGatlas-gene-1189</v>
      </c>
      <c r="C1101" s="1" t="s">
        <v>1105</v>
      </c>
      <c r="D1101" s="1" t="s">
        <v>8</v>
      </c>
      <c r="E1101" s="3">
        <v>1060427</v>
      </c>
      <c r="F1101" s="3">
        <v>1060924</v>
      </c>
      <c r="G1101" s="1" t="s">
        <v>13</v>
      </c>
      <c r="H1101" s="1" t="b">
        <f t="shared" si="41"/>
        <v>0</v>
      </c>
    </row>
    <row r="1102" spans="1:8" ht="21" x14ac:dyDescent="0.25">
      <c r="A1102" s="2" t="str">
        <f>HYPERLINK("https://rth.dk/resources/bsgatlas/details.php?id=BSGatlas-operon-572","BSGatlas-operon-572")</f>
        <v>BSGatlas-operon-572</v>
      </c>
      <c r="B1102" s="2" t="str">
        <f>HYPERLINK("https://rth.dk/resources/bsgatlas/details.php?id=BSGatlas-gene-1190","BSGatlas-gene-1190")</f>
        <v>BSGatlas-gene-1190</v>
      </c>
      <c r="C1102" s="1" t="s">
        <v>1106</v>
      </c>
      <c r="D1102" s="1" t="s">
        <v>8</v>
      </c>
      <c r="E1102" s="3">
        <v>1060988</v>
      </c>
      <c r="F1102" s="3">
        <v>1061326</v>
      </c>
      <c r="G1102" s="1" t="s">
        <v>13</v>
      </c>
      <c r="H1102" s="1" t="b">
        <f t="shared" si="41"/>
        <v>0</v>
      </c>
    </row>
    <row r="1103" spans="1:8" ht="21" x14ac:dyDescent="0.25">
      <c r="A1103" s="2" t="str">
        <f>HYPERLINK("https://rth.dk/resources/bsgatlas/details.php?id=BSGatlas-operon-573","BSGatlas-operon-573")</f>
        <v>BSGatlas-operon-573</v>
      </c>
      <c r="B1103" s="2" t="str">
        <f>HYPERLINK("https://rth.dk/resources/bsgatlas/details.php?id=BSGatlas-gene-1191","BSGatlas-gene-1191")</f>
        <v>BSGatlas-gene-1191</v>
      </c>
      <c r="C1103" s="1" t="s">
        <v>1107</v>
      </c>
      <c r="D1103" s="1" t="s">
        <v>8</v>
      </c>
      <c r="E1103" s="3">
        <v>1061491</v>
      </c>
      <c r="F1103" s="3">
        <v>1062258</v>
      </c>
      <c r="G1103" s="1" t="s">
        <v>9</v>
      </c>
      <c r="H1103" s="1" t="b">
        <f t="shared" si="41"/>
        <v>1</v>
      </c>
    </row>
    <row r="1104" spans="1:8" ht="21" x14ac:dyDescent="0.25">
      <c r="A1104" s="2" t="str">
        <f>HYPERLINK("https://rth.dk/resources/bsgatlas/details.php?id=BSGatlas-operon-574","BSGatlas-operon-574")</f>
        <v>BSGatlas-operon-574</v>
      </c>
      <c r="B1104" s="2" t="str">
        <f>HYPERLINK("https://rth.dk/resources/bsgatlas/details.php?id=BSGatlas-gene-1192","BSGatlas-gene-1192")</f>
        <v>BSGatlas-gene-1192</v>
      </c>
      <c r="C1104" s="1" t="s">
        <v>1108</v>
      </c>
      <c r="D1104" s="1" t="s">
        <v>8</v>
      </c>
      <c r="E1104" s="3">
        <v>1062279</v>
      </c>
      <c r="F1104" s="3">
        <v>1062464</v>
      </c>
      <c r="G1104" s="1" t="s">
        <v>13</v>
      </c>
      <c r="H1104" s="1" t="b">
        <f t="shared" si="41"/>
        <v>0</v>
      </c>
    </row>
    <row r="1105" spans="1:8" ht="21" x14ac:dyDescent="0.25">
      <c r="A1105" s="2" t="str">
        <f>HYPERLINK("https://rth.dk/resources/bsgatlas/details.php?id=BSGatlas-operon-575","BSGatlas-operon-575")</f>
        <v>BSGatlas-operon-575</v>
      </c>
      <c r="B1105" s="2" t="str">
        <f>HYPERLINK("https://rth.dk/resources/bsgatlas/details.php?id=BSGatlas-gene-1193","BSGatlas-gene-1193")</f>
        <v>BSGatlas-gene-1193</v>
      </c>
      <c r="C1105" s="1" t="s">
        <v>1109</v>
      </c>
      <c r="D1105" s="1" t="s">
        <v>8</v>
      </c>
      <c r="E1105" s="3">
        <v>1062591</v>
      </c>
      <c r="F1105" s="3">
        <v>1063487</v>
      </c>
      <c r="G1105" s="1" t="s">
        <v>9</v>
      </c>
      <c r="H1105" s="1" t="b">
        <f t="shared" si="41"/>
        <v>1</v>
      </c>
    </row>
    <row r="1106" spans="1:8" ht="21" x14ac:dyDescent="0.25">
      <c r="A1106" s="2" t="str">
        <f>HYPERLINK("https://rth.dk/resources/bsgatlas/details.php?id=BSGatlas-operon-575","BSGatlas-operon-575")</f>
        <v>BSGatlas-operon-575</v>
      </c>
      <c r="B1106" s="2" t="str">
        <f>HYPERLINK("https://rth.dk/resources/bsgatlas/details.php?id=BSGatlas-gene-1194","BSGatlas-gene-1194")</f>
        <v>BSGatlas-gene-1194</v>
      </c>
      <c r="C1106" s="1" t="s">
        <v>1110</v>
      </c>
      <c r="D1106" s="1" t="s">
        <v>8</v>
      </c>
      <c r="E1106" s="3">
        <v>1063480</v>
      </c>
      <c r="F1106" s="3">
        <v>1064739</v>
      </c>
      <c r="G1106" s="1" t="s">
        <v>9</v>
      </c>
      <c r="H1106" s="1" t="b">
        <f t="shared" si="41"/>
        <v>1</v>
      </c>
    </row>
    <row r="1107" spans="1:8" ht="21" x14ac:dyDescent="0.25">
      <c r="A1107" s="2" t="str">
        <f>HYPERLINK("https://rth.dk/resources/bsgatlas/details.php?id=BSGatlas-operon-576","BSGatlas-operon-576")</f>
        <v>BSGatlas-operon-576</v>
      </c>
      <c r="B1107" s="2" t="str">
        <f>HYPERLINK("https://rth.dk/resources/bsgatlas/details.php?id=BSGatlas-gene-1195","BSGatlas-gene-1195")</f>
        <v>BSGatlas-gene-1195</v>
      </c>
      <c r="C1107" s="1" t="s">
        <v>1111</v>
      </c>
      <c r="D1107" s="1" t="s">
        <v>8</v>
      </c>
      <c r="E1107" s="3">
        <v>1064846</v>
      </c>
      <c r="F1107" s="3">
        <v>1066072</v>
      </c>
      <c r="G1107" s="1" t="s">
        <v>9</v>
      </c>
      <c r="H1107" s="1" t="b">
        <f t="shared" si="41"/>
        <v>0</v>
      </c>
    </row>
    <row r="1108" spans="1:8" ht="21" x14ac:dyDescent="0.25">
      <c r="A1108" s="2" t="str">
        <f>HYPERLINK("https://rth.dk/resources/bsgatlas/details.php?id=BSGatlas-operon-576","BSGatlas-operon-576")</f>
        <v>BSGatlas-operon-576</v>
      </c>
      <c r="B1108" s="2" t="str">
        <f>HYPERLINK("https://rth.dk/resources/bsgatlas/details.php?id=BSGatlas-gene-1196","BSGatlas-gene-1196")</f>
        <v>BSGatlas-gene-1196</v>
      </c>
      <c r="C1108" s="1" t="s">
        <v>1112</v>
      </c>
      <c r="D1108" s="1" t="s">
        <v>8</v>
      </c>
      <c r="E1108" s="3">
        <v>1066077</v>
      </c>
      <c r="F1108" s="3">
        <v>1068968</v>
      </c>
      <c r="G1108" s="1" t="s">
        <v>9</v>
      </c>
      <c r="H1108" s="1" t="b">
        <f t="shared" si="41"/>
        <v>0</v>
      </c>
    </row>
    <row r="1109" spans="1:8" ht="21" x14ac:dyDescent="0.25">
      <c r="A1109" s="2" t="str">
        <f>HYPERLINK("https://rth.dk/resources/bsgatlas/details.php?id=BSGatlas-operon-576","BSGatlas-operon-576")</f>
        <v>BSGatlas-operon-576</v>
      </c>
      <c r="B1109" s="2" t="str">
        <f>HYPERLINK("https://rth.dk/resources/bsgatlas/details.php?id=BSGatlas-gene-1197","BSGatlas-gene-1197")</f>
        <v>BSGatlas-gene-1197</v>
      </c>
      <c r="C1109" s="1" t="s">
        <v>1113</v>
      </c>
      <c r="D1109" s="1" t="s">
        <v>8</v>
      </c>
      <c r="E1109" s="3">
        <v>1069042</v>
      </c>
      <c r="F1109" s="3">
        <v>1069986</v>
      </c>
      <c r="G1109" s="1" t="s">
        <v>9</v>
      </c>
      <c r="H1109" s="1" t="b">
        <f t="shared" si="41"/>
        <v>0</v>
      </c>
    </row>
    <row r="1110" spans="1:8" ht="21" x14ac:dyDescent="0.25">
      <c r="A1110" s="2" t="str">
        <f>HYPERLINK("https://rth.dk/resources/bsgatlas/details.php?id=BSGatlas-operon-577","BSGatlas-operon-577")</f>
        <v>BSGatlas-operon-577</v>
      </c>
      <c r="B1110" s="2" t="str">
        <f>HYPERLINK("https://rth.dk/resources/bsgatlas/details.php?id=BSGatlas-gene-1198","BSGatlas-gene-1198")</f>
        <v>BSGatlas-gene-1198</v>
      </c>
      <c r="C1110" s="1" t="s">
        <v>1114</v>
      </c>
      <c r="D1110" s="1" t="s">
        <v>8</v>
      </c>
      <c r="E1110" s="3">
        <v>1070111</v>
      </c>
      <c r="F1110" s="3">
        <v>1070323</v>
      </c>
      <c r="G1110" s="1" t="s">
        <v>9</v>
      </c>
      <c r="H1110" s="1" t="b">
        <f t="shared" si="41"/>
        <v>1</v>
      </c>
    </row>
    <row r="1111" spans="1:8" ht="21" x14ac:dyDescent="0.25">
      <c r="A1111" s="2" t="str">
        <f>HYPERLINK("https://rth.dk/resources/bsgatlas/details.php?id=BSGatlas-operon-578","BSGatlas-operon-578")</f>
        <v>BSGatlas-operon-578</v>
      </c>
      <c r="B1111" s="2" t="str">
        <f>HYPERLINK("https://rth.dk/resources/bsgatlas/details.php?id=BSGatlas-gene-1199","BSGatlas-gene-1199")</f>
        <v>BSGatlas-gene-1199</v>
      </c>
      <c r="C1111" s="1" t="s">
        <v>1115</v>
      </c>
      <c r="D1111" s="1" t="s">
        <v>8</v>
      </c>
      <c r="E1111" s="3">
        <v>1070364</v>
      </c>
      <c r="F1111" s="3">
        <v>1071242</v>
      </c>
      <c r="G1111" s="1" t="s">
        <v>13</v>
      </c>
      <c r="H1111" s="1" t="b">
        <f t="shared" si="41"/>
        <v>0</v>
      </c>
    </row>
    <row r="1112" spans="1:8" ht="21" x14ac:dyDescent="0.25">
      <c r="A1112" s="2" t="str">
        <f>HYPERLINK("https://rth.dk/resources/bsgatlas/details.php?id=BSGatlas-operon-579","BSGatlas-operon-579")</f>
        <v>BSGatlas-operon-579</v>
      </c>
      <c r="B1112" s="2" t="str">
        <f>HYPERLINK("https://rth.dk/resources/bsgatlas/details.php?id=BSGatlas-gene-1200","BSGatlas-gene-1200")</f>
        <v>BSGatlas-gene-1200</v>
      </c>
      <c r="C1112" s="1" t="s">
        <v>1116</v>
      </c>
      <c r="D1112" s="1" t="s">
        <v>8</v>
      </c>
      <c r="E1112" s="3">
        <v>1071402</v>
      </c>
      <c r="F1112" s="3">
        <v>1071488</v>
      </c>
      <c r="G1112" s="1" t="s">
        <v>9</v>
      </c>
      <c r="H1112" s="1" t="b">
        <f t="shared" si="41"/>
        <v>1</v>
      </c>
    </row>
    <row r="1113" spans="1:8" ht="21" x14ac:dyDescent="0.25">
      <c r="A1113" s="2" t="str">
        <f>HYPERLINK("https://rth.dk/resources/bsgatlas/details.php?id=BSGatlas-operon-579","BSGatlas-operon-579")</f>
        <v>BSGatlas-operon-579</v>
      </c>
      <c r="B1113" s="2" t="str">
        <f>HYPERLINK("https://rth.dk/resources/bsgatlas/details.php?id=BSGatlas-gene-1201","BSGatlas-gene-1201")</f>
        <v>BSGatlas-gene-1201</v>
      </c>
      <c r="C1113" s="1" t="s">
        <v>1117</v>
      </c>
      <c r="D1113" s="1" t="s">
        <v>8</v>
      </c>
      <c r="E1113" s="3">
        <v>1071613</v>
      </c>
      <c r="F1113" s="3">
        <v>1071699</v>
      </c>
      <c r="G1113" s="1" t="s">
        <v>9</v>
      </c>
      <c r="H1113" s="1" t="b">
        <f t="shared" si="41"/>
        <v>1</v>
      </c>
    </row>
    <row r="1114" spans="1:8" ht="21" x14ac:dyDescent="0.25">
      <c r="A1114" s="2" t="str">
        <f>HYPERLINK("https://rth.dk/resources/bsgatlas/details.php?id=BSGatlas-operon-580","BSGatlas-operon-580")</f>
        <v>BSGatlas-operon-580</v>
      </c>
      <c r="B1114" s="2" t="str">
        <f>HYPERLINK("https://rth.dk/resources/bsgatlas/details.php?id=BSGatlas-gene-1202","BSGatlas-gene-1202")</f>
        <v>BSGatlas-gene-1202</v>
      </c>
      <c r="C1114" s="1" t="s">
        <v>1118</v>
      </c>
      <c r="D1114" s="1" t="s">
        <v>12</v>
      </c>
      <c r="E1114" s="3">
        <v>1071709</v>
      </c>
      <c r="F1114" s="3">
        <v>1071971</v>
      </c>
      <c r="G1114" s="1" t="s">
        <v>13</v>
      </c>
      <c r="H1114" s="1" t="b">
        <f t="shared" si="41"/>
        <v>0</v>
      </c>
    </row>
    <row r="1115" spans="1:8" ht="21" x14ac:dyDescent="0.25">
      <c r="A1115" s="2" t="str">
        <f>HYPERLINK("https://rth.dk/resources/bsgatlas/details.php?id=BSGatlas-operon-581","BSGatlas-operon-581")</f>
        <v>BSGatlas-operon-581</v>
      </c>
      <c r="B1115" s="2" t="str">
        <f>HYPERLINK("https://rth.dk/resources/bsgatlas/details.php?id=BSGatlas-gene-1203","BSGatlas-gene-1203")</f>
        <v>BSGatlas-gene-1203</v>
      </c>
      <c r="C1115" s="1" t="s">
        <v>1119</v>
      </c>
      <c r="D1115" s="1" t="s">
        <v>8</v>
      </c>
      <c r="E1115" s="3">
        <v>1072042</v>
      </c>
      <c r="F1115" s="3">
        <v>1072560</v>
      </c>
      <c r="G1115" s="1" t="s">
        <v>13</v>
      </c>
      <c r="H1115" s="1" t="b">
        <f t="shared" si="41"/>
        <v>1</v>
      </c>
    </row>
    <row r="1116" spans="1:8" ht="21" x14ac:dyDescent="0.25">
      <c r="A1116" s="2" t="str">
        <f>HYPERLINK("https://rth.dk/resources/bsgatlas/details.php?id=BSGatlas-operon-582","BSGatlas-operon-582")</f>
        <v>BSGatlas-operon-582</v>
      </c>
      <c r="B1116" s="2" t="str">
        <f>HYPERLINK("https://rth.dk/resources/bsgatlas/details.php?id=BSGatlas-gene-1204","BSGatlas-gene-1204")</f>
        <v>BSGatlas-gene-1204</v>
      </c>
      <c r="C1116" s="1" t="s">
        <v>1120</v>
      </c>
      <c r="D1116" s="1" t="s">
        <v>8</v>
      </c>
      <c r="E1116" s="3">
        <v>1072768</v>
      </c>
      <c r="F1116" s="3">
        <v>1073109</v>
      </c>
      <c r="G1116" s="1" t="s">
        <v>9</v>
      </c>
      <c r="H1116" s="1" t="b">
        <f t="shared" si="41"/>
        <v>0</v>
      </c>
    </row>
    <row r="1117" spans="1:8" ht="21" x14ac:dyDescent="0.25">
      <c r="A1117" s="2" t="str">
        <f>HYPERLINK("https://rth.dk/resources/bsgatlas/details.php?id=BSGatlas-operon-583","BSGatlas-operon-583")</f>
        <v>BSGatlas-operon-583</v>
      </c>
      <c r="B1117" s="2" t="str">
        <f>HYPERLINK("https://rth.dk/resources/bsgatlas/details.php?id=BSGatlas-gene-1205","BSGatlas-gene-1205")</f>
        <v>BSGatlas-gene-1205</v>
      </c>
      <c r="C1117" s="1" t="s">
        <v>1121</v>
      </c>
      <c r="D1117" s="1" t="s">
        <v>8</v>
      </c>
      <c r="E1117" s="3">
        <v>1073106</v>
      </c>
      <c r="F1117" s="3">
        <v>1073717</v>
      </c>
      <c r="G1117" s="1" t="s">
        <v>13</v>
      </c>
      <c r="H1117" s="1" t="b">
        <f t="shared" si="41"/>
        <v>1</v>
      </c>
    </row>
    <row r="1118" spans="1:8" ht="21" x14ac:dyDescent="0.25">
      <c r="A1118" s="2" t="str">
        <f>HYPERLINK("https://rth.dk/resources/bsgatlas/details.php?id=BSGatlas-operon-584","BSGatlas-operon-584")</f>
        <v>BSGatlas-operon-584</v>
      </c>
      <c r="B1118" s="2" t="str">
        <f>HYPERLINK("https://rth.dk/resources/bsgatlas/details.php?id=BSGatlas-gene-1207","BSGatlas-gene-1207")</f>
        <v>BSGatlas-gene-1207</v>
      </c>
      <c r="C1118" s="1" t="s">
        <v>1122</v>
      </c>
      <c r="D1118" s="1" t="s">
        <v>8</v>
      </c>
      <c r="E1118" s="3">
        <v>1074381</v>
      </c>
      <c r="F1118" s="3">
        <v>1074572</v>
      </c>
      <c r="G1118" s="1" t="s">
        <v>9</v>
      </c>
      <c r="H1118" s="1" t="b">
        <f t="shared" si="41"/>
        <v>0</v>
      </c>
    </row>
    <row r="1119" spans="1:8" ht="21" x14ac:dyDescent="0.25">
      <c r="A1119" s="2" t="str">
        <f>HYPERLINK("https://rth.dk/resources/bsgatlas/details.php?id=BSGatlas-operon-585","BSGatlas-operon-585")</f>
        <v>BSGatlas-operon-585</v>
      </c>
      <c r="B1119" s="2" t="str">
        <f>HYPERLINK("https://rth.dk/resources/bsgatlas/details.php?id=BSGatlas-gene-1206","BSGatlas-gene-1206")</f>
        <v>BSGatlas-gene-1206</v>
      </c>
      <c r="C1119" s="1" t="s">
        <v>1123</v>
      </c>
      <c r="D1119" s="1" t="s">
        <v>8</v>
      </c>
      <c r="E1119" s="3">
        <v>1073895</v>
      </c>
      <c r="F1119" s="3">
        <v>1074251</v>
      </c>
      <c r="G1119" s="1" t="s">
        <v>13</v>
      </c>
      <c r="H1119" s="1" t="b">
        <f t="shared" si="41"/>
        <v>1</v>
      </c>
    </row>
    <row r="1120" spans="1:8" ht="21" x14ac:dyDescent="0.25">
      <c r="A1120" s="2" t="str">
        <f>HYPERLINK("https://rth.dk/resources/bsgatlas/details.php?id=BSGatlas-operon-586","BSGatlas-operon-586")</f>
        <v>BSGatlas-operon-586</v>
      </c>
      <c r="B1120" s="2" t="str">
        <f>HYPERLINK("https://rth.dk/resources/bsgatlas/details.php?id=BSGatlas-gene-1208","BSGatlas-gene-1208")</f>
        <v>BSGatlas-gene-1208</v>
      </c>
      <c r="C1120" s="1" t="s">
        <v>1124</v>
      </c>
      <c r="D1120" s="1" t="s">
        <v>8</v>
      </c>
      <c r="E1120" s="3">
        <v>1074646</v>
      </c>
      <c r="F1120" s="3">
        <v>1075164</v>
      </c>
      <c r="G1120" s="1" t="s">
        <v>13</v>
      </c>
      <c r="H1120" s="1" t="b">
        <f t="shared" si="41"/>
        <v>0</v>
      </c>
    </row>
    <row r="1121" spans="1:8" ht="21" x14ac:dyDescent="0.25">
      <c r="A1121" s="2" t="str">
        <f>HYPERLINK("https://rth.dk/resources/bsgatlas/details.php?id=BSGatlas-operon-586","BSGatlas-operon-586")</f>
        <v>BSGatlas-operon-586</v>
      </c>
      <c r="B1121" s="2" t="str">
        <f>HYPERLINK("https://rth.dk/resources/bsgatlas/details.php?id=BSGatlas-gene-1209","BSGatlas-gene-1209")</f>
        <v>BSGatlas-gene-1209</v>
      </c>
      <c r="C1121" s="1" t="s">
        <v>1125</v>
      </c>
      <c r="D1121" s="1" t="s">
        <v>8</v>
      </c>
      <c r="E1121" s="3">
        <v>1075289</v>
      </c>
      <c r="F1121" s="3">
        <v>1076368</v>
      </c>
      <c r="G1121" s="1" t="s">
        <v>13</v>
      </c>
      <c r="H1121" s="1" t="b">
        <f t="shared" si="41"/>
        <v>0</v>
      </c>
    </row>
    <row r="1122" spans="1:8" ht="21" x14ac:dyDescent="0.25">
      <c r="A1122" s="2" t="str">
        <f>HYPERLINK("https://rth.dk/resources/bsgatlas/details.php?id=BSGatlas-operon-587","BSGatlas-operon-587")</f>
        <v>BSGatlas-operon-587</v>
      </c>
      <c r="B1122" s="2" t="str">
        <f>HYPERLINK("https://rth.dk/resources/bsgatlas/details.php?id=BSGatlas-gene-1210","BSGatlas-gene-1210")</f>
        <v>BSGatlas-gene-1210</v>
      </c>
      <c r="C1122" s="1" t="s">
        <v>1126</v>
      </c>
      <c r="D1122" s="1" t="s">
        <v>8</v>
      </c>
      <c r="E1122" s="3">
        <v>1076515</v>
      </c>
      <c r="F1122" s="3">
        <v>1076952</v>
      </c>
      <c r="G1122" s="1" t="s">
        <v>13</v>
      </c>
      <c r="H1122" s="1" t="b">
        <f t="shared" si="41"/>
        <v>1</v>
      </c>
    </row>
    <row r="1123" spans="1:8" ht="21" x14ac:dyDescent="0.25">
      <c r="A1123" s="2" t="str">
        <f>HYPERLINK("https://rth.dk/resources/bsgatlas/details.php?id=BSGatlas-operon-588","BSGatlas-operon-588")</f>
        <v>BSGatlas-operon-588</v>
      </c>
      <c r="B1123" s="2" t="str">
        <f>HYPERLINK("https://rth.dk/resources/bsgatlas/details.php?id=BSGatlas-gene-1211","BSGatlas-gene-1211")</f>
        <v>BSGatlas-gene-1211</v>
      </c>
      <c r="C1123" s="1" t="s">
        <v>1127</v>
      </c>
      <c r="D1123" s="1" t="s">
        <v>12</v>
      </c>
      <c r="E1123" s="3">
        <v>1077246</v>
      </c>
      <c r="F1123" s="3">
        <v>1077313</v>
      </c>
      <c r="G1123" s="1" t="s">
        <v>13</v>
      </c>
      <c r="H1123" s="1" t="b">
        <f t="shared" si="41"/>
        <v>0</v>
      </c>
    </row>
    <row r="1124" spans="1:8" ht="21" x14ac:dyDescent="0.25">
      <c r="A1124" s="2" t="str">
        <f>HYPERLINK("https://rth.dk/resources/bsgatlas/details.php?id=BSGatlas-operon-589","BSGatlas-operon-589")</f>
        <v>BSGatlas-operon-589</v>
      </c>
      <c r="B1124" s="2" t="str">
        <f>HYPERLINK("https://rth.dk/resources/bsgatlas/details.php?id=BSGatlas-gene-1212","BSGatlas-gene-1212")</f>
        <v>BSGatlas-gene-1212</v>
      </c>
      <c r="C1124" s="1" t="s">
        <v>1128</v>
      </c>
      <c r="D1124" s="1" t="s">
        <v>8</v>
      </c>
      <c r="E1124" s="3">
        <v>1077440</v>
      </c>
      <c r="F1124" s="3">
        <v>1078183</v>
      </c>
      <c r="G1124" s="1" t="s">
        <v>9</v>
      </c>
      <c r="H1124" s="1" t="b">
        <f t="shared" si="41"/>
        <v>1</v>
      </c>
    </row>
    <row r="1125" spans="1:8" ht="21" x14ac:dyDescent="0.25">
      <c r="A1125" s="2" t="str">
        <f>HYPERLINK("https://rth.dk/resources/bsgatlas/details.php?id=BSGatlas-operon-589","BSGatlas-operon-589")</f>
        <v>BSGatlas-operon-589</v>
      </c>
      <c r="B1125" s="2" t="str">
        <f>HYPERLINK("https://rth.dk/resources/bsgatlas/details.php?id=BSGatlas-gene-1213","BSGatlas-gene-1213")</f>
        <v>BSGatlas-gene-1213</v>
      </c>
      <c r="C1125" s="1" t="s">
        <v>1129</v>
      </c>
      <c r="D1125" s="1" t="s">
        <v>8</v>
      </c>
      <c r="E1125" s="3">
        <v>1078176</v>
      </c>
      <c r="F1125" s="3">
        <v>1079402</v>
      </c>
      <c r="G1125" s="1" t="s">
        <v>9</v>
      </c>
      <c r="H1125" s="1" t="b">
        <f t="shared" si="41"/>
        <v>1</v>
      </c>
    </row>
    <row r="1126" spans="1:8" ht="21" x14ac:dyDescent="0.25">
      <c r="A1126" s="2" t="str">
        <f>HYPERLINK("https://rth.dk/resources/bsgatlas/details.php?id=BSGatlas-operon-589","BSGatlas-operon-589")</f>
        <v>BSGatlas-operon-589</v>
      </c>
      <c r="B1126" s="2" t="str">
        <f>HYPERLINK("https://rth.dk/resources/bsgatlas/details.php?id=BSGatlas-gene-1214","BSGatlas-gene-1214")</f>
        <v>BSGatlas-gene-1214</v>
      </c>
      <c r="C1126" s="1" t="s">
        <v>1130</v>
      </c>
      <c r="D1126" s="1" t="s">
        <v>8</v>
      </c>
      <c r="E1126" s="3">
        <v>1079422</v>
      </c>
      <c r="F1126" s="3">
        <v>1080132</v>
      </c>
      <c r="G1126" s="1" t="s">
        <v>9</v>
      </c>
      <c r="H1126" s="1" t="b">
        <f t="shared" si="41"/>
        <v>1</v>
      </c>
    </row>
    <row r="1127" spans="1:8" ht="21" x14ac:dyDescent="0.25">
      <c r="A1127" s="2" t="str">
        <f>HYPERLINK("https://rth.dk/resources/bsgatlas/details.php?id=BSGatlas-operon-590","BSGatlas-operon-590")</f>
        <v>BSGatlas-operon-590</v>
      </c>
      <c r="B1127" s="2" t="str">
        <f>HYPERLINK("https://rth.dk/resources/bsgatlas/details.php?id=BSGatlas-gene-1215","BSGatlas-gene-1215")</f>
        <v>BSGatlas-gene-1215</v>
      </c>
      <c r="C1127" s="1" t="s">
        <v>1131</v>
      </c>
      <c r="D1127" s="1" t="s">
        <v>8</v>
      </c>
      <c r="E1127" s="3">
        <v>1080150</v>
      </c>
      <c r="F1127" s="3">
        <v>1081340</v>
      </c>
      <c r="G1127" s="1" t="s">
        <v>13</v>
      </c>
      <c r="H1127" s="1" t="b">
        <f t="shared" si="41"/>
        <v>0</v>
      </c>
    </row>
    <row r="1128" spans="1:8" ht="21" x14ac:dyDescent="0.25">
      <c r="A1128" s="2" t="str">
        <f>HYPERLINK("https://rth.dk/resources/bsgatlas/details.php?id=BSGatlas-operon-590","BSGatlas-operon-590")</f>
        <v>BSGatlas-operon-590</v>
      </c>
      <c r="B1128" s="2" t="str">
        <f>HYPERLINK("https://rth.dk/resources/bsgatlas/details.php?id=BSGatlas-gene-1216","BSGatlas-gene-1216")</f>
        <v>BSGatlas-gene-1216</v>
      </c>
      <c r="C1128" s="1" t="s">
        <v>1132</v>
      </c>
      <c r="D1128" s="1" t="s">
        <v>8</v>
      </c>
      <c r="E1128" s="3">
        <v>1081413</v>
      </c>
      <c r="F1128" s="3">
        <v>1082804</v>
      </c>
      <c r="G1128" s="1" t="s">
        <v>13</v>
      </c>
      <c r="H1128" s="1" t="b">
        <f t="shared" si="41"/>
        <v>0</v>
      </c>
    </row>
    <row r="1129" spans="1:8" ht="21" x14ac:dyDescent="0.25">
      <c r="A1129" s="2" t="str">
        <f>HYPERLINK("https://rth.dk/resources/bsgatlas/details.php?id=BSGatlas-operon-591","BSGatlas-operon-591")</f>
        <v>BSGatlas-operon-591</v>
      </c>
      <c r="B1129" s="2" t="str">
        <f>HYPERLINK("https://rth.dk/resources/bsgatlas/details.php?id=BSGatlas-gene-1218","BSGatlas-gene-1218")</f>
        <v>BSGatlas-gene-1218</v>
      </c>
      <c r="C1129" s="1" t="s">
        <v>1133</v>
      </c>
      <c r="D1129" s="1" t="s">
        <v>8</v>
      </c>
      <c r="E1129" s="3">
        <v>1083229</v>
      </c>
      <c r="F1129" s="3">
        <v>1083729</v>
      </c>
      <c r="G1129" s="1" t="s">
        <v>13</v>
      </c>
      <c r="H1129" s="1" t="b">
        <f t="shared" si="41"/>
        <v>1</v>
      </c>
    </row>
    <row r="1130" spans="1:8" ht="21" x14ac:dyDescent="0.25">
      <c r="A1130" s="2" t="str">
        <f>HYPERLINK("https://rth.dk/resources/bsgatlas/details.php?id=BSGatlas-operon-592","BSGatlas-operon-592")</f>
        <v>BSGatlas-operon-592</v>
      </c>
      <c r="B1130" s="2" t="str">
        <f>HYPERLINK("https://rth.dk/resources/bsgatlas/details.php?id=BSGatlas-gene-1219","BSGatlas-gene-1219")</f>
        <v>BSGatlas-gene-1219</v>
      </c>
      <c r="C1130" s="1" t="s">
        <v>1134</v>
      </c>
      <c r="D1130" s="1" t="s">
        <v>8</v>
      </c>
      <c r="E1130" s="3">
        <v>1083851</v>
      </c>
      <c r="F1130" s="3">
        <v>1085995</v>
      </c>
      <c r="G1130" s="1" t="s">
        <v>9</v>
      </c>
      <c r="H1130" s="1" t="b">
        <f t="shared" si="41"/>
        <v>0</v>
      </c>
    </row>
    <row r="1131" spans="1:8" ht="21" x14ac:dyDescent="0.25">
      <c r="A1131" s="2" t="str">
        <f>HYPERLINK("https://rth.dk/resources/bsgatlas/details.php?id=BSGatlas-operon-593","BSGatlas-operon-593")</f>
        <v>BSGatlas-operon-593</v>
      </c>
      <c r="B1131" s="2" t="str">
        <f>HYPERLINK("https://rth.dk/resources/bsgatlas/details.php?id=BSGatlas-gene-1220","BSGatlas-gene-1220")</f>
        <v>BSGatlas-gene-1220</v>
      </c>
      <c r="C1131" s="1" t="s">
        <v>1135</v>
      </c>
      <c r="D1131" s="1" t="s">
        <v>8</v>
      </c>
      <c r="E1131" s="3">
        <v>1086117</v>
      </c>
      <c r="F1131" s="3">
        <v>1087178</v>
      </c>
      <c r="G1131" s="1" t="s">
        <v>9</v>
      </c>
      <c r="H1131" s="1" t="b">
        <f t="shared" si="41"/>
        <v>1</v>
      </c>
    </row>
    <row r="1132" spans="1:8" ht="21" x14ac:dyDescent="0.25">
      <c r="A1132" s="2" t="str">
        <f>HYPERLINK("https://rth.dk/resources/bsgatlas/details.php?id=BSGatlas-operon-593","BSGatlas-operon-593")</f>
        <v>BSGatlas-operon-593</v>
      </c>
      <c r="B1132" s="2" t="str">
        <f>HYPERLINK("https://rth.dk/resources/bsgatlas/details.php?id=BSGatlas-gene-1221","BSGatlas-gene-1221")</f>
        <v>BSGatlas-gene-1221</v>
      </c>
      <c r="C1132" s="1" t="s">
        <v>1136</v>
      </c>
      <c r="D1132" s="1" t="s">
        <v>8</v>
      </c>
      <c r="E1132" s="3">
        <v>1087250</v>
      </c>
      <c r="F1132" s="3">
        <v>1088182</v>
      </c>
      <c r="G1132" s="1" t="s">
        <v>9</v>
      </c>
      <c r="H1132" s="1" t="b">
        <f t="shared" si="41"/>
        <v>1</v>
      </c>
    </row>
    <row r="1133" spans="1:8" ht="21" x14ac:dyDescent="0.25">
      <c r="A1133" s="2" t="str">
        <f>HYPERLINK("https://rth.dk/resources/bsgatlas/details.php?id=BSGatlas-operon-593","BSGatlas-operon-593")</f>
        <v>BSGatlas-operon-593</v>
      </c>
      <c r="B1133" s="2" t="str">
        <f>HYPERLINK("https://rth.dk/resources/bsgatlas/details.php?id=BSGatlas-gene-1222","BSGatlas-gene-1222")</f>
        <v>BSGatlas-gene-1222</v>
      </c>
      <c r="C1133" s="1" t="s">
        <v>1137</v>
      </c>
      <c r="D1133" s="1" t="s">
        <v>8</v>
      </c>
      <c r="E1133" s="3">
        <v>1088197</v>
      </c>
      <c r="F1133" s="3">
        <v>1089609</v>
      </c>
      <c r="G1133" s="1" t="s">
        <v>9</v>
      </c>
      <c r="H1133" s="1" t="b">
        <f t="shared" si="41"/>
        <v>1</v>
      </c>
    </row>
    <row r="1134" spans="1:8" ht="21" x14ac:dyDescent="0.25">
      <c r="A1134" s="2" t="str">
        <f>HYPERLINK("https://rth.dk/resources/bsgatlas/details.php?id=BSGatlas-operon-594","BSGatlas-operon-594")</f>
        <v>BSGatlas-operon-594</v>
      </c>
      <c r="B1134" s="2" t="str">
        <f>HYPERLINK("https://rth.dk/resources/bsgatlas/details.php?id=BSGatlas-gene-1223","BSGatlas-gene-1223")</f>
        <v>BSGatlas-gene-1223</v>
      </c>
      <c r="C1134" s="1" t="s">
        <v>1138</v>
      </c>
      <c r="D1134" s="1" t="s">
        <v>8</v>
      </c>
      <c r="E1134" s="3">
        <v>1089755</v>
      </c>
      <c r="F1134" s="3">
        <v>1090330</v>
      </c>
      <c r="G1134" s="1" t="s">
        <v>9</v>
      </c>
      <c r="H1134" s="1" t="b">
        <f t="shared" si="41"/>
        <v>0</v>
      </c>
    </row>
    <row r="1135" spans="1:8" ht="21" x14ac:dyDescent="0.25">
      <c r="A1135" s="2" t="str">
        <f>HYPERLINK("https://rth.dk/resources/bsgatlas/details.php?id=BSGatlas-operon-594","BSGatlas-operon-594")</f>
        <v>BSGatlas-operon-594</v>
      </c>
      <c r="B1135" s="2" t="str">
        <f>HYPERLINK("https://rth.dk/resources/bsgatlas/details.php?id=BSGatlas-gene-1224","BSGatlas-gene-1224")</f>
        <v>BSGatlas-gene-1224</v>
      </c>
      <c r="C1135" s="1" t="s">
        <v>1139</v>
      </c>
      <c r="D1135" s="1" t="s">
        <v>8</v>
      </c>
      <c r="E1135" s="3">
        <v>1090401</v>
      </c>
      <c r="F1135" s="3">
        <v>1092728</v>
      </c>
      <c r="G1135" s="1" t="s">
        <v>9</v>
      </c>
      <c r="H1135" s="1" t="b">
        <f t="shared" si="41"/>
        <v>0</v>
      </c>
    </row>
    <row r="1136" spans="1:8" ht="21" x14ac:dyDescent="0.25">
      <c r="A1136" s="2" t="str">
        <f>HYPERLINK("https://rth.dk/resources/bsgatlas/details.php?id=BSGatlas-operon-595","BSGatlas-operon-595")</f>
        <v>BSGatlas-operon-595</v>
      </c>
      <c r="B1136" s="2" t="str">
        <f>HYPERLINK("https://rth.dk/resources/bsgatlas/details.php?id=BSGatlas-gene-1225","BSGatlas-gene-1225")</f>
        <v>BSGatlas-gene-1225</v>
      </c>
      <c r="C1136" s="1" t="s">
        <v>1140</v>
      </c>
      <c r="D1136" s="1" t="s">
        <v>8</v>
      </c>
      <c r="E1136" s="3">
        <v>1092770</v>
      </c>
      <c r="F1136" s="3">
        <v>1093747</v>
      </c>
      <c r="G1136" s="1" t="s">
        <v>13</v>
      </c>
      <c r="H1136" s="1" t="b">
        <f t="shared" si="41"/>
        <v>1</v>
      </c>
    </row>
    <row r="1137" spans="1:8" ht="21" x14ac:dyDescent="0.25">
      <c r="A1137" s="2" t="str">
        <f>HYPERLINK("https://rth.dk/resources/bsgatlas/details.php?id=BSGatlas-operon-596","BSGatlas-operon-596")</f>
        <v>BSGatlas-operon-596</v>
      </c>
      <c r="B1137" s="2" t="str">
        <f>HYPERLINK("https://rth.dk/resources/bsgatlas/details.php?id=BSGatlas-gene-1226","BSGatlas-gene-1226")</f>
        <v>BSGatlas-gene-1226</v>
      </c>
      <c r="C1137" s="1" t="s">
        <v>1141</v>
      </c>
      <c r="D1137" s="1" t="s">
        <v>8</v>
      </c>
      <c r="E1137" s="3">
        <v>1093874</v>
      </c>
      <c r="F1137" s="3">
        <v>1094650</v>
      </c>
      <c r="G1137" s="1" t="s">
        <v>9</v>
      </c>
      <c r="H1137" s="1" t="b">
        <f t="shared" si="41"/>
        <v>0</v>
      </c>
    </row>
    <row r="1138" spans="1:8" ht="21" x14ac:dyDescent="0.25">
      <c r="A1138" s="2" t="str">
        <f>HYPERLINK("https://rth.dk/resources/bsgatlas/details.php?id=BSGatlas-operon-597","BSGatlas-operon-597")</f>
        <v>BSGatlas-operon-597</v>
      </c>
      <c r="B1138" s="2" t="str">
        <f>HYPERLINK("https://rth.dk/resources/bsgatlas/details.php?id=BSGatlas-gene-1227","BSGatlas-gene-1227")</f>
        <v>BSGatlas-gene-1227</v>
      </c>
      <c r="C1138" s="1" t="s">
        <v>1142</v>
      </c>
      <c r="D1138" s="1" t="s">
        <v>12</v>
      </c>
      <c r="E1138" s="3">
        <v>1094366</v>
      </c>
      <c r="F1138" s="3">
        <v>1094987</v>
      </c>
      <c r="G1138" s="1" t="s">
        <v>13</v>
      </c>
      <c r="H1138" s="1" t="b">
        <f t="shared" si="41"/>
        <v>1</v>
      </c>
    </row>
    <row r="1139" spans="1:8" ht="21" x14ac:dyDescent="0.25">
      <c r="A1139" s="2" t="str">
        <f>HYPERLINK("https://rth.dk/resources/bsgatlas/details.php?id=BSGatlas-operon-598","BSGatlas-operon-598")</f>
        <v>BSGatlas-operon-598</v>
      </c>
      <c r="B1139" s="2" t="str">
        <f>HYPERLINK("https://rth.dk/resources/bsgatlas/details.php?id=BSGatlas-gene-1228","BSGatlas-gene-1228")</f>
        <v>BSGatlas-gene-1228</v>
      </c>
      <c r="C1139" s="1" t="s">
        <v>1143</v>
      </c>
      <c r="D1139" s="1" t="s">
        <v>8</v>
      </c>
      <c r="E1139" s="3">
        <v>1095063</v>
      </c>
      <c r="F1139" s="3">
        <v>1096103</v>
      </c>
      <c r="G1139" s="1" t="s">
        <v>9</v>
      </c>
      <c r="H1139" s="1" t="b">
        <f t="shared" si="41"/>
        <v>0</v>
      </c>
    </row>
    <row r="1140" spans="1:8" ht="21" x14ac:dyDescent="0.25">
      <c r="A1140" s="2" t="str">
        <f>HYPERLINK("https://rth.dk/resources/bsgatlas/details.php?id=BSGatlas-operon-598","BSGatlas-operon-598")</f>
        <v>BSGatlas-operon-598</v>
      </c>
      <c r="B1140" s="2" t="str">
        <f>HYPERLINK("https://rth.dk/resources/bsgatlas/details.php?id=BSGatlas-gene-1229","BSGatlas-gene-1229")</f>
        <v>BSGatlas-gene-1229</v>
      </c>
      <c r="C1140" s="1" t="s">
        <v>1144</v>
      </c>
      <c r="D1140" s="1" t="s">
        <v>8</v>
      </c>
      <c r="E1140" s="3">
        <v>1096116</v>
      </c>
      <c r="F1140" s="3">
        <v>1096523</v>
      </c>
      <c r="G1140" s="1" t="s">
        <v>9</v>
      </c>
      <c r="H1140" s="1" t="b">
        <f t="shared" si="41"/>
        <v>0</v>
      </c>
    </row>
    <row r="1141" spans="1:8" ht="21" x14ac:dyDescent="0.25">
      <c r="A1141" s="2" t="str">
        <f>HYPERLINK("https://rth.dk/resources/bsgatlas/details.php?id=BSGatlas-operon-599","BSGatlas-operon-599")</f>
        <v>BSGatlas-operon-599</v>
      </c>
      <c r="B1141" s="2" t="str">
        <f>HYPERLINK("https://rth.dk/resources/bsgatlas/details.php?id=BSGatlas-gene-1230","BSGatlas-gene-1230")</f>
        <v>BSGatlas-gene-1230</v>
      </c>
      <c r="C1141" s="1" t="s">
        <v>1145</v>
      </c>
      <c r="D1141" s="1" t="s">
        <v>8</v>
      </c>
      <c r="E1141" s="3">
        <v>1096560</v>
      </c>
      <c r="F1141" s="3">
        <v>1097849</v>
      </c>
      <c r="G1141" s="1" t="s">
        <v>13</v>
      </c>
      <c r="H1141" s="1" t="b">
        <f t="shared" si="41"/>
        <v>1</v>
      </c>
    </row>
    <row r="1142" spans="1:8" ht="21" x14ac:dyDescent="0.25">
      <c r="A1142" s="2" t="str">
        <f>HYPERLINK("https://rth.dk/resources/bsgatlas/details.php?id=BSGatlas-operon-600","BSGatlas-operon-600")</f>
        <v>BSGatlas-operon-600</v>
      </c>
      <c r="B1142" s="2" t="str">
        <f>HYPERLINK("https://rth.dk/resources/bsgatlas/details.php?id=BSGatlas-gene-1231","BSGatlas-gene-1231")</f>
        <v>BSGatlas-gene-1231</v>
      </c>
      <c r="C1142" s="1" t="s">
        <v>1146</v>
      </c>
      <c r="D1142" s="1" t="s">
        <v>8</v>
      </c>
      <c r="E1142" s="3">
        <v>1098120</v>
      </c>
      <c r="F1142" s="3">
        <v>1098260</v>
      </c>
      <c r="G1142" s="1" t="s">
        <v>13</v>
      </c>
      <c r="H1142" s="1" t="b">
        <f t="shared" si="41"/>
        <v>0</v>
      </c>
    </row>
    <row r="1143" spans="1:8" ht="21" x14ac:dyDescent="0.25">
      <c r="A1143" s="2" t="str">
        <f>HYPERLINK("https://rth.dk/resources/bsgatlas/details.php?id=BSGatlas-operon-601","BSGatlas-operon-601")</f>
        <v>BSGatlas-operon-601</v>
      </c>
      <c r="B1143" s="2" t="str">
        <f>HYPERLINK("https://rth.dk/resources/bsgatlas/details.php?id=BSGatlas-gene-1232","BSGatlas-gene-1232")</f>
        <v>BSGatlas-gene-1232</v>
      </c>
      <c r="C1143" s="1" t="s">
        <v>1147</v>
      </c>
      <c r="D1143" s="1" t="s">
        <v>8</v>
      </c>
      <c r="E1143" s="3">
        <v>1098412</v>
      </c>
      <c r="F1143" s="3">
        <v>1099146</v>
      </c>
      <c r="G1143" s="1" t="s">
        <v>9</v>
      </c>
      <c r="H1143" s="1" t="b">
        <f t="shared" si="41"/>
        <v>1</v>
      </c>
    </row>
    <row r="1144" spans="1:8" ht="21" x14ac:dyDescent="0.25">
      <c r="A1144" s="2" t="str">
        <f>HYPERLINK("https://rth.dk/resources/bsgatlas/details.php?id=BSGatlas-operon-601","BSGatlas-operon-601")</f>
        <v>BSGatlas-operon-601</v>
      </c>
      <c r="B1144" s="2" t="str">
        <f>HYPERLINK("https://rth.dk/resources/bsgatlas/details.php?id=BSGatlas-gene-1233","BSGatlas-gene-1233")</f>
        <v>BSGatlas-gene-1233</v>
      </c>
      <c r="C1144" s="1" t="s">
        <v>1148</v>
      </c>
      <c r="D1144" s="1" t="s">
        <v>8</v>
      </c>
      <c r="E1144" s="3">
        <v>1099159</v>
      </c>
      <c r="F1144" s="3">
        <v>1100154</v>
      </c>
      <c r="G1144" s="1" t="s">
        <v>9</v>
      </c>
      <c r="H1144" s="1" t="b">
        <f t="shared" si="41"/>
        <v>1</v>
      </c>
    </row>
    <row r="1145" spans="1:8" ht="21" x14ac:dyDescent="0.25">
      <c r="A1145" s="2" t="str">
        <f>HYPERLINK("https://rth.dk/resources/bsgatlas/details.php?id=BSGatlas-operon-601","BSGatlas-operon-601")</f>
        <v>BSGatlas-operon-601</v>
      </c>
      <c r="B1145" s="2" t="str">
        <f>HYPERLINK("https://rth.dk/resources/bsgatlas/details.php?id=BSGatlas-gene-1234","BSGatlas-gene-1234")</f>
        <v>BSGatlas-gene-1234</v>
      </c>
      <c r="C1145" s="1" t="s">
        <v>1149</v>
      </c>
      <c r="D1145" s="1" t="s">
        <v>8</v>
      </c>
      <c r="E1145" s="3">
        <v>1100219</v>
      </c>
      <c r="F1145" s="3">
        <v>1100863</v>
      </c>
      <c r="G1145" s="1" t="s">
        <v>9</v>
      </c>
      <c r="H1145" s="1" t="b">
        <f t="shared" si="41"/>
        <v>1</v>
      </c>
    </row>
    <row r="1146" spans="1:8" ht="21" x14ac:dyDescent="0.25">
      <c r="A1146" s="2" t="str">
        <f>HYPERLINK("https://rth.dk/resources/bsgatlas/details.php?id=BSGatlas-operon-602","BSGatlas-operon-602")</f>
        <v>BSGatlas-operon-602</v>
      </c>
      <c r="B1146" s="2" t="str">
        <f>HYPERLINK("https://rth.dk/resources/bsgatlas/details.php?id=BSGatlas-gene-1235","BSGatlas-gene-1235")</f>
        <v>BSGatlas-gene-1235</v>
      </c>
      <c r="C1146" s="1" t="s">
        <v>1150</v>
      </c>
      <c r="D1146" s="1" t="s">
        <v>8</v>
      </c>
      <c r="E1146" s="3">
        <v>1100980</v>
      </c>
      <c r="F1146" s="3">
        <v>1102521</v>
      </c>
      <c r="G1146" s="1" t="s">
        <v>9</v>
      </c>
      <c r="H1146" s="1" t="b">
        <f t="shared" si="41"/>
        <v>0</v>
      </c>
    </row>
    <row r="1147" spans="1:8" ht="21" x14ac:dyDescent="0.25">
      <c r="A1147" s="2" t="str">
        <f>HYPERLINK("https://rth.dk/resources/bsgatlas/details.php?id=BSGatlas-operon-603","BSGatlas-operon-603")</f>
        <v>BSGatlas-operon-603</v>
      </c>
      <c r="B1147" s="2" t="str">
        <f>HYPERLINK("https://rth.dk/resources/bsgatlas/details.php?id=BSGatlas-gene-1236","BSGatlas-gene-1236")</f>
        <v>BSGatlas-gene-1236</v>
      </c>
      <c r="C1147" s="1" t="s">
        <v>1151</v>
      </c>
      <c r="D1147" s="1" t="s">
        <v>8</v>
      </c>
      <c r="E1147" s="3">
        <v>1102560</v>
      </c>
      <c r="F1147" s="3">
        <v>1102955</v>
      </c>
      <c r="G1147" s="1" t="s">
        <v>13</v>
      </c>
      <c r="H1147" s="1" t="b">
        <f t="shared" si="41"/>
        <v>1</v>
      </c>
    </row>
    <row r="1148" spans="1:8" ht="21" x14ac:dyDescent="0.25">
      <c r="A1148" s="2" t="str">
        <f>HYPERLINK("https://rth.dk/resources/bsgatlas/details.php?id=BSGatlas-operon-604","BSGatlas-operon-604")</f>
        <v>BSGatlas-operon-604</v>
      </c>
      <c r="B1148" s="2" t="str">
        <f>HYPERLINK("https://rth.dk/resources/bsgatlas/details.php?id=BSGatlas-gene-1237","BSGatlas-gene-1237")</f>
        <v>BSGatlas-gene-1237</v>
      </c>
      <c r="C1148" s="1" t="s">
        <v>1152</v>
      </c>
      <c r="D1148" s="1" t="s">
        <v>8</v>
      </c>
      <c r="E1148" s="3">
        <v>1103104</v>
      </c>
      <c r="F1148" s="3">
        <v>1104384</v>
      </c>
      <c r="G1148" s="1" t="s">
        <v>9</v>
      </c>
      <c r="H1148" s="1" t="b">
        <f t="shared" si="41"/>
        <v>0</v>
      </c>
    </row>
    <row r="1149" spans="1:8" ht="21" x14ac:dyDescent="0.25">
      <c r="A1149" s="2" t="str">
        <f>HYPERLINK("https://rth.dk/resources/bsgatlas/details.php?id=BSGatlas-operon-605","BSGatlas-operon-605")</f>
        <v>BSGatlas-operon-605</v>
      </c>
      <c r="B1149" s="2" t="str">
        <f>HYPERLINK("https://rth.dk/resources/bsgatlas/details.php?id=BSGatlas-gene-1238","BSGatlas-gene-1238")</f>
        <v>BSGatlas-gene-1238</v>
      </c>
      <c r="C1149" s="1" t="s">
        <v>1153</v>
      </c>
      <c r="D1149" s="1" t="s">
        <v>8</v>
      </c>
      <c r="E1149" s="3">
        <v>1104423</v>
      </c>
      <c r="F1149" s="3">
        <v>1105568</v>
      </c>
      <c r="G1149" s="1" t="s">
        <v>13</v>
      </c>
      <c r="H1149" s="1" t="b">
        <f t="shared" si="41"/>
        <v>1</v>
      </c>
    </row>
    <row r="1150" spans="1:8" ht="21" x14ac:dyDescent="0.25">
      <c r="A1150" s="2" t="str">
        <f>HYPERLINK("https://rth.dk/resources/bsgatlas/details.php?id=BSGatlas-operon-606","BSGatlas-operon-606")</f>
        <v>BSGatlas-operon-606</v>
      </c>
      <c r="B1150" s="2" t="str">
        <f>HYPERLINK("https://rth.dk/resources/bsgatlas/details.php?id=BSGatlas-gene-1239","BSGatlas-gene-1239")</f>
        <v>BSGatlas-gene-1239</v>
      </c>
      <c r="C1150" s="1" t="s">
        <v>1154</v>
      </c>
      <c r="D1150" s="1" t="s">
        <v>8</v>
      </c>
      <c r="E1150" s="3">
        <v>1106003</v>
      </c>
      <c r="F1150" s="3">
        <v>1106452</v>
      </c>
      <c r="G1150" s="1" t="s">
        <v>9</v>
      </c>
      <c r="H1150" s="1" t="b">
        <f t="shared" si="41"/>
        <v>0</v>
      </c>
    </row>
    <row r="1151" spans="1:8" ht="21" x14ac:dyDescent="0.25">
      <c r="A1151" s="2" t="str">
        <f>HYPERLINK("https://rth.dk/resources/bsgatlas/details.php?id=BSGatlas-operon-606","BSGatlas-operon-606")</f>
        <v>BSGatlas-operon-606</v>
      </c>
      <c r="B1151" s="2" t="str">
        <f>HYPERLINK("https://rth.dk/resources/bsgatlas/details.php?id=BSGatlas-gene-1240","BSGatlas-gene-1240")</f>
        <v>BSGatlas-gene-1240</v>
      </c>
      <c r="C1151" s="1" t="s">
        <v>1155</v>
      </c>
      <c r="D1151" s="1" t="s">
        <v>8</v>
      </c>
      <c r="E1151" s="3">
        <v>1106524</v>
      </c>
      <c r="F1151" s="3">
        <v>1107516</v>
      </c>
      <c r="G1151" s="1" t="s">
        <v>9</v>
      </c>
      <c r="H1151" s="1" t="b">
        <f t="shared" si="41"/>
        <v>0</v>
      </c>
    </row>
    <row r="1152" spans="1:8" ht="21" x14ac:dyDescent="0.25">
      <c r="A1152" s="2" t="str">
        <f>HYPERLINK("https://rth.dk/resources/bsgatlas/details.php?id=BSGatlas-operon-606","BSGatlas-operon-606")</f>
        <v>BSGatlas-operon-606</v>
      </c>
      <c r="B1152" s="2" t="str">
        <f>HYPERLINK("https://rth.dk/resources/bsgatlas/details.php?id=BSGatlas-gene-1241","BSGatlas-gene-1241")</f>
        <v>BSGatlas-gene-1241</v>
      </c>
      <c r="C1152" s="1" t="s">
        <v>1156</v>
      </c>
      <c r="D1152" s="1" t="s">
        <v>8</v>
      </c>
      <c r="E1152" s="3">
        <v>1107733</v>
      </c>
      <c r="F1152" s="3">
        <v>1108704</v>
      </c>
      <c r="G1152" s="1" t="s">
        <v>9</v>
      </c>
      <c r="H1152" s="1" t="b">
        <f t="shared" si="41"/>
        <v>0</v>
      </c>
    </row>
    <row r="1153" spans="1:8" ht="21" x14ac:dyDescent="0.25">
      <c r="A1153" s="2" t="str">
        <f>HYPERLINK("https://rth.dk/resources/bsgatlas/details.php?id=BSGatlas-operon-607","BSGatlas-operon-607")</f>
        <v>BSGatlas-operon-607</v>
      </c>
      <c r="B1153" s="2" t="str">
        <f>HYPERLINK("https://rth.dk/resources/bsgatlas/details.php?id=BSGatlas-gene-1242","BSGatlas-gene-1242")</f>
        <v>BSGatlas-gene-1242</v>
      </c>
      <c r="C1153" s="1" t="s">
        <v>1157</v>
      </c>
      <c r="D1153" s="1" t="s">
        <v>8</v>
      </c>
      <c r="E1153" s="3">
        <v>1108736</v>
      </c>
      <c r="F1153" s="3">
        <v>1109317</v>
      </c>
      <c r="G1153" s="1" t="s">
        <v>13</v>
      </c>
      <c r="H1153" s="1" t="b">
        <f t="shared" si="41"/>
        <v>1</v>
      </c>
    </row>
    <row r="1154" spans="1:8" ht="21" x14ac:dyDescent="0.25">
      <c r="A1154" s="2" t="str">
        <f>HYPERLINK("https://rth.dk/resources/bsgatlas/details.php?id=BSGatlas-operon-607","BSGatlas-operon-607")</f>
        <v>BSGatlas-operon-607</v>
      </c>
      <c r="B1154" s="2" t="str">
        <f>HYPERLINK("https://rth.dk/resources/bsgatlas/details.php?id=BSGatlas-gene-1243","BSGatlas-gene-1243")</f>
        <v>BSGatlas-gene-1243</v>
      </c>
      <c r="C1154" s="1" t="s">
        <v>1158</v>
      </c>
      <c r="D1154" s="1" t="s">
        <v>8</v>
      </c>
      <c r="E1154" s="3">
        <v>1109388</v>
      </c>
      <c r="F1154" s="3">
        <v>1110482</v>
      </c>
      <c r="G1154" s="1" t="s">
        <v>13</v>
      </c>
      <c r="H1154" s="1" t="b">
        <f t="shared" ref="H1154:H1217" si="42">_xlfn.XOR(A1153&lt;&gt;A1154,H1153)</f>
        <v>1</v>
      </c>
    </row>
    <row r="1155" spans="1:8" ht="21" x14ac:dyDescent="0.25">
      <c r="A1155" s="2" t="str">
        <f>HYPERLINK("https://rth.dk/resources/bsgatlas/details.php?id=BSGatlas-operon-607","BSGatlas-operon-607")</f>
        <v>BSGatlas-operon-607</v>
      </c>
      <c r="B1155" s="2" t="str">
        <f>HYPERLINK("https://rth.dk/resources/bsgatlas/details.php?id=BSGatlas-gene-1244","BSGatlas-gene-1244")</f>
        <v>BSGatlas-gene-1244</v>
      </c>
      <c r="C1155" s="1" t="s">
        <v>1159</v>
      </c>
      <c r="D1155" s="1" t="s">
        <v>8</v>
      </c>
      <c r="E1155" s="3">
        <v>1110479</v>
      </c>
      <c r="F1155" s="3">
        <v>1111918</v>
      </c>
      <c r="G1155" s="1" t="s">
        <v>13</v>
      </c>
      <c r="H1155" s="1" t="b">
        <f t="shared" si="42"/>
        <v>1</v>
      </c>
    </row>
    <row r="1156" spans="1:8" ht="21" x14ac:dyDescent="0.25">
      <c r="A1156" s="2" t="str">
        <f>HYPERLINK("https://rth.dk/resources/bsgatlas/details.php?id=BSGatlas-operon-607","BSGatlas-operon-607")</f>
        <v>BSGatlas-operon-607</v>
      </c>
      <c r="B1156" s="2" t="str">
        <f>HYPERLINK("https://rth.dk/resources/bsgatlas/details.php?id=BSGatlas-gene-1245","BSGatlas-gene-1245")</f>
        <v>BSGatlas-gene-1245</v>
      </c>
      <c r="C1156" s="1" t="s">
        <v>1160</v>
      </c>
      <c r="D1156" s="1" t="s">
        <v>8</v>
      </c>
      <c r="E1156" s="3">
        <v>1111925</v>
      </c>
      <c r="F1156" s="3">
        <v>1112485</v>
      </c>
      <c r="G1156" s="1" t="s">
        <v>13</v>
      </c>
      <c r="H1156" s="1" t="b">
        <f t="shared" si="42"/>
        <v>1</v>
      </c>
    </row>
    <row r="1157" spans="1:8" ht="21" x14ac:dyDescent="0.25">
      <c r="A1157" s="2" t="str">
        <f>HYPERLINK("https://rth.dk/resources/bsgatlas/details.php?id=BSGatlas-operon-608","BSGatlas-operon-608")</f>
        <v>BSGatlas-operon-608</v>
      </c>
      <c r="B1157" s="2" t="str">
        <f>HYPERLINK("https://rth.dk/resources/bsgatlas/details.php?id=BSGatlas-gene-1246","BSGatlas-gene-1246")</f>
        <v>BSGatlas-gene-1246</v>
      </c>
      <c r="C1157" s="1" t="s">
        <v>1161</v>
      </c>
      <c r="D1157" s="1" t="s">
        <v>8</v>
      </c>
      <c r="E1157" s="3">
        <v>1112620</v>
      </c>
      <c r="F1157" s="3">
        <v>1113918</v>
      </c>
      <c r="G1157" s="1" t="s">
        <v>13</v>
      </c>
      <c r="H1157" s="1" t="b">
        <f t="shared" si="42"/>
        <v>0</v>
      </c>
    </row>
    <row r="1158" spans="1:8" ht="21" x14ac:dyDescent="0.25">
      <c r="A1158" s="2" t="str">
        <f>HYPERLINK("https://rth.dk/resources/bsgatlas/details.php?id=BSGatlas-operon-609","BSGatlas-operon-609")</f>
        <v>BSGatlas-operon-609</v>
      </c>
      <c r="B1158" s="2" t="str">
        <f>HYPERLINK("https://rth.dk/resources/bsgatlas/details.php?id=BSGatlas-gene-1247","BSGatlas-gene-1247")</f>
        <v>BSGatlas-gene-1247</v>
      </c>
      <c r="C1158" s="1" t="s">
        <v>1162</v>
      </c>
      <c r="D1158" s="1" t="s">
        <v>8</v>
      </c>
      <c r="E1158" s="3">
        <v>1114057</v>
      </c>
      <c r="F1158" s="3">
        <v>1115586</v>
      </c>
      <c r="G1158" s="1" t="s">
        <v>13</v>
      </c>
      <c r="H1158" s="1" t="b">
        <f t="shared" si="42"/>
        <v>1</v>
      </c>
    </row>
    <row r="1159" spans="1:8" ht="21" x14ac:dyDescent="0.25">
      <c r="A1159" s="2" t="str">
        <f>HYPERLINK("https://rth.dk/resources/bsgatlas/details.php?id=BSGatlas-operon-610","BSGatlas-operon-610")</f>
        <v>BSGatlas-operon-610</v>
      </c>
      <c r="B1159" s="2" t="str">
        <f>HYPERLINK("https://rth.dk/resources/bsgatlas/details.php?id=BSGatlas-gene-1248","BSGatlas-gene-1248")</f>
        <v>BSGatlas-gene-1248</v>
      </c>
      <c r="C1159" s="1" t="s">
        <v>1163</v>
      </c>
      <c r="D1159" s="1" t="s">
        <v>8</v>
      </c>
      <c r="E1159" s="3">
        <v>1115698</v>
      </c>
      <c r="F1159" s="3">
        <v>1116555</v>
      </c>
      <c r="G1159" s="1" t="s">
        <v>9</v>
      </c>
      <c r="H1159" s="1" t="b">
        <f t="shared" si="42"/>
        <v>0</v>
      </c>
    </row>
    <row r="1160" spans="1:8" ht="21" x14ac:dyDescent="0.25">
      <c r="A1160" s="2" t="str">
        <f>HYPERLINK("https://rth.dk/resources/bsgatlas/details.php?id=BSGatlas-operon-611","BSGatlas-operon-611")</f>
        <v>BSGatlas-operon-611</v>
      </c>
      <c r="B1160" s="2" t="str">
        <f>HYPERLINK("https://rth.dk/resources/bsgatlas/details.php?id=BSGatlas-gene-1249","BSGatlas-gene-1249")</f>
        <v>BSGatlas-gene-1249</v>
      </c>
      <c r="C1160" s="1" t="s">
        <v>1164</v>
      </c>
      <c r="D1160" s="1" t="s">
        <v>8</v>
      </c>
      <c r="E1160" s="3">
        <v>1116583</v>
      </c>
      <c r="F1160" s="3">
        <v>1116816</v>
      </c>
      <c r="G1160" s="1" t="s">
        <v>13</v>
      </c>
      <c r="H1160" s="1" t="b">
        <f t="shared" si="42"/>
        <v>1</v>
      </c>
    </row>
    <row r="1161" spans="1:8" ht="21" x14ac:dyDescent="0.25">
      <c r="A1161" s="2" t="str">
        <f>HYPERLINK("https://rth.dk/resources/bsgatlas/details.php?id=BSGatlas-operon-612","BSGatlas-operon-612")</f>
        <v>BSGatlas-operon-612</v>
      </c>
      <c r="B1161" s="2" t="str">
        <f>HYPERLINK("https://rth.dk/resources/bsgatlas/details.php?id=BSGatlas-gene-1250","BSGatlas-gene-1250")</f>
        <v>BSGatlas-gene-1250</v>
      </c>
      <c r="C1161" s="1" t="s">
        <v>1165</v>
      </c>
      <c r="D1161" s="1" t="s">
        <v>8</v>
      </c>
      <c r="E1161" s="3">
        <v>1117109</v>
      </c>
      <c r="F1161" s="3">
        <v>1117687</v>
      </c>
      <c r="G1161" s="1" t="s">
        <v>9</v>
      </c>
      <c r="H1161" s="1" t="b">
        <f t="shared" si="42"/>
        <v>0</v>
      </c>
    </row>
    <row r="1162" spans="1:8" ht="21" x14ac:dyDescent="0.25">
      <c r="A1162" s="2" t="str">
        <f>HYPERLINK("https://rth.dk/resources/bsgatlas/details.php?id=BSGatlas-operon-613","BSGatlas-operon-613")</f>
        <v>BSGatlas-operon-613</v>
      </c>
      <c r="B1162" s="2" t="str">
        <f>HYPERLINK("https://rth.dk/resources/bsgatlas/details.php?id=BSGatlas-gene-1251","BSGatlas-gene-1251")</f>
        <v>BSGatlas-gene-1251</v>
      </c>
      <c r="C1162" s="1" t="s">
        <v>1166</v>
      </c>
      <c r="D1162" s="1" t="s">
        <v>8</v>
      </c>
      <c r="E1162" s="3">
        <v>1117734</v>
      </c>
      <c r="F1162" s="3">
        <v>1118633</v>
      </c>
      <c r="G1162" s="1" t="s">
        <v>13</v>
      </c>
      <c r="H1162" s="1" t="b">
        <f t="shared" si="42"/>
        <v>1</v>
      </c>
    </row>
    <row r="1163" spans="1:8" ht="21" x14ac:dyDescent="0.25">
      <c r="A1163" s="2" t="str">
        <f>HYPERLINK("https://rth.dk/resources/bsgatlas/details.php?id=BSGatlas-operon-614","BSGatlas-operon-614")</f>
        <v>BSGatlas-operon-614</v>
      </c>
      <c r="B1163" s="2" t="str">
        <f>HYPERLINK("https://rth.dk/resources/bsgatlas/details.php?id=BSGatlas-gene-1252","BSGatlas-gene-1252")</f>
        <v>BSGatlas-gene-1252</v>
      </c>
      <c r="C1163" s="1" t="s">
        <v>1167</v>
      </c>
      <c r="D1163" s="1" t="s">
        <v>12</v>
      </c>
      <c r="E1163" s="3">
        <v>1117844</v>
      </c>
      <c r="F1163" s="3">
        <v>1117930</v>
      </c>
      <c r="G1163" s="1" t="s">
        <v>9</v>
      </c>
      <c r="H1163" s="1" t="b">
        <f t="shared" si="42"/>
        <v>0</v>
      </c>
    </row>
    <row r="1164" spans="1:8" ht="21" x14ac:dyDescent="0.25">
      <c r="A1164" s="2" t="str">
        <f>HYPERLINK("https://rth.dk/resources/bsgatlas/details.php?id=BSGatlas-operon-615","BSGatlas-operon-615")</f>
        <v>BSGatlas-operon-615</v>
      </c>
      <c r="B1164" s="2" t="str">
        <f>HYPERLINK("https://rth.dk/resources/bsgatlas/details.php?id=BSGatlas-gene-1253","BSGatlas-gene-1253")</f>
        <v>BSGatlas-gene-1253</v>
      </c>
      <c r="C1164" s="1" t="s">
        <v>1168</v>
      </c>
      <c r="D1164" s="1" t="s">
        <v>8</v>
      </c>
      <c r="E1164" s="3">
        <v>1118850</v>
      </c>
      <c r="F1164" s="3">
        <v>1119119</v>
      </c>
      <c r="G1164" s="1" t="s">
        <v>9</v>
      </c>
      <c r="H1164" s="1" t="b">
        <f t="shared" si="42"/>
        <v>1</v>
      </c>
    </row>
    <row r="1165" spans="1:8" ht="21" x14ac:dyDescent="0.25">
      <c r="A1165" s="2" t="str">
        <f>HYPERLINK("https://rth.dk/resources/bsgatlas/details.php?id=BSGatlas-operon-616","BSGatlas-operon-616")</f>
        <v>BSGatlas-operon-616</v>
      </c>
      <c r="B1165" s="2" t="str">
        <f>HYPERLINK("https://rth.dk/resources/bsgatlas/details.php?id=BSGatlas-gene-1254","BSGatlas-gene-1254")</f>
        <v>BSGatlas-gene-1254</v>
      </c>
      <c r="C1165" s="1" t="s">
        <v>1169</v>
      </c>
      <c r="D1165" s="1" t="s">
        <v>8</v>
      </c>
      <c r="E1165" s="3">
        <v>1119162</v>
      </c>
      <c r="F1165" s="3">
        <v>1120631</v>
      </c>
      <c r="G1165" s="1" t="s">
        <v>13</v>
      </c>
      <c r="H1165" s="1" t="b">
        <f t="shared" si="42"/>
        <v>0</v>
      </c>
    </row>
    <row r="1166" spans="1:8" ht="21" x14ac:dyDescent="0.25">
      <c r="A1166" s="2" t="str">
        <f>HYPERLINK("https://rth.dk/resources/bsgatlas/details.php?id=BSGatlas-operon-616","BSGatlas-operon-616")</f>
        <v>BSGatlas-operon-616</v>
      </c>
      <c r="B1166" s="2" t="str">
        <f>HYPERLINK("https://rth.dk/resources/bsgatlas/details.php?id=BSGatlas-gene-1255","BSGatlas-gene-1255")</f>
        <v>BSGatlas-gene-1255</v>
      </c>
      <c r="C1166" s="1" t="s">
        <v>1170</v>
      </c>
      <c r="D1166" s="1" t="s">
        <v>8</v>
      </c>
      <c r="E1166" s="3">
        <v>1120628</v>
      </c>
      <c r="F1166" s="3">
        <v>1120828</v>
      </c>
      <c r="G1166" s="1" t="s">
        <v>13</v>
      </c>
      <c r="H1166" s="1" t="b">
        <f t="shared" si="42"/>
        <v>0</v>
      </c>
    </row>
    <row r="1167" spans="1:8" ht="21" x14ac:dyDescent="0.25">
      <c r="A1167" s="2" t="str">
        <f>HYPERLINK("https://rth.dk/resources/bsgatlas/details.php?id=BSGatlas-operon-617","BSGatlas-operon-617")</f>
        <v>BSGatlas-operon-617</v>
      </c>
      <c r="B1167" s="2" t="str">
        <f>HYPERLINK("https://rth.dk/resources/bsgatlas/details.php?id=BSGatlas-gene-1256","BSGatlas-gene-1256")</f>
        <v>BSGatlas-gene-1256</v>
      </c>
      <c r="C1167" s="1" t="s">
        <v>1171</v>
      </c>
      <c r="D1167" s="1" t="s">
        <v>8</v>
      </c>
      <c r="E1167" s="3">
        <v>1121036</v>
      </c>
      <c r="F1167" s="3">
        <v>1121398</v>
      </c>
      <c r="G1167" s="1" t="s">
        <v>13</v>
      </c>
      <c r="H1167" s="1" t="b">
        <f t="shared" si="42"/>
        <v>1</v>
      </c>
    </row>
    <row r="1168" spans="1:8" ht="21" x14ac:dyDescent="0.25">
      <c r="A1168" s="2" t="str">
        <f>HYPERLINK("https://rth.dk/resources/bsgatlas/details.php?id=BSGatlas-operon-618","BSGatlas-operon-618")</f>
        <v>BSGatlas-operon-618</v>
      </c>
      <c r="B1168" s="2" t="str">
        <f>HYPERLINK("https://rth.dk/resources/bsgatlas/details.php?id=BSGatlas-gene-1257","BSGatlas-gene-1257")</f>
        <v>BSGatlas-gene-1257</v>
      </c>
      <c r="C1168" s="1" t="s">
        <v>1172</v>
      </c>
      <c r="D1168" s="1" t="s">
        <v>8</v>
      </c>
      <c r="E1168" s="3">
        <v>1121550</v>
      </c>
      <c r="F1168" s="3">
        <v>1122173</v>
      </c>
      <c r="G1168" s="1" t="s">
        <v>9</v>
      </c>
      <c r="H1168" s="1" t="b">
        <f t="shared" si="42"/>
        <v>0</v>
      </c>
    </row>
    <row r="1169" spans="1:8" ht="21" x14ac:dyDescent="0.25">
      <c r="A1169" s="2" t="str">
        <f>HYPERLINK("https://rth.dk/resources/bsgatlas/details.php?id=BSGatlas-operon-618","BSGatlas-operon-618")</f>
        <v>BSGatlas-operon-618</v>
      </c>
      <c r="B1169" s="2" t="str">
        <f>HYPERLINK("https://rth.dk/resources/bsgatlas/details.php?id=BSGatlas-gene-1258","BSGatlas-gene-1258")</f>
        <v>BSGatlas-gene-1258</v>
      </c>
      <c r="C1169" s="1" t="s">
        <v>1173</v>
      </c>
      <c r="D1169" s="1" t="s">
        <v>8</v>
      </c>
      <c r="E1169" s="3">
        <v>1122175</v>
      </c>
      <c r="F1169" s="3">
        <v>1122681</v>
      </c>
      <c r="G1169" s="1" t="s">
        <v>9</v>
      </c>
      <c r="H1169" s="1" t="b">
        <f t="shared" si="42"/>
        <v>0</v>
      </c>
    </row>
    <row r="1170" spans="1:8" ht="21" x14ac:dyDescent="0.25">
      <c r="A1170" s="2" t="str">
        <f>HYPERLINK("https://rth.dk/resources/bsgatlas/details.php?id=BSGatlas-operon-619","BSGatlas-operon-619")</f>
        <v>BSGatlas-operon-619</v>
      </c>
      <c r="B1170" s="2" t="str">
        <f>HYPERLINK("https://rth.dk/resources/bsgatlas/details.php?id=BSGatlas-gene-1259","BSGatlas-gene-1259")</f>
        <v>BSGatlas-gene-1259</v>
      </c>
      <c r="C1170" s="1" t="s">
        <v>1174</v>
      </c>
      <c r="D1170" s="1" t="s">
        <v>8</v>
      </c>
      <c r="E1170" s="3">
        <v>1122862</v>
      </c>
      <c r="F1170" s="3">
        <v>1124361</v>
      </c>
      <c r="G1170" s="1" t="s">
        <v>9</v>
      </c>
      <c r="H1170" s="1" t="b">
        <f t="shared" si="42"/>
        <v>1</v>
      </c>
    </row>
    <row r="1171" spans="1:8" ht="21" x14ac:dyDescent="0.25">
      <c r="A1171" s="2" t="str">
        <f>HYPERLINK("https://rth.dk/resources/bsgatlas/details.php?id=BSGatlas-operon-619","BSGatlas-operon-619")</f>
        <v>BSGatlas-operon-619</v>
      </c>
      <c r="B1171" s="2" t="str">
        <f>HYPERLINK("https://rth.dk/resources/bsgatlas/details.php?id=BSGatlas-gene-1260","BSGatlas-gene-1260")</f>
        <v>BSGatlas-gene-1260</v>
      </c>
      <c r="C1171" s="1" t="s">
        <v>1175</v>
      </c>
      <c r="D1171" s="1" t="s">
        <v>8</v>
      </c>
      <c r="E1171" s="3">
        <v>1124438</v>
      </c>
      <c r="F1171" s="3">
        <v>1124965</v>
      </c>
      <c r="G1171" s="1" t="s">
        <v>9</v>
      </c>
      <c r="H1171" s="1" t="b">
        <f t="shared" si="42"/>
        <v>1</v>
      </c>
    </row>
    <row r="1172" spans="1:8" ht="21" x14ac:dyDescent="0.25">
      <c r="A1172" s="2" t="str">
        <f>HYPERLINK("https://rth.dk/resources/bsgatlas/details.php?id=BSGatlas-operon-620","BSGatlas-operon-620")</f>
        <v>BSGatlas-operon-620</v>
      </c>
      <c r="B1172" s="2" t="str">
        <f>HYPERLINK("https://rth.dk/resources/bsgatlas/details.php?id=BSGatlas-gene-1261","BSGatlas-gene-1261")</f>
        <v>BSGatlas-gene-1261</v>
      </c>
      <c r="C1172" s="1" t="s">
        <v>1176</v>
      </c>
      <c r="D1172" s="1" t="s">
        <v>8</v>
      </c>
      <c r="E1172" s="3">
        <v>1125123</v>
      </c>
      <c r="F1172" s="3">
        <v>1126328</v>
      </c>
      <c r="G1172" s="1" t="s">
        <v>13</v>
      </c>
      <c r="H1172" s="1" t="b">
        <f t="shared" si="42"/>
        <v>0</v>
      </c>
    </row>
    <row r="1173" spans="1:8" ht="21" x14ac:dyDescent="0.25">
      <c r="A1173" s="2" t="str">
        <f>HYPERLINK("https://rth.dk/resources/bsgatlas/details.php?id=BSGatlas-operon-620","BSGatlas-operon-620")</f>
        <v>BSGatlas-operon-620</v>
      </c>
      <c r="B1173" s="2" t="str">
        <f>HYPERLINK("https://rth.dk/resources/bsgatlas/details.php?id=BSGatlas-gene-1263","BSGatlas-gene-1263")</f>
        <v>BSGatlas-gene-1263</v>
      </c>
      <c r="C1173" s="1" t="s">
        <v>1177</v>
      </c>
      <c r="D1173" s="1" t="s">
        <v>8</v>
      </c>
      <c r="E1173" s="3">
        <v>1126400</v>
      </c>
      <c r="F1173" s="3">
        <v>1127452</v>
      </c>
      <c r="G1173" s="1" t="s">
        <v>13</v>
      </c>
      <c r="H1173" s="1" t="b">
        <f t="shared" si="42"/>
        <v>0</v>
      </c>
    </row>
    <row r="1174" spans="1:8" ht="21" x14ac:dyDescent="0.25">
      <c r="A1174" s="2" t="str">
        <f>HYPERLINK("https://rth.dk/resources/bsgatlas/details.php?id=BSGatlas-operon-620","BSGatlas-operon-620")</f>
        <v>BSGatlas-operon-620</v>
      </c>
      <c r="B1174" s="2" t="str">
        <f>HYPERLINK("https://rth.dk/resources/bsgatlas/details.php?id=BSGatlas-gene-1264","BSGatlas-gene-1264")</f>
        <v>BSGatlas-gene-1264</v>
      </c>
      <c r="C1174" s="1" t="s">
        <v>1178</v>
      </c>
      <c r="D1174" s="1" t="s">
        <v>8</v>
      </c>
      <c r="E1174" s="3">
        <v>1127466</v>
      </c>
      <c r="F1174" s="3">
        <v>1128314</v>
      </c>
      <c r="G1174" s="1" t="s">
        <v>13</v>
      </c>
      <c r="H1174" s="1" t="b">
        <f t="shared" si="42"/>
        <v>0</v>
      </c>
    </row>
    <row r="1175" spans="1:8" ht="21" x14ac:dyDescent="0.25">
      <c r="A1175" s="2" t="str">
        <f>HYPERLINK("https://rth.dk/resources/bsgatlas/details.php?id=BSGatlas-operon-620","BSGatlas-operon-620")</f>
        <v>BSGatlas-operon-620</v>
      </c>
      <c r="B1175" s="2" t="str">
        <f>HYPERLINK("https://rth.dk/resources/bsgatlas/details.php?id=BSGatlas-gene-1265","BSGatlas-gene-1265")</f>
        <v>BSGatlas-gene-1265</v>
      </c>
      <c r="C1175" s="1" t="s">
        <v>1179</v>
      </c>
      <c r="D1175" s="1" t="s">
        <v>8</v>
      </c>
      <c r="E1175" s="3">
        <v>1128286</v>
      </c>
      <c r="F1175" s="3">
        <v>1129611</v>
      </c>
      <c r="G1175" s="1" t="s">
        <v>13</v>
      </c>
      <c r="H1175" s="1" t="b">
        <f t="shared" si="42"/>
        <v>0</v>
      </c>
    </row>
    <row r="1176" spans="1:8" ht="21" x14ac:dyDescent="0.25">
      <c r="A1176" s="2" t="str">
        <f>HYPERLINK("https://rth.dk/resources/bsgatlas/details.php?id=BSGatlas-operon-621","BSGatlas-operon-621")</f>
        <v>BSGatlas-operon-621</v>
      </c>
      <c r="B1176" s="2" t="str">
        <f>HYPERLINK("https://rth.dk/resources/bsgatlas/details.php?id=BSGatlas-gene-1262","BSGatlas-gene-1262")</f>
        <v>BSGatlas-gene-1262</v>
      </c>
      <c r="C1176" s="1" t="s">
        <v>1180</v>
      </c>
      <c r="D1176" s="1" t="s">
        <v>12</v>
      </c>
      <c r="E1176" s="3">
        <v>1125843</v>
      </c>
      <c r="F1176" s="3">
        <v>1126369</v>
      </c>
      <c r="G1176" s="1" t="s">
        <v>9</v>
      </c>
      <c r="H1176" s="1" t="b">
        <f t="shared" si="42"/>
        <v>1</v>
      </c>
    </row>
    <row r="1177" spans="1:8" ht="21" x14ac:dyDescent="0.25">
      <c r="A1177" s="2" t="str">
        <f>HYPERLINK("https://rth.dk/resources/bsgatlas/details.php?id=BSGatlas-operon-622","BSGatlas-operon-622")</f>
        <v>BSGatlas-operon-622</v>
      </c>
      <c r="B1177" s="2" t="str">
        <f>HYPERLINK("https://rth.dk/resources/bsgatlas/details.php?id=BSGatlas-gene-1266","BSGatlas-gene-1266")</f>
        <v>BSGatlas-gene-1266</v>
      </c>
      <c r="C1177" s="1" t="s">
        <v>1181</v>
      </c>
      <c r="D1177" s="1" t="s">
        <v>8</v>
      </c>
      <c r="E1177" s="3">
        <v>1129715</v>
      </c>
      <c r="F1177" s="3">
        <v>1130704</v>
      </c>
      <c r="G1177" s="1" t="s">
        <v>9</v>
      </c>
      <c r="H1177" s="1" t="b">
        <f t="shared" si="42"/>
        <v>0</v>
      </c>
    </row>
    <row r="1178" spans="1:8" ht="21" x14ac:dyDescent="0.25">
      <c r="A1178" s="2" t="str">
        <f>HYPERLINK("https://rth.dk/resources/bsgatlas/details.php?id=BSGatlas-operon-623","BSGatlas-operon-623")</f>
        <v>BSGatlas-operon-623</v>
      </c>
      <c r="B1178" s="2" t="str">
        <f>HYPERLINK("https://rth.dk/resources/bsgatlas/details.php?id=BSGatlas-gene-1267","BSGatlas-gene-1267")</f>
        <v>BSGatlas-gene-1267</v>
      </c>
      <c r="C1178" s="1" t="s">
        <v>1182</v>
      </c>
      <c r="D1178" s="1" t="s">
        <v>8</v>
      </c>
      <c r="E1178" s="3">
        <v>1130918</v>
      </c>
      <c r="F1178" s="3">
        <v>1132072</v>
      </c>
      <c r="G1178" s="1" t="s">
        <v>13</v>
      </c>
      <c r="H1178" s="1" t="b">
        <f t="shared" si="42"/>
        <v>1</v>
      </c>
    </row>
    <row r="1179" spans="1:8" ht="21" x14ac:dyDescent="0.25">
      <c r="A1179" s="2" t="str">
        <f>HYPERLINK("https://rth.dk/resources/bsgatlas/details.php?id=BSGatlas-operon-624","BSGatlas-operon-624")</f>
        <v>BSGatlas-operon-624</v>
      </c>
      <c r="B1179" s="2" t="str">
        <f>HYPERLINK("https://rth.dk/resources/bsgatlas/details.php?id=BSGatlas-gene-1269","BSGatlas-gene-1269")</f>
        <v>BSGatlas-gene-1269</v>
      </c>
      <c r="C1179" s="1" t="s">
        <v>1183</v>
      </c>
      <c r="D1179" s="1" t="s">
        <v>8</v>
      </c>
      <c r="E1179" s="3">
        <v>1133498</v>
      </c>
      <c r="F1179" s="3">
        <v>1135225</v>
      </c>
      <c r="G1179" s="1" t="s">
        <v>9</v>
      </c>
      <c r="H1179" s="1" t="b">
        <f t="shared" si="42"/>
        <v>0</v>
      </c>
    </row>
    <row r="1180" spans="1:8" ht="21" x14ac:dyDescent="0.25">
      <c r="A1180" s="2" t="str">
        <f>HYPERLINK("https://rth.dk/resources/bsgatlas/details.php?id=BSGatlas-operon-625","BSGatlas-operon-625")</f>
        <v>BSGatlas-operon-625</v>
      </c>
      <c r="B1180" s="2" t="str">
        <f>HYPERLINK("https://rth.dk/resources/bsgatlas/details.php?id=BSGatlas-gene-1270","BSGatlas-gene-1270")</f>
        <v>BSGatlas-gene-1270</v>
      </c>
      <c r="C1180" s="1" t="s">
        <v>1184</v>
      </c>
      <c r="D1180" s="1" t="s">
        <v>8</v>
      </c>
      <c r="E1180" s="3">
        <v>1135255</v>
      </c>
      <c r="F1180" s="3">
        <v>1135581</v>
      </c>
      <c r="G1180" s="1" t="s">
        <v>13</v>
      </c>
      <c r="H1180" s="1" t="b">
        <f t="shared" si="42"/>
        <v>1</v>
      </c>
    </row>
    <row r="1181" spans="1:8" ht="21" x14ac:dyDescent="0.25">
      <c r="A1181" s="2" t="str">
        <f>HYPERLINK("https://rth.dk/resources/bsgatlas/details.php?id=BSGatlas-operon-625","BSGatlas-operon-625")</f>
        <v>BSGatlas-operon-625</v>
      </c>
      <c r="B1181" s="2" t="str">
        <f>HYPERLINK("https://rth.dk/resources/bsgatlas/details.php?id=BSGatlas-gene-1271","BSGatlas-gene-1271")</f>
        <v>BSGatlas-gene-1271</v>
      </c>
      <c r="C1181" s="1" t="s">
        <v>1185</v>
      </c>
      <c r="D1181" s="1" t="s">
        <v>8</v>
      </c>
      <c r="E1181" s="3">
        <v>1135699</v>
      </c>
      <c r="F1181" s="3">
        <v>1136136</v>
      </c>
      <c r="G1181" s="1" t="s">
        <v>13</v>
      </c>
      <c r="H1181" s="1" t="b">
        <f t="shared" si="42"/>
        <v>1</v>
      </c>
    </row>
    <row r="1182" spans="1:8" ht="21" x14ac:dyDescent="0.25">
      <c r="A1182" s="2" t="str">
        <f>HYPERLINK("https://rth.dk/resources/bsgatlas/details.php?id=BSGatlas-operon-626","BSGatlas-operon-626")</f>
        <v>BSGatlas-operon-626</v>
      </c>
      <c r="B1182" s="2" t="str">
        <f>HYPERLINK("https://rth.dk/resources/bsgatlas/details.php?id=BSGatlas-gene-1272","BSGatlas-gene-1272")</f>
        <v>BSGatlas-gene-1272</v>
      </c>
      <c r="C1182" s="1" t="s">
        <v>1186</v>
      </c>
      <c r="D1182" s="1" t="s">
        <v>8</v>
      </c>
      <c r="E1182" s="3">
        <v>1136320</v>
      </c>
      <c r="F1182" s="3">
        <v>1139820</v>
      </c>
      <c r="G1182" s="1" t="s">
        <v>9</v>
      </c>
      <c r="H1182" s="1" t="b">
        <f t="shared" si="42"/>
        <v>0</v>
      </c>
    </row>
    <row r="1183" spans="1:8" ht="21" x14ac:dyDescent="0.25">
      <c r="A1183" s="2" t="str">
        <f>HYPERLINK("https://rth.dk/resources/bsgatlas/details.php?id=BSGatlas-operon-626","BSGatlas-operon-626")</f>
        <v>BSGatlas-operon-626</v>
      </c>
      <c r="B1183" s="2" t="str">
        <f>HYPERLINK("https://rth.dk/resources/bsgatlas/details.php?id=BSGatlas-gene-1273","BSGatlas-gene-1273")</f>
        <v>BSGatlas-gene-1273</v>
      </c>
      <c r="C1183" s="1" t="s">
        <v>1187</v>
      </c>
      <c r="D1183" s="1" t="s">
        <v>8</v>
      </c>
      <c r="E1183" s="3">
        <v>1139807</v>
      </c>
      <c r="F1183" s="3">
        <v>1143505</v>
      </c>
      <c r="G1183" s="1" t="s">
        <v>9</v>
      </c>
      <c r="H1183" s="1" t="b">
        <f t="shared" si="42"/>
        <v>0</v>
      </c>
    </row>
    <row r="1184" spans="1:8" ht="21" x14ac:dyDescent="0.25">
      <c r="A1184" s="2" t="str">
        <f>HYPERLINK("https://rth.dk/resources/bsgatlas/details.php?id=BSGatlas-operon-626","BSGatlas-operon-626")</f>
        <v>BSGatlas-operon-626</v>
      </c>
      <c r="B1184" s="2" t="str">
        <f>HYPERLINK("https://rth.dk/resources/bsgatlas/details.php?id=BSGatlas-gene-1274","BSGatlas-gene-1274")</f>
        <v>BSGatlas-gene-1274</v>
      </c>
      <c r="C1184" s="1" t="s">
        <v>1188</v>
      </c>
      <c r="D1184" s="1" t="s">
        <v>8</v>
      </c>
      <c r="E1184" s="3">
        <v>1143577</v>
      </c>
      <c r="F1184" s="3">
        <v>1144752</v>
      </c>
      <c r="G1184" s="1" t="s">
        <v>9</v>
      </c>
      <c r="H1184" s="1" t="b">
        <f t="shared" si="42"/>
        <v>0</v>
      </c>
    </row>
    <row r="1185" spans="1:8" ht="21" x14ac:dyDescent="0.25">
      <c r="A1185" s="2" t="str">
        <f>HYPERLINK("https://rth.dk/resources/bsgatlas/details.php?id=BSGatlas-operon-626","BSGatlas-operon-626")</f>
        <v>BSGatlas-operon-626</v>
      </c>
      <c r="B1185" s="2" t="str">
        <f>HYPERLINK("https://rth.dk/resources/bsgatlas/details.php?id=BSGatlas-gene-1275","BSGatlas-gene-1275")</f>
        <v>BSGatlas-gene-1275</v>
      </c>
      <c r="C1185" s="1" t="s">
        <v>1189</v>
      </c>
      <c r="D1185" s="1" t="s">
        <v>8</v>
      </c>
      <c r="E1185" s="3">
        <v>1144749</v>
      </c>
      <c r="F1185" s="3">
        <v>1148141</v>
      </c>
      <c r="G1185" s="1" t="s">
        <v>9</v>
      </c>
      <c r="H1185" s="1" t="b">
        <f t="shared" si="42"/>
        <v>0</v>
      </c>
    </row>
    <row r="1186" spans="1:8" ht="21" x14ac:dyDescent="0.25">
      <c r="A1186" s="2" t="str">
        <f>HYPERLINK("https://rth.dk/resources/bsgatlas/details.php?id=BSGatlas-operon-626","BSGatlas-operon-626")</f>
        <v>BSGatlas-operon-626</v>
      </c>
      <c r="B1186" s="2" t="str">
        <f>HYPERLINK("https://rth.dk/resources/bsgatlas/details.php?id=BSGatlas-gene-1276","BSGatlas-gene-1276")</f>
        <v>BSGatlas-gene-1276</v>
      </c>
      <c r="C1186" s="1" t="s">
        <v>1190</v>
      </c>
      <c r="D1186" s="1" t="s">
        <v>8</v>
      </c>
      <c r="E1186" s="3">
        <v>1148155</v>
      </c>
      <c r="F1186" s="3">
        <v>1148457</v>
      </c>
      <c r="G1186" s="1" t="s">
        <v>9</v>
      </c>
      <c r="H1186" s="1" t="b">
        <f t="shared" si="42"/>
        <v>0</v>
      </c>
    </row>
    <row r="1187" spans="1:8" ht="21" x14ac:dyDescent="0.25">
      <c r="A1187" s="2" t="str">
        <f t="shared" ref="A1187:A1192" si="43">HYPERLINK("https://rth.dk/resources/bsgatlas/details.php?id=BSGatlas-operon-627","BSGatlas-operon-627")</f>
        <v>BSGatlas-operon-627</v>
      </c>
      <c r="B1187" s="2" t="str">
        <f>HYPERLINK("https://rth.dk/resources/bsgatlas/details.php?id=BSGatlas-gene-1277","BSGatlas-gene-1277")</f>
        <v>BSGatlas-gene-1277</v>
      </c>
      <c r="C1187" s="1" t="s">
        <v>1191</v>
      </c>
      <c r="D1187" s="1" t="s">
        <v>8</v>
      </c>
      <c r="E1187" s="3">
        <v>1148494</v>
      </c>
      <c r="F1187" s="3">
        <v>1148712</v>
      </c>
      <c r="G1187" s="1" t="s">
        <v>13</v>
      </c>
      <c r="H1187" s="1" t="b">
        <f t="shared" si="42"/>
        <v>1</v>
      </c>
    </row>
    <row r="1188" spans="1:8" ht="21" x14ac:dyDescent="0.25">
      <c r="A1188" s="2" t="str">
        <f t="shared" si="43"/>
        <v>BSGatlas-operon-627</v>
      </c>
      <c r="B1188" s="2" t="str">
        <f>HYPERLINK("https://rth.dk/resources/bsgatlas/details.php?id=BSGatlas-gene-1278","BSGatlas-gene-1278")</f>
        <v>BSGatlas-gene-1278</v>
      </c>
      <c r="C1188" s="1" t="s">
        <v>1192</v>
      </c>
      <c r="D1188" s="1" t="s">
        <v>8</v>
      </c>
      <c r="E1188" s="3">
        <v>1148744</v>
      </c>
      <c r="F1188" s="3">
        <v>1149145</v>
      </c>
      <c r="G1188" s="1" t="s">
        <v>13</v>
      </c>
      <c r="H1188" s="1" t="b">
        <f t="shared" si="42"/>
        <v>1</v>
      </c>
    </row>
    <row r="1189" spans="1:8" ht="21" x14ac:dyDescent="0.25">
      <c r="A1189" s="2" t="str">
        <f t="shared" si="43"/>
        <v>BSGatlas-operon-627</v>
      </c>
      <c r="B1189" s="2" t="str">
        <f>HYPERLINK("https://rth.dk/resources/bsgatlas/details.php?id=BSGatlas-gene-1279","BSGatlas-gene-1279")</f>
        <v>BSGatlas-gene-1279</v>
      </c>
      <c r="C1189" s="1" t="s">
        <v>1193</v>
      </c>
      <c r="D1189" s="1" t="s">
        <v>8</v>
      </c>
      <c r="E1189" s="3">
        <v>1149145</v>
      </c>
      <c r="F1189" s="3">
        <v>1149321</v>
      </c>
      <c r="G1189" s="1" t="s">
        <v>13</v>
      </c>
      <c r="H1189" s="1" t="b">
        <f t="shared" si="42"/>
        <v>1</v>
      </c>
    </row>
    <row r="1190" spans="1:8" ht="21" x14ac:dyDescent="0.25">
      <c r="A1190" s="2" t="str">
        <f t="shared" si="43"/>
        <v>BSGatlas-operon-627</v>
      </c>
      <c r="B1190" s="2" t="str">
        <f>HYPERLINK("https://rth.dk/resources/bsgatlas/details.php?id=BSGatlas-gene-1280","BSGatlas-gene-1280")</f>
        <v>BSGatlas-gene-1280</v>
      </c>
      <c r="C1190" s="1" t="s">
        <v>1194</v>
      </c>
      <c r="D1190" s="1" t="s">
        <v>8</v>
      </c>
      <c r="E1190" s="3">
        <v>1149318</v>
      </c>
      <c r="F1190" s="3">
        <v>1149935</v>
      </c>
      <c r="G1190" s="1" t="s">
        <v>13</v>
      </c>
      <c r="H1190" s="1" t="b">
        <f t="shared" si="42"/>
        <v>1</v>
      </c>
    </row>
    <row r="1191" spans="1:8" ht="21" x14ac:dyDescent="0.25">
      <c r="A1191" s="2" t="str">
        <f t="shared" si="43"/>
        <v>BSGatlas-operon-627</v>
      </c>
      <c r="B1191" s="2" t="str">
        <f>HYPERLINK("https://rth.dk/resources/bsgatlas/details.php?id=BSGatlas-gene-1281","BSGatlas-gene-1281")</f>
        <v>BSGatlas-gene-1281</v>
      </c>
      <c r="C1191" s="1" t="s">
        <v>1195</v>
      </c>
      <c r="D1191" s="1" t="s">
        <v>8</v>
      </c>
      <c r="E1191" s="3">
        <v>1149958</v>
      </c>
      <c r="F1191" s="3">
        <v>1150191</v>
      </c>
      <c r="G1191" s="1" t="s">
        <v>13</v>
      </c>
      <c r="H1191" s="1" t="b">
        <f t="shared" si="42"/>
        <v>1</v>
      </c>
    </row>
    <row r="1192" spans="1:8" ht="21" x14ac:dyDescent="0.25">
      <c r="A1192" s="2" t="str">
        <f t="shared" si="43"/>
        <v>BSGatlas-operon-627</v>
      </c>
      <c r="B1192" s="2" t="str">
        <f>HYPERLINK("https://rth.dk/resources/bsgatlas/details.php?id=BSGatlas-gene-1282","BSGatlas-gene-1282")</f>
        <v>BSGatlas-gene-1282</v>
      </c>
      <c r="C1192" s="1" t="s">
        <v>1196</v>
      </c>
      <c r="D1192" s="1" t="s">
        <v>8</v>
      </c>
      <c r="E1192" s="3">
        <v>1150206</v>
      </c>
      <c r="F1192" s="3">
        <v>1150427</v>
      </c>
      <c r="G1192" s="1" t="s">
        <v>13</v>
      </c>
      <c r="H1192" s="1" t="b">
        <f t="shared" si="42"/>
        <v>1</v>
      </c>
    </row>
    <row r="1193" spans="1:8" ht="21" x14ac:dyDescent="0.25">
      <c r="A1193" s="2" t="str">
        <f>HYPERLINK("https://rth.dk/resources/bsgatlas/details.php?id=BSGatlas-operon-628","BSGatlas-operon-628")</f>
        <v>BSGatlas-operon-628</v>
      </c>
      <c r="B1193" s="2" t="str">
        <f>HYPERLINK("https://rth.dk/resources/bsgatlas/details.php?id=BSGatlas-gene-1283","BSGatlas-gene-1283")</f>
        <v>BSGatlas-gene-1283</v>
      </c>
      <c r="C1193" s="1" t="s">
        <v>1197</v>
      </c>
      <c r="D1193" s="1" t="s">
        <v>12</v>
      </c>
      <c r="E1193" s="3">
        <v>1150469</v>
      </c>
      <c r="F1193" s="3">
        <v>1150678</v>
      </c>
      <c r="G1193" s="1" t="s">
        <v>9</v>
      </c>
      <c r="H1193" s="1" t="b">
        <f t="shared" si="42"/>
        <v>0</v>
      </c>
    </row>
    <row r="1194" spans="1:8" ht="21" x14ac:dyDescent="0.25">
      <c r="A1194" s="2" t="str">
        <f>HYPERLINK("https://rth.dk/resources/bsgatlas/details.php?id=BSGatlas-operon-629","BSGatlas-operon-629")</f>
        <v>BSGatlas-operon-629</v>
      </c>
      <c r="B1194" s="2" t="str">
        <f>HYPERLINK("https://rth.dk/resources/bsgatlas/details.php?id=BSGatlas-gene-1284","BSGatlas-gene-1284")</f>
        <v>BSGatlas-gene-1284</v>
      </c>
      <c r="C1194" s="1" t="s">
        <v>1198</v>
      </c>
      <c r="D1194" s="1" t="s">
        <v>8</v>
      </c>
      <c r="E1194" s="3">
        <v>1150850</v>
      </c>
      <c r="F1194" s="3">
        <v>1151020</v>
      </c>
      <c r="G1194" s="1" t="s">
        <v>13</v>
      </c>
      <c r="H1194" s="1" t="b">
        <f t="shared" si="42"/>
        <v>1</v>
      </c>
    </row>
    <row r="1195" spans="1:8" ht="21" x14ac:dyDescent="0.25">
      <c r="A1195" s="2" t="str">
        <f>HYPERLINK("https://rth.dk/resources/bsgatlas/details.php?id=BSGatlas-operon-629","BSGatlas-operon-629")</f>
        <v>BSGatlas-operon-629</v>
      </c>
      <c r="B1195" s="2" t="str">
        <f>HYPERLINK("https://rth.dk/resources/bsgatlas/details.php?id=BSGatlas-gene-1285","BSGatlas-gene-1285")</f>
        <v>BSGatlas-gene-1285</v>
      </c>
      <c r="C1195" s="1" t="s">
        <v>1199</v>
      </c>
      <c r="D1195" s="1" t="s">
        <v>8</v>
      </c>
      <c r="E1195" s="3">
        <v>1151166</v>
      </c>
      <c r="F1195" s="3">
        <v>1152089</v>
      </c>
      <c r="G1195" s="1" t="s">
        <v>13</v>
      </c>
      <c r="H1195" s="1" t="b">
        <f t="shared" si="42"/>
        <v>1</v>
      </c>
    </row>
    <row r="1196" spans="1:8" ht="21" x14ac:dyDescent="0.25">
      <c r="A1196" s="2" t="str">
        <f>HYPERLINK("https://rth.dk/resources/bsgatlas/details.php?id=BSGatlas-operon-630","BSGatlas-operon-630")</f>
        <v>BSGatlas-operon-630</v>
      </c>
      <c r="B1196" s="2" t="str">
        <f>HYPERLINK("https://rth.dk/resources/bsgatlas/details.php?id=BSGatlas-gene-1286","BSGatlas-gene-1286")</f>
        <v>BSGatlas-gene-1286</v>
      </c>
      <c r="C1196" s="1" t="s">
        <v>1200</v>
      </c>
      <c r="D1196" s="1" t="s">
        <v>8</v>
      </c>
      <c r="E1196" s="3">
        <v>1152244</v>
      </c>
      <c r="F1196" s="3">
        <v>1153149</v>
      </c>
      <c r="G1196" s="1" t="s">
        <v>9</v>
      </c>
      <c r="H1196" s="1" t="b">
        <f t="shared" si="42"/>
        <v>0</v>
      </c>
    </row>
    <row r="1197" spans="1:8" ht="21" x14ac:dyDescent="0.25">
      <c r="A1197" s="2" t="str">
        <f>HYPERLINK("https://rth.dk/resources/bsgatlas/details.php?id=BSGatlas-operon-630","BSGatlas-operon-630")</f>
        <v>BSGatlas-operon-630</v>
      </c>
      <c r="B1197" s="2" t="str">
        <f>HYPERLINK("https://rth.dk/resources/bsgatlas/details.php?id=BSGatlas-gene-1287","BSGatlas-gene-1287")</f>
        <v>BSGatlas-gene-1287</v>
      </c>
      <c r="C1197" s="1" t="s">
        <v>1201</v>
      </c>
      <c r="D1197" s="1" t="s">
        <v>8</v>
      </c>
      <c r="E1197" s="3">
        <v>1153265</v>
      </c>
      <c r="F1197" s="3">
        <v>1153621</v>
      </c>
      <c r="G1197" s="1" t="s">
        <v>9</v>
      </c>
      <c r="H1197" s="1" t="b">
        <f t="shared" si="42"/>
        <v>0</v>
      </c>
    </row>
    <row r="1198" spans="1:8" ht="21" x14ac:dyDescent="0.25">
      <c r="A1198" s="2" t="str">
        <f>HYPERLINK("https://rth.dk/resources/bsgatlas/details.php?id=BSGatlas-operon-631","BSGatlas-operon-631")</f>
        <v>BSGatlas-operon-631</v>
      </c>
      <c r="B1198" s="2" t="str">
        <f>HYPERLINK("https://rth.dk/resources/bsgatlas/details.php?id=BSGatlas-gene-1288","BSGatlas-gene-1288")</f>
        <v>BSGatlas-gene-1288</v>
      </c>
      <c r="C1198" s="1" t="s">
        <v>1202</v>
      </c>
      <c r="D1198" s="1" t="s">
        <v>8</v>
      </c>
      <c r="E1198" s="3">
        <v>1153789</v>
      </c>
      <c r="F1198" s="3">
        <v>1156473</v>
      </c>
      <c r="G1198" s="1" t="s">
        <v>9</v>
      </c>
      <c r="H1198" s="1" t="b">
        <f t="shared" si="42"/>
        <v>1</v>
      </c>
    </row>
    <row r="1199" spans="1:8" ht="21" x14ac:dyDescent="0.25">
      <c r="A1199" s="2" t="str">
        <f>HYPERLINK("https://rth.dk/resources/bsgatlas/details.php?id=BSGatlas-operon-632","BSGatlas-operon-632")</f>
        <v>BSGatlas-operon-632</v>
      </c>
      <c r="B1199" s="2" t="str">
        <f>HYPERLINK("https://rth.dk/resources/bsgatlas/details.php?id=BSGatlas-gene-1289","BSGatlas-gene-1289")</f>
        <v>BSGatlas-gene-1289</v>
      </c>
      <c r="C1199" s="1" t="s">
        <v>1203</v>
      </c>
      <c r="D1199" s="1" t="s">
        <v>8</v>
      </c>
      <c r="E1199" s="3">
        <v>1156504</v>
      </c>
      <c r="F1199" s="3">
        <v>1157091</v>
      </c>
      <c r="G1199" s="1" t="s">
        <v>13</v>
      </c>
      <c r="H1199" s="1" t="b">
        <f t="shared" si="42"/>
        <v>0</v>
      </c>
    </row>
    <row r="1200" spans="1:8" ht="21" x14ac:dyDescent="0.25">
      <c r="A1200" s="2" t="str">
        <f>HYPERLINK("https://rth.dk/resources/bsgatlas/details.php?id=BSGatlas-operon-633","BSGatlas-operon-633")</f>
        <v>BSGatlas-operon-633</v>
      </c>
      <c r="B1200" s="2" t="str">
        <f>HYPERLINK("https://rth.dk/resources/bsgatlas/details.php?id=BSGatlas-gene-1290","BSGatlas-gene-1290")</f>
        <v>BSGatlas-gene-1290</v>
      </c>
      <c r="C1200" s="1" t="s">
        <v>1204</v>
      </c>
      <c r="D1200" s="1" t="s">
        <v>8</v>
      </c>
      <c r="E1200" s="3">
        <v>1157237</v>
      </c>
      <c r="F1200" s="3">
        <v>1159081</v>
      </c>
      <c r="G1200" s="1" t="s">
        <v>9</v>
      </c>
      <c r="H1200" s="1" t="b">
        <f t="shared" si="42"/>
        <v>1</v>
      </c>
    </row>
    <row r="1201" spans="1:8" ht="21" x14ac:dyDescent="0.25">
      <c r="A1201" s="2" t="str">
        <f>HYPERLINK("https://rth.dk/resources/bsgatlas/details.php?id=BSGatlas-operon-634","BSGatlas-operon-634")</f>
        <v>BSGatlas-operon-634</v>
      </c>
      <c r="B1201" s="2" t="str">
        <f>HYPERLINK("https://rth.dk/resources/bsgatlas/details.php?id=BSGatlas-gene-1291","BSGatlas-gene-1291")</f>
        <v>BSGatlas-gene-1291</v>
      </c>
      <c r="C1201" s="1" t="s">
        <v>1205</v>
      </c>
      <c r="D1201" s="1" t="s">
        <v>8</v>
      </c>
      <c r="E1201" s="3">
        <v>1159211</v>
      </c>
      <c r="F1201" s="3">
        <v>1159690</v>
      </c>
      <c r="G1201" s="1" t="s">
        <v>13</v>
      </c>
      <c r="H1201" s="1" t="b">
        <f t="shared" si="42"/>
        <v>0</v>
      </c>
    </row>
    <row r="1202" spans="1:8" ht="21" x14ac:dyDescent="0.25">
      <c r="A1202" s="2" t="str">
        <f>HYPERLINK("https://rth.dk/resources/bsgatlas/details.php?id=BSGatlas-operon-635","BSGatlas-operon-635")</f>
        <v>BSGatlas-operon-635</v>
      </c>
      <c r="B1202" s="2" t="str">
        <f>HYPERLINK("https://rth.dk/resources/bsgatlas/details.php?id=BSGatlas-gene-1292","BSGatlas-gene-1292")</f>
        <v>BSGatlas-gene-1292</v>
      </c>
      <c r="C1202" s="1" t="s">
        <v>1206</v>
      </c>
      <c r="D1202" s="1" t="s">
        <v>8</v>
      </c>
      <c r="E1202" s="3">
        <v>1159922</v>
      </c>
      <c r="F1202" s="3">
        <v>1160746</v>
      </c>
      <c r="G1202" s="1" t="s">
        <v>9</v>
      </c>
      <c r="H1202" s="1" t="b">
        <f t="shared" si="42"/>
        <v>1</v>
      </c>
    </row>
    <row r="1203" spans="1:8" ht="21" x14ac:dyDescent="0.25">
      <c r="A1203" s="2" t="str">
        <f>HYPERLINK("https://rth.dk/resources/bsgatlas/details.php?id=BSGatlas-operon-636","BSGatlas-operon-636")</f>
        <v>BSGatlas-operon-636</v>
      </c>
      <c r="B1203" s="2" t="str">
        <f>HYPERLINK("https://rth.dk/resources/bsgatlas/details.php?id=BSGatlas-gene-1293","BSGatlas-gene-1293")</f>
        <v>BSGatlas-gene-1293</v>
      </c>
      <c r="C1203" s="1" t="s">
        <v>1207</v>
      </c>
      <c r="D1203" s="1" t="s">
        <v>8</v>
      </c>
      <c r="E1203" s="3">
        <v>1160776</v>
      </c>
      <c r="F1203" s="3">
        <v>1162143</v>
      </c>
      <c r="G1203" s="1" t="s">
        <v>13</v>
      </c>
      <c r="H1203" s="1" t="b">
        <f t="shared" si="42"/>
        <v>0</v>
      </c>
    </row>
    <row r="1204" spans="1:8" ht="21" x14ac:dyDescent="0.25">
      <c r="A1204" s="2" t="str">
        <f>HYPERLINK("https://rth.dk/resources/bsgatlas/details.php?id=BSGatlas-operon-637","BSGatlas-operon-637")</f>
        <v>BSGatlas-operon-637</v>
      </c>
      <c r="B1204" s="2" t="str">
        <f>HYPERLINK("https://rth.dk/resources/bsgatlas/details.php?id=BSGatlas-gene-1294","BSGatlas-gene-1294")</f>
        <v>BSGatlas-gene-1294</v>
      </c>
      <c r="C1204" s="1" t="s">
        <v>1208</v>
      </c>
      <c r="D1204" s="1" t="s">
        <v>8</v>
      </c>
      <c r="E1204" s="3">
        <v>1162267</v>
      </c>
      <c r="F1204" s="3">
        <v>1163130</v>
      </c>
      <c r="G1204" s="1" t="s">
        <v>9</v>
      </c>
      <c r="H1204" s="1" t="b">
        <f t="shared" si="42"/>
        <v>1</v>
      </c>
    </row>
    <row r="1205" spans="1:8" ht="21" x14ac:dyDescent="0.25">
      <c r="A1205" s="2" t="str">
        <f>HYPERLINK("https://rth.dk/resources/bsgatlas/details.php?id=BSGatlas-operon-637","BSGatlas-operon-637")</f>
        <v>BSGatlas-operon-637</v>
      </c>
      <c r="B1205" s="2" t="str">
        <f>HYPERLINK("https://rth.dk/resources/bsgatlas/details.php?id=BSGatlas-gene-1295","BSGatlas-gene-1295")</f>
        <v>BSGatlas-gene-1295</v>
      </c>
      <c r="C1205" s="1" t="s">
        <v>1209</v>
      </c>
      <c r="D1205" s="1" t="s">
        <v>8</v>
      </c>
      <c r="E1205" s="3">
        <v>1163148</v>
      </c>
      <c r="F1205" s="3">
        <v>1164161</v>
      </c>
      <c r="G1205" s="1" t="s">
        <v>9</v>
      </c>
      <c r="H1205" s="1" t="b">
        <f t="shared" si="42"/>
        <v>1</v>
      </c>
    </row>
    <row r="1206" spans="1:8" ht="21" x14ac:dyDescent="0.25">
      <c r="A1206" s="2" t="str">
        <f>HYPERLINK("https://rth.dk/resources/bsgatlas/details.php?id=BSGatlas-operon-638","BSGatlas-operon-638")</f>
        <v>BSGatlas-operon-638</v>
      </c>
      <c r="B1206" s="2" t="str">
        <f>HYPERLINK("https://rth.dk/resources/bsgatlas/details.php?id=BSGatlas-gene-1296","BSGatlas-gene-1296")</f>
        <v>BSGatlas-gene-1296</v>
      </c>
      <c r="C1206" s="1" t="s">
        <v>1210</v>
      </c>
      <c r="D1206" s="1" t="s">
        <v>8</v>
      </c>
      <c r="E1206" s="3">
        <v>1164370</v>
      </c>
      <c r="F1206" s="3">
        <v>1165398</v>
      </c>
      <c r="G1206" s="1" t="s">
        <v>9</v>
      </c>
      <c r="H1206" s="1" t="b">
        <f t="shared" si="42"/>
        <v>0</v>
      </c>
    </row>
    <row r="1207" spans="1:8" ht="21" x14ac:dyDescent="0.25">
      <c r="A1207" s="2" t="str">
        <f>HYPERLINK("https://rth.dk/resources/bsgatlas/details.php?id=BSGatlas-operon-639","BSGatlas-operon-639")</f>
        <v>BSGatlas-operon-639</v>
      </c>
      <c r="B1207" s="2" t="str">
        <f>HYPERLINK("https://rth.dk/resources/bsgatlas/details.php?id=BSGatlas-gene-1297","BSGatlas-gene-1297")</f>
        <v>BSGatlas-gene-1297</v>
      </c>
      <c r="C1207" s="1" t="s">
        <v>1211</v>
      </c>
      <c r="D1207" s="1" t="s">
        <v>8</v>
      </c>
      <c r="E1207" s="3">
        <v>1165449</v>
      </c>
      <c r="F1207" s="3">
        <v>1165958</v>
      </c>
      <c r="G1207" s="1" t="s">
        <v>13</v>
      </c>
      <c r="H1207" s="1" t="b">
        <f t="shared" si="42"/>
        <v>1</v>
      </c>
    </row>
    <row r="1208" spans="1:8" ht="21" x14ac:dyDescent="0.25">
      <c r="A1208" s="2" t="str">
        <f>HYPERLINK("https://rth.dk/resources/bsgatlas/details.php?id=BSGatlas-operon-640","BSGatlas-operon-640")</f>
        <v>BSGatlas-operon-640</v>
      </c>
      <c r="B1208" s="2" t="str">
        <f>HYPERLINK("https://rth.dk/resources/bsgatlas/details.php?id=BSGatlas-gene-1299","BSGatlas-gene-1299")</f>
        <v>BSGatlas-gene-1299</v>
      </c>
      <c r="C1208" s="1" t="s">
        <v>1212</v>
      </c>
      <c r="D1208" s="1" t="s">
        <v>8</v>
      </c>
      <c r="E1208" s="3">
        <v>1166737</v>
      </c>
      <c r="F1208" s="3">
        <v>1168191</v>
      </c>
      <c r="G1208" s="1" t="s">
        <v>9</v>
      </c>
      <c r="H1208" s="1" t="b">
        <f t="shared" si="42"/>
        <v>0</v>
      </c>
    </row>
    <row r="1209" spans="1:8" ht="21" x14ac:dyDescent="0.25">
      <c r="A1209" s="2" t="str">
        <f>HYPERLINK("https://rth.dk/resources/bsgatlas/details.php?id=BSGatlas-operon-641","BSGatlas-operon-641")</f>
        <v>BSGatlas-operon-641</v>
      </c>
      <c r="B1209" s="2" t="str">
        <f>HYPERLINK("https://rth.dk/resources/bsgatlas/details.php?id=BSGatlas-gene-1300","BSGatlas-gene-1300")</f>
        <v>BSGatlas-gene-1300</v>
      </c>
      <c r="C1209" s="1" t="s">
        <v>1213</v>
      </c>
      <c r="D1209" s="1" t="s">
        <v>8</v>
      </c>
      <c r="E1209" s="3">
        <v>1168199</v>
      </c>
      <c r="F1209" s="3">
        <v>1168837</v>
      </c>
      <c r="G1209" s="1" t="s">
        <v>13</v>
      </c>
      <c r="H1209" s="1" t="b">
        <f t="shared" si="42"/>
        <v>1</v>
      </c>
    </row>
    <row r="1210" spans="1:8" ht="21" x14ac:dyDescent="0.25">
      <c r="A1210" s="2" t="str">
        <f>HYPERLINK("https://rth.dk/resources/bsgatlas/details.php?id=BSGatlas-operon-642","BSGatlas-operon-642")</f>
        <v>BSGatlas-operon-642</v>
      </c>
      <c r="B1210" s="2" t="str">
        <f>HYPERLINK("https://rth.dk/resources/bsgatlas/details.php?id=BSGatlas-gene-1301","BSGatlas-gene-1301")</f>
        <v>BSGatlas-gene-1301</v>
      </c>
      <c r="C1210" s="1" t="s">
        <v>1214</v>
      </c>
      <c r="D1210" s="1" t="s">
        <v>8</v>
      </c>
      <c r="E1210" s="3">
        <v>1169043</v>
      </c>
      <c r="F1210" s="3">
        <v>1169849</v>
      </c>
      <c r="G1210" s="1" t="s">
        <v>9</v>
      </c>
      <c r="H1210" s="1" t="b">
        <f t="shared" si="42"/>
        <v>0</v>
      </c>
    </row>
    <row r="1211" spans="1:8" ht="21" x14ac:dyDescent="0.25">
      <c r="A1211" s="2" t="str">
        <f>HYPERLINK("https://rth.dk/resources/bsgatlas/details.php?id=BSGatlas-operon-643","BSGatlas-operon-643")</f>
        <v>BSGatlas-operon-643</v>
      </c>
      <c r="B1211" s="2" t="str">
        <f>HYPERLINK("https://rth.dk/resources/bsgatlas/details.php?id=BSGatlas-gene-1302","BSGatlas-gene-1302")</f>
        <v>BSGatlas-gene-1302</v>
      </c>
      <c r="C1211" s="1" t="s">
        <v>1215</v>
      </c>
      <c r="D1211" s="1" t="s">
        <v>8</v>
      </c>
      <c r="E1211" s="3">
        <v>1169877</v>
      </c>
      <c r="F1211" s="3">
        <v>1170476</v>
      </c>
      <c r="G1211" s="1" t="s">
        <v>13</v>
      </c>
      <c r="H1211" s="1" t="b">
        <f t="shared" si="42"/>
        <v>1</v>
      </c>
    </row>
    <row r="1212" spans="1:8" ht="21" x14ac:dyDescent="0.25">
      <c r="A1212" s="2" t="str">
        <f>HYPERLINK("https://rth.dk/resources/bsgatlas/details.php?id=BSGatlas-operon-643","BSGatlas-operon-643")</f>
        <v>BSGatlas-operon-643</v>
      </c>
      <c r="B1212" s="2" t="str">
        <f>HYPERLINK("https://rth.dk/resources/bsgatlas/details.php?id=BSGatlas-gene-1303","BSGatlas-gene-1303")</f>
        <v>BSGatlas-gene-1303</v>
      </c>
      <c r="C1212" s="1" t="s">
        <v>1216</v>
      </c>
      <c r="D1212" s="1" t="s">
        <v>8</v>
      </c>
      <c r="E1212" s="3">
        <v>1170473</v>
      </c>
      <c r="F1212" s="3">
        <v>1171642</v>
      </c>
      <c r="G1212" s="1" t="s">
        <v>13</v>
      </c>
      <c r="H1212" s="1" t="b">
        <f t="shared" si="42"/>
        <v>1</v>
      </c>
    </row>
    <row r="1213" spans="1:8" ht="21" x14ac:dyDescent="0.25">
      <c r="A1213" s="2" t="str">
        <f>HYPERLINK("https://rth.dk/resources/bsgatlas/details.php?id=BSGatlas-operon-643","BSGatlas-operon-643")</f>
        <v>BSGatlas-operon-643</v>
      </c>
      <c r="B1213" s="2" t="str">
        <f>HYPERLINK("https://rth.dk/resources/bsgatlas/details.php?id=BSGatlas-gene-1304","BSGatlas-gene-1304")</f>
        <v>BSGatlas-gene-1304</v>
      </c>
      <c r="C1213" s="1" t="s">
        <v>1217</v>
      </c>
      <c r="D1213" s="1" t="s">
        <v>8</v>
      </c>
      <c r="E1213" s="3">
        <v>1171755</v>
      </c>
      <c r="F1213" s="3">
        <v>1172465</v>
      </c>
      <c r="G1213" s="1" t="s">
        <v>13</v>
      </c>
      <c r="H1213" s="1" t="b">
        <f t="shared" si="42"/>
        <v>1</v>
      </c>
    </row>
    <row r="1214" spans="1:8" ht="21" x14ac:dyDescent="0.25">
      <c r="A1214" s="2" t="str">
        <f>HYPERLINK("https://rth.dk/resources/bsgatlas/details.php?id=BSGatlas-operon-644","BSGatlas-operon-644")</f>
        <v>BSGatlas-operon-644</v>
      </c>
      <c r="B1214" s="2" t="str">
        <f>HYPERLINK("https://rth.dk/resources/bsgatlas/details.php?id=BSGatlas-gene-1305","BSGatlas-gene-1305")</f>
        <v>BSGatlas-gene-1305</v>
      </c>
      <c r="C1214" s="1" t="s">
        <v>1218</v>
      </c>
      <c r="D1214" s="1" t="s">
        <v>8</v>
      </c>
      <c r="E1214" s="3">
        <v>1172650</v>
      </c>
      <c r="F1214" s="3">
        <v>1173336</v>
      </c>
      <c r="G1214" s="1" t="s">
        <v>9</v>
      </c>
      <c r="H1214" s="1" t="b">
        <f t="shared" si="42"/>
        <v>0</v>
      </c>
    </row>
    <row r="1215" spans="1:8" ht="21" x14ac:dyDescent="0.25">
      <c r="A1215" s="2" t="str">
        <f>HYPERLINK("https://rth.dk/resources/bsgatlas/details.php?id=BSGatlas-operon-644","BSGatlas-operon-644")</f>
        <v>BSGatlas-operon-644</v>
      </c>
      <c r="B1215" s="2" t="str">
        <f>HYPERLINK("https://rth.dk/resources/bsgatlas/details.php?id=BSGatlas-gene-1306","BSGatlas-gene-1306")</f>
        <v>BSGatlas-gene-1306</v>
      </c>
      <c r="C1215" s="1" t="s">
        <v>1219</v>
      </c>
      <c r="D1215" s="1" t="s">
        <v>8</v>
      </c>
      <c r="E1215" s="3">
        <v>1173333</v>
      </c>
      <c r="F1215" s="3">
        <v>1174091</v>
      </c>
      <c r="G1215" s="1" t="s">
        <v>9</v>
      </c>
      <c r="H1215" s="1" t="b">
        <f t="shared" si="42"/>
        <v>0</v>
      </c>
    </row>
    <row r="1216" spans="1:8" ht="21" x14ac:dyDescent="0.25">
      <c r="A1216" s="2" t="str">
        <f>HYPERLINK("https://rth.dk/resources/bsgatlas/details.php?id=BSGatlas-operon-645","BSGatlas-operon-645")</f>
        <v>BSGatlas-operon-645</v>
      </c>
      <c r="B1216" s="2" t="str">
        <f>HYPERLINK("https://rth.dk/resources/bsgatlas/details.php?id=BSGatlas-gene-1307","BSGatlas-gene-1307")</f>
        <v>BSGatlas-gene-1307</v>
      </c>
      <c r="C1216" s="1" t="s">
        <v>1220</v>
      </c>
      <c r="D1216" s="1" t="s">
        <v>8</v>
      </c>
      <c r="E1216" s="3">
        <v>1174136</v>
      </c>
      <c r="F1216" s="3">
        <v>1174765</v>
      </c>
      <c r="G1216" s="1" t="s">
        <v>13</v>
      </c>
      <c r="H1216" s="1" t="b">
        <f t="shared" si="42"/>
        <v>1</v>
      </c>
    </row>
    <row r="1217" spans="1:8" ht="21" x14ac:dyDescent="0.25">
      <c r="A1217" s="2" t="str">
        <f>HYPERLINK("https://rth.dk/resources/bsgatlas/details.php?id=BSGatlas-operon-646","BSGatlas-operon-646")</f>
        <v>BSGatlas-operon-646</v>
      </c>
      <c r="B1217" s="2" t="str">
        <f>HYPERLINK("https://rth.dk/resources/bsgatlas/details.php?id=BSGatlas-gene-1308","BSGatlas-gene-1308")</f>
        <v>BSGatlas-gene-1308</v>
      </c>
      <c r="C1217" s="1" t="s">
        <v>1221</v>
      </c>
      <c r="D1217" s="1" t="s">
        <v>8</v>
      </c>
      <c r="E1217" s="3">
        <v>1174861</v>
      </c>
      <c r="F1217" s="3">
        <v>1175976</v>
      </c>
      <c r="G1217" s="1" t="s">
        <v>13</v>
      </c>
      <c r="H1217" s="1" t="b">
        <f t="shared" si="42"/>
        <v>0</v>
      </c>
    </row>
    <row r="1218" spans="1:8" ht="21" x14ac:dyDescent="0.25">
      <c r="A1218" s="2" t="str">
        <f>HYPERLINK("https://rth.dk/resources/bsgatlas/details.php?id=BSGatlas-operon-646","BSGatlas-operon-646")</f>
        <v>BSGatlas-operon-646</v>
      </c>
      <c r="B1218" s="2" t="str">
        <f>HYPERLINK("https://rth.dk/resources/bsgatlas/details.php?id=BSGatlas-gene-1309","BSGatlas-gene-1309")</f>
        <v>BSGatlas-gene-1309</v>
      </c>
      <c r="C1218" s="1" t="s">
        <v>1222</v>
      </c>
      <c r="D1218" s="1" t="s">
        <v>8</v>
      </c>
      <c r="E1218" s="3">
        <v>1175985</v>
      </c>
      <c r="F1218" s="3">
        <v>1177253</v>
      </c>
      <c r="G1218" s="1" t="s">
        <v>13</v>
      </c>
      <c r="H1218" s="1" t="b">
        <f t="shared" ref="H1218:H1281" si="44">_xlfn.XOR(A1217&lt;&gt;A1218,H1217)</f>
        <v>0</v>
      </c>
    </row>
    <row r="1219" spans="1:8" ht="21" x14ac:dyDescent="0.25">
      <c r="A1219" s="2" t="str">
        <f>HYPERLINK("https://rth.dk/resources/bsgatlas/details.php?id=BSGatlas-operon-647","BSGatlas-operon-647")</f>
        <v>BSGatlas-operon-647</v>
      </c>
      <c r="B1219" s="2" t="str">
        <f>HYPERLINK("https://rth.dk/resources/bsgatlas/details.php?id=BSGatlas-gene-1310","BSGatlas-gene-1310")</f>
        <v>BSGatlas-gene-1310</v>
      </c>
      <c r="C1219" s="1" t="s">
        <v>1223</v>
      </c>
      <c r="D1219" s="1" t="s">
        <v>8</v>
      </c>
      <c r="E1219" s="3">
        <v>1177365</v>
      </c>
      <c r="F1219" s="3">
        <v>1178213</v>
      </c>
      <c r="G1219" s="1" t="s">
        <v>13</v>
      </c>
      <c r="H1219" s="1" t="b">
        <f t="shared" si="44"/>
        <v>1</v>
      </c>
    </row>
    <row r="1220" spans="1:8" ht="21" x14ac:dyDescent="0.25">
      <c r="A1220" s="2" t="str">
        <f>HYPERLINK("https://rth.dk/resources/bsgatlas/details.php?id=BSGatlas-operon-647","BSGatlas-operon-647")</f>
        <v>BSGatlas-operon-647</v>
      </c>
      <c r="B1220" s="2" t="str">
        <f>HYPERLINK("https://rth.dk/resources/bsgatlas/details.php?id=BSGatlas-gene-1311","BSGatlas-gene-1311")</f>
        <v>BSGatlas-gene-1311</v>
      </c>
      <c r="C1220" s="1" t="s">
        <v>1224</v>
      </c>
      <c r="D1220" s="1" t="s">
        <v>8</v>
      </c>
      <c r="E1220" s="3">
        <v>1178218</v>
      </c>
      <c r="F1220" s="3">
        <v>1178667</v>
      </c>
      <c r="G1220" s="1" t="s">
        <v>13</v>
      </c>
      <c r="H1220" s="1" t="b">
        <f t="shared" si="44"/>
        <v>1</v>
      </c>
    </row>
    <row r="1221" spans="1:8" ht="21" x14ac:dyDescent="0.25">
      <c r="A1221" s="2" t="str">
        <f>HYPERLINK("https://rth.dk/resources/bsgatlas/details.php?id=BSGatlas-operon-648","BSGatlas-operon-648")</f>
        <v>BSGatlas-operon-648</v>
      </c>
      <c r="B1221" s="2" t="str">
        <f>HYPERLINK("https://rth.dk/resources/bsgatlas/details.php?id=BSGatlas-gene-1312","BSGatlas-gene-1312")</f>
        <v>BSGatlas-gene-1312</v>
      </c>
      <c r="C1221" s="1" t="s">
        <v>1225</v>
      </c>
      <c r="D1221" s="1" t="s">
        <v>8</v>
      </c>
      <c r="E1221" s="3">
        <v>1178757</v>
      </c>
      <c r="F1221" s="3">
        <v>1180595</v>
      </c>
      <c r="G1221" s="1" t="s">
        <v>13</v>
      </c>
      <c r="H1221" s="1" t="b">
        <f t="shared" si="44"/>
        <v>0</v>
      </c>
    </row>
    <row r="1222" spans="1:8" ht="21" x14ac:dyDescent="0.25">
      <c r="A1222" s="2" t="str">
        <f>HYPERLINK("https://rth.dk/resources/bsgatlas/details.php?id=BSGatlas-operon-649","BSGatlas-operon-649")</f>
        <v>BSGatlas-operon-649</v>
      </c>
      <c r="B1222" s="2" t="str">
        <f>HYPERLINK("https://rth.dk/resources/bsgatlas/details.php?id=BSGatlas-gene-1313","BSGatlas-gene-1313")</f>
        <v>BSGatlas-gene-1313</v>
      </c>
      <c r="C1222" s="1" t="s">
        <v>1226</v>
      </c>
      <c r="D1222" s="1" t="s">
        <v>34</v>
      </c>
      <c r="E1222" s="3">
        <v>1180684</v>
      </c>
      <c r="F1222" s="3">
        <v>1180802</v>
      </c>
      <c r="G1222" s="1" t="s">
        <v>13</v>
      </c>
      <c r="H1222" s="1" t="b">
        <f t="shared" si="44"/>
        <v>1</v>
      </c>
    </row>
    <row r="1223" spans="1:8" ht="21" x14ac:dyDescent="0.25">
      <c r="A1223" s="2" t="str">
        <f>HYPERLINK("https://rth.dk/resources/bsgatlas/details.php?id=BSGatlas-operon-650","BSGatlas-operon-650")</f>
        <v>BSGatlas-operon-650</v>
      </c>
      <c r="B1223" s="2" t="str">
        <f>HYPERLINK("https://rth.dk/resources/bsgatlas/details.php?id=BSGatlas-gene-1314","BSGatlas-gene-1314")</f>
        <v>BSGatlas-gene-1314</v>
      </c>
      <c r="C1223" s="1" t="s">
        <v>1227</v>
      </c>
      <c r="D1223" s="1" t="s">
        <v>8</v>
      </c>
      <c r="E1223" s="3">
        <v>1180909</v>
      </c>
      <c r="F1223" s="3">
        <v>1181400</v>
      </c>
      <c r="G1223" s="1" t="s">
        <v>13</v>
      </c>
      <c r="H1223" s="1" t="b">
        <f t="shared" si="44"/>
        <v>0</v>
      </c>
    </row>
    <row r="1224" spans="1:8" ht="21" x14ac:dyDescent="0.25">
      <c r="A1224" s="2" t="str">
        <f>HYPERLINK("https://rth.dk/resources/bsgatlas/details.php?id=BSGatlas-operon-651","BSGatlas-operon-651")</f>
        <v>BSGatlas-operon-651</v>
      </c>
      <c r="B1224" s="2" t="str">
        <f>HYPERLINK("https://rth.dk/resources/bsgatlas/details.php?id=BSGatlas-gene-1315","BSGatlas-gene-1315")</f>
        <v>BSGatlas-gene-1315</v>
      </c>
      <c r="C1224" s="1" t="s">
        <v>1228</v>
      </c>
      <c r="D1224" s="1" t="s">
        <v>8</v>
      </c>
      <c r="E1224" s="3">
        <v>1181499</v>
      </c>
      <c r="F1224" s="3">
        <v>1182395</v>
      </c>
      <c r="G1224" s="1" t="s">
        <v>9</v>
      </c>
      <c r="H1224" s="1" t="b">
        <f t="shared" si="44"/>
        <v>1</v>
      </c>
    </row>
    <row r="1225" spans="1:8" ht="21" x14ac:dyDescent="0.25">
      <c r="A1225" s="2" t="str">
        <f>HYPERLINK("https://rth.dk/resources/bsgatlas/details.php?id=BSGatlas-operon-652","BSGatlas-operon-652")</f>
        <v>BSGatlas-operon-652</v>
      </c>
      <c r="B1225" s="2" t="str">
        <f>HYPERLINK("https://rth.dk/resources/bsgatlas/details.php?id=BSGatlas-gene-1316","BSGatlas-gene-1316")</f>
        <v>BSGatlas-gene-1316</v>
      </c>
      <c r="C1225" s="1" t="s">
        <v>1229</v>
      </c>
      <c r="D1225" s="1" t="s">
        <v>8</v>
      </c>
      <c r="E1225" s="3">
        <v>1182448</v>
      </c>
      <c r="F1225" s="3">
        <v>1183032</v>
      </c>
      <c r="G1225" s="1" t="s">
        <v>13</v>
      </c>
      <c r="H1225" s="1" t="b">
        <f t="shared" si="44"/>
        <v>0</v>
      </c>
    </row>
    <row r="1226" spans="1:8" ht="21" x14ac:dyDescent="0.25">
      <c r="A1226" s="2" t="str">
        <f>HYPERLINK("https://rth.dk/resources/bsgatlas/details.php?id=BSGatlas-operon-653","BSGatlas-operon-653")</f>
        <v>BSGatlas-operon-653</v>
      </c>
      <c r="B1226" s="2" t="str">
        <f>HYPERLINK("https://rth.dk/resources/bsgatlas/details.php?id=BSGatlas-gene-1318","BSGatlas-gene-1318")</f>
        <v>BSGatlas-gene-1318</v>
      </c>
      <c r="C1226" s="1" t="s">
        <v>1230</v>
      </c>
      <c r="D1226" s="1" t="s">
        <v>8</v>
      </c>
      <c r="E1226" s="3">
        <v>1183943</v>
      </c>
      <c r="F1226" s="3">
        <v>1184479</v>
      </c>
      <c r="G1226" s="1" t="s">
        <v>13</v>
      </c>
      <c r="H1226" s="1" t="b">
        <f t="shared" si="44"/>
        <v>1</v>
      </c>
    </row>
    <row r="1227" spans="1:8" ht="21" x14ac:dyDescent="0.25">
      <c r="A1227" s="2" t="str">
        <f>HYPERLINK("https://rth.dk/resources/bsgatlas/details.php?id=BSGatlas-operon-654","BSGatlas-operon-654")</f>
        <v>BSGatlas-operon-654</v>
      </c>
      <c r="B1227" s="2" t="str">
        <f>HYPERLINK("https://rth.dk/resources/bsgatlas/details.php?id=BSGatlas-gene-1319","BSGatlas-gene-1319")</f>
        <v>BSGatlas-gene-1319</v>
      </c>
      <c r="C1227" s="1" t="s">
        <v>1231</v>
      </c>
      <c r="D1227" s="1" t="s">
        <v>8</v>
      </c>
      <c r="E1227" s="3">
        <v>1184657</v>
      </c>
      <c r="F1227" s="3">
        <v>1185004</v>
      </c>
      <c r="G1227" s="1" t="s">
        <v>9</v>
      </c>
      <c r="H1227" s="1" t="b">
        <f t="shared" si="44"/>
        <v>0</v>
      </c>
    </row>
    <row r="1228" spans="1:8" ht="21" x14ac:dyDescent="0.25">
      <c r="A1228" s="2" t="str">
        <f>HYPERLINK("https://rth.dk/resources/bsgatlas/details.php?id=BSGatlas-operon-654","BSGatlas-operon-654")</f>
        <v>BSGatlas-operon-654</v>
      </c>
      <c r="B1228" s="2" t="str">
        <f>HYPERLINK("https://rth.dk/resources/bsgatlas/details.php?id=BSGatlas-gene-1320","BSGatlas-gene-1320")</f>
        <v>BSGatlas-gene-1320</v>
      </c>
      <c r="C1228" s="1" t="s">
        <v>1232</v>
      </c>
      <c r="D1228" s="1" t="s">
        <v>8</v>
      </c>
      <c r="E1228" s="3">
        <v>1185001</v>
      </c>
      <c r="F1228" s="3">
        <v>1185588</v>
      </c>
      <c r="G1228" s="1" t="s">
        <v>9</v>
      </c>
      <c r="H1228" s="1" t="b">
        <f t="shared" si="44"/>
        <v>0</v>
      </c>
    </row>
    <row r="1229" spans="1:8" ht="21" x14ac:dyDescent="0.25">
      <c r="A1229" s="2" t="str">
        <f>HYPERLINK("https://rth.dk/resources/bsgatlas/details.php?id=BSGatlas-operon-654","BSGatlas-operon-654")</f>
        <v>BSGatlas-operon-654</v>
      </c>
      <c r="B1229" s="2" t="str">
        <f>HYPERLINK("https://rth.dk/resources/bsgatlas/details.php?id=BSGatlas-gene-1321","BSGatlas-gene-1321")</f>
        <v>BSGatlas-gene-1321</v>
      </c>
      <c r="C1229" s="1" t="s">
        <v>1233</v>
      </c>
      <c r="D1229" s="1" t="s">
        <v>8</v>
      </c>
      <c r="E1229" s="3">
        <v>1185608</v>
      </c>
      <c r="F1229" s="3">
        <v>1185901</v>
      </c>
      <c r="G1229" s="1" t="s">
        <v>9</v>
      </c>
      <c r="H1229" s="1" t="b">
        <f t="shared" si="44"/>
        <v>0</v>
      </c>
    </row>
    <row r="1230" spans="1:8" ht="21" x14ac:dyDescent="0.25">
      <c r="A1230" s="2" t="str">
        <f>HYPERLINK("https://rth.dk/resources/bsgatlas/details.php?id=BSGatlas-operon-655","BSGatlas-operon-655")</f>
        <v>BSGatlas-operon-655</v>
      </c>
      <c r="B1230" s="2" t="str">
        <f>HYPERLINK("https://rth.dk/resources/bsgatlas/details.php?id=BSGatlas-gene-1322","BSGatlas-gene-1322")</f>
        <v>BSGatlas-gene-1322</v>
      </c>
      <c r="C1230" s="1" t="s">
        <v>1234</v>
      </c>
      <c r="D1230" s="1" t="s">
        <v>8</v>
      </c>
      <c r="E1230" s="3">
        <v>1186037</v>
      </c>
      <c r="F1230" s="3">
        <v>1187653</v>
      </c>
      <c r="G1230" s="1" t="s">
        <v>9</v>
      </c>
      <c r="H1230" s="1" t="b">
        <f t="shared" si="44"/>
        <v>1</v>
      </c>
    </row>
    <row r="1231" spans="1:8" ht="21" x14ac:dyDescent="0.25">
      <c r="A1231" s="2" t="str">
        <f>HYPERLINK("https://rth.dk/resources/bsgatlas/details.php?id=BSGatlas-operon-656","BSGatlas-operon-656")</f>
        <v>BSGatlas-operon-656</v>
      </c>
      <c r="B1231" s="2" t="str">
        <f>HYPERLINK("https://rth.dk/resources/bsgatlas/details.php?id=BSGatlas-gene-1323","BSGatlas-gene-1323")</f>
        <v>BSGatlas-gene-1323</v>
      </c>
      <c r="C1231" s="1" t="s">
        <v>1235</v>
      </c>
      <c r="D1231" s="1" t="s">
        <v>8</v>
      </c>
      <c r="E1231" s="3">
        <v>1187700</v>
      </c>
      <c r="F1231" s="3">
        <v>1188551</v>
      </c>
      <c r="G1231" s="1" t="s">
        <v>13</v>
      </c>
      <c r="H1231" s="1" t="b">
        <f t="shared" si="44"/>
        <v>0</v>
      </c>
    </row>
    <row r="1232" spans="1:8" ht="21" x14ac:dyDescent="0.25">
      <c r="A1232" s="2" t="str">
        <f>HYPERLINK("https://rth.dk/resources/bsgatlas/details.php?id=BSGatlas-operon-657","BSGatlas-operon-657")</f>
        <v>BSGatlas-operon-657</v>
      </c>
      <c r="B1232" s="2" t="str">
        <f>HYPERLINK("https://rth.dk/resources/bsgatlas/details.php?id=BSGatlas-gene-1324","BSGatlas-gene-1324")</f>
        <v>BSGatlas-gene-1324</v>
      </c>
      <c r="C1232" s="1" t="s">
        <v>1236</v>
      </c>
      <c r="D1232" s="1" t="s">
        <v>8</v>
      </c>
      <c r="E1232" s="3">
        <v>1188689</v>
      </c>
      <c r="F1232" s="3">
        <v>1189531</v>
      </c>
      <c r="G1232" s="1" t="s">
        <v>9</v>
      </c>
      <c r="H1232" s="1" t="b">
        <f t="shared" si="44"/>
        <v>1</v>
      </c>
    </row>
    <row r="1233" spans="1:8" ht="21" x14ac:dyDescent="0.25">
      <c r="A1233" s="2" t="str">
        <f>HYPERLINK("https://rth.dk/resources/bsgatlas/details.php?id=BSGatlas-operon-657","BSGatlas-operon-657")</f>
        <v>BSGatlas-operon-657</v>
      </c>
      <c r="B1233" s="2" t="str">
        <f>HYPERLINK("https://rth.dk/resources/bsgatlas/details.php?id=BSGatlas-gene-1325","BSGatlas-gene-1325")</f>
        <v>BSGatlas-gene-1325</v>
      </c>
      <c r="C1233" s="1" t="s">
        <v>1237</v>
      </c>
      <c r="D1233" s="1" t="s">
        <v>8</v>
      </c>
      <c r="E1233" s="3">
        <v>1189646</v>
      </c>
      <c r="F1233" s="3">
        <v>1190005</v>
      </c>
      <c r="G1233" s="1" t="s">
        <v>9</v>
      </c>
      <c r="H1233" s="1" t="b">
        <f t="shared" si="44"/>
        <v>1</v>
      </c>
    </row>
    <row r="1234" spans="1:8" ht="21" x14ac:dyDescent="0.25">
      <c r="A1234" s="2" t="str">
        <f>HYPERLINK("https://rth.dk/resources/bsgatlas/details.php?id=BSGatlas-operon-658","BSGatlas-operon-658")</f>
        <v>BSGatlas-operon-658</v>
      </c>
      <c r="B1234" s="2" t="str">
        <f>HYPERLINK("https://rth.dk/resources/bsgatlas/details.php?id=BSGatlas-gene-1326","BSGatlas-gene-1326")</f>
        <v>BSGatlas-gene-1326</v>
      </c>
      <c r="C1234" s="1" t="s">
        <v>1238</v>
      </c>
      <c r="D1234" s="1" t="s">
        <v>8</v>
      </c>
      <c r="E1234" s="3">
        <v>1190036</v>
      </c>
      <c r="F1234" s="3">
        <v>1190233</v>
      </c>
      <c r="G1234" s="1" t="s">
        <v>13</v>
      </c>
      <c r="H1234" s="1" t="b">
        <f t="shared" si="44"/>
        <v>0</v>
      </c>
    </row>
    <row r="1235" spans="1:8" ht="21" x14ac:dyDescent="0.25">
      <c r="A1235" s="2" t="str">
        <f>HYPERLINK("https://rth.dk/resources/bsgatlas/details.php?id=BSGatlas-operon-658","BSGatlas-operon-658")</f>
        <v>BSGatlas-operon-658</v>
      </c>
      <c r="B1235" s="2" t="str">
        <f>HYPERLINK("https://rth.dk/resources/bsgatlas/details.php?id=BSGatlas-gene-1327","BSGatlas-gene-1327")</f>
        <v>BSGatlas-gene-1327</v>
      </c>
      <c r="C1235" s="1" t="s">
        <v>1239</v>
      </c>
      <c r="D1235" s="1" t="s">
        <v>8</v>
      </c>
      <c r="E1235" s="3">
        <v>1190490</v>
      </c>
      <c r="F1235" s="3">
        <v>1191302</v>
      </c>
      <c r="G1235" s="1" t="s">
        <v>13</v>
      </c>
      <c r="H1235" s="1" t="b">
        <f t="shared" si="44"/>
        <v>0</v>
      </c>
    </row>
    <row r="1236" spans="1:8" ht="21" x14ac:dyDescent="0.25">
      <c r="A1236" s="2" t="str">
        <f>HYPERLINK("https://rth.dk/resources/bsgatlas/details.php?id=BSGatlas-operon-659","BSGatlas-operon-659")</f>
        <v>BSGatlas-operon-659</v>
      </c>
      <c r="B1236" s="2" t="str">
        <f>HYPERLINK("https://rth.dk/resources/bsgatlas/details.php?id=BSGatlas-gene-1328","BSGatlas-gene-1328")</f>
        <v>BSGatlas-gene-1328</v>
      </c>
      <c r="C1236" s="1" t="s">
        <v>1240</v>
      </c>
      <c r="D1236" s="1" t="s">
        <v>8</v>
      </c>
      <c r="E1236" s="3">
        <v>1191423</v>
      </c>
      <c r="F1236" s="3">
        <v>1192190</v>
      </c>
      <c r="G1236" s="1" t="s">
        <v>9</v>
      </c>
      <c r="H1236" s="1" t="b">
        <f t="shared" si="44"/>
        <v>1</v>
      </c>
    </row>
    <row r="1237" spans="1:8" ht="21" x14ac:dyDescent="0.25">
      <c r="A1237" s="2" t="str">
        <f>HYPERLINK("https://rth.dk/resources/bsgatlas/details.php?id=BSGatlas-operon-659","BSGatlas-operon-659")</f>
        <v>BSGatlas-operon-659</v>
      </c>
      <c r="B1237" s="2" t="str">
        <f>HYPERLINK("https://rth.dk/resources/bsgatlas/details.php?id=BSGatlas-gene-1329","BSGatlas-gene-1329")</f>
        <v>BSGatlas-gene-1329</v>
      </c>
      <c r="C1237" s="1" t="s">
        <v>1241</v>
      </c>
      <c r="D1237" s="1" t="s">
        <v>8</v>
      </c>
      <c r="E1237" s="3">
        <v>1192254</v>
      </c>
      <c r="F1237" s="3">
        <v>1192562</v>
      </c>
      <c r="G1237" s="1" t="s">
        <v>9</v>
      </c>
      <c r="H1237" s="1" t="b">
        <f t="shared" si="44"/>
        <v>1</v>
      </c>
    </row>
    <row r="1238" spans="1:8" ht="21" x14ac:dyDescent="0.25">
      <c r="A1238" s="2" t="str">
        <f>HYPERLINK("https://rth.dk/resources/bsgatlas/details.php?id=BSGatlas-operon-660","BSGatlas-operon-660")</f>
        <v>BSGatlas-operon-660</v>
      </c>
      <c r="B1238" s="2" t="str">
        <f>HYPERLINK("https://rth.dk/resources/bsgatlas/details.php?id=BSGatlas-gene-1331","BSGatlas-gene-1331")</f>
        <v>BSGatlas-gene-1331</v>
      </c>
      <c r="C1238" s="1" t="s">
        <v>1242</v>
      </c>
      <c r="D1238" s="1" t="s">
        <v>8</v>
      </c>
      <c r="E1238" s="3">
        <v>1194333</v>
      </c>
      <c r="F1238" s="3">
        <v>1194827</v>
      </c>
      <c r="G1238" s="1" t="s">
        <v>9</v>
      </c>
      <c r="H1238" s="1" t="b">
        <f t="shared" si="44"/>
        <v>0</v>
      </c>
    </row>
    <row r="1239" spans="1:8" ht="21" x14ac:dyDescent="0.25">
      <c r="A1239" s="2" t="str">
        <f t="shared" ref="A1239:A1245" si="45">HYPERLINK("https://rth.dk/resources/bsgatlas/details.php?id=BSGatlas-operon-661","BSGatlas-operon-661")</f>
        <v>BSGatlas-operon-661</v>
      </c>
      <c r="B1239" s="2" t="str">
        <f>HYPERLINK("https://rth.dk/resources/bsgatlas/details.php?id=BSGatlas-gene-1332","BSGatlas-gene-1332")</f>
        <v>BSGatlas-gene-1332</v>
      </c>
      <c r="C1239" s="1" t="s">
        <v>1243</v>
      </c>
      <c r="D1239" s="1" t="s">
        <v>8</v>
      </c>
      <c r="E1239" s="3">
        <v>1195034</v>
      </c>
      <c r="F1239" s="3">
        <v>1196071</v>
      </c>
      <c r="G1239" s="1" t="s">
        <v>9</v>
      </c>
      <c r="H1239" s="1" t="b">
        <f t="shared" si="44"/>
        <v>1</v>
      </c>
    </row>
    <row r="1240" spans="1:8" ht="21" x14ac:dyDescent="0.25">
      <c r="A1240" s="2" t="str">
        <f t="shared" si="45"/>
        <v>BSGatlas-operon-661</v>
      </c>
      <c r="B1240" s="2" t="str">
        <f>HYPERLINK("https://rth.dk/resources/bsgatlas/details.php?id=BSGatlas-gene-1333","BSGatlas-gene-1333")</f>
        <v>BSGatlas-gene-1333</v>
      </c>
      <c r="C1240" s="1" t="s">
        <v>1244</v>
      </c>
      <c r="D1240" s="1" t="s">
        <v>8</v>
      </c>
      <c r="E1240" s="3">
        <v>1196091</v>
      </c>
      <c r="F1240" s="3">
        <v>1197311</v>
      </c>
      <c r="G1240" s="1" t="s">
        <v>9</v>
      </c>
      <c r="H1240" s="1" t="b">
        <f t="shared" si="44"/>
        <v>1</v>
      </c>
    </row>
    <row r="1241" spans="1:8" ht="21" x14ac:dyDescent="0.25">
      <c r="A1241" s="2" t="str">
        <f t="shared" si="45"/>
        <v>BSGatlas-operon-661</v>
      </c>
      <c r="B1241" s="2" t="str">
        <f>HYPERLINK("https://rth.dk/resources/bsgatlas/details.php?id=BSGatlas-gene-1334","BSGatlas-gene-1334")</f>
        <v>BSGatlas-gene-1334</v>
      </c>
      <c r="C1241" s="1" t="s">
        <v>1245</v>
      </c>
      <c r="D1241" s="1" t="s">
        <v>8</v>
      </c>
      <c r="E1241" s="3">
        <v>1197326</v>
      </c>
      <c r="F1241" s="3">
        <v>1198102</v>
      </c>
      <c r="G1241" s="1" t="s">
        <v>9</v>
      </c>
      <c r="H1241" s="1" t="b">
        <f t="shared" si="44"/>
        <v>1</v>
      </c>
    </row>
    <row r="1242" spans="1:8" ht="21" x14ac:dyDescent="0.25">
      <c r="A1242" s="2" t="str">
        <f t="shared" si="45"/>
        <v>BSGatlas-operon-661</v>
      </c>
      <c r="B1242" s="2" t="str">
        <f>HYPERLINK("https://rth.dk/resources/bsgatlas/details.php?id=BSGatlas-gene-1335","BSGatlas-gene-1335")</f>
        <v>BSGatlas-gene-1335</v>
      </c>
      <c r="C1242" s="1" t="s">
        <v>1246</v>
      </c>
      <c r="D1242" s="1" t="s">
        <v>8</v>
      </c>
      <c r="E1242" s="3">
        <v>1198099</v>
      </c>
      <c r="F1242" s="3">
        <v>1199256</v>
      </c>
      <c r="G1242" s="1" t="s">
        <v>9</v>
      </c>
      <c r="H1242" s="1" t="b">
        <f t="shared" si="44"/>
        <v>1</v>
      </c>
    </row>
    <row r="1243" spans="1:8" ht="21" x14ac:dyDescent="0.25">
      <c r="A1243" s="2" t="str">
        <f t="shared" si="45"/>
        <v>BSGatlas-operon-661</v>
      </c>
      <c r="B1243" s="2" t="str">
        <f>HYPERLINK("https://rth.dk/resources/bsgatlas/details.php?id=BSGatlas-gene-1336","BSGatlas-gene-1336")</f>
        <v>BSGatlas-gene-1336</v>
      </c>
      <c r="C1243" s="1" t="s">
        <v>1247</v>
      </c>
      <c r="D1243" s="1" t="s">
        <v>8</v>
      </c>
      <c r="E1243" s="3">
        <v>1199327</v>
      </c>
      <c r="F1243" s="3">
        <v>1200388</v>
      </c>
      <c r="G1243" s="1" t="s">
        <v>9</v>
      </c>
      <c r="H1243" s="1" t="b">
        <f t="shared" si="44"/>
        <v>1</v>
      </c>
    </row>
    <row r="1244" spans="1:8" ht="21" x14ac:dyDescent="0.25">
      <c r="A1244" s="2" t="str">
        <f t="shared" si="45"/>
        <v>BSGatlas-operon-661</v>
      </c>
      <c r="B1244" s="2" t="str">
        <f>HYPERLINK("https://rth.dk/resources/bsgatlas/details.php?id=BSGatlas-gene-1337","BSGatlas-gene-1337")</f>
        <v>BSGatlas-gene-1337</v>
      </c>
      <c r="C1244" s="1" t="s">
        <v>1248</v>
      </c>
      <c r="D1244" s="1" t="s">
        <v>8</v>
      </c>
      <c r="E1244" s="3">
        <v>1200381</v>
      </c>
      <c r="F1244" s="3">
        <v>1203473</v>
      </c>
      <c r="G1244" s="1" t="s">
        <v>9</v>
      </c>
      <c r="H1244" s="1" t="b">
        <f t="shared" si="44"/>
        <v>1</v>
      </c>
    </row>
    <row r="1245" spans="1:8" ht="21" x14ac:dyDescent="0.25">
      <c r="A1245" s="2" t="str">
        <f t="shared" si="45"/>
        <v>BSGatlas-operon-661</v>
      </c>
      <c r="B1245" s="2" t="str">
        <f>HYPERLINK("https://rth.dk/resources/bsgatlas/details.php?id=BSGatlas-gene-1338","BSGatlas-gene-1338")</f>
        <v>BSGatlas-gene-1338</v>
      </c>
      <c r="C1245" s="1" t="s">
        <v>1249</v>
      </c>
      <c r="D1245" s="1" t="s">
        <v>8</v>
      </c>
      <c r="E1245" s="3">
        <v>1203461</v>
      </c>
      <c r="F1245" s="3">
        <v>1204420</v>
      </c>
      <c r="G1245" s="1" t="s">
        <v>9</v>
      </c>
      <c r="H1245" s="1" t="b">
        <f t="shared" si="44"/>
        <v>1</v>
      </c>
    </row>
    <row r="1246" spans="1:8" ht="21" x14ac:dyDescent="0.25">
      <c r="A1246" s="2" t="str">
        <f>HYPERLINK("https://rth.dk/resources/bsgatlas/details.php?id=BSGatlas-operon-662","BSGatlas-operon-662")</f>
        <v>BSGatlas-operon-662</v>
      </c>
      <c r="B1246" s="2" t="str">
        <f>HYPERLINK("https://rth.dk/resources/bsgatlas/details.php?id=BSGatlas-gene-1340","BSGatlas-gene-1340")</f>
        <v>BSGatlas-gene-1340</v>
      </c>
      <c r="C1246" s="1" t="s">
        <v>1250</v>
      </c>
      <c r="D1246" s="1" t="s">
        <v>8</v>
      </c>
      <c r="E1246" s="3">
        <v>1204731</v>
      </c>
      <c r="F1246" s="3">
        <v>1204916</v>
      </c>
      <c r="G1246" s="1" t="s">
        <v>13</v>
      </c>
      <c r="H1246" s="1" t="b">
        <f t="shared" si="44"/>
        <v>0</v>
      </c>
    </row>
    <row r="1247" spans="1:8" ht="21" x14ac:dyDescent="0.25">
      <c r="A1247" s="2" t="str">
        <f>HYPERLINK("https://rth.dk/resources/bsgatlas/details.php?id=BSGatlas-operon-663","BSGatlas-operon-663")</f>
        <v>BSGatlas-operon-663</v>
      </c>
      <c r="B1247" s="2" t="str">
        <f>HYPERLINK("https://rth.dk/resources/bsgatlas/details.php?id=BSGatlas-gene-1339","BSGatlas-gene-1339")</f>
        <v>BSGatlas-gene-1339</v>
      </c>
      <c r="C1247" s="1" t="s">
        <v>1251</v>
      </c>
      <c r="D1247" s="1" t="s">
        <v>8</v>
      </c>
      <c r="E1247" s="3">
        <v>1204506</v>
      </c>
      <c r="F1247" s="3">
        <v>1204685</v>
      </c>
      <c r="G1247" s="1" t="s">
        <v>9</v>
      </c>
      <c r="H1247" s="1" t="b">
        <f t="shared" si="44"/>
        <v>1</v>
      </c>
    </row>
    <row r="1248" spans="1:8" ht="21" x14ac:dyDescent="0.25">
      <c r="A1248" s="2" t="str">
        <f>HYPERLINK("https://rth.dk/resources/bsgatlas/details.php?id=BSGatlas-operon-664","BSGatlas-operon-664")</f>
        <v>BSGatlas-operon-664</v>
      </c>
      <c r="B1248" s="2" t="str">
        <f>HYPERLINK("https://rth.dk/resources/bsgatlas/details.php?id=BSGatlas-gene-1341","BSGatlas-gene-1341")</f>
        <v>BSGatlas-gene-1341</v>
      </c>
      <c r="C1248" s="1" t="s">
        <v>1252</v>
      </c>
      <c r="D1248" s="1" t="s">
        <v>8</v>
      </c>
      <c r="E1248" s="3">
        <v>1205165</v>
      </c>
      <c r="F1248" s="3">
        <v>1205899</v>
      </c>
      <c r="G1248" s="1" t="s">
        <v>9</v>
      </c>
      <c r="H1248" s="1" t="b">
        <f t="shared" si="44"/>
        <v>0</v>
      </c>
    </row>
    <row r="1249" spans="1:8" ht="21" x14ac:dyDescent="0.25">
      <c r="A1249" s="2" t="str">
        <f>HYPERLINK("https://rth.dk/resources/bsgatlas/details.php?id=BSGatlas-operon-664","BSGatlas-operon-664")</f>
        <v>BSGatlas-operon-664</v>
      </c>
      <c r="B1249" s="2" t="str">
        <f>HYPERLINK("https://rth.dk/resources/bsgatlas/details.php?id=BSGatlas-gene-1343","BSGatlas-gene-1343")</f>
        <v>BSGatlas-gene-1343</v>
      </c>
      <c r="C1249" s="1" t="s">
        <v>1253</v>
      </c>
      <c r="D1249" s="1" t="s">
        <v>8</v>
      </c>
      <c r="E1249" s="3">
        <v>1205981</v>
      </c>
      <c r="F1249" s="3">
        <v>1206538</v>
      </c>
      <c r="G1249" s="1" t="s">
        <v>9</v>
      </c>
      <c r="H1249" s="1" t="b">
        <f t="shared" si="44"/>
        <v>0</v>
      </c>
    </row>
    <row r="1250" spans="1:8" ht="21" x14ac:dyDescent="0.25">
      <c r="A1250" s="2" t="str">
        <f>HYPERLINK("https://rth.dk/resources/bsgatlas/details.php?id=BSGatlas-operon-664","BSGatlas-operon-664")</f>
        <v>BSGatlas-operon-664</v>
      </c>
      <c r="B1250" s="2" t="str">
        <f>HYPERLINK("https://rth.dk/resources/bsgatlas/details.php?id=BSGatlas-gene-1344","BSGatlas-gene-1344")</f>
        <v>BSGatlas-gene-1344</v>
      </c>
      <c r="C1250" s="1" t="s">
        <v>1254</v>
      </c>
      <c r="D1250" s="1" t="s">
        <v>8</v>
      </c>
      <c r="E1250" s="3">
        <v>1206629</v>
      </c>
      <c r="F1250" s="3">
        <v>1207582</v>
      </c>
      <c r="G1250" s="1" t="s">
        <v>9</v>
      </c>
      <c r="H1250" s="1" t="b">
        <f t="shared" si="44"/>
        <v>0</v>
      </c>
    </row>
    <row r="1251" spans="1:8" ht="21" x14ac:dyDescent="0.25">
      <c r="A1251" s="2" t="str">
        <f>HYPERLINK("https://rth.dk/resources/bsgatlas/details.php?id=BSGatlas-operon-664","BSGatlas-operon-664")</f>
        <v>BSGatlas-operon-664</v>
      </c>
      <c r="B1251" s="2" t="str">
        <f>HYPERLINK("https://rth.dk/resources/bsgatlas/details.php?id=BSGatlas-gene-1345","BSGatlas-gene-1345")</f>
        <v>BSGatlas-gene-1345</v>
      </c>
      <c r="C1251" s="1" t="s">
        <v>1255</v>
      </c>
      <c r="D1251" s="1" t="s">
        <v>8</v>
      </c>
      <c r="E1251" s="3">
        <v>1207597</v>
      </c>
      <c r="F1251" s="3">
        <v>1207788</v>
      </c>
      <c r="G1251" s="1" t="s">
        <v>9</v>
      </c>
      <c r="H1251" s="1" t="b">
        <f t="shared" si="44"/>
        <v>0</v>
      </c>
    </row>
    <row r="1252" spans="1:8" ht="21" x14ac:dyDescent="0.25">
      <c r="A1252" s="2" t="str">
        <f>HYPERLINK("https://rth.dk/resources/bsgatlas/details.php?id=BSGatlas-operon-665","BSGatlas-operon-665")</f>
        <v>BSGatlas-operon-665</v>
      </c>
      <c r="B1252" s="2" t="str">
        <f>HYPERLINK("https://rth.dk/resources/bsgatlas/details.php?id=BSGatlas-gene-1342","BSGatlas-gene-1342")</f>
        <v>BSGatlas-gene-1342</v>
      </c>
      <c r="C1252" s="1" t="s">
        <v>1256</v>
      </c>
      <c r="D1252" s="1" t="s">
        <v>12</v>
      </c>
      <c r="E1252" s="3">
        <v>1205658</v>
      </c>
      <c r="F1252" s="3">
        <v>1206260</v>
      </c>
      <c r="G1252" s="1" t="s">
        <v>13</v>
      </c>
      <c r="H1252" s="1" t="b">
        <f t="shared" si="44"/>
        <v>1</v>
      </c>
    </row>
    <row r="1253" spans="1:8" ht="21" x14ac:dyDescent="0.25">
      <c r="A1253" s="2" t="str">
        <f>HYPERLINK("https://rth.dk/resources/bsgatlas/details.php?id=BSGatlas-operon-666","BSGatlas-operon-666")</f>
        <v>BSGatlas-operon-666</v>
      </c>
      <c r="B1253" s="2" t="str">
        <f>HYPERLINK("https://rth.dk/resources/bsgatlas/details.php?id=BSGatlas-gene-1346","BSGatlas-gene-1346")</f>
        <v>BSGatlas-gene-1346</v>
      </c>
      <c r="C1253" s="1" t="s">
        <v>1257</v>
      </c>
      <c r="D1253" s="1" t="s">
        <v>8</v>
      </c>
      <c r="E1253" s="3">
        <v>1207818</v>
      </c>
      <c r="F1253" s="3">
        <v>1208057</v>
      </c>
      <c r="G1253" s="1" t="s">
        <v>13</v>
      </c>
      <c r="H1253" s="1" t="b">
        <f t="shared" si="44"/>
        <v>0</v>
      </c>
    </row>
    <row r="1254" spans="1:8" ht="21" x14ac:dyDescent="0.25">
      <c r="A1254" s="2" t="str">
        <f>HYPERLINK("https://rth.dk/resources/bsgatlas/details.php?id=BSGatlas-operon-667","BSGatlas-operon-667")</f>
        <v>BSGatlas-operon-667</v>
      </c>
      <c r="B1254" s="2" t="str">
        <f>HYPERLINK("https://rth.dk/resources/bsgatlas/details.php?id=BSGatlas-gene-1347","BSGatlas-gene-1347")</f>
        <v>BSGatlas-gene-1347</v>
      </c>
      <c r="C1254" s="1" t="s">
        <v>1258</v>
      </c>
      <c r="D1254" s="1" t="s">
        <v>8</v>
      </c>
      <c r="E1254" s="3">
        <v>1208222</v>
      </c>
      <c r="F1254" s="3">
        <v>1209160</v>
      </c>
      <c r="G1254" s="1" t="s">
        <v>9</v>
      </c>
      <c r="H1254" s="1" t="b">
        <f t="shared" si="44"/>
        <v>1</v>
      </c>
    </row>
    <row r="1255" spans="1:8" ht="21" x14ac:dyDescent="0.25">
      <c r="A1255" s="2" t="str">
        <f>HYPERLINK("https://rth.dk/resources/bsgatlas/details.php?id=BSGatlas-operon-667","BSGatlas-operon-667")</f>
        <v>BSGatlas-operon-667</v>
      </c>
      <c r="B1255" s="2" t="str">
        <f>HYPERLINK("https://rth.dk/resources/bsgatlas/details.php?id=BSGatlas-gene-1348","BSGatlas-gene-1348")</f>
        <v>BSGatlas-gene-1348</v>
      </c>
      <c r="C1255" s="1" t="s">
        <v>1259</v>
      </c>
      <c r="D1255" s="1" t="s">
        <v>8</v>
      </c>
      <c r="E1255" s="3">
        <v>1209183</v>
      </c>
      <c r="F1255" s="3">
        <v>1210424</v>
      </c>
      <c r="G1255" s="1" t="s">
        <v>9</v>
      </c>
      <c r="H1255" s="1" t="b">
        <f t="shared" si="44"/>
        <v>1</v>
      </c>
    </row>
    <row r="1256" spans="1:8" ht="21" x14ac:dyDescent="0.25">
      <c r="A1256" s="2" t="str">
        <f>HYPERLINK("https://rth.dk/resources/bsgatlas/details.php?id=BSGatlas-operon-668","BSGatlas-operon-668")</f>
        <v>BSGatlas-operon-668</v>
      </c>
      <c r="B1256" s="2" t="str">
        <f>HYPERLINK("https://rth.dk/resources/bsgatlas/details.php?id=BSGatlas-gene-1349","BSGatlas-gene-1349")</f>
        <v>BSGatlas-gene-1349</v>
      </c>
      <c r="C1256" s="1" t="s">
        <v>1260</v>
      </c>
      <c r="D1256" s="1" t="s">
        <v>8</v>
      </c>
      <c r="E1256" s="3">
        <v>1210500</v>
      </c>
      <c r="F1256" s="3">
        <v>1211285</v>
      </c>
      <c r="G1256" s="1" t="s">
        <v>9</v>
      </c>
      <c r="H1256" s="1" t="b">
        <f t="shared" si="44"/>
        <v>0</v>
      </c>
    </row>
    <row r="1257" spans="1:8" ht="21" x14ac:dyDescent="0.25">
      <c r="A1257" s="2" t="str">
        <f t="shared" ref="A1257:A1262" si="46">HYPERLINK("https://rth.dk/resources/bsgatlas/details.php?id=BSGatlas-operon-669","BSGatlas-operon-669")</f>
        <v>BSGatlas-operon-669</v>
      </c>
      <c r="B1257" s="2" t="str">
        <f>HYPERLINK("https://rth.dk/resources/bsgatlas/details.php?id=BSGatlas-gene-1350","BSGatlas-gene-1350")</f>
        <v>BSGatlas-gene-1350</v>
      </c>
      <c r="C1257" s="1" t="s">
        <v>1261</v>
      </c>
      <c r="D1257" s="1" t="s">
        <v>8</v>
      </c>
      <c r="E1257" s="3">
        <v>1211477</v>
      </c>
      <c r="F1257" s="3">
        <v>1212463</v>
      </c>
      <c r="G1257" s="1" t="s">
        <v>9</v>
      </c>
      <c r="H1257" s="1" t="b">
        <f t="shared" si="44"/>
        <v>1</v>
      </c>
    </row>
    <row r="1258" spans="1:8" ht="21" x14ac:dyDescent="0.25">
      <c r="A1258" s="2" t="str">
        <f t="shared" si="46"/>
        <v>BSGatlas-operon-669</v>
      </c>
      <c r="B1258" s="2" t="str">
        <f>HYPERLINK("https://rth.dk/resources/bsgatlas/details.php?id=BSGatlas-gene-1351","BSGatlas-gene-1351")</f>
        <v>BSGatlas-gene-1351</v>
      </c>
      <c r="C1258" s="1" t="s">
        <v>1262</v>
      </c>
      <c r="D1258" s="1" t="s">
        <v>8</v>
      </c>
      <c r="E1258" s="3">
        <v>1212460</v>
      </c>
      <c r="F1258" s="3">
        <v>1213449</v>
      </c>
      <c r="G1258" s="1" t="s">
        <v>9</v>
      </c>
      <c r="H1258" s="1" t="b">
        <f t="shared" si="44"/>
        <v>1</v>
      </c>
    </row>
    <row r="1259" spans="1:8" ht="21" x14ac:dyDescent="0.25">
      <c r="A1259" s="2" t="str">
        <f t="shared" si="46"/>
        <v>BSGatlas-operon-669</v>
      </c>
      <c r="B1259" s="2" t="str">
        <f>HYPERLINK("https://rth.dk/resources/bsgatlas/details.php?id=BSGatlas-gene-1352","BSGatlas-gene-1352")</f>
        <v>BSGatlas-gene-1352</v>
      </c>
      <c r="C1259" s="1" t="s">
        <v>1263</v>
      </c>
      <c r="D1259" s="1" t="s">
        <v>276</v>
      </c>
      <c r="E1259" s="3">
        <v>1213537</v>
      </c>
      <c r="F1259" s="3">
        <v>1214001</v>
      </c>
      <c r="G1259" s="1" t="s">
        <v>9</v>
      </c>
      <c r="H1259" s="1" t="b">
        <f t="shared" si="44"/>
        <v>1</v>
      </c>
    </row>
    <row r="1260" spans="1:8" ht="21" x14ac:dyDescent="0.25">
      <c r="A1260" s="2" t="str">
        <f t="shared" si="46"/>
        <v>BSGatlas-operon-669</v>
      </c>
      <c r="B1260" s="2" t="str">
        <f>HYPERLINK("https://rth.dk/resources/bsgatlas/details.php?id=BSGatlas-gene-1353","BSGatlas-gene-1353")</f>
        <v>BSGatlas-gene-1353</v>
      </c>
      <c r="C1260" s="1" t="s">
        <v>1264</v>
      </c>
      <c r="D1260" s="1" t="s">
        <v>276</v>
      </c>
      <c r="E1260" s="3">
        <v>1214001</v>
      </c>
      <c r="F1260" s="3">
        <v>1215167</v>
      </c>
      <c r="G1260" s="1" t="s">
        <v>9</v>
      </c>
      <c r="H1260" s="1" t="b">
        <f t="shared" si="44"/>
        <v>1</v>
      </c>
    </row>
    <row r="1261" spans="1:8" ht="21" x14ac:dyDescent="0.25">
      <c r="A1261" s="2" t="str">
        <f t="shared" si="46"/>
        <v>BSGatlas-operon-669</v>
      </c>
      <c r="B1261" s="2" t="str">
        <f>HYPERLINK("https://rth.dk/resources/bsgatlas/details.php?id=BSGatlas-gene-1354","BSGatlas-gene-1354")</f>
        <v>BSGatlas-gene-1354</v>
      </c>
      <c r="C1261" s="1" t="s">
        <v>1265</v>
      </c>
      <c r="D1261" s="1" t="s">
        <v>8</v>
      </c>
      <c r="E1261" s="3">
        <v>1215243</v>
      </c>
      <c r="F1261" s="3">
        <v>1216193</v>
      </c>
      <c r="G1261" s="1" t="s">
        <v>9</v>
      </c>
      <c r="H1261" s="1" t="b">
        <f t="shared" si="44"/>
        <v>1</v>
      </c>
    </row>
    <row r="1262" spans="1:8" ht="21" x14ac:dyDescent="0.25">
      <c r="A1262" s="2" t="str">
        <f t="shared" si="46"/>
        <v>BSGatlas-operon-669</v>
      </c>
      <c r="B1262" s="2" t="str">
        <f>HYPERLINK("https://rth.dk/resources/bsgatlas/details.php?id=BSGatlas-gene-1355","BSGatlas-gene-1355")</f>
        <v>BSGatlas-gene-1355</v>
      </c>
      <c r="C1262" s="1" t="s">
        <v>1266</v>
      </c>
      <c r="D1262" s="1" t="s">
        <v>8</v>
      </c>
      <c r="E1262" s="3">
        <v>1216210</v>
      </c>
      <c r="F1262" s="3">
        <v>1217121</v>
      </c>
      <c r="G1262" s="1" t="s">
        <v>9</v>
      </c>
      <c r="H1262" s="1" t="b">
        <f t="shared" si="44"/>
        <v>1</v>
      </c>
    </row>
    <row r="1263" spans="1:8" ht="21" x14ac:dyDescent="0.25">
      <c r="A1263" s="2" t="str">
        <f>HYPERLINK("https://rth.dk/resources/bsgatlas/details.php?id=BSGatlas-operon-670","BSGatlas-operon-670")</f>
        <v>BSGatlas-operon-670</v>
      </c>
      <c r="B1263" s="2" t="str">
        <f>HYPERLINK("https://rth.dk/resources/bsgatlas/details.php?id=BSGatlas-gene-1356","BSGatlas-gene-1356")</f>
        <v>BSGatlas-gene-1356</v>
      </c>
      <c r="C1263" s="1" t="s">
        <v>1267</v>
      </c>
      <c r="D1263" s="1" t="s">
        <v>8</v>
      </c>
      <c r="E1263" s="3">
        <v>1217326</v>
      </c>
      <c r="F1263" s="3">
        <v>1218078</v>
      </c>
      <c r="G1263" s="1" t="s">
        <v>9</v>
      </c>
      <c r="H1263" s="1" t="b">
        <f t="shared" si="44"/>
        <v>0</v>
      </c>
    </row>
    <row r="1264" spans="1:8" ht="21" x14ac:dyDescent="0.25">
      <c r="A1264" s="2" t="str">
        <f>HYPERLINK("https://rth.dk/resources/bsgatlas/details.php?id=BSGatlas-operon-671","BSGatlas-operon-671")</f>
        <v>BSGatlas-operon-671</v>
      </c>
      <c r="B1264" s="2" t="str">
        <f>HYPERLINK("https://rth.dk/resources/bsgatlas/details.php?id=BSGatlas-gene-1357","BSGatlas-gene-1357")</f>
        <v>BSGatlas-gene-1357</v>
      </c>
      <c r="C1264" s="1" t="s">
        <v>1268</v>
      </c>
      <c r="D1264" s="1" t="s">
        <v>8</v>
      </c>
      <c r="E1264" s="3">
        <v>1218113</v>
      </c>
      <c r="F1264" s="3">
        <v>1219105</v>
      </c>
      <c r="G1264" s="1" t="s">
        <v>13</v>
      </c>
      <c r="H1264" s="1" t="b">
        <f t="shared" si="44"/>
        <v>1</v>
      </c>
    </row>
    <row r="1265" spans="1:8" ht="21" x14ac:dyDescent="0.25">
      <c r="A1265" s="2" t="str">
        <f>HYPERLINK("https://rth.dk/resources/bsgatlas/details.php?id=BSGatlas-operon-672","BSGatlas-operon-672")</f>
        <v>BSGatlas-operon-672</v>
      </c>
      <c r="B1265" s="2" t="str">
        <f>HYPERLINK("https://rth.dk/resources/bsgatlas/details.php?id=BSGatlas-gene-1358","BSGatlas-gene-1358")</f>
        <v>BSGatlas-gene-1358</v>
      </c>
      <c r="C1265" s="1" t="s">
        <v>1269</v>
      </c>
      <c r="D1265" s="1" t="s">
        <v>34</v>
      </c>
      <c r="E1265" s="3">
        <v>1219163</v>
      </c>
      <c r="F1265" s="3">
        <v>1219378</v>
      </c>
      <c r="G1265" s="1" t="s">
        <v>13</v>
      </c>
      <c r="H1265" s="1" t="b">
        <f t="shared" si="44"/>
        <v>0</v>
      </c>
    </row>
    <row r="1266" spans="1:8" ht="21" x14ac:dyDescent="0.25">
      <c r="A1266" s="2" t="str">
        <f>HYPERLINK("https://rth.dk/resources/bsgatlas/details.php?id=BSGatlas-operon-673","BSGatlas-operon-673")</f>
        <v>BSGatlas-operon-673</v>
      </c>
      <c r="B1266" s="2" t="str">
        <f>HYPERLINK("https://rth.dk/resources/bsgatlas/details.php?id=BSGatlas-gene-1359","BSGatlas-gene-1359")</f>
        <v>BSGatlas-gene-1359</v>
      </c>
      <c r="C1266" s="1" t="s">
        <v>1270</v>
      </c>
      <c r="D1266" s="1" t="s">
        <v>12</v>
      </c>
      <c r="E1266" s="3">
        <v>1219702</v>
      </c>
      <c r="F1266" s="3">
        <v>1219801</v>
      </c>
      <c r="G1266" s="1" t="s">
        <v>9</v>
      </c>
      <c r="H1266" s="1" t="b">
        <f t="shared" si="44"/>
        <v>1</v>
      </c>
    </row>
    <row r="1267" spans="1:8" ht="21" x14ac:dyDescent="0.25">
      <c r="A1267" s="2" t="str">
        <f>HYPERLINK("https://rth.dk/resources/bsgatlas/details.php?id=BSGatlas-operon-674","BSGatlas-operon-674")</f>
        <v>BSGatlas-operon-674</v>
      </c>
      <c r="B1267" s="2" t="str">
        <f>HYPERLINK("https://rth.dk/resources/bsgatlas/details.php?id=BSGatlas-gene-1360","BSGatlas-gene-1360")</f>
        <v>BSGatlas-gene-1360</v>
      </c>
      <c r="C1267" s="1" t="s">
        <v>1271</v>
      </c>
      <c r="D1267" s="1" t="s">
        <v>8</v>
      </c>
      <c r="E1267" s="3">
        <v>1219849</v>
      </c>
      <c r="F1267" s="3">
        <v>1221486</v>
      </c>
      <c r="G1267" s="1" t="s">
        <v>9</v>
      </c>
      <c r="H1267" s="1" t="b">
        <f t="shared" si="44"/>
        <v>0</v>
      </c>
    </row>
    <row r="1268" spans="1:8" ht="21" x14ac:dyDescent="0.25">
      <c r="A1268" s="2" t="str">
        <f>HYPERLINK("https://rth.dk/resources/bsgatlas/details.php?id=BSGatlas-operon-674","BSGatlas-operon-674")</f>
        <v>BSGatlas-operon-674</v>
      </c>
      <c r="B1268" s="2" t="str">
        <f>HYPERLINK("https://rth.dk/resources/bsgatlas/details.php?id=BSGatlas-gene-1361","BSGatlas-gene-1361")</f>
        <v>BSGatlas-gene-1361</v>
      </c>
      <c r="C1268" s="1" t="s">
        <v>1272</v>
      </c>
      <c r="D1268" s="1" t="s">
        <v>8</v>
      </c>
      <c r="E1268" s="3">
        <v>1221594</v>
      </c>
      <c r="F1268" s="3">
        <v>1222529</v>
      </c>
      <c r="G1268" s="1" t="s">
        <v>9</v>
      </c>
      <c r="H1268" s="1" t="b">
        <f t="shared" si="44"/>
        <v>0</v>
      </c>
    </row>
    <row r="1269" spans="1:8" ht="21" x14ac:dyDescent="0.25">
      <c r="A1269" s="2" t="str">
        <f>HYPERLINK("https://rth.dk/resources/bsgatlas/details.php?id=BSGatlas-operon-674","BSGatlas-operon-674")</f>
        <v>BSGatlas-operon-674</v>
      </c>
      <c r="B1269" s="2" t="str">
        <f>HYPERLINK("https://rth.dk/resources/bsgatlas/details.php?id=BSGatlas-gene-1362","BSGatlas-gene-1362")</f>
        <v>BSGatlas-gene-1362</v>
      </c>
      <c r="C1269" s="1" t="s">
        <v>1273</v>
      </c>
      <c r="D1269" s="1" t="s">
        <v>8</v>
      </c>
      <c r="E1269" s="3">
        <v>1222533</v>
      </c>
      <c r="F1269" s="3">
        <v>1223450</v>
      </c>
      <c r="G1269" s="1" t="s">
        <v>9</v>
      </c>
      <c r="H1269" s="1" t="b">
        <f t="shared" si="44"/>
        <v>0</v>
      </c>
    </row>
    <row r="1270" spans="1:8" ht="21" x14ac:dyDescent="0.25">
      <c r="A1270" s="2" t="str">
        <f>HYPERLINK("https://rth.dk/resources/bsgatlas/details.php?id=BSGatlas-operon-674","BSGatlas-operon-674")</f>
        <v>BSGatlas-operon-674</v>
      </c>
      <c r="B1270" s="2" t="str">
        <f>HYPERLINK("https://rth.dk/resources/bsgatlas/details.php?id=BSGatlas-gene-1363","BSGatlas-gene-1363")</f>
        <v>BSGatlas-gene-1363</v>
      </c>
      <c r="C1270" s="1" t="s">
        <v>1274</v>
      </c>
      <c r="D1270" s="1" t="s">
        <v>8</v>
      </c>
      <c r="E1270" s="3">
        <v>1223455</v>
      </c>
      <c r="F1270" s="3">
        <v>1224531</v>
      </c>
      <c r="G1270" s="1" t="s">
        <v>9</v>
      </c>
      <c r="H1270" s="1" t="b">
        <f t="shared" si="44"/>
        <v>0</v>
      </c>
    </row>
    <row r="1271" spans="1:8" ht="21" x14ac:dyDescent="0.25">
      <c r="A1271" s="2" t="str">
        <f>HYPERLINK("https://rth.dk/resources/bsgatlas/details.php?id=BSGatlas-operon-674","BSGatlas-operon-674")</f>
        <v>BSGatlas-operon-674</v>
      </c>
      <c r="B1271" s="2" t="str">
        <f>HYPERLINK("https://rth.dk/resources/bsgatlas/details.php?id=BSGatlas-gene-1364","BSGatlas-gene-1364")</f>
        <v>BSGatlas-gene-1364</v>
      </c>
      <c r="C1271" s="1" t="s">
        <v>1275</v>
      </c>
      <c r="D1271" s="1" t="s">
        <v>8</v>
      </c>
      <c r="E1271" s="3">
        <v>1224533</v>
      </c>
      <c r="F1271" s="3">
        <v>1225450</v>
      </c>
      <c r="G1271" s="1" t="s">
        <v>9</v>
      </c>
      <c r="H1271" s="1" t="b">
        <f t="shared" si="44"/>
        <v>0</v>
      </c>
    </row>
    <row r="1272" spans="1:8" ht="21" x14ac:dyDescent="0.25">
      <c r="A1272" s="2" t="str">
        <f>HYPERLINK("https://rth.dk/resources/bsgatlas/details.php?id=BSGatlas-operon-675","BSGatlas-operon-675")</f>
        <v>BSGatlas-operon-675</v>
      </c>
      <c r="B1272" s="2" t="str">
        <f>HYPERLINK("https://rth.dk/resources/bsgatlas/details.php?id=BSGatlas-gene-1365","BSGatlas-gene-1365")</f>
        <v>BSGatlas-gene-1365</v>
      </c>
      <c r="C1272" s="1" t="s">
        <v>1276</v>
      </c>
      <c r="D1272" s="1" t="s">
        <v>8</v>
      </c>
      <c r="E1272" s="3">
        <v>1225557</v>
      </c>
      <c r="F1272" s="3">
        <v>1226774</v>
      </c>
      <c r="G1272" s="1" t="s">
        <v>9</v>
      </c>
      <c r="H1272" s="1" t="b">
        <f t="shared" si="44"/>
        <v>1</v>
      </c>
    </row>
    <row r="1273" spans="1:8" ht="21" x14ac:dyDescent="0.25">
      <c r="A1273" s="2" t="str">
        <f>HYPERLINK("https://rth.dk/resources/bsgatlas/details.php?id=BSGatlas-operon-676","BSGatlas-operon-676")</f>
        <v>BSGatlas-operon-676</v>
      </c>
      <c r="B1273" s="2" t="str">
        <f>HYPERLINK("https://rth.dk/resources/bsgatlas/details.php?id=BSGatlas-gene-1366","BSGatlas-gene-1366")</f>
        <v>BSGatlas-gene-1366</v>
      </c>
      <c r="C1273" s="1" t="s">
        <v>1277</v>
      </c>
      <c r="D1273" s="1" t="s">
        <v>8</v>
      </c>
      <c r="E1273" s="3">
        <v>1226938</v>
      </c>
      <c r="F1273" s="3">
        <v>1227516</v>
      </c>
      <c r="G1273" s="1" t="s">
        <v>9</v>
      </c>
      <c r="H1273" s="1" t="b">
        <f t="shared" si="44"/>
        <v>0</v>
      </c>
    </row>
    <row r="1274" spans="1:8" ht="21" x14ac:dyDescent="0.25">
      <c r="A1274" s="2" t="str">
        <f>HYPERLINK("https://rth.dk/resources/bsgatlas/details.php?id=BSGatlas-operon-676","BSGatlas-operon-676")</f>
        <v>BSGatlas-operon-676</v>
      </c>
      <c r="B1274" s="2" t="str">
        <f>HYPERLINK("https://rth.dk/resources/bsgatlas/details.php?id=BSGatlas-gene-1367","BSGatlas-gene-1367")</f>
        <v>BSGatlas-gene-1367</v>
      </c>
      <c r="C1274" s="1" t="s">
        <v>1278</v>
      </c>
      <c r="D1274" s="1" t="s">
        <v>8</v>
      </c>
      <c r="E1274" s="3">
        <v>1227697</v>
      </c>
      <c r="F1274" s="3">
        <v>1228092</v>
      </c>
      <c r="G1274" s="1" t="s">
        <v>9</v>
      </c>
      <c r="H1274" s="1" t="b">
        <f t="shared" si="44"/>
        <v>0</v>
      </c>
    </row>
    <row r="1275" spans="1:8" ht="21" x14ac:dyDescent="0.25">
      <c r="A1275" s="2" t="str">
        <f>HYPERLINK("https://rth.dk/resources/bsgatlas/details.php?id=BSGatlas-operon-677","BSGatlas-operon-677")</f>
        <v>BSGatlas-operon-677</v>
      </c>
      <c r="B1275" s="2" t="str">
        <f>HYPERLINK("https://rth.dk/resources/bsgatlas/details.php?id=BSGatlas-gene-1368","BSGatlas-gene-1368")</f>
        <v>BSGatlas-gene-1368</v>
      </c>
      <c r="C1275" s="1" t="s">
        <v>1279</v>
      </c>
      <c r="D1275" s="1" t="s">
        <v>8</v>
      </c>
      <c r="E1275" s="3">
        <v>1228135</v>
      </c>
      <c r="F1275" s="3">
        <v>1228791</v>
      </c>
      <c r="G1275" s="1" t="s">
        <v>13</v>
      </c>
      <c r="H1275" s="1" t="b">
        <f t="shared" si="44"/>
        <v>1</v>
      </c>
    </row>
    <row r="1276" spans="1:8" ht="21" x14ac:dyDescent="0.25">
      <c r="A1276" s="2" t="str">
        <f>HYPERLINK("https://rth.dk/resources/bsgatlas/details.php?id=BSGatlas-operon-678","BSGatlas-operon-678")</f>
        <v>BSGatlas-operon-678</v>
      </c>
      <c r="B1276" s="2" t="str">
        <f>HYPERLINK("https://rth.dk/resources/bsgatlas/details.php?id=BSGatlas-gene-1369","BSGatlas-gene-1369")</f>
        <v>BSGatlas-gene-1369</v>
      </c>
      <c r="C1276" s="1" t="s">
        <v>318</v>
      </c>
      <c r="D1276" s="1" t="s">
        <v>8</v>
      </c>
      <c r="E1276" s="3">
        <v>1228961</v>
      </c>
      <c r="F1276" s="3">
        <v>1229101</v>
      </c>
      <c r="G1276" s="1" t="s">
        <v>9</v>
      </c>
      <c r="H1276" s="1" t="b">
        <f t="shared" si="44"/>
        <v>0</v>
      </c>
    </row>
    <row r="1277" spans="1:8" ht="21" x14ac:dyDescent="0.25">
      <c r="A1277" s="2" t="str">
        <f>HYPERLINK("https://rth.dk/resources/bsgatlas/details.php?id=BSGatlas-operon-679","BSGatlas-operon-679")</f>
        <v>BSGatlas-operon-679</v>
      </c>
      <c r="B1277" s="2" t="str">
        <f>HYPERLINK("https://rth.dk/resources/bsgatlas/details.php?id=BSGatlas-gene-1370","BSGatlas-gene-1370")</f>
        <v>BSGatlas-gene-1370</v>
      </c>
      <c r="C1277" s="1" t="s">
        <v>1280</v>
      </c>
      <c r="D1277" s="1" t="s">
        <v>8</v>
      </c>
      <c r="E1277" s="3">
        <v>1229068</v>
      </c>
      <c r="F1277" s="3">
        <v>1229724</v>
      </c>
      <c r="G1277" s="1" t="s">
        <v>9</v>
      </c>
      <c r="H1277" s="1" t="b">
        <f t="shared" si="44"/>
        <v>1</v>
      </c>
    </row>
    <row r="1278" spans="1:8" ht="21" x14ac:dyDescent="0.25">
      <c r="A1278" s="2" t="str">
        <f>HYPERLINK("https://rth.dk/resources/bsgatlas/details.php?id=BSGatlas-operon-680","BSGatlas-operon-680")</f>
        <v>BSGatlas-operon-680</v>
      </c>
      <c r="B1278" s="2" t="str">
        <f>HYPERLINK("https://rth.dk/resources/bsgatlas/details.php?id=BSGatlas-gene-1372","BSGatlas-gene-1372")</f>
        <v>BSGatlas-gene-1372</v>
      </c>
      <c r="C1278" s="1" t="s">
        <v>1281</v>
      </c>
      <c r="D1278" s="1" t="s">
        <v>8</v>
      </c>
      <c r="E1278" s="3">
        <v>1229915</v>
      </c>
      <c r="F1278" s="3">
        <v>1231036</v>
      </c>
      <c r="G1278" s="1" t="s">
        <v>9</v>
      </c>
      <c r="H1278" s="1" t="b">
        <f t="shared" si="44"/>
        <v>0</v>
      </c>
    </row>
    <row r="1279" spans="1:8" ht="21" x14ac:dyDescent="0.25">
      <c r="A1279" s="2" t="str">
        <f>HYPERLINK("https://rth.dk/resources/bsgatlas/details.php?id=BSGatlas-operon-680","BSGatlas-operon-680")</f>
        <v>BSGatlas-operon-680</v>
      </c>
      <c r="B1279" s="2" t="str">
        <f>HYPERLINK("https://rth.dk/resources/bsgatlas/details.php?id=BSGatlas-gene-1373","BSGatlas-gene-1373")</f>
        <v>BSGatlas-gene-1373</v>
      </c>
      <c r="C1279" s="1" t="s">
        <v>1282</v>
      </c>
      <c r="D1279" s="1" t="s">
        <v>8</v>
      </c>
      <c r="E1279" s="3">
        <v>1231083</v>
      </c>
      <c r="F1279" s="3">
        <v>1233095</v>
      </c>
      <c r="G1279" s="1" t="s">
        <v>9</v>
      </c>
      <c r="H1279" s="1" t="b">
        <f t="shared" si="44"/>
        <v>0</v>
      </c>
    </row>
    <row r="1280" spans="1:8" ht="21" x14ac:dyDescent="0.25">
      <c r="A1280" s="2" t="str">
        <f>HYPERLINK("https://rth.dk/resources/bsgatlas/details.php?id=BSGatlas-operon-681","BSGatlas-operon-681")</f>
        <v>BSGatlas-operon-681</v>
      </c>
      <c r="B1280" s="2" t="str">
        <f>HYPERLINK("https://rth.dk/resources/bsgatlas/details.php?id=BSGatlas-gene-1374","BSGatlas-gene-1374")</f>
        <v>BSGatlas-gene-1374</v>
      </c>
      <c r="C1280" s="1" t="s">
        <v>1283</v>
      </c>
      <c r="D1280" s="1" t="s">
        <v>8</v>
      </c>
      <c r="E1280" s="3">
        <v>1233133</v>
      </c>
      <c r="F1280" s="3">
        <v>1233300</v>
      </c>
      <c r="G1280" s="1" t="s">
        <v>13</v>
      </c>
      <c r="H1280" s="1" t="b">
        <f t="shared" si="44"/>
        <v>1</v>
      </c>
    </row>
    <row r="1281" spans="1:8" ht="21" x14ac:dyDescent="0.25">
      <c r="A1281" s="2" t="str">
        <f>HYPERLINK("https://rth.dk/resources/bsgatlas/details.php?id=BSGatlas-operon-682","BSGatlas-operon-682")</f>
        <v>BSGatlas-operon-682</v>
      </c>
      <c r="B1281" s="2" t="str">
        <f>HYPERLINK("https://rth.dk/resources/bsgatlas/details.php?id=BSGatlas-gene-1375","BSGatlas-gene-1375")</f>
        <v>BSGatlas-gene-1375</v>
      </c>
      <c r="C1281" s="1" t="s">
        <v>1284</v>
      </c>
      <c r="D1281" s="1" t="s">
        <v>55</v>
      </c>
      <c r="E1281" s="3">
        <v>1233405</v>
      </c>
      <c r="F1281" s="3">
        <v>1233545</v>
      </c>
      <c r="G1281" s="1" t="s">
        <v>9</v>
      </c>
      <c r="H1281" s="1" t="b">
        <f t="shared" si="44"/>
        <v>0</v>
      </c>
    </row>
    <row r="1282" spans="1:8" ht="21" x14ac:dyDescent="0.25">
      <c r="A1282" s="2" t="str">
        <f>HYPERLINK("https://rth.dk/resources/bsgatlas/details.php?id=BSGatlas-operon-683","BSGatlas-operon-683")</f>
        <v>BSGatlas-operon-683</v>
      </c>
      <c r="B1282" s="2" t="str">
        <f>HYPERLINK("https://rth.dk/resources/bsgatlas/details.php?id=BSGatlas-gene-1376","BSGatlas-gene-1376")</f>
        <v>BSGatlas-gene-1376</v>
      </c>
      <c r="C1282" s="1" t="s">
        <v>1285</v>
      </c>
      <c r="D1282" s="1" t="s">
        <v>8</v>
      </c>
      <c r="E1282" s="3">
        <v>1233614</v>
      </c>
      <c r="F1282" s="3">
        <v>1234513</v>
      </c>
      <c r="G1282" s="1" t="s">
        <v>13</v>
      </c>
      <c r="H1282" s="1" t="b">
        <f t="shared" ref="H1282:H1345" si="47">_xlfn.XOR(A1281&lt;&gt;A1282,H1281)</f>
        <v>1</v>
      </c>
    </row>
    <row r="1283" spans="1:8" ht="21" x14ac:dyDescent="0.25">
      <c r="A1283" s="2" t="str">
        <f>HYPERLINK("https://rth.dk/resources/bsgatlas/details.php?id=BSGatlas-operon-683","BSGatlas-operon-683")</f>
        <v>BSGatlas-operon-683</v>
      </c>
      <c r="B1283" s="2" t="str">
        <f>HYPERLINK("https://rth.dk/resources/bsgatlas/details.php?id=BSGatlas-gene-1378","BSGatlas-gene-1378")</f>
        <v>BSGatlas-gene-1378</v>
      </c>
      <c r="C1283" s="1" t="s">
        <v>1286</v>
      </c>
      <c r="D1283" s="1" t="s">
        <v>8</v>
      </c>
      <c r="E1283" s="3">
        <v>1234510</v>
      </c>
      <c r="F1283" s="3">
        <v>1234908</v>
      </c>
      <c r="G1283" s="1" t="s">
        <v>13</v>
      </c>
      <c r="H1283" s="1" t="b">
        <f t="shared" si="47"/>
        <v>1</v>
      </c>
    </row>
    <row r="1284" spans="1:8" ht="21" x14ac:dyDescent="0.25">
      <c r="A1284" s="2" t="str">
        <f>HYPERLINK("https://rth.dk/resources/bsgatlas/details.php?id=BSGatlas-operon-684","BSGatlas-operon-684")</f>
        <v>BSGatlas-operon-684</v>
      </c>
      <c r="B1284" s="2" t="str">
        <f>HYPERLINK("https://rth.dk/resources/bsgatlas/details.php?id=BSGatlas-gene-1377","BSGatlas-gene-1377")</f>
        <v>BSGatlas-gene-1377</v>
      </c>
      <c r="C1284" s="1" t="s">
        <v>1287</v>
      </c>
      <c r="D1284" s="1" t="s">
        <v>12</v>
      </c>
      <c r="E1284" s="3">
        <v>1233877</v>
      </c>
      <c r="F1284" s="3">
        <v>1235778</v>
      </c>
      <c r="G1284" s="1" t="s">
        <v>9</v>
      </c>
      <c r="H1284" s="1" t="b">
        <f t="shared" si="47"/>
        <v>0</v>
      </c>
    </row>
    <row r="1285" spans="1:8" ht="21" x14ac:dyDescent="0.25">
      <c r="A1285" s="2" t="str">
        <f>HYPERLINK("https://rth.dk/resources/bsgatlas/details.php?id=BSGatlas-operon-685","BSGatlas-operon-685")</f>
        <v>BSGatlas-operon-685</v>
      </c>
      <c r="B1285" s="2" t="str">
        <f>HYPERLINK("https://rth.dk/resources/bsgatlas/details.php?id=BSGatlas-gene-1379","BSGatlas-gene-1379")</f>
        <v>BSGatlas-gene-1379</v>
      </c>
      <c r="C1285" s="1" t="s">
        <v>1288</v>
      </c>
      <c r="D1285" s="1" t="s">
        <v>8</v>
      </c>
      <c r="E1285" s="3">
        <v>1235163</v>
      </c>
      <c r="F1285" s="3">
        <v>1235708</v>
      </c>
      <c r="G1285" s="1" t="s">
        <v>13</v>
      </c>
      <c r="H1285" s="1" t="b">
        <f t="shared" si="47"/>
        <v>1</v>
      </c>
    </row>
    <row r="1286" spans="1:8" ht="21" x14ac:dyDescent="0.25">
      <c r="A1286" s="2" t="str">
        <f>HYPERLINK("https://rth.dk/resources/bsgatlas/details.php?id=BSGatlas-operon-685","BSGatlas-operon-685")</f>
        <v>BSGatlas-operon-685</v>
      </c>
      <c r="B1286" s="2" t="str">
        <f>HYPERLINK("https://rth.dk/resources/bsgatlas/details.php?id=BSGatlas-gene-1380","BSGatlas-gene-1380")</f>
        <v>BSGatlas-gene-1380</v>
      </c>
      <c r="C1286" s="1" t="s">
        <v>1289</v>
      </c>
      <c r="D1286" s="1" t="s">
        <v>8</v>
      </c>
      <c r="E1286" s="3">
        <v>1235912</v>
      </c>
      <c r="F1286" s="3">
        <v>1236484</v>
      </c>
      <c r="G1286" s="1" t="s">
        <v>13</v>
      </c>
      <c r="H1286" s="1" t="b">
        <f t="shared" si="47"/>
        <v>1</v>
      </c>
    </row>
    <row r="1287" spans="1:8" ht="21" x14ac:dyDescent="0.25">
      <c r="A1287" s="2" t="str">
        <f>HYPERLINK("https://rth.dk/resources/bsgatlas/details.php?id=BSGatlas-operon-686","BSGatlas-operon-686")</f>
        <v>BSGatlas-operon-686</v>
      </c>
      <c r="B1287" s="2" t="str">
        <f>HYPERLINK("https://rth.dk/resources/bsgatlas/details.php?id=BSGatlas-gene-1381","BSGatlas-gene-1381")</f>
        <v>BSGatlas-gene-1381</v>
      </c>
      <c r="C1287" s="1" t="s">
        <v>1290</v>
      </c>
      <c r="D1287" s="1" t="s">
        <v>8</v>
      </c>
      <c r="E1287" s="3">
        <v>1236609</v>
      </c>
      <c r="F1287" s="3">
        <v>1236977</v>
      </c>
      <c r="G1287" s="1" t="s">
        <v>9</v>
      </c>
      <c r="H1287" s="1" t="b">
        <f t="shared" si="47"/>
        <v>0</v>
      </c>
    </row>
    <row r="1288" spans="1:8" ht="21" x14ac:dyDescent="0.25">
      <c r="A1288" s="2" t="str">
        <f>HYPERLINK("https://rth.dk/resources/bsgatlas/details.php?id=BSGatlas-operon-686","BSGatlas-operon-686")</f>
        <v>BSGatlas-operon-686</v>
      </c>
      <c r="B1288" s="2" t="str">
        <f>HYPERLINK("https://rth.dk/resources/bsgatlas/details.php?id=BSGatlas-gene-1382","BSGatlas-gene-1382")</f>
        <v>BSGatlas-gene-1382</v>
      </c>
      <c r="C1288" s="1" t="s">
        <v>1291</v>
      </c>
      <c r="D1288" s="1" t="s">
        <v>8</v>
      </c>
      <c r="E1288" s="3">
        <v>1237006</v>
      </c>
      <c r="F1288" s="3">
        <v>1237641</v>
      </c>
      <c r="G1288" s="1" t="s">
        <v>9</v>
      </c>
      <c r="H1288" s="1" t="b">
        <f t="shared" si="47"/>
        <v>0</v>
      </c>
    </row>
    <row r="1289" spans="1:8" ht="21" x14ac:dyDescent="0.25">
      <c r="A1289" s="2" t="str">
        <f>HYPERLINK("https://rth.dk/resources/bsgatlas/details.php?id=BSGatlas-operon-686","BSGatlas-operon-686")</f>
        <v>BSGatlas-operon-686</v>
      </c>
      <c r="B1289" s="2" t="str">
        <f>HYPERLINK("https://rth.dk/resources/bsgatlas/details.php?id=BSGatlas-gene-1383","BSGatlas-gene-1383")</f>
        <v>BSGatlas-gene-1383</v>
      </c>
      <c r="C1289" s="1" t="s">
        <v>1292</v>
      </c>
      <c r="D1289" s="1" t="s">
        <v>8</v>
      </c>
      <c r="E1289" s="3">
        <v>1237660</v>
      </c>
      <c r="F1289" s="3">
        <v>1238460</v>
      </c>
      <c r="G1289" s="1" t="s">
        <v>9</v>
      </c>
      <c r="H1289" s="1" t="b">
        <f t="shared" si="47"/>
        <v>0</v>
      </c>
    </row>
    <row r="1290" spans="1:8" ht="21" x14ac:dyDescent="0.25">
      <c r="A1290" s="2" t="str">
        <f>HYPERLINK("https://rth.dk/resources/bsgatlas/details.php?id=BSGatlas-operon-686","BSGatlas-operon-686")</f>
        <v>BSGatlas-operon-686</v>
      </c>
      <c r="B1290" s="2" t="str">
        <f>HYPERLINK("https://rth.dk/resources/bsgatlas/details.php?id=BSGatlas-gene-1384","BSGatlas-gene-1384")</f>
        <v>BSGatlas-gene-1384</v>
      </c>
      <c r="C1290" s="1" t="s">
        <v>1293</v>
      </c>
      <c r="D1290" s="1" t="s">
        <v>8</v>
      </c>
      <c r="E1290" s="3">
        <v>1238523</v>
      </c>
      <c r="F1290" s="3">
        <v>1239374</v>
      </c>
      <c r="G1290" s="1" t="s">
        <v>9</v>
      </c>
      <c r="H1290" s="1" t="b">
        <f t="shared" si="47"/>
        <v>0</v>
      </c>
    </row>
    <row r="1291" spans="1:8" ht="21" x14ac:dyDescent="0.25">
      <c r="A1291" s="2" t="str">
        <f>HYPERLINK("https://rth.dk/resources/bsgatlas/details.php?id=BSGatlas-operon-687","BSGatlas-operon-687")</f>
        <v>BSGatlas-operon-687</v>
      </c>
      <c r="B1291" s="2" t="str">
        <f>HYPERLINK("https://rth.dk/resources/bsgatlas/details.php?id=BSGatlas-gene-1385","BSGatlas-gene-1385")</f>
        <v>BSGatlas-gene-1385</v>
      </c>
      <c r="C1291" s="1" t="s">
        <v>1294</v>
      </c>
      <c r="D1291" s="1" t="s">
        <v>8</v>
      </c>
      <c r="E1291" s="3">
        <v>1239387</v>
      </c>
      <c r="F1291" s="3">
        <v>1240121</v>
      </c>
      <c r="G1291" s="1" t="s">
        <v>13</v>
      </c>
      <c r="H1291" s="1" t="b">
        <f t="shared" si="47"/>
        <v>1</v>
      </c>
    </row>
    <row r="1292" spans="1:8" ht="21" x14ac:dyDescent="0.25">
      <c r="A1292" s="2" t="str">
        <f>HYPERLINK("https://rth.dk/resources/bsgatlas/details.php?id=BSGatlas-operon-688","BSGatlas-operon-688")</f>
        <v>BSGatlas-operon-688</v>
      </c>
      <c r="B1292" s="2" t="str">
        <f>HYPERLINK("https://rth.dk/resources/bsgatlas/details.php?id=BSGatlas-gene-1386","BSGatlas-gene-1386")</f>
        <v>BSGatlas-gene-1386</v>
      </c>
      <c r="C1292" s="1" t="s">
        <v>1295</v>
      </c>
      <c r="D1292" s="1" t="s">
        <v>8</v>
      </c>
      <c r="E1292" s="3">
        <v>1240356</v>
      </c>
      <c r="F1292" s="3">
        <v>1242200</v>
      </c>
      <c r="G1292" s="1" t="s">
        <v>9</v>
      </c>
      <c r="H1292" s="1" t="b">
        <f t="shared" si="47"/>
        <v>0</v>
      </c>
    </row>
    <row r="1293" spans="1:8" ht="21" x14ac:dyDescent="0.25">
      <c r="A1293" s="2" t="str">
        <f t="shared" ref="A1293:A1299" si="48">HYPERLINK("https://rth.dk/resources/bsgatlas/details.php?id=BSGatlas-operon-689","BSGatlas-operon-689")</f>
        <v>BSGatlas-operon-689</v>
      </c>
      <c r="B1293" s="2" t="str">
        <f>HYPERLINK("https://rth.dk/resources/bsgatlas/details.php?id=BSGatlas-gene-1388","BSGatlas-gene-1388")</f>
        <v>BSGatlas-gene-1388</v>
      </c>
      <c r="C1293" s="1" t="s">
        <v>1296</v>
      </c>
      <c r="D1293" s="1" t="s">
        <v>8</v>
      </c>
      <c r="E1293" s="3">
        <v>1242449</v>
      </c>
      <c r="F1293" s="3">
        <v>1243159</v>
      </c>
      <c r="G1293" s="1" t="s">
        <v>9</v>
      </c>
      <c r="H1293" s="1" t="b">
        <f t="shared" si="47"/>
        <v>1</v>
      </c>
    </row>
    <row r="1294" spans="1:8" ht="21" x14ac:dyDescent="0.25">
      <c r="A1294" s="2" t="str">
        <f t="shared" si="48"/>
        <v>BSGatlas-operon-689</v>
      </c>
      <c r="B1294" s="2" t="str">
        <f>HYPERLINK("https://rth.dk/resources/bsgatlas/details.php?id=BSGatlas-gene-1389","BSGatlas-gene-1389")</f>
        <v>BSGatlas-gene-1389</v>
      </c>
      <c r="C1294" s="1" t="s">
        <v>1297</v>
      </c>
      <c r="D1294" s="1" t="s">
        <v>8</v>
      </c>
      <c r="E1294" s="3">
        <v>1243134</v>
      </c>
      <c r="F1294" s="3">
        <v>1243751</v>
      </c>
      <c r="G1294" s="1" t="s">
        <v>9</v>
      </c>
      <c r="H1294" s="1" t="b">
        <f t="shared" si="47"/>
        <v>1</v>
      </c>
    </row>
    <row r="1295" spans="1:8" ht="21" x14ac:dyDescent="0.25">
      <c r="A1295" s="2" t="str">
        <f t="shared" si="48"/>
        <v>BSGatlas-operon-689</v>
      </c>
      <c r="B1295" s="2" t="str">
        <f>HYPERLINK("https://rth.dk/resources/bsgatlas/details.php?id=BSGatlas-gene-1390","BSGatlas-gene-1390")</f>
        <v>BSGatlas-gene-1390</v>
      </c>
      <c r="C1295" s="1" t="s">
        <v>1298</v>
      </c>
      <c r="D1295" s="1" t="s">
        <v>8</v>
      </c>
      <c r="E1295" s="3">
        <v>1243735</v>
      </c>
      <c r="F1295" s="3">
        <v>1244844</v>
      </c>
      <c r="G1295" s="1" t="s">
        <v>9</v>
      </c>
      <c r="H1295" s="1" t="b">
        <f t="shared" si="47"/>
        <v>1</v>
      </c>
    </row>
    <row r="1296" spans="1:8" ht="21" x14ac:dyDescent="0.25">
      <c r="A1296" s="2" t="str">
        <f t="shared" si="48"/>
        <v>BSGatlas-operon-689</v>
      </c>
      <c r="B1296" s="2" t="str">
        <f>HYPERLINK("https://rth.dk/resources/bsgatlas/details.php?id=BSGatlas-gene-1391","BSGatlas-gene-1391")</f>
        <v>BSGatlas-gene-1391</v>
      </c>
      <c r="C1296" s="1" t="s">
        <v>1299</v>
      </c>
      <c r="D1296" s="1" t="s">
        <v>8</v>
      </c>
      <c r="E1296" s="3">
        <v>1244844</v>
      </c>
      <c r="F1296" s="3">
        <v>1245044</v>
      </c>
      <c r="G1296" s="1" t="s">
        <v>9</v>
      </c>
      <c r="H1296" s="1" t="b">
        <f t="shared" si="47"/>
        <v>1</v>
      </c>
    </row>
    <row r="1297" spans="1:8" ht="21" x14ac:dyDescent="0.25">
      <c r="A1297" s="2" t="str">
        <f t="shared" si="48"/>
        <v>BSGatlas-operon-689</v>
      </c>
      <c r="B1297" s="2" t="str">
        <f>HYPERLINK("https://rth.dk/resources/bsgatlas/details.php?id=BSGatlas-gene-1392","BSGatlas-gene-1392")</f>
        <v>BSGatlas-gene-1392</v>
      </c>
      <c r="C1297" s="1" t="s">
        <v>1300</v>
      </c>
      <c r="D1297" s="1" t="s">
        <v>8</v>
      </c>
      <c r="E1297" s="3">
        <v>1245041</v>
      </c>
      <c r="F1297" s="3">
        <v>1245811</v>
      </c>
      <c r="G1297" s="1" t="s">
        <v>9</v>
      </c>
      <c r="H1297" s="1" t="b">
        <f t="shared" si="47"/>
        <v>1</v>
      </c>
    </row>
    <row r="1298" spans="1:8" ht="21" x14ac:dyDescent="0.25">
      <c r="A1298" s="2" t="str">
        <f t="shared" si="48"/>
        <v>BSGatlas-operon-689</v>
      </c>
      <c r="B1298" s="2" t="str">
        <f>HYPERLINK("https://rth.dk/resources/bsgatlas/details.php?id=BSGatlas-gene-1393","BSGatlas-gene-1393")</f>
        <v>BSGatlas-gene-1393</v>
      </c>
      <c r="C1298" s="1" t="s">
        <v>1301</v>
      </c>
      <c r="D1298" s="1" t="s">
        <v>8</v>
      </c>
      <c r="E1298" s="3">
        <v>1245808</v>
      </c>
      <c r="F1298" s="3">
        <v>1246818</v>
      </c>
      <c r="G1298" s="1" t="s">
        <v>9</v>
      </c>
      <c r="H1298" s="1" t="b">
        <f t="shared" si="47"/>
        <v>1</v>
      </c>
    </row>
    <row r="1299" spans="1:8" ht="21" x14ac:dyDescent="0.25">
      <c r="A1299" s="2" t="str">
        <f t="shared" si="48"/>
        <v>BSGatlas-operon-689</v>
      </c>
      <c r="B1299" s="2" t="str">
        <f>HYPERLINK("https://rth.dk/resources/bsgatlas/details.php?id=BSGatlas-gene-1394","BSGatlas-gene-1394")</f>
        <v>BSGatlas-gene-1394</v>
      </c>
      <c r="C1299" s="1" t="s">
        <v>1302</v>
      </c>
      <c r="D1299" s="1" t="s">
        <v>8</v>
      </c>
      <c r="E1299" s="3">
        <v>1246837</v>
      </c>
      <c r="F1299" s="3">
        <v>1247652</v>
      </c>
      <c r="G1299" s="1" t="s">
        <v>9</v>
      </c>
      <c r="H1299" s="1" t="b">
        <f t="shared" si="47"/>
        <v>1</v>
      </c>
    </row>
    <row r="1300" spans="1:8" ht="21" x14ac:dyDescent="0.25">
      <c r="A1300" s="2" t="str">
        <f>HYPERLINK("https://rth.dk/resources/bsgatlas/details.php?id=BSGatlas-operon-690","BSGatlas-operon-690")</f>
        <v>BSGatlas-operon-690</v>
      </c>
      <c r="B1300" s="2" t="str">
        <f>HYPERLINK("https://rth.dk/resources/bsgatlas/details.php?id=BSGatlas-gene-1387","BSGatlas-gene-1387")</f>
        <v>BSGatlas-gene-1387</v>
      </c>
      <c r="C1300" s="1" t="s">
        <v>1303</v>
      </c>
      <c r="D1300" s="1" t="s">
        <v>34</v>
      </c>
      <c r="E1300" s="3">
        <v>1242261</v>
      </c>
      <c r="F1300" s="3">
        <v>1242370</v>
      </c>
      <c r="G1300" s="1" t="s">
        <v>9</v>
      </c>
      <c r="H1300" s="1" t="b">
        <f t="shared" si="47"/>
        <v>0</v>
      </c>
    </row>
    <row r="1301" spans="1:8" ht="21" x14ac:dyDescent="0.25">
      <c r="A1301" s="2" t="str">
        <f>HYPERLINK("https://rth.dk/resources/bsgatlas/details.php?id=BSGatlas-operon-691","BSGatlas-operon-691")</f>
        <v>BSGatlas-operon-691</v>
      </c>
      <c r="B1301" s="2" t="str">
        <f>HYPERLINK("https://rth.dk/resources/bsgatlas/details.php?id=BSGatlas-gene-1395","BSGatlas-gene-1395")</f>
        <v>BSGatlas-gene-1395</v>
      </c>
      <c r="C1301" s="1" t="s">
        <v>1304</v>
      </c>
      <c r="D1301" s="1" t="s">
        <v>8</v>
      </c>
      <c r="E1301" s="3">
        <v>1247788</v>
      </c>
      <c r="F1301" s="3">
        <v>1248564</v>
      </c>
      <c r="G1301" s="1" t="s">
        <v>9</v>
      </c>
      <c r="H1301" s="1" t="b">
        <f t="shared" si="47"/>
        <v>1</v>
      </c>
    </row>
    <row r="1302" spans="1:8" ht="21" x14ac:dyDescent="0.25">
      <c r="A1302" s="2" t="str">
        <f>HYPERLINK("https://rth.dk/resources/bsgatlas/details.php?id=BSGatlas-operon-692","BSGatlas-operon-692")</f>
        <v>BSGatlas-operon-692</v>
      </c>
      <c r="B1302" s="2" t="str">
        <f>HYPERLINK("https://rth.dk/resources/bsgatlas/details.php?id=BSGatlas-gene-1396","BSGatlas-gene-1396")</f>
        <v>BSGatlas-gene-1396</v>
      </c>
      <c r="C1302" s="1" t="s">
        <v>1305</v>
      </c>
      <c r="D1302" s="1" t="s">
        <v>8</v>
      </c>
      <c r="E1302" s="3">
        <v>1248665</v>
      </c>
      <c r="F1302" s="3">
        <v>1249348</v>
      </c>
      <c r="G1302" s="1" t="s">
        <v>9</v>
      </c>
      <c r="H1302" s="1" t="b">
        <f t="shared" si="47"/>
        <v>0</v>
      </c>
    </row>
    <row r="1303" spans="1:8" ht="21" x14ac:dyDescent="0.25">
      <c r="A1303" s="2" t="str">
        <f>HYPERLINK("https://rth.dk/resources/bsgatlas/details.php?id=BSGatlas-operon-693","BSGatlas-operon-693")</f>
        <v>BSGatlas-operon-693</v>
      </c>
      <c r="B1303" s="2" t="str">
        <f>HYPERLINK("https://rth.dk/resources/bsgatlas/details.php?id=BSGatlas-gene-1397","BSGatlas-gene-1397")</f>
        <v>BSGatlas-gene-1397</v>
      </c>
      <c r="C1303" s="1" t="s">
        <v>1306</v>
      </c>
      <c r="D1303" s="1" t="s">
        <v>8</v>
      </c>
      <c r="E1303" s="3">
        <v>1249442</v>
      </c>
      <c r="F1303" s="3">
        <v>1249888</v>
      </c>
      <c r="G1303" s="1" t="s">
        <v>13</v>
      </c>
      <c r="H1303" s="1" t="b">
        <f t="shared" si="47"/>
        <v>1</v>
      </c>
    </row>
    <row r="1304" spans="1:8" ht="21" x14ac:dyDescent="0.25">
      <c r="A1304" s="2" t="str">
        <f>HYPERLINK("https://rth.dk/resources/bsgatlas/details.php?id=BSGatlas-operon-693","BSGatlas-operon-693")</f>
        <v>BSGatlas-operon-693</v>
      </c>
      <c r="B1304" s="2" t="str">
        <f>HYPERLINK("https://rth.dk/resources/bsgatlas/details.php?id=BSGatlas-gene-1398","BSGatlas-gene-1398")</f>
        <v>BSGatlas-gene-1398</v>
      </c>
      <c r="C1304" s="1" t="s">
        <v>1307</v>
      </c>
      <c r="D1304" s="1" t="s">
        <v>8</v>
      </c>
      <c r="E1304" s="3">
        <v>1250016</v>
      </c>
      <c r="F1304" s="3">
        <v>1250504</v>
      </c>
      <c r="G1304" s="1" t="s">
        <v>13</v>
      </c>
      <c r="H1304" s="1" t="b">
        <f t="shared" si="47"/>
        <v>1</v>
      </c>
    </row>
    <row r="1305" spans="1:8" ht="21" x14ac:dyDescent="0.25">
      <c r="A1305" s="2" t="str">
        <f>HYPERLINK("https://rth.dk/resources/bsgatlas/details.php?id=BSGatlas-operon-694","BSGatlas-operon-694")</f>
        <v>BSGatlas-operon-694</v>
      </c>
      <c r="B1305" s="2" t="str">
        <f>HYPERLINK("https://rth.dk/resources/bsgatlas/details.php?id=BSGatlas-gene-1402","BSGatlas-gene-1402")</f>
        <v>BSGatlas-gene-1402</v>
      </c>
      <c r="C1305" s="1" t="s">
        <v>1308</v>
      </c>
      <c r="D1305" s="1" t="s">
        <v>8</v>
      </c>
      <c r="E1305" s="3">
        <v>1252177</v>
      </c>
      <c r="F1305" s="3">
        <v>1252533</v>
      </c>
      <c r="G1305" s="1" t="s">
        <v>9</v>
      </c>
      <c r="H1305" s="1" t="b">
        <f t="shared" si="47"/>
        <v>0</v>
      </c>
    </row>
    <row r="1306" spans="1:8" ht="21" x14ac:dyDescent="0.25">
      <c r="A1306" s="2" t="str">
        <f>HYPERLINK("https://rth.dk/resources/bsgatlas/details.php?id=BSGatlas-operon-695","BSGatlas-operon-695")</f>
        <v>BSGatlas-operon-695</v>
      </c>
      <c r="B1306" s="2" t="str">
        <f>HYPERLINK("https://rth.dk/resources/bsgatlas/details.php?id=BSGatlas-gene-1399","BSGatlas-gene-1399")</f>
        <v>BSGatlas-gene-1399</v>
      </c>
      <c r="C1306" s="1" t="s">
        <v>1309</v>
      </c>
      <c r="D1306" s="1" t="s">
        <v>8</v>
      </c>
      <c r="E1306" s="3">
        <v>1250656</v>
      </c>
      <c r="F1306" s="3">
        <v>1251174</v>
      </c>
      <c r="G1306" s="1" t="s">
        <v>13</v>
      </c>
      <c r="H1306" s="1" t="b">
        <f t="shared" si="47"/>
        <v>1</v>
      </c>
    </row>
    <row r="1307" spans="1:8" ht="21" x14ac:dyDescent="0.25">
      <c r="A1307" s="2" t="str">
        <f>HYPERLINK("https://rth.dk/resources/bsgatlas/details.php?id=BSGatlas-operon-695","BSGatlas-operon-695")</f>
        <v>BSGatlas-operon-695</v>
      </c>
      <c r="B1307" s="2" t="str">
        <f>HYPERLINK("https://rth.dk/resources/bsgatlas/details.php?id=BSGatlas-gene-1400","BSGatlas-gene-1400")</f>
        <v>BSGatlas-gene-1400</v>
      </c>
      <c r="C1307" s="1" t="s">
        <v>1310</v>
      </c>
      <c r="D1307" s="1" t="s">
        <v>8</v>
      </c>
      <c r="E1307" s="3">
        <v>1251273</v>
      </c>
      <c r="F1307" s="3">
        <v>1251590</v>
      </c>
      <c r="G1307" s="1" t="s">
        <v>13</v>
      </c>
      <c r="H1307" s="1" t="b">
        <f t="shared" si="47"/>
        <v>1</v>
      </c>
    </row>
    <row r="1308" spans="1:8" ht="21" x14ac:dyDescent="0.25">
      <c r="A1308" s="2" t="str">
        <f>HYPERLINK("https://rth.dk/resources/bsgatlas/details.php?id=BSGatlas-operon-695","BSGatlas-operon-695")</f>
        <v>BSGatlas-operon-695</v>
      </c>
      <c r="B1308" s="2" t="str">
        <f>HYPERLINK("https://rth.dk/resources/bsgatlas/details.php?id=BSGatlas-gene-1401","BSGatlas-gene-1401")</f>
        <v>BSGatlas-gene-1401</v>
      </c>
      <c r="C1308" s="1" t="s">
        <v>1311</v>
      </c>
      <c r="D1308" s="1" t="s">
        <v>8</v>
      </c>
      <c r="E1308" s="3">
        <v>1251631</v>
      </c>
      <c r="F1308" s="3">
        <v>1252017</v>
      </c>
      <c r="G1308" s="1" t="s">
        <v>13</v>
      </c>
      <c r="H1308" s="1" t="b">
        <f t="shared" si="47"/>
        <v>1</v>
      </c>
    </row>
    <row r="1309" spans="1:8" ht="21" x14ac:dyDescent="0.25">
      <c r="A1309" s="2" t="str">
        <f>HYPERLINK("https://rth.dk/resources/bsgatlas/details.php?id=BSGatlas-operon-696","BSGatlas-operon-696")</f>
        <v>BSGatlas-operon-696</v>
      </c>
      <c r="B1309" s="2" t="str">
        <f>HYPERLINK("https://rth.dk/resources/bsgatlas/details.php?id=BSGatlas-gene-1403","BSGatlas-gene-1403")</f>
        <v>BSGatlas-gene-1403</v>
      </c>
      <c r="C1309" s="1" t="s">
        <v>318</v>
      </c>
      <c r="D1309" s="1" t="s">
        <v>276</v>
      </c>
      <c r="E1309" s="3">
        <v>1252558</v>
      </c>
      <c r="F1309" s="3">
        <v>1252791</v>
      </c>
      <c r="G1309" s="1" t="s">
        <v>13</v>
      </c>
      <c r="H1309" s="1" t="b">
        <f t="shared" si="47"/>
        <v>0</v>
      </c>
    </row>
    <row r="1310" spans="1:8" ht="21" x14ac:dyDescent="0.25">
      <c r="A1310" s="2" t="str">
        <f>HYPERLINK("https://rth.dk/resources/bsgatlas/details.php?id=BSGatlas-operon-697","BSGatlas-operon-697")</f>
        <v>BSGatlas-operon-697</v>
      </c>
      <c r="B1310" s="2" t="str">
        <f>HYPERLINK("https://rth.dk/resources/bsgatlas/details.php?id=BSGatlas-gene-1404","BSGatlas-gene-1404")</f>
        <v>BSGatlas-gene-1404</v>
      </c>
      <c r="C1310" s="1" t="s">
        <v>1312</v>
      </c>
      <c r="D1310" s="1" t="s">
        <v>12</v>
      </c>
      <c r="E1310" s="3">
        <v>1252566</v>
      </c>
      <c r="F1310" s="3">
        <v>1252752</v>
      </c>
      <c r="G1310" s="1" t="s">
        <v>9</v>
      </c>
      <c r="H1310" s="1" t="b">
        <f t="shared" si="47"/>
        <v>1</v>
      </c>
    </row>
    <row r="1311" spans="1:8" ht="21" x14ac:dyDescent="0.25">
      <c r="A1311" s="2" t="str">
        <f>HYPERLINK("https://rth.dk/resources/bsgatlas/details.php?id=BSGatlas-operon-698","BSGatlas-operon-698")</f>
        <v>BSGatlas-operon-698</v>
      </c>
      <c r="B1311" s="2" t="str">
        <f>HYPERLINK("https://rth.dk/resources/bsgatlas/details.php?id=BSGatlas-gene-1405","BSGatlas-gene-1405")</f>
        <v>BSGatlas-gene-1405</v>
      </c>
      <c r="C1311" s="1" t="s">
        <v>1313</v>
      </c>
      <c r="D1311" s="1" t="s">
        <v>8</v>
      </c>
      <c r="E1311" s="3">
        <v>1252815</v>
      </c>
      <c r="F1311" s="3">
        <v>1253021</v>
      </c>
      <c r="G1311" s="1" t="s">
        <v>9</v>
      </c>
      <c r="H1311" s="1" t="b">
        <f t="shared" si="47"/>
        <v>0</v>
      </c>
    </row>
    <row r="1312" spans="1:8" ht="21" x14ac:dyDescent="0.25">
      <c r="A1312" s="2" t="str">
        <f>HYPERLINK("https://rth.dk/resources/bsgatlas/details.php?id=BSGatlas-operon-698","BSGatlas-operon-698")</f>
        <v>BSGatlas-operon-698</v>
      </c>
      <c r="B1312" s="2" t="str">
        <f>HYPERLINK("https://rth.dk/resources/bsgatlas/details.php?id=BSGatlas-gene-1406","BSGatlas-gene-1406")</f>
        <v>BSGatlas-gene-1406</v>
      </c>
      <c r="C1312" s="1" t="s">
        <v>1314</v>
      </c>
      <c r="D1312" s="1" t="s">
        <v>8</v>
      </c>
      <c r="E1312" s="3">
        <v>1252858</v>
      </c>
      <c r="F1312" s="3">
        <v>1253073</v>
      </c>
      <c r="G1312" s="1" t="s">
        <v>9</v>
      </c>
      <c r="H1312" s="1" t="b">
        <f t="shared" si="47"/>
        <v>0</v>
      </c>
    </row>
    <row r="1313" spans="1:8" ht="21" x14ac:dyDescent="0.25">
      <c r="A1313" s="2" t="str">
        <f>HYPERLINK("https://rth.dk/resources/bsgatlas/details.php?id=BSGatlas-operon-698","BSGatlas-operon-698")</f>
        <v>BSGatlas-operon-698</v>
      </c>
      <c r="B1313" s="2" t="str">
        <f>HYPERLINK("https://rth.dk/resources/bsgatlas/details.php?id=BSGatlas-gene-1407","BSGatlas-gene-1407")</f>
        <v>BSGatlas-gene-1407</v>
      </c>
      <c r="C1313" s="1" t="s">
        <v>1315</v>
      </c>
      <c r="D1313" s="1" t="s">
        <v>8</v>
      </c>
      <c r="E1313" s="3">
        <v>1253103</v>
      </c>
      <c r="F1313" s="3">
        <v>1253252</v>
      </c>
      <c r="G1313" s="1" t="s">
        <v>9</v>
      </c>
      <c r="H1313" s="1" t="b">
        <f t="shared" si="47"/>
        <v>0</v>
      </c>
    </row>
    <row r="1314" spans="1:8" ht="21" x14ac:dyDescent="0.25">
      <c r="A1314" s="2" t="str">
        <f>HYPERLINK("https://rth.dk/resources/bsgatlas/details.php?id=BSGatlas-operon-698","BSGatlas-operon-698")</f>
        <v>BSGatlas-operon-698</v>
      </c>
      <c r="B1314" s="2" t="str">
        <f>HYPERLINK("https://rth.dk/resources/bsgatlas/details.php?id=BSGatlas-gene-1408","BSGatlas-gene-1408")</f>
        <v>BSGatlas-gene-1408</v>
      </c>
      <c r="C1314" s="1" t="s">
        <v>1316</v>
      </c>
      <c r="D1314" s="1" t="s">
        <v>8</v>
      </c>
      <c r="E1314" s="3">
        <v>1253385</v>
      </c>
      <c r="F1314" s="3">
        <v>1253639</v>
      </c>
      <c r="G1314" s="1" t="s">
        <v>9</v>
      </c>
      <c r="H1314" s="1" t="b">
        <f t="shared" si="47"/>
        <v>0</v>
      </c>
    </row>
    <row r="1315" spans="1:8" ht="21" x14ac:dyDescent="0.25">
      <c r="A1315" s="2" t="str">
        <f>HYPERLINK("https://rth.dk/resources/bsgatlas/details.php?id=BSGatlas-operon-699","BSGatlas-operon-699")</f>
        <v>BSGatlas-operon-699</v>
      </c>
      <c r="B1315" s="2" t="str">
        <f>HYPERLINK("https://rth.dk/resources/bsgatlas/details.php?id=BSGatlas-gene-1409","BSGatlas-gene-1409")</f>
        <v>BSGatlas-gene-1409</v>
      </c>
      <c r="C1315" s="1" t="s">
        <v>1317</v>
      </c>
      <c r="D1315" s="1" t="s">
        <v>8</v>
      </c>
      <c r="E1315" s="3">
        <v>1253713</v>
      </c>
      <c r="F1315" s="3">
        <v>1255992</v>
      </c>
      <c r="G1315" s="1" t="s">
        <v>13</v>
      </c>
      <c r="H1315" s="1" t="b">
        <f t="shared" si="47"/>
        <v>1</v>
      </c>
    </row>
    <row r="1316" spans="1:8" ht="21" x14ac:dyDescent="0.25">
      <c r="A1316" s="2" t="str">
        <f>HYPERLINK("https://rth.dk/resources/bsgatlas/details.php?id=BSGatlas-operon-700","BSGatlas-operon-700")</f>
        <v>BSGatlas-operon-700</v>
      </c>
      <c r="B1316" s="2" t="str">
        <f>HYPERLINK("https://rth.dk/resources/bsgatlas/details.php?id=BSGatlas-gene-1410","BSGatlas-gene-1410")</f>
        <v>BSGatlas-gene-1410</v>
      </c>
      <c r="C1316" s="1" t="s">
        <v>1318</v>
      </c>
      <c r="D1316" s="1" t="s">
        <v>8</v>
      </c>
      <c r="E1316" s="3">
        <v>1256109</v>
      </c>
      <c r="F1316" s="3">
        <v>1256363</v>
      </c>
      <c r="G1316" s="1" t="s">
        <v>9</v>
      </c>
      <c r="H1316" s="1" t="b">
        <f t="shared" si="47"/>
        <v>0</v>
      </c>
    </row>
    <row r="1317" spans="1:8" ht="21" x14ac:dyDescent="0.25">
      <c r="A1317" s="2" t="str">
        <f>HYPERLINK("https://rth.dk/resources/bsgatlas/details.php?id=BSGatlas-operon-701","BSGatlas-operon-701")</f>
        <v>BSGatlas-operon-701</v>
      </c>
      <c r="B1317" s="2" t="str">
        <f>HYPERLINK("https://rth.dk/resources/bsgatlas/details.php?id=BSGatlas-gene-1411","BSGatlas-gene-1411")</f>
        <v>BSGatlas-gene-1411</v>
      </c>
      <c r="C1317" s="1" t="s">
        <v>1319</v>
      </c>
      <c r="D1317" s="1" t="s">
        <v>8</v>
      </c>
      <c r="E1317" s="3">
        <v>1256436</v>
      </c>
      <c r="F1317" s="3">
        <v>1256858</v>
      </c>
      <c r="G1317" s="1" t="s">
        <v>13</v>
      </c>
      <c r="H1317" s="1" t="b">
        <f t="shared" si="47"/>
        <v>1</v>
      </c>
    </row>
    <row r="1318" spans="1:8" ht="21" x14ac:dyDescent="0.25">
      <c r="A1318" s="2" t="str">
        <f>HYPERLINK("https://rth.dk/resources/bsgatlas/details.php?id=BSGatlas-operon-701","BSGatlas-operon-701")</f>
        <v>BSGatlas-operon-701</v>
      </c>
      <c r="B1318" s="2" t="str">
        <f>HYPERLINK("https://rth.dk/resources/bsgatlas/details.php?id=BSGatlas-gene-1412","BSGatlas-gene-1412")</f>
        <v>BSGatlas-gene-1412</v>
      </c>
      <c r="C1318" s="1" t="s">
        <v>1320</v>
      </c>
      <c r="D1318" s="1" t="s">
        <v>8</v>
      </c>
      <c r="E1318" s="3">
        <v>1256862</v>
      </c>
      <c r="F1318" s="3">
        <v>1257377</v>
      </c>
      <c r="G1318" s="1" t="s">
        <v>13</v>
      </c>
      <c r="H1318" s="1" t="b">
        <f t="shared" si="47"/>
        <v>1</v>
      </c>
    </row>
    <row r="1319" spans="1:8" ht="21" x14ac:dyDescent="0.25">
      <c r="A1319" s="2" t="str">
        <f>HYPERLINK("https://rth.dk/resources/bsgatlas/details.php?id=BSGatlas-operon-701","BSGatlas-operon-701")</f>
        <v>BSGatlas-operon-701</v>
      </c>
      <c r="B1319" s="2" t="str">
        <f>HYPERLINK("https://rth.dk/resources/bsgatlas/details.php?id=BSGatlas-gene-1413","BSGatlas-gene-1413")</f>
        <v>BSGatlas-gene-1413</v>
      </c>
      <c r="C1319" s="1" t="s">
        <v>1321</v>
      </c>
      <c r="D1319" s="1" t="s">
        <v>8</v>
      </c>
      <c r="E1319" s="3">
        <v>1257414</v>
      </c>
      <c r="F1319" s="3">
        <v>1258136</v>
      </c>
      <c r="G1319" s="1" t="s">
        <v>13</v>
      </c>
      <c r="H1319" s="1" t="b">
        <f t="shared" si="47"/>
        <v>1</v>
      </c>
    </row>
    <row r="1320" spans="1:8" ht="21" x14ac:dyDescent="0.25">
      <c r="A1320" s="2" t="str">
        <f>HYPERLINK("https://rth.dk/resources/bsgatlas/details.php?id=BSGatlas-operon-702","BSGatlas-operon-702")</f>
        <v>BSGatlas-operon-702</v>
      </c>
      <c r="B1320" s="2" t="str">
        <f>HYPERLINK("https://rth.dk/resources/bsgatlas/details.php?id=BSGatlas-gene-1415","BSGatlas-gene-1415")</f>
        <v>BSGatlas-gene-1415</v>
      </c>
      <c r="C1320" s="1" t="s">
        <v>1322</v>
      </c>
      <c r="D1320" s="1" t="s">
        <v>8</v>
      </c>
      <c r="E1320" s="3">
        <v>1258492</v>
      </c>
      <c r="F1320" s="3">
        <v>1259613</v>
      </c>
      <c r="G1320" s="1" t="s">
        <v>9</v>
      </c>
      <c r="H1320" s="1" t="b">
        <f t="shared" si="47"/>
        <v>0</v>
      </c>
    </row>
    <row r="1321" spans="1:8" ht="21" x14ac:dyDescent="0.25">
      <c r="A1321" s="2" t="str">
        <f>HYPERLINK("https://rth.dk/resources/bsgatlas/details.php?id=BSGatlas-operon-702","BSGatlas-operon-702")</f>
        <v>BSGatlas-operon-702</v>
      </c>
      <c r="B1321" s="2" t="str">
        <f>HYPERLINK("https://rth.dk/resources/bsgatlas/details.php?id=BSGatlas-gene-1416","BSGatlas-gene-1416")</f>
        <v>BSGatlas-gene-1416</v>
      </c>
      <c r="C1321" s="1" t="s">
        <v>1323</v>
      </c>
      <c r="D1321" s="1" t="s">
        <v>8</v>
      </c>
      <c r="E1321" s="3">
        <v>1259606</v>
      </c>
      <c r="F1321" s="3">
        <v>1260778</v>
      </c>
      <c r="G1321" s="1" t="s">
        <v>9</v>
      </c>
      <c r="H1321" s="1" t="b">
        <f t="shared" si="47"/>
        <v>0</v>
      </c>
    </row>
    <row r="1322" spans="1:8" ht="21" x14ac:dyDescent="0.25">
      <c r="A1322" s="2" t="str">
        <f>HYPERLINK("https://rth.dk/resources/bsgatlas/details.php?id=BSGatlas-operon-703","BSGatlas-operon-703")</f>
        <v>BSGatlas-operon-703</v>
      </c>
      <c r="B1322" s="2" t="str">
        <f>HYPERLINK("https://rth.dk/resources/bsgatlas/details.php?id=BSGatlas-gene-1414","BSGatlas-gene-1414")</f>
        <v>BSGatlas-gene-1414</v>
      </c>
      <c r="C1322" s="1" t="s">
        <v>1324</v>
      </c>
      <c r="D1322" s="1" t="s">
        <v>34</v>
      </c>
      <c r="E1322" s="3">
        <v>1258303</v>
      </c>
      <c r="F1322" s="3">
        <v>1258424</v>
      </c>
      <c r="G1322" s="1" t="s">
        <v>9</v>
      </c>
      <c r="H1322" s="1" t="b">
        <f t="shared" si="47"/>
        <v>1</v>
      </c>
    </row>
    <row r="1323" spans="1:8" ht="21" x14ac:dyDescent="0.25">
      <c r="A1323" s="2" t="str">
        <f>HYPERLINK("https://rth.dk/resources/bsgatlas/details.php?id=BSGatlas-operon-704","BSGatlas-operon-704")</f>
        <v>BSGatlas-operon-704</v>
      </c>
      <c r="B1323" s="2" t="str">
        <f>HYPERLINK("https://rth.dk/resources/bsgatlas/details.php?id=BSGatlas-gene-1419","BSGatlas-gene-1419")</f>
        <v>BSGatlas-gene-1419</v>
      </c>
      <c r="C1323" s="1" t="s">
        <v>1325</v>
      </c>
      <c r="D1323" s="1" t="s">
        <v>23</v>
      </c>
      <c r="E1323" s="3">
        <v>1262788</v>
      </c>
      <c r="F1323" s="3">
        <v>1262861</v>
      </c>
      <c r="G1323" s="1" t="s">
        <v>9</v>
      </c>
      <c r="H1323" s="1" t="b">
        <f t="shared" si="47"/>
        <v>0</v>
      </c>
    </row>
    <row r="1324" spans="1:8" ht="21" x14ac:dyDescent="0.25">
      <c r="A1324" s="2" t="str">
        <f>HYPERLINK("https://rth.dk/resources/bsgatlas/details.php?id=BSGatlas-operon-705","BSGatlas-operon-705")</f>
        <v>BSGatlas-operon-705</v>
      </c>
      <c r="B1324" s="2" t="str">
        <f>HYPERLINK("https://rth.dk/resources/bsgatlas/details.php?id=BSGatlas-gene-1417","BSGatlas-gene-1417")</f>
        <v>BSGatlas-gene-1417</v>
      </c>
      <c r="C1324" s="1" t="s">
        <v>1326</v>
      </c>
      <c r="D1324" s="1" t="s">
        <v>8</v>
      </c>
      <c r="E1324" s="3">
        <v>1260811</v>
      </c>
      <c r="F1324" s="3">
        <v>1261356</v>
      </c>
      <c r="G1324" s="1" t="s">
        <v>13</v>
      </c>
      <c r="H1324" s="1" t="b">
        <f t="shared" si="47"/>
        <v>1</v>
      </c>
    </row>
    <row r="1325" spans="1:8" ht="21" x14ac:dyDescent="0.25">
      <c r="A1325" s="2" t="str">
        <f>HYPERLINK("https://rth.dk/resources/bsgatlas/details.php?id=BSGatlas-operon-705","BSGatlas-operon-705")</f>
        <v>BSGatlas-operon-705</v>
      </c>
      <c r="B1325" s="2" t="str">
        <f>HYPERLINK("https://rth.dk/resources/bsgatlas/details.php?id=BSGatlas-gene-1418","BSGatlas-gene-1418")</f>
        <v>BSGatlas-gene-1418</v>
      </c>
      <c r="C1325" s="1" t="s">
        <v>1327</v>
      </c>
      <c r="D1325" s="1" t="s">
        <v>8</v>
      </c>
      <c r="E1325" s="3">
        <v>1261426</v>
      </c>
      <c r="F1325" s="3">
        <v>1262616</v>
      </c>
      <c r="G1325" s="1" t="s">
        <v>13</v>
      </c>
      <c r="H1325" s="1" t="b">
        <f t="shared" si="47"/>
        <v>1</v>
      </c>
    </row>
    <row r="1326" spans="1:8" ht="21" x14ac:dyDescent="0.25">
      <c r="A1326" s="2" t="str">
        <f>HYPERLINK("https://rth.dk/resources/bsgatlas/details.php?id=BSGatlas-operon-706","BSGatlas-operon-706")</f>
        <v>BSGatlas-operon-706</v>
      </c>
      <c r="B1326" s="2" t="str">
        <f>HYPERLINK("https://rth.dk/resources/bsgatlas/details.php?id=BSGatlas-gene-1420","BSGatlas-gene-1420")</f>
        <v>BSGatlas-gene-1420</v>
      </c>
      <c r="C1326" s="1" t="s">
        <v>1328</v>
      </c>
      <c r="D1326" s="1" t="s">
        <v>8</v>
      </c>
      <c r="E1326" s="3">
        <v>1263702</v>
      </c>
      <c r="F1326" s="3">
        <v>1264931</v>
      </c>
      <c r="G1326" s="1" t="s">
        <v>13</v>
      </c>
      <c r="H1326" s="1" t="b">
        <f t="shared" si="47"/>
        <v>0</v>
      </c>
    </row>
    <row r="1327" spans="1:8" ht="21" x14ac:dyDescent="0.25">
      <c r="A1327" s="2" t="str">
        <f>HYPERLINK("https://rth.dk/resources/bsgatlas/details.php?id=BSGatlas-operon-707","BSGatlas-operon-707")</f>
        <v>BSGatlas-operon-707</v>
      </c>
      <c r="B1327" s="2" t="str">
        <f>HYPERLINK("https://rth.dk/resources/bsgatlas/details.php?id=BSGatlas-gene-1421","BSGatlas-gene-1421")</f>
        <v>BSGatlas-gene-1421</v>
      </c>
      <c r="C1327" s="1" t="s">
        <v>1329</v>
      </c>
      <c r="D1327" s="1" t="s">
        <v>8</v>
      </c>
      <c r="E1327" s="3">
        <v>1265057</v>
      </c>
      <c r="F1327" s="3">
        <v>1265377</v>
      </c>
      <c r="G1327" s="1" t="s">
        <v>9</v>
      </c>
      <c r="H1327" s="1" t="b">
        <f t="shared" si="47"/>
        <v>1</v>
      </c>
    </row>
    <row r="1328" spans="1:8" ht="21" x14ac:dyDescent="0.25">
      <c r="A1328" s="2" t="str">
        <f>HYPERLINK("https://rth.dk/resources/bsgatlas/details.php?id=BSGatlas-operon-708","BSGatlas-operon-708")</f>
        <v>BSGatlas-operon-708</v>
      </c>
      <c r="B1328" s="2" t="str">
        <f>HYPERLINK("https://rth.dk/resources/bsgatlas/details.php?id=BSGatlas-gene-1425","BSGatlas-gene-1425")</f>
        <v>BSGatlas-gene-1425</v>
      </c>
      <c r="C1328" s="1" t="s">
        <v>1330</v>
      </c>
      <c r="D1328" s="1" t="s">
        <v>8</v>
      </c>
      <c r="E1328" s="3">
        <v>1266614</v>
      </c>
      <c r="F1328" s="3">
        <v>1267117</v>
      </c>
      <c r="G1328" s="1" t="s">
        <v>9</v>
      </c>
      <c r="H1328" s="1" t="b">
        <f t="shared" si="47"/>
        <v>0</v>
      </c>
    </row>
    <row r="1329" spans="1:8" ht="21" x14ac:dyDescent="0.25">
      <c r="A1329" s="2" t="str">
        <f>HYPERLINK("https://rth.dk/resources/bsgatlas/details.php?id=BSGatlas-operon-708","BSGatlas-operon-708")</f>
        <v>BSGatlas-operon-708</v>
      </c>
      <c r="B1329" s="2" t="str">
        <f>HYPERLINK("https://rth.dk/resources/bsgatlas/details.php?id=BSGatlas-gene-1426","BSGatlas-gene-1426")</f>
        <v>BSGatlas-gene-1426</v>
      </c>
      <c r="C1329" s="1" t="s">
        <v>1331</v>
      </c>
      <c r="D1329" s="1" t="s">
        <v>8</v>
      </c>
      <c r="E1329" s="3">
        <v>1267129</v>
      </c>
      <c r="F1329" s="3">
        <v>1267413</v>
      </c>
      <c r="G1329" s="1" t="s">
        <v>9</v>
      </c>
      <c r="H1329" s="1" t="b">
        <f t="shared" si="47"/>
        <v>0</v>
      </c>
    </row>
    <row r="1330" spans="1:8" ht="21" x14ac:dyDescent="0.25">
      <c r="A1330" s="2" t="str">
        <f>HYPERLINK("https://rth.dk/resources/bsgatlas/details.php?id=BSGatlas-operon-709","BSGatlas-operon-709")</f>
        <v>BSGatlas-operon-709</v>
      </c>
      <c r="B1330" s="2" t="str">
        <f>HYPERLINK("https://rth.dk/resources/bsgatlas/details.php?id=BSGatlas-gene-1428","BSGatlas-gene-1428")</f>
        <v>BSGatlas-gene-1428</v>
      </c>
      <c r="C1330" s="1" t="s">
        <v>1332</v>
      </c>
      <c r="D1330" s="1" t="s">
        <v>8</v>
      </c>
      <c r="E1330" s="3">
        <v>1268275</v>
      </c>
      <c r="F1330" s="3">
        <v>1268592</v>
      </c>
      <c r="G1330" s="1" t="s">
        <v>9</v>
      </c>
      <c r="H1330" s="1" t="b">
        <f t="shared" si="47"/>
        <v>1</v>
      </c>
    </row>
    <row r="1331" spans="1:8" ht="21" x14ac:dyDescent="0.25">
      <c r="A1331" s="2" t="str">
        <f>HYPERLINK("https://rth.dk/resources/bsgatlas/details.php?id=BSGatlas-operon-709","BSGatlas-operon-709")</f>
        <v>BSGatlas-operon-709</v>
      </c>
      <c r="B1331" s="2" t="str">
        <f>HYPERLINK("https://rth.dk/resources/bsgatlas/details.php?id=BSGatlas-gene-1429","BSGatlas-gene-1429")</f>
        <v>BSGatlas-gene-1429</v>
      </c>
      <c r="C1331" s="1" t="s">
        <v>1333</v>
      </c>
      <c r="D1331" s="1" t="s">
        <v>8</v>
      </c>
      <c r="E1331" s="3">
        <v>1268829</v>
      </c>
      <c r="F1331" s="3">
        <v>1269584</v>
      </c>
      <c r="G1331" s="1" t="s">
        <v>9</v>
      </c>
      <c r="H1331" s="1" t="b">
        <f t="shared" si="47"/>
        <v>1</v>
      </c>
    </row>
    <row r="1332" spans="1:8" ht="21" x14ac:dyDescent="0.25">
      <c r="A1332" s="2" t="str">
        <f>HYPERLINK("https://rth.dk/resources/bsgatlas/details.php?id=BSGatlas-operon-710","BSGatlas-operon-710")</f>
        <v>BSGatlas-operon-710</v>
      </c>
      <c r="B1332" s="2" t="str">
        <f>HYPERLINK("https://rth.dk/resources/bsgatlas/details.php?id=BSGatlas-gene-1430","BSGatlas-gene-1430")</f>
        <v>BSGatlas-gene-1430</v>
      </c>
      <c r="C1332" s="1" t="s">
        <v>1334</v>
      </c>
      <c r="D1332" s="1" t="s">
        <v>8</v>
      </c>
      <c r="E1332" s="3">
        <v>1269733</v>
      </c>
      <c r="F1332" s="3">
        <v>1270080</v>
      </c>
      <c r="G1332" s="1" t="s">
        <v>13</v>
      </c>
      <c r="H1332" s="1" t="b">
        <f t="shared" si="47"/>
        <v>0</v>
      </c>
    </row>
    <row r="1333" spans="1:8" ht="21" x14ac:dyDescent="0.25">
      <c r="A1333" s="2" t="str">
        <f>HYPERLINK("https://rth.dk/resources/bsgatlas/details.php?id=BSGatlas-operon-711","BSGatlas-operon-711")</f>
        <v>BSGatlas-operon-711</v>
      </c>
      <c r="B1333" s="2" t="str">
        <f>HYPERLINK("https://rth.dk/resources/bsgatlas/details.php?id=BSGatlas-gene-1431","BSGatlas-gene-1431")</f>
        <v>BSGatlas-gene-1431</v>
      </c>
      <c r="C1333" s="1" t="s">
        <v>1335</v>
      </c>
      <c r="D1333" s="1" t="s">
        <v>8</v>
      </c>
      <c r="E1333" s="3">
        <v>1270631</v>
      </c>
      <c r="F1333" s="3">
        <v>1272577</v>
      </c>
      <c r="G1333" s="1" t="s">
        <v>9</v>
      </c>
      <c r="H1333" s="1" t="b">
        <f t="shared" si="47"/>
        <v>1</v>
      </c>
    </row>
    <row r="1334" spans="1:8" ht="21" x14ac:dyDescent="0.25">
      <c r="A1334" s="2" t="str">
        <f>HYPERLINK("https://rth.dk/resources/bsgatlas/details.php?id=BSGatlas-operon-712","BSGatlas-operon-712")</f>
        <v>BSGatlas-operon-712</v>
      </c>
      <c r="B1334" s="2" t="str">
        <f>HYPERLINK("https://rth.dk/resources/bsgatlas/details.php?id=BSGatlas-gene-1432","BSGatlas-gene-1432")</f>
        <v>BSGatlas-gene-1432</v>
      </c>
      <c r="C1334" s="1" t="s">
        <v>1336</v>
      </c>
      <c r="D1334" s="1" t="s">
        <v>8</v>
      </c>
      <c r="E1334" s="3">
        <v>1272725</v>
      </c>
      <c r="F1334" s="3">
        <v>1274677</v>
      </c>
      <c r="G1334" s="1" t="s">
        <v>9</v>
      </c>
      <c r="H1334" s="1" t="b">
        <f t="shared" si="47"/>
        <v>0</v>
      </c>
    </row>
    <row r="1335" spans="1:8" ht="21" x14ac:dyDescent="0.25">
      <c r="A1335" s="2" t="str">
        <f>HYPERLINK("https://rth.dk/resources/bsgatlas/details.php?id=BSGatlas-operon-712","BSGatlas-operon-712")</f>
        <v>BSGatlas-operon-712</v>
      </c>
      <c r="B1335" s="2" t="str">
        <f>HYPERLINK("https://rth.dk/resources/bsgatlas/details.php?id=BSGatlas-gene-1433","BSGatlas-gene-1433")</f>
        <v>BSGatlas-gene-1433</v>
      </c>
      <c r="C1335" s="1" t="s">
        <v>1337</v>
      </c>
      <c r="D1335" s="1" t="s">
        <v>8</v>
      </c>
      <c r="E1335" s="3">
        <v>1274692</v>
      </c>
      <c r="F1335" s="3">
        <v>1275639</v>
      </c>
      <c r="G1335" s="1" t="s">
        <v>9</v>
      </c>
      <c r="H1335" s="1" t="b">
        <f t="shared" si="47"/>
        <v>0</v>
      </c>
    </row>
    <row r="1336" spans="1:8" ht="21" x14ac:dyDescent="0.25">
      <c r="A1336" s="2" t="str">
        <f>HYPERLINK("https://rth.dk/resources/bsgatlas/details.php?id=BSGatlas-operon-712","BSGatlas-operon-712")</f>
        <v>BSGatlas-operon-712</v>
      </c>
      <c r="B1336" s="2" t="str">
        <f>HYPERLINK("https://rth.dk/resources/bsgatlas/details.php?id=BSGatlas-gene-1434","BSGatlas-gene-1434")</f>
        <v>BSGatlas-gene-1434</v>
      </c>
      <c r="C1336" s="1" t="s">
        <v>1338</v>
      </c>
      <c r="D1336" s="1" t="s">
        <v>34</v>
      </c>
      <c r="E1336" s="3">
        <v>1275755</v>
      </c>
      <c r="F1336" s="3">
        <v>1275858</v>
      </c>
      <c r="G1336" s="1" t="s">
        <v>9</v>
      </c>
      <c r="H1336" s="1" t="b">
        <f t="shared" si="47"/>
        <v>0</v>
      </c>
    </row>
    <row r="1337" spans="1:8" ht="21" x14ac:dyDescent="0.25">
      <c r="A1337" s="2" t="str">
        <f>HYPERLINK("https://rth.dk/resources/bsgatlas/details.php?id=BSGatlas-operon-712","BSGatlas-operon-712")</f>
        <v>BSGatlas-operon-712</v>
      </c>
      <c r="B1337" s="2" t="str">
        <f>HYPERLINK("https://rth.dk/resources/bsgatlas/details.php?id=BSGatlas-gene-1435","BSGatlas-gene-1435")</f>
        <v>BSGatlas-gene-1435</v>
      </c>
      <c r="C1337" s="1" t="s">
        <v>1338</v>
      </c>
      <c r="D1337" s="1" t="s">
        <v>8</v>
      </c>
      <c r="E1337" s="3">
        <v>1275809</v>
      </c>
      <c r="F1337" s="3">
        <v>1276291</v>
      </c>
      <c r="G1337" s="1" t="s">
        <v>9</v>
      </c>
      <c r="H1337" s="1" t="b">
        <f t="shared" si="47"/>
        <v>0</v>
      </c>
    </row>
    <row r="1338" spans="1:8" ht="21" x14ac:dyDescent="0.25">
      <c r="A1338" s="2" t="str">
        <f>HYPERLINK("https://rth.dk/resources/bsgatlas/details.php?id=BSGatlas-operon-713","BSGatlas-operon-713")</f>
        <v>BSGatlas-operon-713</v>
      </c>
      <c r="B1338" s="2" t="str">
        <f>HYPERLINK("https://rth.dk/resources/bsgatlas/details.php?id=BSGatlas-gene-1436","BSGatlas-gene-1436")</f>
        <v>BSGatlas-gene-1436</v>
      </c>
      <c r="C1338" s="1" t="s">
        <v>1339</v>
      </c>
      <c r="D1338" s="1" t="s">
        <v>8</v>
      </c>
      <c r="E1338" s="3">
        <v>1276337</v>
      </c>
      <c r="F1338" s="3">
        <v>1276843</v>
      </c>
      <c r="G1338" s="1" t="s">
        <v>13</v>
      </c>
      <c r="H1338" s="1" t="b">
        <f t="shared" si="47"/>
        <v>1</v>
      </c>
    </row>
    <row r="1339" spans="1:8" ht="21" x14ac:dyDescent="0.25">
      <c r="A1339" s="2" t="str">
        <f>HYPERLINK("https://rth.dk/resources/bsgatlas/details.php?id=BSGatlas-operon-714","BSGatlas-operon-714")</f>
        <v>BSGatlas-operon-714</v>
      </c>
      <c r="B1339" s="2" t="str">
        <f>HYPERLINK("https://rth.dk/resources/bsgatlas/details.php?id=BSGatlas-gene-1437","BSGatlas-gene-1437")</f>
        <v>BSGatlas-gene-1437</v>
      </c>
      <c r="C1339" s="1" t="s">
        <v>1340</v>
      </c>
      <c r="D1339" s="1" t="s">
        <v>8</v>
      </c>
      <c r="E1339" s="3">
        <v>1277062</v>
      </c>
      <c r="F1339" s="3">
        <v>1277457</v>
      </c>
      <c r="G1339" s="1" t="s">
        <v>13</v>
      </c>
      <c r="H1339" s="1" t="b">
        <f t="shared" si="47"/>
        <v>0</v>
      </c>
    </row>
    <row r="1340" spans="1:8" ht="21" x14ac:dyDescent="0.25">
      <c r="A1340" s="2" t="str">
        <f>HYPERLINK("https://rth.dk/resources/bsgatlas/details.php?id=BSGatlas-operon-715","BSGatlas-operon-715")</f>
        <v>BSGatlas-operon-715</v>
      </c>
      <c r="B1340" s="2" t="str">
        <f>HYPERLINK("https://rth.dk/resources/bsgatlas/details.php?id=BSGatlas-gene-1438","BSGatlas-gene-1438")</f>
        <v>BSGatlas-gene-1438</v>
      </c>
      <c r="C1340" s="1" t="s">
        <v>1341</v>
      </c>
      <c r="D1340" s="1" t="s">
        <v>8</v>
      </c>
      <c r="E1340" s="3">
        <v>1277686</v>
      </c>
      <c r="F1340" s="3">
        <v>1278165</v>
      </c>
      <c r="G1340" s="1" t="s">
        <v>9</v>
      </c>
      <c r="H1340" s="1" t="b">
        <f t="shared" si="47"/>
        <v>1</v>
      </c>
    </row>
    <row r="1341" spans="1:8" ht="21" x14ac:dyDescent="0.25">
      <c r="A1341" s="2" t="str">
        <f>HYPERLINK("https://rth.dk/resources/bsgatlas/details.php?id=BSGatlas-operon-716","BSGatlas-operon-716")</f>
        <v>BSGatlas-operon-716</v>
      </c>
      <c r="B1341" s="2" t="str">
        <f>HYPERLINK("https://rth.dk/resources/bsgatlas/details.php?id=BSGatlas-gene-1439","BSGatlas-gene-1439")</f>
        <v>BSGatlas-gene-1439</v>
      </c>
      <c r="C1341" s="1" t="s">
        <v>1342</v>
      </c>
      <c r="D1341" s="1" t="s">
        <v>8</v>
      </c>
      <c r="E1341" s="3">
        <v>1278205</v>
      </c>
      <c r="F1341" s="3">
        <v>1278399</v>
      </c>
      <c r="G1341" s="1" t="s">
        <v>13</v>
      </c>
      <c r="H1341" s="1" t="b">
        <f t="shared" si="47"/>
        <v>0</v>
      </c>
    </row>
    <row r="1342" spans="1:8" ht="21" x14ac:dyDescent="0.25">
      <c r="A1342" s="2" t="str">
        <f>HYPERLINK("https://rth.dk/resources/bsgatlas/details.php?id=BSGatlas-operon-717","BSGatlas-operon-717")</f>
        <v>BSGatlas-operon-717</v>
      </c>
      <c r="B1342" s="2" t="str">
        <f>HYPERLINK("https://rth.dk/resources/bsgatlas/details.php?id=BSGatlas-gene-1440","BSGatlas-gene-1440")</f>
        <v>BSGatlas-gene-1440</v>
      </c>
      <c r="C1342" s="1" t="s">
        <v>1343</v>
      </c>
      <c r="D1342" s="1" t="s">
        <v>8</v>
      </c>
      <c r="E1342" s="3">
        <v>1278565</v>
      </c>
      <c r="F1342" s="3">
        <v>1278894</v>
      </c>
      <c r="G1342" s="1" t="s">
        <v>13</v>
      </c>
      <c r="H1342" s="1" t="b">
        <f t="shared" si="47"/>
        <v>1</v>
      </c>
    </row>
    <row r="1343" spans="1:8" ht="21" x14ac:dyDescent="0.25">
      <c r="A1343" s="2" t="str">
        <f>HYPERLINK("https://rth.dk/resources/bsgatlas/details.php?id=BSGatlas-operon-718","BSGatlas-operon-718")</f>
        <v>BSGatlas-operon-718</v>
      </c>
      <c r="B1343" s="2" t="str">
        <f>HYPERLINK("https://rth.dk/resources/bsgatlas/details.php?id=BSGatlas-gene-1441","BSGatlas-gene-1441")</f>
        <v>BSGatlas-gene-1441</v>
      </c>
      <c r="C1343" s="1" t="s">
        <v>1344</v>
      </c>
      <c r="D1343" s="1" t="s">
        <v>12</v>
      </c>
      <c r="E1343" s="3">
        <v>1279031</v>
      </c>
      <c r="F1343" s="3">
        <v>1279381</v>
      </c>
      <c r="G1343" s="1" t="s">
        <v>9</v>
      </c>
      <c r="H1343" s="1" t="b">
        <f t="shared" si="47"/>
        <v>0</v>
      </c>
    </row>
    <row r="1344" spans="1:8" ht="21" x14ac:dyDescent="0.25">
      <c r="A1344" s="2" t="str">
        <f>HYPERLINK("https://rth.dk/resources/bsgatlas/details.php?id=BSGatlas-operon-719","BSGatlas-operon-719")</f>
        <v>BSGatlas-operon-719</v>
      </c>
      <c r="B1344" s="2" t="str">
        <f>HYPERLINK("https://rth.dk/resources/bsgatlas/details.php?id=BSGatlas-gene-1442","BSGatlas-gene-1442")</f>
        <v>BSGatlas-gene-1442</v>
      </c>
      <c r="C1344" s="1" t="s">
        <v>1345</v>
      </c>
      <c r="D1344" s="1" t="s">
        <v>8</v>
      </c>
      <c r="E1344" s="3">
        <v>1279514</v>
      </c>
      <c r="F1344" s="3">
        <v>1280503</v>
      </c>
      <c r="G1344" s="1" t="s">
        <v>13</v>
      </c>
      <c r="H1344" s="1" t="b">
        <f t="shared" si="47"/>
        <v>1</v>
      </c>
    </row>
    <row r="1345" spans="1:8" ht="21" x14ac:dyDescent="0.25">
      <c r="A1345" s="2" t="str">
        <f>HYPERLINK("https://rth.dk/resources/bsgatlas/details.php?id=BSGatlas-operon-720","BSGatlas-operon-720")</f>
        <v>BSGatlas-operon-720</v>
      </c>
      <c r="B1345" s="2" t="str">
        <f>HYPERLINK("https://rth.dk/resources/bsgatlas/details.php?id=BSGatlas-gene-1444","BSGatlas-gene-1444")</f>
        <v>BSGatlas-gene-1444</v>
      </c>
      <c r="C1345" s="1" t="s">
        <v>1346</v>
      </c>
      <c r="D1345" s="1" t="s">
        <v>8</v>
      </c>
      <c r="E1345" s="3">
        <v>1280626</v>
      </c>
      <c r="F1345" s="3">
        <v>1280874</v>
      </c>
      <c r="G1345" s="1" t="s">
        <v>13</v>
      </c>
      <c r="H1345" s="1" t="b">
        <f t="shared" si="47"/>
        <v>0</v>
      </c>
    </row>
    <row r="1346" spans="1:8" ht="21" x14ac:dyDescent="0.25">
      <c r="A1346" s="2" t="str">
        <f>HYPERLINK("https://rth.dk/resources/bsgatlas/details.php?id=BSGatlas-operon-720","BSGatlas-operon-720")</f>
        <v>BSGatlas-operon-720</v>
      </c>
      <c r="B1346" s="2" t="str">
        <f>HYPERLINK("https://rth.dk/resources/bsgatlas/details.php?id=BSGatlas-gene-1443","BSGatlas-gene-1443")</f>
        <v>BSGatlas-gene-1443</v>
      </c>
      <c r="C1346" s="1" t="s">
        <v>1346</v>
      </c>
      <c r="D1346" s="1" t="s">
        <v>8</v>
      </c>
      <c r="E1346" s="3">
        <v>1280626</v>
      </c>
      <c r="F1346" s="3">
        <v>1280949</v>
      </c>
      <c r="G1346" s="1" t="s">
        <v>13</v>
      </c>
      <c r="H1346" s="1" t="b">
        <f t="shared" ref="H1346:H1409" si="49">_xlfn.XOR(A1345&lt;&gt;A1346,H1345)</f>
        <v>0</v>
      </c>
    </row>
    <row r="1347" spans="1:8" ht="21" x14ac:dyDescent="0.25">
      <c r="A1347" s="2" t="str">
        <f>HYPERLINK("https://rth.dk/resources/bsgatlas/details.php?id=BSGatlas-operon-721","BSGatlas-operon-721")</f>
        <v>BSGatlas-operon-721</v>
      </c>
      <c r="B1347" s="2" t="str">
        <f>HYPERLINK("https://rth.dk/resources/bsgatlas/details.php?id=BSGatlas-gene-1445","BSGatlas-gene-1445")</f>
        <v>BSGatlas-gene-1445</v>
      </c>
      <c r="C1347" s="1" t="s">
        <v>1347</v>
      </c>
      <c r="D1347" s="1" t="s">
        <v>8</v>
      </c>
      <c r="E1347" s="3">
        <v>1281128</v>
      </c>
      <c r="F1347" s="3">
        <v>1282531</v>
      </c>
      <c r="G1347" s="1" t="s">
        <v>9</v>
      </c>
      <c r="H1347" s="1" t="b">
        <f t="shared" si="49"/>
        <v>1</v>
      </c>
    </row>
    <row r="1348" spans="1:8" ht="21" x14ac:dyDescent="0.25">
      <c r="A1348" s="2" t="str">
        <f>HYPERLINK("https://rth.dk/resources/bsgatlas/details.php?id=BSGatlas-operon-722","BSGatlas-operon-722")</f>
        <v>BSGatlas-operon-722</v>
      </c>
      <c r="B1348" s="2" t="str">
        <f>HYPERLINK("https://rth.dk/resources/bsgatlas/details.php?id=BSGatlas-gene-1446","BSGatlas-gene-1446")</f>
        <v>BSGatlas-gene-1446</v>
      </c>
      <c r="C1348" s="1" t="s">
        <v>1348</v>
      </c>
      <c r="D1348" s="1" t="s">
        <v>8</v>
      </c>
      <c r="E1348" s="3">
        <v>1282571</v>
      </c>
      <c r="F1348" s="3">
        <v>1283044</v>
      </c>
      <c r="G1348" s="1" t="s">
        <v>13</v>
      </c>
      <c r="H1348" s="1" t="b">
        <f t="shared" si="49"/>
        <v>0</v>
      </c>
    </row>
    <row r="1349" spans="1:8" ht="21" x14ac:dyDescent="0.25">
      <c r="A1349" s="2" t="str">
        <f>HYPERLINK("https://rth.dk/resources/bsgatlas/details.php?id=BSGatlas-operon-723","BSGatlas-operon-723")</f>
        <v>BSGatlas-operon-723</v>
      </c>
      <c r="B1349" s="2" t="str">
        <f>HYPERLINK("https://rth.dk/resources/bsgatlas/details.php?id=BSGatlas-gene-1447","BSGatlas-gene-1447")</f>
        <v>BSGatlas-gene-1447</v>
      </c>
      <c r="C1349" s="1" t="s">
        <v>1349</v>
      </c>
      <c r="D1349" s="1" t="s">
        <v>8</v>
      </c>
      <c r="E1349" s="3">
        <v>1283169</v>
      </c>
      <c r="F1349" s="3">
        <v>1283336</v>
      </c>
      <c r="G1349" s="1" t="s">
        <v>13</v>
      </c>
      <c r="H1349" s="1" t="b">
        <f t="shared" si="49"/>
        <v>1</v>
      </c>
    </row>
    <row r="1350" spans="1:8" ht="21" x14ac:dyDescent="0.25">
      <c r="A1350" s="2" t="str">
        <f>HYPERLINK("https://rth.dk/resources/bsgatlas/details.php?id=BSGatlas-operon-724","BSGatlas-operon-724")</f>
        <v>BSGatlas-operon-724</v>
      </c>
      <c r="B1350" s="2" t="str">
        <f>HYPERLINK("https://rth.dk/resources/bsgatlas/details.php?id=BSGatlas-gene-1448","BSGatlas-gene-1448")</f>
        <v>BSGatlas-gene-1448</v>
      </c>
      <c r="C1350" s="1" t="s">
        <v>1350</v>
      </c>
      <c r="D1350" s="1" t="s">
        <v>8</v>
      </c>
      <c r="E1350" s="3">
        <v>1283463</v>
      </c>
      <c r="F1350" s="3">
        <v>1284362</v>
      </c>
      <c r="G1350" s="1" t="s">
        <v>9</v>
      </c>
      <c r="H1350" s="1" t="b">
        <f t="shared" si="49"/>
        <v>0</v>
      </c>
    </row>
    <row r="1351" spans="1:8" ht="21" x14ac:dyDescent="0.25">
      <c r="A1351" s="2" t="str">
        <f>HYPERLINK("https://rth.dk/resources/bsgatlas/details.php?id=BSGatlas-operon-725","BSGatlas-operon-725")</f>
        <v>BSGatlas-operon-725</v>
      </c>
      <c r="B1351" s="2" t="str">
        <f>HYPERLINK("https://rth.dk/resources/bsgatlas/details.php?id=BSGatlas-gene-1449","BSGatlas-gene-1449")</f>
        <v>BSGatlas-gene-1449</v>
      </c>
      <c r="C1351" s="1" t="s">
        <v>1351</v>
      </c>
      <c r="D1351" s="1" t="s">
        <v>8</v>
      </c>
      <c r="E1351" s="3">
        <v>1284371</v>
      </c>
      <c r="F1351" s="3">
        <v>1284769</v>
      </c>
      <c r="G1351" s="1" t="s">
        <v>13</v>
      </c>
      <c r="H1351" s="1" t="b">
        <f t="shared" si="49"/>
        <v>1</v>
      </c>
    </row>
    <row r="1352" spans="1:8" ht="21" x14ac:dyDescent="0.25">
      <c r="A1352" s="2" t="str">
        <f>HYPERLINK("https://rth.dk/resources/bsgatlas/details.php?id=BSGatlas-operon-725","BSGatlas-operon-725")</f>
        <v>BSGatlas-operon-725</v>
      </c>
      <c r="B1352" s="2" t="str">
        <f>HYPERLINK("https://rth.dk/resources/bsgatlas/details.php?id=BSGatlas-gene-1450","BSGatlas-gene-1450")</f>
        <v>BSGatlas-gene-1450</v>
      </c>
      <c r="C1352" s="1" t="s">
        <v>1352</v>
      </c>
      <c r="D1352" s="1" t="s">
        <v>8</v>
      </c>
      <c r="E1352" s="3">
        <v>1284870</v>
      </c>
      <c r="F1352" s="3">
        <v>1285445</v>
      </c>
      <c r="G1352" s="1" t="s">
        <v>13</v>
      </c>
      <c r="H1352" s="1" t="b">
        <f t="shared" si="49"/>
        <v>1</v>
      </c>
    </row>
    <row r="1353" spans="1:8" ht="21" x14ac:dyDescent="0.25">
      <c r="A1353" s="2" t="str">
        <f>HYPERLINK("https://rth.dk/resources/bsgatlas/details.php?id=BSGatlas-operon-726","BSGatlas-operon-726")</f>
        <v>BSGatlas-operon-726</v>
      </c>
      <c r="B1353" s="2" t="str">
        <f>HYPERLINK("https://rth.dk/resources/bsgatlas/details.php?id=BSGatlas-gene-1451","BSGatlas-gene-1451")</f>
        <v>BSGatlas-gene-1451</v>
      </c>
      <c r="C1353" s="1" t="s">
        <v>1353</v>
      </c>
      <c r="D1353" s="1" t="s">
        <v>8</v>
      </c>
      <c r="E1353" s="3">
        <v>1285591</v>
      </c>
      <c r="F1353" s="3">
        <v>1288548</v>
      </c>
      <c r="G1353" s="1" t="s">
        <v>9</v>
      </c>
      <c r="H1353" s="1" t="b">
        <f t="shared" si="49"/>
        <v>0</v>
      </c>
    </row>
    <row r="1354" spans="1:8" ht="21" x14ac:dyDescent="0.25">
      <c r="A1354" s="2" t="str">
        <f>HYPERLINK("https://rth.dk/resources/bsgatlas/details.php?id=BSGatlas-operon-726","BSGatlas-operon-726")</f>
        <v>BSGatlas-operon-726</v>
      </c>
      <c r="B1354" s="2" t="str">
        <f>HYPERLINK("https://rth.dk/resources/bsgatlas/details.php?id=BSGatlas-gene-1452","BSGatlas-gene-1452")</f>
        <v>BSGatlas-gene-1452</v>
      </c>
      <c r="C1354" s="1" t="s">
        <v>1354</v>
      </c>
      <c r="D1354" s="1" t="s">
        <v>8</v>
      </c>
      <c r="E1354" s="3">
        <v>1288541</v>
      </c>
      <c r="F1354" s="3">
        <v>1289101</v>
      </c>
      <c r="G1354" s="1" t="s">
        <v>9</v>
      </c>
      <c r="H1354" s="1" t="b">
        <f t="shared" si="49"/>
        <v>0</v>
      </c>
    </row>
    <row r="1355" spans="1:8" ht="21" x14ac:dyDescent="0.25">
      <c r="A1355" s="2" t="str">
        <f>HYPERLINK("https://rth.dk/resources/bsgatlas/details.php?id=BSGatlas-operon-727","BSGatlas-operon-727")</f>
        <v>BSGatlas-operon-727</v>
      </c>
      <c r="B1355" s="2" t="str">
        <f>HYPERLINK("https://rth.dk/resources/bsgatlas/details.php?id=BSGatlas-gene-1453","BSGatlas-gene-1453")</f>
        <v>BSGatlas-gene-1453</v>
      </c>
      <c r="C1355" s="1" t="s">
        <v>1355</v>
      </c>
      <c r="D1355" s="1" t="s">
        <v>8</v>
      </c>
      <c r="E1355" s="3">
        <v>1289298</v>
      </c>
      <c r="F1355" s="3">
        <v>1289939</v>
      </c>
      <c r="G1355" s="1" t="s">
        <v>9</v>
      </c>
      <c r="H1355" s="1" t="b">
        <f t="shared" si="49"/>
        <v>1</v>
      </c>
    </row>
    <row r="1356" spans="1:8" ht="21" x14ac:dyDescent="0.25">
      <c r="A1356" s="2" t="str">
        <f>HYPERLINK("https://rth.dk/resources/bsgatlas/details.php?id=BSGatlas-operon-727","BSGatlas-operon-727")</f>
        <v>BSGatlas-operon-727</v>
      </c>
      <c r="B1356" s="2" t="str">
        <f>HYPERLINK("https://rth.dk/resources/bsgatlas/details.php?id=BSGatlas-gene-1454","BSGatlas-gene-1454")</f>
        <v>BSGatlas-gene-1454</v>
      </c>
      <c r="C1356" s="1" t="s">
        <v>1356</v>
      </c>
      <c r="D1356" s="1" t="s">
        <v>8</v>
      </c>
      <c r="E1356" s="3">
        <v>1290018</v>
      </c>
      <c r="F1356" s="3">
        <v>1290644</v>
      </c>
      <c r="G1356" s="1" t="s">
        <v>9</v>
      </c>
      <c r="H1356" s="1" t="b">
        <f t="shared" si="49"/>
        <v>1</v>
      </c>
    </row>
    <row r="1357" spans="1:8" ht="21" x14ac:dyDescent="0.25">
      <c r="A1357" s="2" t="str">
        <f>HYPERLINK("https://rth.dk/resources/bsgatlas/details.php?id=BSGatlas-operon-728","BSGatlas-operon-728")</f>
        <v>BSGatlas-operon-728</v>
      </c>
      <c r="B1357" s="2" t="str">
        <f>HYPERLINK("https://rth.dk/resources/bsgatlas/details.php?id=BSGatlas-gene-1455","BSGatlas-gene-1455")</f>
        <v>BSGatlas-gene-1455</v>
      </c>
      <c r="C1357" s="1" t="s">
        <v>1357</v>
      </c>
      <c r="D1357" s="1" t="s">
        <v>8</v>
      </c>
      <c r="E1357" s="3">
        <v>1290675</v>
      </c>
      <c r="F1357" s="3">
        <v>1290953</v>
      </c>
      <c r="G1357" s="1" t="s">
        <v>13</v>
      </c>
      <c r="H1357" s="1" t="b">
        <f t="shared" si="49"/>
        <v>0</v>
      </c>
    </row>
    <row r="1358" spans="1:8" ht="21" x14ac:dyDescent="0.25">
      <c r="A1358" s="2" t="str">
        <f>HYPERLINK("https://rth.dk/resources/bsgatlas/details.php?id=BSGatlas-operon-729","BSGatlas-operon-729")</f>
        <v>BSGatlas-operon-729</v>
      </c>
      <c r="B1358" s="2" t="str">
        <f>HYPERLINK("https://rth.dk/resources/bsgatlas/details.php?id=BSGatlas-gene-1456","BSGatlas-gene-1456")</f>
        <v>BSGatlas-gene-1456</v>
      </c>
      <c r="C1358" s="1" t="s">
        <v>1358</v>
      </c>
      <c r="D1358" s="1" t="s">
        <v>8</v>
      </c>
      <c r="E1358" s="3">
        <v>1291344</v>
      </c>
      <c r="F1358" s="3">
        <v>1292534</v>
      </c>
      <c r="G1358" s="1" t="s">
        <v>9</v>
      </c>
      <c r="H1358" s="1" t="b">
        <f t="shared" si="49"/>
        <v>1</v>
      </c>
    </row>
    <row r="1359" spans="1:8" ht="21" x14ac:dyDescent="0.25">
      <c r="A1359" s="2" t="str">
        <f>HYPERLINK("https://rth.dk/resources/bsgatlas/details.php?id=BSGatlas-operon-729","BSGatlas-operon-729")</f>
        <v>BSGatlas-operon-729</v>
      </c>
      <c r="B1359" s="2" t="str">
        <f>HYPERLINK("https://rth.dk/resources/bsgatlas/details.php?id=BSGatlas-gene-1457","BSGatlas-gene-1457")</f>
        <v>BSGatlas-gene-1457</v>
      </c>
      <c r="C1359" s="1" t="s">
        <v>1359</v>
      </c>
      <c r="D1359" s="1" t="s">
        <v>8</v>
      </c>
      <c r="E1359" s="3">
        <v>1292557</v>
      </c>
      <c r="F1359" s="3">
        <v>1293735</v>
      </c>
      <c r="G1359" s="1" t="s">
        <v>9</v>
      </c>
      <c r="H1359" s="1" t="b">
        <f t="shared" si="49"/>
        <v>1</v>
      </c>
    </row>
    <row r="1360" spans="1:8" ht="21" x14ac:dyDescent="0.25">
      <c r="A1360" s="2" t="str">
        <f>HYPERLINK("https://rth.dk/resources/bsgatlas/details.php?id=BSGatlas-operon-730","BSGatlas-operon-730")</f>
        <v>BSGatlas-operon-730</v>
      </c>
      <c r="B1360" s="2" t="str">
        <f>HYPERLINK("https://rth.dk/resources/bsgatlas/details.php?id=BSGatlas-gene-1458","BSGatlas-gene-1458")</f>
        <v>BSGatlas-gene-1458</v>
      </c>
      <c r="C1360" s="1" t="s">
        <v>1360</v>
      </c>
      <c r="D1360" s="1" t="s">
        <v>8</v>
      </c>
      <c r="E1360" s="3">
        <v>1293776</v>
      </c>
      <c r="F1360" s="3">
        <v>1293964</v>
      </c>
      <c r="G1360" s="1" t="s">
        <v>13</v>
      </c>
      <c r="H1360" s="1" t="b">
        <f t="shared" si="49"/>
        <v>0</v>
      </c>
    </row>
    <row r="1361" spans="1:8" ht="21" x14ac:dyDescent="0.25">
      <c r="A1361" s="2" t="str">
        <f>HYPERLINK("https://rth.dk/resources/bsgatlas/details.php?id=BSGatlas-operon-731","BSGatlas-operon-731")</f>
        <v>BSGatlas-operon-731</v>
      </c>
      <c r="B1361" s="2" t="str">
        <f>HYPERLINK("https://rth.dk/resources/bsgatlas/details.php?id=BSGatlas-gene-1459","BSGatlas-gene-1459")</f>
        <v>BSGatlas-gene-1459</v>
      </c>
      <c r="C1361" s="1" t="s">
        <v>1361</v>
      </c>
      <c r="D1361" s="1" t="s">
        <v>8</v>
      </c>
      <c r="E1361" s="3">
        <v>1294138</v>
      </c>
      <c r="F1361" s="3">
        <v>1294950</v>
      </c>
      <c r="G1361" s="1" t="s">
        <v>9</v>
      </c>
      <c r="H1361" s="1" t="b">
        <f t="shared" si="49"/>
        <v>1</v>
      </c>
    </row>
    <row r="1362" spans="1:8" ht="21" x14ac:dyDescent="0.25">
      <c r="A1362" s="2" t="str">
        <f>HYPERLINK("https://rth.dk/resources/bsgatlas/details.php?id=BSGatlas-operon-732","BSGatlas-operon-732")</f>
        <v>BSGatlas-operon-732</v>
      </c>
      <c r="B1362" s="2" t="str">
        <f>HYPERLINK("https://rth.dk/resources/bsgatlas/details.php?id=BSGatlas-gene-1460","BSGatlas-gene-1460")</f>
        <v>BSGatlas-gene-1460</v>
      </c>
      <c r="C1362" s="1" t="s">
        <v>1362</v>
      </c>
      <c r="D1362" s="1" t="s">
        <v>8</v>
      </c>
      <c r="E1362" s="3">
        <v>1294996</v>
      </c>
      <c r="F1362" s="3">
        <v>1295748</v>
      </c>
      <c r="G1362" s="1" t="s">
        <v>13</v>
      </c>
      <c r="H1362" s="1" t="b">
        <f t="shared" si="49"/>
        <v>0</v>
      </c>
    </row>
    <row r="1363" spans="1:8" ht="21" x14ac:dyDescent="0.25">
      <c r="A1363" s="2" t="str">
        <f>HYPERLINK("https://rth.dk/resources/bsgatlas/details.php?id=BSGatlas-operon-732","BSGatlas-operon-732")</f>
        <v>BSGatlas-operon-732</v>
      </c>
      <c r="B1363" s="2" t="str">
        <f>HYPERLINK("https://rth.dk/resources/bsgatlas/details.php?id=BSGatlas-gene-1461","BSGatlas-gene-1461")</f>
        <v>BSGatlas-gene-1461</v>
      </c>
      <c r="C1363" s="1" t="s">
        <v>1363</v>
      </c>
      <c r="D1363" s="1" t="s">
        <v>8</v>
      </c>
      <c r="E1363" s="3">
        <v>1295748</v>
      </c>
      <c r="F1363" s="3">
        <v>1296500</v>
      </c>
      <c r="G1363" s="1" t="s">
        <v>13</v>
      </c>
      <c r="H1363" s="1" t="b">
        <f t="shared" si="49"/>
        <v>0</v>
      </c>
    </row>
    <row r="1364" spans="1:8" ht="21" x14ac:dyDescent="0.25">
      <c r="A1364" s="2" t="str">
        <f>HYPERLINK("https://rth.dk/resources/bsgatlas/details.php?id=BSGatlas-operon-733","BSGatlas-operon-733")</f>
        <v>BSGatlas-operon-733</v>
      </c>
      <c r="B1364" s="2" t="str">
        <f>HYPERLINK("https://rth.dk/resources/bsgatlas/details.php?id=BSGatlas-gene-1462","BSGatlas-gene-1462")</f>
        <v>BSGatlas-gene-1462</v>
      </c>
      <c r="C1364" s="1" t="s">
        <v>1364</v>
      </c>
      <c r="D1364" s="1" t="s">
        <v>8</v>
      </c>
      <c r="E1364" s="3">
        <v>1296620</v>
      </c>
      <c r="F1364" s="3">
        <v>1297594</v>
      </c>
      <c r="G1364" s="1" t="s">
        <v>13</v>
      </c>
      <c r="H1364" s="1" t="b">
        <f t="shared" si="49"/>
        <v>1</v>
      </c>
    </row>
    <row r="1365" spans="1:8" ht="21" x14ac:dyDescent="0.25">
      <c r="A1365" s="2" t="str">
        <f>HYPERLINK("https://rth.dk/resources/bsgatlas/details.php?id=BSGatlas-operon-734","BSGatlas-operon-734")</f>
        <v>BSGatlas-operon-734</v>
      </c>
      <c r="B1365" s="2" t="str">
        <f>HYPERLINK("https://rth.dk/resources/bsgatlas/details.php?id=BSGatlas-gene-1463","BSGatlas-gene-1463")</f>
        <v>BSGatlas-gene-1463</v>
      </c>
      <c r="C1365" s="1" t="s">
        <v>1365</v>
      </c>
      <c r="D1365" s="1" t="s">
        <v>8</v>
      </c>
      <c r="E1365" s="3">
        <v>1297726</v>
      </c>
      <c r="F1365" s="3">
        <v>1298223</v>
      </c>
      <c r="G1365" s="1" t="s">
        <v>9</v>
      </c>
      <c r="H1365" s="1" t="b">
        <f t="shared" si="49"/>
        <v>0</v>
      </c>
    </row>
    <row r="1366" spans="1:8" ht="21" x14ac:dyDescent="0.25">
      <c r="A1366" s="2" t="str">
        <f>HYPERLINK("https://rth.dk/resources/bsgatlas/details.php?id=BSGatlas-operon-734","BSGatlas-operon-734")</f>
        <v>BSGatlas-operon-734</v>
      </c>
      <c r="B1366" s="2" t="str">
        <f>HYPERLINK("https://rth.dk/resources/bsgatlas/details.php?id=BSGatlas-gene-1464","BSGatlas-gene-1464")</f>
        <v>BSGatlas-gene-1464</v>
      </c>
      <c r="C1366" s="1" t="s">
        <v>1366</v>
      </c>
      <c r="D1366" s="1" t="s">
        <v>8</v>
      </c>
      <c r="E1366" s="3">
        <v>1298612</v>
      </c>
      <c r="F1366" s="3">
        <v>1299034</v>
      </c>
      <c r="G1366" s="1" t="s">
        <v>9</v>
      </c>
      <c r="H1366" s="1" t="b">
        <f t="shared" si="49"/>
        <v>0</v>
      </c>
    </row>
    <row r="1367" spans="1:8" ht="21" x14ac:dyDescent="0.25">
      <c r="A1367" s="2" t="str">
        <f>HYPERLINK("https://rth.dk/resources/bsgatlas/details.php?id=BSGatlas-operon-734","BSGatlas-operon-734")</f>
        <v>BSGatlas-operon-734</v>
      </c>
      <c r="B1367" s="2" t="str">
        <f>HYPERLINK("https://rth.dk/resources/bsgatlas/details.php?id=BSGatlas-gene-1465","BSGatlas-gene-1465")</f>
        <v>BSGatlas-gene-1465</v>
      </c>
      <c r="C1367" s="1" t="s">
        <v>1367</v>
      </c>
      <c r="D1367" s="1" t="s">
        <v>8</v>
      </c>
      <c r="E1367" s="3">
        <v>1299074</v>
      </c>
      <c r="F1367" s="3">
        <v>1300252</v>
      </c>
      <c r="G1367" s="1" t="s">
        <v>9</v>
      </c>
      <c r="H1367" s="1" t="b">
        <f t="shared" si="49"/>
        <v>0</v>
      </c>
    </row>
    <row r="1368" spans="1:8" ht="21" x14ac:dyDescent="0.25">
      <c r="A1368" s="2" t="str">
        <f t="shared" ref="A1368:A1377" si="50">HYPERLINK("https://rth.dk/resources/bsgatlas/details.php?id=BSGatlas-operon-735","BSGatlas-operon-735")</f>
        <v>BSGatlas-operon-735</v>
      </c>
      <c r="B1368" s="2" t="str">
        <f>HYPERLINK("https://rth.dk/resources/bsgatlas/details.php?id=BSGatlas-gene-1466","BSGatlas-gene-1466")</f>
        <v>BSGatlas-gene-1466</v>
      </c>
      <c r="C1368" s="1" t="s">
        <v>1368</v>
      </c>
      <c r="D1368" s="1" t="s">
        <v>8</v>
      </c>
      <c r="E1368" s="3">
        <v>1300450</v>
      </c>
      <c r="F1368" s="3">
        <v>1301871</v>
      </c>
      <c r="G1368" s="1" t="s">
        <v>9</v>
      </c>
      <c r="H1368" s="1" t="b">
        <f t="shared" si="49"/>
        <v>1</v>
      </c>
    </row>
    <row r="1369" spans="1:8" ht="21" x14ac:dyDescent="0.25">
      <c r="A1369" s="2" t="str">
        <f t="shared" si="50"/>
        <v>BSGatlas-operon-735</v>
      </c>
      <c r="B1369" s="2" t="str">
        <f>HYPERLINK("https://rth.dk/resources/bsgatlas/details.php?id=BSGatlas-gene-1467","BSGatlas-gene-1467")</f>
        <v>BSGatlas-gene-1467</v>
      </c>
      <c r="C1369" s="1" t="s">
        <v>1369</v>
      </c>
      <c r="D1369" s="1" t="s">
        <v>8</v>
      </c>
      <c r="E1369" s="3">
        <v>1301939</v>
      </c>
      <c r="F1369" s="3">
        <v>1303318</v>
      </c>
      <c r="G1369" s="1" t="s">
        <v>9</v>
      </c>
      <c r="H1369" s="1" t="b">
        <f t="shared" si="49"/>
        <v>1</v>
      </c>
    </row>
    <row r="1370" spans="1:8" ht="21" x14ac:dyDescent="0.25">
      <c r="A1370" s="2" t="str">
        <f t="shared" si="50"/>
        <v>BSGatlas-operon-735</v>
      </c>
      <c r="B1370" s="2" t="str">
        <f>HYPERLINK("https://rth.dk/resources/bsgatlas/details.php?id=BSGatlas-gene-1468","BSGatlas-gene-1468")</f>
        <v>BSGatlas-gene-1468</v>
      </c>
      <c r="C1370" s="1" t="s">
        <v>1370</v>
      </c>
      <c r="D1370" s="1" t="s">
        <v>8</v>
      </c>
      <c r="E1370" s="3">
        <v>1303423</v>
      </c>
      <c r="F1370" s="3">
        <v>1304436</v>
      </c>
      <c r="G1370" s="1" t="s">
        <v>9</v>
      </c>
      <c r="H1370" s="1" t="b">
        <f t="shared" si="49"/>
        <v>1</v>
      </c>
    </row>
    <row r="1371" spans="1:8" ht="21" x14ac:dyDescent="0.25">
      <c r="A1371" s="2" t="str">
        <f t="shared" si="50"/>
        <v>BSGatlas-operon-735</v>
      </c>
      <c r="B1371" s="2" t="str">
        <f>HYPERLINK("https://rth.dk/resources/bsgatlas/details.php?id=BSGatlas-gene-1469","BSGatlas-gene-1469")</f>
        <v>BSGatlas-gene-1469</v>
      </c>
      <c r="C1371" s="1" t="s">
        <v>1371</v>
      </c>
      <c r="D1371" s="1" t="s">
        <v>8</v>
      </c>
      <c r="E1371" s="3">
        <v>1304442</v>
      </c>
      <c r="F1371" s="3">
        <v>1305461</v>
      </c>
      <c r="G1371" s="1" t="s">
        <v>9</v>
      </c>
      <c r="H1371" s="1" t="b">
        <f t="shared" si="49"/>
        <v>1</v>
      </c>
    </row>
    <row r="1372" spans="1:8" ht="21" x14ac:dyDescent="0.25">
      <c r="A1372" s="2" t="str">
        <f t="shared" si="50"/>
        <v>BSGatlas-operon-735</v>
      </c>
      <c r="B1372" s="2" t="str">
        <f>HYPERLINK("https://rth.dk/resources/bsgatlas/details.php?id=BSGatlas-gene-1470","BSGatlas-gene-1470")</f>
        <v>BSGatlas-gene-1470</v>
      </c>
      <c r="C1372" s="1" t="s">
        <v>1372</v>
      </c>
      <c r="D1372" s="1" t="s">
        <v>8</v>
      </c>
      <c r="E1372" s="3">
        <v>1305486</v>
      </c>
      <c r="F1372" s="3">
        <v>1306565</v>
      </c>
      <c r="G1372" s="1" t="s">
        <v>9</v>
      </c>
      <c r="H1372" s="1" t="b">
        <f t="shared" si="49"/>
        <v>1</v>
      </c>
    </row>
    <row r="1373" spans="1:8" ht="21" x14ac:dyDescent="0.25">
      <c r="A1373" s="2" t="str">
        <f t="shared" si="50"/>
        <v>BSGatlas-operon-735</v>
      </c>
      <c r="B1373" s="2" t="str">
        <f>HYPERLINK("https://rth.dk/resources/bsgatlas/details.php?id=BSGatlas-gene-1471","BSGatlas-gene-1471")</f>
        <v>BSGatlas-gene-1471</v>
      </c>
      <c r="C1373" s="1" t="s">
        <v>1373</v>
      </c>
      <c r="D1373" s="1" t="s">
        <v>8</v>
      </c>
      <c r="E1373" s="3">
        <v>1306562</v>
      </c>
      <c r="F1373" s="3">
        <v>1307398</v>
      </c>
      <c r="G1373" s="1" t="s">
        <v>9</v>
      </c>
      <c r="H1373" s="1" t="b">
        <f t="shared" si="49"/>
        <v>1</v>
      </c>
    </row>
    <row r="1374" spans="1:8" ht="21" x14ac:dyDescent="0.25">
      <c r="A1374" s="2" t="str">
        <f t="shared" si="50"/>
        <v>BSGatlas-operon-735</v>
      </c>
      <c r="B1374" s="2" t="str">
        <f>HYPERLINK("https://rth.dk/resources/bsgatlas/details.php?id=BSGatlas-gene-1472","BSGatlas-gene-1472")</f>
        <v>BSGatlas-gene-1472</v>
      </c>
      <c r="C1374" s="1" t="s">
        <v>1374</v>
      </c>
      <c r="D1374" s="1" t="s">
        <v>8</v>
      </c>
      <c r="E1374" s="3">
        <v>1307446</v>
      </c>
      <c r="F1374" s="3">
        <v>1308714</v>
      </c>
      <c r="G1374" s="1" t="s">
        <v>9</v>
      </c>
      <c r="H1374" s="1" t="b">
        <f t="shared" si="49"/>
        <v>1</v>
      </c>
    </row>
    <row r="1375" spans="1:8" ht="21" x14ac:dyDescent="0.25">
      <c r="A1375" s="2" t="str">
        <f t="shared" si="50"/>
        <v>BSGatlas-operon-735</v>
      </c>
      <c r="B1375" s="2" t="str">
        <f>HYPERLINK("https://rth.dk/resources/bsgatlas/details.php?id=BSGatlas-gene-1473","BSGatlas-gene-1473")</f>
        <v>BSGatlas-gene-1473</v>
      </c>
      <c r="C1375" s="1" t="s">
        <v>1375</v>
      </c>
      <c r="D1375" s="1" t="s">
        <v>8</v>
      </c>
      <c r="E1375" s="3">
        <v>1308802</v>
      </c>
      <c r="F1375" s="3">
        <v>1309803</v>
      </c>
      <c r="G1375" s="1" t="s">
        <v>9</v>
      </c>
      <c r="H1375" s="1" t="b">
        <f t="shared" si="49"/>
        <v>1</v>
      </c>
    </row>
    <row r="1376" spans="1:8" ht="21" x14ac:dyDescent="0.25">
      <c r="A1376" s="2" t="str">
        <f t="shared" si="50"/>
        <v>BSGatlas-operon-735</v>
      </c>
      <c r="B1376" s="2" t="str">
        <f>HYPERLINK("https://rth.dk/resources/bsgatlas/details.php?id=BSGatlas-gene-1474","BSGatlas-gene-1474")</f>
        <v>BSGatlas-gene-1474</v>
      </c>
      <c r="C1376" s="1" t="s">
        <v>1376</v>
      </c>
      <c r="D1376" s="1" t="s">
        <v>8</v>
      </c>
      <c r="E1376" s="3">
        <v>1309880</v>
      </c>
      <c r="F1376" s="3">
        <v>1311322</v>
      </c>
      <c r="G1376" s="1" t="s">
        <v>9</v>
      </c>
      <c r="H1376" s="1" t="b">
        <f t="shared" si="49"/>
        <v>1</v>
      </c>
    </row>
    <row r="1377" spans="1:8" ht="21" x14ac:dyDescent="0.25">
      <c r="A1377" s="2" t="str">
        <f t="shared" si="50"/>
        <v>BSGatlas-operon-735</v>
      </c>
      <c r="B1377" s="2" t="str">
        <f>HYPERLINK("https://rth.dk/resources/bsgatlas/details.php?id=BSGatlas-gene-1475","BSGatlas-gene-1475")</f>
        <v>BSGatlas-gene-1475</v>
      </c>
      <c r="C1377" s="1" t="s">
        <v>1377</v>
      </c>
      <c r="D1377" s="1" t="s">
        <v>8</v>
      </c>
      <c r="E1377" s="3">
        <v>1311319</v>
      </c>
      <c r="F1377" s="3">
        <v>1312812</v>
      </c>
      <c r="G1377" s="1" t="s">
        <v>9</v>
      </c>
      <c r="H1377" s="1" t="b">
        <f t="shared" si="49"/>
        <v>1</v>
      </c>
    </row>
    <row r="1378" spans="1:8" ht="21" x14ac:dyDescent="0.25">
      <c r="A1378" s="2" t="str">
        <f>HYPERLINK("https://rth.dk/resources/bsgatlas/details.php?id=BSGatlas-operon-736","BSGatlas-operon-736")</f>
        <v>BSGatlas-operon-736</v>
      </c>
      <c r="B1378" s="2" t="str">
        <f>HYPERLINK("https://rth.dk/resources/bsgatlas/details.php?id=BSGatlas-gene-1476","BSGatlas-gene-1476")</f>
        <v>BSGatlas-gene-1476</v>
      </c>
      <c r="C1378" s="1" t="s">
        <v>1378</v>
      </c>
      <c r="D1378" s="1" t="s">
        <v>8</v>
      </c>
      <c r="E1378" s="3">
        <v>1312851</v>
      </c>
      <c r="F1378" s="3">
        <v>1313615</v>
      </c>
      <c r="G1378" s="1" t="s">
        <v>13</v>
      </c>
      <c r="H1378" s="1" t="b">
        <f t="shared" si="49"/>
        <v>0</v>
      </c>
    </row>
    <row r="1379" spans="1:8" ht="21" x14ac:dyDescent="0.25">
      <c r="A1379" s="2" t="str">
        <f>HYPERLINK("https://rth.dk/resources/bsgatlas/details.php?id=BSGatlas-operon-737","BSGatlas-operon-737")</f>
        <v>BSGatlas-operon-737</v>
      </c>
      <c r="B1379" s="2" t="str">
        <f>HYPERLINK("https://rth.dk/resources/bsgatlas/details.php?id=BSGatlas-gene-1477","BSGatlas-gene-1477")</f>
        <v>BSGatlas-gene-1477</v>
      </c>
      <c r="C1379" s="1" t="s">
        <v>1379</v>
      </c>
      <c r="D1379" s="1" t="s">
        <v>8</v>
      </c>
      <c r="E1379" s="3">
        <v>1313840</v>
      </c>
      <c r="F1379" s="3">
        <v>1314304</v>
      </c>
      <c r="G1379" s="1" t="s">
        <v>13</v>
      </c>
      <c r="H1379" s="1" t="b">
        <f t="shared" si="49"/>
        <v>1</v>
      </c>
    </row>
    <row r="1380" spans="1:8" ht="21" x14ac:dyDescent="0.25">
      <c r="A1380" s="2" t="str">
        <f>HYPERLINK("https://rth.dk/resources/bsgatlas/details.php?id=BSGatlas-operon-738","BSGatlas-operon-738")</f>
        <v>BSGatlas-operon-738</v>
      </c>
      <c r="B1380" s="2" t="str">
        <f>HYPERLINK("https://rth.dk/resources/bsgatlas/details.php?id=BSGatlas-gene-1478","BSGatlas-gene-1478")</f>
        <v>BSGatlas-gene-1478</v>
      </c>
      <c r="C1380" s="1" t="s">
        <v>1380</v>
      </c>
      <c r="D1380" s="1" t="s">
        <v>8</v>
      </c>
      <c r="E1380" s="3">
        <v>1314453</v>
      </c>
      <c r="F1380" s="3">
        <v>1315724</v>
      </c>
      <c r="G1380" s="1" t="s">
        <v>9</v>
      </c>
      <c r="H1380" s="1" t="b">
        <f t="shared" si="49"/>
        <v>0</v>
      </c>
    </row>
    <row r="1381" spans="1:8" ht="21" x14ac:dyDescent="0.25">
      <c r="A1381" s="2" t="str">
        <f>HYPERLINK("https://rth.dk/resources/bsgatlas/details.php?id=BSGatlas-operon-739","BSGatlas-operon-739")</f>
        <v>BSGatlas-operon-739</v>
      </c>
      <c r="B1381" s="2" t="str">
        <f>HYPERLINK("https://rth.dk/resources/bsgatlas/details.php?id=BSGatlas-gene-1479","BSGatlas-gene-1479")</f>
        <v>BSGatlas-gene-1479</v>
      </c>
      <c r="C1381" s="1" t="s">
        <v>1381</v>
      </c>
      <c r="D1381" s="1" t="s">
        <v>8</v>
      </c>
      <c r="E1381" s="3">
        <v>1315869</v>
      </c>
      <c r="F1381" s="3">
        <v>1317005</v>
      </c>
      <c r="G1381" s="1" t="s">
        <v>9</v>
      </c>
      <c r="H1381" s="1" t="b">
        <f t="shared" si="49"/>
        <v>1</v>
      </c>
    </row>
    <row r="1382" spans="1:8" ht="21" x14ac:dyDescent="0.25">
      <c r="A1382" s="2" t="str">
        <f>HYPERLINK("https://rth.dk/resources/bsgatlas/details.php?id=BSGatlas-operon-739","BSGatlas-operon-739")</f>
        <v>BSGatlas-operon-739</v>
      </c>
      <c r="B1382" s="2" t="str">
        <f>HYPERLINK("https://rth.dk/resources/bsgatlas/details.php?id=BSGatlas-gene-1480","BSGatlas-gene-1480")</f>
        <v>BSGatlas-gene-1480</v>
      </c>
      <c r="C1382" s="1" t="s">
        <v>1382</v>
      </c>
      <c r="D1382" s="1" t="s">
        <v>8</v>
      </c>
      <c r="E1382" s="3">
        <v>1316995</v>
      </c>
      <c r="F1382" s="3">
        <v>1317129</v>
      </c>
      <c r="G1382" s="1" t="s">
        <v>9</v>
      </c>
      <c r="H1382" s="1" t="b">
        <f t="shared" si="49"/>
        <v>1</v>
      </c>
    </row>
    <row r="1383" spans="1:8" ht="21" x14ac:dyDescent="0.25">
      <c r="A1383" s="2" t="str">
        <f>HYPERLINK("https://rth.dk/resources/bsgatlas/details.php?id=BSGatlas-operon-740","BSGatlas-operon-740")</f>
        <v>BSGatlas-operon-740</v>
      </c>
      <c r="B1383" s="2" t="str">
        <f>HYPERLINK("https://rth.dk/resources/bsgatlas/details.php?id=BSGatlas-gene-1481","BSGatlas-gene-1481")</f>
        <v>BSGatlas-gene-1481</v>
      </c>
      <c r="C1383" s="1" t="s">
        <v>1383</v>
      </c>
      <c r="D1383" s="1" t="s">
        <v>8</v>
      </c>
      <c r="E1383" s="3">
        <v>1317157</v>
      </c>
      <c r="F1383" s="3">
        <v>1317414</v>
      </c>
      <c r="G1383" s="1" t="s">
        <v>13</v>
      </c>
      <c r="H1383" s="1" t="b">
        <f t="shared" si="49"/>
        <v>0</v>
      </c>
    </row>
    <row r="1384" spans="1:8" ht="21" x14ac:dyDescent="0.25">
      <c r="A1384" s="2" t="str">
        <f>HYPERLINK("https://rth.dk/resources/bsgatlas/details.php?id=BSGatlas-operon-741","BSGatlas-operon-741")</f>
        <v>BSGatlas-operon-741</v>
      </c>
      <c r="B1384" s="2" t="str">
        <f>HYPERLINK("https://rth.dk/resources/bsgatlas/details.php?id=BSGatlas-gene-1482","BSGatlas-gene-1482")</f>
        <v>BSGatlas-gene-1482</v>
      </c>
      <c r="C1384" s="1" t="s">
        <v>1384</v>
      </c>
      <c r="D1384" s="1" t="s">
        <v>8</v>
      </c>
      <c r="E1384" s="3">
        <v>1317535</v>
      </c>
      <c r="F1384" s="3">
        <v>1318488</v>
      </c>
      <c r="G1384" s="1" t="s">
        <v>9</v>
      </c>
      <c r="H1384" s="1" t="b">
        <f t="shared" si="49"/>
        <v>1</v>
      </c>
    </row>
    <row r="1385" spans="1:8" ht="21" x14ac:dyDescent="0.25">
      <c r="A1385" s="2" t="str">
        <f>HYPERLINK("https://rth.dk/resources/bsgatlas/details.php?id=BSGatlas-operon-742","BSGatlas-operon-742")</f>
        <v>BSGatlas-operon-742</v>
      </c>
      <c r="B1385" s="2" t="str">
        <f>HYPERLINK("https://rth.dk/resources/bsgatlas/details.php?id=BSGatlas-gene-1484","BSGatlas-gene-1484")</f>
        <v>BSGatlas-gene-1484</v>
      </c>
      <c r="C1385" s="1" t="s">
        <v>1385</v>
      </c>
      <c r="D1385" s="1" t="s">
        <v>8</v>
      </c>
      <c r="E1385" s="3">
        <v>1319011</v>
      </c>
      <c r="F1385" s="3">
        <v>1319613</v>
      </c>
      <c r="G1385" s="1" t="s">
        <v>9</v>
      </c>
      <c r="H1385" s="1" t="b">
        <f t="shared" si="49"/>
        <v>0</v>
      </c>
    </row>
    <row r="1386" spans="1:8" ht="21" x14ac:dyDescent="0.25">
      <c r="A1386" s="2" t="str">
        <f>HYPERLINK("https://rth.dk/resources/bsgatlas/details.php?id=BSGatlas-operon-742","BSGatlas-operon-742")</f>
        <v>BSGatlas-operon-742</v>
      </c>
      <c r="B1386" s="2" t="str">
        <f>HYPERLINK("https://rth.dk/resources/bsgatlas/details.php?id=BSGatlas-gene-1485","BSGatlas-gene-1485")</f>
        <v>BSGatlas-gene-1485</v>
      </c>
      <c r="C1386" s="1" t="s">
        <v>1386</v>
      </c>
      <c r="D1386" s="1" t="s">
        <v>8</v>
      </c>
      <c r="E1386" s="3">
        <v>1319690</v>
      </c>
      <c r="F1386" s="3">
        <v>1320526</v>
      </c>
      <c r="G1386" s="1" t="s">
        <v>9</v>
      </c>
      <c r="H1386" s="1" t="b">
        <f t="shared" si="49"/>
        <v>0</v>
      </c>
    </row>
    <row r="1387" spans="1:8" ht="21" x14ac:dyDescent="0.25">
      <c r="A1387" s="2" t="str">
        <f>HYPERLINK("https://rth.dk/resources/bsgatlas/details.php?id=BSGatlas-operon-743","BSGatlas-operon-743")</f>
        <v>BSGatlas-operon-743</v>
      </c>
      <c r="B1387" s="2" t="str">
        <f>HYPERLINK("https://rth.dk/resources/bsgatlas/details.php?id=BSGatlas-gene-1483","BSGatlas-gene-1483")</f>
        <v>BSGatlas-gene-1483</v>
      </c>
      <c r="C1387" s="1" t="s">
        <v>1387</v>
      </c>
      <c r="D1387" s="1" t="s">
        <v>8</v>
      </c>
      <c r="E1387" s="3">
        <v>1318528</v>
      </c>
      <c r="F1387" s="3">
        <v>1318905</v>
      </c>
      <c r="G1387" s="1" t="s">
        <v>13</v>
      </c>
      <c r="H1387" s="1" t="b">
        <f t="shared" si="49"/>
        <v>1</v>
      </c>
    </row>
    <row r="1388" spans="1:8" ht="21" x14ac:dyDescent="0.25">
      <c r="A1388" s="2" t="str">
        <f>HYPERLINK("https://rth.dk/resources/bsgatlas/details.php?id=BSGatlas-operon-744","BSGatlas-operon-744")</f>
        <v>BSGatlas-operon-744</v>
      </c>
      <c r="B1388" s="2" t="str">
        <f>HYPERLINK("https://rth.dk/resources/bsgatlas/details.php?id=BSGatlas-gene-1486","BSGatlas-gene-1486")</f>
        <v>BSGatlas-gene-1486</v>
      </c>
      <c r="C1388" s="1" t="s">
        <v>1388</v>
      </c>
      <c r="D1388" s="1" t="s">
        <v>8</v>
      </c>
      <c r="E1388" s="3">
        <v>1320570</v>
      </c>
      <c r="F1388" s="3">
        <v>1321166</v>
      </c>
      <c r="G1388" s="1" t="s">
        <v>13</v>
      </c>
      <c r="H1388" s="1" t="b">
        <f t="shared" si="49"/>
        <v>0</v>
      </c>
    </row>
    <row r="1389" spans="1:8" ht="21" x14ac:dyDescent="0.25">
      <c r="A1389" s="2" t="str">
        <f>HYPERLINK("https://rth.dk/resources/bsgatlas/details.php?id=BSGatlas-operon-745","BSGatlas-operon-745")</f>
        <v>BSGatlas-operon-745</v>
      </c>
      <c r="B1389" s="2" t="str">
        <f>HYPERLINK("https://rth.dk/resources/bsgatlas/details.php?id=BSGatlas-gene-1487","BSGatlas-gene-1487")</f>
        <v>BSGatlas-gene-1487</v>
      </c>
      <c r="C1389" s="1" t="s">
        <v>1389</v>
      </c>
      <c r="D1389" s="1" t="s">
        <v>8</v>
      </c>
      <c r="E1389" s="3">
        <v>1321329</v>
      </c>
      <c r="F1389" s="3">
        <v>1321670</v>
      </c>
      <c r="G1389" s="1" t="s">
        <v>13</v>
      </c>
      <c r="H1389" s="1" t="b">
        <f t="shared" si="49"/>
        <v>1</v>
      </c>
    </row>
    <row r="1390" spans="1:8" ht="21" x14ac:dyDescent="0.25">
      <c r="A1390" s="2" t="str">
        <f t="shared" ref="A1390:A1395" si="51">HYPERLINK("https://rth.dk/resources/bsgatlas/details.php?id=BSGatlas-operon-746","BSGatlas-operon-746")</f>
        <v>BSGatlas-operon-746</v>
      </c>
      <c r="B1390" s="2" t="str">
        <f>HYPERLINK("https://rth.dk/resources/bsgatlas/details.php?id=BSGatlas-gene-1488","BSGatlas-gene-1488")</f>
        <v>BSGatlas-gene-1488</v>
      </c>
      <c r="C1390" s="1" t="s">
        <v>1390</v>
      </c>
      <c r="D1390" s="1" t="s">
        <v>8</v>
      </c>
      <c r="E1390" s="3">
        <v>1321848</v>
      </c>
      <c r="F1390" s="3">
        <v>1322027</v>
      </c>
      <c r="G1390" s="1" t="s">
        <v>9</v>
      </c>
      <c r="H1390" s="1" t="b">
        <f t="shared" si="49"/>
        <v>0</v>
      </c>
    </row>
    <row r="1391" spans="1:8" ht="21" x14ac:dyDescent="0.25">
      <c r="A1391" s="2" t="str">
        <f t="shared" si="51"/>
        <v>BSGatlas-operon-746</v>
      </c>
      <c r="B1391" s="2" t="str">
        <f>HYPERLINK("https://rth.dk/resources/bsgatlas/details.php?id=BSGatlas-gene-1489","BSGatlas-gene-1489")</f>
        <v>BSGatlas-gene-1489</v>
      </c>
      <c r="C1391" s="1" t="s">
        <v>1391</v>
      </c>
      <c r="D1391" s="1" t="s">
        <v>8</v>
      </c>
      <c r="E1391" s="3">
        <v>1322014</v>
      </c>
      <c r="F1391" s="3">
        <v>1322850</v>
      </c>
      <c r="G1391" s="1" t="s">
        <v>9</v>
      </c>
      <c r="H1391" s="1" t="b">
        <f t="shared" si="49"/>
        <v>0</v>
      </c>
    </row>
    <row r="1392" spans="1:8" ht="21" x14ac:dyDescent="0.25">
      <c r="A1392" s="2" t="str">
        <f t="shared" si="51"/>
        <v>BSGatlas-operon-746</v>
      </c>
      <c r="B1392" s="2" t="str">
        <f>HYPERLINK("https://rth.dk/resources/bsgatlas/details.php?id=BSGatlas-gene-1490","BSGatlas-gene-1490")</f>
        <v>BSGatlas-gene-1490</v>
      </c>
      <c r="C1392" s="1" t="s">
        <v>1392</v>
      </c>
      <c r="D1392" s="1" t="s">
        <v>8</v>
      </c>
      <c r="E1392" s="3">
        <v>1322750</v>
      </c>
      <c r="F1392" s="3">
        <v>1323550</v>
      </c>
      <c r="G1392" s="1" t="s">
        <v>9</v>
      </c>
      <c r="H1392" s="1" t="b">
        <f t="shared" si="49"/>
        <v>0</v>
      </c>
    </row>
    <row r="1393" spans="1:8" ht="21" x14ac:dyDescent="0.25">
      <c r="A1393" s="2" t="str">
        <f t="shared" si="51"/>
        <v>BSGatlas-operon-746</v>
      </c>
      <c r="B1393" s="2" t="str">
        <f>HYPERLINK("https://rth.dk/resources/bsgatlas/details.php?id=BSGatlas-gene-1491","BSGatlas-gene-1491")</f>
        <v>BSGatlas-gene-1491</v>
      </c>
      <c r="C1393" s="1" t="s">
        <v>1393</v>
      </c>
      <c r="D1393" s="1" t="s">
        <v>8</v>
      </c>
      <c r="E1393" s="3">
        <v>1323550</v>
      </c>
      <c r="F1393" s="3">
        <v>1323717</v>
      </c>
      <c r="G1393" s="1" t="s">
        <v>9</v>
      </c>
      <c r="H1393" s="1" t="b">
        <f t="shared" si="49"/>
        <v>0</v>
      </c>
    </row>
    <row r="1394" spans="1:8" ht="21" x14ac:dyDescent="0.25">
      <c r="A1394" s="2" t="str">
        <f t="shared" si="51"/>
        <v>BSGatlas-operon-746</v>
      </c>
      <c r="B1394" s="2" t="str">
        <f>HYPERLINK("https://rth.dk/resources/bsgatlas/details.php?id=BSGatlas-gene-1492","BSGatlas-gene-1492")</f>
        <v>BSGatlas-gene-1492</v>
      </c>
      <c r="C1394" s="1" t="s">
        <v>1394</v>
      </c>
      <c r="D1394" s="1" t="s">
        <v>8</v>
      </c>
      <c r="E1394" s="3">
        <v>1323802</v>
      </c>
      <c r="F1394" s="3">
        <v>1324152</v>
      </c>
      <c r="G1394" s="1" t="s">
        <v>9</v>
      </c>
      <c r="H1394" s="1" t="b">
        <f t="shared" si="49"/>
        <v>0</v>
      </c>
    </row>
    <row r="1395" spans="1:8" ht="21" x14ac:dyDescent="0.25">
      <c r="A1395" s="2" t="str">
        <f t="shared" si="51"/>
        <v>BSGatlas-operon-746</v>
      </c>
      <c r="B1395" s="2" t="str">
        <f>HYPERLINK("https://rth.dk/resources/bsgatlas/details.php?id=BSGatlas-gene-1493","BSGatlas-gene-1493")</f>
        <v>BSGatlas-gene-1493</v>
      </c>
      <c r="C1395" s="1" t="s">
        <v>1395</v>
      </c>
      <c r="D1395" s="1" t="s">
        <v>8</v>
      </c>
      <c r="E1395" s="3">
        <v>1324149</v>
      </c>
      <c r="F1395" s="3">
        <v>1324355</v>
      </c>
      <c r="G1395" s="1" t="s">
        <v>9</v>
      </c>
      <c r="H1395" s="1" t="b">
        <f t="shared" si="49"/>
        <v>0</v>
      </c>
    </row>
    <row r="1396" spans="1:8" ht="21" x14ac:dyDescent="0.25">
      <c r="A1396" s="2" t="str">
        <f t="shared" ref="A1396:A1424" si="52">HYPERLINK("https://rth.dk/resources/bsgatlas/details.php?id=BSGatlas-operon-747","BSGatlas-operon-747")</f>
        <v>BSGatlas-operon-747</v>
      </c>
      <c r="B1396" s="2" t="str">
        <f>HYPERLINK("https://rth.dk/resources/bsgatlas/details.php?id=BSGatlas-gene-1495","BSGatlas-gene-1495")</f>
        <v>BSGatlas-gene-1495</v>
      </c>
      <c r="C1396" s="1" t="s">
        <v>1396</v>
      </c>
      <c r="D1396" s="1" t="s">
        <v>8</v>
      </c>
      <c r="E1396" s="3">
        <v>1325096</v>
      </c>
      <c r="F1396" s="3">
        <v>1325893</v>
      </c>
      <c r="G1396" s="1" t="s">
        <v>9</v>
      </c>
      <c r="H1396" s="1" t="b">
        <f t="shared" si="49"/>
        <v>1</v>
      </c>
    </row>
    <row r="1397" spans="1:8" ht="21" x14ac:dyDescent="0.25">
      <c r="A1397" s="2" t="str">
        <f t="shared" si="52"/>
        <v>BSGatlas-operon-747</v>
      </c>
      <c r="B1397" s="2" t="str">
        <f>HYPERLINK("https://rth.dk/resources/bsgatlas/details.php?id=BSGatlas-gene-1496","BSGatlas-gene-1496")</f>
        <v>BSGatlas-gene-1496</v>
      </c>
      <c r="C1397" s="1" t="s">
        <v>1397</v>
      </c>
      <c r="D1397" s="1" t="s">
        <v>8</v>
      </c>
      <c r="E1397" s="3">
        <v>1325890</v>
      </c>
      <c r="F1397" s="3">
        <v>1327191</v>
      </c>
      <c r="G1397" s="1" t="s">
        <v>9</v>
      </c>
      <c r="H1397" s="1" t="b">
        <f t="shared" si="49"/>
        <v>1</v>
      </c>
    </row>
    <row r="1398" spans="1:8" ht="21" x14ac:dyDescent="0.25">
      <c r="A1398" s="2" t="str">
        <f t="shared" si="52"/>
        <v>BSGatlas-operon-747</v>
      </c>
      <c r="B1398" s="2" t="str">
        <f>HYPERLINK("https://rth.dk/resources/bsgatlas/details.php?id=BSGatlas-gene-1497","BSGatlas-gene-1497")</f>
        <v>BSGatlas-gene-1497</v>
      </c>
      <c r="C1398" s="1" t="s">
        <v>1398</v>
      </c>
      <c r="D1398" s="1" t="s">
        <v>8</v>
      </c>
      <c r="E1398" s="3">
        <v>1327195</v>
      </c>
      <c r="F1398" s="3">
        <v>1328682</v>
      </c>
      <c r="G1398" s="1" t="s">
        <v>9</v>
      </c>
      <c r="H1398" s="1" t="b">
        <f t="shared" si="49"/>
        <v>1</v>
      </c>
    </row>
    <row r="1399" spans="1:8" ht="21" x14ac:dyDescent="0.25">
      <c r="A1399" s="2" t="str">
        <f t="shared" si="52"/>
        <v>BSGatlas-operon-747</v>
      </c>
      <c r="B1399" s="2" t="str">
        <f>HYPERLINK("https://rth.dk/resources/bsgatlas/details.php?id=BSGatlas-gene-1498","BSGatlas-gene-1498")</f>
        <v>BSGatlas-gene-1498</v>
      </c>
      <c r="C1399" s="1" t="s">
        <v>1399</v>
      </c>
      <c r="D1399" s="1" t="s">
        <v>8</v>
      </c>
      <c r="E1399" s="3">
        <v>1328702</v>
      </c>
      <c r="F1399" s="3">
        <v>1329529</v>
      </c>
      <c r="G1399" s="1" t="s">
        <v>9</v>
      </c>
      <c r="H1399" s="1" t="b">
        <f t="shared" si="49"/>
        <v>1</v>
      </c>
    </row>
    <row r="1400" spans="1:8" ht="21" x14ac:dyDescent="0.25">
      <c r="A1400" s="2" t="str">
        <f t="shared" si="52"/>
        <v>BSGatlas-operon-747</v>
      </c>
      <c r="B1400" s="2" t="str">
        <f>HYPERLINK("https://rth.dk/resources/bsgatlas/details.php?id=BSGatlas-gene-1499","BSGatlas-gene-1499")</f>
        <v>BSGatlas-gene-1499</v>
      </c>
      <c r="C1400" s="1" t="s">
        <v>1400</v>
      </c>
      <c r="D1400" s="1" t="s">
        <v>8</v>
      </c>
      <c r="E1400" s="3">
        <v>1329555</v>
      </c>
      <c r="F1400" s="3">
        <v>1330490</v>
      </c>
      <c r="G1400" s="1" t="s">
        <v>9</v>
      </c>
      <c r="H1400" s="1" t="b">
        <f t="shared" si="49"/>
        <v>1</v>
      </c>
    </row>
    <row r="1401" spans="1:8" ht="21" x14ac:dyDescent="0.25">
      <c r="A1401" s="2" t="str">
        <f t="shared" si="52"/>
        <v>BSGatlas-operon-747</v>
      </c>
      <c r="B1401" s="2" t="str">
        <f>HYPERLINK("https://rth.dk/resources/bsgatlas/details.php?id=BSGatlas-gene-1500","BSGatlas-gene-1500")</f>
        <v>BSGatlas-gene-1500</v>
      </c>
      <c r="C1401" s="1" t="s">
        <v>1401</v>
      </c>
      <c r="D1401" s="1" t="s">
        <v>8</v>
      </c>
      <c r="E1401" s="3">
        <v>1330512</v>
      </c>
      <c r="F1401" s="3">
        <v>1330895</v>
      </c>
      <c r="G1401" s="1" t="s">
        <v>9</v>
      </c>
      <c r="H1401" s="1" t="b">
        <f t="shared" si="49"/>
        <v>1</v>
      </c>
    </row>
    <row r="1402" spans="1:8" ht="21" x14ac:dyDescent="0.25">
      <c r="A1402" s="2" t="str">
        <f t="shared" si="52"/>
        <v>BSGatlas-operon-747</v>
      </c>
      <c r="B1402" s="2" t="str">
        <f>HYPERLINK("https://rth.dk/resources/bsgatlas/details.php?id=BSGatlas-gene-1501","BSGatlas-gene-1501")</f>
        <v>BSGatlas-gene-1501</v>
      </c>
      <c r="C1402" s="1" t="s">
        <v>1402</v>
      </c>
      <c r="D1402" s="1" t="s">
        <v>8</v>
      </c>
      <c r="E1402" s="3">
        <v>1330892</v>
      </c>
      <c r="F1402" s="3">
        <v>1331248</v>
      </c>
      <c r="G1402" s="1" t="s">
        <v>9</v>
      </c>
      <c r="H1402" s="1" t="b">
        <f t="shared" si="49"/>
        <v>1</v>
      </c>
    </row>
    <row r="1403" spans="1:8" ht="21" x14ac:dyDescent="0.25">
      <c r="A1403" s="2" t="str">
        <f t="shared" si="52"/>
        <v>BSGatlas-operon-747</v>
      </c>
      <c r="B1403" s="2" t="str">
        <f>HYPERLINK("https://rth.dk/resources/bsgatlas/details.php?id=BSGatlas-gene-1502","BSGatlas-gene-1502")</f>
        <v>BSGatlas-gene-1502</v>
      </c>
      <c r="C1403" s="1" t="s">
        <v>1403</v>
      </c>
      <c r="D1403" s="1" t="s">
        <v>8</v>
      </c>
      <c r="E1403" s="3">
        <v>1331245</v>
      </c>
      <c r="F1403" s="3">
        <v>1331730</v>
      </c>
      <c r="G1403" s="1" t="s">
        <v>9</v>
      </c>
      <c r="H1403" s="1" t="b">
        <f t="shared" si="49"/>
        <v>1</v>
      </c>
    </row>
    <row r="1404" spans="1:8" ht="21" x14ac:dyDescent="0.25">
      <c r="A1404" s="2" t="str">
        <f t="shared" si="52"/>
        <v>BSGatlas-operon-747</v>
      </c>
      <c r="B1404" s="2" t="str">
        <f>HYPERLINK("https://rth.dk/resources/bsgatlas/details.php?id=BSGatlas-gene-1503","BSGatlas-gene-1503")</f>
        <v>BSGatlas-gene-1503</v>
      </c>
      <c r="C1404" s="1" t="s">
        <v>1404</v>
      </c>
      <c r="D1404" s="1" t="s">
        <v>8</v>
      </c>
      <c r="E1404" s="3">
        <v>1331743</v>
      </c>
      <c r="F1404" s="3">
        <v>1332183</v>
      </c>
      <c r="G1404" s="1" t="s">
        <v>9</v>
      </c>
      <c r="H1404" s="1" t="b">
        <f t="shared" si="49"/>
        <v>1</v>
      </c>
    </row>
    <row r="1405" spans="1:8" ht="21" x14ac:dyDescent="0.25">
      <c r="A1405" s="2" t="str">
        <f t="shared" si="52"/>
        <v>BSGatlas-operon-747</v>
      </c>
      <c r="B1405" s="2" t="str">
        <f>HYPERLINK("https://rth.dk/resources/bsgatlas/details.php?id=BSGatlas-gene-1504","BSGatlas-gene-1504")</f>
        <v>BSGatlas-gene-1504</v>
      </c>
      <c r="C1405" s="1" t="s">
        <v>1405</v>
      </c>
      <c r="D1405" s="1" t="s">
        <v>8</v>
      </c>
      <c r="E1405" s="3">
        <v>1332187</v>
      </c>
      <c r="F1405" s="3">
        <v>1332405</v>
      </c>
      <c r="G1405" s="1" t="s">
        <v>9</v>
      </c>
      <c r="H1405" s="1" t="b">
        <f t="shared" si="49"/>
        <v>1</v>
      </c>
    </row>
    <row r="1406" spans="1:8" ht="21" x14ac:dyDescent="0.25">
      <c r="A1406" s="2" t="str">
        <f t="shared" si="52"/>
        <v>BSGatlas-operon-747</v>
      </c>
      <c r="B1406" s="2" t="str">
        <f>HYPERLINK("https://rth.dk/resources/bsgatlas/details.php?id=BSGatlas-gene-1505","BSGatlas-gene-1505")</f>
        <v>BSGatlas-gene-1505</v>
      </c>
      <c r="C1406" s="1" t="s">
        <v>1406</v>
      </c>
      <c r="D1406" s="1" t="s">
        <v>8</v>
      </c>
      <c r="E1406" s="3">
        <v>1332402</v>
      </c>
      <c r="F1406" s="3">
        <v>1333802</v>
      </c>
      <c r="G1406" s="1" t="s">
        <v>9</v>
      </c>
      <c r="H1406" s="1" t="b">
        <f t="shared" si="49"/>
        <v>1</v>
      </c>
    </row>
    <row r="1407" spans="1:8" ht="21" x14ac:dyDescent="0.25">
      <c r="A1407" s="2" t="str">
        <f t="shared" si="52"/>
        <v>BSGatlas-operon-747</v>
      </c>
      <c r="B1407" s="2" t="str">
        <f>HYPERLINK("https://rth.dk/resources/bsgatlas/details.php?id=BSGatlas-gene-1506","BSGatlas-gene-1506")</f>
        <v>BSGatlas-gene-1506</v>
      </c>
      <c r="C1407" s="1" t="s">
        <v>1407</v>
      </c>
      <c r="D1407" s="1" t="s">
        <v>8</v>
      </c>
      <c r="E1407" s="3">
        <v>1333804</v>
      </c>
      <c r="F1407" s="3">
        <v>1334247</v>
      </c>
      <c r="G1407" s="1" t="s">
        <v>9</v>
      </c>
      <c r="H1407" s="1" t="b">
        <f t="shared" si="49"/>
        <v>1</v>
      </c>
    </row>
    <row r="1408" spans="1:8" ht="21" x14ac:dyDescent="0.25">
      <c r="A1408" s="2" t="str">
        <f t="shared" si="52"/>
        <v>BSGatlas-operon-747</v>
      </c>
      <c r="B1408" s="2" t="str">
        <f>HYPERLINK("https://rth.dk/resources/bsgatlas/details.php?id=BSGatlas-gene-1507","BSGatlas-gene-1507")</f>
        <v>BSGatlas-gene-1507</v>
      </c>
      <c r="C1408" s="1" t="s">
        <v>1408</v>
      </c>
      <c r="D1408" s="1" t="s">
        <v>8</v>
      </c>
      <c r="E1408" s="3">
        <v>1334339</v>
      </c>
      <c r="F1408" s="3">
        <v>1334785</v>
      </c>
      <c r="G1408" s="1" t="s">
        <v>9</v>
      </c>
      <c r="H1408" s="1" t="b">
        <f t="shared" si="49"/>
        <v>1</v>
      </c>
    </row>
    <row r="1409" spans="1:8" ht="21" x14ac:dyDescent="0.25">
      <c r="A1409" s="2" t="str">
        <f t="shared" si="52"/>
        <v>BSGatlas-operon-747</v>
      </c>
      <c r="B1409" s="2" t="str">
        <f>HYPERLINK("https://rth.dk/resources/bsgatlas/details.php?id=BSGatlas-gene-1508","BSGatlas-gene-1508")</f>
        <v>BSGatlas-gene-1508</v>
      </c>
      <c r="C1409" s="1" t="s">
        <v>1409</v>
      </c>
      <c r="D1409" s="1" t="s">
        <v>8</v>
      </c>
      <c r="E1409" s="3">
        <v>1334815</v>
      </c>
      <c r="F1409" s="3">
        <v>1334964</v>
      </c>
      <c r="G1409" s="1" t="s">
        <v>9</v>
      </c>
      <c r="H1409" s="1" t="b">
        <f t="shared" si="49"/>
        <v>1</v>
      </c>
    </row>
    <row r="1410" spans="1:8" ht="21" x14ac:dyDescent="0.25">
      <c r="A1410" s="2" t="str">
        <f t="shared" si="52"/>
        <v>BSGatlas-operon-747</v>
      </c>
      <c r="B1410" s="2" t="str">
        <f>HYPERLINK("https://rth.dk/resources/bsgatlas/details.php?id=BSGatlas-gene-1509","BSGatlas-gene-1509")</f>
        <v>BSGatlas-gene-1509</v>
      </c>
      <c r="C1410" s="1" t="s">
        <v>1410</v>
      </c>
      <c r="D1410" s="1" t="s">
        <v>8</v>
      </c>
      <c r="E1410" s="3">
        <v>1334966</v>
      </c>
      <c r="F1410" s="3">
        <v>1338964</v>
      </c>
      <c r="G1410" s="1" t="s">
        <v>9</v>
      </c>
      <c r="H1410" s="1" t="b">
        <f t="shared" ref="H1410:H1473" si="53">_xlfn.XOR(A1409&lt;&gt;A1410,H1409)</f>
        <v>1</v>
      </c>
    </row>
    <row r="1411" spans="1:8" ht="21" x14ac:dyDescent="0.25">
      <c r="A1411" s="2" t="str">
        <f t="shared" si="52"/>
        <v>BSGatlas-operon-747</v>
      </c>
      <c r="B1411" s="2" t="str">
        <f>HYPERLINK("https://rth.dk/resources/bsgatlas/details.php?id=BSGatlas-gene-1510","BSGatlas-gene-1510")</f>
        <v>BSGatlas-gene-1510</v>
      </c>
      <c r="C1411" s="1" t="s">
        <v>1411</v>
      </c>
      <c r="D1411" s="1" t="s">
        <v>8</v>
      </c>
      <c r="E1411" s="3">
        <v>1338957</v>
      </c>
      <c r="F1411" s="3">
        <v>1339616</v>
      </c>
      <c r="G1411" s="1" t="s">
        <v>9</v>
      </c>
      <c r="H1411" s="1" t="b">
        <f t="shared" si="53"/>
        <v>1</v>
      </c>
    </row>
    <row r="1412" spans="1:8" ht="21" x14ac:dyDescent="0.25">
      <c r="A1412" s="2" t="str">
        <f t="shared" si="52"/>
        <v>BSGatlas-operon-747</v>
      </c>
      <c r="B1412" s="2" t="str">
        <f>HYPERLINK("https://rth.dk/resources/bsgatlas/details.php?id=BSGatlas-gene-1511","BSGatlas-gene-1511")</f>
        <v>BSGatlas-gene-1511</v>
      </c>
      <c r="C1412" s="1" t="s">
        <v>1412</v>
      </c>
      <c r="D1412" s="1" t="s">
        <v>8</v>
      </c>
      <c r="E1412" s="3">
        <v>1339632</v>
      </c>
      <c r="F1412" s="3">
        <v>1340609</v>
      </c>
      <c r="G1412" s="1" t="s">
        <v>9</v>
      </c>
      <c r="H1412" s="1" t="b">
        <f t="shared" si="53"/>
        <v>1</v>
      </c>
    </row>
    <row r="1413" spans="1:8" ht="21" x14ac:dyDescent="0.25">
      <c r="A1413" s="2" t="str">
        <f t="shared" si="52"/>
        <v>BSGatlas-operon-747</v>
      </c>
      <c r="B1413" s="2" t="str">
        <f>HYPERLINK("https://rth.dk/resources/bsgatlas/details.php?id=BSGatlas-gene-1512","BSGatlas-gene-1512")</f>
        <v>BSGatlas-gene-1512</v>
      </c>
      <c r="C1413" s="1" t="s">
        <v>1413</v>
      </c>
      <c r="D1413" s="1" t="s">
        <v>8</v>
      </c>
      <c r="E1413" s="3">
        <v>1340609</v>
      </c>
      <c r="F1413" s="3">
        <v>1340875</v>
      </c>
      <c r="G1413" s="1" t="s">
        <v>9</v>
      </c>
      <c r="H1413" s="1" t="b">
        <f t="shared" si="53"/>
        <v>1</v>
      </c>
    </row>
    <row r="1414" spans="1:8" ht="21" x14ac:dyDescent="0.25">
      <c r="A1414" s="2" t="str">
        <f t="shared" si="52"/>
        <v>BSGatlas-operon-747</v>
      </c>
      <c r="B1414" s="2" t="str">
        <f>HYPERLINK("https://rth.dk/resources/bsgatlas/details.php?id=BSGatlas-gene-1513","BSGatlas-gene-1513")</f>
        <v>BSGatlas-gene-1513</v>
      </c>
      <c r="C1414" s="1" t="s">
        <v>1414</v>
      </c>
      <c r="D1414" s="1" t="s">
        <v>8</v>
      </c>
      <c r="E1414" s="3">
        <v>1340932</v>
      </c>
      <c r="F1414" s="3">
        <v>1341357</v>
      </c>
      <c r="G1414" s="1" t="s">
        <v>9</v>
      </c>
      <c r="H1414" s="1" t="b">
        <f t="shared" si="53"/>
        <v>1</v>
      </c>
    </row>
    <row r="1415" spans="1:8" ht="21" x14ac:dyDescent="0.25">
      <c r="A1415" s="2" t="str">
        <f t="shared" si="52"/>
        <v>BSGatlas-operon-747</v>
      </c>
      <c r="B1415" s="2" t="str">
        <f>HYPERLINK("https://rth.dk/resources/bsgatlas/details.php?id=BSGatlas-gene-1514","BSGatlas-gene-1514")</f>
        <v>BSGatlas-gene-1514</v>
      </c>
      <c r="C1415" s="1" t="s">
        <v>1415</v>
      </c>
      <c r="D1415" s="1" t="s">
        <v>8</v>
      </c>
      <c r="E1415" s="3">
        <v>1341350</v>
      </c>
      <c r="F1415" s="3">
        <v>1342396</v>
      </c>
      <c r="G1415" s="1" t="s">
        <v>9</v>
      </c>
      <c r="H1415" s="1" t="b">
        <f t="shared" si="53"/>
        <v>1</v>
      </c>
    </row>
    <row r="1416" spans="1:8" ht="21" x14ac:dyDescent="0.25">
      <c r="A1416" s="2" t="str">
        <f t="shared" si="52"/>
        <v>BSGatlas-operon-747</v>
      </c>
      <c r="B1416" s="2" t="str">
        <f>HYPERLINK("https://rth.dk/resources/bsgatlas/details.php?id=BSGatlas-gene-1515","BSGatlas-gene-1515")</f>
        <v>BSGatlas-gene-1515</v>
      </c>
      <c r="C1416" s="1" t="s">
        <v>1416</v>
      </c>
      <c r="D1416" s="1" t="s">
        <v>8</v>
      </c>
      <c r="E1416" s="3">
        <v>1342380</v>
      </c>
      <c r="F1416" s="3">
        <v>1342958</v>
      </c>
      <c r="G1416" s="1" t="s">
        <v>9</v>
      </c>
      <c r="H1416" s="1" t="b">
        <f t="shared" si="53"/>
        <v>1</v>
      </c>
    </row>
    <row r="1417" spans="1:8" ht="21" x14ac:dyDescent="0.25">
      <c r="A1417" s="2" t="str">
        <f t="shared" si="52"/>
        <v>BSGatlas-operon-747</v>
      </c>
      <c r="B1417" s="2" t="str">
        <f>HYPERLINK("https://rth.dk/resources/bsgatlas/details.php?id=BSGatlas-gene-1516","BSGatlas-gene-1516")</f>
        <v>BSGatlas-gene-1516</v>
      </c>
      <c r="C1417" s="1" t="s">
        <v>1417</v>
      </c>
      <c r="D1417" s="1" t="s">
        <v>8</v>
      </c>
      <c r="E1417" s="3">
        <v>1342955</v>
      </c>
      <c r="F1417" s="3">
        <v>1343227</v>
      </c>
      <c r="G1417" s="1" t="s">
        <v>9</v>
      </c>
      <c r="H1417" s="1" t="b">
        <f t="shared" si="53"/>
        <v>1</v>
      </c>
    </row>
    <row r="1418" spans="1:8" ht="21" x14ac:dyDescent="0.25">
      <c r="A1418" s="2" t="str">
        <f t="shared" si="52"/>
        <v>BSGatlas-operon-747</v>
      </c>
      <c r="B1418" s="2" t="str">
        <f>HYPERLINK("https://rth.dk/resources/bsgatlas/details.php?id=BSGatlas-gene-1517","BSGatlas-gene-1517")</f>
        <v>BSGatlas-gene-1517</v>
      </c>
      <c r="C1418" s="1" t="s">
        <v>1418</v>
      </c>
      <c r="D1418" s="1" t="s">
        <v>8</v>
      </c>
      <c r="E1418" s="3">
        <v>1343230</v>
      </c>
      <c r="F1418" s="3">
        <v>1345293</v>
      </c>
      <c r="G1418" s="1" t="s">
        <v>9</v>
      </c>
      <c r="H1418" s="1" t="b">
        <f t="shared" si="53"/>
        <v>1</v>
      </c>
    </row>
    <row r="1419" spans="1:8" ht="21" x14ac:dyDescent="0.25">
      <c r="A1419" s="2" t="str">
        <f t="shared" si="52"/>
        <v>BSGatlas-operon-747</v>
      </c>
      <c r="B1419" s="2" t="str">
        <f>HYPERLINK("https://rth.dk/resources/bsgatlas/details.php?id=BSGatlas-gene-1518","BSGatlas-gene-1518")</f>
        <v>BSGatlas-gene-1518</v>
      </c>
      <c r="C1419" s="1" t="s">
        <v>1419</v>
      </c>
      <c r="D1419" s="1" t="s">
        <v>8</v>
      </c>
      <c r="E1419" s="3">
        <v>1345305</v>
      </c>
      <c r="F1419" s="3">
        <v>1345634</v>
      </c>
      <c r="G1419" s="1" t="s">
        <v>9</v>
      </c>
      <c r="H1419" s="1" t="b">
        <f t="shared" si="53"/>
        <v>1</v>
      </c>
    </row>
    <row r="1420" spans="1:8" ht="21" x14ac:dyDescent="0.25">
      <c r="A1420" s="2" t="str">
        <f t="shared" si="52"/>
        <v>BSGatlas-operon-747</v>
      </c>
      <c r="B1420" s="2" t="str">
        <f>HYPERLINK("https://rth.dk/resources/bsgatlas/details.php?id=BSGatlas-gene-1519","BSGatlas-gene-1519")</f>
        <v>BSGatlas-gene-1519</v>
      </c>
      <c r="C1420" s="1" t="s">
        <v>1420</v>
      </c>
      <c r="D1420" s="1" t="s">
        <v>8</v>
      </c>
      <c r="E1420" s="3">
        <v>1345631</v>
      </c>
      <c r="F1420" s="3">
        <v>1345795</v>
      </c>
      <c r="G1420" s="1" t="s">
        <v>9</v>
      </c>
      <c r="H1420" s="1" t="b">
        <f t="shared" si="53"/>
        <v>1</v>
      </c>
    </row>
    <row r="1421" spans="1:8" ht="21" x14ac:dyDescent="0.25">
      <c r="A1421" s="2" t="str">
        <f t="shared" si="52"/>
        <v>BSGatlas-operon-747</v>
      </c>
      <c r="B1421" s="2" t="str">
        <f>HYPERLINK("https://rth.dk/resources/bsgatlas/details.php?id=BSGatlas-gene-1520","BSGatlas-gene-1520")</f>
        <v>BSGatlas-gene-1520</v>
      </c>
      <c r="C1421" s="1" t="s">
        <v>1421</v>
      </c>
      <c r="D1421" s="1" t="s">
        <v>8</v>
      </c>
      <c r="E1421" s="3">
        <v>1345839</v>
      </c>
      <c r="F1421" s="3">
        <v>1346678</v>
      </c>
      <c r="G1421" s="1" t="s">
        <v>9</v>
      </c>
      <c r="H1421" s="1" t="b">
        <f t="shared" si="53"/>
        <v>1</v>
      </c>
    </row>
    <row r="1422" spans="1:8" ht="21" x14ac:dyDescent="0.25">
      <c r="A1422" s="2" t="str">
        <f t="shared" si="52"/>
        <v>BSGatlas-operon-747</v>
      </c>
      <c r="B1422" s="2" t="str">
        <f>HYPERLINK("https://rth.dk/resources/bsgatlas/details.php?id=BSGatlas-gene-1521","BSGatlas-gene-1521")</f>
        <v>BSGatlas-gene-1521</v>
      </c>
      <c r="C1422" s="1" t="s">
        <v>1422</v>
      </c>
      <c r="D1422" s="1" t="s">
        <v>8</v>
      </c>
      <c r="E1422" s="3">
        <v>1346731</v>
      </c>
      <c r="F1422" s="3">
        <v>1347000</v>
      </c>
      <c r="G1422" s="1" t="s">
        <v>9</v>
      </c>
      <c r="H1422" s="1" t="b">
        <f t="shared" si="53"/>
        <v>1</v>
      </c>
    </row>
    <row r="1423" spans="1:8" ht="21" x14ac:dyDescent="0.25">
      <c r="A1423" s="2" t="str">
        <f t="shared" si="52"/>
        <v>BSGatlas-operon-747</v>
      </c>
      <c r="B1423" s="2" t="str">
        <f>HYPERLINK("https://rth.dk/resources/bsgatlas/details.php?id=BSGatlas-gene-1522","BSGatlas-gene-1522")</f>
        <v>BSGatlas-gene-1522</v>
      </c>
      <c r="C1423" s="1" t="s">
        <v>1423</v>
      </c>
      <c r="D1423" s="1" t="s">
        <v>8</v>
      </c>
      <c r="E1423" s="3">
        <v>1347013</v>
      </c>
      <c r="F1423" s="3">
        <v>1347276</v>
      </c>
      <c r="G1423" s="1" t="s">
        <v>9</v>
      </c>
      <c r="H1423" s="1" t="b">
        <f t="shared" si="53"/>
        <v>1</v>
      </c>
    </row>
    <row r="1424" spans="1:8" ht="21" x14ac:dyDescent="0.25">
      <c r="A1424" s="2" t="str">
        <f t="shared" si="52"/>
        <v>BSGatlas-operon-747</v>
      </c>
      <c r="B1424" s="2" t="str">
        <f>HYPERLINK("https://rth.dk/resources/bsgatlas/details.php?id=BSGatlas-gene-1523","BSGatlas-gene-1523")</f>
        <v>BSGatlas-gene-1523</v>
      </c>
      <c r="C1424" s="1" t="s">
        <v>1424</v>
      </c>
      <c r="D1424" s="1" t="s">
        <v>8</v>
      </c>
      <c r="E1424" s="3">
        <v>1347289</v>
      </c>
      <c r="F1424" s="3">
        <v>1348182</v>
      </c>
      <c r="G1424" s="1" t="s">
        <v>9</v>
      </c>
      <c r="H1424" s="1" t="b">
        <f t="shared" si="53"/>
        <v>1</v>
      </c>
    </row>
    <row r="1425" spans="1:8" ht="21" x14ac:dyDescent="0.25">
      <c r="A1425" s="2" t="str">
        <f>HYPERLINK("https://rth.dk/resources/bsgatlas/details.php?id=BSGatlas-operon-748","BSGatlas-operon-748")</f>
        <v>BSGatlas-operon-748</v>
      </c>
      <c r="B1425" s="2" t="str">
        <f>HYPERLINK("https://rth.dk/resources/bsgatlas/details.php?id=BSGatlas-gene-1524","BSGatlas-gene-1524")</f>
        <v>BSGatlas-gene-1524</v>
      </c>
      <c r="C1425" s="1" t="s">
        <v>1425</v>
      </c>
      <c r="D1425" s="1" t="s">
        <v>8</v>
      </c>
      <c r="E1425" s="3">
        <v>1348219</v>
      </c>
      <c r="F1425" s="3">
        <v>1348356</v>
      </c>
      <c r="G1425" s="1" t="s">
        <v>13</v>
      </c>
      <c r="H1425" s="1" t="b">
        <f t="shared" si="53"/>
        <v>0</v>
      </c>
    </row>
    <row r="1426" spans="1:8" ht="21" x14ac:dyDescent="0.25">
      <c r="A1426" s="2" t="str">
        <f>HYPERLINK("https://rth.dk/resources/bsgatlas/details.php?id=BSGatlas-operon-749","BSGatlas-operon-749")</f>
        <v>BSGatlas-operon-749</v>
      </c>
      <c r="B1426" s="2" t="str">
        <f>HYPERLINK("https://rth.dk/resources/bsgatlas/details.php?id=BSGatlas-gene-1525","BSGatlas-gene-1525")</f>
        <v>BSGatlas-gene-1525</v>
      </c>
      <c r="C1426" s="1" t="s">
        <v>1426</v>
      </c>
      <c r="D1426" s="1" t="s">
        <v>8</v>
      </c>
      <c r="E1426" s="3">
        <v>1348442</v>
      </c>
      <c r="F1426" s="3">
        <v>1348612</v>
      </c>
      <c r="G1426" s="1" t="s">
        <v>13</v>
      </c>
      <c r="H1426" s="1" t="b">
        <f t="shared" si="53"/>
        <v>1</v>
      </c>
    </row>
    <row r="1427" spans="1:8" ht="21" x14ac:dyDescent="0.25">
      <c r="A1427" s="2" t="str">
        <f>HYPERLINK("https://rth.dk/resources/bsgatlas/details.php?id=BSGatlas-operon-749","BSGatlas-operon-749")</f>
        <v>BSGatlas-operon-749</v>
      </c>
      <c r="B1427" s="2" t="str">
        <f>HYPERLINK("https://rth.dk/resources/bsgatlas/details.php?id=BSGatlas-gene-1526","BSGatlas-gene-1526")</f>
        <v>BSGatlas-gene-1526</v>
      </c>
      <c r="C1427" s="1" t="s">
        <v>1427</v>
      </c>
      <c r="D1427" s="1" t="s">
        <v>8</v>
      </c>
      <c r="E1427" s="3">
        <v>1348612</v>
      </c>
      <c r="F1427" s="3">
        <v>1349358</v>
      </c>
      <c r="G1427" s="1" t="s">
        <v>13</v>
      </c>
      <c r="H1427" s="1" t="b">
        <f t="shared" si="53"/>
        <v>1</v>
      </c>
    </row>
    <row r="1428" spans="1:8" ht="21" x14ac:dyDescent="0.25">
      <c r="A1428" s="2" t="str">
        <f>HYPERLINK("https://rth.dk/resources/bsgatlas/details.php?id=BSGatlas-operon-750","BSGatlas-operon-750")</f>
        <v>BSGatlas-operon-750</v>
      </c>
      <c r="B1428" s="2" t="str">
        <f>HYPERLINK("https://rth.dk/resources/bsgatlas/details.php?id=BSGatlas-gene-1527","BSGatlas-gene-1527")</f>
        <v>BSGatlas-gene-1527</v>
      </c>
      <c r="C1428" s="1" t="s">
        <v>1428</v>
      </c>
      <c r="D1428" s="1" t="s">
        <v>8</v>
      </c>
      <c r="E1428" s="3">
        <v>1349468</v>
      </c>
      <c r="F1428" s="3">
        <v>1350469</v>
      </c>
      <c r="G1428" s="1" t="s">
        <v>13</v>
      </c>
      <c r="H1428" s="1" t="b">
        <f t="shared" si="53"/>
        <v>0</v>
      </c>
    </row>
    <row r="1429" spans="1:8" ht="21" x14ac:dyDescent="0.25">
      <c r="A1429" s="2" t="str">
        <f>HYPERLINK("https://rth.dk/resources/bsgatlas/details.php?id=BSGatlas-operon-750","BSGatlas-operon-750")</f>
        <v>BSGatlas-operon-750</v>
      </c>
      <c r="B1429" s="2" t="str">
        <f>HYPERLINK("https://rth.dk/resources/bsgatlas/details.php?id=BSGatlas-gene-1528","BSGatlas-gene-1528")</f>
        <v>BSGatlas-gene-1528</v>
      </c>
      <c r="C1429" s="1" t="s">
        <v>1429</v>
      </c>
      <c r="D1429" s="1" t="s">
        <v>8</v>
      </c>
      <c r="E1429" s="3">
        <v>1350482</v>
      </c>
      <c r="F1429" s="3">
        <v>1351099</v>
      </c>
      <c r="G1429" s="1" t="s">
        <v>13</v>
      </c>
      <c r="H1429" s="1" t="b">
        <f t="shared" si="53"/>
        <v>0</v>
      </c>
    </row>
    <row r="1430" spans="1:8" ht="21" x14ac:dyDescent="0.25">
      <c r="A1430" s="2" t="str">
        <f>HYPERLINK("https://rth.dk/resources/bsgatlas/details.php?id=BSGatlas-operon-751","BSGatlas-operon-751")</f>
        <v>BSGatlas-operon-751</v>
      </c>
      <c r="B1430" s="2" t="str">
        <f>HYPERLINK("https://rth.dk/resources/bsgatlas/details.php?id=BSGatlas-gene-1529","BSGatlas-gene-1529")</f>
        <v>BSGatlas-gene-1529</v>
      </c>
      <c r="C1430" s="1" t="s">
        <v>1430</v>
      </c>
      <c r="D1430" s="1" t="s">
        <v>8</v>
      </c>
      <c r="E1430" s="3">
        <v>1351375</v>
      </c>
      <c r="F1430" s="3">
        <v>1352691</v>
      </c>
      <c r="G1430" s="1" t="s">
        <v>13</v>
      </c>
      <c r="H1430" s="1" t="b">
        <f t="shared" si="53"/>
        <v>1</v>
      </c>
    </row>
    <row r="1431" spans="1:8" ht="21" x14ac:dyDescent="0.25">
      <c r="A1431" s="2" t="str">
        <f>HYPERLINK("https://rth.dk/resources/bsgatlas/details.php?id=BSGatlas-operon-752","BSGatlas-operon-752")</f>
        <v>BSGatlas-operon-752</v>
      </c>
      <c r="B1431" s="2" t="str">
        <f>HYPERLINK("https://rth.dk/resources/bsgatlas/details.php?id=BSGatlas-gene-1530","BSGatlas-gene-1530")</f>
        <v>BSGatlas-gene-1530</v>
      </c>
      <c r="C1431" s="1" t="s">
        <v>1431</v>
      </c>
      <c r="D1431" s="1" t="s">
        <v>8</v>
      </c>
      <c r="E1431" s="3">
        <v>1353080</v>
      </c>
      <c r="F1431" s="3">
        <v>1354030</v>
      </c>
      <c r="G1431" s="1" t="s">
        <v>9</v>
      </c>
      <c r="H1431" s="1" t="b">
        <f t="shared" si="53"/>
        <v>0</v>
      </c>
    </row>
    <row r="1432" spans="1:8" ht="21" x14ac:dyDescent="0.25">
      <c r="A1432" s="2" t="str">
        <f>HYPERLINK("https://rth.dk/resources/bsgatlas/details.php?id=BSGatlas-operon-753","BSGatlas-operon-753")</f>
        <v>BSGatlas-operon-753</v>
      </c>
      <c r="B1432" s="2" t="str">
        <f>HYPERLINK("https://rth.dk/resources/bsgatlas/details.php?id=BSGatlas-gene-1531","BSGatlas-gene-1531")</f>
        <v>BSGatlas-gene-1531</v>
      </c>
      <c r="C1432" s="1" t="s">
        <v>318</v>
      </c>
      <c r="D1432" s="1" t="s">
        <v>8</v>
      </c>
      <c r="E1432" s="3">
        <v>1354131</v>
      </c>
      <c r="F1432" s="3">
        <v>1354277</v>
      </c>
      <c r="G1432" s="1" t="s">
        <v>9</v>
      </c>
      <c r="H1432" s="1" t="b">
        <f t="shared" si="53"/>
        <v>1</v>
      </c>
    </row>
    <row r="1433" spans="1:8" ht="21" x14ac:dyDescent="0.25">
      <c r="A1433" s="2" t="str">
        <f>HYPERLINK("https://rth.dk/resources/bsgatlas/details.php?id=BSGatlas-operon-754","BSGatlas-operon-754")</f>
        <v>BSGatlas-operon-754</v>
      </c>
      <c r="B1433" s="2" t="str">
        <f>HYPERLINK("https://rth.dk/resources/bsgatlas/details.php?id=BSGatlas-gene-1532","BSGatlas-gene-1532")</f>
        <v>BSGatlas-gene-1532</v>
      </c>
      <c r="C1433" s="1" t="s">
        <v>1432</v>
      </c>
      <c r="D1433" s="1" t="s">
        <v>8</v>
      </c>
      <c r="E1433" s="3">
        <v>1354285</v>
      </c>
      <c r="F1433" s="3">
        <v>1356435</v>
      </c>
      <c r="G1433" s="1" t="s">
        <v>9</v>
      </c>
      <c r="H1433" s="1" t="b">
        <f t="shared" si="53"/>
        <v>0</v>
      </c>
    </row>
    <row r="1434" spans="1:8" ht="21" x14ac:dyDescent="0.25">
      <c r="A1434" s="2" t="str">
        <f>HYPERLINK("https://rth.dk/resources/bsgatlas/details.php?id=BSGatlas-operon-754","BSGatlas-operon-754")</f>
        <v>BSGatlas-operon-754</v>
      </c>
      <c r="B1434" s="2" t="str">
        <f>HYPERLINK("https://rth.dk/resources/bsgatlas/details.php?id=BSGatlas-gene-1533","BSGatlas-gene-1533")</f>
        <v>BSGatlas-gene-1533</v>
      </c>
      <c r="C1434" s="1" t="s">
        <v>1433</v>
      </c>
      <c r="D1434" s="1" t="s">
        <v>8</v>
      </c>
      <c r="E1434" s="3">
        <v>1356447</v>
      </c>
      <c r="F1434" s="3">
        <v>1357418</v>
      </c>
      <c r="G1434" s="1" t="s">
        <v>9</v>
      </c>
      <c r="H1434" s="1" t="b">
        <f t="shared" si="53"/>
        <v>0</v>
      </c>
    </row>
    <row r="1435" spans="1:8" ht="21" x14ac:dyDescent="0.25">
      <c r="A1435" s="2" t="str">
        <f>HYPERLINK("https://rth.dk/resources/bsgatlas/details.php?id=BSGatlas-operon-755","BSGatlas-operon-755")</f>
        <v>BSGatlas-operon-755</v>
      </c>
      <c r="B1435" s="2" t="str">
        <f>HYPERLINK("https://rth.dk/resources/bsgatlas/details.php?id=BSGatlas-gene-1534","BSGatlas-gene-1534")</f>
        <v>BSGatlas-gene-1534</v>
      </c>
      <c r="C1435" s="1" t="s">
        <v>1434</v>
      </c>
      <c r="D1435" s="1" t="s">
        <v>12</v>
      </c>
      <c r="E1435" s="3">
        <v>1357481</v>
      </c>
      <c r="F1435" s="3">
        <v>1357833</v>
      </c>
      <c r="G1435" s="1" t="s">
        <v>13</v>
      </c>
      <c r="H1435" s="1" t="b">
        <f t="shared" si="53"/>
        <v>1</v>
      </c>
    </row>
    <row r="1436" spans="1:8" ht="21" x14ac:dyDescent="0.25">
      <c r="A1436" s="2" t="str">
        <f>HYPERLINK("https://rth.dk/resources/bsgatlas/details.php?id=BSGatlas-operon-756","BSGatlas-operon-756")</f>
        <v>BSGatlas-operon-756</v>
      </c>
      <c r="B1436" s="2" t="str">
        <f>HYPERLINK("https://rth.dk/resources/bsgatlas/details.php?id=BSGatlas-gene-1535","BSGatlas-gene-1535")</f>
        <v>BSGatlas-gene-1535</v>
      </c>
      <c r="C1436" s="1" t="s">
        <v>1435</v>
      </c>
      <c r="D1436" s="1" t="s">
        <v>8</v>
      </c>
      <c r="E1436" s="3">
        <v>1357936</v>
      </c>
      <c r="F1436" s="3">
        <v>1359285</v>
      </c>
      <c r="G1436" s="1" t="s">
        <v>13</v>
      </c>
      <c r="H1436" s="1" t="b">
        <f t="shared" si="53"/>
        <v>0</v>
      </c>
    </row>
    <row r="1437" spans="1:8" ht="21" x14ac:dyDescent="0.25">
      <c r="A1437" s="2" t="str">
        <f>HYPERLINK("https://rth.dk/resources/bsgatlas/details.php?id=BSGatlas-operon-757","BSGatlas-operon-757")</f>
        <v>BSGatlas-operon-757</v>
      </c>
      <c r="B1437" s="2" t="str">
        <f>HYPERLINK("https://rth.dk/resources/bsgatlas/details.php?id=BSGatlas-gene-1536","BSGatlas-gene-1536")</f>
        <v>BSGatlas-gene-1536</v>
      </c>
      <c r="C1437" s="1" t="s">
        <v>1436</v>
      </c>
      <c r="D1437" s="1" t="s">
        <v>8</v>
      </c>
      <c r="E1437" s="3">
        <v>1359454</v>
      </c>
      <c r="F1437" s="3">
        <v>1360272</v>
      </c>
      <c r="G1437" s="1" t="s">
        <v>9</v>
      </c>
      <c r="H1437" s="1" t="b">
        <f t="shared" si="53"/>
        <v>1</v>
      </c>
    </row>
    <row r="1438" spans="1:8" ht="21" x14ac:dyDescent="0.25">
      <c r="A1438" s="2" t="str">
        <f t="shared" ref="A1438:A1446" si="54">HYPERLINK("https://rth.dk/resources/bsgatlas/details.php?id=BSGatlas-operon-758","BSGatlas-operon-758")</f>
        <v>BSGatlas-operon-758</v>
      </c>
      <c r="B1438" s="2" t="str">
        <f>HYPERLINK("https://rth.dk/resources/bsgatlas/details.php?id=BSGatlas-gene-1537","BSGatlas-gene-1537")</f>
        <v>BSGatlas-gene-1537</v>
      </c>
      <c r="C1438" s="1" t="s">
        <v>1437</v>
      </c>
      <c r="D1438" s="1" t="s">
        <v>8</v>
      </c>
      <c r="E1438" s="3">
        <v>1360401</v>
      </c>
      <c r="F1438" s="3">
        <v>1361225</v>
      </c>
      <c r="G1438" s="1" t="s">
        <v>9</v>
      </c>
      <c r="H1438" s="1" t="b">
        <f t="shared" si="53"/>
        <v>0</v>
      </c>
    </row>
    <row r="1439" spans="1:8" ht="21" x14ac:dyDescent="0.25">
      <c r="A1439" s="2" t="str">
        <f t="shared" si="54"/>
        <v>BSGatlas-operon-758</v>
      </c>
      <c r="B1439" s="2" t="str">
        <f>HYPERLINK("https://rth.dk/resources/bsgatlas/details.php?id=BSGatlas-gene-1538","BSGatlas-gene-1538")</f>
        <v>BSGatlas-gene-1538</v>
      </c>
      <c r="C1439" s="1" t="s">
        <v>1438</v>
      </c>
      <c r="D1439" s="1" t="s">
        <v>8</v>
      </c>
      <c r="E1439" s="3">
        <v>1361242</v>
      </c>
      <c r="F1439" s="3">
        <v>1362168</v>
      </c>
      <c r="G1439" s="1" t="s">
        <v>9</v>
      </c>
      <c r="H1439" s="1" t="b">
        <f t="shared" si="53"/>
        <v>0</v>
      </c>
    </row>
    <row r="1440" spans="1:8" ht="21" x14ac:dyDescent="0.25">
      <c r="A1440" s="2" t="str">
        <f t="shared" si="54"/>
        <v>BSGatlas-operon-758</v>
      </c>
      <c r="B1440" s="2" t="str">
        <f>HYPERLINK("https://rth.dk/resources/bsgatlas/details.php?id=BSGatlas-gene-1539","BSGatlas-gene-1539")</f>
        <v>BSGatlas-gene-1539</v>
      </c>
      <c r="C1440" s="1" t="s">
        <v>1439</v>
      </c>
      <c r="D1440" s="1" t="s">
        <v>8</v>
      </c>
      <c r="E1440" s="3">
        <v>1362174</v>
      </c>
      <c r="F1440" s="3">
        <v>1363136</v>
      </c>
      <c r="G1440" s="1" t="s">
        <v>9</v>
      </c>
      <c r="H1440" s="1" t="b">
        <f t="shared" si="53"/>
        <v>0</v>
      </c>
    </row>
    <row r="1441" spans="1:8" ht="21" x14ac:dyDescent="0.25">
      <c r="A1441" s="2" t="str">
        <f t="shared" si="54"/>
        <v>BSGatlas-operon-758</v>
      </c>
      <c r="B1441" s="2" t="str">
        <f>HYPERLINK("https://rth.dk/resources/bsgatlas/details.php?id=BSGatlas-gene-1540","BSGatlas-gene-1540")</f>
        <v>BSGatlas-gene-1540</v>
      </c>
      <c r="C1441" s="1" t="s">
        <v>1440</v>
      </c>
      <c r="D1441" s="1" t="s">
        <v>8</v>
      </c>
      <c r="E1441" s="3">
        <v>1363141</v>
      </c>
      <c r="F1441" s="3">
        <v>1364148</v>
      </c>
      <c r="G1441" s="1" t="s">
        <v>9</v>
      </c>
      <c r="H1441" s="1" t="b">
        <f t="shared" si="53"/>
        <v>0</v>
      </c>
    </row>
    <row r="1442" spans="1:8" ht="21" x14ac:dyDescent="0.25">
      <c r="A1442" s="2" t="str">
        <f t="shared" si="54"/>
        <v>BSGatlas-operon-758</v>
      </c>
      <c r="B1442" s="2" t="str">
        <f>HYPERLINK("https://rth.dk/resources/bsgatlas/details.php?id=BSGatlas-gene-1541","BSGatlas-gene-1541")</f>
        <v>BSGatlas-gene-1541</v>
      </c>
      <c r="C1442" s="1" t="s">
        <v>1441</v>
      </c>
      <c r="D1442" s="1" t="s">
        <v>8</v>
      </c>
      <c r="E1442" s="3">
        <v>1364151</v>
      </c>
      <c r="F1442" s="3">
        <v>1365800</v>
      </c>
      <c r="G1442" s="1" t="s">
        <v>9</v>
      </c>
      <c r="H1442" s="1" t="b">
        <f t="shared" si="53"/>
        <v>0</v>
      </c>
    </row>
    <row r="1443" spans="1:8" ht="21" x14ac:dyDescent="0.25">
      <c r="A1443" s="2" t="str">
        <f t="shared" si="54"/>
        <v>BSGatlas-operon-758</v>
      </c>
      <c r="B1443" s="2" t="str">
        <f>HYPERLINK("https://rth.dk/resources/bsgatlas/details.php?id=BSGatlas-gene-1542","BSGatlas-gene-1542")</f>
        <v>BSGatlas-gene-1542</v>
      </c>
      <c r="C1443" s="1" t="s">
        <v>1442</v>
      </c>
      <c r="D1443" s="1" t="s">
        <v>8</v>
      </c>
      <c r="E1443" s="3">
        <v>1365888</v>
      </c>
      <c r="F1443" s="3">
        <v>1366847</v>
      </c>
      <c r="G1443" s="1" t="s">
        <v>9</v>
      </c>
      <c r="H1443" s="1" t="b">
        <f t="shared" si="53"/>
        <v>0</v>
      </c>
    </row>
    <row r="1444" spans="1:8" ht="21" x14ac:dyDescent="0.25">
      <c r="A1444" s="2" t="str">
        <f t="shared" si="54"/>
        <v>BSGatlas-operon-758</v>
      </c>
      <c r="B1444" s="2" t="str">
        <f>HYPERLINK("https://rth.dk/resources/bsgatlas/details.php?id=BSGatlas-gene-1543","BSGatlas-gene-1543")</f>
        <v>BSGatlas-gene-1543</v>
      </c>
      <c r="C1444" s="1" t="s">
        <v>1443</v>
      </c>
      <c r="D1444" s="1" t="s">
        <v>8</v>
      </c>
      <c r="E1444" s="3">
        <v>1366844</v>
      </c>
      <c r="F1444" s="3">
        <v>1367944</v>
      </c>
      <c r="G1444" s="1" t="s">
        <v>9</v>
      </c>
      <c r="H1444" s="1" t="b">
        <f t="shared" si="53"/>
        <v>0</v>
      </c>
    </row>
    <row r="1445" spans="1:8" ht="21" x14ac:dyDescent="0.25">
      <c r="A1445" s="2" t="str">
        <f t="shared" si="54"/>
        <v>BSGatlas-operon-758</v>
      </c>
      <c r="B1445" s="2" t="str">
        <f>HYPERLINK("https://rth.dk/resources/bsgatlas/details.php?id=BSGatlas-gene-1544","BSGatlas-gene-1544")</f>
        <v>BSGatlas-gene-1544</v>
      </c>
      <c r="C1445" s="1" t="s">
        <v>1444</v>
      </c>
      <c r="D1445" s="1" t="s">
        <v>8</v>
      </c>
      <c r="E1445" s="3">
        <v>1367941</v>
      </c>
      <c r="F1445" s="3">
        <v>1368831</v>
      </c>
      <c r="G1445" s="1" t="s">
        <v>9</v>
      </c>
      <c r="H1445" s="1" t="b">
        <f t="shared" si="53"/>
        <v>0</v>
      </c>
    </row>
    <row r="1446" spans="1:8" ht="21" x14ac:dyDescent="0.25">
      <c r="A1446" s="2" t="str">
        <f t="shared" si="54"/>
        <v>BSGatlas-operon-758</v>
      </c>
      <c r="B1446" s="2" t="str">
        <f>HYPERLINK("https://rth.dk/resources/bsgatlas/details.php?id=BSGatlas-gene-1545","BSGatlas-gene-1545")</f>
        <v>BSGatlas-gene-1545</v>
      </c>
      <c r="C1446" s="1" t="s">
        <v>1445</v>
      </c>
      <c r="D1446" s="1" t="s">
        <v>8</v>
      </c>
      <c r="E1446" s="3">
        <v>1368844</v>
      </c>
      <c r="F1446" s="3">
        <v>1369833</v>
      </c>
      <c r="G1446" s="1" t="s">
        <v>9</v>
      </c>
      <c r="H1446" s="1" t="b">
        <f t="shared" si="53"/>
        <v>0</v>
      </c>
    </row>
    <row r="1447" spans="1:8" ht="21" x14ac:dyDescent="0.25">
      <c r="A1447" s="2" t="str">
        <f>HYPERLINK("https://rth.dk/resources/bsgatlas/details.php?id=BSGatlas-operon-759","BSGatlas-operon-759")</f>
        <v>BSGatlas-operon-759</v>
      </c>
      <c r="B1447" s="2" t="str">
        <f>HYPERLINK("https://rth.dk/resources/bsgatlas/details.php?id=BSGatlas-gene-1546","BSGatlas-gene-1546")</f>
        <v>BSGatlas-gene-1546</v>
      </c>
      <c r="C1447" s="1" t="s">
        <v>1446</v>
      </c>
      <c r="D1447" s="1" t="s">
        <v>8</v>
      </c>
      <c r="E1447" s="3">
        <v>1369876</v>
      </c>
      <c r="F1447" s="3">
        <v>1370925</v>
      </c>
      <c r="G1447" s="1" t="s">
        <v>13</v>
      </c>
      <c r="H1447" s="1" t="b">
        <f t="shared" si="53"/>
        <v>1</v>
      </c>
    </row>
    <row r="1448" spans="1:8" ht="21" x14ac:dyDescent="0.25">
      <c r="A1448" s="2" t="str">
        <f>HYPERLINK("https://rth.dk/resources/bsgatlas/details.php?id=BSGatlas-operon-759","BSGatlas-operon-759")</f>
        <v>BSGatlas-operon-759</v>
      </c>
      <c r="B1448" s="2" t="str">
        <f>HYPERLINK("https://rth.dk/resources/bsgatlas/details.php?id=BSGatlas-gene-1547","BSGatlas-gene-1547")</f>
        <v>BSGatlas-gene-1547</v>
      </c>
      <c r="C1448" s="1" t="s">
        <v>1447</v>
      </c>
      <c r="D1448" s="1" t="s">
        <v>8</v>
      </c>
      <c r="E1448" s="3">
        <v>1371015</v>
      </c>
      <c r="F1448" s="3">
        <v>1371875</v>
      </c>
      <c r="G1448" s="1" t="s">
        <v>13</v>
      </c>
      <c r="H1448" s="1" t="b">
        <f t="shared" si="53"/>
        <v>1</v>
      </c>
    </row>
    <row r="1449" spans="1:8" ht="21" x14ac:dyDescent="0.25">
      <c r="A1449" s="2" t="str">
        <f>HYPERLINK("https://rth.dk/resources/bsgatlas/details.php?id=BSGatlas-operon-760","BSGatlas-operon-760")</f>
        <v>BSGatlas-operon-760</v>
      </c>
      <c r="B1449" s="2" t="str">
        <f>HYPERLINK("https://rth.dk/resources/bsgatlas/details.php?id=BSGatlas-gene-1548","BSGatlas-gene-1548")</f>
        <v>BSGatlas-gene-1548</v>
      </c>
      <c r="C1449" s="1" t="s">
        <v>1448</v>
      </c>
      <c r="D1449" s="1" t="s">
        <v>8</v>
      </c>
      <c r="E1449" s="3">
        <v>1372035</v>
      </c>
      <c r="F1449" s="3">
        <v>1372553</v>
      </c>
      <c r="G1449" s="1" t="s">
        <v>9</v>
      </c>
      <c r="H1449" s="1" t="b">
        <f t="shared" si="53"/>
        <v>0</v>
      </c>
    </row>
    <row r="1450" spans="1:8" ht="21" x14ac:dyDescent="0.25">
      <c r="A1450" s="2" t="str">
        <f>HYPERLINK("https://rth.dk/resources/bsgatlas/details.php?id=BSGatlas-operon-761","BSGatlas-operon-761")</f>
        <v>BSGatlas-operon-761</v>
      </c>
      <c r="B1450" s="2" t="str">
        <f>HYPERLINK("https://rth.dk/resources/bsgatlas/details.php?id=BSGatlas-gene-1549","BSGatlas-gene-1549")</f>
        <v>BSGatlas-gene-1549</v>
      </c>
      <c r="C1450" s="1" t="s">
        <v>1449</v>
      </c>
      <c r="D1450" s="1" t="s">
        <v>8</v>
      </c>
      <c r="E1450" s="3">
        <v>1372792</v>
      </c>
      <c r="F1450" s="3">
        <v>1373991</v>
      </c>
      <c r="G1450" s="1" t="s">
        <v>9</v>
      </c>
      <c r="H1450" s="1" t="b">
        <f t="shared" si="53"/>
        <v>1</v>
      </c>
    </row>
    <row r="1451" spans="1:8" ht="21" x14ac:dyDescent="0.25">
      <c r="A1451" s="2" t="str">
        <f>HYPERLINK("https://rth.dk/resources/bsgatlas/details.php?id=BSGatlas-operon-761","BSGatlas-operon-761")</f>
        <v>BSGatlas-operon-761</v>
      </c>
      <c r="B1451" s="2" t="str">
        <f>HYPERLINK("https://rth.dk/resources/bsgatlas/details.php?id=BSGatlas-gene-1551","BSGatlas-gene-1551")</f>
        <v>BSGatlas-gene-1551</v>
      </c>
      <c r="C1451" s="1" t="s">
        <v>1450</v>
      </c>
      <c r="D1451" s="1" t="s">
        <v>8</v>
      </c>
      <c r="E1451" s="3">
        <v>1374437</v>
      </c>
      <c r="F1451" s="3">
        <v>1375168</v>
      </c>
      <c r="G1451" s="1" t="s">
        <v>9</v>
      </c>
      <c r="H1451" s="1" t="b">
        <f t="shared" si="53"/>
        <v>1</v>
      </c>
    </row>
    <row r="1452" spans="1:8" ht="21" x14ac:dyDescent="0.25">
      <c r="A1452" s="2" t="str">
        <f>HYPERLINK("https://rth.dk/resources/bsgatlas/details.php?id=BSGatlas-operon-762","BSGatlas-operon-762")</f>
        <v>BSGatlas-operon-762</v>
      </c>
      <c r="B1452" s="2" t="str">
        <f>HYPERLINK("https://rth.dk/resources/bsgatlas/details.php?id=BSGatlas-gene-1550","BSGatlas-gene-1550")</f>
        <v>BSGatlas-gene-1550</v>
      </c>
      <c r="C1452" s="1" t="s">
        <v>1451</v>
      </c>
      <c r="D1452" s="1" t="s">
        <v>8</v>
      </c>
      <c r="E1452" s="3">
        <v>1374068</v>
      </c>
      <c r="F1452" s="3">
        <v>1374292</v>
      </c>
      <c r="G1452" s="1" t="s">
        <v>13</v>
      </c>
      <c r="H1452" s="1" t="b">
        <f t="shared" si="53"/>
        <v>0</v>
      </c>
    </row>
    <row r="1453" spans="1:8" ht="21" x14ac:dyDescent="0.25">
      <c r="A1453" s="2" t="str">
        <f>HYPERLINK("https://rth.dk/resources/bsgatlas/details.php?id=BSGatlas-operon-763","BSGatlas-operon-763")</f>
        <v>BSGatlas-operon-763</v>
      </c>
      <c r="B1453" s="2" t="str">
        <f>HYPERLINK("https://rth.dk/resources/bsgatlas/details.php?id=BSGatlas-gene-1552","BSGatlas-gene-1552")</f>
        <v>BSGatlas-gene-1552</v>
      </c>
      <c r="C1453" s="1" t="s">
        <v>1452</v>
      </c>
      <c r="D1453" s="1" t="s">
        <v>8</v>
      </c>
      <c r="E1453" s="3">
        <v>1375260</v>
      </c>
      <c r="F1453" s="3">
        <v>1375787</v>
      </c>
      <c r="G1453" s="1" t="s">
        <v>9</v>
      </c>
      <c r="H1453" s="1" t="b">
        <f t="shared" si="53"/>
        <v>1</v>
      </c>
    </row>
    <row r="1454" spans="1:8" ht="21" x14ac:dyDescent="0.25">
      <c r="A1454" s="2" t="str">
        <f>HYPERLINK("https://rth.dk/resources/bsgatlas/details.php?id=BSGatlas-operon-763","BSGatlas-operon-763")</f>
        <v>BSGatlas-operon-763</v>
      </c>
      <c r="B1454" s="2" t="str">
        <f>HYPERLINK("https://rth.dk/resources/bsgatlas/details.php?id=BSGatlas-gene-1553","BSGatlas-gene-1553")</f>
        <v>BSGatlas-gene-1553</v>
      </c>
      <c r="C1454" s="1" t="s">
        <v>1453</v>
      </c>
      <c r="D1454" s="1" t="s">
        <v>8</v>
      </c>
      <c r="E1454" s="3">
        <v>1375777</v>
      </c>
      <c r="F1454" s="3">
        <v>1376295</v>
      </c>
      <c r="G1454" s="1" t="s">
        <v>9</v>
      </c>
      <c r="H1454" s="1" t="b">
        <f t="shared" si="53"/>
        <v>1</v>
      </c>
    </row>
    <row r="1455" spans="1:8" ht="21" x14ac:dyDescent="0.25">
      <c r="A1455" s="2" t="str">
        <f>HYPERLINK("https://rth.dk/resources/bsgatlas/details.php?id=BSGatlas-operon-764","BSGatlas-operon-764")</f>
        <v>BSGatlas-operon-764</v>
      </c>
      <c r="B1455" s="2" t="str">
        <f>HYPERLINK("https://rth.dk/resources/bsgatlas/details.php?id=BSGatlas-gene-1555","BSGatlas-gene-1555")</f>
        <v>BSGatlas-gene-1555</v>
      </c>
      <c r="C1455" s="1" t="s">
        <v>1454</v>
      </c>
      <c r="D1455" s="1" t="s">
        <v>8</v>
      </c>
      <c r="E1455" s="3">
        <v>1376517</v>
      </c>
      <c r="F1455" s="3">
        <v>1376855</v>
      </c>
      <c r="G1455" s="1" t="s">
        <v>9</v>
      </c>
      <c r="H1455" s="1" t="b">
        <f t="shared" si="53"/>
        <v>0</v>
      </c>
    </row>
    <row r="1456" spans="1:8" ht="21" x14ac:dyDescent="0.25">
      <c r="A1456" s="2" t="str">
        <f>HYPERLINK("https://rth.dk/resources/bsgatlas/details.php?id=BSGatlas-operon-764","BSGatlas-operon-764")</f>
        <v>BSGatlas-operon-764</v>
      </c>
      <c r="B1456" s="2" t="str">
        <f>HYPERLINK("https://rth.dk/resources/bsgatlas/details.php?id=BSGatlas-gene-1556","BSGatlas-gene-1556")</f>
        <v>BSGatlas-gene-1556</v>
      </c>
      <c r="C1456" s="1" t="s">
        <v>1455</v>
      </c>
      <c r="D1456" s="1" t="s">
        <v>8</v>
      </c>
      <c r="E1456" s="3">
        <v>1376855</v>
      </c>
      <c r="F1456" s="3">
        <v>1377172</v>
      </c>
      <c r="G1456" s="1" t="s">
        <v>9</v>
      </c>
      <c r="H1456" s="1" t="b">
        <f t="shared" si="53"/>
        <v>0</v>
      </c>
    </row>
    <row r="1457" spans="1:8" ht="21" x14ac:dyDescent="0.25">
      <c r="A1457" s="2" t="str">
        <f>HYPERLINK("https://rth.dk/resources/bsgatlas/details.php?id=BSGatlas-operon-765","BSGatlas-operon-765")</f>
        <v>BSGatlas-operon-765</v>
      </c>
      <c r="B1457" s="2" t="str">
        <f>HYPERLINK("https://rth.dk/resources/bsgatlas/details.php?id=BSGatlas-gene-1554","BSGatlas-gene-1554")</f>
        <v>BSGatlas-gene-1554</v>
      </c>
      <c r="C1457" s="1" t="s">
        <v>1456</v>
      </c>
      <c r="D1457" s="1" t="s">
        <v>34</v>
      </c>
      <c r="E1457" s="3">
        <v>1376327</v>
      </c>
      <c r="F1457" s="3">
        <v>1376439</v>
      </c>
      <c r="G1457" s="1" t="s">
        <v>9</v>
      </c>
      <c r="H1457" s="1" t="b">
        <f t="shared" si="53"/>
        <v>1</v>
      </c>
    </row>
    <row r="1458" spans="1:8" ht="21" x14ac:dyDescent="0.25">
      <c r="A1458" s="2" t="str">
        <f>HYPERLINK("https://rth.dk/resources/bsgatlas/details.php?id=BSGatlas-operon-766","BSGatlas-operon-766")</f>
        <v>BSGatlas-operon-766</v>
      </c>
      <c r="B1458" s="2" t="str">
        <f>HYPERLINK("https://rth.dk/resources/bsgatlas/details.php?id=BSGatlas-gene-1557","BSGatlas-gene-1557")</f>
        <v>BSGatlas-gene-1557</v>
      </c>
      <c r="C1458" s="1" t="s">
        <v>1457</v>
      </c>
      <c r="D1458" s="1" t="s">
        <v>8</v>
      </c>
      <c r="E1458" s="3">
        <v>1377243</v>
      </c>
      <c r="F1458" s="3">
        <v>1378145</v>
      </c>
      <c r="G1458" s="1" t="s">
        <v>9</v>
      </c>
      <c r="H1458" s="1" t="b">
        <f t="shared" si="53"/>
        <v>0</v>
      </c>
    </row>
    <row r="1459" spans="1:8" ht="21" x14ac:dyDescent="0.25">
      <c r="A1459" s="2" t="str">
        <f>HYPERLINK("https://rth.dk/resources/bsgatlas/details.php?id=BSGatlas-operon-767","BSGatlas-operon-767")</f>
        <v>BSGatlas-operon-767</v>
      </c>
      <c r="B1459" s="2" t="str">
        <f>HYPERLINK("https://rth.dk/resources/bsgatlas/details.php?id=BSGatlas-gene-1559","BSGatlas-gene-1559")</f>
        <v>BSGatlas-gene-1559</v>
      </c>
      <c r="C1459" s="1" t="s">
        <v>1458</v>
      </c>
      <c r="D1459" s="1" t="s">
        <v>8</v>
      </c>
      <c r="E1459" s="3">
        <v>1378496</v>
      </c>
      <c r="F1459" s="3">
        <v>1379593</v>
      </c>
      <c r="G1459" s="1" t="s">
        <v>9</v>
      </c>
      <c r="H1459" s="1" t="b">
        <f t="shared" si="53"/>
        <v>1</v>
      </c>
    </row>
    <row r="1460" spans="1:8" ht="21" x14ac:dyDescent="0.25">
      <c r="A1460" s="2" t="str">
        <f>HYPERLINK("https://rth.dk/resources/bsgatlas/details.php?id=BSGatlas-operon-767","BSGatlas-operon-767")</f>
        <v>BSGatlas-operon-767</v>
      </c>
      <c r="B1460" s="2" t="str">
        <f>HYPERLINK("https://rth.dk/resources/bsgatlas/details.php?id=BSGatlas-gene-1560","BSGatlas-gene-1560")</f>
        <v>BSGatlas-gene-1560</v>
      </c>
      <c r="C1460" s="1" t="s">
        <v>1459</v>
      </c>
      <c r="D1460" s="1" t="s">
        <v>8</v>
      </c>
      <c r="E1460" s="3">
        <v>1379605</v>
      </c>
      <c r="F1460" s="3">
        <v>1380852</v>
      </c>
      <c r="G1460" s="1" t="s">
        <v>9</v>
      </c>
      <c r="H1460" s="1" t="b">
        <f t="shared" si="53"/>
        <v>1</v>
      </c>
    </row>
    <row r="1461" spans="1:8" ht="21" x14ac:dyDescent="0.25">
      <c r="A1461" s="2" t="str">
        <f>HYPERLINK("https://rth.dk/resources/bsgatlas/details.php?id=BSGatlas-operon-768","BSGatlas-operon-768")</f>
        <v>BSGatlas-operon-768</v>
      </c>
      <c r="B1461" s="2" t="str">
        <f>HYPERLINK("https://rth.dk/resources/bsgatlas/details.php?id=BSGatlas-gene-1558","BSGatlas-gene-1558")</f>
        <v>BSGatlas-gene-1558</v>
      </c>
      <c r="C1461" s="1" t="s">
        <v>1460</v>
      </c>
      <c r="D1461" s="1" t="s">
        <v>34</v>
      </c>
      <c r="E1461" s="3">
        <v>1378233</v>
      </c>
      <c r="F1461" s="3">
        <v>1378443</v>
      </c>
      <c r="G1461" s="1" t="s">
        <v>9</v>
      </c>
      <c r="H1461" s="1" t="b">
        <f t="shared" si="53"/>
        <v>0</v>
      </c>
    </row>
    <row r="1462" spans="1:8" ht="21" x14ac:dyDescent="0.25">
      <c r="A1462" s="2" t="str">
        <f>HYPERLINK("https://rth.dk/resources/bsgatlas/details.php?id=BSGatlas-operon-769","BSGatlas-operon-769")</f>
        <v>BSGatlas-operon-769</v>
      </c>
      <c r="B1462" s="2" t="str">
        <f>HYPERLINK("https://rth.dk/resources/bsgatlas/details.php?id=BSGatlas-gene-1561","BSGatlas-gene-1561")</f>
        <v>BSGatlas-gene-1561</v>
      </c>
      <c r="C1462" s="1" t="s">
        <v>1461</v>
      </c>
      <c r="D1462" s="1" t="s">
        <v>8</v>
      </c>
      <c r="E1462" s="3">
        <v>1380978</v>
      </c>
      <c r="F1462" s="3">
        <v>1381403</v>
      </c>
      <c r="G1462" s="1" t="s">
        <v>9</v>
      </c>
      <c r="H1462" s="1" t="b">
        <f t="shared" si="53"/>
        <v>1</v>
      </c>
    </row>
    <row r="1463" spans="1:8" ht="21" x14ac:dyDescent="0.25">
      <c r="A1463" s="2" t="str">
        <f>HYPERLINK("https://rth.dk/resources/bsgatlas/details.php?id=BSGatlas-operon-770","BSGatlas-operon-770")</f>
        <v>BSGatlas-operon-770</v>
      </c>
      <c r="B1463" s="2" t="str">
        <f>HYPERLINK("https://rth.dk/resources/bsgatlas/details.php?id=BSGatlas-gene-1562","BSGatlas-gene-1562")</f>
        <v>BSGatlas-gene-1562</v>
      </c>
      <c r="C1463" s="1" t="s">
        <v>1462</v>
      </c>
      <c r="D1463" s="1" t="s">
        <v>8</v>
      </c>
      <c r="E1463" s="3">
        <v>1381434</v>
      </c>
      <c r="F1463" s="3">
        <v>1381877</v>
      </c>
      <c r="G1463" s="1" t="s">
        <v>13</v>
      </c>
      <c r="H1463" s="1" t="b">
        <f t="shared" si="53"/>
        <v>0</v>
      </c>
    </row>
    <row r="1464" spans="1:8" ht="21" x14ac:dyDescent="0.25">
      <c r="A1464" s="2" t="str">
        <f>HYPERLINK("https://rth.dk/resources/bsgatlas/details.php?id=BSGatlas-operon-771","BSGatlas-operon-771")</f>
        <v>BSGatlas-operon-771</v>
      </c>
      <c r="B1464" s="2" t="str">
        <f>HYPERLINK("https://rth.dk/resources/bsgatlas/details.php?id=BSGatlas-gene-1563","BSGatlas-gene-1563")</f>
        <v>BSGatlas-gene-1563</v>
      </c>
      <c r="C1464" s="1" t="s">
        <v>1463</v>
      </c>
      <c r="D1464" s="1" t="s">
        <v>8</v>
      </c>
      <c r="E1464" s="3">
        <v>1382020</v>
      </c>
      <c r="F1464" s="3">
        <v>1382430</v>
      </c>
      <c r="G1464" s="1" t="s">
        <v>9</v>
      </c>
      <c r="H1464" s="1" t="b">
        <f t="shared" si="53"/>
        <v>1</v>
      </c>
    </row>
    <row r="1465" spans="1:8" ht="21" x14ac:dyDescent="0.25">
      <c r="A1465" s="2" t="str">
        <f>HYPERLINK("https://rth.dk/resources/bsgatlas/details.php?id=BSGatlas-operon-771","BSGatlas-operon-771")</f>
        <v>BSGatlas-operon-771</v>
      </c>
      <c r="B1465" s="2" t="str">
        <f>HYPERLINK("https://rth.dk/resources/bsgatlas/details.php?id=BSGatlas-gene-1564","BSGatlas-gene-1564")</f>
        <v>BSGatlas-gene-1564</v>
      </c>
      <c r="C1465" s="1" t="s">
        <v>1464</v>
      </c>
      <c r="D1465" s="1" t="s">
        <v>8</v>
      </c>
      <c r="E1465" s="3">
        <v>1382457</v>
      </c>
      <c r="F1465" s="3">
        <v>1382627</v>
      </c>
      <c r="G1465" s="1" t="s">
        <v>9</v>
      </c>
      <c r="H1465" s="1" t="b">
        <f t="shared" si="53"/>
        <v>1</v>
      </c>
    </row>
    <row r="1466" spans="1:8" ht="21" x14ac:dyDescent="0.25">
      <c r="A1466" s="2" t="str">
        <f>HYPERLINK("https://rth.dk/resources/bsgatlas/details.php?id=BSGatlas-operon-772","BSGatlas-operon-772")</f>
        <v>BSGatlas-operon-772</v>
      </c>
      <c r="B1466" s="2" t="str">
        <f>HYPERLINK("https://rth.dk/resources/bsgatlas/details.php?id=BSGatlas-gene-1565","BSGatlas-gene-1565")</f>
        <v>BSGatlas-gene-1565</v>
      </c>
      <c r="C1466" s="1" t="s">
        <v>1465</v>
      </c>
      <c r="D1466" s="1" t="s">
        <v>8</v>
      </c>
      <c r="E1466" s="3">
        <v>1382677</v>
      </c>
      <c r="F1466" s="3">
        <v>1383147</v>
      </c>
      <c r="G1466" s="1" t="s">
        <v>13</v>
      </c>
      <c r="H1466" s="1" t="b">
        <f t="shared" si="53"/>
        <v>0</v>
      </c>
    </row>
    <row r="1467" spans="1:8" ht="21" x14ac:dyDescent="0.25">
      <c r="A1467" s="2" t="str">
        <f>HYPERLINK("https://rth.dk/resources/bsgatlas/details.php?id=BSGatlas-operon-773","BSGatlas-operon-773")</f>
        <v>BSGatlas-operon-773</v>
      </c>
      <c r="B1467" s="2" t="str">
        <f>HYPERLINK("https://rth.dk/resources/bsgatlas/details.php?id=BSGatlas-gene-1566","BSGatlas-gene-1566")</f>
        <v>BSGatlas-gene-1566</v>
      </c>
      <c r="C1467" s="1" t="s">
        <v>1466</v>
      </c>
      <c r="D1467" s="1" t="s">
        <v>8</v>
      </c>
      <c r="E1467" s="3">
        <v>1383320</v>
      </c>
      <c r="F1467" s="3">
        <v>1385608</v>
      </c>
      <c r="G1467" s="1" t="s">
        <v>13</v>
      </c>
      <c r="H1467" s="1" t="b">
        <f t="shared" si="53"/>
        <v>1</v>
      </c>
    </row>
    <row r="1468" spans="1:8" ht="21" x14ac:dyDescent="0.25">
      <c r="A1468" s="2" t="str">
        <f>HYPERLINK("https://rth.dk/resources/bsgatlas/details.php?id=BSGatlas-operon-774","BSGatlas-operon-774")</f>
        <v>BSGatlas-operon-774</v>
      </c>
      <c r="B1468" s="2" t="str">
        <f>HYPERLINK("https://rth.dk/resources/bsgatlas/details.php?id=BSGatlas-gene-1567","BSGatlas-gene-1567")</f>
        <v>BSGatlas-gene-1567</v>
      </c>
      <c r="C1468" s="1" t="s">
        <v>1467</v>
      </c>
      <c r="D1468" s="1" t="s">
        <v>34</v>
      </c>
      <c r="E1468" s="3">
        <v>1385735</v>
      </c>
      <c r="F1468" s="3">
        <v>1385891</v>
      </c>
      <c r="G1468" s="1" t="s">
        <v>13</v>
      </c>
      <c r="H1468" s="1" t="b">
        <f t="shared" si="53"/>
        <v>0</v>
      </c>
    </row>
    <row r="1469" spans="1:8" ht="21" x14ac:dyDescent="0.25">
      <c r="A1469" s="2" t="str">
        <f>HYPERLINK("https://rth.dk/resources/bsgatlas/details.php?id=BSGatlas-operon-775","BSGatlas-operon-775")</f>
        <v>BSGatlas-operon-775</v>
      </c>
      <c r="B1469" s="2" t="str">
        <f>HYPERLINK("https://rth.dk/resources/bsgatlas/details.php?id=BSGatlas-gene-1568","BSGatlas-gene-1568")</f>
        <v>BSGatlas-gene-1568</v>
      </c>
      <c r="C1469" s="1" t="s">
        <v>1468</v>
      </c>
      <c r="D1469" s="1" t="s">
        <v>8</v>
      </c>
      <c r="E1469" s="3">
        <v>1386024</v>
      </c>
      <c r="F1469" s="3">
        <v>1386983</v>
      </c>
      <c r="G1469" s="1" t="s">
        <v>13</v>
      </c>
      <c r="H1469" s="1" t="b">
        <f t="shared" si="53"/>
        <v>1</v>
      </c>
    </row>
    <row r="1470" spans="1:8" ht="21" x14ac:dyDescent="0.25">
      <c r="A1470" s="2" t="str">
        <f>HYPERLINK("https://rth.dk/resources/bsgatlas/details.php?id=BSGatlas-operon-776","BSGatlas-operon-776")</f>
        <v>BSGatlas-operon-776</v>
      </c>
      <c r="B1470" s="2" t="str">
        <f>HYPERLINK("https://rth.dk/resources/bsgatlas/details.php?id=BSGatlas-gene-1569","BSGatlas-gene-1569")</f>
        <v>BSGatlas-gene-1569</v>
      </c>
      <c r="C1470" s="1" t="s">
        <v>1469</v>
      </c>
      <c r="D1470" s="1" t="s">
        <v>8</v>
      </c>
      <c r="E1470" s="3">
        <v>1387206</v>
      </c>
      <c r="F1470" s="3">
        <v>1388039</v>
      </c>
      <c r="G1470" s="1" t="s">
        <v>9</v>
      </c>
      <c r="H1470" s="1" t="b">
        <f t="shared" si="53"/>
        <v>0</v>
      </c>
    </row>
    <row r="1471" spans="1:8" ht="21" x14ac:dyDescent="0.25">
      <c r="A1471" s="2" t="str">
        <f>HYPERLINK("https://rth.dk/resources/bsgatlas/details.php?id=BSGatlas-operon-777","BSGatlas-operon-777")</f>
        <v>BSGatlas-operon-777</v>
      </c>
      <c r="B1471" s="2" t="str">
        <f>HYPERLINK("https://rth.dk/resources/bsgatlas/details.php?id=BSGatlas-gene-1570","BSGatlas-gene-1570")</f>
        <v>BSGatlas-gene-1570</v>
      </c>
      <c r="C1471" s="1" t="s">
        <v>1470</v>
      </c>
      <c r="D1471" s="1" t="s">
        <v>8</v>
      </c>
      <c r="E1471" s="3">
        <v>1388070</v>
      </c>
      <c r="F1471" s="3">
        <v>1388834</v>
      </c>
      <c r="G1471" s="1" t="s">
        <v>13</v>
      </c>
      <c r="H1471" s="1" t="b">
        <f t="shared" si="53"/>
        <v>1</v>
      </c>
    </row>
    <row r="1472" spans="1:8" ht="21" x14ac:dyDescent="0.25">
      <c r="A1472" s="2" t="str">
        <f>HYPERLINK("https://rth.dk/resources/bsgatlas/details.php?id=BSGatlas-operon-777","BSGatlas-operon-777")</f>
        <v>BSGatlas-operon-777</v>
      </c>
      <c r="B1472" s="2" t="str">
        <f>HYPERLINK("https://rth.dk/resources/bsgatlas/details.php?id=BSGatlas-gene-1571","BSGatlas-gene-1571")</f>
        <v>BSGatlas-gene-1571</v>
      </c>
      <c r="C1472" s="1" t="s">
        <v>1471</v>
      </c>
      <c r="D1472" s="1" t="s">
        <v>8</v>
      </c>
      <c r="E1472" s="3">
        <v>1388809</v>
      </c>
      <c r="F1472" s="3">
        <v>1390452</v>
      </c>
      <c r="G1472" s="1" t="s">
        <v>13</v>
      </c>
      <c r="H1472" s="1" t="b">
        <f t="shared" si="53"/>
        <v>1</v>
      </c>
    </row>
    <row r="1473" spans="1:8" ht="21" x14ac:dyDescent="0.25">
      <c r="A1473" s="2" t="str">
        <f>HYPERLINK("https://rth.dk/resources/bsgatlas/details.php?id=BSGatlas-operon-777","BSGatlas-operon-777")</f>
        <v>BSGatlas-operon-777</v>
      </c>
      <c r="B1473" s="2" t="str">
        <f>HYPERLINK("https://rth.dk/resources/bsgatlas/details.php?id=BSGatlas-gene-1572","BSGatlas-gene-1572")</f>
        <v>BSGatlas-gene-1572</v>
      </c>
      <c r="C1473" s="1" t="s">
        <v>1472</v>
      </c>
      <c r="D1473" s="1" t="s">
        <v>8</v>
      </c>
      <c r="E1473" s="3">
        <v>1390439</v>
      </c>
      <c r="F1473" s="3">
        <v>1391038</v>
      </c>
      <c r="G1473" s="1" t="s">
        <v>13</v>
      </c>
      <c r="H1473" s="1" t="b">
        <f t="shared" si="53"/>
        <v>1</v>
      </c>
    </row>
    <row r="1474" spans="1:8" ht="21" x14ac:dyDescent="0.25">
      <c r="A1474" s="2" t="str">
        <f>HYPERLINK("https://rth.dk/resources/bsgatlas/details.php?id=BSGatlas-operon-777","BSGatlas-operon-777")</f>
        <v>BSGatlas-operon-777</v>
      </c>
      <c r="B1474" s="2" t="str">
        <f>HYPERLINK("https://rth.dk/resources/bsgatlas/details.php?id=BSGatlas-gene-1573","BSGatlas-gene-1573")</f>
        <v>BSGatlas-gene-1573</v>
      </c>
      <c r="C1474" s="1" t="s">
        <v>1473</v>
      </c>
      <c r="D1474" s="1" t="s">
        <v>8</v>
      </c>
      <c r="E1474" s="3">
        <v>1391040</v>
      </c>
      <c r="F1474" s="3">
        <v>1391642</v>
      </c>
      <c r="G1474" s="1" t="s">
        <v>13</v>
      </c>
      <c r="H1474" s="1" t="b">
        <f t="shared" ref="H1474:H1537" si="55">_xlfn.XOR(A1473&lt;&gt;A1474,H1473)</f>
        <v>1</v>
      </c>
    </row>
    <row r="1475" spans="1:8" ht="21" x14ac:dyDescent="0.25">
      <c r="A1475" s="2" t="str">
        <f>HYPERLINK("https://rth.dk/resources/bsgatlas/details.php?id=BSGatlas-operon-778","BSGatlas-operon-778")</f>
        <v>BSGatlas-operon-778</v>
      </c>
      <c r="B1475" s="2" t="str">
        <f>HYPERLINK("https://rth.dk/resources/bsgatlas/details.php?id=BSGatlas-gene-1574","BSGatlas-gene-1574")</f>
        <v>BSGatlas-gene-1574</v>
      </c>
      <c r="C1475" s="1" t="s">
        <v>1474</v>
      </c>
      <c r="D1475" s="1" t="s">
        <v>34</v>
      </c>
      <c r="E1475" s="3">
        <v>1391738</v>
      </c>
      <c r="F1475" s="3">
        <v>1391851</v>
      </c>
      <c r="G1475" s="1" t="s">
        <v>13</v>
      </c>
      <c r="H1475" s="1" t="b">
        <f t="shared" si="55"/>
        <v>0</v>
      </c>
    </row>
    <row r="1476" spans="1:8" ht="21" x14ac:dyDescent="0.25">
      <c r="A1476" s="2" t="str">
        <f>HYPERLINK("https://rth.dk/resources/bsgatlas/details.php?id=BSGatlas-operon-779","BSGatlas-operon-779")</f>
        <v>BSGatlas-operon-779</v>
      </c>
      <c r="B1476" s="2" t="str">
        <f>HYPERLINK("https://rth.dk/resources/bsgatlas/details.php?id=BSGatlas-gene-1575","BSGatlas-gene-1575")</f>
        <v>BSGatlas-gene-1575</v>
      </c>
      <c r="C1476" s="1" t="s">
        <v>1475</v>
      </c>
      <c r="D1476" s="1" t="s">
        <v>8</v>
      </c>
      <c r="E1476" s="3">
        <v>1391953</v>
      </c>
      <c r="F1476" s="3">
        <v>1392639</v>
      </c>
      <c r="G1476" s="1" t="s">
        <v>9</v>
      </c>
      <c r="H1476" s="1" t="b">
        <f t="shared" si="55"/>
        <v>1</v>
      </c>
    </row>
    <row r="1477" spans="1:8" ht="21" x14ac:dyDescent="0.25">
      <c r="A1477" s="2" t="str">
        <f>HYPERLINK("https://rth.dk/resources/bsgatlas/details.php?id=BSGatlas-operon-779","BSGatlas-operon-779")</f>
        <v>BSGatlas-operon-779</v>
      </c>
      <c r="B1477" s="2" t="str">
        <f>HYPERLINK("https://rth.dk/resources/bsgatlas/details.php?id=BSGatlas-gene-1576","BSGatlas-gene-1576")</f>
        <v>BSGatlas-gene-1576</v>
      </c>
      <c r="C1477" s="1" t="s">
        <v>1476</v>
      </c>
      <c r="D1477" s="1" t="s">
        <v>8</v>
      </c>
      <c r="E1477" s="3">
        <v>1392643</v>
      </c>
      <c r="F1477" s="3">
        <v>1394007</v>
      </c>
      <c r="G1477" s="1" t="s">
        <v>9</v>
      </c>
      <c r="H1477" s="1" t="b">
        <f t="shared" si="55"/>
        <v>1</v>
      </c>
    </row>
    <row r="1478" spans="1:8" ht="21" x14ac:dyDescent="0.25">
      <c r="A1478" s="2" t="str">
        <f>HYPERLINK("https://rth.dk/resources/bsgatlas/details.php?id=BSGatlas-operon-779","BSGatlas-operon-779")</f>
        <v>BSGatlas-operon-779</v>
      </c>
      <c r="B1478" s="2" t="str">
        <f>HYPERLINK("https://rth.dk/resources/bsgatlas/details.php?id=BSGatlas-gene-1577","BSGatlas-gene-1577")</f>
        <v>BSGatlas-gene-1577</v>
      </c>
      <c r="C1478" s="1" t="s">
        <v>1477</v>
      </c>
      <c r="D1478" s="1" t="s">
        <v>8</v>
      </c>
      <c r="E1478" s="3">
        <v>1394004</v>
      </c>
      <c r="F1478" s="3">
        <v>1394684</v>
      </c>
      <c r="G1478" s="1" t="s">
        <v>9</v>
      </c>
      <c r="H1478" s="1" t="b">
        <f t="shared" si="55"/>
        <v>1</v>
      </c>
    </row>
    <row r="1479" spans="1:8" ht="21" x14ac:dyDescent="0.25">
      <c r="A1479" s="2" t="str">
        <f>HYPERLINK("https://rth.dk/resources/bsgatlas/details.php?id=BSGatlas-operon-779","BSGatlas-operon-779")</f>
        <v>BSGatlas-operon-779</v>
      </c>
      <c r="B1479" s="2" t="str">
        <f>HYPERLINK("https://rth.dk/resources/bsgatlas/details.php?id=BSGatlas-gene-1578","BSGatlas-gene-1578")</f>
        <v>BSGatlas-gene-1578</v>
      </c>
      <c r="C1479" s="1" t="s">
        <v>1478</v>
      </c>
      <c r="D1479" s="1" t="s">
        <v>8</v>
      </c>
      <c r="E1479" s="3">
        <v>1394776</v>
      </c>
      <c r="F1479" s="3">
        <v>1395288</v>
      </c>
      <c r="G1479" s="1" t="s">
        <v>9</v>
      </c>
      <c r="H1479" s="1" t="b">
        <f t="shared" si="55"/>
        <v>1</v>
      </c>
    </row>
    <row r="1480" spans="1:8" ht="21" x14ac:dyDescent="0.25">
      <c r="A1480" s="2" t="str">
        <f>HYPERLINK("https://rth.dk/resources/bsgatlas/details.php?id=BSGatlas-operon-780","BSGatlas-operon-780")</f>
        <v>BSGatlas-operon-780</v>
      </c>
      <c r="B1480" s="2" t="str">
        <f>HYPERLINK("https://rth.dk/resources/bsgatlas/details.php?id=BSGatlas-gene-1579","BSGatlas-gene-1579")</f>
        <v>BSGatlas-gene-1579</v>
      </c>
      <c r="C1480" s="1" t="s">
        <v>1479</v>
      </c>
      <c r="D1480" s="1" t="s">
        <v>8</v>
      </c>
      <c r="E1480" s="3">
        <v>1395371</v>
      </c>
      <c r="F1480" s="3">
        <v>1395508</v>
      </c>
      <c r="G1480" s="1" t="s">
        <v>9</v>
      </c>
      <c r="H1480" s="1" t="b">
        <f t="shared" si="55"/>
        <v>0</v>
      </c>
    </row>
    <row r="1481" spans="1:8" ht="21" x14ac:dyDescent="0.25">
      <c r="A1481" s="2" t="str">
        <f>HYPERLINK("https://rth.dk/resources/bsgatlas/details.php?id=BSGatlas-operon-781","BSGatlas-operon-781")</f>
        <v>BSGatlas-operon-781</v>
      </c>
      <c r="B1481" s="2" t="str">
        <f>HYPERLINK("https://rth.dk/resources/bsgatlas/details.php?id=BSGatlas-gene-1581","BSGatlas-gene-1581")</f>
        <v>BSGatlas-gene-1581</v>
      </c>
      <c r="C1481" s="1" t="s">
        <v>1480</v>
      </c>
      <c r="D1481" s="1" t="s">
        <v>8</v>
      </c>
      <c r="E1481" s="3">
        <v>1396013</v>
      </c>
      <c r="F1481" s="3">
        <v>1397368</v>
      </c>
      <c r="G1481" s="1" t="s">
        <v>9</v>
      </c>
      <c r="H1481" s="1" t="b">
        <f t="shared" si="55"/>
        <v>1</v>
      </c>
    </row>
    <row r="1482" spans="1:8" ht="21" x14ac:dyDescent="0.25">
      <c r="A1482" s="2" t="str">
        <f>HYPERLINK("https://rth.dk/resources/bsgatlas/details.php?id=BSGatlas-operon-782","BSGatlas-operon-782")</f>
        <v>BSGatlas-operon-782</v>
      </c>
      <c r="B1482" s="2" t="str">
        <f>HYPERLINK("https://rth.dk/resources/bsgatlas/details.php?id=BSGatlas-gene-1580","BSGatlas-gene-1580")</f>
        <v>BSGatlas-gene-1580</v>
      </c>
      <c r="C1482" s="1" t="s">
        <v>1481</v>
      </c>
      <c r="D1482" s="1" t="s">
        <v>34</v>
      </c>
      <c r="E1482" s="3">
        <v>1395615</v>
      </c>
      <c r="F1482" s="3">
        <v>1395781</v>
      </c>
      <c r="G1482" s="1" t="s">
        <v>9</v>
      </c>
      <c r="H1482" s="1" t="b">
        <f t="shared" si="55"/>
        <v>0</v>
      </c>
    </row>
    <row r="1483" spans="1:8" ht="21" x14ac:dyDescent="0.25">
      <c r="A1483" s="2" t="str">
        <f>HYPERLINK("https://rth.dk/resources/bsgatlas/details.php?id=BSGatlas-operon-783","BSGatlas-operon-783")</f>
        <v>BSGatlas-operon-783</v>
      </c>
      <c r="B1483" s="2" t="str">
        <f>HYPERLINK("https://rth.dk/resources/bsgatlas/details.php?id=BSGatlas-gene-1582","BSGatlas-gene-1582")</f>
        <v>BSGatlas-gene-1582</v>
      </c>
      <c r="C1483" s="1" t="s">
        <v>1482</v>
      </c>
      <c r="D1483" s="1" t="s">
        <v>8</v>
      </c>
      <c r="E1483" s="3">
        <v>1397411</v>
      </c>
      <c r="F1483" s="3">
        <v>1397743</v>
      </c>
      <c r="G1483" s="1" t="s">
        <v>13</v>
      </c>
      <c r="H1483" s="1" t="b">
        <f t="shared" si="55"/>
        <v>1</v>
      </c>
    </row>
    <row r="1484" spans="1:8" ht="21" x14ac:dyDescent="0.25">
      <c r="A1484" s="2" t="str">
        <f>HYPERLINK("https://rth.dk/resources/bsgatlas/details.php?id=BSGatlas-operon-784","BSGatlas-operon-784")</f>
        <v>BSGatlas-operon-784</v>
      </c>
      <c r="B1484" s="2" t="str">
        <f>HYPERLINK("https://rth.dk/resources/bsgatlas/details.php?id=BSGatlas-gene-1583","BSGatlas-gene-1583")</f>
        <v>BSGatlas-gene-1583</v>
      </c>
      <c r="C1484" s="1" t="s">
        <v>1483</v>
      </c>
      <c r="D1484" s="1" t="s">
        <v>8</v>
      </c>
      <c r="E1484" s="3">
        <v>1397938</v>
      </c>
      <c r="F1484" s="3">
        <v>1398093</v>
      </c>
      <c r="G1484" s="1" t="s">
        <v>9</v>
      </c>
      <c r="H1484" s="1" t="b">
        <f t="shared" si="55"/>
        <v>0</v>
      </c>
    </row>
    <row r="1485" spans="1:8" ht="21" x14ac:dyDescent="0.25">
      <c r="A1485" s="2" t="str">
        <f>HYPERLINK("https://rth.dk/resources/bsgatlas/details.php?id=BSGatlas-operon-784","BSGatlas-operon-784")</f>
        <v>BSGatlas-operon-784</v>
      </c>
      <c r="B1485" s="2" t="str">
        <f>HYPERLINK("https://rth.dk/resources/bsgatlas/details.php?id=BSGatlas-gene-1584","BSGatlas-gene-1584")</f>
        <v>BSGatlas-gene-1584</v>
      </c>
      <c r="C1485" s="1" t="s">
        <v>1484</v>
      </c>
      <c r="D1485" s="1" t="s">
        <v>8</v>
      </c>
      <c r="E1485" s="3">
        <v>1398181</v>
      </c>
      <c r="F1485" s="3">
        <v>1398363</v>
      </c>
      <c r="G1485" s="1" t="s">
        <v>9</v>
      </c>
      <c r="H1485" s="1" t="b">
        <f t="shared" si="55"/>
        <v>0</v>
      </c>
    </row>
    <row r="1486" spans="1:8" ht="21" x14ac:dyDescent="0.25">
      <c r="A1486" s="2" t="str">
        <f>HYPERLINK("https://rth.dk/resources/bsgatlas/details.php?id=BSGatlas-operon-785","BSGatlas-operon-785")</f>
        <v>BSGatlas-operon-785</v>
      </c>
      <c r="B1486" s="2" t="str">
        <f>HYPERLINK("https://rth.dk/resources/bsgatlas/details.php?id=BSGatlas-gene-1585","BSGatlas-gene-1585")</f>
        <v>BSGatlas-gene-1585</v>
      </c>
      <c r="C1486" s="1" t="s">
        <v>1485</v>
      </c>
      <c r="D1486" s="1" t="s">
        <v>8</v>
      </c>
      <c r="E1486" s="3">
        <v>1398496</v>
      </c>
      <c r="F1486" s="3">
        <v>1398960</v>
      </c>
      <c r="G1486" s="1" t="s">
        <v>9</v>
      </c>
      <c r="H1486" s="1" t="b">
        <f t="shared" si="55"/>
        <v>1</v>
      </c>
    </row>
    <row r="1487" spans="1:8" ht="21" x14ac:dyDescent="0.25">
      <c r="A1487" s="2" t="str">
        <f>HYPERLINK("https://rth.dk/resources/bsgatlas/details.php?id=BSGatlas-operon-786","BSGatlas-operon-786")</f>
        <v>BSGatlas-operon-786</v>
      </c>
      <c r="B1487" s="2" t="str">
        <f>HYPERLINK("https://rth.dk/resources/bsgatlas/details.php?id=BSGatlas-gene-1586","BSGatlas-gene-1586")</f>
        <v>BSGatlas-gene-1586</v>
      </c>
      <c r="C1487" s="1" t="s">
        <v>1486</v>
      </c>
      <c r="D1487" s="1" t="s">
        <v>8</v>
      </c>
      <c r="E1487" s="3">
        <v>1398975</v>
      </c>
      <c r="F1487" s="3">
        <v>1400096</v>
      </c>
      <c r="G1487" s="1" t="s">
        <v>13</v>
      </c>
      <c r="H1487" s="1" t="b">
        <f t="shared" si="55"/>
        <v>0</v>
      </c>
    </row>
    <row r="1488" spans="1:8" ht="21" x14ac:dyDescent="0.25">
      <c r="A1488" s="2" t="str">
        <f>HYPERLINK("https://rth.dk/resources/bsgatlas/details.php?id=BSGatlas-operon-787","BSGatlas-operon-787")</f>
        <v>BSGatlas-operon-787</v>
      </c>
      <c r="B1488" s="2" t="str">
        <f>HYPERLINK("https://rth.dk/resources/bsgatlas/details.php?id=BSGatlas-gene-1587","BSGatlas-gene-1587")</f>
        <v>BSGatlas-gene-1587</v>
      </c>
      <c r="C1488" s="1" t="s">
        <v>1487</v>
      </c>
      <c r="D1488" s="1" t="s">
        <v>8</v>
      </c>
      <c r="E1488" s="3">
        <v>1400188</v>
      </c>
      <c r="F1488" s="3">
        <v>1400739</v>
      </c>
      <c r="G1488" s="1" t="s">
        <v>9</v>
      </c>
      <c r="H1488" s="1" t="b">
        <f t="shared" si="55"/>
        <v>1</v>
      </c>
    </row>
    <row r="1489" spans="1:8" ht="21" x14ac:dyDescent="0.25">
      <c r="A1489" s="2" t="str">
        <f>HYPERLINK("https://rth.dk/resources/bsgatlas/details.php?id=BSGatlas-operon-788","BSGatlas-operon-788")</f>
        <v>BSGatlas-operon-788</v>
      </c>
      <c r="B1489" s="2" t="str">
        <f>HYPERLINK("https://rth.dk/resources/bsgatlas/details.php?id=BSGatlas-gene-1588","BSGatlas-gene-1588")</f>
        <v>BSGatlas-gene-1588</v>
      </c>
      <c r="C1489" s="1" t="s">
        <v>1488</v>
      </c>
      <c r="D1489" s="1" t="s">
        <v>8</v>
      </c>
      <c r="E1489" s="3">
        <v>1400767</v>
      </c>
      <c r="F1489" s="3">
        <v>1401579</v>
      </c>
      <c r="G1489" s="1" t="s">
        <v>13</v>
      </c>
      <c r="H1489" s="1" t="b">
        <f t="shared" si="55"/>
        <v>0</v>
      </c>
    </row>
    <row r="1490" spans="1:8" ht="21" x14ac:dyDescent="0.25">
      <c r="A1490" s="2" t="str">
        <f>HYPERLINK("https://rth.dk/resources/bsgatlas/details.php?id=BSGatlas-operon-789","BSGatlas-operon-789")</f>
        <v>BSGatlas-operon-789</v>
      </c>
      <c r="B1490" s="2" t="str">
        <f>HYPERLINK("https://rth.dk/resources/bsgatlas/details.php?id=BSGatlas-gene-1589","BSGatlas-gene-1589")</f>
        <v>BSGatlas-gene-1589</v>
      </c>
      <c r="C1490" s="1" t="s">
        <v>1489</v>
      </c>
      <c r="D1490" s="1" t="s">
        <v>8</v>
      </c>
      <c r="E1490" s="3">
        <v>1401772</v>
      </c>
      <c r="F1490" s="3">
        <v>1403466</v>
      </c>
      <c r="G1490" s="1" t="s">
        <v>9</v>
      </c>
      <c r="H1490" s="1" t="b">
        <f t="shared" si="55"/>
        <v>1</v>
      </c>
    </row>
    <row r="1491" spans="1:8" ht="21" x14ac:dyDescent="0.25">
      <c r="A1491" s="2" t="str">
        <f>HYPERLINK("https://rth.dk/resources/bsgatlas/details.php?id=BSGatlas-operon-789","BSGatlas-operon-789")</f>
        <v>BSGatlas-operon-789</v>
      </c>
      <c r="B1491" s="2" t="str">
        <f>HYPERLINK("https://rth.dk/resources/bsgatlas/details.php?id=BSGatlas-gene-1590","BSGatlas-gene-1590")</f>
        <v>BSGatlas-gene-1590</v>
      </c>
      <c r="C1491" s="1" t="s">
        <v>1490</v>
      </c>
      <c r="D1491" s="1" t="s">
        <v>8</v>
      </c>
      <c r="E1491" s="3">
        <v>1403479</v>
      </c>
      <c r="F1491" s="3">
        <v>1404492</v>
      </c>
      <c r="G1491" s="1" t="s">
        <v>9</v>
      </c>
      <c r="H1491" s="1" t="b">
        <f t="shared" si="55"/>
        <v>1</v>
      </c>
    </row>
    <row r="1492" spans="1:8" ht="21" x14ac:dyDescent="0.25">
      <c r="A1492" s="2" t="str">
        <f>HYPERLINK("https://rth.dk/resources/bsgatlas/details.php?id=BSGatlas-operon-790","BSGatlas-operon-790")</f>
        <v>BSGatlas-operon-790</v>
      </c>
      <c r="B1492" s="2" t="str">
        <f>HYPERLINK("https://rth.dk/resources/bsgatlas/details.php?id=BSGatlas-gene-1591","BSGatlas-gene-1591")</f>
        <v>BSGatlas-gene-1591</v>
      </c>
      <c r="C1492" s="1" t="s">
        <v>1491</v>
      </c>
      <c r="D1492" s="1" t="s">
        <v>8</v>
      </c>
      <c r="E1492" s="3">
        <v>1404518</v>
      </c>
      <c r="F1492" s="3">
        <v>1406353</v>
      </c>
      <c r="G1492" s="1" t="s">
        <v>13</v>
      </c>
      <c r="H1492" s="1" t="b">
        <f t="shared" si="55"/>
        <v>0</v>
      </c>
    </row>
    <row r="1493" spans="1:8" ht="21" x14ac:dyDescent="0.25">
      <c r="A1493" s="2" t="str">
        <f>HYPERLINK("https://rth.dk/resources/bsgatlas/details.php?id=BSGatlas-operon-790","BSGatlas-operon-790")</f>
        <v>BSGatlas-operon-790</v>
      </c>
      <c r="B1493" s="2" t="str">
        <f>HYPERLINK("https://rth.dk/resources/bsgatlas/details.php?id=BSGatlas-gene-1592","BSGatlas-gene-1592")</f>
        <v>BSGatlas-gene-1592</v>
      </c>
      <c r="C1493" s="1" t="s">
        <v>1492</v>
      </c>
      <c r="D1493" s="1" t="s">
        <v>8</v>
      </c>
      <c r="E1493" s="3">
        <v>1406357</v>
      </c>
      <c r="F1493" s="3">
        <v>1407292</v>
      </c>
      <c r="G1493" s="1" t="s">
        <v>13</v>
      </c>
      <c r="H1493" s="1" t="b">
        <f t="shared" si="55"/>
        <v>0</v>
      </c>
    </row>
    <row r="1494" spans="1:8" ht="21" x14ac:dyDescent="0.25">
      <c r="A1494" s="2" t="str">
        <f>HYPERLINK("https://rth.dk/resources/bsgatlas/details.php?id=BSGatlas-operon-791","BSGatlas-operon-791")</f>
        <v>BSGatlas-operon-791</v>
      </c>
      <c r="B1494" s="2" t="str">
        <f>HYPERLINK("https://rth.dk/resources/bsgatlas/details.php?id=BSGatlas-gene-1593","BSGatlas-gene-1593")</f>
        <v>BSGatlas-gene-1593</v>
      </c>
      <c r="C1494" s="1" t="s">
        <v>1493</v>
      </c>
      <c r="D1494" s="1" t="s">
        <v>8</v>
      </c>
      <c r="E1494" s="3">
        <v>1407329</v>
      </c>
      <c r="F1494" s="3">
        <v>1409731</v>
      </c>
      <c r="G1494" s="1" t="s">
        <v>13</v>
      </c>
      <c r="H1494" s="1" t="b">
        <f t="shared" si="55"/>
        <v>1</v>
      </c>
    </row>
    <row r="1495" spans="1:8" ht="21" x14ac:dyDescent="0.25">
      <c r="A1495" s="2" t="str">
        <f>HYPERLINK("https://rth.dk/resources/bsgatlas/details.php?id=BSGatlas-operon-792","BSGatlas-operon-792")</f>
        <v>BSGatlas-operon-792</v>
      </c>
      <c r="B1495" s="2" t="str">
        <f>HYPERLINK("https://rth.dk/resources/bsgatlas/details.php?id=BSGatlas-gene-1594","BSGatlas-gene-1594")</f>
        <v>BSGatlas-gene-1594</v>
      </c>
      <c r="C1495" s="1" t="s">
        <v>1494</v>
      </c>
      <c r="D1495" s="1" t="s">
        <v>8</v>
      </c>
      <c r="E1495" s="3">
        <v>1409912</v>
      </c>
      <c r="F1495" s="3">
        <v>1410577</v>
      </c>
      <c r="G1495" s="1" t="s">
        <v>9</v>
      </c>
      <c r="H1495" s="1" t="b">
        <f t="shared" si="55"/>
        <v>0</v>
      </c>
    </row>
    <row r="1496" spans="1:8" ht="21" x14ac:dyDescent="0.25">
      <c r="A1496" s="2" t="str">
        <f>HYPERLINK("https://rth.dk/resources/bsgatlas/details.php?id=BSGatlas-operon-792","BSGatlas-operon-792")</f>
        <v>BSGatlas-operon-792</v>
      </c>
      <c r="B1496" s="2" t="str">
        <f>HYPERLINK("https://rth.dk/resources/bsgatlas/details.php?id=BSGatlas-gene-1595","BSGatlas-gene-1595")</f>
        <v>BSGatlas-gene-1595</v>
      </c>
      <c r="C1496" s="1" t="s">
        <v>1495</v>
      </c>
      <c r="D1496" s="1" t="s">
        <v>34</v>
      </c>
      <c r="E1496" s="3">
        <v>1410633</v>
      </c>
      <c r="F1496" s="3">
        <v>1410766</v>
      </c>
      <c r="G1496" s="1" t="s">
        <v>9</v>
      </c>
      <c r="H1496" s="1" t="b">
        <f t="shared" si="55"/>
        <v>0</v>
      </c>
    </row>
    <row r="1497" spans="1:8" ht="21" x14ac:dyDescent="0.25">
      <c r="A1497" s="2" t="str">
        <f>HYPERLINK("https://rth.dk/resources/bsgatlas/details.php?id=BSGatlas-operon-792","BSGatlas-operon-792")</f>
        <v>BSGatlas-operon-792</v>
      </c>
      <c r="B1497" s="2" t="str">
        <f>HYPERLINK("https://rth.dk/resources/bsgatlas/details.php?id=BSGatlas-gene-1596","BSGatlas-gene-1596")</f>
        <v>BSGatlas-gene-1596</v>
      </c>
      <c r="C1497" s="1" t="s">
        <v>1496</v>
      </c>
      <c r="D1497" s="1" t="s">
        <v>8</v>
      </c>
      <c r="E1497" s="3">
        <v>1410654</v>
      </c>
      <c r="F1497" s="3">
        <v>1411628</v>
      </c>
      <c r="G1497" s="1" t="s">
        <v>9</v>
      </c>
      <c r="H1497" s="1" t="b">
        <f t="shared" si="55"/>
        <v>0</v>
      </c>
    </row>
    <row r="1498" spans="1:8" ht="21" x14ac:dyDescent="0.25">
      <c r="A1498" s="2" t="str">
        <f>HYPERLINK("https://rth.dk/resources/bsgatlas/details.php?id=BSGatlas-operon-793","BSGatlas-operon-793")</f>
        <v>BSGatlas-operon-793</v>
      </c>
      <c r="B1498" s="2" t="str">
        <f>HYPERLINK("https://rth.dk/resources/bsgatlas/details.php?id=BSGatlas-gene-1597","BSGatlas-gene-1597")</f>
        <v>BSGatlas-gene-1597</v>
      </c>
      <c r="C1498" s="1" t="s">
        <v>1497</v>
      </c>
      <c r="D1498" s="1" t="s">
        <v>8</v>
      </c>
      <c r="E1498" s="3">
        <v>1411892</v>
      </c>
      <c r="F1498" s="3">
        <v>1412647</v>
      </c>
      <c r="G1498" s="1" t="s">
        <v>9</v>
      </c>
      <c r="H1498" s="1" t="b">
        <f t="shared" si="55"/>
        <v>1</v>
      </c>
    </row>
    <row r="1499" spans="1:8" ht="21" x14ac:dyDescent="0.25">
      <c r="A1499" s="2" t="str">
        <f>HYPERLINK("https://rth.dk/resources/bsgatlas/details.php?id=BSGatlas-operon-793","BSGatlas-operon-793")</f>
        <v>BSGatlas-operon-793</v>
      </c>
      <c r="B1499" s="2" t="str">
        <f>HYPERLINK("https://rth.dk/resources/bsgatlas/details.php?id=BSGatlas-gene-1598","BSGatlas-gene-1598")</f>
        <v>BSGatlas-gene-1598</v>
      </c>
      <c r="C1499" s="1" t="s">
        <v>1498</v>
      </c>
      <c r="D1499" s="1" t="s">
        <v>8</v>
      </c>
      <c r="E1499" s="3">
        <v>1412644</v>
      </c>
      <c r="F1499" s="3">
        <v>1413789</v>
      </c>
      <c r="G1499" s="1" t="s">
        <v>9</v>
      </c>
      <c r="H1499" s="1" t="b">
        <f t="shared" si="55"/>
        <v>1</v>
      </c>
    </row>
    <row r="1500" spans="1:8" ht="21" x14ac:dyDescent="0.25">
      <c r="A1500" s="2" t="str">
        <f>HYPERLINK("https://rth.dk/resources/bsgatlas/details.php?id=BSGatlas-operon-794","BSGatlas-operon-794")</f>
        <v>BSGatlas-operon-794</v>
      </c>
      <c r="B1500" s="2" t="str">
        <f>HYPERLINK("https://rth.dk/resources/bsgatlas/details.php?id=BSGatlas-gene-1599","BSGatlas-gene-1599")</f>
        <v>BSGatlas-gene-1599</v>
      </c>
      <c r="C1500" s="1" t="s">
        <v>1499</v>
      </c>
      <c r="D1500" s="1" t="s">
        <v>8</v>
      </c>
      <c r="E1500" s="3">
        <v>1413800</v>
      </c>
      <c r="F1500" s="3">
        <v>1413994</v>
      </c>
      <c r="G1500" s="1" t="s">
        <v>13</v>
      </c>
      <c r="H1500" s="1" t="b">
        <f t="shared" si="55"/>
        <v>0</v>
      </c>
    </row>
    <row r="1501" spans="1:8" ht="21" x14ac:dyDescent="0.25">
      <c r="A1501" s="2" t="str">
        <f>HYPERLINK("https://rth.dk/resources/bsgatlas/details.php?id=BSGatlas-operon-795","BSGatlas-operon-795")</f>
        <v>BSGatlas-operon-795</v>
      </c>
      <c r="B1501" s="2" t="str">
        <f>HYPERLINK("https://rth.dk/resources/bsgatlas/details.php?id=BSGatlas-gene-1600","BSGatlas-gene-1600")</f>
        <v>BSGatlas-gene-1600</v>
      </c>
      <c r="C1501" s="1" t="s">
        <v>1500</v>
      </c>
      <c r="D1501" s="1" t="s">
        <v>8</v>
      </c>
      <c r="E1501" s="3">
        <v>1414125</v>
      </c>
      <c r="F1501" s="3">
        <v>1414826</v>
      </c>
      <c r="G1501" s="1" t="s">
        <v>13</v>
      </c>
      <c r="H1501" s="1" t="b">
        <f t="shared" si="55"/>
        <v>1</v>
      </c>
    </row>
    <row r="1502" spans="1:8" ht="21" x14ac:dyDescent="0.25">
      <c r="A1502" s="2" t="str">
        <f>HYPERLINK("https://rth.dk/resources/bsgatlas/details.php?id=BSGatlas-operon-796","BSGatlas-operon-796")</f>
        <v>BSGatlas-operon-796</v>
      </c>
      <c r="B1502" s="2" t="str">
        <f>HYPERLINK("https://rth.dk/resources/bsgatlas/details.php?id=BSGatlas-gene-1601","BSGatlas-gene-1601")</f>
        <v>BSGatlas-gene-1601</v>
      </c>
      <c r="C1502" s="1" t="s">
        <v>1501</v>
      </c>
      <c r="D1502" s="1" t="s">
        <v>8</v>
      </c>
      <c r="E1502" s="3">
        <v>1414997</v>
      </c>
      <c r="F1502" s="3">
        <v>1415893</v>
      </c>
      <c r="G1502" s="1" t="s">
        <v>9</v>
      </c>
      <c r="H1502" s="1" t="b">
        <f t="shared" si="55"/>
        <v>0</v>
      </c>
    </row>
    <row r="1503" spans="1:8" ht="21" x14ac:dyDescent="0.25">
      <c r="A1503" s="2" t="str">
        <f>HYPERLINK("https://rth.dk/resources/bsgatlas/details.php?id=BSGatlas-operon-797","BSGatlas-operon-797")</f>
        <v>BSGatlas-operon-797</v>
      </c>
      <c r="B1503" s="2" t="str">
        <f>HYPERLINK("https://rth.dk/resources/bsgatlas/details.php?id=BSGatlas-gene-1602","BSGatlas-gene-1602")</f>
        <v>BSGatlas-gene-1602</v>
      </c>
      <c r="C1503" s="1" t="s">
        <v>1502</v>
      </c>
      <c r="D1503" s="1" t="s">
        <v>8</v>
      </c>
      <c r="E1503" s="3">
        <v>1416067</v>
      </c>
      <c r="F1503" s="3">
        <v>1417416</v>
      </c>
      <c r="G1503" s="1" t="s">
        <v>9</v>
      </c>
      <c r="H1503" s="1" t="b">
        <f t="shared" si="55"/>
        <v>1</v>
      </c>
    </row>
    <row r="1504" spans="1:8" ht="21" x14ac:dyDescent="0.25">
      <c r="A1504" s="2" t="str">
        <f>HYPERLINK("https://rth.dk/resources/bsgatlas/details.php?id=BSGatlas-operon-798","BSGatlas-operon-798")</f>
        <v>BSGatlas-operon-798</v>
      </c>
      <c r="B1504" s="2" t="str">
        <f>HYPERLINK("https://rth.dk/resources/bsgatlas/details.php?id=BSGatlas-gene-1603","BSGatlas-gene-1603")</f>
        <v>BSGatlas-gene-1603</v>
      </c>
      <c r="C1504" s="1" t="s">
        <v>1503</v>
      </c>
      <c r="D1504" s="1" t="s">
        <v>8</v>
      </c>
      <c r="E1504" s="3">
        <v>1417561</v>
      </c>
      <c r="F1504" s="3">
        <v>1417716</v>
      </c>
      <c r="G1504" s="1" t="s">
        <v>9</v>
      </c>
      <c r="H1504" s="1" t="b">
        <f t="shared" si="55"/>
        <v>0</v>
      </c>
    </row>
    <row r="1505" spans="1:8" ht="21" x14ac:dyDescent="0.25">
      <c r="A1505" s="2" t="str">
        <f>HYPERLINK("https://rth.dk/resources/bsgatlas/details.php?id=BSGatlas-operon-798","BSGatlas-operon-798")</f>
        <v>BSGatlas-operon-798</v>
      </c>
      <c r="B1505" s="2" t="str">
        <f>HYPERLINK("https://rth.dk/resources/bsgatlas/details.php?id=BSGatlas-gene-1604","BSGatlas-gene-1604")</f>
        <v>BSGatlas-gene-1604</v>
      </c>
      <c r="C1505" s="1" t="s">
        <v>1504</v>
      </c>
      <c r="D1505" s="1" t="s">
        <v>8</v>
      </c>
      <c r="E1505" s="3">
        <v>1417719</v>
      </c>
      <c r="F1505" s="3">
        <v>1417895</v>
      </c>
      <c r="G1505" s="1" t="s">
        <v>9</v>
      </c>
      <c r="H1505" s="1" t="b">
        <f t="shared" si="55"/>
        <v>0</v>
      </c>
    </row>
    <row r="1506" spans="1:8" ht="21" x14ac:dyDescent="0.25">
      <c r="A1506" s="2" t="str">
        <f>HYPERLINK("https://rth.dk/resources/bsgatlas/details.php?id=BSGatlas-operon-799","BSGatlas-operon-799")</f>
        <v>BSGatlas-operon-799</v>
      </c>
      <c r="B1506" s="2" t="str">
        <f>HYPERLINK("https://rth.dk/resources/bsgatlas/details.php?id=BSGatlas-gene-1605","BSGatlas-gene-1605")</f>
        <v>BSGatlas-gene-1605</v>
      </c>
      <c r="C1506" s="1" t="s">
        <v>1505</v>
      </c>
      <c r="D1506" s="1" t="s">
        <v>8</v>
      </c>
      <c r="E1506" s="3">
        <v>1417938</v>
      </c>
      <c r="F1506" s="3">
        <v>1418960</v>
      </c>
      <c r="G1506" s="1" t="s">
        <v>13</v>
      </c>
      <c r="H1506" s="1" t="b">
        <f t="shared" si="55"/>
        <v>1</v>
      </c>
    </row>
    <row r="1507" spans="1:8" ht="21" x14ac:dyDescent="0.25">
      <c r="A1507" s="2" t="str">
        <f>HYPERLINK("https://rth.dk/resources/bsgatlas/details.php?id=BSGatlas-operon-800","BSGatlas-operon-800")</f>
        <v>BSGatlas-operon-800</v>
      </c>
      <c r="B1507" s="2" t="str">
        <f>HYPERLINK("https://rth.dk/resources/bsgatlas/details.php?id=BSGatlas-gene-1606","BSGatlas-gene-1606")</f>
        <v>BSGatlas-gene-1606</v>
      </c>
      <c r="C1507" s="1" t="s">
        <v>1506</v>
      </c>
      <c r="D1507" s="1" t="s">
        <v>8</v>
      </c>
      <c r="E1507" s="3">
        <v>1419213</v>
      </c>
      <c r="F1507" s="3">
        <v>1421429</v>
      </c>
      <c r="G1507" s="1" t="s">
        <v>9</v>
      </c>
      <c r="H1507" s="1" t="b">
        <f t="shared" si="55"/>
        <v>0</v>
      </c>
    </row>
    <row r="1508" spans="1:8" ht="21" x14ac:dyDescent="0.25">
      <c r="A1508" s="2" t="str">
        <f>HYPERLINK("https://rth.dk/resources/bsgatlas/details.php?id=BSGatlas-operon-800","BSGatlas-operon-800")</f>
        <v>BSGatlas-operon-800</v>
      </c>
      <c r="B1508" s="2" t="str">
        <f>HYPERLINK("https://rth.dk/resources/bsgatlas/details.php?id=BSGatlas-gene-1607","BSGatlas-gene-1607")</f>
        <v>BSGatlas-gene-1607</v>
      </c>
      <c r="C1508" s="1" t="s">
        <v>1507</v>
      </c>
      <c r="D1508" s="1" t="s">
        <v>8</v>
      </c>
      <c r="E1508" s="3">
        <v>1421426</v>
      </c>
      <c r="F1508" s="3">
        <v>1421923</v>
      </c>
      <c r="G1508" s="1" t="s">
        <v>9</v>
      </c>
      <c r="H1508" s="1" t="b">
        <f t="shared" si="55"/>
        <v>0</v>
      </c>
    </row>
    <row r="1509" spans="1:8" ht="21" x14ac:dyDescent="0.25">
      <c r="A1509" s="2" t="str">
        <f>HYPERLINK("https://rth.dk/resources/bsgatlas/details.php?id=BSGatlas-operon-801","BSGatlas-operon-801")</f>
        <v>BSGatlas-operon-801</v>
      </c>
      <c r="B1509" s="2" t="str">
        <f>HYPERLINK("https://rth.dk/resources/bsgatlas/details.php?id=BSGatlas-gene-1609","BSGatlas-gene-1609")</f>
        <v>BSGatlas-gene-1609</v>
      </c>
      <c r="C1509" s="1" t="s">
        <v>1508</v>
      </c>
      <c r="D1509" s="1" t="s">
        <v>8</v>
      </c>
      <c r="E1509" s="3">
        <v>1422172</v>
      </c>
      <c r="F1509" s="3">
        <v>1423233</v>
      </c>
      <c r="G1509" s="1" t="s">
        <v>13</v>
      </c>
      <c r="H1509" s="1" t="b">
        <f t="shared" si="55"/>
        <v>1</v>
      </c>
    </row>
    <row r="1510" spans="1:8" ht="21" x14ac:dyDescent="0.25">
      <c r="A1510" s="2" t="str">
        <f>HYPERLINK("https://rth.dk/resources/bsgatlas/details.php?id=BSGatlas-operon-801","BSGatlas-operon-801")</f>
        <v>BSGatlas-operon-801</v>
      </c>
      <c r="B1510" s="2" t="str">
        <f>HYPERLINK("https://rth.dk/resources/bsgatlas/details.php?id=BSGatlas-gene-1610","BSGatlas-gene-1610")</f>
        <v>BSGatlas-gene-1610</v>
      </c>
      <c r="C1510" s="1" t="s">
        <v>1509</v>
      </c>
      <c r="D1510" s="1" t="s">
        <v>8</v>
      </c>
      <c r="E1510" s="3">
        <v>1423241</v>
      </c>
      <c r="F1510" s="3">
        <v>1424434</v>
      </c>
      <c r="G1510" s="1" t="s">
        <v>13</v>
      </c>
      <c r="H1510" s="1" t="b">
        <f t="shared" si="55"/>
        <v>1</v>
      </c>
    </row>
    <row r="1511" spans="1:8" ht="21" x14ac:dyDescent="0.25">
      <c r="A1511" s="2" t="str">
        <f>HYPERLINK("https://rth.dk/resources/bsgatlas/details.php?id=BSGatlas-operon-802","BSGatlas-operon-802")</f>
        <v>BSGatlas-operon-802</v>
      </c>
      <c r="B1511" s="2" t="str">
        <f>HYPERLINK("https://rth.dk/resources/bsgatlas/details.php?id=BSGatlas-gene-1608","BSGatlas-gene-1608")</f>
        <v>BSGatlas-gene-1608</v>
      </c>
      <c r="C1511" s="1" t="s">
        <v>318</v>
      </c>
      <c r="D1511" s="1" t="s">
        <v>8</v>
      </c>
      <c r="E1511" s="3">
        <v>1422013</v>
      </c>
      <c r="F1511" s="3">
        <v>1422138</v>
      </c>
      <c r="G1511" s="1" t="s">
        <v>9</v>
      </c>
      <c r="H1511" s="1" t="b">
        <f t="shared" si="55"/>
        <v>0</v>
      </c>
    </row>
    <row r="1512" spans="1:8" ht="21" x14ac:dyDescent="0.25">
      <c r="A1512" s="2" t="str">
        <f>HYPERLINK("https://rth.dk/resources/bsgatlas/details.php?id=BSGatlas-operon-803","BSGatlas-operon-803")</f>
        <v>BSGatlas-operon-803</v>
      </c>
      <c r="B1512" s="2" t="str">
        <f>HYPERLINK("https://rth.dk/resources/bsgatlas/details.php?id=BSGatlas-gene-1611","BSGatlas-gene-1611")</f>
        <v>BSGatlas-gene-1611</v>
      </c>
      <c r="C1512" s="1" t="s">
        <v>1510</v>
      </c>
      <c r="D1512" s="1" t="s">
        <v>34</v>
      </c>
      <c r="E1512" s="3">
        <v>1424526</v>
      </c>
      <c r="F1512" s="3">
        <v>1424683</v>
      </c>
      <c r="G1512" s="1" t="s">
        <v>13</v>
      </c>
      <c r="H1512" s="1" t="b">
        <f t="shared" si="55"/>
        <v>1</v>
      </c>
    </row>
    <row r="1513" spans="1:8" ht="21" x14ac:dyDescent="0.25">
      <c r="A1513" s="2" t="str">
        <f>HYPERLINK("https://rth.dk/resources/bsgatlas/details.php?id=BSGatlas-operon-804","BSGatlas-operon-804")</f>
        <v>BSGatlas-operon-804</v>
      </c>
      <c r="B1513" s="2" t="str">
        <f>HYPERLINK("https://rth.dk/resources/bsgatlas/details.php?id=BSGatlas-gene-1612","BSGatlas-gene-1612")</f>
        <v>BSGatlas-gene-1612</v>
      </c>
      <c r="C1513" s="1" t="s">
        <v>1511</v>
      </c>
      <c r="D1513" s="1" t="s">
        <v>8</v>
      </c>
      <c r="E1513" s="3">
        <v>1424767</v>
      </c>
      <c r="F1513" s="3">
        <v>1425546</v>
      </c>
      <c r="G1513" s="1" t="s">
        <v>13</v>
      </c>
      <c r="H1513" s="1" t="b">
        <f t="shared" si="55"/>
        <v>0</v>
      </c>
    </row>
    <row r="1514" spans="1:8" ht="21" x14ac:dyDescent="0.25">
      <c r="A1514" s="2" t="str">
        <f>HYPERLINK("https://rth.dk/resources/bsgatlas/details.php?id=BSGatlas-operon-805","BSGatlas-operon-805")</f>
        <v>BSGatlas-operon-805</v>
      </c>
      <c r="B1514" s="2" t="str">
        <f>HYPERLINK("https://rth.dk/resources/bsgatlas/details.php?id=BSGatlas-gene-1613","BSGatlas-gene-1613")</f>
        <v>BSGatlas-gene-1613</v>
      </c>
      <c r="C1514" s="1" t="s">
        <v>1512</v>
      </c>
      <c r="D1514" s="1" t="s">
        <v>8</v>
      </c>
      <c r="E1514" s="3">
        <v>1425641</v>
      </c>
      <c r="F1514" s="3">
        <v>1426837</v>
      </c>
      <c r="G1514" s="1" t="s">
        <v>9</v>
      </c>
      <c r="H1514" s="1" t="b">
        <f t="shared" si="55"/>
        <v>1</v>
      </c>
    </row>
    <row r="1515" spans="1:8" ht="21" x14ac:dyDescent="0.25">
      <c r="A1515" s="2" t="str">
        <f>HYPERLINK("https://rth.dk/resources/bsgatlas/details.php?id=BSGatlas-operon-806","BSGatlas-operon-806")</f>
        <v>BSGatlas-operon-806</v>
      </c>
      <c r="B1515" s="2" t="str">
        <f>HYPERLINK("https://rth.dk/resources/bsgatlas/details.php?id=BSGatlas-gene-1615","BSGatlas-gene-1615")</f>
        <v>BSGatlas-gene-1615</v>
      </c>
      <c r="C1515" s="1" t="s">
        <v>1513</v>
      </c>
      <c r="D1515" s="1" t="s">
        <v>8</v>
      </c>
      <c r="E1515" s="3">
        <v>1427061</v>
      </c>
      <c r="F1515" s="3">
        <v>1428278</v>
      </c>
      <c r="G1515" s="1" t="s">
        <v>9</v>
      </c>
      <c r="H1515" s="1" t="b">
        <f t="shared" si="55"/>
        <v>0</v>
      </c>
    </row>
    <row r="1516" spans="1:8" ht="21" x14ac:dyDescent="0.25">
      <c r="A1516" s="2" t="str">
        <f>HYPERLINK("https://rth.dk/resources/bsgatlas/details.php?id=BSGatlas-operon-806","BSGatlas-operon-806")</f>
        <v>BSGatlas-operon-806</v>
      </c>
      <c r="B1516" s="2" t="str">
        <f>HYPERLINK("https://rth.dk/resources/bsgatlas/details.php?id=BSGatlas-gene-1616","BSGatlas-gene-1616")</f>
        <v>BSGatlas-gene-1616</v>
      </c>
      <c r="C1516" s="1" t="s">
        <v>1514</v>
      </c>
      <c r="D1516" s="1" t="s">
        <v>8</v>
      </c>
      <c r="E1516" s="3">
        <v>1428275</v>
      </c>
      <c r="F1516" s="3">
        <v>1428982</v>
      </c>
      <c r="G1516" s="1" t="s">
        <v>9</v>
      </c>
      <c r="H1516" s="1" t="b">
        <f t="shared" si="55"/>
        <v>0</v>
      </c>
    </row>
    <row r="1517" spans="1:8" ht="21" x14ac:dyDescent="0.25">
      <c r="A1517" s="2" t="str">
        <f>HYPERLINK("https://rth.dk/resources/bsgatlas/details.php?id=BSGatlas-operon-806","BSGatlas-operon-806")</f>
        <v>BSGatlas-operon-806</v>
      </c>
      <c r="B1517" s="2" t="str">
        <f>HYPERLINK("https://rth.dk/resources/bsgatlas/details.php?id=BSGatlas-gene-1617","BSGatlas-gene-1617")</f>
        <v>BSGatlas-gene-1617</v>
      </c>
      <c r="C1517" s="1" t="s">
        <v>1515</v>
      </c>
      <c r="D1517" s="1" t="s">
        <v>8</v>
      </c>
      <c r="E1517" s="3">
        <v>1428940</v>
      </c>
      <c r="F1517" s="3">
        <v>1429569</v>
      </c>
      <c r="G1517" s="1" t="s">
        <v>9</v>
      </c>
      <c r="H1517" s="1" t="b">
        <f t="shared" si="55"/>
        <v>0</v>
      </c>
    </row>
    <row r="1518" spans="1:8" ht="21" x14ac:dyDescent="0.25">
      <c r="A1518" s="2" t="str">
        <f>HYPERLINK("https://rth.dk/resources/bsgatlas/details.php?id=BSGatlas-operon-806","BSGatlas-operon-806")</f>
        <v>BSGatlas-operon-806</v>
      </c>
      <c r="B1518" s="2" t="str">
        <f>HYPERLINK("https://rth.dk/resources/bsgatlas/details.php?id=BSGatlas-gene-1618","BSGatlas-gene-1618")</f>
        <v>BSGatlas-gene-1618</v>
      </c>
      <c r="C1518" s="1" t="s">
        <v>1516</v>
      </c>
      <c r="D1518" s="1" t="s">
        <v>8</v>
      </c>
      <c r="E1518" s="3">
        <v>1429584</v>
      </c>
      <c r="F1518" s="3">
        <v>1430120</v>
      </c>
      <c r="G1518" s="1" t="s">
        <v>9</v>
      </c>
      <c r="H1518" s="1" t="b">
        <f t="shared" si="55"/>
        <v>0</v>
      </c>
    </row>
    <row r="1519" spans="1:8" ht="21" x14ac:dyDescent="0.25">
      <c r="A1519" s="2" t="str">
        <f>HYPERLINK("https://rth.dk/resources/bsgatlas/details.php?id=BSGatlas-operon-807","BSGatlas-operon-807")</f>
        <v>BSGatlas-operon-807</v>
      </c>
      <c r="B1519" s="2" t="str">
        <f>HYPERLINK("https://rth.dk/resources/bsgatlas/details.php?id=BSGatlas-gene-1614","BSGatlas-gene-1614")</f>
        <v>BSGatlas-gene-1614</v>
      </c>
      <c r="C1519" s="1" t="s">
        <v>1517</v>
      </c>
      <c r="D1519" s="1" t="s">
        <v>34</v>
      </c>
      <c r="E1519" s="3">
        <v>1426875</v>
      </c>
      <c r="F1519" s="3">
        <v>1426976</v>
      </c>
      <c r="G1519" s="1" t="s">
        <v>9</v>
      </c>
      <c r="H1519" s="1" t="b">
        <f t="shared" si="55"/>
        <v>1</v>
      </c>
    </row>
    <row r="1520" spans="1:8" ht="21" x14ac:dyDescent="0.25">
      <c r="A1520" s="2" t="str">
        <f>HYPERLINK("https://rth.dk/resources/bsgatlas/details.php?id=BSGatlas-operon-808","BSGatlas-operon-808")</f>
        <v>BSGatlas-operon-808</v>
      </c>
      <c r="B1520" s="2" t="str">
        <f>HYPERLINK("https://rth.dk/resources/bsgatlas/details.php?id=BSGatlas-gene-1619","BSGatlas-gene-1619")</f>
        <v>BSGatlas-gene-1619</v>
      </c>
      <c r="C1520" s="1" t="s">
        <v>1518</v>
      </c>
      <c r="D1520" s="1" t="s">
        <v>8</v>
      </c>
      <c r="E1520" s="3">
        <v>1430161</v>
      </c>
      <c r="F1520" s="3">
        <v>1430481</v>
      </c>
      <c r="G1520" s="1" t="s">
        <v>13</v>
      </c>
      <c r="H1520" s="1" t="b">
        <f t="shared" si="55"/>
        <v>0</v>
      </c>
    </row>
    <row r="1521" spans="1:8" ht="21" x14ac:dyDescent="0.25">
      <c r="A1521" s="2" t="str">
        <f>HYPERLINK("https://rth.dk/resources/bsgatlas/details.php?id=BSGatlas-operon-809","BSGatlas-operon-809")</f>
        <v>BSGatlas-operon-809</v>
      </c>
      <c r="B1521" s="2" t="str">
        <f>HYPERLINK("https://rth.dk/resources/bsgatlas/details.php?id=BSGatlas-gene-1620","BSGatlas-gene-1620")</f>
        <v>BSGatlas-gene-1620</v>
      </c>
      <c r="C1521" s="1" t="s">
        <v>1519</v>
      </c>
      <c r="D1521" s="1" t="s">
        <v>8</v>
      </c>
      <c r="E1521" s="3">
        <v>1430684</v>
      </c>
      <c r="F1521" s="3">
        <v>1430941</v>
      </c>
      <c r="G1521" s="1" t="s">
        <v>9</v>
      </c>
      <c r="H1521" s="1" t="b">
        <f t="shared" si="55"/>
        <v>1</v>
      </c>
    </row>
    <row r="1522" spans="1:8" ht="21" x14ac:dyDescent="0.25">
      <c r="A1522" s="2" t="str">
        <f>HYPERLINK("https://rth.dk/resources/bsgatlas/details.php?id=BSGatlas-operon-810","BSGatlas-operon-810")</f>
        <v>BSGatlas-operon-810</v>
      </c>
      <c r="B1522" s="2" t="str">
        <f>HYPERLINK("https://rth.dk/resources/bsgatlas/details.php?id=BSGatlas-gene-1622","BSGatlas-gene-1622")</f>
        <v>BSGatlas-gene-1622</v>
      </c>
      <c r="C1522" s="1" t="s">
        <v>1520</v>
      </c>
      <c r="D1522" s="1" t="s">
        <v>8</v>
      </c>
      <c r="E1522" s="3">
        <v>1431486</v>
      </c>
      <c r="F1522" s="3">
        <v>1433006</v>
      </c>
      <c r="G1522" s="1" t="s">
        <v>13</v>
      </c>
      <c r="H1522" s="1" t="b">
        <f t="shared" si="55"/>
        <v>0</v>
      </c>
    </row>
    <row r="1523" spans="1:8" ht="21" x14ac:dyDescent="0.25">
      <c r="A1523" s="2" t="str">
        <f>HYPERLINK("https://rth.dk/resources/bsgatlas/details.php?id=BSGatlas-operon-811","BSGatlas-operon-811")</f>
        <v>BSGatlas-operon-811</v>
      </c>
      <c r="B1523" s="2" t="str">
        <f>HYPERLINK("https://rth.dk/resources/bsgatlas/details.php?id=BSGatlas-gene-1621","BSGatlas-gene-1621")</f>
        <v>BSGatlas-gene-1621</v>
      </c>
      <c r="C1523" s="1" t="s">
        <v>1521</v>
      </c>
      <c r="D1523" s="1" t="s">
        <v>8</v>
      </c>
      <c r="E1523" s="3">
        <v>1431027</v>
      </c>
      <c r="F1523" s="3">
        <v>1431458</v>
      </c>
      <c r="G1523" s="1" t="s">
        <v>9</v>
      </c>
      <c r="H1523" s="1" t="b">
        <f t="shared" si="55"/>
        <v>1</v>
      </c>
    </row>
    <row r="1524" spans="1:8" ht="21" x14ac:dyDescent="0.25">
      <c r="A1524" s="2" t="str">
        <f>HYPERLINK("https://rth.dk/resources/bsgatlas/details.php?id=BSGatlas-operon-812","BSGatlas-operon-812")</f>
        <v>BSGatlas-operon-812</v>
      </c>
      <c r="B1524" s="2" t="str">
        <f>HYPERLINK("https://rth.dk/resources/bsgatlas/details.php?id=BSGatlas-gene-1623","BSGatlas-gene-1623")</f>
        <v>BSGatlas-gene-1623</v>
      </c>
      <c r="C1524" s="1" t="s">
        <v>1522</v>
      </c>
      <c r="D1524" s="1" t="s">
        <v>8</v>
      </c>
      <c r="E1524" s="3">
        <v>1433199</v>
      </c>
      <c r="F1524" s="3">
        <v>1433636</v>
      </c>
      <c r="G1524" s="1" t="s">
        <v>9</v>
      </c>
      <c r="H1524" s="1" t="b">
        <f t="shared" si="55"/>
        <v>0</v>
      </c>
    </row>
    <row r="1525" spans="1:8" ht="21" x14ac:dyDescent="0.25">
      <c r="A1525" s="2" t="str">
        <f>HYPERLINK("https://rth.dk/resources/bsgatlas/details.php?id=BSGatlas-operon-813","BSGatlas-operon-813")</f>
        <v>BSGatlas-operon-813</v>
      </c>
      <c r="B1525" s="2" t="str">
        <f>HYPERLINK("https://rth.dk/resources/bsgatlas/details.php?id=BSGatlas-gene-1624","BSGatlas-gene-1624")</f>
        <v>BSGatlas-gene-1624</v>
      </c>
      <c r="C1525" s="1" t="s">
        <v>1523</v>
      </c>
      <c r="D1525" s="1" t="s">
        <v>8</v>
      </c>
      <c r="E1525" s="3">
        <v>1433676</v>
      </c>
      <c r="F1525" s="3">
        <v>1434461</v>
      </c>
      <c r="G1525" s="1" t="s">
        <v>13</v>
      </c>
      <c r="H1525" s="1" t="b">
        <f t="shared" si="55"/>
        <v>1</v>
      </c>
    </row>
    <row r="1526" spans="1:8" ht="21" x14ac:dyDescent="0.25">
      <c r="A1526" s="2" t="str">
        <f>HYPERLINK("https://rth.dk/resources/bsgatlas/details.php?id=BSGatlas-operon-813","BSGatlas-operon-813")</f>
        <v>BSGatlas-operon-813</v>
      </c>
      <c r="B1526" s="2" t="str">
        <f>HYPERLINK("https://rth.dk/resources/bsgatlas/details.php?id=BSGatlas-gene-1625","BSGatlas-gene-1625")</f>
        <v>BSGatlas-gene-1625</v>
      </c>
      <c r="C1526" s="1" t="s">
        <v>1524</v>
      </c>
      <c r="D1526" s="1" t="s">
        <v>8</v>
      </c>
      <c r="E1526" s="3">
        <v>1434433</v>
      </c>
      <c r="F1526" s="3">
        <v>1435245</v>
      </c>
      <c r="G1526" s="1" t="s">
        <v>13</v>
      </c>
      <c r="H1526" s="1" t="b">
        <f t="shared" si="55"/>
        <v>1</v>
      </c>
    </row>
    <row r="1527" spans="1:8" ht="21" x14ac:dyDescent="0.25">
      <c r="A1527" s="2" t="str">
        <f>HYPERLINK("https://rth.dk/resources/bsgatlas/details.php?id=BSGatlas-operon-814","BSGatlas-operon-814")</f>
        <v>BSGatlas-operon-814</v>
      </c>
      <c r="B1527" s="2" t="str">
        <f>HYPERLINK("https://rth.dk/resources/bsgatlas/details.php?id=BSGatlas-gene-1626","BSGatlas-gene-1626")</f>
        <v>BSGatlas-gene-1626</v>
      </c>
      <c r="C1527" s="1" t="s">
        <v>1525</v>
      </c>
      <c r="D1527" s="1" t="s">
        <v>8</v>
      </c>
      <c r="E1527" s="3">
        <v>1435628</v>
      </c>
      <c r="F1527" s="3">
        <v>1437727</v>
      </c>
      <c r="G1527" s="1" t="s">
        <v>13</v>
      </c>
      <c r="H1527" s="1" t="b">
        <f t="shared" si="55"/>
        <v>0</v>
      </c>
    </row>
    <row r="1528" spans="1:8" ht="21" x14ac:dyDescent="0.25">
      <c r="A1528" s="2" t="str">
        <f>HYPERLINK("https://rth.dk/resources/bsgatlas/details.php?id=BSGatlas-operon-815","BSGatlas-operon-815")</f>
        <v>BSGatlas-operon-815</v>
      </c>
      <c r="B1528" s="2" t="str">
        <f>HYPERLINK("https://rth.dk/resources/bsgatlas/details.php?id=BSGatlas-gene-1627","BSGatlas-gene-1627")</f>
        <v>BSGatlas-gene-1627</v>
      </c>
      <c r="C1528" s="1" t="s">
        <v>1526</v>
      </c>
      <c r="D1528" s="1" t="s">
        <v>8</v>
      </c>
      <c r="E1528" s="3">
        <v>1438092</v>
      </c>
      <c r="F1528" s="3">
        <v>1439135</v>
      </c>
      <c r="G1528" s="1" t="s">
        <v>9</v>
      </c>
      <c r="H1528" s="1" t="b">
        <f t="shared" si="55"/>
        <v>1</v>
      </c>
    </row>
    <row r="1529" spans="1:8" ht="21" x14ac:dyDescent="0.25">
      <c r="A1529" s="2" t="str">
        <f>HYPERLINK("https://rth.dk/resources/bsgatlas/details.php?id=BSGatlas-operon-816","BSGatlas-operon-816")</f>
        <v>BSGatlas-operon-816</v>
      </c>
      <c r="B1529" s="2" t="str">
        <f>HYPERLINK("https://rth.dk/resources/bsgatlas/details.php?id=BSGatlas-gene-1629","BSGatlas-gene-1629")</f>
        <v>BSGatlas-gene-1629</v>
      </c>
      <c r="C1529" s="1" t="s">
        <v>1527</v>
      </c>
      <c r="D1529" s="1" t="s">
        <v>8</v>
      </c>
      <c r="E1529" s="3">
        <v>1439448</v>
      </c>
      <c r="F1529" s="3">
        <v>1440107</v>
      </c>
      <c r="G1529" s="1" t="s">
        <v>9</v>
      </c>
      <c r="H1529" s="1" t="b">
        <f t="shared" si="55"/>
        <v>0</v>
      </c>
    </row>
    <row r="1530" spans="1:8" ht="21" x14ac:dyDescent="0.25">
      <c r="A1530" s="2" t="str">
        <f>HYPERLINK("https://rth.dk/resources/bsgatlas/details.php?id=BSGatlas-operon-816","BSGatlas-operon-816")</f>
        <v>BSGatlas-operon-816</v>
      </c>
      <c r="B1530" s="2" t="str">
        <f>HYPERLINK("https://rth.dk/resources/bsgatlas/details.php?id=BSGatlas-gene-1630","BSGatlas-gene-1630")</f>
        <v>BSGatlas-gene-1630</v>
      </c>
      <c r="C1530" s="1" t="s">
        <v>1528</v>
      </c>
      <c r="D1530" s="1" t="s">
        <v>8</v>
      </c>
      <c r="E1530" s="3">
        <v>1440100</v>
      </c>
      <c r="F1530" s="3">
        <v>1440549</v>
      </c>
      <c r="G1530" s="1" t="s">
        <v>9</v>
      </c>
      <c r="H1530" s="1" t="b">
        <f t="shared" si="55"/>
        <v>0</v>
      </c>
    </row>
    <row r="1531" spans="1:8" ht="21" x14ac:dyDescent="0.25">
      <c r="A1531" s="2" t="str">
        <f>HYPERLINK("https://rth.dk/resources/bsgatlas/details.php?id=BSGatlas-operon-816","BSGatlas-operon-816")</f>
        <v>BSGatlas-operon-816</v>
      </c>
      <c r="B1531" s="2" t="str">
        <f>HYPERLINK("https://rth.dk/resources/bsgatlas/details.php?id=BSGatlas-gene-1631","BSGatlas-gene-1631")</f>
        <v>BSGatlas-gene-1631</v>
      </c>
      <c r="C1531" s="1" t="s">
        <v>1529</v>
      </c>
      <c r="D1531" s="1" t="s">
        <v>8</v>
      </c>
      <c r="E1531" s="3">
        <v>1440542</v>
      </c>
      <c r="F1531" s="3">
        <v>1441273</v>
      </c>
      <c r="G1531" s="1" t="s">
        <v>9</v>
      </c>
      <c r="H1531" s="1" t="b">
        <f t="shared" si="55"/>
        <v>0</v>
      </c>
    </row>
    <row r="1532" spans="1:8" ht="21" x14ac:dyDescent="0.25">
      <c r="A1532" s="2" t="str">
        <f>HYPERLINK("https://rth.dk/resources/bsgatlas/details.php?id=BSGatlas-operon-816","BSGatlas-operon-816")</f>
        <v>BSGatlas-operon-816</v>
      </c>
      <c r="B1532" s="2" t="str">
        <f>HYPERLINK("https://rth.dk/resources/bsgatlas/details.php?id=BSGatlas-gene-1632","BSGatlas-gene-1632")</f>
        <v>BSGatlas-gene-1632</v>
      </c>
      <c r="C1532" s="1" t="s">
        <v>1530</v>
      </c>
      <c r="D1532" s="1" t="s">
        <v>8</v>
      </c>
      <c r="E1532" s="3">
        <v>1441291</v>
      </c>
      <c r="F1532" s="3">
        <v>1441788</v>
      </c>
      <c r="G1532" s="1" t="s">
        <v>9</v>
      </c>
      <c r="H1532" s="1" t="b">
        <f t="shared" si="55"/>
        <v>0</v>
      </c>
    </row>
    <row r="1533" spans="1:8" ht="21" x14ac:dyDescent="0.25">
      <c r="A1533" s="2" t="str">
        <f>HYPERLINK("https://rth.dk/resources/bsgatlas/details.php?id=BSGatlas-operon-817","BSGatlas-operon-817")</f>
        <v>BSGatlas-operon-817</v>
      </c>
      <c r="B1533" s="2" t="str">
        <f>HYPERLINK("https://rth.dk/resources/bsgatlas/details.php?id=BSGatlas-gene-1628","BSGatlas-gene-1628")</f>
        <v>BSGatlas-gene-1628</v>
      </c>
      <c r="C1533" s="1" t="s">
        <v>1531</v>
      </c>
      <c r="D1533" s="1" t="s">
        <v>34</v>
      </c>
      <c r="E1533" s="3">
        <v>1439274</v>
      </c>
      <c r="F1533" s="3">
        <v>1439318</v>
      </c>
      <c r="G1533" s="1" t="s">
        <v>9</v>
      </c>
      <c r="H1533" s="1" t="b">
        <f t="shared" si="55"/>
        <v>1</v>
      </c>
    </row>
    <row r="1534" spans="1:8" ht="21" x14ac:dyDescent="0.25">
      <c r="A1534" s="2" t="str">
        <f>HYPERLINK("https://rth.dk/resources/bsgatlas/details.php?id=BSGatlas-operon-818","BSGatlas-operon-818")</f>
        <v>BSGatlas-operon-818</v>
      </c>
      <c r="B1534" s="2" t="str">
        <f>HYPERLINK("https://rth.dk/resources/bsgatlas/details.php?id=BSGatlas-gene-1633","BSGatlas-gene-1633")</f>
        <v>BSGatlas-gene-1633</v>
      </c>
      <c r="C1534" s="1" t="s">
        <v>1532</v>
      </c>
      <c r="D1534" s="1" t="s">
        <v>8</v>
      </c>
      <c r="E1534" s="3">
        <v>1442347</v>
      </c>
      <c r="F1534" s="3">
        <v>1442703</v>
      </c>
      <c r="G1534" s="1" t="s">
        <v>13</v>
      </c>
      <c r="H1534" s="1" t="b">
        <f t="shared" si="55"/>
        <v>0</v>
      </c>
    </row>
    <row r="1535" spans="1:8" ht="21" x14ac:dyDescent="0.25">
      <c r="A1535" s="2" t="str">
        <f>HYPERLINK("https://rth.dk/resources/bsgatlas/details.php?id=BSGatlas-operon-819","BSGatlas-operon-819")</f>
        <v>BSGatlas-operon-819</v>
      </c>
      <c r="B1535" s="2" t="str">
        <f>HYPERLINK("https://rth.dk/resources/bsgatlas/details.php?id=BSGatlas-gene-1634","BSGatlas-gene-1634")</f>
        <v>BSGatlas-gene-1634</v>
      </c>
      <c r="C1535" s="1" t="s">
        <v>1533</v>
      </c>
      <c r="D1535" s="1" t="s">
        <v>8</v>
      </c>
      <c r="E1535" s="3">
        <v>1442872</v>
      </c>
      <c r="F1535" s="3">
        <v>1443618</v>
      </c>
      <c r="G1535" s="1" t="s">
        <v>9</v>
      </c>
      <c r="H1535" s="1" t="b">
        <f t="shared" si="55"/>
        <v>1</v>
      </c>
    </row>
    <row r="1536" spans="1:8" ht="21" x14ac:dyDescent="0.25">
      <c r="A1536" s="2" t="str">
        <f>HYPERLINK("https://rth.dk/resources/bsgatlas/details.php?id=BSGatlas-operon-820","BSGatlas-operon-820")</f>
        <v>BSGatlas-operon-820</v>
      </c>
      <c r="B1536" s="2" t="str">
        <f>HYPERLINK("https://rth.dk/resources/bsgatlas/details.php?id=BSGatlas-gene-1635","BSGatlas-gene-1635")</f>
        <v>BSGatlas-gene-1635</v>
      </c>
      <c r="C1536" s="1" t="s">
        <v>1534</v>
      </c>
      <c r="D1536" s="1" t="s">
        <v>8</v>
      </c>
      <c r="E1536" s="3">
        <v>1444099</v>
      </c>
      <c r="F1536" s="3">
        <v>1445298</v>
      </c>
      <c r="G1536" s="1" t="s">
        <v>9</v>
      </c>
      <c r="H1536" s="1" t="b">
        <f t="shared" si="55"/>
        <v>0</v>
      </c>
    </row>
    <row r="1537" spans="1:8" ht="21" x14ac:dyDescent="0.25">
      <c r="A1537" s="2" t="str">
        <f>HYPERLINK("https://rth.dk/resources/bsgatlas/details.php?id=BSGatlas-operon-820","BSGatlas-operon-820")</f>
        <v>BSGatlas-operon-820</v>
      </c>
      <c r="B1537" s="2" t="str">
        <f>HYPERLINK("https://rth.dk/resources/bsgatlas/details.php?id=BSGatlas-gene-1636","BSGatlas-gene-1636")</f>
        <v>BSGatlas-gene-1636</v>
      </c>
      <c r="C1537" s="1" t="s">
        <v>1535</v>
      </c>
      <c r="D1537" s="1" t="s">
        <v>8</v>
      </c>
      <c r="E1537" s="3">
        <v>1445314</v>
      </c>
      <c r="F1537" s="3">
        <v>1445541</v>
      </c>
      <c r="G1537" s="1" t="s">
        <v>9</v>
      </c>
      <c r="H1537" s="1" t="b">
        <f t="shared" si="55"/>
        <v>0</v>
      </c>
    </row>
    <row r="1538" spans="1:8" ht="21" x14ac:dyDescent="0.25">
      <c r="A1538" s="2" t="str">
        <f>HYPERLINK("https://rth.dk/resources/bsgatlas/details.php?id=BSGatlas-operon-820","BSGatlas-operon-820")</f>
        <v>BSGatlas-operon-820</v>
      </c>
      <c r="B1538" s="2" t="str">
        <f>HYPERLINK("https://rth.dk/resources/bsgatlas/details.php?id=BSGatlas-gene-1637","BSGatlas-gene-1637")</f>
        <v>BSGatlas-gene-1637</v>
      </c>
      <c r="C1538" s="1" t="s">
        <v>1536</v>
      </c>
      <c r="D1538" s="1" t="s">
        <v>276</v>
      </c>
      <c r="E1538" s="3">
        <v>1445638</v>
      </c>
      <c r="F1538" s="3">
        <v>1446336</v>
      </c>
      <c r="G1538" s="1" t="s">
        <v>9</v>
      </c>
      <c r="H1538" s="1" t="b">
        <f t="shared" ref="H1538:H1601" si="56">_xlfn.XOR(A1537&lt;&gt;A1538,H1537)</f>
        <v>0</v>
      </c>
    </row>
    <row r="1539" spans="1:8" ht="21" x14ac:dyDescent="0.25">
      <c r="A1539" s="2" t="str">
        <f>HYPERLINK("https://rth.dk/resources/bsgatlas/details.php?id=BSGatlas-operon-821","BSGatlas-operon-821")</f>
        <v>BSGatlas-operon-821</v>
      </c>
      <c r="B1539" s="2" t="str">
        <f>HYPERLINK("https://rth.dk/resources/bsgatlas/details.php?id=BSGatlas-gene-1638","BSGatlas-gene-1638")</f>
        <v>BSGatlas-gene-1638</v>
      </c>
      <c r="C1539" s="1" t="s">
        <v>1537</v>
      </c>
      <c r="D1539" s="1" t="s">
        <v>12</v>
      </c>
      <c r="E1539" s="3">
        <v>1446289</v>
      </c>
      <c r="F1539" s="3">
        <v>1447115</v>
      </c>
      <c r="G1539" s="1" t="s">
        <v>13</v>
      </c>
      <c r="H1539" s="1" t="b">
        <f t="shared" si="56"/>
        <v>1</v>
      </c>
    </row>
    <row r="1540" spans="1:8" ht="21" x14ac:dyDescent="0.25">
      <c r="A1540" s="2" t="str">
        <f>HYPERLINK("https://rth.dk/resources/bsgatlas/details.php?id=BSGatlas-operon-822","BSGatlas-operon-822")</f>
        <v>BSGatlas-operon-822</v>
      </c>
      <c r="B1540" s="2" t="str">
        <f>HYPERLINK("https://rth.dk/resources/bsgatlas/details.php?id=BSGatlas-gene-1640","BSGatlas-gene-1640")</f>
        <v>BSGatlas-gene-1640</v>
      </c>
      <c r="C1540" s="1" t="s">
        <v>1538</v>
      </c>
      <c r="D1540" s="1" t="s">
        <v>12</v>
      </c>
      <c r="E1540" s="3">
        <v>1446806</v>
      </c>
      <c r="F1540" s="3">
        <v>1447046</v>
      </c>
      <c r="G1540" s="1" t="s">
        <v>9</v>
      </c>
      <c r="H1540" s="1" t="b">
        <f t="shared" si="56"/>
        <v>0</v>
      </c>
    </row>
    <row r="1541" spans="1:8" ht="21" x14ac:dyDescent="0.25">
      <c r="A1541" s="2" t="str">
        <f>HYPERLINK("https://rth.dk/resources/bsgatlas/details.php?id=BSGatlas-operon-823","BSGatlas-operon-823")</f>
        <v>BSGatlas-operon-823</v>
      </c>
      <c r="B1541" s="2" t="str">
        <f>HYPERLINK("https://rth.dk/resources/bsgatlas/details.php?id=BSGatlas-gene-1641","BSGatlas-gene-1641")</f>
        <v>BSGatlas-gene-1641</v>
      </c>
      <c r="C1541" s="1" t="s">
        <v>1539</v>
      </c>
      <c r="D1541" s="1" t="s">
        <v>8</v>
      </c>
      <c r="E1541" s="3">
        <v>1447251</v>
      </c>
      <c r="F1541" s="3">
        <v>1447541</v>
      </c>
      <c r="G1541" s="1" t="s">
        <v>9</v>
      </c>
      <c r="H1541" s="1" t="b">
        <f t="shared" si="56"/>
        <v>1</v>
      </c>
    </row>
    <row r="1542" spans="1:8" ht="21" x14ac:dyDescent="0.25">
      <c r="A1542" s="2" t="str">
        <f>HYPERLINK("https://rth.dk/resources/bsgatlas/details.php?id=BSGatlas-operon-824","BSGatlas-operon-824")</f>
        <v>BSGatlas-operon-824</v>
      </c>
      <c r="B1542" s="2" t="str">
        <f>HYPERLINK("https://rth.dk/resources/bsgatlas/details.php?id=BSGatlas-gene-1642","BSGatlas-gene-1642")</f>
        <v>BSGatlas-gene-1642</v>
      </c>
      <c r="C1542" s="1" t="s">
        <v>1540</v>
      </c>
      <c r="D1542" s="1" t="s">
        <v>8</v>
      </c>
      <c r="E1542" s="3">
        <v>1447662</v>
      </c>
      <c r="F1542" s="3">
        <v>1447847</v>
      </c>
      <c r="G1542" s="1" t="s">
        <v>13</v>
      </c>
      <c r="H1542" s="1" t="b">
        <f t="shared" si="56"/>
        <v>0</v>
      </c>
    </row>
    <row r="1543" spans="1:8" ht="21" x14ac:dyDescent="0.25">
      <c r="A1543" s="2" t="str">
        <f>HYPERLINK("https://rth.dk/resources/bsgatlas/details.php?id=BSGatlas-operon-825","BSGatlas-operon-825")</f>
        <v>BSGatlas-operon-825</v>
      </c>
      <c r="B1543" s="2" t="str">
        <f>HYPERLINK("https://rth.dk/resources/bsgatlas/details.php?id=BSGatlas-gene-1643","BSGatlas-gene-1643")</f>
        <v>BSGatlas-gene-1643</v>
      </c>
      <c r="C1543" s="1" t="s">
        <v>1541</v>
      </c>
      <c r="D1543" s="1" t="s">
        <v>8</v>
      </c>
      <c r="E1543" s="3">
        <v>1448013</v>
      </c>
      <c r="F1543" s="3">
        <v>1448207</v>
      </c>
      <c r="G1543" s="1" t="s">
        <v>9</v>
      </c>
      <c r="H1543" s="1" t="b">
        <f t="shared" si="56"/>
        <v>1</v>
      </c>
    </row>
    <row r="1544" spans="1:8" ht="21" x14ac:dyDescent="0.25">
      <c r="A1544" s="2" t="str">
        <f>HYPERLINK("https://rth.dk/resources/bsgatlas/details.php?id=BSGatlas-operon-825","BSGatlas-operon-825")</f>
        <v>BSGatlas-operon-825</v>
      </c>
      <c r="B1544" s="2" t="str">
        <f>HYPERLINK("https://rth.dk/resources/bsgatlas/details.php?id=BSGatlas-gene-1644","BSGatlas-gene-1644")</f>
        <v>BSGatlas-gene-1644</v>
      </c>
      <c r="C1544" s="1" t="s">
        <v>1542</v>
      </c>
      <c r="D1544" s="1" t="s">
        <v>8</v>
      </c>
      <c r="E1544" s="3">
        <v>1448506</v>
      </c>
      <c r="F1544" s="3">
        <v>1449132</v>
      </c>
      <c r="G1544" s="1" t="s">
        <v>9</v>
      </c>
      <c r="H1544" s="1" t="b">
        <f t="shared" si="56"/>
        <v>1</v>
      </c>
    </row>
    <row r="1545" spans="1:8" ht="21" x14ac:dyDescent="0.25">
      <c r="A1545" s="2" t="str">
        <f>HYPERLINK("https://rth.dk/resources/bsgatlas/details.php?id=BSGatlas-operon-826","BSGatlas-operon-826")</f>
        <v>BSGatlas-operon-826</v>
      </c>
      <c r="B1545" s="2" t="str">
        <f>HYPERLINK("https://rth.dk/resources/bsgatlas/details.php?id=BSGatlas-gene-1645","BSGatlas-gene-1645")</f>
        <v>BSGatlas-gene-1645</v>
      </c>
      <c r="C1545" s="1" t="s">
        <v>1543</v>
      </c>
      <c r="D1545" s="1" t="s">
        <v>8</v>
      </c>
      <c r="E1545" s="3">
        <v>1449250</v>
      </c>
      <c r="F1545" s="3">
        <v>1450587</v>
      </c>
      <c r="G1545" s="1" t="s">
        <v>9</v>
      </c>
      <c r="H1545" s="1" t="b">
        <f t="shared" si="56"/>
        <v>0</v>
      </c>
    </row>
    <row r="1546" spans="1:8" ht="21" x14ac:dyDescent="0.25">
      <c r="A1546" s="2" t="str">
        <f>HYPERLINK("https://rth.dk/resources/bsgatlas/details.php?id=BSGatlas-operon-826","BSGatlas-operon-826")</f>
        <v>BSGatlas-operon-826</v>
      </c>
      <c r="B1546" s="2" t="str">
        <f>HYPERLINK("https://rth.dk/resources/bsgatlas/details.php?id=BSGatlas-gene-1646","BSGatlas-gene-1646")</f>
        <v>BSGatlas-gene-1646</v>
      </c>
      <c r="C1546" s="1" t="s">
        <v>1544</v>
      </c>
      <c r="D1546" s="1" t="s">
        <v>8</v>
      </c>
      <c r="E1546" s="3">
        <v>1450638</v>
      </c>
      <c r="F1546" s="3">
        <v>1451135</v>
      </c>
      <c r="G1546" s="1" t="s">
        <v>9</v>
      </c>
      <c r="H1546" s="1" t="b">
        <f t="shared" si="56"/>
        <v>0</v>
      </c>
    </row>
    <row r="1547" spans="1:8" ht="21" x14ac:dyDescent="0.25">
      <c r="A1547" s="2" t="str">
        <f>HYPERLINK("https://rth.dk/resources/bsgatlas/details.php?id=BSGatlas-operon-827","BSGatlas-operon-827")</f>
        <v>BSGatlas-operon-827</v>
      </c>
      <c r="B1547" s="2" t="str">
        <f>HYPERLINK("https://rth.dk/resources/bsgatlas/details.php?id=BSGatlas-gene-1647","BSGatlas-gene-1647")</f>
        <v>BSGatlas-gene-1647</v>
      </c>
      <c r="C1547" s="1" t="s">
        <v>1545</v>
      </c>
      <c r="D1547" s="1" t="s">
        <v>12</v>
      </c>
      <c r="E1547" s="3">
        <v>1451260</v>
      </c>
      <c r="F1547" s="3">
        <v>1451315</v>
      </c>
      <c r="G1547" s="1" t="s">
        <v>9</v>
      </c>
      <c r="H1547" s="1" t="b">
        <f t="shared" si="56"/>
        <v>1</v>
      </c>
    </row>
    <row r="1548" spans="1:8" ht="21" x14ac:dyDescent="0.25">
      <c r="A1548" s="2" t="str">
        <f>HYPERLINK("https://rth.dk/resources/bsgatlas/details.php?id=BSGatlas-operon-828","BSGatlas-operon-828")</f>
        <v>BSGatlas-operon-828</v>
      </c>
      <c r="B1548" s="2" t="str">
        <f>HYPERLINK("https://rth.dk/resources/bsgatlas/details.php?id=BSGatlas-gene-1648","BSGatlas-gene-1648")</f>
        <v>BSGatlas-gene-1648</v>
      </c>
      <c r="C1548" s="1" t="s">
        <v>1546</v>
      </c>
      <c r="D1548" s="1" t="s">
        <v>8</v>
      </c>
      <c r="E1548" s="3">
        <v>1451371</v>
      </c>
      <c r="F1548" s="3">
        <v>1453284</v>
      </c>
      <c r="G1548" s="1" t="s">
        <v>9</v>
      </c>
      <c r="H1548" s="1" t="b">
        <f t="shared" si="56"/>
        <v>0</v>
      </c>
    </row>
    <row r="1549" spans="1:8" ht="21" x14ac:dyDescent="0.25">
      <c r="A1549" s="2" t="str">
        <f>HYPERLINK("https://rth.dk/resources/bsgatlas/details.php?id=BSGatlas-operon-829","BSGatlas-operon-829")</f>
        <v>BSGatlas-operon-829</v>
      </c>
      <c r="B1549" s="2" t="str">
        <f>HYPERLINK("https://rth.dk/resources/bsgatlas/details.php?id=BSGatlas-gene-1650","BSGatlas-gene-1650")</f>
        <v>BSGatlas-gene-1650</v>
      </c>
      <c r="C1549" s="1" t="s">
        <v>1547</v>
      </c>
      <c r="D1549" s="1" t="s">
        <v>12</v>
      </c>
      <c r="E1549" s="3">
        <v>1454795</v>
      </c>
      <c r="F1549" s="3">
        <v>1455013</v>
      </c>
      <c r="G1549" s="1" t="s">
        <v>13</v>
      </c>
      <c r="H1549" s="1" t="b">
        <f t="shared" si="56"/>
        <v>1</v>
      </c>
    </row>
    <row r="1550" spans="1:8" ht="21" x14ac:dyDescent="0.25">
      <c r="A1550" s="2" t="str">
        <f>HYPERLINK("https://rth.dk/resources/bsgatlas/details.php?id=BSGatlas-operon-830","BSGatlas-operon-830")</f>
        <v>BSGatlas-operon-830</v>
      </c>
      <c r="B1550" s="2" t="str">
        <f>HYPERLINK("https://rth.dk/resources/bsgatlas/details.php?id=BSGatlas-gene-1649","BSGatlas-gene-1649")</f>
        <v>BSGatlas-gene-1649</v>
      </c>
      <c r="C1550" s="1" t="s">
        <v>1548</v>
      </c>
      <c r="D1550" s="1" t="s">
        <v>8</v>
      </c>
      <c r="E1550" s="3">
        <v>1453691</v>
      </c>
      <c r="F1550" s="3">
        <v>1454782</v>
      </c>
      <c r="G1550" s="1" t="s">
        <v>9</v>
      </c>
      <c r="H1550" s="1" t="b">
        <f t="shared" si="56"/>
        <v>0</v>
      </c>
    </row>
    <row r="1551" spans="1:8" ht="21" x14ac:dyDescent="0.25">
      <c r="A1551" s="2" t="str">
        <f>HYPERLINK("https://rth.dk/resources/bsgatlas/details.php?id=BSGatlas-operon-830","BSGatlas-operon-830")</f>
        <v>BSGatlas-operon-830</v>
      </c>
      <c r="B1551" s="2" t="str">
        <f>HYPERLINK("https://rth.dk/resources/bsgatlas/details.php?id=BSGatlas-gene-1651","BSGatlas-gene-1651")</f>
        <v>BSGatlas-gene-1651</v>
      </c>
      <c r="C1551" s="1" t="s">
        <v>1549</v>
      </c>
      <c r="D1551" s="1" t="s">
        <v>8</v>
      </c>
      <c r="E1551" s="3">
        <v>1455064</v>
      </c>
      <c r="F1551" s="3">
        <v>1456029</v>
      </c>
      <c r="G1551" s="1" t="s">
        <v>9</v>
      </c>
      <c r="H1551" s="1" t="b">
        <f t="shared" si="56"/>
        <v>0</v>
      </c>
    </row>
    <row r="1552" spans="1:8" ht="21" x14ac:dyDescent="0.25">
      <c r="A1552" s="2" t="str">
        <f>HYPERLINK("https://rth.dk/resources/bsgatlas/details.php?id=BSGatlas-operon-830","BSGatlas-operon-830")</f>
        <v>BSGatlas-operon-830</v>
      </c>
      <c r="B1552" s="2" t="str">
        <f>HYPERLINK("https://rth.dk/resources/bsgatlas/details.php?id=BSGatlas-gene-1652","BSGatlas-gene-1652")</f>
        <v>BSGatlas-gene-1652</v>
      </c>
      <c r="C1552" s="1" t="s">
        <v>1550</v>
      </c>
      <c r="D1552" s="1" t="s">
        <v>8</v>
      </c>
      <c r="E1552" s="3">
        <v>1456092</v>
      </c>
      <c r="F1552" s="3">
        <v>1456958</v>
      </c>
      <c r="G1552" s="1" t="s">
        <v>9</v>
      </c>
      <c r="H1552" s="1" t="b">
        <f t="shared" si="56"/>
        <v>0</v>
      </c>
    </row>
    <row r="1553" spans="1:8" ht="21" x14ac:dyDescent="0.25">
      <c r="A1553" s="2" t="str">
        <f>HYPERLINK("https://rth.dk/resources/bsgatlas/details.php?id=BSGatlas-operon-831","BSGatlas-operon-831")</f>
        <v>BSGatlas-operon-831</v>
      </c>
      <c r="B1553" s="2" t="str">
        <f>HYPERLINK("https://rth.dk/resources/bsgatlas/details.php?id=BSGatlas-gene-1654","BSGatlas-gene-1654")</f>
        <v>BSGatlas-gene-1654</v>
      </c>
      <c r="C1553" s="1" t="s">
        <v>1551</v>
      </c>
      <c r="D1553" s="1" t="s">
        <v>8</v>
      </c>
      <c r="E1553" s="3">
        <v>1457187</v>
      </c>
      <c r="F1553" s="3">
        <v>1459286</v>
      </c>
      <c r="G1553" s="1" t="s">
        <v>9</v>
      </c>
      <c r="H1553" s="1" t="b">
        <f t="shared" si="56"/>
        <v>1</v>
      </c>
    </row>
    <row r="1554" spans="1:8" ht="21" x14ac:dyDescent="0.25">
      <c r="A1554" s="2" t="str">
        <f>HYPERLINK("https://rth.dk/resources/bsgatlas/details.php?id=BSGatlas-operon-831","BSGatlas-operon-831")</f>
        <v>BSGatlas-operon-831</v>
      </c>
      <c r="B1554" s="2" t="str">
        <f>HYPERLINK("https://rth.dk/resources/bsgatlas/details.php?id=BSGatlas-gene-1655","BSGatlas-gene-1655")</f>
        <v>BSGatlas-gene-1655</v>
      </c>
      <c r="C1554" s="1" t="s">
        <v>1552</v>
      </c>
      <c r="D1554" s="1" t="s">
        <v>8</v>
      </c>
      <c r="E1554" s="3">
        <v>1459384</v>
      </c>
      <c r="F1554" s="3">
        <v>1459650</v>
      </c>
      <c r="G1554" s="1" t="s">
        <v>9</v>
      </c>
      <c r="H1554" s="1" t="b">
        <f t="shared" si="56"/>
        <v>1</v>
      </c>
    </row>
    <row r="1555" spans="1:8" ht="21" x14ac:dyDescent="0.25">
      <c r="A1555" s="2" t="str">
        <f>HYPERLINK("https://rth.dk/resources/bsgatlas/details.php?id=BSGatlas-operon-831","BSGatlas-operon-831")</f>
        <v>BSGatlas-operon-831</v>
      </c>
      <c r="B1555" s="2" t="str">
        <f>HYPERLINK("https://rth.dk/resources/bsgatlas/details.php?id=BSGatlas-gene-1656","BSGatlas-gene-1656")</f>
        <v>BSGatlas-gene-1656</v>
      </c>
      <c r="C1555" s="1" t="s">
        <v>1553</v>
      </c>
      <c r="D1555" s="1" t="s">
        <v>8</v>
      </c>
      <c r="E1555" s="3">
        <v>1459650</v>
      </c>
      <c r="F1555" s="3">
        <v>1461362</v>
      </c>
      <c r="G1555" s="1" t="s">
        <v>9</v>
      </c>
      <c r="H1555" s="1" t="b">
        <f t="shared" si="56"/>
        <v>1</v>
      </c>
    </row>
    <row r="1556" spans="1:8" ht="21" x14ac:dyDescent="0.25">
      <c r="A1556" s="2" t="str">
        <f>HYPERLINK("https://rth.dk/resources/bsgatlas/details.php?id=BSGatlas-operon-832","BSGatlas-operon-832")</f>
        <v>BSGatlas-operon-832</v>
      </c>
      <c r="B1556" s="2" t="str">
        <f>HYPERLINK("https://rth.dk/resources/bsgatlas/details.php?id=BSGatlas-gene-1657","BSGatlas-gene-1657")</f>
        <v>BSGatlas-gene-1657</v>
      </c>
      <c r="C1556" s="1" t="s">
        <v>1554</v>
      </c>
      <c r="D1556" s="1" t="s">
        <v>8</v>
      </c>
      <c r="E1556" s="3">
        <v>1461453</v>
      </c>
      <c r="F1556" s="3">
        <v>1461692</v>
      </c>
      <c r="G1556" s="1" t="s">
        <v>9</v>
      </c>
      <c r="H1556" s="1" t="b">
        <f t="shared" si="56"/>
        <v>0</v>
      </c>
    </row>
    <row r="1557" spans="1:8" ht="21" x14ac:dyDescent="0.25">
      <c r="A1557" s="2" t="str">
        <f>HYPERLINK("https://rth.dk/resources/bsgatlas/details.php?id=BSGatlas-operon-832","BSGatlas-operon-832")</f>
        <v>BSGatlas-operon-832</v>
      </c>
      <c r="B1557" s="2" t="str">
        <f>HYPERLINK("https://rth.dk/resources/bsgatlas/details.php?id=BSGatlas-gene-1658","BSGatlas-gene-1658")</f>
        <v>BSGatlas-gene-1658</v>
      </c>
      <c r="C1557" s="1" t="s">
        <v>1555</v>
      </c>
      <c r="D1557" s="1" t="s">
        <v>8</v>
      </c>
      <c r="E1557" s="3">
        <v>1461770</v>
      </c>
      <c r="F1557" s="3">
        <v>1462798</v>
      </c>
      <c r="G1557" s="1" t="s">
        <v>9</v>
      </c>
      <c r="H1557" s="1" t="b">
        <f t="shared" si="56"/>
        <v>0</v>
      </c>
    </row>
    <row r="1558" spans="1:8" ht="21" x14ac:dyDescent="0.25">
      <c r="A1558" s="2" t="str">
        <f>HYPERLINK("https://rth.dk/resources/bsgatlas/details.php?id=BSGatlas-operon-833","BSGatlas-operon-833")</f>
        <v>BSGatlas-operon-833</v>
      </c>
      <c r="B1558" s="2" t="str">
        <f>HYPERLINK("https://rth.dk/resources/bsgatlas/details.php?id=BSGatlas-gene-1659","BSGatlas-gene-1659")</f>
        <v>BSGatlas-gene-1659</v>
      </c>
      <c r="C1558" s="1" t="s">
        <v>1556</v>
      </c>
      <c r="D1558" s="1" t="s">
        <v>8</v>
      </c>
      <c r="E1558" s="3">
        <v>1462813</v>
      </c>
      <c r="F1558" s="3">
        <v>1463493</v>
      </c>
      <c r="G1558" s="1" t="s">
        <v>13</v>
      </c>
      <c r="H1558" s="1" t="b">
        <f t="shared" si="56"/>
        <v>1</v>
      </c>
    </row>
    <row r="1559" spans="1:8" ht="21" x14ac:dyDescent="0.25">
      <c r="A1559" s="2" t="str">
        <f>HYPERLINK("https://rth.dk/resources/bsgatlas/details.php?id=BSGatlas-operon-834","BSGatlas-operon-834")</f>
        <v>BSGatlas-operon-834</v>
      </c>
      <c r="B1559" s="2" t="str">
        <f>HYPERLINK("https://rth.dk/resources/bsgatlas/details.php?id=BSGatlas-gene-1660","BSGatlas-gene-1660")</f>
        <v>BSGatlas-gene-1660</v>
      </c>
      <c r="C1559" s="1" t="s">
        <v>1557</v>
      </c>
      <c r="D1559" s="1" t="s">
        <v>8</v>
      </c>
      <c r="E1559" s="3">
        <v>1463628</v>
      </c>
      <c r="F1559" s="3">
        <v>1465595</v>
      </c>
      <c r="G1559" s="1" t="s">
        <v>9</v>
      </c>
      <c r="H1559" s="1" t="b">
        <f t="shared" si="56"/>
        <v>0</v>
      </c>
    </row>
    <row r="1560" spans="1:8" ht="21" x14ac:dyDescent="0.25">
      <c r="A1560" s="2" t="str">
        <f>HYPERLINK("https://rth.dk/resources/bsgatlas/details.php?id=BSGatlas-operon-835","BSGatlas-operon-835")</f>
        <v>BSGatlas-operon-835</v>
      </c>
      <c r="B1560" s="2" t="str">
        <f>HYPERLINK("https://rth.dk/resources/bsgatlas/details.php?id=BSGatlas-gene-1661","BSGatlas-gene-1661")</f>
        <v>BSGatlas-gene-1661</v>
      </c>
      <c r="C1560" s="1" t="s">
        <v>1558</v>
      </c>
      <c r="D1560" s="1" t="s">
        <v>8</v>
      </c>
      <c r="E1560" s="3">
        <v>1465733</v>
      </c>
      <c r="F1560" s="3">
        <v>1466599</v>
      </c>
      <c r="G1560" s="1" t="s">
        <v>9</v>
      </c>
      <c r="H1560" s="1" t="b">
        <f t="shared" si="56"/>
        <v>1</v>
      </c>
    </row>
    <row r="1561" spans="1:8" ht="21" x14ac:dyDescent="0.25">
      <c r="A1561" s="2" t="str">
        <f>HYPERLINK("https://rth.dk/resources/bsgatlas/details.php?id=BSGatlas-operon-836","BSGatlas-operon-836")</f>
        <v>BSGatlas-operon-836</v>
      </c>
      <c r="B1561" s="2" t="str">
        <f>HYPERLINK("https://rth.dk/resources/bsgatlas/details.php?id=BSGatlas-gene-1662","BSGatlas-gene-1662")</f>
        <v>BSGatlas-gene-1662</v>
      </c>
      <c r="C1561" s="1" t="s">
        <v>1559</v>
      </c>
      <c r="D1561" s="1" t="s">
        <v>8</v>
      </c>
      <c r="E1561" s="3">
        <v>1466638</v>
      </c>
      <c r="F1561" s="3">
        <v>1467411</v>
      </c>
      <c r="G1561" s="1" t="s">
        <v>13</v>
      </c>
      <c r="H1561" s="1" t="b">
        <f t="shared" si="56"/>
        <v>0</v>
      </c>
    </row>
    <row r="1562" spans="1:8" ht="21" x14ac:dyDescent="0.25">
      <c r="A1562" s="2" t="str">
        <f>HYPERLINK("https://rth.dk/resources/bsgatlas/details.php?id=BSGatlas-operon-837","BSGatlas-operon-837")</f>
        <v>BSGatlas-operon-837</v>
      </c>
      <c r="B1562" s="2" t="str">
        <f>HYPERLINK("https://rth.dk/resources/bsgatlas/details.php?id=BSGatlas-gene-1663","BSGatlas-gene-1663")</f>
        <v>BSGatlas-gene-1663</v>
      </c>
      <c r="C1562" s="1" t="s">
        <v>1560</v>
      </c>
      <c r="D1562" s="1" t="s">
        <v>12</v>
      </c>
      <c r="E1562" s="3">
        <v>1467704</v>
      </c>
      <c r="F1562" s="3">
        <v>1467761</v>
      </c>
      <c r="G1562" s="1" t="s">
        <v>9</v>
      </c>
      <c r="H1562" s="1" t="b">
        <f t="shared" si="56"/>
        <v>1</v>
      </c>
    </row>
    <row r="1563" spans="1:8" ht="21" x14ac:dyDescent="0.25">
      <c r="A1563" s="2" t="str">
        <f>HYPERLINK("https://rth.dk/resources/bsgatlas/details.php?id=BSGatlas-operon-838","BSGatlas-operon-838")</f>
        <v>BSGatlas-operon-838</v>
      </c>
      <c r="B1563" s="2" t="str">
        <f>HYPERLINK("https://rth.dk/resources/bsgatlas/details.php?id=BSGatlas-gene-1664","BSGatlas-gene-1664")</f>
        <v>BSGatlas-gene-1664</v>
      </c>
      <c r="C1563" s="1" t="s">
        <v>1561</v>
      </c>
      <c r="D1563" s="1" t="s">
        <v>8</v>
      </c>
      <c r="E1563" s="3">
        <v>1467748</v>
      </c>
      <c r="F1563" s="3">
        <v>1469862</v>
      </c>
      <c r="G1563" s="1" t="s">
        <v>9</v>
      </c>
      <c r="H1563" s="1" t="b">
        <f t="shared" si="56"/>
        <v>0</v>
      </c>
    </row>
    <row r="1564" spans="1:8" ht="21" x14ac:dyDescent="0.25">
      <c r="A1564" s="2" t="str">
        <f>HYPERLINK("https://rth.dk/resources/bsgatlas/details.php?id=BSGatlas-operon-839","BSGatlas-operon-839")</f>
        <v>BSGatlas-operon-839</v>
      </c>
      <c r="B1564" s="2" t="str">
        <f>HYPERLINK("https://rth.dk/resources/bsgatlas/details.php?id=BSGatlas-gene-1665","BSGatlas-gene-1665")</f>
        <v>BSGatlas-gene-1665</v>
      </c>
      <c r="C1564" s="1" t="s">
        <v>1562</v>
      </c>
      <c r="D1564" s="1" t="s">
        <v>8</v>
      </c>
      <c r="E1564" s="3">
        <v>1470026</v>
      </c>
      <c r="F1564" s="3">
        <v>1471846</v>
      </c>
      <c r="G1564" s="1" t="s">
        <v>9</v>
      </c>
      <c r="H1564" s="1" t="b">
        <f t="shared" si="56"/>
        <v>1</v>
      </c>
    </row>
    <row r="1565" spans="1:8" ht="21" x14ac:dyDescent="0.25">
      <c r="A1565" s="2" t="str">
        <f>HYPERLINK("https://rth.dk/resources/bsgatlas/details.php?id=BSGatlas-operon-840","BSGatlas-operon-840")</f>
        <v>BSGatlas-operon-840</v>
      </c>
      <c r="B1565" s="2" t="str">
        <f>HYPERLINK("https://rth.dk/resources/bsgatlas/details.php?id=BSGatlas-gene-1666","BSGatlas-gene-1666")</f>
        <v>BSGatlas-gene-1666</v>
      </c>
      <c r="C1565" s="1" t="s">
        <v>1563</v>
      </c>
      <c r="D1565" s="1" t="s">
        <v>8</v>
      </c>
      <c r="E1565" s="3">
        <v>1471857</v>
      </c>
      <c r="F1565" s="3">
        <v>1473038</v>
      </c>
      <c r="G1565" s="1" t="s">
        <v>13</v>
      </c>
      <c r="H1565" s="1" t="b">
        <f t="shared" si="56"/>
        <v>0</v>
      </c>
    </row>
    <row r="1566" spans="1:8" ht="21" x14ac:dyDescent="0.25">
      <c r="A1566" s="2" t="str">
        <f>HYPERLINK("https://rth.dk/resources/bsgatlas/details.php?id=BSGatlas-operon-840","BSGatlas-operon-840")</f>
        <v>BSGatlas-operon-840</v>
      </c>
      <c r="B1566" s="2" t="str">
        <f>HYPERLINK("https://rth.dk/resources/bsgatlas/details.php?id=BSGatlas-gene-1667","BSGatlas-gene-1667")</f>
        <v>BSGatlas-gene-1667</v>
      </c>
      <c r="C1566" s="1" t="s">
        <v>1564</v>
      </c>
      <c r="D1566" s="1" t="s">
        <v>8</v>
      </c>
      <c r="E1566" s="3">
        <v>1473240</v>
      </c>
      <c r="F1566" s="3">
        <v>1473401</v>
      </c>
      <c r="G1566" s="1" t="s">
        <v>13</v>
      </c>
      <c r="H1566" s="1" t="b">
        <f t="shared" si="56"/>
        <v>0</v>
      </c>
    </row>
    <row r="1567" spans="1:8" ht="21" x14ac:dyDescent="0.25">
      <c r="A1567" s="2" t="str">
        <f>HYPERLINK("https://rth.dk/resources/bsgatlas/details.php?id=BSGatlas-operon-841","BSGatlas-operon-841")</f>
        <v>BSGatlas-operon-841</v>
      </c>
      <c r="B1567" s="2" t="str">
        <f>HYPERLINK("https://rth.dk/resources/bsgatlas/details.php?id=BSGatlas-gene-1668","BSGatlas-gene-1668")</f>
        <v>BSGatlas-gene-1668</v>
      </c>
      <c r="C1567" s="1" t="s">
        <v>1565</v>
      </c>
      <c r="D1567" s="1" t="s">
        <v>8</v>
      </c>
      <c r="E1567" s="3">
        <v>1473605</v>
      </c>
      <c r="F1567" s="3">
        <v>1474516</v>
      </c>
      <c r="G1567" s="1" t="s">
        <v>9</v>
      </c>
      <c r="H1567" s="1" t="b">
        <f t="shared" si="56"/>
        <v>1</v>
      </c>
    </row>
    <row r="1568" spans="1:8" ht="21" x14ac:dyDescent="0.25">
      <c r="A1568" s="2" t="str">
        <f>HYPERLINK("https://rth.dk/resources/bsgatlas/details.php?id=BSGatlas-operon-842","BSGatlas-operon-842")</f>
        <v>BSGatlas-operon-842</v>
      </c>
      <c r="B1568" s="2" t="str">
        <f>HYPERLINK("https://rth.dk/resources/bsgatlas/details.php?id=BSGatlas-gene-1669","BSGatlas-gene-1669")</f>
        <v>BSGatlas-gene-1669</v>
      </c>
      <c r="C1568" s="1" t="s">
        <v>1566</v>
      </c>
      <c r="D1568" s="1" t="s">
        <v>8</v>
      </c>
      <c r="E1568" s="3">
        <v>1474560</v>
      </c>
      <c r="F1568" s="3">
        <v>1475024</v>
      </c>
      <c r="G1568" s="1" t="s">
        <v>13</v>
      </c>
      <c r="H1568" s="1" t="b">
        <f t="shared" si="56"/>
        <v>0</v>
      </c>
    </row>
    <row r="1569" spans="1:8" ht="21" x14ac:dyDescent="0.25">
      <c r="A1569" s="2" t="str">
        <f>HYPERLINK("https://rth.dk/resources/bsgatlas/details.php?id=BSGatlas-operon-843","BSGatlas-operon-843")</f>
        <v>BSGatlas-operon-843</v>
      </c>
      <c r="B1569" s="2" t="str">
        <f>HYPERLINK("https://rth.dk/resources/bsgatlas/details.php?id=BSGatlas-gene-1670","BSGatlas-gene-1670")</f>
        <v>BSGatlas-gene-1670</v>
      </c>
      <c r="C1569" s="1" t="s">
        <v>1567</v>
      </c>
      <c r="D1569" s="1" t="s">
        <v>8</v>
      </c>
      <c r="E1569" s="3">
        <v>1475150</v>
      </c>
      <c r="F1569" s="3">
        <v>1476442</v>
      </c>
      <c r="G1569" s="1" t="s">
        <v>13</v>
      </c>
      <c r="H1569" s="1" t="b">
        <f t="shared" si="56"/>
        <v>1</v>
      </c>
    </row>
    <row r="1570" spans="1:8" ht="21" x14ac:dyDescent="0.25">
      <c r="A1570" s="2" t="str">
        <f>HYPERLINK("https://rth.dk/resources/bsgatlas/details.php?id=BSGatlas-operon-843","BSGatlas-operon-843")</f>
        <v>BSGatlas-operon-843</v>
      </c>
      <c r="B1570" s="2" t="str">
        <f>HYPERLINK("https://rth.dk/resources/bsgatlas/details.php?id=BSGatlas-gene-1671","BSGatlas-gene-1671")</f>
        <v>BSGatlas-gene-1671</v>
      </c>
      <c r="C1570" s="1" t="s">
        <v>1568</v>
      </c>
      <c r="D1570" s="1" t="s">
        <v>8</v>
      </c>
      <c r="E1570" s="3">
        <v>1476518</v>
      </c>
      <c r="F1570" s="3">
        <v>1477012</v>
      </c>
      <c r="G1570" s="1" t="s">
        <v>13</v>
      </c>
      <c r="H1570" s="1" t="b">
        <f t="shared" si="56"/>
        <v>1</v>
      </c>
    </row>
    <row r="1571" spans="1:8" ht="21" x14ac:dyDescent="0.25">
      <c r="A1571" s="2" t="str">
        <f>HYPERLINK("https://rth.dk/resources/bsgatlas/details.php?id=BSGatlas-operon-843","BSGatlas-operon-843")</f>
        <v>BSGatlas-operon-843</v>
      </c>
      <c r="B1571" s="2" t="str">
        <f>HYPERLINK("https://rth.dk/resources/bsgatlas/details.php?id=BSGatlas-gene-1672","BSGatlas-gene-1672")</f>
        <v>BSGatlas-gene-1672</v>
      </c>
      <c r="C1571" s="1" t="s">
        <v>1569</v>
      </c>
      <c r="D1571" s="1" t="s">
        <v>8</v>
      </c>
      <c r="E1571" s="3">
        <v>1477069</v>
      </c>
      <c r="F1571" s="3">
        <v>1477929</v>
      </c>
      <c r="G1571" s="1" t="s">
        <v>13</v>
      </c>
      <c r="H1571" s="1" t="b">
        <f t="shared" si="56"/>
        <v>1</v>
      </c>
    </row>
    <row r="1572" spans="1:8" ht="21" x14ac:dyDescent="0.25">
      <c r="A1572" s="2" t="str">
        <f>HYPERLINK("https://rth.dk/resources/bsgatlas/details.php?id=BSGatlas-operon-844","BSGatlas-operon-844")</f>
        <v>BSGatlas-operon-844</v>
      </c>
      <c r="B1572" s="2" t="str">
        <f>HYPERLINK("https://rth.dk/resources/bsgatlas/details.php?id=BSGatlas-gene-1673","BSGatlas-gene-1673")</f>
        <v>BSGatlas-gene-1673</v>
      </c>
      <c r="C1572" s="1" t="s">
        <v>1570</v>
      </c>
      <c r="D1572" s="1" t="s">
        <v>8</v>
      </c>
      <c r="E1572" s="3">
        <v>1478072</v>
      </c>
      <c r="F1572" s="3">
        <v>1478836</v>
      </c>
      <c r="G1572" s="1" t="s">
        <v>9</v>
      </c>
      <c r="H1572" s="1" t="b">
        <f t="shared" si="56"/>
        <v>0</v>
      </c>
    </row>
    <row r="1573" spans="1:8" ht="21" x14ac:dyDescent="0.25">
      <c r="A1573" s="2" t="str">
        <f>HYPERLINK("https://rth.dk/resources/bsgatlas/details.php?id=BSGatlas-operon-844","BSGatlas-operon-844")</f>
        <v>BSGatlas-operon-844</v>
      </c>
      <c r="B1573" s="2" t="str">
        <f>HYPERLINK("https://rth.dk/resources/bsgatlas/details.php?id=BSGatlas-gene-1674","BSGatlas-gene-1674")</f>
        <v>BSGatlas-gene-1674</v>
      </c>
      <c r="C1573" s="1" t="s">
        <v>1571</v>
      </c>
      <c r="D1573" s="1" t="s">
        <v>8</v>
      </c>
      <c r="E1573" s="3">
        <v>1479137</v>
      </c>
      <c r="F1573" s="3">
        <v>1480867</v>
      </c>
      <c r="G1573" s="1" t="s">
        <v>9</v>
      </c>
      <c r="H1573" s="1" t="b">
        <f t="shared" si="56"/>
        <v>0</v>
      </c>
    </row>
    <row r="1574" spans="1:8" ht="21" x14ac:dyDescent="0.25">
      <c r="A1574" s="2" t="str">
        <f>HYPERLINK("https://rth.dk/resources/bsgatlas/details.php?id=BSGatlas-operon-844","BSGatlas-operon-844")</f>
        <v>BSGatlas-operon-844</v>
      </c>
      <c r="B1574" s="2" t="str">
        <f>HYPERLINK("https://rth.dk/resources/bsgatlas/details.php?id=BSGatlas-gene-1675","BSGatlas-gene-1675")</f>
        <v>BSGatlas-gene-1675</v>
      </c>
      <c r="C1574" s="1" t="s">
        <v>1572</v>
      </c>
      <c r="D1574" s="1" t="s">
        <v>8</v>
      </c>
      <c r="E1574" s="3">
        <v>1480933</v>
      </c>
      <c r="F1574" s="3">
        <v>1481451</v>
      </c>
      <c r="G1574" s="1" t="s">
        <v>9</v>
      </c>
      <c r="H1574" s="1" t="b">
        <f t="shared" si="56"/>
        <v>0</v>
      </c>
    </row>
    <row r="1575" spans="1:8" ht="21" x14ac:dyDescent="0.25">
      <c r="A1575" s="2" t="str">
        <f>HYPERLINK("https://rth.dk/resources/bsgatlas/details.php?id=BSGatlas-operon-845","BSGatlas-operon-845")</f>
        <v>BSGatlas-operon-845</v>
      </c>
      <c r="B1575" s="2" t="str">
        <f>HYPERLINK("https://rth.dk/resources/bsgatlas/details.php?id=BSGatlas-gene-1676","BSGatlas-gene-1676")</f>
        <v>BSGatlas-gene-1676</v>
      </c>
      <c r="C1575" s="1" t="s">
        <v>1573</v>
      </c>
      <c r="D1575" s="1" t="s">
        <v>8</v>
      </c>
      <c r="E1575" s="3">
        <v>1481547</v>
      </c>
      <c r="F1575" s="3">
        <v>1482095</v>
      </c>
      <c r="G1575" s="1" t="s">
        <v>9</v>
      </c>
      <c r="H1575" s="1" t="b">
        <f t="shared" si="56"/>
        <v>1</v>
      </c>
    </row>
    <row r="1576" spans="1:8" ht="21" x14ac:dyDescent="0.25">
      <c r="A1576" s="2" t="str">
        <f>HYPERLINK("https://rth.dk/resources/bsgatlas/details.php?id=BSGatlas-operon-845","BSGatlas-operon-845")</f>
        <v>BSGatlas-operon-845</v>
      </c>
      <c r="B1576" s="2" t="str">
        <f>HYPERLINK("https://rth.dk/resources/bsgatlas/details.php?id=BSGatlas-gene-1677","BSGatlas-gene-1677")</f>
        <v>BSGatlas-gene-1677</v>
      </c>
      <c r="C1576" s="1" t="s">
        <v>1574</v>
      </c>
      <c r="D1576" s="1" t="s">
        <v>8</v>
      </c>
      <c r="E1576" s="3">
        <v>1482248</v>
      </c>
      <c r="F1576" s="3">
        <v>1483471</v>
      </c>
      <c r="G1576" s="1" t="s">
        <v>9</v>
      </c>
      <c r="H1576" s="1" t="b">
        <f t="shared" si="56"/>
        <v>1</v>
      </c>
    </row>
    <row r="1577" spans="1:8" ht="21" x14ac:dyDescent="0.25">
      <c r="A1577" s="2" t="str">
        <f>HYPERLINK("https://rth.dk/resources/bsgatlas/details.php?id=BSGatlas-operon-846","BSGatlas-operon-846")</f>
        <v>BSGatlas-operon-846</v>
      </c>
      <c r="B1577" s="2" t="str">
        <f>HYPERLINK("https://rth.dk/resources/bsgatlas/details.php?id=BSGatlas-gene-1678","BSGatlas-gene-1678")</f>
        <v>BSGatlas-gene-1678</v>
      </c>
      <c r="C1577" s="1" t="s">
        <v>1575</v>
      </c>
      <c r="D1577" s="1" t="s">
        <v>55</v>
      </c>
      <c r="E1577" s="3">
        <v>1483548</v>
      </c>
      <c r="F1577" s="3">
        <v>1483656</v>
      </c>
      <c r="G1577" s="1" t="s">
        <v>9</v>
      </c>
      <c r="H1577" s="1" t="b">
        <f t="shared" si="56"/>
        <v>0</v>
      </c>
    </row>
    <row r="1578" spans="1:8" ht="21" x14ac:dyDescent="0.25">
      <c r="A1578" s="2" t="str">
        <f>HYPERLINK("https://rth.dk/resources/bsgatlas/details.php?id=BSGatlas-operon-847","BSGatlas-operon-847")</f>
        <v>BSGatlas-operon-847</v>
      </c>
      <c r="B1578" s="2" t="str">
        <f>HYPERLINK("https://rth.dk/resources/bsgatlas/details.php?id=BSGatlas-gene-1679","BSGatlas-gene-1679")</f>
        <v>BSGatlas-gene-1679</v>
      </c>
      <c r="C1578" s="1" t="s">
        <v>1576</v>
      </c>
      <c r="D1578" s="1" t="s">
        <v>8</v>
      </c>
      <c r="E1578" s="3">
        <v>1484117</v>
      </c>
      <c r="F1578" s="3">
        <v>1484356</v>
      </c>
      <c r="G1578" s="1" t="s">
        <v>9</v>
      </c>
      <c r="H1578" s="1" t="b">
        <f t="shared" si="56"/>
        <v>1</v>
      </c>
    </row>
    <row r="1579" spans="1:8" ht="21" x14ac:dyDescent="0.25">
      <c r="A1579" s="2" t="str">
        <f>HYPERLINK("https://rth.dk/resources/bsgatlas/details.php?id=BSGatlas-operon-847","BSGatlas-operon-847")</f>
        <v>BSGatlas-operon-847</v>
      </c>
      <c r="B1579" s="2" t="str">
        <f>HYPERLINK("https://rth.dk/resources/bsgatlas/details.php?id=BSGatlas-gene-1680","BSGatlas-gene-1680")</f>
        <v>BSGatlas-gene-1680</v>
      </c>
      <c r="C1579" s="1" t="s">
        <v>1577</v>
      </c>
      <c r="D1579" s="1" t="s">
        <v>8</v>
      </c>
      <c r="E1579" s="3">
        <v>1484466</v>
      </c>
      <c r="F1579" s="3">
        <v>1484984</v>
      </c>
      <c r="G1579" s="1" t="s">
        <v>9</v>
      </c>
      <c r="H1579" s="1" t="b">
        <f t="shared" si="56"/>
        <v>1</v>
      </c>
    </row>
    <row r="1580" spans="1:8" ht="21" x14ac:dyDescent="0.25">
      <c r="A1580" s="2" t="str">
        <f>HYPERLINK("https://rth.dk/resources/bsgatlas/details.php?id=BSGatlas-operon-847","BSGatlas-operon-847")</f>
        <v>BSGatlas-operon-847</v>
      </c>
      <c r="B1580" s="2" t="str">
        <f>HYPERLINK("https://rth.dk/resources/bsgatlas/details.php?id=BSGatlas-gene-1681","BSGatlas-gene-1681")</f>
        <v>BSGatlas-gene-1681</v>
      </c>
      <c r="C1580" s="1" t="s">
        <v>1578</v>
      </c>
      <c r="D1580" s="1" t="s">
        <v>8</v>
      </c>
      <c r="E1580" s="3">
        <v>1485118</v>
      </c>
      <c r="F1580" s="3">
        <v>1485315</v>
      </c>
      <c r="G1580" s="1" t="s">
        <v>9</v>
      </c>
      <c r="H1580" s="1" t="b">
        <f t="shared" si="56"/>
        <v>1</v>
      </c>
    </row>
    <row r="1581" spans="1:8" ht="21" x14ac:dyDescent="0.25">
      <c r="A1581" s="2" t="str">
        <f>HYPERLINK("https://rth.dk/resources/bsgatlas/details.php?id=BSGatlas-operon-847","BSGatlas-operon-847")</f>
        <v>BSGatlas-operon-847</v>
      </c>
      <c r="B1581" s="2" t="str">
        <f>HYPERLINK("https://rth.dk/resources/bsgatlas/details.php?id=BSGatlas-gene-1682","BSGatlas-gene-1682")</f>
        <v>BSGatlas-gene-1682</v>
      </c>
      <c r="C1581" s="1" t="s">
        <v>1579</v>
      </c>
      <c r="D1581" s="1" t="s">
        <v>8</v>
      </c>
      <c r="E1581" s="3">
        <v>1485453</v>
      </c>
      <c r="F1581" s="3">
        <v>1485896</v>
      </c>
      <c r="G1581" s="1" t="s">
        <v>9</v>
      </c>
      <c r="H1581" s="1" t="b">
        <f t="shared" si="56"/>
        <v>1</v>
      </c>
    </row>
    <row r="1582" spans="1:8" ht="21" x14ac:dyDescent="0.25">
      <c r="A1582" s="2" t="str">
        <f>HYPERLINK("https://rth.dk/resources/bsgatlas/details.php?id=BSGatlas-operon-847","BSGatlas-operon-847")</f>
        <v>BSGatlas-operon-847</v>
      </c>
      <c r="B1582" s="2" t="str">
        <f>HYPERLINK("https://rth.dk/resources/bsgatlas/details.php?id=BSGatlas-gene-1683","BSGatlas-gene-1683")</f>
        <v>BSGatlas-gene-1683</v>
      </c>
      <c r="C1582" s="1" t="s">
        <v>1580</v>
      </c>
      <c r="D1582" s="1" t="s">
        <v>8</v>
      </c>
      <c r="E1582" s="3">
        <v>1486045</v>
      </c>
      <c r="F1582" s="3">
        <v>1486926</v>
      </c>
      <c r="G1582" s="1" t="s">
        <v>9</v>
      </c>
      <c r="H1582" s="1" t="b">
        <f t="shared" si="56"/>
        <v>1</v>
      </c>
    </row>
    <row r="1583" spans="1:8" ht="21" x14ac:dyDescent="0.25">
      <c r="A1583" s="2" t="str">
        <f>HYPERLINK("https://rth.dk/resources/bsgatlas/details.php?id=BSGatlas-operon-848","BSGatlas-operon-848")</f>
        <v>BSGatlas-operon-848</v>
      </c>
      <c r="B1583" s="2" t="str">
        <f>HYPERLINK("https://rth.dk/resources/bsgatlas/details.php?id=BSGatlas-gene-1684","BSGatlas-gene-1684")</f>
        <v>BSGatlas-gene-1684</v>
      </c>
      <c r="C1583" s="1" t="s">
        <v>1581</v>
      </c>
      <c r="D1583" s="1" t="s">
        <v>8</v>
      </c>
      <c r="E1583" s="3">
        <v>1487038</v>
      </c>
      <c r="F1583" s="3">
        <v>1487514</v>
      </c>
      <c r="G1583" s="1" t="s">
        <v>9</v>
      </c>
      <c r="H1583" s="1" t="b">
        <f t="shared" si="56"/>
        <v>0</v>
      </c>
    </row>
    <row r="1584" spans="1:8" ht="21" x14ac:dyDescent="0.25">
      <c r="A1584" s="2" t="str">
        <f>HYPERLINK("https://rth.dk/resources/bsgatlas/details.php?id=BSGatlas-operon-848","BSGatlas-operon-848")</f>
        <v>BSGatlas-operon-848</v>
      </c>
      <c r="B1584" s="2" t="str">
        <f>HYPERLINK("https://rth.dk/resources/bsgatlas/details.php?id=BSGatlas-gene-1685","BSGatlas-gene-1685")</f>
        <v>BSGatlas-gene-1685</v>
      </c>
      <c r="C1584" s="1" t="s">
        <v>1582</v>
      </c>
      <c r="D1584" s="1" t="s">
        <v>8</v>
      </c>
      <c r="E1584" s="3">
        <v>1487504</v>
      </c>
      <c r="F1584" s="3">
        <v>1488397</v>
      </c>
      <c r="G1584" s="1" t="s">
        <v>9</v>
      </c>
      <c r="H1584" s="1" t="b">
        <f t="shared" si="56"/>
        <v>0</v>
      </c>
    </row>
    <row r="1585" spans="1:8" ht="21" x14ac:dyDescent="0.25">
      <c r="A1585" s="2" t="str">
        <f>HYPERLINK("https://rth.dk/resources/bsgatlas/details.php?id=BSGatlas-operon-848","BSGatlas-operon-848")</f>
        <v>BSGatlas-operon-848</v>
      </c>
      <c r="B1585" s="2" t="str">
        <f>HYPERLINK("https://rth.dk/resources/bsgatlas/details.php?id=BSGatlas-gene-1686","BSGatlas-gene-1686")</f>
        <v>BSGatlas-gene-1686</v>
      </c>
      <c r="C1585" s="1" t="s">
        <v>1583</v>
      </c>
      <c r="D1585" s="1" t="s">
        <v>8</v>
      </c>
      <c r="E1585" s="3">
        <v>1488413</v>
      </c>
      <c r="F1585" s="3">
        <v>1488868</v>
      </c>
      <c r="G1585" s="1" t="s">
        <v>9</v>
      </c>
      <c r="H1585" s="1" t="b">
        <f t="shared" si="56"/>
        <v>0</v>
      </c>
    </row>
    <row r="1586" spans="1:8" ht="21" x14ac:dyDescent="0.25">
      <c r="A1586" s="2" t="str">
        <f>HYPERLINK("https://rth.dk/resources/bsgatlas/details.php?id=BSGatlas-operon-849","BSGatlas-operon-849")</f>
        <v>BSGatlas-operon-849</v>
      </c>
      <c r="B1586" s="2" t="str">
        <f>HYPERLINK("https://rth.dk/resources/bsgatlas/details.php?id=BSGatlas-gene-1687","BSGatlas-gene-1687")</f>
        <v>BSGatlas-gene-1687</v>
      </c>
      <c r="C1586" s="1" t="s">
        <v>1584</v>
      </c>
      <c r="D1586" s="1" t="s">
        <v>8</v>
      </c>
      <c r="E1586" s="3">
        <v>1488973</v>
      </c>
      <c r="F1586" s="3">
        <v>1489683</v>
      </c>
      <c r="G1586" s="1" t="s">
        <v>9</v>
      </c>
      <c r="H1586" s="1" t="b">
        <f t="shared" si="56"/>
        <v>1</v>
      </c>
    </row>
    <row r="1587" spans="1:8" ht="21" x14ac:dyDescent="0.25">
      <c r="A1587" s="2" t="str">
        <f>HYPERLINK("https://rth.dk/resources/bsgatlas/details.php?id=BSGatlas-operon-849","BSGatlas-operon-849")</f>
        <v>BSGatlas-operon-849</v>
      </c>
      <c r="B1587" s="2" t="str">
        <f>HYPERLINK("https://rth.dk/resources/bsgatlas/details.php?id=BSGatlas-gene-1688","BSGatlas-gene-1688")</f>
        <v>BSGatlas-gene-1688</v>
      </c>
      <c r="C1587" s="1" t="s">
        <v>1585</v>
      </c>
      <c r="D1587" s="1" t="s">
        <v>8</v>
      </c>
      <c r="E1587" s="3">
        <v>1489753</v>
      </c>
      <c r="F1587" s="3">
        <v>1490877</v>
      </c>
      <c r="G1587" s="1" t="s">
        <v>9</v>
      </c>
      <c r="H1587" s="1" t="b">
        <f t="shared" si="56"/>
        <v>1</v>
      </c>
    </row>
    <row r="1588" spans="1:8" ht="21" x14ac:dyDescent="0.25">
      <c r="A1588" s="2" t="str">
        <f>HYPERLINK("https://rth.dk/resources/bsgatlas/details.php?id=BSGatlas-operon-849","BSGatlas-operon-849")</f>
        <v>BSGatlas-operon-849</v>
      </c>
      <c r="B1588" s="2" t="str">
        <f>HYPERLINK("https://rth.dk/resources/bsgatlas/details.php?id=BSGatlas-gene-1689","BSGatlas-gene-1689")</f>
        <v>BSGatlas-gene-1689</v>
      </c>
      <c r="C1588" s="1" t="s">
        <v>1586</v>
      </c>
      <c r="D1588" s="1" t="s">
        <v>8</v>
      </c>
      <c r="E1588" s="3">
        <v>1490939</v>
      </c>
      <c r="F1588" s="3">
        <v>1491184</v>
      </c>
      <c r="G1588" s="1" t="s">
        <v>9</v>
      </c>
      <c r="H1588" s="1" t="b">
        <f t="shared" si="56"/>
        <v>1</v>
      </c>
    </row>
    <row r="1589" spans="1:8" ht="21" x14ac:dyDescent="0.25">
      <c r="A1589" s="2" t="str">
        <f>HYPERLINK("https://rth.dk/resources/bsgatlas/details.php?id=BSGatlas-operon-850","BSGatlas-operon-850")</f>
        <v>BSGatlas-operon-850</v>
      </c>
      <c r="B1589" s="2" t="str">
        <f>HYPERLINK("https://rth.dk/resources/bsgatlas/details.php?id=BSGatlas-gene-1690","BSGatlas-gene-1690")</f>
        <v>BSGatlas-gene-1690</v>
      </c>
      <c r="C1589" s="1" t="s">
        <v>1587</v>
      </c>
      <c r="D1589" s="1" t="s">
        <v>8</v>
      </c>
      <c r="E1589" s="3">
        <v>1491221</v>
      </c>
      <c r="F1589" s="3">
        <v>1492024</v>
      </c>
      <c r="G1589" s="1" t="s">
        <v>13</v>
      </c>
      <c r="H1589" s="1" t="b">
        <f t="shared" si="56"/>
        <v>0</v>
      </c>
    </row>
    <row r="1590" spans="1:8" ht="21" x14ac:dyDescent="0.25">
      <c r="A1590" s="2" t="str">
        <f>HYPERLINK("https://rth.dk/resources/bsgatlas/details.php?id=BSGatlas-operon-851","BSGatlas-operon-851")</f>
        <v>BSGatlas-operon-851</v>
      </c>
      <c r="B1590" s="2" t="str">
        <f>HYPERLINK("https://rth.dk/resources/bsgatlas/details.php?id=BSGatlas-gene-1691","BSGatlas-gene-1691")</f>
        <v>BSGatlas-gene-1691</v>
      </c>
      <c r="C1590" s="1" t="s">
        <v>1588</v>
      </c>
      <c r="D1590" s="1" t="s">
        <v>8</v>
      </c>
      <c r="E1590" s="3">
        <v>1492261</v>
      </c>
      <c r="F1590" s="3">
        <v>1492803</v>
      </c>
      <c r="G1590" s="1" t="s">
        <v>9</v>
      </c>
      <c r="H1590" s="1" t="b">
        <f t="shared" si="56"/>
        <v>1</v>
      </c>
    </row>
    <row r="1591" spans="1:8" ht="21" x14ac:dyDescent="0.25">
      <c r="A1591" s="2" t="str">
        <f>HYPERLINK("https://rth.dk/resources/bsgatlas/details.php?id=BSGatlas-operon-851","BSGatlas-operon-851")</f>
        <v>BSGatlas-operon-851</v>
      </c>
      <c r="B1591" s="2" t="str">
        <f>HYPERLINK("https://rth.dk/resources/bsgatlas/details.php?id=BSGatlas-gene-1692","BSGatlas-gene-1692")</f>
        <v>BSGatlas-gene-1692</v>
      </c>
      <c r="C1591" s="1" t="s">
        <v>1589</v>
      </c>
      <c r="D1591" s="1" t="s">
        <v>8</v>
      </c>
      <c r="E1591" s="3">
        <v>1492875</v>
      </c>
      <c r="F1591" s="3">
        <v>1493321</v>
      </c>
      <c r="G1591" s="1" t="s">
        <v>9</v>
      </c>
      <c r="H1591" s="1" t="b">
        <f t="shared" si="56"/>
        <v>1</v>
      </c>
    </row>
    <row r="1592" spans="1:8" ht="21" x14ac:dyDescent="0.25">
      <c r="A1592" s="2" t="str">
        <f>HYPERLINK("https://rth.dk/resources/bsgatlas/details.php?id=BSGatlas-operon-852","BSGatlas-operon-852")</f>
        <v>BSGatlas-operon-852</v>
      </c>
      <c r="B1592" s="2" t="str">
        <f>HYPERLINK("https://rth.dk/resources/bsgatlas/details.php?id=BSGatlas-gene-1693","BSGatlas-gene-1693")</f>
        <v>BSGatlas-gene-1693</v>
      </c>
      <c r="C1592" s="1" t="s">
        <v>1590</v>
      </c>
      <c r="D1592" s="1" t="s">
        <v>8</v>
      </c>
      <c r="E1592" s="3">
        <v>1493787</v>
      </c>
      <c r="F1592" s="3">
        <v>1494362</v>
      </c>
      <c r="G1592" s="1" t="s">
        <v>9</v>
      </c>
      <c r="H1592" s="1" t="b">
        <f t="shared" si="56"/>
        <v>0</v>
      </c>
    </row>
    <row r="1593" spans="1:8" ht="21" x14ac:dyDescent="0.25">
      <c r="A1593" s="2" t="str">
        <f>HYPERLINK("https://rth.dk/resources/bsgatlas/details.php?id=BSGatlas-operon-853","BSGatlas-operon-853")</f>
        <v>BSGatlas-operon-853</v>
      </c>
      <c r="B1593" s="2" t="str">
        <f>HYPERLINK("https://rth.dk/resources/bsgatlas/details.php?id=BSGatlas-gene-1694","BSGatlas-gene-1694")</f>
        <v>BSGatlas-gene-1694</v>
      </c>
      <c r="C1593" s="1" t="s">
        <v>1591</v>
      </c>
      <c r="D1593" s="1" t="s">
        <v>8</v>
      </c>
      <c r="E1593" s="3">
        <v>1494403</v>
      </c>
      <c r="F1593" s="3">
        <v>1495368</v>
      </c>
      <c r="G1593" s="1" t="s">
        <v>13</v>
      </c>
      <c r="H1593" s="1" t="b">
        <f t="shared" si="56"/>
        <v>1</v>
      </c>
    </row>
    <row r="1594" spans="1:8" ht="21" x14ac:dyDescent="0.25">
      <c r="A1594" s="2" t="str">
        <f t="shared" ref="A1594:A1599" si="57">HYPERLINK("https://rth.dk/resources/bsgatlas/details.php?id=BSGatlas-operon-854","BSGatlas-operon-854")</f>
        <v>BSGatlas-operon-854</v>
      </c>
      <c r="B1594" s="2" t="str">
        <f>HYPERLINK("https://rth.dk/resources/bsgatlas/details.php?id=BSGatlas-gene-1695","BSGatlas-gene-1695")</f>
        <v>BSGatlas-gene-1695</v>
      </c>
      <c r="C1594" s="1" t="s">
        <v>1592</v>
      </c>
      <c r="D1594" s="1" t="s">
        <v>8</v>
      </c>
      <c r="E1594" s="3">
        <v>1495505</v>
      </c>
      <c r="F1594" s="3">
        <v>1496104</v>
      </c>
      <c r="G1594" s="1" t="s">
        <v>9</v>
      </c>
      <c r="H1594" s="1" t="b">
        <f t="shared" si="56"/>
        <v>0</v>
      </c>
    </row>
    <row r="1595" spans="1:8" ht="21" x14ac:dyDescent="0.25">
      <c r="A1595" s="2" t="str">
        <f t="shared" si="57"/>
        <v>BSGatlas-operon-854</v>
      </c>
      <c r="B1595" s="2" t="str">
        <f>HYPERLINK("https://rth.dk/resources/bsgatlas/details.php?id=BSGatlas-gene-1696","BSGatlas-gene-1696")</f>
        <v>BSGatlas-gene-1696</v>
      </c>
      <c r="C1595" s="1" t="s">
        <v>1593</v>
      </c>
      <c r="D1595" s="1" t="s">
        <v>8</v>
      </c>
      <c r="E1595" s="3">
        <v>1496155</v>
      </c>
      <c r="F1595" s="3">
        <v>1497174</v>
      </c>
      <c r="G1595" s="1" t="s">
        <v>9</v>
      </c>
      <c r="H1595" s="1" t="b">
        <f t="shared" si="56"/>
        <v>0</v>
      </c>
    </row>
    <row r="1596" spans="1:8" ht="21" x14ac:dyDescent="0.25">
      <c r="A1596" s="2" t="str">
        <f t="shared" si="57"/>
        <v>BSGatlas-operon-854</v>
      </c>
      <c r="B1596" s="2" t="str">
        <f>HYPERLINK("https://rth.dk/resources/bsgatlas/details.php?id=BSGatlas-gene-1697","BSGatlas-gene-1697")</f>
        <v>BSGatlas-gene-1697</v>
      </c>
      <c r="C1596" s="1" t="s">
        <v>1594</v>
      </c>
      <c r="D1596" s="1" t="s">
        <v>8</v>
      </c>
      <c r="E1596" s="3">
        <v>1497192</v>
      </c>
      <c r="F1596" s="3">
        <v>1498484</v>
      </c>
      <c r="G1596" s="1" t="s">
        <v>9</v>
      </c>
      <c r="H1596" s="1" t="b">
        <f t="shared" si="56"/>
        <v>0</v>
      </c>
    </row>
    <row r="1597" spans="1:8" ht="21" x14ac:dyDescent="0.25">
      <c r="A1597" s="2" t="str">
        <f t="shared" si="57"/>
        <v>BSGatlas-operon-854</v>
      </c>
      <c r="B1597" s="2" t="str">
        <f>HYPERLINK("https://rth.dk/resources/bsgatlas/details.php?id=BSGatlas-gene-1698","BSGatlas-gene-1698")</f>
        <v>BSGatlas-gene-1698</v>
      </c>
      <c r="C1597" s="1" t="s">
        <v>1595</v>
      </c>
      <c r="D1597" s="1" t="s">
        <v>8</v>
      </c>
      <c r="E1597" s="3">
        <v>1498445</v>
      </c>
      <c r="F1597" s="3">
        <v>1498966</v>
      </c>
      <c r="G1597" s="1" t="s">
        <v>9</v>
      </c>
      <c r="H1597" s="1" t="b">
        <f t="shared" si="56"/>
        <v>0</v>
      </c>
    </row>
    <row r="1598" spans="1:8" ht="21" x14ac:dyDescent="0.25">
      <c r="A1598" s="2" t="str">
        <f t="shared" si="57"/>
        <v>BSGatlas-operon-854</v>
      </c>
      <c r="B1598" s="2" t="str">
        <f>HYPERLINK("https://rth.dk/resources/bsgatlas/details.php?id=BSGatlas-gene-1699","BSGatlas-gene-1699")</f>
        <v>BSGatlas-gene-1699</v>
      </c>
      <c r="C1598" s="1" t="s">
        <v>1596</v>
      </c>
      <c r="D1598" s="1" t="s">
        <v>8</v>
      </c>
      <c r="E1598" s="3">
        <v>1498966</v>
      </c>
      <c r="F1598" s="3">
        <v>1499439</v>
      </c>
      <c r="G1598" s="1" t="s">
        <v>9</v>
      </c>
      <c r="H1598" s="1" t="b">
        <f t="shared" si="56"/>
        <v>0</v>
      </c>
    </row>
    <row r="1599" spans="1:8" ht="21" x14ac:dyDescent="0.25">
      <c r="A1599" s="2" t="str">
        <f t="shared" si="57"/>
        <v>BSGatlas-operon-854</v>
      </c>
      <c r="B1599" s="2" t="str">
        <f>HYPERLINK("https://rth.dk/resources/bsgatlas/details.php?id=BSGatlas-gene-1700","BSGatlas-gene-1700")</f>
        <v>BSGatlas-gene-1700</v>
      </c>
      <c r="C1599" s="1" t="s">
        <v>1597</v>
      </c>
      <c r="D1599" s="1" t="s">
        <v>8</v>
      </c>
      <c r="E1599" s="3">
        <v>1499432</v>
      </c>
      <c r="F1599" s="3">
        <v>1499665</v>
      </c>
      <c r="G1599" s="1" t="s">
        <v>9</v>
      </c>
      <c r="H1599" s="1" t="b">
        <f t="shared" si="56"/>
        <v>0</v>
      </c>
    </row>
    <row r="1600" spans="1:8" ht="21" x14ac:dyDescent="0.25">
      <c r="A1600" s="2" t="str">
        <f t="shared" ref="A1600:A1605" si="58">HYPERLINK("https://rth.dk/resources/bsgatlas/details.php?id=BSGatlas-operon-855","BSGatlas-operon-855")</f>
        <v>BSGatlas-operon-855</v>
      </c>
      <c r="B1600" s="2" t="str">
        <f>HYPERLINK("https://rth.dk/resources/bsgatlas/details.php?id=BSGatlas-gene-1701","BSGatlas-gene-1701")</f>
        <v>BSGatlas-gene-1701</v>
      </c>
      <c r="C1600" s="1" t="s">
        <v>1598</v>
      </c>
      <c r="D1600" s="1" t="s">
        <v>8</v>
      </c>
      <c r="E1600" s="3">
        <v>1499889</v>
      </c>
      <c r="F1600" s="3">
        <v>1501646</v>
      </c>
      <c r="G1600" s="1" t="s">
        <v>9</v>
      </c>
      <c r="H1600" s="1" t="b">
        <f t="shared" si="56"/>
        <v>1</v>
      </c>
    </row>
    <row r="1601" spans="1:8" ht="21" x14ac:dyDescent="0.25">
      <c r="A1601" s="2" t="str">
        <f t="shared" si="58"/>
        <v>BSGatlas-operon-855</v>
      </c>
      <c r="B1601" s="2" t="str">
        <f>HYPERLINK("https://rth.dk/resources/bsgatlas/details.php?id=BSGatlas-gene-1702","BSGatlas-gene-1702")</f>
        <v>BSGatlas-gene-1702</v>
      </c>
      <c r="C1601" s="1" t="s">
        <v>1599</v>
      </c>
      <c r="D1601" s="1" t="s">
        <v>8</v>
      </c>
      <c r="E1601" s="3">
        <v>1501658</v>
      </c>
      <c r="F1601" s="3">
        <v>1503472</v>
      </c>
      <c r="G1601" s="1" t="s">
        <v>9</v>
      </c>
      <c r="H1601" s="1" t="b">
        <f t="shared" si="56"/>
        <v>1</v>
      </c>
    </row>
    <row r="1602" spans="1:8" ht="21" x14ac:dyDescent="0.25">
      <c r="A1602" s="2" t="str">
        <f t="shared" si="58"/>
        <v>BSGatlas-operon-855</v>
      </c>
      <c r="B1602" s="2" t="str">
        <f>HYPERLINK("https://rth.dk/resources/bsgatlas/details.php?id=BSGatlas-gene-1703","BSGatlas-gene-1703")</f>
        <v>BSGatlas-gene-1703</v>
      </c>
      <c r="C1602" s="1" t="s">
        <v>1600</v>
      </c>
      <c r="D1602" s="1" t="s">
        <v>8</v>
      </c>
      <c r="E1602" s="3">
        <v>1503582</v>
      </c>
      <c r="F1602" s="3">
        <v>1504277</v>
      </c>
      <c r="G1602" s="1" t="s">
        <v>9</v>
      </c>
      <c r="H1602" s="1" t="b">
        <f t="shared" ref="H1602:H1665" si="59">_xlfn.XOR(A1601&lt;&gt;A1602,H1601)</f>
        <v>1</v>
      </c>
    </row>
    <row r="1603" spans="1:8" ht="21" x14ac:dyDescent="0.25">
      <c r="A1603" s="2" t="str">
        <f t="shared" si="58"/>
        <v>BSGatlas-operon-855</v>
      </c>
      <c r="B1603" s="2" t="str">
        <f>HYPERLINK("https://rth.dk/resources/bsgatlas/details.php?id=BSGatlas-gene-1704","BSGatlas-gene-1704")</f>
        <v>BSGatlas-gene-1704</v>
      </c>
      <c r="C1603" s="1" t="s">
        <v>1601</v>
      </c>
      <c r="D1603" s="1" t="s">
        <v>8</v>
      </c>
      <c r="E1603" s="3">
        <v>1504282</v>
      </c>
      <c r="F1603" s="3">
        <v>1505415</v>
      </c>
      <c r="G1603" s="1" t="s">
        <v>9</v>
      </c>
      <c r="H1603" s="1" t="b">
        <f t="shared" si="59"/>
        <v>1</v>
      </c>
    </row>
    <row r="1604" spans="1:8" ht="21" x14ac:dyDescent="0.25">
      <c r="A1604" s="2" t="str">
        <f t="shared" si="58"/>
        <v>BSGatlas-operon-855</v>
      </c>
      <c r="B1604" s="2" t="str">
        <f>HYPERLINK("https://rth.dk/resources/bsgatlas/details.php?id=BSGatlas-gene-1705","BSGatlas-gene-1705")</f>
        <v>BSGatlas-gene-1705</v>
      </c>
      <c r="C1604" s="1" t="s">
        <v>1602</v>
      </c>
      <c r="D1604" s="1" t="s">
        <v>8</v>
      </c>
      <c r="E1604" s="3">
        <v>1505416</v>
      </c>
      <c r="F1604" s="3">
        <v>1506108</v>
      </c>
      <c r="G1604" s="1" t="s">
        <v>9</v>
      </c>
      <c r="H1604" s="1" t="b">
        <f t="shared" si="59"/>
        <v>1</v>
      </c>
    </row>
    <row r="1605" spans="1:8" ht="21" x14ac:dyDescent="0.25">
      <c r="A1605" s="2" t="str">
        <f t="shared" si="58"/>
        <v>BSGatlas-operon-855</v>
      </c>
      <c r="B1605" s="2" t="str">
        <f>HYPERLINK("https://rth.dk/resources/bsgatlas/details.php?id=BSGatlas-gene-1706","BSGatlas-gene-1706")</f>
        <v>BSGatlas-gene-1706</v>
      </c>
      <c r="C1605" s="1" t="s">
        <v>1603</v>
      </c>
      <c r="D1605" s="1" t="s">
        <v>8</v>
      </c>
      <c r="E1605" s="3">
        <v>1506105</v>
      </c>
      <c r="F1605" s="3">
        <v>1507298</v>
      </c>
      <c r="G1605" s="1" t="s">
        <v>9</v>
      </c>
      <c r="H1605" s="1" t="b">
        <f t="shared" si="59"/>
        <v>1</v>
      </c>
    </row>
    <row r="1606" spans="1:8" ht="21" x14ac:dyDescent="0.25">
      <c r="A1606" s="2" t="str">
        <f>HYPERLINK("https://rth.dk/resources/bsgatlas/details.php?id=BSGatlas-operon-856","BSGatlas-operon-856")</f>
        <v>BSGatlas-operon-856</v>
      </c>
      <c r="B1606" s="2" t="str">
        <f>HYPERLINK("https://rth.dk/resources/bsgatlas/details.php?id=BSGatlas-gene-1707","BSGatlas-gene-1707")</f>
        <v>BSGatlas-gene-1707</v>
      </c>
      <c r="C1606" s="1" t="s">
        <v>1604</v>
      </c>
      <c r="D1606" s="1" t="s">
        <v>8</v>
      </c>
      <c r="E1606" s="3">
        <v>1507578</v>
      </c>
      <c r="F1606" s="3">
        <v>1508333</v>
      </c>
      <c r="G1606" s="1" t="s">
        <v>9</v>
      </c>
      <c r="H1606" s="1" t="b">
        <f t="shared" si="59"/>
        <v>0</v>
      </c>
    </row>
    <row r="1607" spans="1:8" ht="21" x14ac:dyDescent="0.25">
      <c r="A1607" s="2" t="str">
        <f>HYPERLINK("https://rth.dk/resources/bsgatlas/details.php?id=BSGatlas-operon-856","BSGatlas-operon-856")</f>
        <v>BSGatlas-operon-856</v>
      </c>
      <c r="B1607" s="2" t="str">
        <f>HYPERLINK("https://rth.dk/resources/bsgatlas/details.php?id=BSGatlas-gene-1708","BSGatlas-gene-1708")</f>
        <v>BSGatlas-gene-1708</v>
      </c>
      <c r="C1607" s="1" t="s">
        <v>1605</v>
      </c>
      <c r="D1607" s="1" t="s">
        <v>8</v>
      </c>
      <c r="E1607" s="3">
        <v>1508330</v>
      </c>
      <c r="F1607" s="3">
        <v>1509241</v>
      </c>
      <c r="G1607" s="1" t="s">
        <v>9</v>
      </c>
      <c r="H1607" s="1" t="b">
        <f t="shared" si="59"/>
        <v>0</v>
      </c>
    </row>
    <row r="1608" spans="1:8" ht="21" x14ac:dyDescent="0.25">
      <c r="A1608" s="2" t="str">
        <f>HYPERLINK("https://rth.dk/resources/bsgatlas/details.php?id=BSGatlas-operon-856","BSGatlas-operon-856")</f>
        <v>BSGatlas-operon-856</v>
      </c>
      <c r="B1608" s="2" t="str">
        <f>HYPERLINK("https://rth.dk/resources/bsgatlas/details.php?id=BSGatlas-gene-1709","BSGatlas-gene-1709")</f>
        <v>BSGatlas-gene-1709</v>
      </c>
      <c r="C1608" s="1" t="s">
        <v>1606</v>
      </c>
      <c r="D1608" s="1" t="s">
        <v>8</v>
      </c>
      <c r="E1608" s="3">
        <v>1509256</v>
      </c>
      <c r="F1608" s="3">
        <v>1511163</v>
      </c>
      <c r="G1608" s="1" t="s">
        <v>9</v>
      </c>
      <c r="H1608" s="1" t="b">
        <f t="shared" si="59"/>
        <v>0</v>
      </c>
    </row>
    <row r="1609" spans="1:8" ht="21" x14ac:dyDescent="0.25">
      <c r="A1609" s="2" t="str">
        <f>HYPERLINK("https://rth.dk/resources/bsgatlas/details.php?id=BSGatlas-operon-857","BSGatlas-operon-857")</f>
        <v>BSGatlas-operon-857</v>
      </c>
      <c r="B1609" s="2" t="str">
        <f>HYPERLINK("https://rth.dk/resources/bsgatlas/details.php?id=BSGatlas-gene-1710","BSGatlas-gene-1710")</f>
        <v>BSGatlas-gene-1710</v>
      </c>
      <c r="C1609" s="1" t="s">
        <v>1607</v>
      </c>
      <c r="D1609" s="1" t="s">
        <v>8</v>
      </c>
      <c r="E1609" s="3">
        <v>1511308</v>
      </c>
      <c r="F1609" s="3">
        <v>1511889</v>
      </c>
      <c r="G1609" s="1" t="s">
        <v>9</v>
      </c>
      <c r="H1609" s="1" t="b">
        <f t="shared" si="59"/>
        <v>1</v>
      </c>
    </row>
    <row r="1610" spans="1:8" ht="21" x14ac:dyDescent="0.25">
      <c r="A1610" s="2" t="str">
        <f>HYPERLINK("https://rth.dk/resources/bsgatlas/details.php?id=BSGatlas-operon-858","BSGatlas-operon-858")</f>
        <v>BSGatlas-operon-858</v>
      </c>
      <c r="B1610" s="2" t="str">
        <f>HYPERLINK("https://rth.dk/resources/bsgatlas/details.php?id=BSGatlas-gene-1711","BSGatlas-gene-1711")</f>
        <v>BSGatlas-gene-1711</v>
      </c>
      <c r="C1610" s="1" t="s">
        <v>1608</v>
      </c>
      <c r="D1610" s="1" t="s">
        <v>8</v>
      </c>
      <c r="E1610" s="3">
        <v>1511923</v>
      </c>
      <c r="F1610" s="3">
        <v>1512192</v>
      </c>
      <c r="G1610" s="1" t="s">
        <v>13</v>
      </c>
      <c r="H1610" s="1" t="b">
        <f t="shared" si="59"/>
        <v>0</v>
      </c>
    </row>
    <row r="1611" spans="1:8" ht="21" x14ac:dyDescent="0.25">
      <c r="A1611" s="2" t="str">
        <f>HYPERLINK("https://rth.dk/resources/bsgatlas/details.php?id=BSGatlas-operon-859","BSGatlas-operon-859")</f>
        <v>BSGatlas-operon-859</v>
      </c>
      <c r="B1611" s="2" t="str">
        <f>HYPERLINK("https://rth.dk/resources/bsgatlas/details.php?id=BSGatlas-gene-1712","BSGatlas-gene-1712")</f>
        <v>BSGatlas-gene-1712</v>
      </c>
      <c r="C1611" s="1" t="s">
        <v>1609</v>
      </c>
      <c r="D1611" s="1" t="s">
        <v>8</v>
      </c>
      <c r="E1611" s="3">
        <v>1512373</v>
      </c>
      <c r="F1611" s="3">
        <v>1513995</v>
      </c>
      <c r="G1611" s="1" t="s">
        <v>9</v>
      </c>
      <c r="H1611" s="1" t="b">
        <f t="shared" si="59"/>
        <v>1</v>
      </c>
    </row>
    <row r="1612" spans="1:8" ht="21" x14ac:dyDescent="0.25">
      <c r="A1612" s="2" t="str">
        <f>HYPERLINK("https://rth.dk/resources/bsgatlas/details.php?id=BSGatlas-operon-859","BSGatlas-operon-859")</f>
        <v>BSGatlas-operon-859</v>
      </c>
      <c r="B1612" s="2" t="str">
        <f>HYPERLINK("https://rth.dk/resources/bsgatlas/details.php?id=BSGatlas-gene-1713","BSGatlas-gene-1713")</f>
        <v>BSGatlas-gene-1713</v>
      </c>
      <c r="C1612" s="1" t="s">
        <v>1610</v>
      </c>
      <c r="D1612" s="1" t="s">
        <v>8</v>
      </c>
      <c r="E1612" s="3">
        <v>1514052</v>
      </c>
      <c r="F1612" s="3">
        <v>1514963</v>
      </c>
      <c r="G1612" s="1" t="s">
        <v>9</v>
      </c>
      <c r="H1612" s="1" t="b">
        <f t="shared" si="59"/>
        <v>1</v>
      </c>
    </row>
    <row r="1613" spans="1:8" ht="21" x14ac:dyDescent="0.25">
      <c r="A1613" s="2" t="str">
        <f>HYPERLINK("https://rth.dk/resources/bsgatlas/details.php?id=BSGatlas-operon-860","BSGatlas-operon-860")</f>
        <v>BSGatlas-operon-860</v>
      </c>
      <c r="B1613" s="2" t="str">
        <f>HYPERLINK("https://rth.dk/resources/bsgatlas/details.php?id=BSGatlas-gene-1714","BSGatlas-gene-1714")</f>
        <v>BSGatlas-gene-1714</v>
      </c>
      <c r="C1613" s="1" t="s">
        <v>1611</v>
      </c>
      <c r="D1613" s="1" t="s">
        <v>8</v>
      </c>
      <c r="E1613" s="3">
        <v>1514997</v>
      </c>
      <c r="F1613" s="3">
        <v>1516229</v>
      </c>
      <c r="G1613" s="1" t="s">
        <v>13</v>
      </c>
      <c r="H1613" s="1" t="b">
        <f t="shared" si="59"/>
        <v>0</v>
      </c>
    </row>
    <row r="1614" spans="1:8" ht="21" x14ac:dyDescent="0.25">
      <c r="A1614" s="2" t="str">
        <f>HYPERLINK("https://rth.dk/resources/bsgatlas/details.php?id=BSGatlas-operon-861","BSGatlas-operon-861")</f>
        <v>BSGatlas-operon-861</v>
      </c>
      <c r="B1614" s="2" t="str">
        <f>HYPERLINK("https://rth.dk/resources/bsgatlas/details.php?id=BSGatlas-gene-1715","BSGatlas-gene-1715")</f>
        <v>BSGatlas-gene-1715</v>
      </c>
      <c r="C1614" s="1" t="s">
        <v>1612</v>
      </c>
      <c r="D1614" s="1" t="s">
        <v>8</v>
      </c>
      <c r="E1614" s="3">
        <v>1516339</v>
      </c>
      <c r="F1614" s="3">
        <v>1516473</v>
      </c>
      <c r="G1614" s="1" t="s">
        <v>13</v>
      </c>
      <c r="H1614" s="1" t="b">
        <f t="shared" si="59"/>
        <v>1</v>
      </c>
    </row>
    <row r="1615" spans="1:8" ht="21" x14ac:dyDescent="0.25">
      <c r="A1615" s="2" t="str">
        <f>HYPERLINK("https://rth.dk/resources/bsgatlas/details.php?id=BSGatlas-operon-861","BSGatlas-operon-861")</f>
        <v>BSGatlas-operon-861</v>
      </c>
      <c r="B1615" s="2" t="str">
        <f>HYPERLINK("https://rth.dk/resources/bsgatlas/details.php?id=BSGatlas-gene-1716","BSGatlas-gene-1716")</f>
        <v>BSGatlas-gene-1716</v>
      </c>
      <c r="C1615" s="1" t="s">
        <v>1613</v>
      </c>
      <c r="D1615" s="1" t="s">
        <v>8</v>
      </c>
      <c r="E1615" s="3">
        <v>1516574</v>
      </c>
      <c r="F1615" s="3">
        <v>1517581</v>
      </c>
      <c r="G1615" s="1" t="s">
        <v>13</v>
      </c>
      <c r="H1615" s="1" t="b">
        <f t="shared" si="59"/>
        <v>1</v>
      </c>
    </row>
    <row r="1616" spans="1:8" ht="21" x14ac:dyDescent="0.25">
      <c r="A1616" s="2" t="str">
        <f>HYPERLINK("https://rth.dk/resources/bsgatlas/details.php?id=BSGatlas-operon-862","BSGatlas-operon-862")</f>
        <v>BSGatlas-operon-862</v>
      </c>
      <c r="B1616" s="2" t="str">
        <f>HYPERLINK("https://rth.dk/resources/bsgatlas/details.php?id=BSGatlas-gene-1717","BSGatlas-gene-1717")</f>
        <v>BSGatlas-gene-1717</v>
      </c>
      <c r="C1616" s="1" t="s">
        <v>1614</v>
      </c>
      <c r="D1616" s="1" t="s">
        <v>8</v>
      </c>
      <c r="E1616" s="3">
        <v>1517865</v>
      </c>
      <c r="F1616" s="3">
        <v>1518143</v>
      </c>
      <c r="G1616" s="1" t="s">
        <v>9</v>
      </c>
      <c r="H1616" s="1" t="b">
        <f t="shared" si="59"/>
        <v>0</v>
      </c>
    </row>
    <row r="1617" spans="1:8" ht="21" x14ac:dyDescent="0.25">
      <c r="A1617" s="2" t="str">
        <f>HYPERLINK("https://rth.dk/resources/bsgatlas/details.php?id=BSGatlas-operon-863","BSGatlas-operon-863")</f>
        <v>BSGatlas-operon-863</v>
      </c>
      <c r="B1617" s="2" t="str">
        <f>HYPERLINK("https://rth.dk/resources/bsgatlas/details.php?id=BSGatlas-gene-1718","BSGatlas-gene-1718")</f>
        <v>BSGatlas-gene-1718</v>
      </c>
      <c r="C1617" s="1" t="s">
        <v>1615</v>
      </c>
      <c r="D1617" s="1" t="s">
        <v>12</v>
      </c>
      <c r="E1617" s="3">
        <v>1518175</v>
      </c>
      <c r="F1617" s="3">
        <v>1519804</v>
      </c>
      <c r="G1617" s="1" t="s">
        <v>13</v>
      </c>
      <c r="H1617" s="1" t="b">
        <f t="shared" si="59"/>
        <v>1</v>
      </c>
    </row>
    <row r="1618" spans="1:8" ht="21" x14ac:dyDescent="0.25">
      <c r="A1618" s="2" t="str">
        <f>HYPERLINK("https://rth.dk/resources/bsgatlas/details.php?id=BSGatlas-operon-864","BSGatlas-operon-864")</f>
        <v>BSGatlas-operon-864</v>
      </c>
      <c r="B1618" s="2" t="str">
        <f>HYPERLINK("https://rth.dk/resources/bsgatlas/details.php?id=BSGatlas-gene-1719","BSGatlas-gene-1719")</f>
        <v>BSGatlas-gene-1719</v>
      </c>
      <c r="C1618" s="1" t="s">
        <v>1616</v>
      </c>
      <c r="D1618" s="1" t="s">
        <v>8</v>
      </c>
      <c r="E1618" s="3">
        <v>1518333</v>
      </c>
      <c r="F1618" s="3">
        <v>1519619</v>
      </c>
      <c r="G1618" s="1" t="s">
        <v>9</v>
      </c>
      <c r="H1618" s="1" t="b">
        <f t="shared" si="59"/>
        <v>0</v>
      </c>
    </row>
    <row r="1619" spans="1:8" ht="21" x14ac:dyDescent="0.25">
      <c r="A1619" s="2" t="str">
        <f>HYPERLINK("https://rth.dk/resources/bsgatlas/details.php?id=BSGatlas-operon-864","BSGatlas-operon-864")</f>
        <v>BSGatlas-operon-864</v>
      </c>
      <c r="B1619" s="2" t="str">
        <f>HYPERLINK("https://rth.dk/resources/bsgatlas/details.php?id=BSGatlas-gene-1720","BSGatlas-gene-1720")</f>
        <v>BSGatlas-gene-1720</v>
      </c>
      <c r="C1619" s="1" t="s">
        <v>1617</v>
      </c>
      <c r="D1619" s="1" t="s">
        <v>8</v>
      </c>
      <c r="E1619" s="3">
        <v>1519635</v>
      </c>
      <c r="F1619" s="3">
        <v>1520468</v>
      </c>
      <c r="G1619" s="1" t="s">
        <v>9</v>
      </c>
      <c r="H1619" s="1" t="b">
        <f t="shared" si="59"/>
        <v>0</v>
      </c>
    </row>
    <row r="1620" spans="1:8" ht="21" x14ac:dyDescent="0.25">
      <c r="A1620" s="2" t="str">
        <f>HYPERLINK("https://rth.dk/resources/bsgatlas/details.php?id=BSGatlas-operon-864","BSGatlas-operon-864")</f>
        <v>BSGatlas-operon-864</v>
      </c>
      <c r="B1620" s="2" t="str">
        <f>HYPERLINK("https://rth.dk/resources/bsgatlas/details.php?id=BSGatlas-gene-1721","BSGatlas-gene-1721")</f>
        <v>BSGatlas-gene-1721</v>
      </c>
      <c r="C1620" s="1" t="s">
        <v>1618</v>
      </c>
      <c r="D1620" s="1" t="s">
        <v>8</v>
      </c>
      <c r="E1620" s="3">
        <v>1520531</v>
      </c>
      <c r="F1620" s="3">
        <v>1521196</v>
      </c>
      <c r="G1620" s="1" t="s">
        <v>9</v>
      </c>
      <c r="H1620" s="1" t="b">
        <f t="shared" si="59"/>
        <v>0</v>
      </c>
    </row>
    <row r="1621" spans="1:8" ht="21" x14ac:dyDescent="0.25">
      <c r="A1621" s="2" t="str">
        <f>HYPERLINK("https://rth.dk/resources/bsgatlas/details.php?id=BSGatlas-operon-865","BSGatlas-operon-865")</f>
        <v>BSGatlas-operon-865</v>
      </c>
      <c r="B1621" s="2" t="str">
        <f>HYPERLINK("https://rth.dk/resources/bsgatlas/details.php?id=BSGatlas-gene-1722","BSGatlas-gene-1722")</f>
        <v>BSGatlas-gene-1722</v>
      </c>
      <c r="C1621" s="1" t="s">
        <v>1619</v>
      </c>
      <c r="D1621" s="1" t="s">
        <v>8</v>
      </c>
      <c r="E1621" s="3">
        <v>1521351</v>
      </c>
      <c r="F1621" s="3">
        <v>1523084</v>
      </c>
      <c r="G1621" s="1" t="s">
        <v>9</v>
      </c>
      <c r="H1621" s="1" t="b">
        <f t="shared" si="59"/>
        <v>1</v>
      </c>
    </row>
    <row r="1622" spans="1:8" ht="21" x14ac:dyDescent="0.25">
      <c r="A1622" s="2" t="str">
        <f>HYPERLINK("https://rth.dk/resources/bsgatlas/details.php?id=BSGatlas-operon-866","BSGatlas-operon-866")</f>
        <v>BSGatlas-operon-866</v>
      </c>
      <c r="B1622" s="2" t="str">
        <f>HYPERLINK("https://rth.dk/resources/bsgatlas/details.php?id=BSGatlas-gene-1723","BSGatlas-gene-1723")</f>
        <v>BSGatlas-gene-1723</v>
      </c>
      <c r="C1622" s="1" t="s">
        <v>1620</v>
      </c>
      <c r="D1622" s="1" t="s">
        <v>8</v>
      </c>
      <c r="E1622" s="3">
        <v>1523118</v>
      </c>
      <c r="F1622" s="3">
        <v>1524785</v>
      </c>
      <c r="G1622" s="1" t="s">
        <v>13</v>
      </c>
      <c r="H1622" s="1" t="b">
        <f t="shared" si="59"/>
        <v>0</v>
      </c>
    </row>
    <row r="1623" spans="1:8" ht="21" x14ac:dyDescent="0.25">
      <c r="A1623" s="2" t="str">
        <f>HYPERLINK("https://rth.dk/resources/bsgatlas/details.php?id=BSGatlas-operon-866","BSGatlas-operon-866")</f>
        <v>BSGatlas-operon-866</v>
      </c>
      <c r="B1623" s="2" t="str">
        <f>HYPERLINK("https://rth.dk/resources/bsgatlas/details.php?id=BSGatlas-gene-1724","BSGatlas-gene-1724")</f>
        <v>BSGatlas-gene-1724</v>
      </c>
      <c r="C1623" s="1" t="s">
        <v>1621</v>
      </c>
      <c r="D1623" s="1" t="s">
        <v>8</v>
      </c>
      <c r="E1623" s="3">
        <v>1524791</v>
      </c>
      <c r="F1623" s="3">
        <v>1525000</v>
      </c>
      <c r="G1623" s="1" t="s">
        <v>13</v>
      </c>
      <c r="H1623" s="1" t="b">
        <f t="shared" si="59"/>
        <v>0</v>
      </c>
    </row>
    <row r="1624" spans="1:8" ht="21" x14ac:dyDescent="0.25">
      <c r="A1624" s="2" t="str">
        <f>HYPERLINK("https://rth.dk/resources/bsgatlas/details.php?id=BSGatlas-operon-867","BSGatlas-operon-867")</f>
        <v>BSGatlas-operon-867</v>
      </c>
      <c r="B1624" s="2" t="str">
        <f>HYPERLINK("https://rth.dk/resources/bsgatlas/details.php?id=BSGatlas-gene-1725","BSGatlas-gene-1725")</f>
        <v>BSGatlas-gene-1725</v>
      </c>
      <c r="C1624" s="1" t="s">
        <v>1622</v>
      </c>
      <c r="D1624" s="1" t="s">
        <v>8</v>
      </c>
      <c r="E1624" s="3">
        <v>1525386</v>
      </c>
      <c r="F1624" s="3">
        <v>1526159</v>
      </c>
      <c r="G1624" s="1" t="s">
        <v>9</v>
      </c>
      <c r="H1624" s="1" t="b">
        <f t="shared" si="59"/>
        <v>1</v>
      </c>
    </row>
    <row r="1625" spans="1:8" ht="21" x14ac:dyDescent="0.25">
      <c r="A1625" s="2" t="str">
        <f>HYPERLINK("https://rth.dk/resources/bsgatlas/details.php?id=BSGatlas-operon-868","BSGatlas-operon-868")</f>
        <v>BSGatlas-operon-868</v>
      </c>
      <c r="B1625" s="2" t="str">
        <f>HYPERLINK("https://rth.dk/resources/bsgatlas/details.php?id=BSGatlas-gene-1726","BSGatlas-gene-1726")</f>
        <v>BSGatlas-gene-1726</v>
      </c>
      <c r="C1625" s="1" t="s">
        <v>1623</v>
      </c>
      <c r="D1625" s="1" t="s">
        <v>8</v>
      </c>
      <c r="E1625" s="3">
        <v>1526195</v>
      </c>
      <c r="F1625" s="3">
        <v>1526749</v>
      </c>
      <c r="G1625" s="1" t="s">
        <v>13</v>
      </c>
      <c r="H1625" s="1" t="b">
        <f t="shared" si="59"/>
        <v>0</v>
      </c>
    </row>
    <row r="1626" spans="1:8" ht="21" x14ac:dyDescent="0.25">
      <c r="A1626" s="2" t="str">
        <f>HYPERLINK("https://rth.dk/resources/bsgatlas/details.php?id=BSGatlas-operon-869","BSGatlas-operon-869")</f>
        <v>BSGatlas-operon-869</v>
      </c>
      <c r="B1626" s="2" t="str">
        <f>HYPERLINK("https://rth.dk/resources/bsgatlas/details.php?id=BSGatlas-gene-1727","BSGatlas-gene-1727")</f>
        <v>BSGatlas-gene-1727</v>
      </c>
      <c r="C1626" s="1" t="s">
        <v>1624</v>
      </c>
      <c r="D1626" s="1" t="s">
        <v>8</v>
      </c>
      <c r="E1626" s="3">
        <v>1526859</v>
      </c>
      <c r="F1626" s="3">
        <v>1527017</v>
      </c>
      <c r="G1626" s="1" t="s">
        <v>13</v>
      </c>
      <c r="H1626" s="1" t="b">
        <f t="shared" si="59"/>
        <v>1</v>
      </c>
    </row>
    <row r="1627" spans="1:8" ht="21" x14ac:dyDescent="0.25">
      <c r="A1627" s="2" t="str">
        <f>HYPERLINK("https://rth.dk/resources/bsgatlas/details.php?id=BSGatlas-operon-870","BSGatlas-operon-870")</f>
        <v>BSGatlas-operon-870</v>
      </c>
      <c r="B1627" s="2" t="str">
        <f>HYPERLINK("https://rth.dk/resources/bsgatlas/details.php?id=BSGatlas-gene-1728","BSGatlas-gene-1728")</f>
        <v>BSGatlas-gene-1728</v>
      </c>
      <c r="C1627" s="1" t="s">
        <v>318</v>
      </c>
      <c r="D1627" s="1" t="s">
        <v>8</v>
      </c>
      <c r="E1627" s="3">
        <v>1526924</v>
      </c>
      <c r="F1627" s="3">
        <v>1527067</v>
      </c>
      <c r="G1627" s="1" t="s">
        <v>13</v>
      </c>
      <c r="H1627" s="1" t="b">
        <f t="shared" si="59"/>
        <v>0</v>
      </c>
    </row>
    <row r="1628" spans="1:8" ht="21" x14ac:dyDescent="0.25">
      <c r="A1628" s="2" t="str">
        <f>HYPERLINK("https://rth.dk/resources/bsgatlas/details.php?id=BSGatlas-operon-871","BSGatlas-operon-871")</f>
        <v>BSGatlas-operon-871</v>
      </c>
      <c r="B1628" s="2" t="str">
        <f>HYPERLINK("https://rth.dk/resources/bsgatlas/details.php?id=BSGatlas-gene-1729","BSGatlas-gene-1729")</f>
        <v>BSGatlas-gene-1729</v>
      </c>
      <c r="C1628" s="1" t="s">
        <v>1625</v>
      </c>
      <c r="D1628" s="1" t="s">
        <v>8</v>
      </c>
      <c r="E1628" s="3">
        <v>1527231</v>
      </c>
      <c r="F1628" s="3">
        <v>1527902</v>
      </c>
      <c r="G1628" s="1" t="s">
        <v>9</v>
      </c>
      <c r="H1628" s="1" t="b">
        <f t="shared" si="59"/>
        <v>1</v>
      </c>
    </row>
    <row r="1629" spans="1:8" ht="21" x14ac:dyDescent="0.25">
      <c r="A1629" s="2" t="str">
        <f>HYPERLINK("https://rth.dk/resources/bsgatlas/details.php?id=BSGatlas-operon-872","BSGatlas-operon-872")</f>
        <v>BSGatlas-operon-872</v>
      </c>
      <c r="B1629" s="2" t="str">
        <f>HYPERLINK("https://rth.dk/resources/bsgatlas/details.php?id=BSGatlas-gene-1730","BSGatlas-gene-1730")</f>
        <v>BSGatlas-gene-1730</v>
      </c>
      <c r="C1629" s="1" t="s">
        <v>1626</v>
      </c>
      <c r="D1629" s="1" t="s">
        <v>8</v>
      </c>
      <c r="E1629" s="3">
        <v>1528326</v>
      </c>
      <c r="F1629" s="3">
        <v>1529441</v>
      </c>
      <c r="G1629" s="1" t="s">
        <v>9</v>
      </c>
      <c r="H1629" s="1" t="b">
        <f t="shared" si="59"/>
        <v>0</v>
      </c>
    </row>
    <row r="1630" spans="1:8" ht="21" x14ac:dyDescent="0.25">
      <c r="A1630" s="2" t="str">
        <f>HYPERLINK("https://rth.dk/resources/bsgatlas/details.php?id=BSGatlas-operon-872","BSGatlas-operon-872")</f>
        <v>BSGatlas-operon-872</v>
      </c>
      <c r="B1630" s="2" t="str">
        <f>HYPERLINK("https://rth.dk/resources/bsgatlas/details.php?id=BSGatlas-gene-1731","BSGatlas-gene-1731")</f>
        <v>BSGatlas-gene-1731</v>
      </c>
      <c r="C1630" s="1" t="s">
        <v>1627</v>
      </c>
      <c r="D1630" s="1" t="s">
        <v>8</v>
      </c>
      <c r="E1630" s="3">
        <v>1529445</v>
      </c>
      <c r="F1630" s="3">
        <v>1530422</v>
      </c>
      <c r="G1630" s="1" t="s">
        <v>9</v>
      </c>
      <c r="H1630" s="1" t="b">
        <f t="shared" si="59"/>
        <v>0</v>
      </c>
    </row>
    <row r="1631" spans="1:8" ht="21" x14ac:dyDescent="0.25">
      <c r="A1631" s="2" t="str">
        <f>HYPERLINK("https://rth.dk/resources/bsgatlas/details.php?id=BSGatlas-operon-872","BSGatlas-operon-872")</f>
        <v>BSGatlas-operon-872</v>
      </c>
      <c r="B1631" s="2" t="str">
        <f>HYPERLINK("https://rth.dk/resources/bsgatlas/details.php?id=BSGatlas-gene-1732","BSGatlas-gene-1732")</f>
        <v>BSGatlas-gene-1732</v>
      </c>
      <c r="C1631" s="1" t="s">
        <v>1628</v>
      </c>
      <c r="D1631" s="1" t="s">
        <v>8</v>
      </c>
      <c r="E1631" s="3">
        <v>1530537</v>
      </c>
      <c r="F1631" s="3">
        <v>1531865</v>
      </c>
      <c r="G1631" s="1" t="s">
        <v>9</v>
      </c>
      <c r="H1631" s="1" t="b">
        <f t="shared" si="59"/>
        <v>0</v>
      </c>
    </row>
    <row r="1632" spans="1:8" ht="21" x14ac:dyDescent="0.25">
      <c r="A1632" s="2" t="str">
        <f>HYPERLINK("https://rth.dk/resources/bsgatlas/details.php?id=BSGatlas-operon-872","BSGatlas-operon-872")</f>
        <v>BSGatlas-operon-872</v>
      </c>
      <c r="B1632" s="2" t="str">
        <f>HYPERLINK("https://rth.dk/resources/bsgatlas/details.php?id=BSGatlas-gene-1733","BSGatlas-gene-1733")</f>
        <v>BSGatlas-gene-1733</v>
      </c>
      <c r="C1632" s="1" t="s">
        <v>1629</v>
      </c>
      <c r="D1632" s="1" t="s">
        <v>8</v>
      </c>
      <c r="E1632" s="3">
        <v>1531870</v>
      </c>
      <c r="F1632" s="3">
        <v>1533282</v>
      </c>
      <c r="G1632" s="1" t="s">
        <v>9</v>
      </c>
      <c r="H1632" s="1" t="b">
        <f t="shared" si="59"/>
        <v>0</v>
      </c>
    </row>
    <row r="1633" spans="1:8" ht="21" x14ac:dyDescent="0.25">
      <c r="A1633" s="2" t="str">
        <f>HYPERLINK("https://rth.dk/resources/bsgatlas/details.php?id=BSGatlas-operon-873","BSGatlas-operon-873")</f>
        <v>BSGatlas-operon-873</v>
      </c>
      <c r="B1633" s="2" t="str">
        <f>HYPERLINK("https://rth.dk/resources/bsgatlas/details.php?id=BSGatlas-gene-1734","BSGatlas-gene-1734")</f>
        <v>BSGatlas-gene-1734</v>
      </c>
      <c r="C1633" s="1" t="s">
        <v>1630</v>
      </c>
      <c r="D1633" s="1" t="s">
        <v>8</v>
      </c>
      <c r="E1633" s="3">
        <v>1533327</v>
      </c>
      <c r="F1633" s="3">
        <v>1533701</v>
      </c>
      <c r="G1633" s="1" t="s">
        <v>13</v>
      </c>
      <c r="H1633" s="1" t="b">
        <f t="shared" si="59"/>
        <v>1</v>
      </c>
    </row>
    <row r="1634" spans="1:8" ht="21" x14ac:dyDescent="0.25">
      <c r="A1634" s="2" t="str">
        <f>HYPERLINK("https://rth.dk/resources/bsgatlas/details.php?id=BSGatlas-operon-874","BSGatlas-operon-874")</f>
        <v>BSGatlas-operon-874</v>
      </c>
      <c r="B1634" s="2" t="str">
        <f>HYPERLINK("https://rth.dk/resources/bsgatlas/details.php?id=BSGatlas-gene-1735","BSGatlas-gene-1735")</f>
        <v>BSGatlas-gene-1735</v>
      </c>
      <c r="C1634" s="1" t="s">
        <v>1631</v>
      </c>
      <c r="D1634" s="1" t="s">
        <v>55</v>
      </c>
      <c r="E1634" s="3">
        <v>1534069</v>
      </c>
      <c r="F1634" s="3">
        <v>1534280</v>
      </c>
      <c r="G1634" s="1" t="s">
        <v>9</v>
      </c>
      <c r="H1634" s="1" t="b">
        <f t="shared" si="59"/>
        <v>0</v>
      </c>
    </row>
    <row r="1635" spans="1:8" ht="21" x14ac:dyDescent="0.25">
      <c r="A1635" s="2" t="str">
        <f>HYPERLINK("https://rth.dk/resources/bsgatlas/details.php?id=BSGatlas-operon-874","BSGatlas-operon-874")</f>
        <v>BSGatlas-operon-874</v>
      </c>
      <c r="B1635" s="2" t="str">
        <f>HYPERLINK("https://rth.dk/resources/bsgatlas/details.php?id=BSGatlas-gene-1736","BSGatlas-gene-1736")</f>
        <v>BSGatlas-gene-1736</v>
      </c>
      <c r="C1635" s="1" t="s">
        <v>1632</v>
      </c>
      <c r="D1635" s="1" t="s">
        <v>8</v>
      </c>
      <c r="E1635" s="3">
        <v>1534120</v>
      </c>
      <c r="F1635" s="3">
        <v>1534239</v>
      </c>
      <c r="G1635" s="1" t="s">
        <v>9</v>
      </c>
      <c r="H1635" s="1" t="b">
        <f t="shared" si="59"/>
        <v>0</v>
      </c>
    </row>
    <row r="1636" spans="1:8" ht="21" x14ac:dyDescent="0.25">
      <c r="A1636" s="2" t="str">
        <f>HYPERLINK("https://rth.dk/resources/bsgatlas/details.php?id=BSGatlas-operon-875","BSGatlas-operon-875")</f>
        <v>BSGatlas-operon-875</v>
      </c>
      <c r="B1636" s="2" t="str">
        <f>HYPERLINK("https://rth.dk/resources/bsgatlas/details.php?id=BSGatlas-gene-1737","BSGatlas-gene-1737")</f>
        <v>BSGatlas-gene-1737</v>
      </c>
      <c r="C1636" s="1" t="s">
        <v>1633</v>
      </c>
      <c r="D1636" s="1" t="s">
        <v>8</v>
      </c>
      <c r="E1636" s="3">
        <v>1534279</v>
      </c>
      <c r="F1636" s="3">
        <v>1535751</v>
      </c>
      <c r="G1636" s="1" t="s">
        <v>13</v>
      </c>
      <c r="H1636" s="1" t="b">
        <f t="shared" si="59"/>
        <v>1</v>
      </c>
    </row>
    <row r="1637" spans="1:8" ht="21" x14ac:dyDescent="0.25">
      <c r="A1637" s="2" t="str">
        <f>HYPERLINK("https://rth.dk/resources/bsgatlas/details.php?id=BSGatlas-operon-876","BSGatlas-operon-876")</f>
        <v>BSGatlas-operon-876</v>
      </c>
      <c r="B1637" s="2" t="str">
        <f>HYPERLINK("https://rth.dk/resources/bsgatlas/details.php?id=BSGatlas-gene-1738","BSGatlas-gene-1738")</f>
        <v>BSGatlas-gene-1738</v>
      </c>
      <c r="C1637" s="1" t="s">
        <v>1634</v>
      </c>
      <c r="D1637" s="1" t="s">
        <v>8</v>
      </c>
      <c r="E1637" s="3">
        <v>1535936</v>
      </c>
      <c r="F1637" s="3">
        <v>1536202</v>
      </c>
      <c r="G1637" s="1" t="s">
        <v>9</v>
      </c>
      <c r="H1637" s="1" t="b">
        <f t="shared" si="59"/>
        <v>0</v>
      </c>
    </row>
    <row r="1638" spans="1:8" ht="21" x14ac:dyDescent="0.25">
      <c r="A1638" s="2" t="str">
        <f>HYPERLINK("https://rth.dk/resources/bsgatlas/details.php?id=BSGatlas-operon-877","BSGatlas-operon-877")</f>
        <v>BSGatlas-operon-877</v>
      </c>
      <c r="B1638" s="2" t="str">
        <f>HYPERLINK("https://rth.dk/resources/bsgatlas/details.php?id=BSGatlas-gene-1739","BSGatlas-gene-1739")</f>
        <v>BSGatlas-gene-1739</v>
      </c>
      <c r="C1638" s="1" t="s">
        <v>1635</v>
      </c>
      <c r="D1638" s="1" t="s">
        <v>8</v>
      </c>
      <c r="E1638" s="3">
        <v>1536235</v>
      </c>
      <c r="F1638" s="3">
        <v>1536873</v>
      </c>
      <c r="G1638" s="1" t="s">
        <v>13</v>
      </c>
      <c r="H1638" s="1" t="b">
        <f t="shared" si="59"/>
        <v>1</v>
      </c>
    </row>
    <row r="1639" spans="1:8" ht="21" x14ac:dyDescent="0.25">
      <c r="A1639" s="2" t="str">
        <f>HYPERLINK("https://rth.dk/resources/bsgatlas/details.php?id=BSGatlas-operon-878","BSGatlas-operon-878")</f>
        <v>BSGatlas-operon-878</v>
      </c>
      <c r="B1639" s="2" t="str">
        <f>HYPERLINK("https://rth.dk/resources/bsgatlas/details.php?id=BSGatlas-gene-1740","BSGatlas-gene-1740")</f>
        <v>BSGatlas-gene-1740</v>
      </c>
      <c r="C1639" s="1" t="s">
        <v>1636</v>
      </c>
      <c r="D1639" s="1" t="s">
        <v>8</v>
      </c>
      <c r="E1639" s="3">
        <v>1537113</v>
      </c>
      <c r="F1639" s="3">
        <v>1537301</v>
      </c>
      <c r="G1639" s="1" t="s">
        <v>9</v>
      </c>
      <c r="H1639" s="1" t="b">
        <f t="shared" si="59"/>
        <v>0</v>
      </c>
    </row>
    <row r="1640" spans="1:8" ht="21" x14ac:dyDescent="0.25">
      <c r="A1640" s="2" t="str">
        <f>HYPERLINK("https://rth.dk/resources/bsgatlas/details.php?id=BSGatlas-operon-879","BSGatlas-operon-879")</f>
        <v>BSGatlas-operon-879</v>
      </c>
      <c r="B1640" s="2" t="str">
        <f>HYPERLINK("https://rth.dk/resources/bsgatlas/details.php?id=BSGatlas-gene-1743","BSGatlas-gene-1743")</f>
        <v>BSGatlas-gene-1743</v>
      </c>
      <c r="C1640" s="1" t="s">
        <v>1637</v>
      </c>
      <c r="D1640" s="1" t="s">
        <v>8</v>
      </c>
      <c r="E1640" s="3">
        <v>1538770</v>
      </c>
      <c r="F1640" s="3">
        <v>1539684</v>
      </c>
      <c r="G1640" s="1" t="s">
        <v>13</v>
      </c>
      <c r="H1640" s="1" t="b">
        <f t="shared" si="59"/>
        <v>1</v>
      </c>
    </row>
    <row r="1641" spans="1:8" ht="21" x14ac:dyDescent="0.25">
      <c r="A1641" s="2" t="str">
        <f>HYPERLINK("https://rth.dk/resources/bsgatlas/details.php?id=BSGatlas-operon-880","BSGatlas-operon-880")</f>
        <v>BSGatlas-operon-880</v>
      </c>
      <c r="B1641" s="2" t="str">
        <f>HYPERLINK("https://rth.dk/resources/bsgatlas/details.php?id=BSGatlas-gene-1741","BSGatlas-gene-1741")</f>
        <v>BSGatlas-gene-1741</v>
      </c>
      <c r="C1641" s="1" t="s">
        <v>1638</v>
      </c>
      <c r="D1641" s="1" t="s">
        <v>8</v>
      </c>
      <c r="E1641" s="3">
        <v>1537441</v>
      </c>
      <c r="F1641" s="3">
        <v>1538238</v>
      </c>
      <c r="G1641" s="1" t="s">
        <v>9</v>
      </c>
      <c r="H1641" s="1" t="b">
        <f t="shared" si="59"/>
        <v>0</v>
      </c>
    </row>
    <row r="1642" spans="1:8" ht="21" x14ac:dyDescent="0.25">
      <c r="A1642" s="2" t="str">
        <f>HYPERLINK("https://rth.dk/resources/bsgatlas/details.php?id=BSGatlas-operon-880","BSGatlas-operon-880")</f>
        <v>BSGatlas-operon-880</v>
      </c>
      <c r="B1642" s="2" t="str">
        <f>HYPERLINK("https://rth.dk/resources/bsgatlas/details.php?id=BSGatlas-gene-1742","BSGatlas-gene-1742")</f>
        <v>BSGatlas-gene-1742</v>
      </c>
      <c r="C1642" s="1" t="s">
        <v>1639</v>
      </c>
      <c r="D1642" s="1" t="s">
        <v>8</v>
      </c>
      <c r="E1642" s="3">
        <v>1538264</v>
      </c>
      <c r="F1642" s="3">
        <v>1538692</v>
      </c>
      <c r="G1642" s="1" t="s">
        <v>9</v>
      </c>
      <c r="H1642" s="1" t="b">
        <f t="shared" si="59"/>
        <v>0</v>
      </c>
    </row>
    <row r="1643" spans="1:8" ht="21" x14ac:dyDescent="0.25">
      <c r="A1643" s="2" t="str">
        <f>HYPERLINK("https://rth.dk/resources/bsgatlas/details.php?id=BSGatlas-operon-881","BSGatlas-operon-881")</f>
        <v>BSGatlas-operon-881</v>
      </c>
      <c r="B1643" s="2" t="str">
        <f>HYPERLINK("https://rth.dk/resources/bsgatlas/details.php?id=BSGatlas-gene-1744","BSGatlas-gene-1744")</f>
        <v>BSGatlas-gene-1744</v>
      </c>
      <c r="C1643" s="1" t="s">
        <v>1640</v>
      </c>
      <c r="D1643" s="1" t="s">
        <v>8</v>
      </c>
      <c r="E1643" s="3">
        <v>1540036</v>
      </c>
      <c r="F1643" s="3">
        <v>1541601</v>
      </c>
      <c r="G1643" s="1" t="s">
        <v>13</v>
      </c>
      <c r="H1643" s="1" t="b">
        <f t="shared" si="59"/>
        <v>1</v>
      </c>
    </row>
    <row r="1644" spans="1:8" ht="21" x14ac:dyDescent="0.25">
      <c r="A1644" s="2" t="str">
        <f>HYPERLINK("https://rth.dk/resources/bsgatlas/details.php?id=BSGatlas-operon-882","BSGatlas-operon-882")</f>
        <v>BSGatlas-operon-882</v>
      </c>
      <c r="B1644" s="2" t="str">
        <f>HYPERLINK("https://rth.dk/resources/bsgatlas/details.php?id=BSGatlas-gene-1745","BSGatlas-gene-1745")</f>
        <v>BSGatlas-gene-1745</v>
      </c>
      <c r="C1644" s="1" t="s">
        <v>1641</v>
      </c>
      <c r="D1644" s="1" t="s">
        <v>8</v>
      </c>
      <c r="E1644" s="3">
        <v>1541886</v>
      </c>
      <c r="F1644" s="3">
        <v>1543826</v>
      </c>
      <c r="G1644" s="1" t="s">
        <v>9</v>
      </c>
      <c r="H1644" s="1" t="b">
        <f t="shared" si="59"/>
        <v>0</v>
      </c>
    </row>
    <row r="1645" spans="1:8" ht="21" x14ac:dyDescent="0.25">
      <c r="A1645" s="2" t="str">
        <f>HYPERLINK("https://rth.dk/resources/bsgatlas/details.php?id=BSGatlas-operon-882","BSGatlas-operon-882")</f>
        <v>BSGatlas-operon-882</v>
      </c>
      <c r="B1645" s="2" t="str">
        <f>HYPERLINK("https://rth.dk/resources/bsgatlas/details.php?id=BSGatlas-gene-1746","BSGatlas-gene-1746")</f>
        <v>BSGatlas-gene-1746</v>
      </c>
      <c r="C1645" s="1" t="s">
        <v>1642</v>
      </c>
      <c r="D1645" s="1" t="s">
        <v>8</v>
      </c>
      <c r="E1645" s="3">
        <v>1543816</v>
      </c>
      <c r="F1645" s="3">
        <v>1544085</v>
      </c>
      <c r="G1645" s="1" t="s">
        <v>9</v>
      </c>
      <c r="H1645" s="1" t="b">
        <f t="shared" si="59"/>
        <v>0</v>
      </c>
    </row>
    <row r="1646" spans="1:8" ht="21" x14ac:dyDescent="0.25">
      <c r="A1646" s="2" t="str">
        <f>HYPERLINK("https://rth.dk/resources/bsgatlas/details.php?id=BSGatlas-operon-882","BSGatlas-operon-882")</f>
        <v>BSGatlas-operon-882</v>
      </c>
      <c r="B1646" s="2" t="str">
        <f>HYPERLINK("https://rth.dk/resources/bsgatlas/details.php?id=BSGatlas-gene-1747","BSGatlas-gene-1747")</f>
        <v>BSGatlas-gene-1747</v>
      </c>
      <c r="C1646" s="1" t="s">
        <v>1643</v>
      </c>
      <c r="D1646" s="1" t="s">
        <v>8</v>
      </c>
      <c r="E1646" s="3">
        <v>1544085</v>
      </c>
      <c r="F1646" s="3">
        <v>1544606</v>
      </c>
      <c r="G1646" s="1" t="s">
        <v>9</v>
      </c>
      <c r="H1646" s="1" t="b">
        <f t="shared" si="59"/>
        <v>0</v>
      </c>
    </row>
    <row r="1647" spans="1:8" ht="21" x14ac:dyDescent="0.25">
      <c r="A1647" s="2" t="str">
        <f>HYPERLINK("https://rth.dk/resources/bsgatlas/details.php?id=BSGatlas-operon-882","BSGatlas-operon-882")</f>
        <v>BSGatlas-operon-882</v>
      </c>
      <c r="B1647" s="2" t="str">
        <f>HYPERLINK("https://rth.dk/resources/bsgatlas/details.php?id=BSGatlas-gene-1748","BSGatlas-gene-1748")</f>
        <v>BSGatlas-gene-1748</v>
      </c>
      <c r="C1647" s="1" t="s">
        <v>1644</v>
      </c>
      <c r="D1647" s="1" t="s">
        <v>8</v>
      </c>
      <c r="E1647" s="3">
        <v>1544603</v>
      </c>
      <c r="F1647" s="3">
        <v>1544896</v>
      </c>
      <c r="G1647" s="1" t="s">
        <v>9</v>
      </c>
      <c r="H1647" s="1" t="b">
        <f t="shared" si="59"/>
        <v>0</v>
      </c>
    </row>
    <row r="1648" spans="1:8" ht="21" x14ac:dyDescent="0.25">
      <c r="A1648" s="2" t="str">
        <f>HYPERLINK("https://rth.dk/resources/bsgatlas/details.php?id=BSGatlas-operon-883","BSGatlas-operon-883")</f>
        <v>BSGatlas-operon-883</v>
      </c>
      <c r="B1648" s="2" t="str">
        <f>HYPERLINK("https://rth.dk/resources/bsgatlas/details.php?id=BSGatlas-gene-1749","BSGatlas-gene-1749")</f>
        <v>BSGatlas-gene-1749</v>
      </c>
      <c r="C1648" s="1" t="s">
        <v>1645</v>
      </c>
      <c r="D1648" s="1" t="s">
        <v>8</v>
      </c>
      <c r="E1648" s="3">
        <v>1544936</v>
      </c>
      <c r="F1648" s="3">
        <v>1545547</v>
      </c>
      <c r="G1648" s="1" t="s">
        <v>13</v>
      </c>
      <c r="H1648" s="1" t="b">
        <f t="shared" si="59"/>
        <v>1</v>
      </c>
    </row>
    <row r="1649" spans="1:8" ht="21" x14ac:dyDescent="0.25">
      <c r="A1649" s="2" t="str">
        <f>HYPERLINK("https://rth.dk/resources/bsgatlas/details.php?id=BSGatlas-operon-884","BSGatlas-operon-884")</f>
        <v>BSGatlas-operon-884</v>
      </c>
      <c r="B1649" s="2" t="str">
        <f>HYPERLINK("https://rth.dk/resources/bsgatlas/details.php?id=BSGatlas-gene-1750","BSGatlas-gene-1750")</f>
        <v>BSGatlas-gene-1750</v>
      </c>
      <c r="C1649" s="1" t="s">
        <v>1646</v>
      </c>
      <c r="D1649" s="1" t="s">
        <v>8</v>
      </c>
      <c r="E1649" s="3">
        <v>1545820</v>
      </c>
      <c r="F1649" s="3">
        <v>1546008</v>
      </c>
      <c r="G1649" s="1" t="s">
        <v>13</v>
      </c>
      <c r="H1649" s="1" t="b">
        <f t="shared" si="59"/>
        <v>0</v>
      </c>
    </row>
    <row r="1650" spans="1:8" ht="21" x14ac:dyDescent="0.25">
      <c r="A1650" s="2" t="str">
        <f>HYPERLINK("https://rth.dk/resources/bsgatlas/details.php?id=BSGatlas-operon-885","BSGatlas-operon-885")</f>
        <v>BSGatlas-operon-885</v>
      </c>
      <c r="B1650" s="2" t="str">
        <f>HYPERLINK("https://rth.dk/resources/bsgatlas/details.php?id=BSGatlas-gene-1751","BSGatlas-gene-1751")</f>
        <v>BSGatlas-gene-1751</v>
      </c>
      <c r="C1650" s="1" t="s">
        <v>1647</v>
      </c>
      <c r="D1650" s="1" t="s">
        <v>8</v>
      </c>
      <c r="E1650" s="3">
        <v>1546121</v>
      </c>
      <c r="F1650" s="3">
        <v>1547959</v>
      </c>
      <c r="G1650" s="1" t="s">
        <v>9</v>
      </c>
      <c r="H1650" s="1" t="b">
        <f t="shared" si="59"/>
        <v>1</v>
      </c>
    </row>
    <row r="1651" spans="1:8" ht="21" x14ac:dyDescent="0.25">
      <c r="A1651" s="2" t="str">
        <f>HYPERLINK("https://rth.dk/resources/bsgatlas/details.php?id=BSGatlas-operon-885","BSGatlas-operon-885")</f>
        <v>BSGatlas-operon-885</v>
      </c>
      <c r="B1651" s="2" t="str">
        <f>HYPERLINK("https://rth.dk/resources/bsgatlas/details.php?id=BSGatlas-gene-1752","BSGatlas-gene-1752")</f>
        <v>BSGatlas-gene-1752</v>
      </c>
      <c r="C1651" s="1" t="s">
        <v>1648</v>
      </c>
      <c r="D1651" s="1" t="s">
        <v>8</v>
      </c>
      <c r="E1651" s="3">
        <v>1548016</v>
      </c>
      <c r="F1651" s="3">
        <v>1548333</v>
      </c>
      <c r="G1651" s="1" t="s">
        <v>9</v>
      </c>
      <c r="H1651" s="1" t="b">
        <f t="shared" si="59"/>
        <v>1</v>
      </c>
    </row>
    <row r="1652" spans="1:8" ht="21" x14ac:dyDescent="0.25">
      <c r="A1652" s="2" t="str">
        <f>HYPERLINK("https://rth.dk/resources/bsgatlas/details.php?id=BSGatlas-operon-886","BSGatlas-operon-886")</f>
        <v>BSGatlas-operon-886</v>
      </c>
      <c r="B1652" s="2" t="str">
        <f>HYPERLINK("https://rth.dk/resources/bsgatlas/details.php?id=BSGatlas-gene-1753","BSGatlas-gene-1753")</f>
        <v>BSGatlas-gene-1753</v>
      </c>
      <c r="C1652" s="1" t="s">
        <v>1649</v>
      </c>
      <c r="D1652" s="1" t="s">
        <v>8</v>
      </c>
      <c r="E1652" s="3">
        <v>1548389</v>
      </c>
      <c r="F1652" s="3">
        <v>1548598</v>
      </c>
      <c r="G1652" s="1" t="s">
        <v>13</v>
      </c>
      <c r="H1652" s="1" t="b">
        <f t="shared" si="59"/>
        <v>0</v>
      </c>
    </row>
    <row r="1653" spans="1:8" ht="21" x14ac:dyDescent="0.25">
      <c r="A1653" s="2" t="str">
        <f>HYPERLINK("https://rth.dk/resources/bsgatlas/details.php?id=BSGatlas-operon-887","BSGatlas-operon-887")</f>
        <v>BSGatlas-operon-887</v>
      </c>
      <c r="B1653" s="2" t="str">
        <f>HYPERLINK("https://rth.dk/resources/bsgatlas/details.php?id=BSGatlas-gene-1754","BSGatlas-gene-1754")</f>
        <v>BSGatlas-gene-1754</v>
      </c>
      <c r="C1653" s="1" t="s">
        <v>1650</v>
      </c>
      <c r="D1653" s="1" t="s">
        <v>8</v>
      </c>
      <c r="E1653" s="3">
        <v>1548681</v>
      </c>
      <c r="F1653" s="3">
        <v>1549310</v>
      </c>
      <c r="G1653" s="1" t="s">
        <v>13</v>
      </c>
      <c r="H1653" s="1" t="b">
        <f t="shared" si="59"/>
        <v>1</v>
      </c>
    </row>
    <row r="1654" spans="1:8" ht="21" x14ac:dyDescent="0.25">
      <c r="A1654" s="2" t="str">
        <f>HYPERLINK("https://rth.dk/resources/bsgatlas/details.php?id=BSGatlas-operon-888","BSGatlas-operon-888")</f>
        <v>BSGatlas-operon-888</v>
      </c>
      <c r="B1654" s="2" t="str">
        <f>HYPERLINK("https://rth.dk/resources/bsgatlas/details.php?id=BSGatlas-gene-1755","BSGatlas-gene-1755")</f>
        <v>BSGatlas-gene-1755</v>
      </c>
      <c r="C1654" s="1" t="s">
        <v>1651</v>
      </c>
      <c r="D1654" s="1" t="s">
        <v>8</v>
      </c>
      <c r="E1654" s="3">
        <v>1549465</v>
      </c>
      <c r="F1654" s="3">
        <v>1550793</v>
      </c>
      <c r="G1654" s="1" t="s">
        <v>9</v>
      </c>
      <c r="H1654" s="1" t="b">
        <f t="shared" si="59"/>
        <v>0</v>
      </c>
    </row>
    <row r="1655" spans="1:8" ht="21" x14ac:dyDescent="0.25">
      <c r="A1655" s="2" t="str">
        <f>HYPERLINK("https://rth.dk/resources/bsgatlas/details.php?id=BSGatlas-operon-888","BSGatlas-operon-888")</f>
        <v>BSGatlas-operon-888</v>
      </c>
      <c r="B1655" s="2" t="str">
        <f>HYPERLINK("https://rth.dk/resources/bsgatlas/details.php?id=BSGatlas-gene-1757","BSGatlas-gene-1757")</f>
        <v>BSGatlas-gene-1757</v>
      </c>
      <c r="C1655" s="1" t="s">
        <v>1652</v>
      </c>
      <c r="D1655" s="1" t="s">
        <v>8</v>
      </c>
      <c r="E1655" s="3">
        <v>1551385</v>
      </c>
      <c r="F1655" s="3">
        <v>1552314</v>
      </c>
      <c r="G1655" s="1" t="s">
        <v>9</v>
      </c>
      <c r="H1655" s="1" t="b">
        <f t="shared" si="59"/>
        <v>0</v>
      </c>
    </row>
    <row r="1656" spans="1:8" ht="21" x14ac:dyDescent="0.25">
      <c r="A1656" s="2" t="str">
        <f>HYPERLINK("https://rth.dk/resources/bsgatlas/details.php?id=BSGatlas-operon-889","BSGatlas-operon-889")</f>
        <v>BSGatlas-operon-889</v>
      </c>
      <c r="B1656" s="2" t="str">
        <f>HYPERLINK("https://rth.dk/resources/bsgatlas/details.php?id=BSGatlas-gene-1756","BSGatlas-gene-1756")</f>
        <v>BSGatlas-gene-1756</v>
      </c>
      <c r="C1656" s="1" t="s">
        <v>1653</v>
      </c>
      <c r="D1656" s="1" t="s">
        <v>8</v>
      </c>
      <c r="E1656" s="3">
        <v>1550797</v>
      </c>
      <c r="F1656" s="3">
        <v>1551282</v>
      </c>
      <c r="G1656" s="1" t="s">
        <v>13</v>
      </c>
      <c r="H1656" s="1" t="b">
        <f t="shared" si="59"/>
        <v>1</v>
      </c>
    </row>
    <row r="1657" spans="1:8" ht="21" x14ac:dyDescent="0.25">
      <c r="A1657" s="2" t="str">
        <f>HYPERLINK("https://rth.dk/resources/bsgatlas/details.php?id=BSGatlas-operon-890","BSGatlas-operon-890")</f>
        <v>BSGatlas-operon-890</v>
      </c>
      <c r="B1657" s="2" t="str">
        <f>HYPERLINK("https://rth.dk/resources/bsgatlas/details.php?id=BSGatlas-gene-1758","BSGatlas-gene-1758")</f>
        <v>BSGatlas-gene-1758</v>
      </c>
      <c r="C1657" s="1" t="s">
        <v>1654</v>
      </c>
      <c r="D1657" s="1" t="s">
        <v>8</v>
      </c>
      <c r="E1657" s="3">
        <v>1552412</v>
      </c>
      <c r="F1657" s="3">
        <v>1552693</v>
      </c>
      <c r="G1657" s="1" t="s">
        <v>9</v>
      </c>
      <c r="H1657" s="1" t="b">
        <f t="shared" si="59"/>
        <v>0</v>
      </c>
    </row>
    <row r="1658" spans="1:8" ht="21" x14ac:dyDescent="0.25">
      <c r="A1658" s="2" t="str">
        <f>HYPERLINK("https://rth.dk/resources/bsgatlas/details.php?id=BSGatlas-operon-891","BSGatlas-operon-891")</f>
        <v>BSGatlas-operon-891</v>
      </c>
      <c r="B1658" s="2" t="str">
        <f>HYPERLINK("https://rth.dk/resources/bsgatlas/details.php?id=BSGatlas-gene-1759","BSGatlas-gene-1759")</f>
        <v>BSGatlas-gene-1759</v>
      </c>
      <c r="C1658" s="1" t="s">
        <v>1655</v>
      </c>
      <c r="D1658" s="1" t="s">
        <v>8</v>
      </c>
      <c r="E1658" s="3">
        <v>1552899</v>
      </c>
      <c r="F1658" s="3">
        <v>1554110</v>
      </c>
      <c r="G1658" s="1" t="s">
        <v>9</v>
      </c>
      <c r="H1658" s="1" t="b">
        <f t="shared" si="59"/>
        <v>1</v>
      </c>
    </row>
    <row r="1659" spans="1:8" ht="21" x14ac:dyDescent="0.25">
      <c r="A1659" s="2" t="str">
        <f>HYPERLINK("https://rth.dk/resources/bsgatlas/details.php?id=BSGatlas-operon-891","BSGatlas-operon-891")</f>
        <v>BSGatlas-operon-891</v>
      </c>
      <c r="B1659" s="2" t="str">
        <f>HYPERLINK("https://rth.dk/resources/bsgatlas/details.php?id=BSGatlas-gene-1760","BSGatlas-gene-1760")</f>
        <v>BSGatlas-gene-1760</v>
      </c>
      <c r="C1659" s="1" t="s">
        <v>1656</v>
      </c>
      <c r="D1659" s="1" t="s">
        <v>8</v>
      </c>
      <c r="E1659" s="3">
        <v>1554185</v>
      </c>
      <c r="F1659" s="3">
        <v>1557631</v>
      </c>
      <c r="G1659" s="1" t="s">
        <v>9</v>
      </c>
      <c r="H1659" s="1" t="b">
        <f t="shared" si="59"/>
        <v>1</v>
      </c>
    </row>
    <row r="1660" spans="1:8" ht="21" x14ac:dyDescent="0.25">
      <c r="A1660" s="2" t="str">
        <f>HYPERLINK("https://rth.dk/resources/bsgatlas/details.php?id=BSGatlas-operon-892","BSGatlas-operon-892")</f>
        <v>BSGatlas-operon-892</v>
      </c>
      <c r="B1660" s="2" t="str">
        <f>HYPERLINK("https://rth.dk/resources/bsgatlas/details.php?id=BSGatlas-gene-1761","BSGatlas-gene-1761")</f>
        <v>BSGatlas-gene-1761</v>
      </c>
      <c r="C1660" s="1" t="s">
        <v>1657</v>
      </c>
      <c r="D1660" s="1" t="s">
        <v>8</v>
      </c>
      <c r="E1660" s="3">
        <v>1558034</v>
      </c>
      <c r="F1660" s="3">
        <v>1558954</v>
      </c>
      <c r="G1660" s="1" t="s">
        <v>13</v>
      </c>
      <c r="H1660" s="1" t="b">
        <f t="shared" si="59"/>
        <v>0</v>
      </c>
    </row>
    <row r="1661" spans="1:8" ht="21" x14ac:dyDescent="0.25">
      <c r="A1661" s="2" t="str">
        <f t="shared" ref="A1661:A1666" si="60">HYPERLINK("https://rth.dk/resources/bsgatlas/details.php?id=BSGatlas-operon-893","BSGatlas-operon-893")</f>
        <v>BSGatlas-operon-893</v>
      </c>
      <c r="B1661" s="2" t="str">
        <f>HYPERLINK("https://rth.dk/resources/bsgatlas/details.php?id=BSGatlas-gene-1762","BSGatlas-gene-1762")</f>
        <v>BSGatlas-gene-1762</v>
      </c>
      <c r="C1661" s="1" t="s">
        <v>1658</v>
      </c>
      <c r="D1661" s="1" t="s">
        <v>8</v>
      </c>
      <c r="E1661" s="3">
        <v>1559309</v>
      </c>
      <c r="F1661" s="3">
        <v>1560226</v>
      </c>
      <c r="G1661" s="1" t="s">
        <v>9</v>
      </c>
      <c r="H1661" s="1" t="b">
        <f t="shared" si="59"/>
        <v>1</v>
      </c>
    </row>
    <row r="1662" spans="1:8" ht="21" x14ac:dyDescent="0.25">
      <c r="A1662" s="2" t="str">
        <f t="shared" si="60"/>
        <v>BSGatlas-operon-893</v>
      </c>
      <c r="B1662" s="2" t="str">
        <f>HYPERLINK("https://rth.dk/resources/bsgatlas/details.php?id=BSGatlas-gene-1763","BSGatlas-gene-1763")</f>
        <v>BSGatlas-gene-1763</v>
      </c>
      <c r="C1662" s="1" t="s">
        <v>1659</v>
      </c>
      <c r="D1662" s="1" t="s">
        <v>8</v>
      </c>
      <c r="E1662" s="3">
        <v>1560466</v>
      </c>
      <c r="F1662" s="3">
        <v>1561536</v>
      </c>
      <c r="G1662" s="1" t="s">
        <v>9</v>
      </c>
      <c r="H1662" s="1" t="b">
        <f t="shared" si="59"/>
        <v>1</v>
      </c>
    </row>
    <row r="1663" spans="1:8" ht="21" x14ac:dyDescent="0.25">
      <c r="A1663" s="2" t="str">
        <f t="shared" si="60"/>
        <v>BSGatlas-operon-893</v>
      </c>
      <c r="B1663" s="2" t="str">
        <f>HYPERLINK("https://rth.dk/resources/bsgatlas/details.php?id=BSGatlas-gene-1764","BSGatlas-gene-1764")</f>
        <v>BSGatlas-gene-1764</v>
      </c>
      <c r="C1663" s="1" t="s">
        <v>1660</v>
      </c>
      <c r="D1663" s="1" t="s">
        <v>8</v>
      </c>
      <c r="E1663" s="3">
        <v>1561569</v>
      </c>
      <c r="F1663" s="3">
        <v>1563437</v>
      </c>
      <c r="G1663" s="1" t="s">
        <v>9</v>
      </c>
      <c r="H1663" s="1" t="b">
        <f t="shared" si="59"/>
        <v>1</v>
      </c>
    </row>
    <row r="1664" spans="1:8" ht="21" x14ac:dyDescent="0.25">
      <c r="A1664" s="2" t="str">
        <f t="shared" si="60"/>
        <v>BSGatlas-operon-893</v>
      </c>
      <c r="B1664" s="2" t="str">
        <f>HYPERLINK("https://rth.dk/resources/bsgatlas/details.php?id=BSGatlas-gene-1765","BSGatlas-gene-1765")</f>
        <v>BSGatlas-gene-1765</v>
      </c>
      <c r="C1664" s="1" t="s">
        <v>1661</v>
      </c>
      <c r="D1664" s="1" t="s">
        <v>8</v>
      </c>
      <c r="E1664" s="3">
        <v>1563437</v>
      </c>
      <c r="F1664" s="3">
        <v>1564060</v>
      </c>
      <c r="G1664" s="1" t="s">
        <v>9</v>
      </c>
      <c r="H1664" s="1" t="b">
        <f t="shared" si="59"/>
        <v>1</v>
      </c>
    </row>
    <row r="1665" spans="1:8" ht="21" x14ac:dyDescent="0.25">
      <c r="A1665" s="2" t="str">
        <f t="shared" si="60"/>
        <v>BSGatlas-operon-893</v>
      </c>
      <c r="B1665" s="2" t="str">
        <f>HYPERLINK("https://rth.dk/resources/bsgatlas/details.php?id=BSGatlas-gene-1766","BSGatlas-gene-1766")</f>
        <v>BSGatlas-gene-1766</v>
      </c>
      <c r="C1665" s="1" t="s">
        <v>1662</v>
      </c>
      <c r="D1665" s="1" t="s">
        <v>8</v>
      </c>
      <c r="E1665" s="3">
        <v>1564063</v>
      </c>
      <c r="F1665" s="3">
        <v>1564395</v>
      </c>
      <c r="G1665" s="1" t="s">
        <v>9</v>
      </c>
      <c r="H1665" s="1" t="b">
        <f t="shared" si="59"/>
        <v>1</v>
      </c>
    </row>
    <row r="1666" spans="1:8" ht="21" x14ac:dyDescent="0.25">
      <c r="A1666" s="2" t="str">
        <f t="shared" si="60"/>
        <v>BSGatlas-operon-893</v>
      </c>
      <c r="B1666" s="2" t="str">
        <f>HYPERLINK("https://rth.dk/resources/bsgatlas/details.php?id=BSGatlas-gene-1767","BSGatlas-gene-1767")</f>
        <v>BSGatlas-gene-1767</v>
      </c>
      <c r="C1666" s="1" t="s">
        <v>1663</v>
      </c>
      <c r="D1666" s="1" t="s">
        <v>8</v>
      </c>
      <c r="E1666" s="3">
        <v>1564422</v>
      </c>
      <c r="F1666" s="3">
        <v>1565315</v>
      </c>
      <c r="G1666" s="1" t="s">
        <v>9</v>
      </c>
      <c r="H1666" s="1" t="b">
        <f t="shared" ref="H1666:H1729" si="61">_xlfn.XOR(A1665&lt;&gt;A1666,H1665)</f>
        <v>1</v>
      </c>
    </row>
    <row r="1667" spans="1:8" ht="21" x14ac:dyDescent="0.25">
      <c r="A1667" s="2" t="str">
        <f>HYPERLINK("https://rth.dk/resources/bsgatlas/details.php?id=BSGatlas-operon-894","BSGatlas-operon-894")</f>
        <v>BSGatlas-operon-894</v>
      </c>
      <c r="B1667" s="2" t="str">
        <f>HYPERLINK("https://rth.dk/resources/bsgatlas/details.php?id=BSGatlas-gene-1768","BSGatlas-gene-1768")</f>
        <v>BSGatlas-gene-1768</v>
      </c>
      <c r="C1667" s="1" t="s">
        <v>1664</v>
      </c>
      <c r="D1667" s="1" t="s">
        <v>8</v>
      </c>
      <c r="E1667" s="3">
        <v>1565347</v>
      </c>
      <c r="F1667" s="3">
        <v>1565709</v>
      </c>
      <c r="G1667" s="1" t="s">
        <v>13</v>
      </c>
      <c r="H1667" s="1" t="b">
        <f t="shared" si="61"/>
        <v>0</v>
      </c>
    </row>
    <row r="1668" spans="1:8" ht="21" x14ac:dyDescent="0.25">
      <c r="A1668" s="2" t="str">
        <f>HYPERLINK("https://rth.dk/resources/bsgatlas/details.php?id=BSGatlas-operon-895","BSGatlas-operon-895")</f>
        <v>BSGatlas-operon-895</v>
      </c>
      <c r="B1668" s="2" t="str">
        <f>HYPERLINK("https://rth.dk/resources/bsgatlas/details.php?id=BSGatlas-gene-1769","BSGatlas-gene-1769")</f>
        <v>BSGatlas-gene-1769</v>
      </c>
      <c r="C1668" s="1" t="s">
        <v>1665</v>
      </c>
      <c r="D1668" s="1" t="s">
        <v>8</v>
      </c>
      <c r="E1668" s="3">
        <v>1565849</v>
      </c>
      <c r="F1668" s="3">
        <v>1566295</v>
      </c>
      <c r="G1668" s="1" t="s">
        <v>9</v>
      </c>
      <c r="H1668" s="1" t="b">
        <f t="shared" si="61"/>
        <v>1</v>
      </c>
    </row>
    <row r="1669" spans="1:8" ht="21" x14ac:dyDescent="0.25">
      <c r="A1669" s="2" t="str">
        <f>HYPERLINK("https://rth.dk/resources/bsgatlas/details.php?id=BSGatlas-operon-895","BSGatlas-operon-895")</f>
        <v>BSGatlas-operon-895</v>
      </c>
      <c r="B1669" s="2" t="str">
        <f>HYPERLINK("https://rth.dk/resources/bsgatlas/details.php?id=BSGatlas-gene-1770","BSGatlas-gene-1770")</f>
        <v>BSGatlas-gene-1770</v>
      </c>
      <c r="C1669" s="1" t="s">
        <v>1666</v>
      </c>
      <c r="D1669" s="1" t="s">
        <v>8</v>
      </c>
      <c r="E1669" s="3">
        <v>1566379</v>
      </c>
      <c r="F1669" s="3">
        <v>1567419</v>
      </c>
      <c r="G1669" s="1" t="s">
        <v>9</v>
      </c>
      <c r="H1669" s="1" t="b">
        <f t="shared" si="61"/>
        <v>1</v>
      </c>
    </row>
    <row r="1670" spans="1:8" ht="21" x14ac:dyDescent="0.25">
      <c r="A1670" s="2" t="str">
        <f>HYPERLINK("https://rth.dk/resources/bsgatlas/details.php?id=BSGatlas-operon-896","BSGatlas-operon-896")</f>
        <v>BSGatlas-operon-896</v>
      </c>
      <c r="B1670" s="2" t="str">
        <f>HYPERLINK("https://rth.dk/resources/bsgatlas/details.php?id=BSGatlas-gene-1771","BSGatlas-gene-1771")</f>
        <v>BSGatlas-gene-1771</v>
      </c>
      <c r="C1670" s="1" t="s">
        <v>1667</v>
      </c>
      <c r="D1670" s="1" t="s">
        <v>8</v>
      </c>
      <c r="E1670" s="3">
        <v>1567651</v>
      </c>
      <c r="F1670" s="3">
        <v>1568049</v>
      </c>
      <c r="G1670" s="1" t="s">
        <v>9</v>
      </c>
      <c r="H1670" s="1" t="b">
        <f t="shared" si="61"/>
        <v>0</v>
      </c>
    </row>
    <row r="1671" spans="1:8" ht="21" x14ac:dyDescent="0.25">
      <c r="A1671" s="2" t="str">
        <f>HYPERLINK("https://rth.dk/resources/bsgatlas/details.php?id=BSGatlas-operon-896","BSGatlas-operon-896")</f>
        <v>BSGatlas-operon-896</v>
      </c>
      <c r="B1671" s="2" t="str">
        <f>HYPERLINK("https://rth.dk/resources/bsgatlas/details.php?id=BSGatlas-gene-1772","BSGatlas-gene-1772")</f>
        <v>BSGatlas-gene-1772</v>
      </c>
      <c r="C1671" s="1" t="s">
        <v>1668</v>
      </c>
      <c r="D1671" s="1" t="s">
        <v>8</v>
      </c>
      <c r="E1671" s="3">
        <v>1568065</v>
      </c>
      <c r="F1671" s="3">
        <v>1568304</v>
      </c>
      <c r="G1671" s="1" t="s">
        <v>9</v>
      </c>
      <c r="H1671" s="1" t="b">
        <f t="shared" si="61"/>
        <v>0</v>
      </c>
    </row>
    <row r="1672" spans="1:8" ht="21" x14ac:dyDescent="0.25">
      <c r="A1672" s="2" t="str">
        <f>HYPERLINK("https://rth.dk/resources/bsgatlas/details.php?id=BSGatlas-operon-897","BSGatlas-operon-897")</f>
        <v>BSGatlas-operon-897</v>
      </c>
      <c r="B1672" s="2" t="str">
        <f>HYPERLINK("https://rth.dk/resources/bsgatlas/details.php?id=BSGatlas-gene-1776","BSGatlas-gene-1776")</f>
        <v>BSGatlas-gene-1776</v>
      </c>
      <c r="C1672" s="1" t="s">
        <v>1669</v>
      </c>
      <c r="D1672" s="1" t="s">
        <v>12</v>
      </c>
      <c r="E1672" s="3">
        <v>1569226</v>
      </c>
      <c r="F1672" s="3">
        <v>1569349</v>
      </c>
      <c r="G1672" s="1" t="s">
        <v>13</v>
      </c>
      <c r="H1672" s="1" t="b">
        <f t="shared" si="61"/>
        <v>1</v>
      </c>
    </row>
    <row r="1673" spans="1:8" ht="21" x14ac:dyDescent="0.25">
      <c r="A1673" s="2" t="str">
        <f>HYPERLINK("https://rth.dk/resources/bsgatlas/details.php?id=BSGatlas-operon-898","BSGatlas-operon-898")</f>
        <v>BSGatlas-operon-898</v>
      </c>
      <c r="B1673" s="2" t="str">
        <f>HYPERLINK("https://rth.dk/resources/bsgatlas/details.php?id=BSGatlas-gene-1773","BSGatlas-gene-1773")</f>
        <v>BSGatlas-gene-1773</v>
      </c>
      <c r="C1673" s="1" t="s">
        <v>1670</v>
      </c>
      <c r="D1673" s="1" t="s">
        <v>8</v>
      </c>
      <c r="E1673" s="3">
        <v>1568420</v>
      </c>
      <c r="F1673" s="3">
        <v>1568869</v>
      </c>
      <c r="G1673" s="1" t="s">
        <v>9</v>
      </c>
      <c r="H1673" s="1" t="b">
        <f t="shared" si="61"/>
        <v>0</v>
      </c>
    </row>
    <row r="1674" spans="1:8" ht="21" x14ac:dyDescent="0.25">
      <c r="A1674" s="2" t="str">
        <f>HYPERLINK("https://rth.dk/resources/bsgatlas/details.php?id=BSGatlas-operon-898","BSGatlas-operon-898")</f>
        <v>BSGatlas-operon-898</v>
      </c>
      <c r="B1674" s="2" t="str">
        <f>HYPERLINK("https://rth.dk/resources/bsgatlas/details.php?id=BSGatlas-gene-1774","BSGatlas-gene-1774")</f>
        <v>BSGatlas-gene-1774</v>
      </c>
      <c r="C1674" s="1" t="s">
        <v>1671</v>
      </c>
      <c r="D1674" s="1" t="s">
        <v>8</v>
      </c>
      <c r="E1674" s="3">
        <v>1568924</v>
      </c>
      <c r="F1674" s="3">
        <v>1569196</v>
      </c>
      <c r="G1674" s="1" t="s">
        <v>9</v>
      </c>
      <c r="H1674" s="1" t="b">
        <f t="shared" si="61"/>
        <v>0</v>
      </c>
    </row>
    <row r="1675" spans="1:8" ht="21" x14ac:dyDescent="0.25">
      <c r="A1675" s="2" t="str">
        <f>HYPERLINK("https://rth.dk/resources/bsgatlas/details.php?id=BSGatlas-operon-898","BSGatlas-operon-898")</f>
        <v>BSGatlas-operon-898</v>
      </c>
      <c r="B1675" s="2" t="str">
        <f>HYPERLINK("https://rth.dk/resources/bsgatlas/details.php?id=BSGatlas-gene-1775","BSGatlas-gene-1775")</f>
        <v>BSGatlas-gene-1775</v>
      </c>
      <c r="C1675" s="1" t="s">
        <v>1672</v>
      </c>
      <c r="D1675" s="1" t="s">
        <v>34</v>
      </c>
      <c r="E1675" s="3">
        <v>1569198</v>
      </c>
      <c r="F1675" s="3">
        <v>1569319</v>
      </c>
      <c r="G1675" s="1" t="s">
        <v>9</v>
      </c>
      <c r="H1675" s="1" t="b">
        <f t="shared" si="61"/>
        <v>0</v>
      </c>
    </row>
    <row r="1676" spans="1:8" ht="21" x14ac:dyDescent="0.25">
      <c r="A1676" s="2" t="str">
        <f>HYPERLINK("https://rth.dk/resources/bsgatlas/details.php?id=BSGatlas-operon-898","BSGatlas-operon-898")</f>
        <v>BSGatlas-operon-898</v>
      </c>
      <c r="B1676" s="2" t="str">
        <f>HYPERLINK("https://rth.dk/resources/bsgatlas/details.php?id=BSGatlas-gene-1777","BSGatlas-gene-1777")</f>
        <v>BSGatlas-gene-1777</v>
      </c>
      <c r="C1676" s="1" t="s">
        <v>1673</v>
      </c>
      <c r="D1676" s="1" t="s">
        <v>8</v>
      </c>
      <c r="E1676" s="3">
        <v>1569519</v>
      </c>
      <c r="F1676" s="3">
        <v>1570073</v>
      </c>
      <c r="G1676" s="1" t="s">
        <v>9</v>
      </c>
      <c r="H1676" s="1" t="b">
        <f t="shared" si="61"/>
        <v>0</v>
      </c>
    </row>
    <row r="1677" spans="1:8" ht="21" x14ac:dyDescent="0.25">
      <c r="A1677" s="2" t="str">
        <f>HYPERLINK("https://rth.dk/resources/bsgatlas/details.php?id=BSGatlas-operon-898","BSGatlas-operon-898")</f>
        <v>BSGatlas-operon-898</v>
      </c>
      <c r="B1677" s="2" t="str">
        <f>HYPERLINK("https://rth.dk/resources/bsgatlas/details.php?id=BSGatlas-gene-1778","BSGatlas-gene-1778")</f>
        <v>BSGatlas-gene-1778</v>
      </c>
      <c r="C1677" s="1" t="s">
        <v>1674</v>
      </c>
      <c r="D1677" s="1" t="s">
        <v>8</v>
      </c>
      <c r="E1677" s="3">
        <v>1570078</v>
      </c>
      <c r="F1677" s="3">
        <v>1570563</v>
      </c>
      <c r="G1677" s="1" t="s">
        <v>9</v>
      </c>
      <c r="H1677" s="1" t="b">
        <f t="shared" si="61"/>
        <v>0</v>
      </c>
    </row>
    <row r="1678" spans="1:8" ht="21" x14ac:dyDescent="0.25">
      <c r="A1678" s="2" t="str">
        <f>HYPERLINK("https://rth.dk/resources/bsgatlas/details.php?id=BSGatlas-operon-899","BSGatlas-operon-899")</f>
        <v>BSGatlas-operon-899</v>
      </c>
      <c r="B1678" s="2" t="str">
        <f>HYPERLINK("https://rth.dk/resources/bsgatlas/details.php?id=BSGatlas-gene-1779","BSGatlas-gene-1779")</f>
        <v>BSGatlas-gene-1779</v>
      </c>
      <c r="C1678" s="1" t="s">
        <v>1675</v>
      </c>
      <c r="D1678" s="1" t="s">
        <v>8</v>
      </c>
      <c r="E1678" s="3">
        <v>1570574</v>
      </c>
      <c r="F1678" s="3">
        <v>1571800</v>
      </c>
      <c r="G1678" s="1" t="s">
        <v>13</v>
      </c>
      <c r="H1678" s="1" t="b">
        <f t="shared" si="61"/>
        <v>1</v>
      </c>
    </row>
    <row r="1679" spans="1:8" ht="21" x14ac:dyDescent="0.25">
      <c r="A1679" s="2" t="str">
        <f>HYPERLINK("https://rth.dk/resources/bsgatlas/details.php?id=BSGatlas-operon-900","BSGatlas-operon-900")</f>
        <v>BSGatlas-operon-900</v>
      </c>
      <c r="B1679" s="2" t="str">
        <f>HYPERLINK("https://rth.dk/resources/bsgatlas/details.php?id=BSGatlas-gene-1780","BSGatlas-gene-1780")</f>
        <v>BSGatlas-gene-1780</v>
      </c>
      <c r="C1679" s="1" t="s">
        <v>1676</v>
      </c>
      <c r="D1679" s="1" t="s">
        <v>8</v>
      </c>
      <c r="E1679" s="3">
        <v>1571981</v>
      </c>
      <c r="F1679" s="3">
        <v>1572763</v>
      </c>
      <c r="G1679" s="1" t="s">
        <v>9</v>
      </c>
      <c r="H1679" s="1" t="b">
        <f t="shared" si="61"/>
        <v>0</v>
      </c>
    </row>
    <row r="1680" spans="1:8" ht="21" x14ac:dyDescent="0.25">
      <c r="A1680" s="2" t="str">
        <f>HYPERLINK("https://rth.dk/resources/bsgatlas/details.php?id=BSGatlas-operon-900","BSGatlas-operon-900")</f>
        <v>BSGatlas-operon-900</v>
      </c>
      <c r="B1680" s="2" t="str">
        <f>HYPERLINK("https://rth.dk/resources/bsgatlas/details.php?id=BSGatlas-gene-1781","BSGatlas-gene-1781")</f>
        <v>BSGatlas-gene-1781</v>
      </c>
      <c r="C1680" s="1" t="s">
        <v>1677</v>
      </c>
      <c r="D1680" s="1" t="s">
        <v>8</v>
      </c>
      <c r="E1680" s="3">
        <v>1572765</v>
      </c>
      <c r="F1680" s="3">
        <v>1573790</v>
      </c>
      <c r="G1680" s="1" t="s">
        <v>9</v>
      </c>
      <c r="H1680" s="1" t="b">
        <f t="shared" si="61"/>
        <v>0</v>
      </c>
    </row>
    <row r="1681" spans="1:8" ht="21" x14ac:dyDescent="0.25">
      <c r="A1681" s="2" t="str">
        <f>HYPERLINK("https://rth.dk/resources/bsgatlas/details.php?id=BSGatlas-operon-901","BSGatlas-operon-901")</f>
        <v>BSGatlas-operon-901</v>
      </c>
      <c r="B1681" s="2" t="str">
        <f>HYPERLINK("https://rth.dk/resources/bsgatlas/details.php?id=BSGatlas-gene-1782","BSGatlas-gene-1782")</f>
        <v>BSGatlas-gene-1782</v>
      </c>
      <c r="C1681" s="1" t="s">
        <v>1678</v>
      </c>
      <c r="D1681" s="1" t="s">
        <v>8</v>
      </c>
      <c r="E1681" s="3">
        <v>1573807</v>
      </c>
      <c r="F1681" s="3">
        <v>1575054</v>
      </c>
      <c r="G1681" s="1" t="s">
        <v>13</v>
      </c>
      <c r="H1681" s="1" t="b">
        <f t="shared" si="61"/>
        <v>1</v>
      </c>
    </row>
    <row r="1682" spans="1:8" ht="21" x14ac:dyDescent="0.25">
      <c r="A1682" s="2" t="str">
        <f>HYPERLINK("https://rth.dk/resources/bsgatlas/details.php?id=BSGatlas-operon-901","BSGatlas-operon-901")</f>
        <v>BSGatlas-operon-901</v>
      </c>
      <c r="B1682" s="2" t="str">
        <f>HYPERLINK("https://rth.dk/resources/bsgatlas/details.php?id=BSGatlas-gene-1783","BSGatlas-gene-1783")</f>
        <v>BSGatlas-gene-1783</v>
      </c>
      <c r="C1682" s="1" t="s">
        <v>1679</v>
      </c>
      <c r="D1682" s="1" t="s">
        <v>8</v>
      </c>
      <c r="E1682" s="3">
        <v>1575051</v>
      </c>
      <c r="F1682" s="3">
        <v>1575236</v>
      </c>
      <c r="G1682" s="1" t="s">
        <v>13</v>
      </c>
      <c r="H1682" s="1" t="b">
        <f t="shared" si="61"/>
        <v>1</v>
      </c>
    </row>
    <row r="1683" spans="1:8" ht="21" x14ac:dyDescent="0.25">
      <c r="A1683" s="2" t="str">
        <f>HYPERLINK("https://rth.dk/resources/bsgatlas/details.php?id=BSGatlas-operon-902","BSGatlas-operon-902")</f>
        <v>BSGatlas-operon-902</v>
      </c>
      <c r="B1683" s="2" t="str">
        <f>HYPERLINK("https://rth.dk/resources/bsgatlas/details.php?id=BSGatlas-gene-1784","BSGatlas-gene-1784")</f>
        <v>BSGatlas-gene-1784</v>
      </c>
      <c r="C1683" s="1" t="s">
        <v>1680</v>
      </c>
      <c r="D1683" s="1" t="s">
        <v>8</v>
      </c>
      <c r="E1683" s="3">
        <v>1575264</v>
      </c>
      <c r="F1683" s="3">
        <v>1575782</v>
      </c>
      <c r="G1683" s="1" t="s">
        <v>9</v>
      </c>
      <c r="H1683" s="1" t="b">
        <f t="shared" si="61"/>
        <v>0</v>
      </c>
    </row>
    <row r="1684" spans="1:8" ht="21" x14ac:dyDescent="0.25">
      <c r="A1684" s="2" t="str">
        <f>HYPERLINK("https://rth.dk/resources/bsgatlas/details.php?id=BSGatlas-operon-902","BSGatlas-operon-902")</f>
        <v>BSGatlas-operon-902</v>
      </c>
      <c r="B1684" s="2" t="str">
        <f>HYPERLINK("https://rth.dk/resources/bsgatlas/details.php?id=BSGatlas-gene-1785","BSGatlas-gene-1785")</f>
        <v>BSGatlas-gene-1785</v>
      </c>
      <c r="C1684" s="1" t="s">
        <v>1681</v>
      </c>
      <c r="D1684" s="1" t="s">
        <v>8</v>
      </c>
      <c r="E1684" s="3">
        <v>1575804</v>
      </c>
      <c r="F1684" s="3">
        <v>1575983</v>
      </c>
      <c r="G1684" s="1" t="s">
        <v>9</v>
      </c>
      <c r="H1684" s="1" t="b">
        <f t="shared" si="61"/>
        <v>0</v>
      </c>
    </row>
    <row r="1685" spans="1:8" ht="21" x14ac:dyDescent="0.25">
      <c r="A1685" s="2" t="str">
        <f>HYPERLINK("https://rth.dk/resources/bsgatlas/details.php?id=BSGatlas-operon-903","BSGatlas-operon-903")</f>
        <v>BSGatlas-operon-903</v>
      </c>
      <c r="B1685" s="2" t="str">
        <f>HYPERLINK("https://rth.dk/resources/bsgatlas/details.php?id=BSGatlas-gene-1786","BSGatlas-gene-1786")</f>
        <v>BSGatlas-gene-1786</v>
      </c>
      <c r="C1685" s="1" t="s">
        <v>1682</v>
      </c>
      <c r="D1685" s="1" t="s">
        <v>8</v>
      </c>
      <c r="E1685" s="3">
        <v>1576129</v>
      </c>
      <c r="F1685" s="3">
        <v>1576710</v>
      </c>
      <c r="G1685" s="1" t="s">
        <v>9</v>
      </c>
      <c r="H1685" s="1" t="b">
        <f t="shared" si="61"/>
        <v>1</v>
      </c>
    </row>
    <row r="1686" spans="1:8" ht="21" x14ac:dyDescent="0.25">
      <c r="A1686" s="2" t="str">
        <f>HYPERLINK("https://rth.dk/resources/bsgatlas/details.php?id=BSGatlas-operon-904","BSGatlas-operon-904")</f>
        <v>BSGatlas-operon-904</v>
      </c>
      <c r="B1686" s="2" t="str">
        <f>HYPERLINK("https://rth.dk/resources/bsgatlas/details.php?id=BSGatlas-gene-1787","BSGatlas-gene-1787")</f>
        <v>BSGatlas-gene-1787</v>
      </c>
      <c r="C1686" s="1" t="s">
        <v>1683</v>
      </c>
      <c r="D1686" s="1" t="s">
        <v>8</v>
      </c>
      <c r="E1686" s="3">
        <v>1576767</v>
      </c>
      <c r="F1686" s="3">
        <v>1577249</v>
      </c>
      <c r="G1686" s="1" t="s">
        <v>13</v>
      </c>
      <c r="H1686" s="1" t="b">
        <f t="shared" si="61"/>
        <v>0</v>
      </c>
    </row>
    <row r="1687" spans="1:8" ht="21" x14ac:dyDescent="0.25">
      <c r="A1687" s="2" t="str">
        <f>HYPERLINK("https://rth.dk/resources/bsgatlas/details.php?id=BSGatlas-operon-905","BSGatlas-operon-905")</f>
        <v>BSGatlas-operon-905</v>
      </c>
      <c r="B1687" s="2" t="str">
        <f>HYPERLINK("https://rth.dk/resources/bsgatlas/details.php?id=BSGatlas-gene-1788","BSGatlas-gene-1788")</f>
        <v>BSGatlas-gene-1788</v>
      </c>
      <c r="C1687" s="1" t="s">
        <v>1610</v>
      </c>
      <c r="D1687" s="1" t="s">
        <v>8</v>
      </c>
      <c r="E1687" s="3">
        <v>1577409</v>
      </c>
      <c r="F1687" s="3">
        <v>1578305</v>
      </c>
      <c r="G1687" s="1" t="s">
        <v>9</v>
      </c>
      <c r="H1687" s="1" t="b">
        <f t="shared" si="61"/>
        <v>1</v>
      </c>
    </row>
    <row r="1688" spans="1:8" ht="21" x14ac:dyDescent="0.25">
      <c r="A1688" s="2" t="str">
        <f>HYPERLINK("https://rth.dk/resources/bsgatlas/details.php?id=BSGatlas-operon-905","BSGatlas-operon-905")</f>
        <v>BSGatlas-operon-905</v>
      </c>
      <c r="B1688" s="2" t="str">
        <f>HYPERLINK("https://rth.dk/resources/bsgatlas/details.php?id=BSGatlas-gene-1789","BSGatlas-gene-1789")</f>
        <v>BSGatlas-gene-1789</v>
      </c>
      <c r="C1688" s="1" t="s">
        <v>1684</v>
      </c>
      <c r="D1688" s="1" t="s">
        <v>8</v>
      </c>
      <c r="E1688" s="3">
        <v>1578376</v>
      </c>
      <c r="F1688" s="3">
        <v>1579995</v>
      </c>
      <c r="G1688" s="1" t="s">
        <v>9</v>
      </c>
      <c r="H1688" s="1" t="b">
        <f t="shared" si="61"/>
        <v>1</v>
      </c>
    </row>
    <row r="1689" spans="1:8" ht="21" x14ac:dyDescent="0.25">
      <c r="A1689" s="2" t="str">
        <f>HYPERLINK("https://rth.dk/resources/bsgatlas/details.php?id=BSGatlas-operon-906","BSGatlas-operon-906")</f>
        <v>BSGatlas-operon-906</v>
      </c>
      <c r="B1689" s="2" t="str">
        <f>HYPERLINK("https://rth.dk/resources/bsgatlas/details.php?id=BSGatlas-gene-1790","BSGatlas-gene-1790")</f>
        <v>BSGatlas-gene-1790</v>
      </c>
      <c r="C1689" s="1" t="s">
        <v>1685</v>
      </c>
      <c r="D1689" s="1" t="s">
        <v>8</v>
      </c>
      <c r="E1689" s="3">
        <v>1580121</v>
      </c>
      <c r="F1689" s="3">
        <v>1580552</v>
      </c>
      <c r="G1689" s="1" t="s">
        <v>9</v>
      </c>
      <c r="H1689" s="1" t="b">
        <f t="shared" si="61"/>
        <v>0</v>
      </c>
    </row>
    <row r="1690" spans="1:8" ht="21" x14ac:dyDescent="0.25">
      <c r="A1690" s="2" t="str">
        <f>HYPERLINK("https://rth.dk/resources/bsgatlas/details.php?id=BSGatlas-operon-906","BSGatlas-operon-906")</f>
        <v>BSGatlas-operon-906</v>
      </c>
      <c r="B1690" s="2" t="str">
        <f>HYPERLINK("https://rth.dk/resources/bsgatlas/details.php?id=BSGatlas-gene-1791","BSGatlas-gene-1791")</f>
        <v>BSGatlas-gene-1791</v>
      </c>
      <c r="C1690" s="1" t="s">
        <v>1686</v>
      </c>
      <c r="D1690" s="1" t="s">
        <v>8</v>
      </c>
      <c r="E1690" s="3">
        <v>1580622</v>
      </c>
      <c r="F1690" s="3">
        <v>1581557</v>
      </c>
      <c r="G1690" s="1" t="s">
        <v>9</v>
      </c>
      <c r="H1690" s="1" t="b">
        <f t="shared" si="61"/>
        <v>0</v>
      </c>
    </row>
    <row r="1691" spans="1:8" ht="21" x14ac:dyDescent="0.25">
      <c r="A1691" s="2" t="str">
        <f>HYPERLINK("https://rth.dk/resources/bsgatlas/details.php?id=BSGatlas-operon-906","BSGatlas-operon-906")</f>
        <v>BSGatlas-operon-906</v>
      </c>
      <c r="B1691" s="2" t="str">
        <f>HYPERLINK("https://rth.dk/resources/bsgatlas/details.php?id=BSGatlas-gene-1793","BSGatlas-gene-1793")</f>
        <v>BSGatlas-gene-1793</v>
      </c>
      <c r="C1691" s="1" t="s">
        <v>1687</v>
      </c>
      <c r="D1691" s="1" t="s">
        <v>8</v>
      </c>
      <c r="E1691" s="3">
        <v>1581597</v>
      </c>
      <c r="F1691" s="3">
        <v>1581950</v>
      </c>
      <c r="G1691" s="1" t="s">
        <v>9</v>
      </c>
      <c r="H1691" s="1" t="b">
        <f t="shared" si="61"/>
        <v>0</v>
      </c>
    </row>
    <row r="1692" spans="1:8" ht="21" x14ac:dyDescent="0.25">
      <c r="A1692" s="2" t="str">
        <f>HYPERLINK("https://rth.dk/resources/bsgatlas/details.php?id=BSGatlas-operon-906","BSGatlas-operon-906")</f>
        <v>BSGatlas-operon-906</v>
      </c>
      <c r="B1692" s="2" t="str">
        <f>HYPERLINK("https://rth.dk/resources/bsgatlas/details.php?id=BSGatlas-gene-1794","BSGatlas-gene-1794")</f>
        <v>BSGatlas-gene-1794</v>
      </c>
      <c r="C1692" s="1" t="s">
        <v>1688</v>
      </c>
      <c r="D1692" s="1" t="s">
        <v>8</v>
      </c>
      <c r="E1692" s="3">
        <v>1581947</v>
      </c>
      <c r="F1692" s="3">
        <v>1584097</v>
      </c>
      <c r="G1692" s="1" t="s">
        <v>9</v>
      </c>
      <c r="H1692" s="1" t="b">
        <f t="shared" si="61"/>
        <v>0</v>
      </c>
    </row>
    <row r="1693" spans="1:8" ht="21" x14ac:dyDescent="0.25">
      <c r="A1693" s="2" t="str">
        <f>HYPERLINK("https://rth.dk/resources/bsgatlas/details.php?id=BSGatlas-operon-907","BSGatlas-operon-907")</f>
        <v>BSGatlas-operon-907</v>
      </c>
      <c r="B1693" s="2" t="str">
        <f>HYPERLINK("https://rth.dk/resources/bsgatlas/details.php?id=BSGatlas-gene-1792","BSGatlas-gene-1792")</f>
        <v>BSGatlas-gene-1792</v>
      </c>
      <c r="C1693" s="1" t="s">
        <v>1689</v>
      </c>
      <c r="D1693" s="1" t="s">
        <v>12</v>
      </c>
      <c r="E1693" s="3">
        <v>1581224</v>
      </c>
      <c r="F1693" s="3">
        <v>1582676</v>
      </c>
      <c r="G1693" s="1" t="s">
        <v>13</v>
      </c>
      <c r="H1693" s="1" t="b">
        <f t="shared" si="61"/>
        <v>1</v>
      </c>
    </row>
    <row r="1694" spans="1:8" ht="21" x14ac:dyDescent="0.25">
      <c r="A1694" s="2" t="str">
        <f>HYPERLINK("https://rth.dk/resources/bsgatlas/details.php?id=BSGatlas-operon-908","BSGatlas-operon-908")</f>
        <v>BSGatlas-operon-908</v>
      </c>
      <c r="B1694" s="2" t="str">
        <f>HYPERLINK("https://rth.dk/resources/bsgatlas/details.php?id=BSGatlas-gene-1795","BSGatlas-gene-1795")</f>
        <v>BSGatlas-gene-1795</v>
      </c>
      <c r="C1694" s="1" t="s">
        <v>1690</v>
      </c>
      <c r="D1694" s="1" t="s">
        <v>8</v>
      </c>
      <c r="E1694" s="3">
        <v>1584214</v>
      </c>
      <c r="F1694" s="3">
        <v>1586154</v>
      </c>
      <c r="G1694" s="1" t="s">
        <v>9</v>
      </c>
      <c r="H1694" s="1" t="b">
        <f t="shared" si="61"/>
        <v>0</v>
      </c>
    </row>
    <row r="1695" spans="1:8" ht="21" x14ac:dyDescent="0.25">
      <c r="A1695" s="2" t="str">
        <f t="shared" ref="A1695:A1704" si="62">HYPERLINK("https://rth.dk/resources/bsgatlas/details.php?id=BSGatlas-operon-909","BSGatlas-operon-909")</f>
        <v>BSGatlas-operon-909</v>
      </c>
      <c r="B1695" s="2" t="str">
        <f>HYPERLINK("https://rth.dk/resources/bsgatlas/details.php?id=BSGatlas-gene-1796","BSGatlas-gene-1796")</f>
        <v>BSGatlas-gene-1796</v>
      </c>
      <c r="C1695" s="1" t="s">
        <v>1691</v>
      </c>
      <c r="D1695" s="1" t="s">
        <v>8</v>
      </c>
      <c r="E1695" s="3">
        <v>1586330</v>
      </c>
      <c r="F1695" s="3">
        <v>1587814</v>
      </c>
      <c r="G1695" s="1" t="s">
        <v>9</v>
      </c>
      <c r="H1695" s="1" t="b">
        <f t="shared" si="61"/>
        <v>1</v>
      </c>
    </row>
    <row r="1696" spans="1:8" ht="21" x14ac:dyDescent="0.25">
      <c r="A1696" s="2" t="str">
        <f t="shared" si="62"/>
        <v>BSGatlas-operon-909</v>
      </c>
      <c r="B1696" s="2" t="str">
        <f>HYPERLINK("https://rth.dk/resources/bsgatlas/details.php?id=BSGatlas-gene-1797","BSGatlas-gene-1797")</f>
        <v>BSGatlas-gene-1797</v>
      </c>
      <c r="C1696" s="1" t="s">
        <v>1692</v>
      </c>
      <c r="D1696" s="1" t="s">
        <v>8</v>
      </c>
      <c r="E1696" s="3">
        <v>1587926</v>
      </c>
      <c r="F1696" s="3">
        <v>1588900</v>
      </c>
      <c r="G1696" s="1" t="s">
        <v>9</v>
      </c>
      <c r="H1696" s="1" t="b">
        <f t="shared" si="61"/>
        <v>1</v>
      </c>
    </row>
    <row r="1697" spans="1:8" ht="21" x14ac:dyDescent="0.25">
      <c r="A1697" s="2" t="str">
        <f t="shared" si="62"/>
        <v>BSGatlas-operon-909</v>
      </c>
      <c r="B1697" s="2" t="str">
        <f>HYPERLINK("https://rth.dk/resources/bsgatlas/details.php?id=BSGatlas-gene-1798","BSGatlas-gene-1798")</f>
        <v>BSGatlas-gene-1798</v>
      </c>
      <c r="C1697" s="1" t="s">
        <v>1693</v>
      </c>
      <c r="D1697" s="1" t="s">
        <v>8</v>
      </c>
      <c r="E1697" s="3">
        <v>1588901</v>
      </c>
      <c r="F1697" s="3">
        <v>1590256</v>
      </c>
      <c r="G1697" s="1" t="s">
        <v>9</v>
      </c>
      <c r="H1697" s="1" t="b">
        <f t="shared" si="61"/>
        <v>1</v>
      </c>
    </row>
    <row r="1698" spans="1:8" ht="21" x14ac:dyDescent="0.25">
      <c r="A1698" s="2" t="str">
        <f t="shared" si="62"/>
        <v>BSGatlas-operon-909</v>
      </c>
      <c r="B1698" s="2" t="str">
        <f>HYPERLINK("https://rth.dk/resources/bsgatlas/details.php?id=BSGatlas-gene-1799","BSGatlas-gene-1799")</f>
        <v>BSGatlas-gene-1799</v>
      </c>
      <c r="C1698" s="1" t="s">
        <v>1694</v>
      </c>
      <c r="D1698" s="1" t="s">
        <v>8</v>
      </c>
      <c r="E1698" s="3">
        <v>1590317</v>
      </c>
      <c r="F1698" s="3">
        <v>1591417</v>
      </c>
      <c r="G1698" s="1" t="s">
        <v>9</v>
      </c>
      <c r="H1698" s="1" t="b">
        <f t="shared" si="61"/>
        <v>1</v>
      </c>
    </row>
    <row r="1699" spans="1:8" ht="21" x14ac:dyDescent="0.25">
      <c r="A1699" s="2" t="str">
        <f t="shared" si="62"/>
        <v>BSGatlas-operon-909</v>
      </c>
      <c r="B1699" s="2" t="str">
        <f>HYPERLINK("https://rth.dk/resources/bsgatlas/details.php?id=BSGatlas-gene-1800","BSGatlas-gene-1800")</f>
        <v>BSGatlas-gene-1800</v>
      </c>
      <c r="C1699" s="1" t="s">
        <v>1695</v>
      </c>
      <c r="D1699" s="1" t="s">
        <v>8</v>
      </c>
      <c r="E1699" s="3">
        <v>1591540</v>
      </c>
      <c r="F1699" s="3">
        <v>1592631</v>
      </c>
      <c r="G1699" s="1" t="s">
        <v>9</v>
      </c>
      <c r="H1699" s="1" t="b">
        <f t="shared" si="61"/>
        <v>1</v>
      </c>
    </row>
    <row r="1700" spans="1:8" ht="21" x14ac:dyDescent="0.25">
      <c r="A1700" s="2" t="str">
        <f t="shared" si="62"/>
        <v>BSGatlas-operon-909</v>
      </c>
      <c r="B1700" s="2" t="str">
        <f>HYPERLINK("https://rth.dk/resources/bsgatlas/details.php?id=BSGatlas-gene-1801","BSGatlas-gene-1801")</f>
        <v>BSGatlas-gene-1801</v>
      </c>
      <c r="C1700" s="1" t="s">
        <v>1696</v>
      </c>
      <c r="D1700" s="1" t="s">
        <v>8</v>
      </c>
      <c r="E1700" s="3">
        <v>1592663</v>
      </c>
      <c r="F1700" s="3">
        <v>1593574</v>
      </c>
      <c r="G1700" s="1" t="s">
        <v>9</v>
      </c>
      <c r="H1700" s="1" t="b">
        <f t="shared" si="61"/>
        <v>1</v>
      </c>
    </row>
    <row r="1701" spans="1:8" ht="21" x14ac:dyDescent="0.25">
      <c r="A1701" s="2" t="str">
        <f t="shared" si="62"/>
        <v>BSGatlas-operon-909</v>
      </c>
      <c r="B1701" s="2" t="str">
        <f>HYPERLINK("https://rth.dk/resources/bsgatlas/details.php?id=BSGatlas-gene-1802","BSGatlas-gene-1802")</f>
        <v>BSGatlas-gene-1802</v>
      </c>
      <c r="C1701" s="1" t="s">
        <v>1697</v>
      </c>
      <c r="D1701" s="1" t="s">
        <v>8</v>
      </c>
      <c r="E1701" s="3">
        <v>1593704</v>
      </c>
      <c r="F1701" s="3">
        <v>1594495</v>
      </c>
      <c r="G1701" s="1" t="s">
        <v>9</v>
      </c>
      <c r="H1701" s="1" t="b">
        <f t="shared" si="61"/>
        <v>1</v>
      </c>
    </row>
    <row r="1702" spans="1:8" ht="21" x14ac:dyDescent="0.25">
      <c r="A1702" s="2" t="str">
        <f t="shared" si="62"/>
        <v>BSGatlas-operon-909</v>
      </c>
      <c r="B1702" s="2" t="str">
        <f>HYPERLINK("https://rth.dk/resources/bsgatlas/details.php?id=BSGatlas-gene-1803","BSGatlas-gene-1803")</f>
        <v>BSGatlas-gene-1803</v>
      </c>
      <c r="C1702" s="1" t="s">
        <v>1698</v>
      </c>
      <c r="D1702" s="1" t="s">
        <v>8</v>
      </c>
      <c r="E1702" s="3">
        <v>1594492</v>
      </c>
      <c r="F1702" s="3">
        <v>1595187</v>
      </c>
      <c r="G1702" s="1" t="s">
        <v>9</v>
      </c>
      <c r="H1702" s="1" t="b">
        <f t="shared" si="61"/>
        <v>1</v>
      </c>
    </row>
    <row r="1703" spans="1:8" ht="21" x14ac:dyDescent="0.25">
      <c r="A1703" s="2" t="str">
        <f t="shared" si="62"/>
        <v>BSGatlas-operon-909</v>
      </c>
      <c r="B1703" s="2" t="str">
        <f>HYPERLINK("https://rth.dk/resources/bsgatlas/details.php?id=BSGatlas-gene-1804","BSGatlas-gene-1804")</f>
        <v>BSGatlas-gene-1804</v>
      </c>
      <c r="C1703" s="1" t="s">
        <v>1699</v>
      </c>
      <c r="D1703" s="1" t="s">
        <v>8</v>
      </c>
      <c r="E1703" s="3">
        <v>1595210</v>
      </c>
      <c r="F1703" s="3">
        <v>1595917</v>
      </c>
      <c r="G1703" s="1" t="s">
        <v>9</v>
      </c>
      <c r="H1703" s="1" t="b">
        <f t="shared" si="61"/>
        <v>1</v>
      </c>
    </row>
    <row r="1704" spans="1:8" ht="21" x14ac:dyDescent="0.25">
      <c r="A1704" s="2" t="str">
        <f t="shared" si="62"/>
        <v>BSGatlas-operon-909</v>
      </c>
      <c r="B1704" s="2" t="str">
        <f>HYPERLINK("https://rth.dk/resources/bsgatlas/details.php?id=BSGatlas-gene-1805","BSGatlas-gene-1805")</f>
        <v>BSGatlas-gene-1805</v>
      </c>
      <c r="C1704" s="1" t="s">
        <v>1700</v>
      </c>
      <c r="D1704" s="1" t="s">
        <v>8</v>
      </c>
      <c r="E1704" s="3">
        <v>1595935</v>
      </c>
      <c r="F1704" s="3">
        <v>1596300</v>
      </c>
      <c r="G1704" s="1" t="s">
        <v>9</v>
      </c>
      <c r="H1704" s="1" t="b">
        <f t="shared" si="61"/>
        <v>1</v>
      </c>
    </row>
    <row r="1705" spans="1:8" ht="21" x14ac:dyDescent="0.25">
      <c r="A1705" s="2" t="str">
        <f>HYPERLINK("https://rth.dk/resources/bsgatlas/details.php?id=BSGatlas-operon-910","BSGatlas-operon-910")</f>
        <v>BSGatlas-operon-910</v>
      </c>
      <c r="B1705" s="2" t="str">
        <f>HYPERLINK("https://rth.dk/resources/bsgatlas/details.php?id=BSGatlas-gene-1806","BSGatlas-gene-1806")</f>
        <v>BSGatlas-gene-1806</v>
      </c>
      <c r="C1705" s="1" t="s">
        <v>1701</v>
      </c>
      <c r="D1705" s="1" t="s">
        <v>12</v>
      </c>
      <c r="E1705" s="3">
        <v>1596338</v>
      </c>
      <c r="F1705" s="3">
        <v>1596409</v>
      </c>
      <c r="G1705" s="1" t="s">
        <v>9</v>
      </c>
      <c r="H1705" s="1" t="b">
        <f t="shared" si="61"/>
        <v>0</v>
      </c>
    </row>
    <row r="1706" spans="1:8" ht="21" x14ac:dyDescent="0.25">
      <c r="A1706" s="2" t="str">
        <f>HYPERLINK("https://rth.dk/resources/bsgatlas/details.php?id=BSGatlas-operon-911","BSGatlas-operon-911")</f>
        <v>BSGatlas-operon-911</v>
      </c>
      <c r="B1706" s="2" t="str">
        <f>HYPERLINK("https://rth.dk/resources/bsgatlas/details.php?id=BSGatlas-gene-1807","BSGatlas-gene-1807")</f>
        <v>BSGatlas-gene-1807</v>
      </c>
      <c r="C1706" s="1" t="s">
        <v>1702</v>
      </c>
      <c r="D1706" s="1" t="s">
        <v>8</v>
      </c>
      <c r="E1706" s="3">
        <v>1596474</v>
      </c>
      <c r="F1706" s="3">
        <v>1597796</v>
      </c>
      <c r="G1706" s="1" t="s">
        <v>9</v>
      </c>
      <c r="H1706" s="1" t="b">
        <f t="shared" si="61"/>
        <v>1</v>
      </c>
    </row>
    <row r="1707" spans="1:8" ht="21" x14ac:dyDescent="0.25">
      <c r="A1707" s="2" t="str">
        <f>HYPERLINK("https://rth.dk/resources/bsgatlas/details.php?id=BSGatlas-operon-911","BSGatlas-operon-911")</f>
        <v>BSGatlas-operon-911</v>
      </c>
      <c r="B1707" s="2" t="str">
        <f>HYPERLINK("https://rth.dk/resources/bsgatlas/details.php?id=BSGatlas-gene-1808","BSGatlas-gene-1808")</f>
        <v>BSGatlas-gene-1808</v>
      </c>
      <c r="C1707" s="1" t="s">
        <v>1703</v>
      </c>
      <c r="D1707" s="1" t="s">
        <v>8</v>
      </c>
      <c r="E1707" s="3">
        <v>1597832</v>
      </c>
      <c r="F1707" s="3">
        <v>1598980</v>
      </c>
      <c r="G1707" s="1" t="s">
        <v>9</v>
      </c>
      <c r="H1707" s="1" t="b">
        <f t="shared" si="61"/>
        <v>1</v>
      </c>
    </row>
    <row r="1708" spans="1:8" ht="21" x14ac:dyDescent="0.25">
      <c r="A1708" s="2" t="str">
        <f>HYPERLINK("https://rth.dk/resources/bsgatlas/details.php?id=BSGatlas-operon-912","BSGatlas-operon-912")</f>
        <v>BSGatlas-operon-912</v>
      </c>
      <c r="B1708" s="2" t="str">
        <f>HYPERLINK("https://rth.dk/resources/bsgatlas/details.php?id=BSGatlas-gene-1809","BSGatlas-gene-1809")</f>
        <v>BSGatlas-gene-1809</v>
      </c>
      <c r="C1708" s="1" t="s">
        <v>1704</v>
      </c>
      <c r="D1708" s="1" t="s">
        <v>8</v>
      </c>
      <c r="E1708" s="3">
        <v>1599283</v>
      </c>
      <c r="F1708" s="3">
        <v>1603584</v>
      </c>
      <c r="G1708" s="1" t="s">
        <v>9</v>
      </c>
      <c r="H1708" s="1" t="b">
        <f t="shared" si="61"/>
        <v>0</v>
      </c>
    </row>
    <row r="1709" spans="1:8" ht="21" x14ac:dyDescent="0.25">
      <c r="A1709" s="2" t="str">
        <f>HYPERLINK("https://rth.dk/resources/bsgatlas/details.php?id=BSGatlas-operon-913","BSGatlas-operon-913")</f>
        <v>BSGatlas-operon-913</v>
      </c>
      <c r="B1709" s="2" t="str">
        <f>HYPERLINK("https://rth.dk/resources/bsgatlas/details.php?id=BSGatlas-gene-1810","BSGatlas-gene-1810")</f>
        <v>BSGatlas-gene-1810</v>
      </c>
      <c r="C1709" s="1" t="s">
        <v>1705</v>
      </c>
      <c r="D1709" s="1" t="s">
        <v>12</v>
      </c>
      <c r="E1709" s="3">
        <v>1603592</v>
      </c>
      <c r="F1709" s="3">
        <v>1604734</v>
      </c>
      <c r="G1709" s="1" t="s">
        <v>13</v>
      </c>
      <c r="H1709" s="1" t="b">
        <f t="shared" si="61"/>
        <v>1</v>
      </c>
    </row>
    <row r="1710" spans="1:8" ht="21" x14ac:dyDescent="0.25">
      <c r="A1710" s="2" t="str">
        <f>HYPERLINK("https://rth.dk/resources/bsgatlas/details.php?id=BSGatlas-operon-914","BSGatlas-operon-914")</f>
        <v>BSGatlas-operon-914</v>
      </c>
      <c r="B1710" s="2" t="str">
        <f>HYPERLINK("https://rth.dk/resources/bsgatlas/details.php?id=BSGatlas-gene-1811","BSGatlas-gene-1811")</f>
        <v>BSGatlas-gene-1811</v>
      </c>
      <c r="C1710" s="1" t="s">
        <v>1706</v>
      </c>
      <c r="D1710" s="1" t="s">
        <v>8</v>
      </c>
      <c r="E1710" s="3">
        <v>1603779</v>
      </c>
      <c r="F1710" s="3">
        <v>1604708</v>
      </c>
      <c r="G1710" s="1" t="s">
        <v>9</v>
      </c>
      <c r="H1710" s="1" t="b">
        <f t="shared" si="61"/>
        <v>0</v>
      </c>
    </row>
    <row r="1711" spans="1:8" ht="21" x14ac:dyDescent="0.25">
      <c r="A1711" s="2" t="str">
        <f>HYPERLINK("https://rth.dk/resources/bsgatlas/details.php?id=BSGatlas-operon-914","BSGatlas-operon-914")</f>
        <v>BSGatlas-operon-914</v>
      </c>
      <c r="B1711" s="2" t="str">
        <f>HYPERLINK("https://rth.dk/resources/bsgatlas/details.php?id=BSGatlas-gene-1812","BSGatlas-gene-1812")</f>
        <v>BSGatlas-gene-1812</v>
      </c>
      <c r="C1711" s="1" t="s">
        <v>1707</v>
      </c>
      <c r="D1711" s="1" t="s">
        <v>8</v>
      </c>
      <c r="E1711" s="3">
        <v>1604771</v>
      </c>
      <c r="F1711" s="3">
        <v>1605490</v>
      </c>
      <c r="G1711" s="1" t="s">
        <v>9</v>
      </c>
      <c r="H1711" s="1" t="b">
        <f t="shared" si="61"/>
        <v>0</v>
      </c>
    </row>
    <row r="1712" spans="1:8" ht="21" x14ac:dyDescent="0.25">
      <c r="A1712" s="2" t="str">
        <f>HYPERLINK("https://rth.dk/resources/bsgatlas/details.php?id=BSGatlas-operon-914","BSGatlas-operon-914")</f>
        <v>BSGatlas-operon-914</v>
      </c>
      <c r="B1712" s="2" t="str">
        <f>HYPERLINK("https://rth.dk/resources/bsgatlas/details.php?id=BSGatlas-gene-1813","BSGatlas-gene-1813")</f>
        <v>BSGatlas-gene-1813</v>
      </c>
      <c r="C1712" s="1" t="s">
        <v>1708</v>
      </c>
      <c r="D1712" s="1" t="s">
        <v>8</v>
      </c>
      <c r="E1712" s="3">
        <v>1605630</v>
      </c>
      <c r="F1712" s="3">
        <v>1606412</v>
      </c>
      <c r="G1712" s="1" t="s">
        <v>9</v>
      </c>
      <c r="H1712" s="1" t="b">
        <f t="shared" si="61"/>
        <v>0</v>
      </c>
    </row>
    <row r="1713" spans="1:8" ht="21" x14ac:dyDescent="0.25">
      <c r="A1713" s="2" t="str">
        <f>HYPERLINK("https://rth.dk/resources/bsgatlas/details.php?id=BSGatlas-operon-915","BSGatlas-operon-915")</f>
        <v>BSGatlas-operon-915</v>
      </c>
      <c r="B1713" s="2" t="str">
        <f>HYPERLINK("https://rth.dk/resources/bsgatlas/details.php?id=BSGatlas-gene-1814","BSGatlas-gene-1814")</f>
        <v>BSGatlas-gene-1814</v>
      </c>
      <c r="C1713" s="1" t="s">
        <v>1709</v>
      </c>
      <c r="D1713" s="1" t="s">
        <v>8</v>
      </c>
      <c r="E1713" s="3">
        <v>1606560</v>
      </c>
      <c r="F1713" s="3">
        <v>1607354</v>
      </c>
      <c r="G1713" s="1" t="s">
        <v>9</v>
      </c>
      <c r="H1713" s="1" t="b">
        <f t="shared" si="61"/>
        <v>1</v>
      </c>
    </row>
    <row r="1714" spans="1:8" ht="21" x14ac:dyDescent="0.25">
      <c r="A1714" s="2" t="str">
        <f>HYPERLINK("https://rth.dk/resources/bsgatlas/details.php?id=BSGatlas-operon-916","BSGatlas-operon-916")</f>
        <v>BSGatlas-operon-916</v>
      </c>
      <c r="B1714" s="2" t="str">
        <f>HYPERLINK("https://rth.dk/resources/bsgatlas/details.php?id=BSGatlas-gene-1816","BSGatlas-gene-1816")</f>
        <v>BSGatlas-gene-1816</v>
      </c>
      <c r="C1714" s="1" t="s">
        <v>1710</v>
      </c>
      <c r="D1714" s="1" t="s">
        <v>8</v>
      </c>
      <c r="E1714" s="3">
        <v>1607556</v>
      </c>
      <c r="F1714" s="3">
        <v>1608836</v>
      </c>
      <c r="G1714" s="1" t="s">
        <v>9</v>
      </c>
      <c r="H1714" s="1" t="b">
        <f t="shared" si="61"/>
        <v>0</v>
      </c>
    </row>
    <row r="1715" spans="1:8" ht="21" x14ac:dyDescent="0.25">
      <c r="A1715" s="2" t="str">
        <f>HYPERLINK("https://rth.dk/resources/bsgatlas/details.php?id=BSGatlas-operon-917","BSGatlas-operon-917")</f>
        <v>BSGatlas-operon-917</v>
      </c>
      <c r="B1715" s="2" t="str">
        <f>HYPERLINK("https://rth.dk/resources/bsgatlas/details.php?id=BSGatlas-gene-1815","BSGatlas-gene-1815")</f>
        <v>BSGatlas-gene-1815</v>
      </c>
      <c r="C1715" s="1" t="s">
        <v>1711</v>
      </c>
      <c r="D1715" s="1" t="s">
        <v>34</v>
      </c>
      <c r="E1715" s="3">
        <v>1607366</v>
      </c>
      <c r="F1715" s="3">
        <v>1607468</v>
      </c>
      <c r="G1715" s="1" t="s">
        <v>9</v>
      </c>
      <c r="H1715" s="1" t="b">
        <f t="shared" si="61"/>
        <v>1</v>
      </c>
    </row>
    <row r="1716" spans="1:8" ht="21" x14ac:dyDescent="0.25">
      <c r="A1716" s="2" t="str">
        <f>HYPERLINK("https://rth.dk/resources/bsgatlas/details.php?id=BSGatlas-operon-918","BSGatlas-operon-918")</f>
        <v>BSGatlas-operon-918</v>
      </c>
      <c r="B1716" s="2" t="str">
        <f>HYPERLINK("https://rth.dk/resources/bsgatlas/details.php?id=BSGatlas-gene-1817","BSGatlas-gene-1817")</f>
        <v>BSGatlas-gene-1817</v>
      </c>
      <c r="C1716" s="1" t="s">
        <v>1712</v>
      </c>
      <c r="D1716" s="1" t="s">
        <v>8</v>
      </c>
      <c r="E1716" s="3">
        <v>1608919</v>
      </c>
      <c r="F1716" s="3">
        <v>1609164</v>
      </c>
      <c r="G1716" s="1" t="s">
        <v>9</v>
      </c>
      <c r="H1716" s="1" t="b">
        <f t="shared" si="61"/>
        <v>0</v>
      </c>
    </row>
    <row r="1717" spans="1:8" ht="21" x14ac:dyDescent="0.25">
      <c r="A1717" s="2" t="str">
        <f>HYPERLINK("https://rth.dk/resources/bsgatlas/details.php?id=BSGatlas-operon-919","BSGatlas-operon-919")</f>
        <v>BSGatlas-operon-919</v>
      </c>
      <c r="B1717" s="2" t="str">
        <f>HYPERLINK("https://rth.dk/resources/bsgatlas/details.php?id=BSGatlas-gene-1818","BSGatlas-gene-1818")</f>
        <v>BSGatlas-gene-1818</v>
      </c>
      <c r="C1717" s="1" t="s">
        <v>1713</v>
      </c>
      <c r="D1717" s="1" t="s">
        <v>8</v>
      </c>
      <c r="E1717" s="3">
        <v>1609327</v>
      </c>
      <c r="F1717" s="3">
        <v>1610163</v>
      </c>
      <c r="G1717" s="1" t="s">
        <v>9</v>
      </c>
      <c r="H1717" s="1" t="b">
        <f t="shared" si="61"/>
        <v>1</v>
      </c>
    </row>
    <row r="1718" spans="1:8" ht="21" x14ac:dyDescent="0.25">
      <c r="A1718" s="2" t="str">
        <f>HYPERLINK("https://rth.dk/resources/bsgatlas/details.php?id=BSGatlas-operon-919","BSGatlas-operon-919")</f>
        <v>BSGatlas-operon-919</v>
      </c>
      <c r="B1718" s="2" t="str">
        <f>HYPERLINK("https://rth.dk/resources/bsgatlas/details.php?id=BSGatlas-gene-1819","BSGatlas-gene-1819")</f>
        <v>BSGatlas-gene-1819</v>
      </c>
      <c r="C1718" s="1" t="s">
        <v>1714</v>
      </c>
      <c r="D1718" s="1" t="s">
        <v>8</v>
      </c>
      <c r="E1718" s="3">
        <v>1610170</v>
      </c>
      <c r="F1718" s="3">
        <v>1610862</v>
      </c>
      <c r="G1718" s="1" t="s">
        <v>9</v>
      </c>
      <c r="H1718" s="1" t="b">
        <f t="shared" si="61"/>
        <v>1</v>
      </c>
    </row>
    <row r="1719" spans="1:8" ht="21" x14ac:dyDescent="0.25">
      <c r="A1719" s="2" t="str">
        <f>HYPERLINK("https://rth.dk/resources/bsgatlas/details.php?id=BSGatlas-operon-919","BSGatlas-operon-919")</f>
        <v>BSGatlas-operon-919</v>
      </c>
      <c r="B1719" s="2" t="str">
        <f>HYPERLINK("https://rth.dk/resources/bsgatlas/details.php?id=BSGatlas-gene-1820","BSGatlas-gene-1820")</f>
        <v>BSGatlas-gene-1820</v>
      </c>
      <c r="C1719" s="1" t="s">
        <v>1715</v>
      </c>
      <c r="D1719" s="1" t="s">
        <v>8</v>
      </c>
      <c r="E1719" s="3">
        <v>1610859</v>
      </c>
      <c r="F1719" s="3">
        <v>1611314</v>
      </c>
      <c r="G1719" s="1" t="s">
        <v>9</v>
      </c>
      <c r="H1719" s="1" t="b">
        <f t="shared" si="61"/>
        <v>1</v>
      </c>
    </row>
    <row r="1720" spans="1:8" ht="21" x14ac:dyDescent="0.25">
      <c r="A1720" s="2" t="str">
        <f>HYPERLINK("https://rth.dk/resources/bsgatlas/details.php?id=BSGatlas-operon-919","BSGatlas-operon-919")</f>
        <v>BSGatlas-operon-919</v>
      </c>
      <c r="B1720" s="2" t="str">
        <f>HYPERLINK("https://rth.dk/resources/bsgatlas/details.php?id=BSGatlas-gene-1821","BSGatlas-gene-1821")</f>
        <v>BSGatlas-gene-1821</v>
      </c>
      <c r="C1720" s="1" t="s">
        <v>1716</v>
      </c>
      <c r="D1720" s="1" t="s">
        <v>8</v>
      </c>
      <c r="E1720" s="3">
        <v>1611321</v>
      </c>
      <c r="F1720" s="3">
        <v>1611593</v>
      </c>
      <c r="G1720" s="1" t="s">
        <v>9</v>
      </c>
      <c r="H1720" s="1" t="b">
        <f t="shared" si="61"/>
        <v>1</v>
      </c>
    </row>
    <row r="1721" spans="1:8" ht="21" x14ac:dyDescent="0.25">
      <c r="A1721" s="2" t="str">
        <f>HYPERLINK("https://rth.dk/resources/bsgatlas/details.php?id=BSGatlas-operon-919","BSGatlas-operon-919")</f>
        <v>BSGatlas-operon-919</v>
      </c>
      <c r="B1721" s="2" t="str">
        <f>HYPERLINK("https://rth.dk/resources/bsgatlas/details.php?id=BSGatlas-gene-1822","BSGatlas-gene-1822")</f>
        <v>BSGatlas-gene-1822</v>
      </c>
      <c r="C1721" s="1" t="s">
        <v>1717</v>
      </c>
      <c r="D1721" s="1" t="s">
        <v>8</v>
      </c>
      <c r="E1721" s="3">
        <v>1611654</v>
      </c>
      <c r="F1721" s="3">
        <v>1612427</v>
      </c>
      <c r="G1721" s="1" t="s">
        <v>9</v>
      </c>
      <c r="H1721" s="1" t="b">
        <f t="shared" si="61"/>
        <v>1</v>
      </c>
    </row>
    <row r="1722" spans="1:8" ht="21" x14ac:dyDescent="0.25">
      <c r="A1722" s="2" t="str">
        <f>HYPERLINK("https://rth.dk/resources/bsgatlas/details.php?id=BSGatlas-operon-920","BSGatlas-operon-920")</f>
        <v>BSGatlas-operon-920</v>
      </c>
      <c r="B1722" s="2" t="str">
        <f>HYPERLINK("https://rth.dk/resources/bsgatlas/details.php?id=BSGatlas-gene-1823","BSGatlas-gene-1823")</f>
        <v>BSGatlas-gene-1823</v>
      </c>
      <c r="C1722" s="1" t="s">
        <v>1718</v>
      </c>
      <c r="D1722" s="1" t="s">
        <v>8</v>
      </c>
      <c r="E1722" s="3">
        <v>1612521</v>
      </c>
      <c r="F1722" s="3">
        <v>1613015</v>
      </c>
      <c r="G1722" s="1" t="s">
        <v>9</v>
      </c>
      <c r="H1722" s="1" t="b">
        <f t="shared" si="61"/>
        <v>0</v>
      </c>
    </row>
    <row r="1723" spans="1:8" ht="21" x14ac:dyDescent="0.25">
      <c r="A1723" s="2" t="str">
        <f>HYPERLINK("https://rth.dk/resources/bsgatlas/details.php?id=BSGatlas-operon-921","BSGatlas-operon-921")</f>
        <v>BSGatlas-operon-921</v>
      </c>
      <c r="B1723" s="2" t="str">
        <f>HYPERLINK("https://rth.dk/resources/bsgatlas/details.php?id=BSGatlas-gene-1825","BSGatlas-gene-1825")</f>
        <v>BSGatlas-gene-1825</v>
      </c>
      <c r="C1723" s="1" t="s">
        <v>1719</v>
      </c>
      <c r="D1723" s="1" t="s">
        <v>8</v>
      </c>
      <c r="E1723" s="3">
        <v>1613357</v>
      </c>
      <c r="F1723" s="3">
        <v>1616122</v>
      </c>
      <c r="G1723" s="1" t="s">
        <v>9</v>
      </c>
      <c r="H1723" s="1" t="b">
        <f t="shared" si="61"/>
        <v>1</v>
      </c>
    </row>
    <row r="1724" spans="1:8" ht="21" x14ac:dyDescent="0.25">
      <c r="A1724" s="2" t="str">
        <f>HYPERLINK("https://rth.dk/resources/bsgatlas/details.php?id=BSGatlas-operon-922","BSGatlas-operon-922")</f>
        <v>BSGatlas-operon-922</v>
      </c>
      <c r="B1724" s="2" t="str">
        <f>HYPERLINK("https://rth.dk/resources/bsgatlas/details.php?id=BSGatlas-gene-1824","BSGatlas-gene-1824")</f>
        <v>BSGatlas-gene-1824</v>
      </c>
      <c r="C1724" s="1" t="s">
        <v>1720</v>
      </c>
      <c r="D1724" s="1" t="s">
        <v>34</v>
      </c>
      <c r="E1724" s="3">
        <v>1613077</v>
      </c>
      <c r="F1724" s="3">
        <v>1613304</v>
      </c>
      <c r="G1724" s="1" t="s">
        <v>9</v>
      </c>
      <c r="H1724" s="1" t="b">
        <f t="shared" si="61"/>
        <v>0</v>
      </c>
    </row>
    <row r="1725" spans="1:8" ht="21" x14ac:dyDescent="0.25">
      <c r="A1725" s="2" t="str">
        <f>HYPERLINK("https://rth.dk/resources/bsgatlas/details.php?id=BSGatlas-operon-923","BSGatlas-operon-923")</f>
        <v>BSGatlas-operon-923</v>
      </c>
      <c r="B1725" s="2" t="str">
        <f>HYPERLINK("https://rth.dk/resources/bsgatlas/details.php?id=BSGatlas-gene-1826","BSGatlas-gene-1826")</f>
        <v>BSGatlas-gene-1826</v>
      </c>
      <c r="C1725" s="1" t="s">
        <v>1721</v>
      </c>
      <c r="D1725" s="1" t="s">
        <v>8</v>
      </c>
      <c r="E1725" s="3">
        <v>1616267</v>
      </c>
      <c r="F1725" s="3">
        <v>1616641</v>
      </c>
      <c r="G1725" s="1" t="s">
        <v>9</v>
      </c>
      <c r="H1725" s="1" t="b">
        <f t="shared" si="61"/>
        <v>1</v>
      </c>
    </row>
    <row r="1726" spans="1:8" ht="21" x14ac:dyDescent="0.25">
      <c r="A1726" s="2" t="str">
        <f t="shared" ref="A1726:A1740" si="63">HYPERLINK("https://rth.dk/resources/bsgatlas/details.php?id=BSGatlas-operon-924","BSGatlas-operon-924")</f>
        <v>BSGatlas-operon-924</v>
      </c>
      <c r="B1726" s="2" t="str">
        <f>HYPERLINK("https://rth.dk/resources/bsgatlas/details.php?id=BSGatlas-gene-1827","BSGatlas-gene-1827")</f>
        <v>BSGatlas-gene-1827</v>
      </c>
      <c r="C1726" s="1" t="s">
        <v>1722</v>
      </c>
      <c r="D1726" s="1" t="s">
        <v>8</v>
      </c>
      <c r="E1726" s="3">
        <v>1616744</v>
      </c>
      <c r="F1726" s="3">
        <v>1617208</v>
      </c>
      <c r="G1726" s="1" t="s">
        <v>9</v>
      </c>
      <c r="H1726" s="1" t="b">
        <f t="shared" si="61"/>
        <v>0</v>
      </c>
    </row>
    <row r="1727" spans="1:8" ht="21" x14ac:dyDescent="0.25">
      <c r="A1727" s="2" t="str">
        <f t="shared" si="63"/>
        <v>BSGatlas-operon-924</v>
      </c>
      <c r="B1727" s="2" t="str">
        <f>HYPERLINK("https://rth.dk/resources/bsgatlas/details.php?id=BSGatlas-gene-1828","BSGatlas-gene-1828")</f>
        <v>BSGatlas-gene-1828</v>
      </c>
      <c r="C1727" s="1" t="s">
        <v>1723</v>
      </c>
      <c r="D1727" s="1" t="s">
        <v>8</v>
      </c>
      <c r="E1727" s="3">
        <v>1617210</v>
      </c>
      <c r="F1727" s="3">
        <v>1618121</v>
      </c>
      <c r="G1727" s="1" t="s">
        <v>9</v>
      </c>
      <c r="H1727" s="1" t="b">
        <f t="shared" si="61"/>
        <v>0</v>
      </c>
    </row>
    <row r="1728" spans="1:8" ht="21" x14ac:dyDescent="0.25">
      <c r="A1728" s="2" t="str">
        <f t="shared" si="63"/>
        <v>BSGatlas-operon-924</v>
      </c>
      <c r="B1728" s="2" t="str">
        <f>HYPERLINK("https://rth.dk/resources/bsgatlas/details.php?id=BSGatlas-gene-1829","BSGatlas-gene-1829")</f>
        <v>BSGatlas-gene-1829</v>
      </c>
      <c r="C1728" s="1" t="s">
        <v>1724</v>
      </c>
      <c r="D1728" s="1" t="s">
        <v>34</v>
      </c>
      <c r="E1728" s="3">
        <v>1618160</v>
      </c>
      <c r="F1728" s="3">
        <v>1618277</v>
      </c>
      <c r="G1728" s="1" t="s">
        <v>9</v>
      </c>
      <c r="H1728" s="1" t="b">
        <f t="shared" si="61"/>
        <v>0</v>
      </c>
    </row>
    <row r="1729" spans="1:8" ht="21" x14ac:dyDescent="0.25">
      <c r="A1729" s="2" t="str">
        <f t="shared" si="63"/>
        <v>BSGatlas-operon-924</v>
      </c>
      <c r="B1729" s="2" t="str">
        <f>HYPERLINK("https://rth.dk/resources/bsgatlas/details.php?id=BSGatlas-gene-1830","BSGatlas-gene-1830")</f>
        <v>BSGatlas-gene-1830</v>
      </c>
      <c r="C1729" s="1" t="s">
        <v>1725</v>
      </c>
      <c r="D1729" s="1" t="s">
        <v>8</v>
      </c>
      <c r="E1729" s="3">
        <v>1618304</v>
      </c>
      <c r="F1729" s="3">
        <v>1618849</v>
      </c>
      <c r="G1729" s="1" t="s">
        <v>9</v>
      </c>
      <c r="H1729" s="1" t="b">
        <f t="shared" si="61"/>
        <v>0</v>
      </c>
    </row>
    <row r="1730" spans="1:8" ht="21" x14ac:dyDescent="0.25">
      <c r="A1730" s="2" t="str">
        <f t="shared" si="63"/>
        <v>BSGatlas-operon-924</v>
      </c>
      <c r="B1730" s="2" t="str">
        <f>HYPERLINK("https://rth.dk/resources/bsgatlas/details.php?id=BSGatlas-gene-1831","BSGatlas-gene-1831")</f>
        <v>BSGatlas-gene-1831</v>
      </c>
      <c r="C1730" s="1" t="s">
        <v>1726</v>
      </c>
      <c r="D1730" s="1" t="s">
        <v>34</v>
      </c>
      <c r="E1730" s="3">
        <v>1618852</v>
      </c>
      <c r="F1730" s="3">
        <v>1618971</v>
      </c>
      <c r="G1730" s="1" t="s">
        <v>9</v>
      </c>
      <c r="H1730" s="1" t="b">
        <f t="shared" ref="H1730:H1793" si="64">_xlfn.XOR(A1729&lt;&gt;A1730,H1729)</f>
        <v>0</v>
      </c>
    </row>
    <row r="1731" spans="1:8" ht="21" x14ac:dyDescent="0.25">
      <c r="A1731" s="2" t="str">
        <f t="shared" si="63"/>
        <v>BSGatlas-operon-924</v>
      </c>
      <c r="B1731" s="2" t="str">
        <f>HYPERLINK("https://rth.dk/resources/bsgatlas/details.php?id=BSGatlas-gene-1832","BSGatlas-gene-1832")</f>
        <v>BSGatlas-gene-1832</v>
      </c>
      <c r="C1731" s="1" t="s">
        <v>1727</v>
      </c>
      <c r="D1731" s="1" t="s">
        <v>8</v>
      </c>
      <c r="E1731" s="3">
        <v>1619023</v>
      </c>
      <c r="F1731" s="3">
        <v>1620330</v>
      </c>
      <c r="G1731" s="1" t="s">
        <v>9</v>
      </c>
      <c r="H1731" s="1" t="b">
        <f t="shared" si="64"/>
        <v>0</v>
      </c>
    </row>
    <row r="1732" spans="1:8" ht="21" x14ac:dyDescent="0.25">
      <c r="A1732" s="2" t="str">
        <f t="shared" si="63"/>
        <v>BSGatlas-operon-924</v>
      </c>
      <c r="B1732" s="2" t="str">
        <f>HYPERLINK("https://rth.dk/resources/bsgatlas/details.php?id=BSGatlas-gene-1833","BSGatlas-gene-1833")</f>
        <v>BSGatlas-gene-1833</v>
      </c>
      <c r="C1732" s="1" t="s">
        <v>1728</v>
      </c>
      <c r="D1732" s="1" t="s">
        <v>34</v>
      </c>
      <c r="E1732" s="3">
        <v>1620328</v>
      </c>
      <c r="F1732" s="3">
        <v>1620445</v>
      </c>
      <c r="G1732" s="1" t="s">
        <v>9</v>
      </c>
      <c r="H1732" s="1" t="b">
        <f t="shared" si="64"/>
        <v>0</v>
      </c>
    </row>
    <row r="1733" spans="1:8" ht="21" x14ac:dyDescent="0.25">
      <c r="A1733" s="2" t="str">
        <f t="shared" si="63"/>
        <v>BSGatlas-operon-924</v>
      </c>
      <c r="B1733" s="2" t="str">
        <f>HYPERLINK("https://rth.dk/resources/bsgatlas/details.php?id=BSGatlas-gene-1834","BSGatlas-gene-1834")</f>
        <v>BSGatlas-gene-1834</v>
      </c>
      <c r="C1733" s="1" t="s">
        <v>1729</v>
      </c>
      <c r="D1733" s="1" t="s">
        <v>8</v>
      </c>
      <c r="E1733" s="3">
        <v>1620476</v>
      </c>
      <c r="F1733" s="3">
        <v>1621390</v>
      </c>
      <c r="G1733" s="1" t="s">
        <v>9</v>
      </c>
      <c r="H1733" s="1" t="b">
        <f t="shared" si="64"/>
        <v>0</v>
      </c>
    </row>
    <row r="1734" spans="1:8" ht="21" x14ac:dyDescent="0.25">
      <c r="A1734" s="2" t="str">
        <f t="shared" si="63"/>
        <v>BSGatlas-operon-924</v>
      </c>
      <c r="B1734" s="2" t="str">
        <f>HYPERLINK("https://rth.dk/resources/bsgatlas/details.php?id=BSGatlas-gene-1835","BSGatlas-gene-1835")</f>
        <v>BSGatlas-gene-1835</v>
      </c>
      <c r="C1734" s="1" t="s">
        <v>1730</v>
      </c>
      <c r="D1734" s="1" t="s">
        <v>8</v>
      </c>
      <c r="E1734" s="3">
        <v>1621374</v>
      </c>
      <c r="F1734" s="3">
        <v>1622660</v>
      </c>
      <c r="G1734" s="1" t="s">
        <v>9</v>
      </c>
      <c r="H1734" s="1" t="b">
        <f t="shared" si="64"/>
        <v>0</v>
      </c>
    </row>
    <row r="1735" spans="1:8" ht="21" x14ac:dyDescent="0.25">
      <c r="A1735" s="2" t="str">
        <f t="shared" si="63"/>
        <v>BSGatlas-operon-924</v>
      </c>
      <c r="B1735" s="2" t="str">
        <f>HYPERLINK("https://rth.dk/resources/bsgatlas/details.php?id=BSGatlas-gene-1836","BSGatlas-gene-1836")</f>
        <v>BSGatlas-gene-1836</v>
      </c>
      <c r="C1735" s="1" t="s">
        <v>1731</v>
      </c>
      <c r="D1735" s="1" t="s">
        <v>8</v>
      </c>
      <c r="E1735" s="3">
        <v>1622657</v>
      </c>
      <c r="F1735" s="3">
        <v>1623751</v>
      </c>
      <c r="G1735" s="1" t="s">
        <v>9</v>
      </c>
      <c r="H1735" s="1" t="b">
        <f t="shared" si="64"/>
        <v>0</v>
      </c>
    </row>
    <row r="1736" spans="1:8" ht="21" x14ac:dyDescent="0.25">
      <c r="A1736" s="2" t="str">
        <f t="shared" si="63"/>
        <v>BSGatlas-operon-924</v>
      </c>
      <c r="B1736" s="2" t="str">
        <f>HYPERLINK("https://rth.dk/resources/bsgatlas/details.php?id=BSGatlas-gene-1837","BSGatlas-gene-1837")</f>
        <v>BSGatlas-gene-1837</v>
      </c>
      <c r="C1736" s="1" t="s">
        <v>1732</v>
      </c>
      <c r="D1736" s="1" t="s">
        <v>8</v>
      </c>
      <c r="E1736" s="3">
        <v>1623736</v>
      </c>
      <c r="F1736" s="3">
        <v>1626951</v>
      </c>
      <c r="G1736" s="1" t="s">
        <v>9</v>
      </c>
      <c r="H1736" s="1" t="b">
        <f t="shared" si="64"/>
        <v>0</v>
      </c>
    </row>
    <row r="1737" spans="1:8" ht="21" x14ac:dyDescent="0.25">
      <c r="A1737" s="2" t="str">
        <f t="shared" si="63"/>
        <v>BSGatlas-operon-924</v>
      </c>
      <c r="B1737" s="2" t="str">
        <f>HYPERLINK("https://rth.dk/resources/bsgatlas/details.php?id=BSGatlas-gene-1838","BSGatlas-gene-1838")</f>
        <v>BSGatlas-gene-1838</v>
      </c>
      <c r="C1737" s="1" t="s">
        <v>1733</v>
      </c>
      <c r="D1737" s="1" t="s">
        <v>8</v>
      </c>
      <c r="E1737" s="3">
        <v>1626948</v>
      </c>
      <c r="F1737" s="3">
        <v>1627718</v>
      </c>
      <c r="G1737" s="1" t="s">
        <v>9</v>
      </c>
      <c r="H1737" s="1" t="b">
        <f t="shared" si="64"/>
        <v>0</v>
      </c>
    </row>
    <row r="1738" spans="1:8" ht="21" x14ac:dyDescent="0.25">
      <c r="A1738" s="2" t="str">
        <f t="shared" si="63"/>
        <v>BSGatlas-operon-924</v>
      </c>
      <c r="B1738" s="2" t="str">
        <f>HYPERLINK("https://rth.dk/resources/bsgatlas/details.php?id=BSGatlas-gene-1839","BSGatlas-gene-1839")</f>
        <v>BSGatlas-gene-1839</v>
      </c>
      <c r="C1738" s="1" t="s">
        <v>1734</v>
      </c>
      <c r="D1738" s="1" t="s">
        <v>8</v>
      </c>
      <c r="E1738" s="3">
        <v>1627718</v>
      </c>
      <c r="F1738" s="3">
        <v>1628653</v>
      </c>
      <c r="G1738" s="1" t="s">
        <v>9</v>
      </c>
      <c r="H1738" s="1" t="b">
        <f t="shared" si="64"/>
        <v>0</v>
      </c>
    </row>
    <row r="1739" spans="1:8" ht="21" x14ac:dyDescent="0.25">
      <c r="A1739" s="2" t="str">
        <f t="shared" si="63"/>
        <v>BSGatlas-operon-924</v>
      </c>
      <c r="B1739" s="2" t="str">
        <f>HYPERLINK("https://rth.dk/resources/bsgatlas/details.php?id=BSGatlas-gene-1840","BSGatlas-gene-1840")</f>
        <v>BSGatlas-gene-1840</v>
      </c>
      <c r="C1739" s="1" t="s">
        <v>1735</v>
      </c>
      <c r="D1739" s="1" t="s">
        <v>8</v>
      </c>
      <c r="E1739" s="3">
        <v>1628622</v>
      </c>
      <c r="F1739" s="3">
        <v>1629341</v>
      </c>
      <c r="G1739" s="1" t="s">
        <v>9</v>
      </c>
      <c r="H1739" s="1" t="b">
        <f t="shared" si="64"/>
        <v>0</v>
      </c>
    </row>
    <row r="1740" spans="1:8" ht="21" x14ac:dyDescent="0.25">
      <c r="A1740" s="2" t="str">
        <f t="shared" si="63"/>
        <v>BSGatlas-operon-924</v>
      </c>
      <c r="B1740" s="2" t="str">
        <f>HYPERLINK("https://rth.dk/resources/bsgatlas/details.php?id=BSGatlas-gene-1841","BSGatlas-gene-1841")</f>
        <v>BSGatlas-gene-1841</v>
      </c>
      <c r="C1740" s="1" t="s">
        <v>1736</v>
      </c>
      <c r="D1740" s="1" t="s">
        <v>8</v>
      </c>
      <c r="E1740" s="3">
        <v>1629320</v>
      </c>
      <c r="F1740" s="3">
        <v>1629970</v>
      </c>
      <c r="G1740" s="1" t="s">
        <v>9</v>
      </c>
      <c r="H1740" s="1" t="b">
        <f t="shared" si="64"/>
        <v>0</v>
      </c>
    </row>
    <row r="1741" spans="1:8" ht="21" x14ac:dyDescent="0.25">
      <c r="A1741" s="2" t="str">
        <f t="shared" ref="A1741:A1747" si="65">HYPERLINK("https://rth.dk/resources/bsgatlas/details.php?id=BSGatlas-operon-925","BSGatlas-operon-925")</f>
        <v>BSGatlas-operon-925</v>
      </c>
      <c r="B1741" s="2" t="str">
        <f>HYPERLINK("https://rth.dk/resources/bsgatlas/details.php?id=BSGatlas-gene-1843","BSGatlas-gene-1843")</f>
        <v>BSGatlas-gene-1843</v>
      </c>
      <c r="C1741" s="1" t="s">
        <v>1737</v>
      </c>
      <c r="D1741" s="1" t="s">
        <v>8</v>
      </c>
      <c r="E1741" s="3">
        <v>1630382</v>
      </c>
      <c r="F1741" s="3">
        <v>1631083</v>
      </c>
      <c r="G1741" s="1" t="s">
        <v>9</v>
      </c>
      <c r="H1741" s="1" t="b">
        <f t="shared" si="64"/>
        <v>1</v>
      </c>
    </row>
    <row r="1742" spans="1:8" ht="21" x14ac:dyDescent="0.25">
      <c r="A1742" s="2" t="str">
        <f t="shared" si="65"/>
        <v>BSGatlas-operon-925</v>
      </c>
      <c r="B1742" s="2" t="str">
        <f>HYPERLINK("https://rth.dk/resources/bsgatlas/details.php?id=BSGatlas-gene-1844","BSGatlas-gene-1844")</f>
        <v>BSGatlas-gene-1844</v>
      </c>
      <c r="C1742" s="1" t="s">
        <v>1738</v>
      </c>
      <c r="D1742" s="1" t="s">
        <v>8</v>
      </c>
      <c r="E1742" s="3">
        <v>1631095</v>
      </c>
      <c r="F1742" s="3">
        <v>1632159</v>
      </c>
      <c r="G1742" s="1" t="s">
        <v>9</v>
      </c>
      <c r="H1742" s="1" t="b">
        <f t="shared" si="64"/>
        <v>1</v>
      </c>
    </row>
    <row r="1743" spans="1:8" ht="21" x14ac:dyDescent="0.25">
      <c r="A1743" s="2" t="str">
        <f t="shared" si="65"/>
        <v>BSGatlas-operon-925</v>
      </c>
      <c r="B1743" s="2" t="str">
        <f>HYPERLINK("https://rth.dk/resources/bsgatlas/details.php?id=BSGatlas-gene-1845","BSGatlas-gene-1845")</f>
        <v>BSGatlas-gene-1845</v>
      </c>
      <c r="C1743" s="1" t="s">
        <v>1739</v>
      </c>
      <c r="D1743" s="1" t="s">
        <v>8</v>
      </c>
      <c r="E1743" s="3">
        <v>1632208</v>
      </c>
      <c r="F1743" s="3">
        <v>1633356</v>
      </c>
      <c r="G1743" s="1" t="s">
        <v>9</v>
      </c>
      <c r="H1743" s="1" t="b">
        <f t="shared" si="64"/>
        <v>1</v>
      </c>
    </row>
    <row r="1744" spans="1:8" ht="21" x14ac:dyDescent="0.25">
      <c r="A1744" s="2" t="str">
        <f t="shared" si="65"/>
        <v>BSGatlas-operon-925</v>
      </c>
      <c r="B1744" s="2" t="str">
        <f>HYPERLINK("https://rth.dk/resources/bsgatlas/details.php?id=BSGatlas-gene-1846","BSGatlas-gene-1846")</f>
        <v>BSGatlas-gene-1846</v>
      </c>
      <c r="C1744" s="1" t="s">
        <v>1740</v>
      </c>
      <c r="D1744" s="1" t="s">
        <v>8</v>
      </c>
      <c r="E1744" s="3">
        <v>1633369</v>
      </c>
      <c r="F1744" s="3">
        <v>1633962</v>
      </c>
      <c r="G1744" s="1" t="s">
        <v>9</v>
      </c>
      <c r="H1744" s="1" t="b">
        <f t="shared" si="64"/>
        <v>1</v>
      </c>
    </row>
    <row r="1745" spans="1:8" ht="21" x14ac:dyDescent="0.25">
      <c r="A1745" s="2" t="str">
        <f t="shared" si="65"/>
        <v>BSGatlas-operon-925</v>
      </c>
      <c r="B1745" s="2" t="str">
        <f>HYPERLINK("https://rth.dk/resources/bsgatlas/details.php?id=BSGatlas-gene-1847","BSGatlas-gene-1847")</f>
        <v>BSGatlas-gene-1847</v>
      </c>
      <c r="C1745" s="1" t="s">
        <v>1741</v>
      </c>
      <c r="D1745" s="1" t="s">
        <v>8</v>
      </c>
      <c r="E1745" s="3">
        <v>1634061</v>
      </c>
      <c r="F1745" s="3">
        <v>1634834</v>
      </c>
      <c r="G1745" s="1" t="s">
        <v>9</v>
      </c>
      <c r="H1745" s="1" t="b">
        <f t="shared" si="64"/>
        <v>1</v>
      </c>
    </row>
    <row r="1746" spans="1:8" ht="21" x14ac:dyDescent="0.25">
      <c r="A1746" s="2" t="str">
        <f t="shared" si="65"/>
        <v>BSGatlas-operon-925</v>
      </c>
      <c r="B1746" s="2" t="str">
        <f>HYPERLINK("https://rth.dk/resources/bsgatlas/details.php?id=BSGatlas-gene-1848","BSGatlas-gene-1848")</f>
        <v>BSGatlas-gene-1848</v>
      </c>
      <c r="C1746" s="1" t="s">
        <v>1742</v>
      </c>
      <c r="D1746" s="1" t="s">
        <v>8</v>
      </c>
      <c r="E1746" s="3">
        <v>1634837</v>
      </c>
      <c r="F1746" s="3">
        <v>1635622</v>
      </c>
      <c r="G1746" s="1" t="s">
        <v>9</v>
      </c>
      <c r="H1746" s="1" t="b">
        <f t="shared" si="64"/>
        <v>1</v>
      </c>
    </row>
    <row r="1747" spans="1:8" ht="21" x14ac:dyDescent="0.25">
      <c r="A1747" s="2" t="str">
        <f t="shared" si="65"/>
        <v>BSGatlas-operon-925</v>
      </c>
      <c r="B1747" s="2" t="str">
        <f>HYPERLINK("https://rth.dk/resources/bsgatlas/details.php?id=BSGatlas-gene-1849","BSGatlas-gene-1849")</f>
        <v>BSGatlas-gene-1849</v>
      </c>
      <c r="C1747" s="1" t="s">
        <v>1743</v>
      </c>
      <c r="D1747" s="1" t="s">
        <v>8</v>
      </c>
      <c r="E1747" s="3">
        <v>1635603</v>
      </c>
      <c r="F1747" s="3">
        <v>1636091</v>
      </c>
      <c r="G1747" s="1" t="s">
        <v>9</v>
      </c>
      <c r="H1747" s="1" t="b">
        <f t="shared" si="64"/>
        <v>1</v>
      </c>
    </row>
    <row r="1748" spans="1:8" ht="21" x14ac:dyDescent="0.25">
      <c r="A1748" s="2" t="str">
        <f>HYPERLINK("https://rth.dk/resources/bsgatlas/details.php?id=BSGatlas-operon-926","BSGatlas-operon-926")</f>
        <v>BSGatlas-operon-926</v>
      </c>
      <c r="B1748" s="2" t="str">
        <f>HYPERLINK("https://rth.dk/resources/bsgatlas/details.php?id=BSGatlas-gene-1850","BSGatlas-gene-1850")</f>
        <v>BSGatlas-gene-1850</v>
      </c>
      <c r="C1748" s="1" t="s">
        <v>1744</v>
      </c>
      <c r="D1748" s="1" t="s">
        <v>8</v>
      </c>
      <c r="E1748" s="3">
        <v>1636131</v>
      </c>
      <c r="F1748" s="3">
        <v>1637849</v>
      </c>
      <c r="G1748" s="1" t="s">
        <v>13</v>
      </c>
      <c r="H1748" s="1" t="b">
        <f t="shared" si="64"/>
        <v>0</v>
      </c>
    </row>
    <row r="1749" spans="1:8" ht="21" x14ac:dyDescent="0.25">
      <c r="A1749" s="2" t="str">
        <f t="shared" ref="A1749:A1759" si="66">HYPERLINK("https://rth.dk/resources/bsgatlas/details.php?id=BSGatlas-operon-927","BSGatlas-operon-927")</f>
        <v>BSGatlas-operon-927</v>
      </c>
      <c r="B1749" s="2" t="str">
        <f>HYPERLINK("https://rth.dk/resources/bsgatlas/details.php?id=BSGatlas-gene-1851","BSGatlas-gene-1851")</f>
        <v>BSGatlas-gene-1851</v>
      </c>
      <c r="C1749" s="1" t="s">
        <v>1745</v>
      </c>
      <c r="D1749" s="1" t="s">
        <v>8</v>
      </c>
      <c r="E1749" s="3">
        <v>1637965</v>
      </c>
      <c r="F1749" s="3">
        <v>1640637</v>
      </c>
      <c r="G1749" s="1" t="s">
        <v>9</v>
      </c>
      <c r="H1749" s="1" t="b">
        <f t="shared" si="64"/>
        <v>1</v>
      </c>
    </row>
    <row r="1750" spans="1:8" ht="21" x14ac:dyDescent="0.25">
      <c r="A1750" s="2" t="str">
        <f t="shared" si="66"/>
        <v>BSGatlas-operon-927</v>
      </c>
      <c r="B1750" s="2" t="str">
        <f>HYPERLINK("https://rth.dk/resources/bsgatlas/details.php?id=BSGatlas-gene-1852","BSGatlas-gene-1852")</f>
        <v>BSGatlas-gene-1852</v>
      </c>
      <c r="C1750" s="1" t="s">
        <v>1746</v>
      </c>
      <c r="D1750" s="1" t="s">
        <v>8</v>
      </c>
      <c r="E1750" s="3">
        <v>1640720</v>
      </c>
      <c r="F1750" s="3">
        <v>1641595</v>
      </c>
      <c r="G1750" s="1" t="s">
        <v>9</v>
      </c>
      <c r="H1750" s="1" t="b">
        <f t="shared" si="64"/>
        <v>1</v>
      </c>
    </row>
    <row r="1751" spans="1:8" ht="21" x14ac:dyDescent="0.25">
      <c r="A1751" s="2" t="str">
        <f t="shared" si="66"/>
        <v>BSGatlas-operon-927</v>
      </c>
      <c r="B1751" s="2" t="str">
        <f>HYPERLINK("https://rth.dk/resources/bsgatlas/details.php?id=BSGatlas-gene-1853","BSGatlas-gene-1853")</f>
        <v>BSGatlas-gene-1853</v>
      </c>
      <c r="C1751" s="1" t="s">
        <v>1747</v>
      </c>
      <c r="D1751" s="1" t="s">
        <v>8</v>
      </c>
      <c r="E1751" s="3">
        <v>1641672</v>
      </c>
      <c r="F1751" s="3">
        <v>1641941</v>
      </c>
      <c r="G1751" s="1" t="s">
        <v>9</v>
      </c>
      <c r="H1751" s="1" t="b">
        <f t="shared" si="64"/>
        <v>1</v>
      </c>
    </row>
    <row r="1752" spans="1:8" ht="21" x14ac:dyDescent="0.25">
      <c r="A1752" s="2" t="str">
        <f t="shared" si="66"/>
        <v>BSGatlas-operon-927</v>
      </c>
      <c r="B1752" s="2" t="str">
        <f>HYPERLINK("https://rth.dk/resources/bsgatlas/details.php?id=BSGatlas-gene-1854","BSGatlas-gene-1854")</f>
        <v>BSGatlas-gene-1854</v>
      </c>
      <c r="C1752" s="1" t="s">
        <v>1748</v>
      </c>
      <c r="D1752" s="1" t="s">
        <v>8</v>
      </c>
      <c r="E1752" s="3">
        <v>1641949</v>
      </c>
      <c r="F1752" s="3">
        <v>1642563</v>
      </c>
      <c r="G1752" s="1" t="s">
        <v>9</v>
      </c>
      <c r="H1752" s="1" t="b">
        <f t="shared" si="64"/>
        <v>1</v>
      </c>
    </row>
    <row r="1753" spans="1:8" ht="21" x14ac:dyDescent="0.25">
      <c r="A1753" s="2" t="str">
        <f t="shared" si="66"/>
        <v>BSGatlas-operon-927</v>
      </c>
      <c r="B1753" s="2" t="str">
        <f>HYPERLINK("https://rth.dk/resources/bsgatlas/details.php?id=BSGatlas-gene-1855","BSGatlas-gene-1855")</f>
        <v>BSGatlas-gene-1855</v>
      </c>
      <c r="C1753" s="1" t="s">
        <v>1749</v>
      </c>
      <c r="D1753" s="1" t="s">
        <v>8</v>
      </c>
      <c r="E1753" s="3">
        <v>1642567</v>
      </c>
      <c r="F1753" s="3">
        <v>1642770</v>
      </c>
      <c r="G1753" s="1" t="s">
        <v>9</v>
      </c>
      <c r="H1753" s="1" t="b">
        <f t="shared" si="64"/>
        <v>1</v>
      </c>
    </row>
    <row r="1754" spans="1:8" ht="21" x14ac:dyDescent="0.25">
      <c r="A1754" s="2" t="str">
        <f t="shared" si="66"/>
        <v>BSGatlas-operon-927</v>
      </c>
      <c r="B1754" s="2" t="str">
        <f>HYPERLINK("https://rth.dk/resources/bsgatlas/details.php?id=BSGatlas-gene-1856","BSGatlas-gene-1856")</f>
        <v>BSGatlas-gene-1856</v>
      </c>
      <c r="C1754" s="1" t="s">
        <v>1750</v>
      </c>
      <c r="D1754" s="1" t="s">
        <v>8</v>
      </c>
      <c r="E1754" s="3">
        <v>1642851</v>
      </c>
      <c r="F1754" s="3">
        <v>1644071</v>
      </c>
      <c r="G1754" s="1" t="s">
        <v>9</v>
      </c>
      <c r="H1754" s="1" t="b">
        <f t="shared" si="64"/>
        <v>1</v>
      </c>
    </row>
    <row r="1755" spans="1:8" ht="21" x14ac:dyDescent="0.25">
      <c r="A1755" s="2" t="str">
        <f t="shared" si="66"/>
        <v>BSGatlas-operon-927</v>
      </c>
      <c r="B1755" s="2" t="str">
        <f>HYPERLINK("https://rth.dk/resources/bsgatlas/details.php?id=BSGatlas-gene-1858","BSGatlas-gene-1858")</f>
        <v>BSGatlas-gene-1858</v>
      </c>
      <c r="C1755" s="1" t="s">
        <v>1751</v>
      </c>
      <c r="D1755" s="1" t="s">
        <v>8</v>
      </c>
      <c r="E1755" s="3">
        <v>1644068</v>
      </c>
      <c r="F1755" s="3">
        <v>1646485</v>
      </c>
      <c r="G1755" s="1" t="s">
        <v>9</v>
      </c>
      <c r="H1755" s="1" t="b">
        <f t="shared" si="64"/>
        <v>1</v>
      </c>
    </row>
    <row r="1756" spans="1:8" ht="21" x14ac:dyDescent="0.25">
      <c r="A1756" s="2" t="str">
        <f t="shared" si="66"/>
        <v>BSGatlas-operon-927</v>
      </c>
      <c r="B1756" s="2" t="str">
        <f>HYPERLINK("https://rth.dk/resources/bsgatlas/details.php?id=BSGatlas-gene-1859","BSGatlas-gene-1859")</f>
        <v>BSGatlas-gene-1859</v>
      </c>
      <c r="C1756" s="1" t="s">
        <v>1752</v>
      </c>
      <c r="D1756" s="1" t="s">
        <v>8</v>
      </c>
      <c r="E1756" s="3">
        <v>1646512</v>
      </c>
      <c r="F1756" s="3">
        <v>1646994</v>
      </c>
      <c r="G1756" s="1" t="s">
        <v>9</v>
      </c>
      <c r="H1756" s="1" t="b">
        <f t="shared" si="64"/>
        <v>1</v>
      </c>
    </row>
    <row r="1757" spans="1:8" ht="21" x14ac:dyDescent="0.25">
      <c r="A1757" s="2" t="str">
        <f t="shared" si="66"/>
        <v>BSGatlas-operon-927</v>
      </c>
      <c r="B1757" s="2" t="str">
        <f>HYPERLINK("https://rth.dk/resources/bsgatlas/details.php?id=BSGatlas-gene-1860","BSGatlas-gene-1860")</f>
        <v>BSGatlas-gene-1860</v>
      </c>
      <c r="C1757" s="1" t="s">
        <v>1753</v>
      </c>
      <c r="D1757" s="1" t="s">
        <v>8</v>
      </c>
      <c r="E1757" s="3">
        <v>1646999</v>
      </c>
      <c r="F1757" s="3">
        <v>1647952</v>
      </c>
      <c r="G1757" s="1" t="s">
        <v>9</v>
      </c>
      <c r="H1757" s="1" t="b">
        <f t="shared" si="64"/>
        <v>1</v>
      </c>
    </row>
    <row r="1758" spans="1:8" ht="21" x14ac:dyDescent="0.25">
      <c r="A1758" s="2" t="str">
        <f t="shared" si="66"/>
        <v>BSGatlas-operon-927</v>
      </c>
      <c r="B1758" s="2" t="str">
        <f>HYPERLINK("https://rth.dk/resources/bsgatlas/details.php?id=BSGatlas-gene-1861","BSGatlas-gene-1861")</f>
        <v>BSGatlas-gene-1861</v>
      </c>
      <c r="C1758" s="1" t="s">
        <v>1754</v>
      </c>
      <c r="D1758" s="1" t="s">
        <v>8</v>
      </c>
      <c r="E1758" s="3">
        <v>1647939</v>
      </c>
      <c r="F1758" s="3">
        <v>1649282</v>
      </c>
      <c r="G1758" s="1" t="s">
        <v>9</v>
      </c>
      <c r="H1758" s="1" t="b">
        <f t="shared" si="64"/>
        <v>1</v>
      </c>
    </row>
    <row r="1759" spans="1:8" ht="21" x14ac:dyDescent="0.25">
      <c r="A1759" s="2" t="str">
        <f t="shared" si="66"/>
        <v>BSGatlas-operon-927</v>
      </c>
      <c r="B1759" s="2" t="str">
        <f>HYPERLINK("https://rth.dk/resources/bsgatlas/details.php?id=BSGatlas-gene-1862","BSGatlas-gene-1862")</f>
        <v>BSGatlas-gene-1862</v>
      </c>
      <c r="C1759" s="1" t="s">
        <v>1755</v>
      </c>
      <c r="D1759" s="1" t="s">
        <v>8</v>
      </c>
      <c r="E1759" s="3">
        <v>1649286</v>
      </c>
      <c r="F1759" s="3">
        <v>1650377</v>
      </c>
      <c r="G1759" s="1" t="s">
        <v>9</v>
      </c>
      <c r="H1759" s="1" t="b">
        <f t="shared" si="64"/>
        <v>1</v>
      </c>
    </row>
    <row r="1760" spans="1:8" ht="21" x14ac:dyDescent="0.25">
      <c r="A1760" s="2" t="str">
        <f>HYPERLINK("https://rth.dk/resources/bsgatlas/details.php?id=BSGatlas-operon-928","BSGatlas-operon-928")</f>
        <v>BSGatlas-operon-928</v>
      </c>
      <c r="B1760" s="2" t="str">
        <f>HYPERLINK("https://rth.dk/resources/bsgatlas/details.php?id=BSGatlas-gene-1857","BSGatlas-gene-1857")</f>
        <v>BSGatlas-gene-1857</v>
      </c>
      <c r="C1760" s="1" t="s">
        <v>1756</v>
      </c>
      <c r="D1760" s="1" t="s">
        <v>12</v>
      </c>
      <c r="E1760" s="3">
        <v>1643910</v>
      </c>
      <c r="F1760" s="3">
        <v>1644485</v>
      </c>
      <c r="G1760" s="1" t="s">
        <v>13</v>
      </c>
      <c r="H1760" s="1" t="b">
        <f t="shared" si="64"/>
        <v>0</v>
      </c>
    </row>
    <row r="1761" spans="1:8" ht="21" x14ac:dyDescent="0.25">
      <c r="A1761" s="2" t="str">
        <f>HYPERLINK("https://rth.dk/resources/bsgatlas/details.php?id=BSGatlas-operon-929","BSGatlas-operon-929")</f>
        <v>BSGatlas-operon-929</v>
      </c>
      <c r="B1761" s="2" t="str">
        <f>HYPERLINK("https://rth.dk/resources/bsgatlas/details.php?id=BSGatlas-gene-1863","BSGatlas-gene-1863")</f>
        <v>BSGatlas-gene-1863</v>
      </c>
      <c r="C1761" s="1" t="s">
        <v>1757</v>
      </c>
      <c r="D1761" s="1" t="s">
        <v>8</v>
      </c>
      <c r="E1761" s="3">
        <v>1650384</v>
      </c>
      <c r="F1761" s="3">
        <v>1651148</v>
      </c>
      <c r="G1761" s="1" t="s">
        <v>9</v>
      </c>
      <c r="H1761" s="1" t="b">
        <f t="shared" si="64"/>
        <v>1</v>
      </c>
    </row>
    <row r="1762" spans="1:8" ht="21" x14ac:dyDescent="0.25">
      <c r="A1762" s="2" t="str">
        <f>HYPERLINK("https://rth.dk/resources/bsgatlas/details.php?id=BSGatlas-operon-929","BSGatlas-operon-929")</f>
        <v>BSGatlas-operon-929</v>
      </c>
      <c r="B1762" s="2" t="str">
        <f>HYPERLINK("https://rth.dk/resources/bsgatlas/details.php?id=BSGatlas-gene-1864","BSGatlas-gene-1864")</f>
        <v>BSGatlas-gene-1864</v>
      </c>
      <c r="C1762" s="1" t="s">
        <v>1758</v>
      </c>
      <c r="D1762" s="1" t="s">
        <v>8</v>
      </c>
      <c r="E1762" s="3">
        <v>1651142</v>
      </c>
      <c r="F1762" s="3">
        <v>1653088</v>
      </c>
      <c r="G1762" s="1" t="s">
        <v>9</v>
      </c>
      <c r="H1762" s="1" t="b">
        <f t="shared" si="64"/>
        <v>1</v>
      </c>
    </row>
    <row r="1763" spans="1:8" ht="21" x14ac:dyDescent="0.25">
      <c r="A1763" s="2" t="str">
        <f>HYPERLINK("https://rth.dk/resources/bsgatlas/details.php?id=BSGatlas-operon-929","BSGatlas-operon-929")</f>
        <v>BSGatlas-operon-929</v>
      </c>
      <c r="B1763" s="2" t="str">
        <f>HYPERLINK("https://rth.dk/resources/bsgatlas/details.php?id=BSGatlas-gene-1865","BSGatlas-gene-1865")</f>
        <v>BSGatlas-gene-1865</v>
      </c>
      <c r="C1763" s="1" t="s">
        <v>1759</v>
      </c>
      <c r="D1763" s="1" t="s">
        <v>8</v>
      </c>
      <c r="E1763" s="3">
        <v>1653103</v>
      </c>
      <c r="F1763" s="3">
        <v>1653999</v>
      </c>
      <c r="G1763" s="1" t="s">
        <v>9</v>
      </c>
      <c r="H1763" s="1" t="b">
        <f t="shared" si="64"/>
        <v>1</v>
      </c>
    </row>
    <row r="1764" spans="1:8" ht="21" x14ac:dyDescent="0.25">
      <c r="A1764" s="2" t="str">
        <f>HYPERLINK("https://rth.dk/resources/bsgatlas/details.php?id=BSGatlas-operon-929","BSGatlas-operon-929")</f>
        <v>BSGatlas-operon-929</v>
      </c>
      <c r="B1764" s="2" t="str">
        <f>HYPERLINK("https://rth.dk/resources/bsgatlas/details.php?id=BSGatlas-gene-1866","BSGatlas-gene-1866")</f>
        <v>BSGatlas-gene-1866</v>
      </c>
      <c r="C1764" s="1" t="s">
        <v>1760</v>
      </c>
      <c r="D1764" s="1" t="s">
        <v>8</v>
      </c>
      <c r="E1764" s="3">
        <v>1654004</v>
      </c>
      <c r="F1764" s="3">
        <v>1654657</v>
      </c>
      <c r="G1764" s="1" t="s">
        <v>9</v>
      </c>
      <c r="H1764" s="1" t="b">
        <f t="shared" si="64"/>
        <v>1</v>
      </c>
    </row>
    <row r="1765" spans="1:8" ht="21" x14ac:dyDescent="0.25">
      <c r="A1765" s="2" t="str">
        <f>HYPERLINK("https://rth.dk/resources/bsgatlas/details.php?id=BSGatlas-operon-929","BSGatlas-operon-929")</f>
        <v>BSGatlas-operon-929</v>
      </c>
      <c r="B1765" s="2" t="str">
        <f>HYPERLINK("https://rth.dk/resources/bsgatlas/details.php?id=BSGatlas-gene-1867","BSGatlas-gene-1867")</f>
        <v>BSGatlas-gene-1867</v>
      </c>
      <c r="C1765" s="1" t="s">
        <v>1761</v>
      </c>
      <c r="D1765" s="1" t="s">
        <v>8</v>
      </c>
      <c r="E1765" s="3">
        <v>1654730</v>
      </c>
      <c r="F1765" s="3">
        <v>1655374</v>
      </c>
      <c r="G1765" s="1" t="s">
        <v>9</v>
      </c>
      <c r="H1765" s="1" t="b">
        <f t="shared" si="64"/>
        <v>1</v>
      </c>
    </row>
    <row r="1766" spans="1:8" ht="21" x14ac:dyDescent="0.25">
      <c r="A1766" s="2" t="str">
        <f>HYPERLINK("https://rth.dk/resources/bsgatlas/details.php?id=BSGatlas-operon-930","BSGatlas-operon-930")</f>
        <v>BSGatlas-operon-930</v>
      </c>
      <c r="B1766" s="2" t="str">
        <f>HYPERLINK("https://rth.dk/resources/bsgatlas/details.php?id=BSGatlas-gene-1868","BSGatlas-gene-1868")</f>
        <v>BSGatlas-gene-1868</v>
      </c>
      <c r="C1766" s="1" t="s">
        <v>1762</v>
      </c>
      <c r="D1766" s="1" t="s">
        <v>8</v>
      </c>
      <c r="E1766" s="3">
        <v>1655446</v>
      </c>
      <c r="F1766" s="3">
        <v>1655526</v>
      </c>
      <c r="G1766" s="1" t="s">
        <v>9</v>
      </c>
      <c r="H1766" s="1" t="b">
        <f t="shared" si="64"/>
        <v>0</v>
      </c>
    </row>
    <row r="1767" spans="1:8" ht="21" x14ac:dyDescent="0.25">
      <c r="A1767" s="2" t="str">
        <f>HYPERLINK("https://rth.dk/resources/bsgatlas/details.php?id=BSGatlas-operon-931","BSGatlas-operon-931")</f>
        <v>BSGatlas-operon-931</v>
      </c>
      <c r="B1767" s="2" t="str">
        <f>HYPERLINK("https://rth.dk/resources/bsgatlas/details.php?id=BSGatlas-gene-1869","BSGatlas-gene-1869")</f>
        <v>BSGatlas-gene-1869</v>
      </c>
      <c r="C1767" s="1" t="s">
        <v>1763</v>
      </c>
      <c r="D1767" s="1" t="s">
        <v>8</v>
      </c>
      <c r="E1767" s="3">
        <v>1655599</v>
      </c>
      <c r="F1767" s="3">
        <v>1655787</v>
      </c>
      <c r="G1767" s="1" t="s">
        <v>13</v>
      </c>
      <c r="H1767" s="1" t="b">
        <f t="shared" si="64"/>
        <v>1</v>
      </c>
    </row>
    <row r="1768" spans="1:8" ht="21" x14ac:dyDescent="0.25">
      <c r="A1768" s="2" t="str">
        <f>HYPERLINK("https://rth.dk/resources/bsgatlas/details.php?id=BSGatlas-operon-932","BSGatlas-operon-932")</f>
        <v>BSGatlas-operon-932</v>
      </c>
      <c r="B1768" s="2" t="str">
        <f>HYPERLINK("https://rth.dk/resources/bsgatlas/details.php?id=BSGatlas-gene-1870","BSGatlas-gene-1870")</f>
        <v>BSGatlas-gene-1870</v>
      </c>
      <c r="C1768" s="1" t="s">
        <v>1764</v>
      </c>
      <c r="D1768" s="1" t="s">
        <v>8</v>
      </c>
      <c r="E1768" s="3">
        <v>1656064</v>
      </c>
      <c r="F1768" s="3">
        <v>1656426</v>
      </c>
      <c r="G1768" s="1" t="s">
        <v>9</v>
      </c>
      <c r="H1768" s="1" t="b">
        <f t="shared" si="64"/>
        <v>0</v>
      </c>
    </row>
    <row r="1769" spans="1:8" ht="21" x14ac:dyDescent="0.25">
      <c r="A1769" s="2" t="str">
        <f>HYPERLINK("https://rth.dk/resources/bsgatlas/details.php?id=BSGatlas-operon-932","BSGatlas-operon-932")</f>
        <v>BSGatlas-operon-932</v>
      </c>
      <c r="B1769" s="2" t="str">
        <f>HYPERLINK("https://rth.dk/resources/bsgatlas/details.php?id=BSGatlas-gene-1871","BSGatlas-gene-1871")</f>
        <v>BSGatlas-gene-1871</v>
      </c>
      <c r="C1769" s="1" t="s">
        <v>1765</v>
      </c>
      <c r="D1769" s="1" t="s">
        <v>8</v>
      </c>
      <c r="E1769" s="3">
        <v>1656442</v>
      </c>
      <c r="F1769" s="3">
        <v>1658103</v>
      </c>
      <c r="G1769" s="1" t="s">
        <v>9</v>
      </c>
      <c r="H1769" s="1" t="b">
        <f t="shared" si="64"/>
        <v>0</v>
      </c>
    </row>
    <row r="1770" spans="1:8" ht="21" x14ac:dyDescent="0.25">
      <c r="A1770" s="2" t="str">
        <f>HYPERLINK("https://rth.dk/resources/bsgatlas/details.php?id=BSGatlas-operon-933","BSGatlas-operon-933")</f>
        <v>BSGatlas-operon-933</v>
      </c>
      <c r="B1770" s="2" t="str">
        <f>HYPERLINK("https://rth.dk/resources/bsgatlas/details.php?id=BSGatlas-gene-1872","BSGatlas-gene-1872")</f>
        <v>BSGatlas-gene-1872</v>
      </c>
      <c r="C1770" s="1" t="s">
        <v>1766</v>
      </c>
      <c r="D1770" s="1" t="s">
        <v>8</v>
      </c>
      <c r="E1770" s="3">
        <v>1658242</v>
      </c>
      <c r="F1770" s="3">
        <v>1658904</v>
      </c>
      <c r="G1770" s="1" t="s">
        <v>9</v>
      </c>
      <c r="H1770" s="1" t="b">
        <f t="shared" si="64"/>
        <v>1</v>
      </c>
    </row>
    <row r="1771" spans="1:8" ht="21" x14ac:dyDescent="0.25">
      <c r="A1771" s="2" t="str">
        <f>HYPERLINK("https://rth.dk/resources/bsgatlas/details.php?id=BSGatlas-operon-933","BSGatlas-operon-933")</f>
        <v>BSGatlas-operon-933</v>
      </c>
      <c r="B1771" s="2" t="str">
        <f>HYPERLINK("https://rth.dk/resources/bsgatlas/details.php?id=BSGatlas-gene-1873","BSGatlas-gene-1873")</f>
        <v>BSGatlas-gene-1873</v>
      </c>
      <c r="C1771" s="1" t="s">
        <v>1767</v>
      </c>
      <c r="D1771" s="1" t="s">
        <v>8</v>
      </c>
      <c r="E1771" s="3">
        <v>1658930</v>
      </c>
      <c r="F1771" s="3">
        <v>1659832</v>
      </c>
      <c r="G1771" s="1" t="s">
        <v>9</v>
      </c>
      <c r="H1771" s="1" t="b">
        <f t="shared" si="64"/>
        <v>1</v>
      </c>
    </row>
    <row r="1772" spans="1:8" ht="21" x14ac:dyDescent="0.25">
      <c r="A1772" s="2" t="str">
        <f>HYPERLINK("https://rth.dk/resources/bsgatlas/details.php?id=BSGatlas-operon-933","BSGatlas-operon-933")</f>
        <v>BSGatlas-operon-933</v>
      </c>
      <c r="B1772" s="2" t="str">
        <f>HYPERLINK("https://rth.dk/resources/bsgatlas/details.php?id=BSGatlas-gene-1874","BSGatlas-gene-1874")</f>
        <v>BSGatlas-gene-1874</v>
      </c>
      <c r="C1772" s="1" t="s">
        <v>1768</v>
      </c>
      <c r="D1772" s="1" t="s">
        <v>8</v>
      </c>
      <c r="E1772" s="3">
        <v>1659810</v>
      </c>
      <c r="F1772" s="3">
        <v>1661858</v>
      </c>
      <c r="G1772" s="1" t="s">
        <v>9</v>
      </c>
      <c r="H1772" s="1" t="b">
        <f t="shared" si="64"/>
        <v>1</v>
      </c>
    </row>
    <row r="1773" spans="1:8" ht="21" x14ac:dyDescent="0.25">
      <c r="A1773" s="2" t="str">
        <f>HYPERLINK("https://rth.dk/resources/bsgatlas/details.php?id=BSGatlas-operon-934","BSGatlas-operon-934")</f>
        <v>BSGatlas-operon-934</v>
      </c>
      <c r="B1773" s="2" t="str">
        <f>HYPERLINK("https://rth.dk/resources/bsgatlas/details.php?id=BSGatlas-gene-1875","BSGatlas-gene-1875")</f>
        <v>BSGatlas-gene-1875</v>
      </c>
      <c r="C1773" s="1" t="s">
        <v>1769</v>
      </c>
      <c r="D1773" s="1" t="s">
        <v>8</v>
      </c>
      <c r="E1773" s="3">
        <v>1661967</v>
      </c>
      <c r="F1773" s="3">
        <v>1662533</v>
      </c>
      <c r="G1773" s="1" t="s">
        <v>9</v>
      </c>
      <c r="H1773" s="1" t="b">
        <f t="shared" si="64"/>
        <v>0</v>
      </c>
    </row>
    <row r="1774" spans="1:8" ht="21" x14ac:dyDescent="0.25">
      <c r="A1774" s="2" t="str">
        <f>HYPERLINK("https://rth.dk/resources/bsgatlas/details.php?id=BSGatlas-operon-934","BSGatlas-operon-934")</f>
        <v>BSGatlas-operon-934</v>
      </c>
      <c r="B1774" s="2" t="str">
        <f>HYPERLINK("https://rth.dk/resources/bsgatlas/details.php?id=BSGatlas-gene-1876","BSGatlas-gene-1876")</f>
        <v>BSGatlas-gene-1876</v>
      </c>
      <c r="C1774" s="1" t="s">
        <v>1770</v>
      </c>
      <c r="D1774" s="1" t="s">
        <v>8</v>
      </c>
      <c r="E1774" s="3">
        <v>1662547</v>
      </c>
      <c r="F1774" s="3">
        <v>1663548</v>
      </c>
      <c r="G1774" s="1" t="s">
        <v>9</v>
      </c>
      <c r="H1774" s="1" t="b">
        <f t="shared" si="64"/>
        <v>0</v>
      </c>
    </row>
    <row r="1775" spans="1:8" ht="21" x14ac:dyDescent="0.25">
      <c r="A1775" s="2" t="str">
        <f>HYPERLINK("https://rth.dk/resources/bsgatlas/details.php?id=BSGatlas-operon-934","BSGatlas-operon-934")</f>
        <v>BSGatlas-operon-934</v>
      </c>
      <c r="B1775" s="2" t="str">
        <f>HYPERLINK("https://rth.dk/resources/bsgatlas/details.php?id=BSGatlas-gene-1877","BSGatlas-gene-1877")</f>
        <v>BSGatlas-gene-1877</v>
      </c>
      <c r="C1775" s="1" t="s">
        <v>1771</v>
      </c>
      <c r="D1775" s="1" t="s">
        <v>8</v>
      </c>
      <c r="E1775" s="3">
        <v>1663567</v>
      </c>
      <c r="F1775" s="3">
        <v>1664520</v>
      </c>
      <c r="G1775" s="1" t="s">
        <v>9</v>
      </c>
      <c r="H1775" s="1" t="b">
        <f t="shared" si="64"/>
        <v>0</v>
      </c>
    </row>
    <row r="1776" spans="1:8" ht="21" x14ac:dyDescent="0.25">
      <c r="A1776" s="2" t="str">
        <f>HYPERLINK("https://rth.dk/resources/bsgatlas/details.php?id=BSGatlas-operon-934","BSGatlas-operon-934")</f>
        <v>BSGatlas-operon-934</v>
      </c>
      <c r="B1776" s="2" t="str">
        <f>HYPERLINK("https://rth.dk/resources/bsgatlas/details.php?id=BSGatlas-gene-1878","BSGatlas-gene-1878")</f>
        <v>BSGatlas-gene-1878</v>
      </c>
      <c r="C1776" s="1" t="s">
        <v>1772</v>
      </c>
      <c r="D1776" s="1" t="s">
        <v>8</v>
      </c>
      <c r="E1776" s="3">
        <v>1664513</v>
      </c>
      <c r="F1776" s="3">
        <v>1665253</v>
      </c>
      <c r="G1776" s="1" t="s">
        <v>9</v>
      </c>
      <c r="H1776" s="1" t="b">
        <f t="shared" si="64"/>
        <v>0</v>
      </c>
    </row>
    <row r="1777" spans="1:8" ht="21" x14ac:dyDescent="0.25">
      <c r="A1777" s="2" t="str">
        <f>HYPERLINK("https://rth.dk/resources/bsgatlas/details.php?id=BSGatlas-operon-934","BSGatlas-operon-934")</f>
        <v>BSGatlas-operon-934</v>
      </c>
      <c r="B1777" s="2" t="str">
        <f>HYPERLINK("https://rth.dk/resources/bsgatlas/details.php?id=BSGatlas-gene-1879","BSGatlas-gene-1879")</f>
        <v>BSGatlas-gene-1879</v>
      </c>
      <c r="C1777" s="1" t="s">
        <v>1773</v>
      </c>
      <c r="D1777" s="1" t="s">
        <v>8</v>
      </c>
      <c r="E1777" s="3">
        <v>1665337</v>
      </c>
      <c r="F1777" s="3">
        <v>1665570</v>
      </c>
      <c r="G1777" s="1" t="s">
        <v>9</v>
      </c>
      <c r="H1777" s="1" t="b">
        <f t="shared" si="64"/>
        <v>0</v>
      </c>
    </row>
    <row r="1778" spans="1:8" ht="21" x14ac:dyDescent="0.25">
      <c r="A1778" s="2" t="str">
        <f>HYPERLINK("https://rth.dk/resources/bsgatlas/details.php?id=BSGatlas-operon-935","BSGatlas-operon-935")</f>
        <v>BSGatlas-operon-935</v>
      </c>
      <c r="B1778" s="2" t="str">
        <f>HYPERLINK("https://rth.dk/resources/bsgatlas/details.php?id=BSGatlas-gene-1880","BSGatlas-gene-1880")</f>
        <v>BSGatlas-gene-1880</v>
      </c>
      <c r="C1778" s="1" t="s">
        <v>1774</v>
      </c>
      <c r="D1778" s="1" t="s">
        <v>8</v>
      </c>
      <c r="E1778" s="3">
        <v>1665710</v>
      </c>
      <c r="F1778" s="3">
        <v>1666459</v>
      </c>
      <c r="G1778" s="1" t="s">
        <v>9</v>
      </c>
      <c r="H1778" s="1" t="b">
        <f t="shared" si="64"/>
        <v>1</v>
      </c>
    </row>
    <row r="1779" spans="1:8" ht="21" x14ac:dyDescent="0.25">
      <c r="A1779" s="2" t="str">
        <f>HYPERLINK("https://rth.dk/resources/bsgatlas/details.php?id=BSGatlas-operon-935","BSGatlas-operon-935")</f>
        <v>BSGatlas-operon-935</v>
      </c>
      <c r="B1779" s="2" t="str">
        <f>HYPERLINK("https://rth.dk/resources/bsgatlas/details.php?id=BSGatlas-gene-1881","BSGatlas-gene-1881")</f>
        <v>BSGatlas-gene-1881</v>
      </c>
      <c r="C1779" s="1" t="s">
        <v>1775</v>
      </c>
      <c r="D1779" s="1" t="s">
        <v>8</v>
      </c>
      <c r="E1779" s="3">
        <v>1666560</v>
      </c>
      <c r="F1779" s="3">
        <v>1670120</v>
      </c>
      <c r="G1779" s="1" t="s">
        <v>9</v>
      </c>
      <c r="H1779" s="1" t="b">
        <f t="shared" si="64"/>
        <v>1</v>
      </c>
    </row>
    <row r="1780" spans="1:8" ht="21" x14ac:dyDescent="0.25">
      <c r="A1780" s="2" t="str">
        <f>HYPERLINK("https://rth.dk/resources/bsgatlas/details.php?id=BSGatlas-operon-935","BSGatlas-operon-935")</f>
        <v>BSGatlas-operon-935</v>
      </c>
      <c r="B1780" s="2" t="str">
        <f>HYPERLINK("https://rth.dk/resources/bsgatlas/details.php?id=BSGatlas-gene-1882","BSGatlas-gene-1882")</f>
        <v>BSGatlas-gene-1882</v>
      </c>
      <c r="C1780" s="1" t="s">
        <v>1776</v>
      </c>
      <c r="D1780" s="1" t="s">
        <v>8</v>
      </c>
      <c r="E1780" s="3">
        <v>1670140</v>
      </c>
      <c r="F1780" s="3">
        <v>1671129</v>
      </c>
      <c r="G1780" s="1" t="s">
        <v>9</v>
      </c>
      <c r="H1780" s="1" t="b">
        <f t="shared" si="64"/>
        <v>1</v>
      </c>
    </row>
    <row r="1781" spans="1:8" ht="21" x14ac:dyDescent="0.25">
      <c r="A1781" s="2" t="str">
        <f>HYPERLINK("https://rth.dk/resources/bsgatlas/details.php?id=BSGatlas-operon-936","BSGatlas-operon-936")</f>
        <v>BSGatlas-operon-936</v>
      </c>
      <c r="B1781" s="2" t="str">
        <f>HYPERLINK("https://rth.dk/resources/bsgatlas/details.php?id=BSGatlas-gene-1883","BSGatlas-gene-1883")</f>
        <v>BSGatlas-gene-1883</v>
      </c>
      <c r="C1781" s="1" t="s">
        <v>1777</v>
      </c>
      <c r="D1781" s="1" t="s">
        <v>8</v>
      </c>
      <c r="E1781" s="3">
        <v>1671166</v>
      </c>
      <c r="F1781" s="3">
        <v>1671651</v>
      </c>
      <c r="G1781" s="1" t="s">
        <v>13</v>
      </c>
      <c r="H1781" s="1" t="b">
        <f t="shared" si="64"/>
        <v>0</v>
      </c>
    </row>
    <row r="1782" spans="1:8" ht="21" x14ac:dyDescent="0.25">
      <c r="A1782" s="2" t="str">
        <f t="shared" ref="A1782:A1790" si="67">HYPERLINK("https://rth.dk/resources/bsgatlas/details.php?id=BSGatlas-operon-937","BSGatlas-operon-937")</f>
        <v>BSGatlas-operon-937</v>
      </c>
      <c r="B1782" s="2" t="str">
        <f>HYPERLINK("https://rth.dk/resources/bsgatlas/details.php?id=BSGatlas-gene-1884","BSGatlas-gene-1884")</f>
        <v>BSGatlas-gene-1884</v>
      </c>
      <c r="C1782" s="1" t="s">
        <v>1778</v>
      </c>
      <c r="D1782" s="1" t="s">
        <v>8</v>
      </c>
      <c r="E1782" s="3">
        <v>1671828</v>
      </c>
      <c r="F1782" s="3">
        <v>1672160</v>
      </c>
      <c r="G1782" s="1" t="s">
        <v>9</v>
      </c>
      <c r="H1782" s="1" t="b">
        <f t="shared" si="64"/>
        <v>1</v>
      </c>
    </row>
    <row r="1783" spans="1:8" ht="21" x14ac:dyDescent="0.25">
      <c r="A1783" s="2" t="str">
        <f t="shared" si="67"/>
        <v>BSGatlas-operon-937</v>
      </c>
      <c r="B1783" s="2" t="str">
        <f>HYPERLINK("https://rth.dk/resources/bsgatlas/details.php?id=BSGatlas-gene-1885","BSGatlas-gene-1885")</f>
        <v>BSGatlas-gene-1885</v>
      </c>
      <c r="C1783" s="1" t="s">
        <v>1779</v>
      </c>
      <c r="D1783" s="1" t="s">
        <v>8</v>
      </c>
      <c r="E1783" s="3">
        <v>1672174</v>
      </c>
      <c r="F1783" s="3">
        <v>1673514</v>
      </c>
      <c r="G1783" s="1" t="s">
        <v>9</v>
      </c>
      <c r="H1783" s="1" t="b">
        <f t="shared" si="64"/>
        <v>1</v>
      </c>
    </row>
    <row r="1784" spans="1:8" ht="21" x14ac:dyDescent="0.25">
      <c r="A1784" s="2" t="str">
        <f t="shared" si="67"/>
        <v>BSGatlas-operon-937</v>
      </c>
      <c r="B1784" s="2" t="str">
        <f>HYPERLINK("https://rth.dk/resources/bsgatlas/details.php?id=BSGatlas-gene-1886","BSGatlas-gene-1886")</f>
        <v>BSGatlas-gene-1886</v>
      </c>
      <c r="C1784" s="1" t="s">
        <v>1780</v>
      </c>
      <c r="D1784" s="1" t="s">
        <v>8</v>
      </c>
      <c r="E1784" s="3">
        <v>1673620</v>
      </c>
      <c r="F1784" s="3">
        <v>1673892</v>
      </c>
      <c r="G1784" s="1" t="s">
        <v>9</v>
      </c>
      <c r="H1784" s="1" t="b">
        <f t="shared" si="64"/>
        <v>1</v>
      </c>
    </row>
    <row r="1785" spans="1:8" ht="21" x14ac:dyDescent="0.25">
      <c r="A1785" s="2" t="str">
        <f t="shared" si="67"/>
        <v>BSGatlas-operon-937</v>
      </c>
      <c r="B1785" s="2" t="str">
        <f>HYPERLINK("https://rth.dk/resources/bsgatlas/details.php?id=BSGatlas-gene-1887","BSGatlas-gene-1887")</f>
        <v>BSGatlas-gene-1887</v>
      </c>
      <c r="C1785" s="1" t="s">
        <v>1781</v>
      </c>
      <c r="D1785" s="1" t="s">
        <v>8</v>
      </c>
      <c r="E1785" s="3">
        <v>1673892</v>
      </c>
      <c r="F1785" s="3">
        <v>1674137</v>
      </c>
      <c r="G1785" s="1" t="s">
        <v>9</v>
      </c>
      <c r="H1785" s="1" t="b">
        <f t="shared" si="64"/>
        <v>1</v>
      </c>
    </row>
    <row r="1786" spans="1:8" ht="21" x14ac:dyDescent="0.25">
      <c r="A1786" s="2" t="str">
        <f t="shared" si="67"/>
        <v>BSGatlas-operon-937</v>
      </c>
      <c r="B1786" s="2" t="str">
        <f>HYPERLINK("https://rth.dk/resources/bsgatlas/details.php?id=BSGatlas-gene-1888","BSGatlas-gene-1888")</f>
        <v>BSGatlas-gene-1888</v>
      </c>
      <c r="C1786" s="1" t="s">
        <v>1782</v>
      </c>
      <c r="D1786" s="1" t="s">
        <v>8</v>
      </c>
      <c r="E1786" s="3">
        <v>1674259</v>
      </c>
      <c r="F1786" s="3">
        <v>1674645</v>
      </c>
      <c r="G1786" s="1" t="s">
        <v>9</v>
      </c>
      <c r="H1786" s="1" t="b">
        <f t="shared" si="64"/>
        <v>1</v>
      </c>
    </row>
    <row r="1787" spans="1:8" ht="21" x14ac:dyDescent="0.25">
      <c r="A1787" s="2" t="str">
        <f t="shared" si="67"/>
        <v>BSGatlas-operon-937</v>
      </c>
      <c r="B1787" s="2" t="str">
        <f>HYPERLINK("https://rth.dk/resources/bsgatlas/details.php?id=BSGatlas-gene-1889","BSGatlas-gene-1889")</f>
        <v>BSGatlas-gene-1889</v>
      </c>
      <c r="C1787" s="1" t="s">
        <v>1783</v>
      </c>
      <c r="D1787" s="1" t="s">
        <v>8</v>
      </c>
      <c r="E1787" s="3">
        <v>1674650</v>
      </c>
      <c r="F1787" s="3">
        <v>1675174</v>
      </c>
      <c r="G1787" s="1" t="s">
        <v>9</v>
      </c>
      <c r="H1787" s="1" t="b">
        <f t="shared" si="64"/>
        <v>1</v>
      </c>
    </row>
    <row r="1788" spans="1:8" ht="21" x14ac:dyDescent="0.25">
      <c r="A1788" s="2" t="str">
        <f t="shared" si="67"/>
        <v>BSGatlas-operon-937</v>
      </c>
      <c r="B1788" s="2" t="str">
        <f>HYPERLINK("https://rth.dk/resources/bsgatlas/details.php?id=BSGatlas-gene-1890","BSGatlas-gene-1890")</f>
        <v>BSGatlas-gene-1890</v>
      </c>
      <c r="C1788" s="1" t="s">
        <v>1784</v>
      </c>
      <c r="D1788" s="1" t="s">
        <v>8</v>
      </c>
      <c r="E1788" s="3">
        <v>1675171</v>
      </c>
      <c r="F1788" s="3">
        <v>1675902</v>
      </c>
      <c r="G1788" s="1" t="s">
        <v>9</v>
      </c>
      <c r="H1788" s="1" t="b">
        <f t="shared" si="64"/>
        <v>1</v>
      </c>
    </row>
    <row r="1789" spans="1:8" ht="21" x14ac:dyDescent="0.25">
      <c r="A1789" s="2" t="str">
        <f t="shared" si="67"/>
        <v>BSGatlas-operon-937</v>
      </c>
      <c r="B1789" s="2" t="str">
        <f>HYPERLINK("https://rth.dk/resources/bsgatlas/details.php?id=BSGatlas-gene-1891","BSGatlas-gene-1891")</f>
        <v>BSGatlas-gene-1891</v>
      </c>
      <c r="C1789" s="1" t="s">
        <v>318</v>
      </c>
      <c r="D1789" s="1" t="s">
        <v>34</v>
      </c>
      <c r="E1789" s="3">
        <v>1675980</v>
      </c>
      <c r="F1789" s="3">
        <v>1676022</v>
      </c>
      <c r="G1789" s="1" t="s">
        <v>9</v>
      </c>
      <c r="H1789" s="1" t="b">
        <f t="shared" si="64"/>
        <v>1</v>
      </c>
    </row>
    <row r="1790" spans="1:8" ht="21" x14ac:dyDescent="0.25">
      <c r="A1790" s="2" t="str">
        <f t="shared" si="67"/>
        <v>BSGatlas-operon-937</v>
      </c>
      <c r="B1790" s="2" t="str">
        <f>HYPERLINK("https://rth.dk/resources/bsgatlas/details.php?id=BSGatlas-gene-1892","BSGatlas-gene-1892")</f>
        <v>BSGatlas-gene-1892</v>
      </c>
      <c r="C1790" s="1" t="s">
        <v>1785</v>
      </c>
      <c r="D1790" s="1" t="s">
        <v>8</v>
      </c>
      <c r="E1790" s="3">
        <v>1676042</v>
      </c>
      <c r="F1790" s="3">
        <v>1676389</v>
      </c>
      <c r="G1790" s="1" t="s">
        <v>9</v>
      </c>
      <c r="H1790" s="1" t="b">
        <f t="shared" si="64"/>
        <v>1</v>
      </c>
    </row>
    <row r="1791" spans="1:8" ht="21" x14ac:dyDescent="0.25">
      <c r="A1791" s="2" t="str">
        <f>HYPERLINK("https://rth.dk/resources/bsgatlas/details.php?id=BSGatlas-operon-938","BSGatlas-operon-938")</f>
        <v>BSGatlas-operon-938</v>
      </c>
      <c r="B1791" s="2" t="str">
        <f>HYPERLINK("https://rth.dk/resources/bsgatlas/details.php?id=BSGatlas-gene-1893","BSGatlas-gene-1893")</f>
        <v>BSGatlas-gene-1893</v>
      </c>
      <c r="C1791" s="1" t="s">
        <v>1786</v>
      </c>
      <c r="D1791" s="1" t="s">
        <v>8</v>
      </c>
      <c r="E1791" s="3">
        <v>1676532</v>
      </c>
      <c r="F1791" s="3">
        <v>1677380</v>
      </c>
      <c r="G1791" s="1" t="s">
        <v>9</v>
      </c>
      <c r="H1791" s="1" t="b">
        <f t="shared" si="64"/>
        <v>0</v>
      </c>
    </row>
    <row r="1792" spans="1:8" ht="21" x14ac:dyDescent="0.25">
      <c r="A1792" s="2" t="str">
        <f>HYPERLINK("https://rth.dk/resources/bsgatlas/details.php?id=BSGatlas-operon-938","BSGatlas-operon-938")</f>
        <v>BSGatlas-operon-938</v>
      </c>
      <c r="B1792" s="2" t="str">
        <f>HYPERLINK("https://rth.dk/resources/bsgatlas/details.php?id=BSGatlas-gene-1894","BSGatlas-gene-1894")</f>
        <v>BSGatlas-gene-1894</v>
      </c>
      <c r="C1792" s="1" t="s">
        <v>1787</v>
      </c>
      <c r="D1792" s="1" t="s">
        <v>8</v>
      </c>
      <c r="E1792" s="3">
        <v>1677451</v>
      </c>
      <c r="F1792" s="3">
        <v>1678218</v>
      </c>
      <c r="G1792" s="1" t="s">
        <v>9</v>
      </c>
      <c r="H1792" s="1" t="b">
        <f t="shared" si="64"/>
        <v>0</v>
      </c>
    </row>
    <row r="1793" spans="1:8" ht="21" x14ac:dyDescent="0.25">
      <c r="A1793" s="2" t="str">
        <f>HYPERLINK("https://rth.dk/resources/bsgatlas/details.php?id=BSGatlas-operon-938","BSGatlas-operon-938")</f>
        <v>BSGatlas-operon-938</v>
      </c>
      <c r="B1793" s="2" t="str">
        <f>HYPERLINK("https://rth.dk/resources/bsgatlas/details.php?id=BSGatlas-gene-1895","BSGatlas-gene-1895")</f>
        <v>BSGatlas-gene-1895</v>
      </c>
      <c r="C1793" s="1" t="s">
        <v>1788</v>
      </c>
      <c r="D1793" s="1" t="s">
        <v>8</v>
      </c>
      <c r="E1793" s="3">
        <v>1678250</v>
      </c>
      <c r="F1793" s="3">
        <v>1679980</v>
      </c>
      <c r="G1793" s="1" t="s">
        <v>9</v>
      </c>
      <c r="H1793" s="1" t="b">
        <f t="shared" si="64"/>
        <v>0</v>
      </c>
    </row>
    <row r="1794" spans="1:8" ht="21" x14ac:dyDescent="0.25">
      <c r="A1794" s="2" t="str">
        <f>HYPERLINK("https://rth.dk/resources/bsgatlas/details.php?id=BSGatlas-operon-938","BSGatlas-operon-938")</f>
        <v>BSGatlas-operon-938</v>
      </c>
      <c r="B1794" s="2" t="str">
        <f>HYPERLINK("https://rth.dk/resources/bsgatlas/details.php?id=BSGatlas-gene-1896","BSGatlas-gene-1896")</f>
        <v>BSGatlas-gene-1896</v>
      </c>
      <c r="C1794" s="1" t="s">
        <v>1789</v>
      </c>
      <c r="D1794" s="1" t="s">
        <v>8</v>
      </c>
      <c r="E1794" s="3">
        <v>1679977</v>
      </c>
      <c r="F1794" s="3">
        <v>1680258</v>
      </c>
      <c r="G1794" s="1" t="s">
        <v>9</v>
      </c>
      <c r="H1794" s="1" t="b">
        <f t="shared" ref="H1794:H1857" si="68">_xlfn.XOR(A1793&lt;&gt;A1794,H1793)</f>
        <v>0</v>
      </c>
    </row>
    <row r="1795" spans="1:8" ht="21" x14ac:dyDescent="0.25">
      <c r="A1795" s="2" t="str">
        <f>HYPERLINK("https://rth.dk/resources/bsgatlas/details.php?id=BSGatlas-operon-939","BSGatlas-operon-939")</f>
        <v>BSGatlas-operon-939</v>
      </c>
      <c r="B1795" s="2" t="str">
        <f>HYPERLINK("https://rth.dk/resources/bsgatlas/details.php?id=BSGatlas-gene-1897","BSGatlas-gene-1897")</f>
        <v>BSGatlas-gene-1897</v>
      </c>
      <c r="C1795" s="1" t="s">
        <v>1790</v>
      </c>
      <c r="D1795" s="1" t="s">
        <v>8</v>
      </c>
      <c r="E1795" s="3">
        <v>1680431</v>
      </c>
      <c r="F1795" s="3">
        <v>1681588</v>
      </c>
      <c r="G1795" s="1" t="s">
        <v>9</v>
      </c>
      <c r="H1795" s="1" t="b">
        <f t="shared" si="68"/>
        <v>1</v>
      </c>
    </row>
    <row r="1796" spans="1:8" ht="21" x14ac:dyDescent="0.25">
      <c r="A1796" s="2" t="str">
        <f>HYPERLINK("https://rth.dk/resources/bsgatlas/details.php?id=BSGatlas-operon-939","BSGatlas-operon-939")</f>
        <v>BSGatlas-operon-939</v>
      </c>
      <c r="B1796" s="2" t="str">
        <f>HYPERLINK("https://rth.dk/resources/bsgatlas/details.php?id=BSGatlas-gene-1898","BSGatlas-gene-1898")</f>
        <v>BSGatlas-gene-1898</v>
      </c>
      <c r="C1796" s="1" t="s">
        <v>1791</v>
      </c>
      <c r="D1796" s="1" t="s">
        <v>8</v>
      </c>
      <c r="E1796" s="3">
        <v>1681617</v>
      </c>
      <c r="F1796" s="3">
        <v>1682519</v>
      </c>
      <c r="G1796" s="1" t="s">
        <v>9</v>
      </c>
      <c r="H1796" s="1" t="b">
        <f t="shared" si="68"/>
        <v>1</v>
      </c>
    </row>
    <row r="1797" spans="1:8" ht="21" x14ac:dyDescent="0.25">
      <c r="A1797" s="2" t="str">
        <f>HYPERLINK("https://rth.dk/resources/bsgatlas/details.php?id=BSGatlas-operon-939","BSGatlas-operon-939")</f>
        <v>BSGatlas-operon-939</v>
      </c>
      <c r="B1797" s="2" t="str">
        <f>HYPERLINK("https://rth.dk/resources/bsgatlas/details.php?id=BSGatlas-gene-1899","BSGatlas-gene-1899")</f>
        <v>BSGatlas-gene-1899</v>
      </c>
      <c r="C1797" s="1" t="s">
        <v>1792</v>
      </c>
      <c r="D1797" s="1" t="s">
        <v>8</v>
      </c>
      <c r="E1797" s="3">
        <v>1682580</v>
      </c>
      <c r="F1797" s="3">
        <v>1683473</v>
      </c>
      <c r="G1797" s="1" t="s">
        <v>9</v>
      </c>
      <c r="H1797" s="1" t="b">
        <f t="shared" si="68"/>
        <v>1</v>
      </c>
    </row>
    <row r="1798" spans="1:8" ht="21" x14ac:dyDescent="0.25">
      <c r="A1798" s="2" t="str">
        <f>HYPERLINK("https://rth.dk/resources/bsgatlas/details.php?id=BSGatlas-operon-939","BSGatlas-operon-939")</f>
        <v>BSGatlas-operon-939</v>
      </c>
      <c r="B1798" s="2" t="str">
        <f>HYPERLINK("https://rth.dk/resources/bsgatlas/details.php?id=BSGatlas-gene-1900","BSGatlas-gene-1900")</f>
        <v>BSGatlas-gene-1900</v>
      </c>
      <c r="C1798" s="1" t="s">
        <v>1793</v>
      </c>
      <c r="D1798" s="1" t="s">
        <v>8</v>
      </c>
      <c r="E1798" s="3">
        <v>1683661</v>
      </c>
      <c r="F1798" s="3">
        <v>1685736</v>
      </c>
      <c r="G1798" s="1" t="s">
        <v>9</v>
      </c>
      <c r="H1798" s="1" t="b">
        <f t="shared" si="68"/>
        <v>1</v>
      </c>
    </row>
    <row r="1799" spans="1:8" ht="21" x14ac:dyDescent="0.25">
      <c r="A1799" s="2" t="str">
        <f>HYPERLINK("https://rth.dk/resources/bsgatlas/details.php?id=BSGatlas-operon-940","BSGatlas-operon-940")</f>
        <v>BSGatlas-operon-940</v>
      </c>
      <c r="B1799" s="2" t="str">
        <f>HYPERLINK("https://rth.dk/resources/bsgatlas/details.php?id=BSGatlas-gene-1901","BSGatlas-gene-1901")</f>
        <v>BSGatlas-gene-1901</v>
      </c>
      <c r="C1799" s="1" t="s">
        <v>1794</v>
      </c>
      <c r="D1799" s="1" t="s">
        <v>8</v>
      </c>
      <c r="E1799" s="3">
        <v>1685812</v>
      </c>
      <c r="F1799" s="3">
        <v>1687119</v>
      </c>
      <c r="G1799" s="1" t="s">
        <v>9</v>
      </c>
      <c r="H1799" s="1" t="b">
        <f t="shared" si="68"/>
        <v>0</v>
      </c>
    </row>
    <row r="1800" spans="1:8" ht="21" x14ac:dyDescent="0.25">
      <c r="A1800" s="2" t="str">
        <f>HYPERLINK("https://rth.dk/resources/bsgatlas/details.php?id=BSGatlas-operon-940","BSGatlas-operon-940")</f>
        <v>BSGatlas-operon-940</v>
      </c>
      <c r="B1800" s="2" t="str">
        <f>HYPERLINK("https://rth.dk/resources/bsgatlas/details.php?id=BSGatlas-gene-1902","BSGatlas-gene-1902")</f>
        <v>BSGatlas-gene-1902</v>
      </c>
      <c r="C1800" s="1" t="s">
        <v>1795</v>
      </c>
      <c r="D1800" s="1" t="s">
        <v>8</v>
      </c>
      <c r="E1800" s="3">
        <v>1687187</v>
      </c>
      <c r="F1800" s="3">
        <v>1688101</v>
      </c>
      <c r="G1800" s="1" t="s">
        <v>9</v>
      </c>
      <c r="H1800" s="1" t="b">
        <f t="shared" si="68"/>
        <v>0</v>
      </c>
    </row>
    <row r="1801" spans="1:8" ht="21" x14ac:dyDescent="0.25">
      <c r="A1801" s="2" t="str">
        <f>HYPERLINK("https://rth.dk/resources/bsgatlas/details.php?id=BSGatlas-operon-940","BSGatlas-operon-940")</f>
        <v>BSGatlas-operon-940</v>
      </c>
      <c r="B1801" s="2" t="str">
        <f>HYPERLINK("https://rth.dk/resources/bsgatlas/details.php?id=BSGatlas-gene-1903","BSGatlas-gene-1903")</f>
        <v>BSGatlas-gene-1903</v>
      </c>
      <c r="C1801" s="1" t="s">
        <v>1796</v>
      </c>
      <c r="D1801" s="1" t="s">
        <v>8</v>
      </c>
      <c r="E1801" s="3">
        <v>1688114</v>
      </c>
      <c r="F1801" s="3">
        <v>1688659</v>
      </c>
      <c r="G1801" s="1" t="s">
        <v>9</v>
      </c>
      <c r="H1801" s="1" t="b">
        <f t="shared" si="68"/>
        <v>0</v>
      </c>
    </row>
    <row r="1802" spans="1:8" ht="21" x14ac:dyDescent="0.25">
      <c r="A1802" s="2" t="str">
        <f>HYPERLINK("https://rth.dk/resources/bsgatlas/details.php?id=BSGatlas-operon-940","BSGatlas-operon-940")</f>
        <v>BSGatlas-operon-940</v>
      </c>
      <c r="B1802" s="2" t="str">
        <f>HYPERLINK("https://rth.dk/resources/bsgatlas/details.php?id=BSGatlas-gene-1904","BSGatlas-gene-1904")</f>
        <v>BSGatlas-gene-1904</v>
      </c>
      <c r="C1802" s="1" t="s">
        <v>1797</v>
      </c>
      <c r="D1802" s="1" t="s">
        <v>8</v>
      </c>
      <c r="E1802" s="3">
        <v>1688676</v>
      </c>
      <c r="F1802" s="3">
        <v>1690079</v>
      </c>
      <c r="G1802" s="1" t="s">
        <v>9</v>
      </c>
      <c r="H1802" s="1" t="b">
        <f t="shared" si="68"/>
        <v>0</v>
      </c>
    </row>
    <row r="1803" spans="1:8" ht="21" x14ac:dyDescent="0.25">
      <c r="A1803" s="2" t="str">
        <f>HYPERLINK("https://rth.dk/resources/bsgatlas/details.php?id=BSGatlas-operon-940","BSGatlas-operon-940")</f>
        <v>BSGatlas-operon-940</v>
      </c>
      <c r="B1803" s="2" t="str">
        <f>HYPERLINK("https://rth.dk/resources/bsgatlas/details.php?id=BSGatlas-gene-1905","BSGatlas-gene-1905")</f>
        <v>BSGatlas-gene-1905</v>
      </c>
      <c r="C1803" s="1" t="s">
        <v>1798</v>
      </c>
      <c r="D1803" s="1" t="s">
        <v>8</v>
      </c>
      <c r="E1803" s="3">
        <v>1690119</v>
      </c>
      <c r="F1803" s="3">
        <v>1690898</v>
      </c>
      <c r="G1803" s="1" t="s">
        <v>9</v>
      </c>
      <c r="H1803" s="1" t="b">
        <f t="shared" si="68"/>
        <v>0</v>
      </c>
    </row>
    <row r="1804" spans="1:8" ht="21" x14ac:dyDescent="0.25">
      <c r="A1804" s="2" t="str">
        <f t="shared" ref="A1804:A1835" si="69">HYPERLINK("https://rth.dk/resources/bsgatlas/details.php?id=BSGatlas-operon-941","BSGatlas-operon-941")</f>
        <v>BSGatlas-operon-941</v>
      </c>
      <c r="B1804" s="2" t="str">
        <f>HYPERLINK("https://rth.dk/resources/bsgatlas/details.php?id=BSGatlas-gene-1906","BSGatlas-gene-1906")</f>
        <v>BSGatlas-gene-1906</v>
      </c>
      <c r="C1804" s="1" t="s">
        <v>1799</v>
      </c>
      <c r="D1804" s="1" t="s">
        <v>8</v>
      </c>
      <c r="E1804" s="3">
        <v>1691278</v>
      </c>
      <c r="F1804" s="3">
        <v>1691667</v>
      </c>
      <c r="G1804" s="1" t="s">
        <v>9</v>
      </c>
      <c r="H1804" s="1" t="b">
        <f t="shared" si="68"/>
        <v>1</v>
      </c>
    </row>
    <row r="1805" spans="1:8" ht="21" x14ac:dyDescent="0.25">
      <c r="A1805" s="2" t="str">
        <f t="shared" si="69"/>
        <v>BSGatlas-operon-941</v>
      </c>
      <c r="B1805" s="2" t="str">
        <f>HYPERLINK("https://rth.dk/resources/bsgatlas/details.php?id=BSGatlas-gene-1907","BSGatlas-gene-1907")</f>
        <v>BSGatlas-gene-1907</v>
      </c>
      <c r="C1805" s="1" t="s">
        <v>1800</v>
      </c>
      <c r="D1805" s="1" t="s">
        <v>8</v>
      </c>
      <c r="E1805" s="3">
        <v>1691667</v>
      </c>
      <c r="F1805" s="3">
        <v>1692119</v>
      </c>
      <c r="G1805" s="1" t="s">
        <v>9</v>
      </c>
      <c r="H1805" s="1" t="b">
        <f t="shared" si="68"/>
        <v>1</v>
      </c>
    </row>
    <row r="1806" spans="1:8" ht="21" x14ac:dyDescent="0.25">
      <c r="A1806" s="2" t="str">
        <f t="shared" si="69"/>
        <v>BSGatlas-operon-941</v>
      </c>
      <c r="B1806" s="2" t="str">
        <f>HYPERLINK("https://rth.dk/resources/bsgatlas/details.php?id=BSGatlas-gene-1908","BSGatlas-gene-1908")</f>
        <v>BSGatlas-gene-1908</v>
      </c>
      <c r="C1806" s="1" t="s">
        <v>1801</v>
      </c>
      <c r="D1806" s="1" t="s">
        <v>8</v>
      </c>
      <c r="E1806" s="3">
        <v>1692130</v>
      </c>
      <c r="F1806" s="3">
        <v>1692450</v>
      </c>
      <c r="G1806" s="1" t="s">
        <v>9</v>
      </c>
      <c r="H1806" s="1" t="b">
        <f t="shared" si="68"/>
        <v>1</v>
      </c>
    </row>
    <row r="1807" spans="1:8" ht="21" x14ac:dyDescent="0.25">
      <c r="A1807" s="2" t="str">
        <f t="shared" si="69"/>
        <v>BSGatlas-operon-941</v>
      </c>
      <c r="B1807" s="2" t="str">
        <f>HYPERLINK("https://rth.dk/resources/bsgatlas/details.php?id=BSGatlas-gene-1909","BSGatlas-gene-1909")</f>
        <v>BSGatlas-gene-1909</v>
      </c>
      <c r="C1807" s="1" t="s">
        <v>1802</v>
      </c>
      <c r="D1807" s="1" t="s">
        <v>8</v>
      </c>
      <c r="E1807" s="3">
        <v>1692496</v>
      </c>
      <c r="F1807" s="3">
        <v>1694106</v>
      </c>
      <c r="G1807" s="1" t="s">
        <v>9</v>
      </c>
      <c r="H1807" s="1" t="b">
        <f t="shared" si="68"/>
        <v>1</v>
      </c>
    </row>
    <row r="1808" spans="1:8" ht="21" x14ac:dyDescent="0.25">
      <c r="A1808" s="2" t="str">
        <f t="shared" si="69"/>
        <v>BSGatlas-operon-941</v>
      </c>
      <c r="B1808" s="2" t="str">
        <f>HYPERLINK("https://rth.dk/resources/bsgatlas/details.php?id=BSGatlas-gene-1910","BSGatlas-gene-1910")</f>
        <v>BSGatlas-gene-1910</v>
      </c>
      <c r="C1808" s="1" t="s">
        <v>1803</v>
      </c>
      <c r="D1808" s="1" t="s">
        <v>8</v>
      </c>
      <c r="E1808" s="3">
        <v>1694119</v>
      </c>
      <c r="F1808" s="3">
        <v>1695135</v>
      </c>
      <c r="G1808" s="1" t="s">
        <v>9</v>
      </c>
      <c r="H1808" s="1" t="b">
        <f t="shared" si="68"/>
        <v>1</v>
      </c>
    </row>
    <row r="1809" spans="1:8" ht="21" x14ac:dyDescent="0.25">
      <c r="A1809" s="2" t="str">
        <f t="shared" si="69"/>
        <v>BSGatlas-operon-941</v>
      </c>
      <c r="B1809" s="2" t="str">
        <f>HYPERLINK("https://rth.dk/resources/bsgatlas/details.php?id=BSGatlas-gene-1911","BSGatlas-gene-1911")</f>
        <v>BSGatlas-gene-1911</v>
      </c>
      <c r="C1809" s="1" t="s">
        <v>1804</v>
      </c>
      <c r="D1809" s="1" t="s">
        <v>8</v>
      </c>
      <c r="E1809" s="3">
        <v>1695254</v>
      </c>
      <c r="F1809" s="3">
        <v>1695880</v>
      </c>
      <c r="G1809" s="1" t="s">
        <v>9</v>
      </c>
      <c r="H1809" s="1" t="b">
        <f t="shared" si="68"/>
        <v>1</v>
      </c>
    </row>
    <row r="1810" spans="1:8" ht="21" x14ac:dyDescent="0.25">
      <c r="A1810" s="2" t="str">
        <f t="shared" si="69"/>
        <v>BSGatlas-operon-941</v>
      </c>
      <c r="B1810" s="2" t="str">
        <f>HYPERLINK("https://rth.dk/resources/bsgatlas/details.php?id=BSGatlas-gene-1912","BSGatlas-gene-1912")</f>
        <v>BSGatlas-gene-1912</v>
      </c>
      <c r="C1810" s="1" t="s">
        <v>1805</v>
      </c>
      <c r="D1810" s="1" t="s">
        <v>8</v>
      </c>
      <c r="E1810" s="3">
        <v>1695877</v>
      </c>
      <c r="F1810" s="3">
        <v>1697193</v>
      </c>
      <c r="G1810" s="1" t="s">
        <v>9</v>
      </c>
      <c r="H1810" s="1" t="b">
        <f t="shared" si="68"/>
        <v>1</v>
      </c>
    </row>
    <row r="1811" spans="1:8" ht="21" x14ac:dyDescent="0.25">
      <c r="A1811" s="2" t="str">
        <f t="shared" si="69"/>
        <v>BSGatlas-operon-941</v>
      </c>
      <c r="B1811" s="2" t="str">
        <f>HYPERLINK("https://rth.dk/resources/bsgatlas/details.php?id=BSGatlas-gene-1913","BSGatlas-gene-1913")</f>
        <v>BSGatlas-gene-1913</v>
      </c>
      <c r="C1811" s="1" t="s">
        <v>1806</v>
      </c>
      <c r="D1811" s="1" t="s">
        <v>8</v>
      </c>
      <c r="E1811" s="3">
        <v>1697196</v>
      </c>
      <c r="F1811" s="3">
        <v>1697639</v>
      </c>
      <c r="G1811" s="1" t="s">
        <v>9</v>
      </c>
      <c r="H1811" s="1" t="b">
        <f t="shared" si="68"/>
        <v>1</v>
      </c>
    </row>
    <row r="1812" spans="1:8" ht="21" x14ac:dyDescent="0.25">
      <c r="A1812" s="2" t="str">
        <f t="shared" si="69"/>
        <v>BSGatlas-operon-941</v>
      </c>
      <c r="B1812" s="2" t="str">
        <f>HYPERLINK("https://rth.dk/resources/bsgatlas/details.php?id=BSGatlas-gene-1914","BSGatlas-gene-1914")</f>
        <v>BSGatlas-gene-1914</v>
      </c>
      <c r="C1812" s="1" t="s">
        <v>1807</v>
      </c>
      <c r="D1812" s="1" t="s">
        <v>8</v>
      </c>
      <c r="E1812" s="3">
        <v>1697651</v>
      </c>
      <c r="F1812" s="3">
        <v>1698265</v>
      </c>
      <c r="G1812" s="1" t="s">
        <v>9</v>
      </c>
      <c r="H1812" s="1" t="b">
        <f t="shared" si="68"/>
        <v>1</v>
      </c>
    </row>
    <row r="1813" spans="1:8" ht="21" x14ac:dyDescent="0.25">
      <c r="A1813" s="2" t="str">
        <f t="shared" si="69"/>
        <v>BSGatlas-operon-941</v>
      </c>
      <c r="B1813" s="2" t="str">
        <f>HYPERLINK("https://rth.dk/resources/bsgatlas/details.php?id=BSGatlas-gene-1915","BSGatlas-gene-1915")</f>
        <v>BSGatlas-gene-1915</v>
      </c>
      <c r="C1813" s="1" t="s">
        <v>1808</v>
      </c>
      <c r="D1813" s="1" t="s">
        <v>8</v>
      </c>
      <c r="E1813" s="3">
        <v>1698278</v>
      </c>
      <c r="F1813" s="3">
        <v>1699741</v>
      </c>
      <c r="G1813" s="1" t="s">
        <v>9</v>
      </c>
      <c r="H1813" s="1" t="b">
        <f t="shared" si="68"/>
        <v>1</v>
      </c>
    </row>
    <row r="1814" spans="1:8" ht="21" x14ac:dyDescent="0.25">
      <c r="A1814" s="2" t="str">
        <f t="shared" si="69"/>
        <v>BSGatlas-operon-941</v>
      </c>
      <c r="B1814" s="2" t="str">
        <f>HYPERLINK("https://rth.dk/resources/bsgatlas/details.php?id=BSGatlas-gene-1916","BSGatlas-gene-1916")</f>
        <v>BSGatlas-gene-1916</v>
      </c>
      <c r="C1814" s="1" t="s">
        <v>1809</v>
      </c>
      <c r="D1814" s="1" t="s">
        <v>8</v>
      </c>
      <c r="E1814" s="3">
        <v>1699738</v>
      </c>
      <c r="F1814" s="3">
        <v>1700160</v>
      </c>
      <c r="G1814" s="1" t="s">
        <v>9</v>
      </c>
      <c r="H1814" s="1" t="b">
        <f t="shared" si="68"/>
        <v>1</v>
      </c>
    </row>
    <row r="1815" spans="1:8" ht="21" x14ac:dyDescent="0.25">
      <c r="A1815" s="2" t="str">
        <f t="shared" si="69"/>
        <v>BSGatlas-operon-941</v>
      </c>
      <c r="B1815" s="2" t="str">
        <f>HYPERLINK("https://rth.dk/resources/bsgatlas/details.php?id=BSGatlas-gene-1917","BSGatlas-gene-1917")</f>
        <v>BSGatlas-gene-1917</v>
      </c>
      <c r="C1815" s="1" t="s">
        <v>1810</v>
      </c>
      <c r="D1815" s="1" t="s">
        <v>8</v>
      </c>
      <c r="E1815" s="3">
        <v>1700182</v>
      </c>
      <c r="F1815" s="3">
        <v>1700976</v>
      </c>
      <c r="G1815" s="1" t="s">
        <v>9</v>
      </c>
      <c r="H1815" s="1" t="b">
        <f t="shared" si="68"/>
        <v>1</v>
      </c>
    </row>
    <row r="1816" spans="1:8" ht="21" x14ac:dyDescent="0.25">
      <c r="A1816" s="2" t="str">
        <f t="shared" si="69"/>
        <v>BSGatlas-operon-941</v>
      </c>
      <c r="B1816" s="2" t="str">
        <f>HYPERLINK("https://rth.dk/resources/bsgatlas/details.php?id=BSGatlas-gene-1918","BSGatlas-gene-1918")</f>
        <v>BSGatlas-gene-1918</v>
      </c>
      <c r="C1816" s="1" t="s">
        <v>1811</v>
      </c>
      <c r="D1816" s="1" t="s">
        <v>8</v>
      </c>
      <c r="E1816" s="3">
        <v>1701016</v>
      </c>
      <c r="F1816" s="3">
        <v>1701231</v>
      </c>
      <c r="G1816" s="1" t="s">
        <v>9</v>
      </c>
      <c r="H1816" s="1" t="b">
        <f t="shared" si="68"/>
        <v>1</v>
      </c>
    </row>
    <row r="1817" spans="1:8" ht="21" x14ac:dyDescent="0.25">
      <c r="A1817" s="2" t="str">
        <f t="shared" si="69"/>
        <v>BSGatlas-operon-941</v>
      </c>
      <c r="B1817" s="2" t="str">
        <f>HYPERLINK("https://rth.dk/resources/bsgatlas/details.php?id=BSGatlas-gene-1919","BSGatlas-gene-1919")</f>
        <v>BSGatlas-gene-1919</v>
      </c>
      <c r="C1817" s="1" t="s">
        <v>1812</v>
      </c>
      <c r="D1817" s="1" t="s">
        <v>8</v>
      </c>
      <c r="E1817" s="3">
        <v>1701228</v>
      </c>
      <c r="F1817" s="3">
        <v>1701650</v>
      </c>
      <c r="G1817" s="1" t="s">
        <v>9</v>
      </c>
      <c r="H1817" s="1" t="b">
        <f t="shared" si="68"/>
        <v>1</v>
      </c>
    </row>
    <row r="1818" spans="1:8" ht="21" x14ac:dyDescent="0.25">
      <c r="A1818" s="2" t="str">
        <f t="shared" si="69"/>
        <v>BSGatlas-operon-941</v>
      </c>
      <c r="B1818" s="2" t="str">
        <f>HYPERLINK("https://rth.dk/resources/bsgatlas/details.php?id=BSGatlas-gene-1920","BSGatlas-gene-1920")</f>
        <v>BSGatlas-gene-1920</v>
      </c>
      <c r="C1818" s="1" t="s">
        <v>1813</v>
      </c>
      <c r="D1818" s="1" t="s">
        <v>8</v>
      </c>
      <c r="E1818" s="3">
        <v>1701684</v>
      </c>
      <c r="F1818" s="3">
        <v>1702682</v>
      </c>
      <c r="G1818" s="1" t="s">
        <v>9</v>
      </c>
      <c r="H1818" s="1" t="b">
        <f t="shared" si="68"/>
        <v>1</v>
      </c>
    </row>
    <row r="1819" spans="1:8" ht="21" x14ac:dyDescent="0.25">
      <c r="A1819" s="2" t="str">
        <f t="shared" si="69"/>
        <v>BSGatlas-operon-941</v>
      </c>
      <c r="B1819" s="2" t="str">
        <f>HYPERLINK("https://rth.dk/resources/bsgatlas/details.php?id=BSGatlas-gene-1921","BSGatlas-gene-1921")</f>
        <v>BSGatlas-gene-1921</v>
      </c>
      <c r="C1819" s="1" t="s">
        <v>1814</v>
      </c>
      <c r="D1819" s="1" t="s">
        <v>8</v>
      </c>
      <c r="E1819" s="3">
        <v>1702672</v>
      </c>
      <c r="F1819" s="3">
        <v>1703808</v>
      </c>
      <c r="G1819" s="1" t="s">
        <v>9</v>
      </c>
      <c r="H1819" s="1" t="b">
        <f t="shared" si="68"/>
        <v>1</v>
      </c>
    </row>
    <row r="1820" spans="1:8" ht="21" x14ac:dyDescent="0.25">
      <c r="A1820" s="2" t="str">
        <f t="shared" si="69"/>
        <v>BSGatlas-operon-941</v>
      </c>
      <c r="B1820" s="2" t="str">
        <f>HYPERLINK("https://rth.dk/resources/bsgatlas/details.php?id=BSGatlas-gene-1922","BSGatlas-gene-1922")</f>
        <v>BSGatlas-gene-1922</v>
      </c>
      <c r="C1820" s="1" t="s">
        <v>1815</v>
      </c>
      <c r="D1820" s="1" t="s">
        <v>8</v>
      </c>
      <c r="E1820" s="3">
        <v>1703834</v>
      </c>
      <c r="F1820" s="3">
        <v>1704196</v>
      </c>
      <c r="G1820" s="1" t="s">
        <v>9</v>
      </c>
      <c r="H1820" s="1" t="b">
        <f t="shared" si="68"/>
        <v>1</v>
      </c>
    </row>
    <row r="1821" spans="1:8" ht="21" x14ac:dyDescent="0.25">
      <c r="A1821" s="2" t="str">
        <f t="shared" si="69"/>
        <v>BSGatlas-operon-941</v>
      </c>
      <c r="B1821" s="2" t="str">
        <f>HYPERLINK("https://rth.dk/resources/bsgatlas/details.php?id=BSGatlas-gene-1923","BSGatlas-gene-1923")</f>
        <v>BSGatlas-gene-1923</v>
      </c>
      <c r="C1821" s="1" t="s">
        <v>1816</v>
      </c>
      <c r="D1821" s="1" t="s">
        <v>8</v>
      </c>
      <c r="E1821" s="3">
        <v>1704211</v>
      </c>
      <c r="F1821" s="3">
        <v>1704870</v>
      </c>
      <c r="G1821" s="1" t="s">
        <v>9</v>
      </c>
      <c r="H1821" s="1" t="b">
        <f t="shared" si="68"/>
        <v>1</v>
      </c>
    </row>
    <row r="1822" spans="1:8" ht="21" x14ac:dyDescent="0.25">
      <c r="A1822" s="2" t="str">
        <f t="shared" si="69"/>
        <v>BSGatlas-operon-941</v>
      </c>
      <c r="B1822" s="2" t="str">
        <f>HYPERLINK("https://rth.dk/resources/bsgatlas/details.php?id=BSGatlas-gene-1924","BSGatlas-gene-1924")</f>
        <v>BSGatlas-gene-1924</v>
      </c>
      <c r="C1822" s="1" t="s">
        <v>1817</v>
      </c>
      <c r="D1822" s="1" t="s">
        <v>8</v>
      </c>
      <c r="E1822" s="3">
        <v>1704863</v>
      </c>
      <c r="F1822" s="3">
        <v>1705528</v>
      </c>
      <c r="G1822" s="1" t="s">
        <v>9</v>
      </c>
      <c r="H1822" s="1" t="b">
        <f t="shared" si="68"/>
        <v>1</v>
      </c>
    </row>
    <row r="1823" spans="1:8" ht="21" x14ac:dyDescent="0.25">
      <c r="A1823" s="2" t="str">
        <f t="shared" si="69"/>
        <v>BSGatlas-operon-941</v>
      </c>
      <c r="B1823" s="2" t="str">
        <f>HYPERLINK("https://rth.dk/resources/bsgatlas/details.php?id=BSGatlas-gene-1925","BSGatlas-gene-1925")</f>
        <v>BSGatlas-gene-1925</v>
      </c>
      <c r="C1823" s="1" t="s">
        <v>1818</v>
      </c>
      <c r="D1823" s="1" t="s">
        <v>8</v>
      </c>
      <c r="E1823" s="3">
        <v>1705543</v>
      </c>
      <c r="F1823" s="3">
        <v>1705812</v>
      </c>
      <c r="G1823" s="1" t="s">
        <v>9</v>
      </c>
      <c r="H1823" s="1" t="b">
        <f t="shared" si="68"/>
        <v>1</v>
      </c>
    </row>
    <row r="1824" spans="1:8" ht="21" x14ac:dyDescent="0.25">
      <c r="A1824" s="2" t="str">
        <f t="shared" si="69"/>
        <v>BSGatlas-operon-941</v>
      </c>
      <c r="B1824" s="2" t="str">
        <f>HYPERLINK("https://rth.dk/resources/bsgatlas/details.php?id=BSGatlas-gene-1926","BSGatlas-gene-1926")</f>
        <v>BSGatlas-gene-1926</v>
      </c>
      <c r="C1824" s="1" t="s">
        <v>1819</v>
      </c>
      <c r="D1824" s="1" t="s">
        <v>8</v>
      </c>
      <c r="E1824" s="3">
        <v>1705820</v>
      </c>
      <c r="F1824" s="3">
        <v>1706599</v>
      </c>
      <c r="G1824" s="1" t="s">
        <v>9</v>
      </c>
      <c r="H1824" s="1" t="b">
        <f t="shared" si="68"/>
        <v>1</v>
      </c>
    </row>
    <row r="1825" spans="1:8" ht="21" x14ac:dyDescent="0.25">
      <c r="A1825" s="2" t="str">
        <f t="shared" si="69"/>
        <v>BSGatlas-operon-941</v>
      </c>
      <c r="B1825" s="2" t="str">
        <f>HYPERLINK("https://rth.dk/resources/bsgatlas/details.php?id=BSGatlas-gene-1927","BSGatlas-gene-1927")</f>
        <v>BSGatlas-gene-1927</v>
      </c>
      <c r="C1825" s="1" t="s">
        <v>1820</v>
      </c>
      <c r="D1825" s="1" t="s">
        <v>8</v>
      </c>
      <c r="E1825" s="3">
        <v>1706599</v>
      </c>
      <c r="F1825" s="3">
        <v>1707681</v>
      </c>
      <c r="G1825" s="1" t="s">
        <v>9</v>
      </c>
      <c r="H1825" s="1" t="b">
        <f t="shared" si="68"/>
        <v>1</v>
      </c>
    </row>
    <row r="1826" spans="1:8" ht="21" x14ac:dyDescent="0.25">
      <c r="A1826" s="2" t="str">
        <f t="shared" si="69"/>
        <v>BSGatlas-operon-941</v>
      </c>
      <c r="B1826" s="2" t="str">
        <f>HYPERLINK("https://rth.dk/resources/bsgatlas/details.php?id=BSGatlas-gene-1928","BSGatlas-gene-1928")</f>
        <v>BSGatlas-gene-1928</v>
      </c>
      <c r="C1826" s="1" t="s">
        <v>1821</v>
      </c>
      <c r="D1826" s="1" t="s">
        <v>8</v>
      </c>
      <c r="E1826" s="3">
        <v>1707714</v>
      </c>
      <c r="F1826" s="3">
        <v>1709747</v>
      </c>
      <c r="G1826" s="1" t="s">
        <v>9</v>
      </c>
      <c r="H1826" s="1" t="b">
        <f t="shared" si="68"/>
        <v>1</v>
      </c>
    </row>
    <row r="1827" spans="1:8" ht="21" x14ac:dyDescent="0.25">
      <c r="A1827" s="2" t="str">
        <f t="shared" si="69"/>
        <v>BSGatlas-operon-941</v>
      </c>
      <c r="B1827" s="2" t="str">
        <f>HYPERLINK("https://rth.dk/resources/bsgatlas/details.php?id=BSGatlas-gene-1929","BSGatlas-gene-1929")</f>
        <v>BSGatlas-gene-1929</v>
      </c>
      <c r="C1827" s="1" t="s">
        <v>1822</v>
      </c>
      <c r="D1827" s="1" t="s">
        <v>8</v>
      </c>
      <c r="E1827" s="3">
        <v>1709747</v>
      </c>
      <c r="F1827" s="3">
        <v>1710847</v>
      </c>
      <c r="G1827" s="1" t="s">
        <v>9</v>
      </c>
      <c r="H1827" s="1" t="b">
        <f t="shared" si="68"/>
        <v>1</v>
      </c>
    </row>
    <row r="1828" spans="1:8" ht="21" x14ac:dyDescent="0.25">
      <c r="A1828" s="2" t="str">
        <f t="shared" si="69"/>
        <v>BSGatlas-operon-941</v>
      </c>
      <c r="B1828" s="2" t="str">
        <f>HYPERLINK("https://rth.dk/resources/bsgatlas/details.php?id=BSGatlas-gene-1930","BSGatlas-gene-1930")</f>
        <v>BSGatlas-gene-1930</v>
      </c>
      <c r="C1828" s="1" t="s">
        <v>1823</v>
      </c>
      <c r="D1828" s="1" t="s">
        <v>8</v>
      </c>
      <c r="E1828" s="3">
        <v>1710838</v>
      </c>
      <c r="F1828" s="3">
        <v>1711734</v>
      </c>
      <c r="G1828" s="1" t="s">
        <v>9</v>
      </c>
      <c r="H1828" s="1" t="b">
        <f t="shared" si="68"/>
        <v>1</v>
      </c>
    </row>
    <row r="1829" spans="1:8" ht="21" x14ac:dyDescent="0.25">
      <c r="A1829" s="2" t="str">
        <f t="shared" si="69"/>
        <v>BSGatlas-operon-941</v>
      </c>
      <c r="B1829" s="2" t="str">
        <f>HYPERLINK("https://rth.dk/resources/bsgatlas/details.php?id=BSGatlas-gene-1931","BSGatlas-gene-1931")</f>
        <v>BSGatlas-gene-1931</v>
      </c>
      <c r="C1829" s="1" t="s">
        <v>1824</v>
      </c>
      <c r="D1829" s="1" t="s">
        <v>8</v>
      </c>
      <c r="E1829" s="3">
        <v>1711736</v>
      </c>
      <c r="F1829" s="3">
        <v>1712809</v>
      </c>
      <c r="G1829" s="1" t="s">
        <v>9</v>
      </c>
      <c r="H1829" s="1" t="b">
        <f t="shared" si="68"/>
        <v>1</v>
      </c>
    </row>
    <row r="1830" spans="1:8" ht="21" x14ac:dyDescent="0.25">
      <c r="A1830" s="2" t="str">
        <f t="shared" si="69"/>
        <v>BSGatlas-operon-941</v>
      </c>
      <c r="B1830" s="2" t="str">
        <f>HYPERLINK("https://rth.dk/resources/bsgatlas/details.php?id=BSGatlas-gene-1932","BSGatlas-gene-1932")</f>
        <v>BSGatlas-gene-1932</v>
      </c>
      <c r="C1830" s="1" t="s">
        <v>1825</v>
      </c>
      <c r="D1830" s="1" t="s">
        <v>8</v>
      </c>
      <c r="E1830" s="3">
        <v>1712815</v>
      </c>
      <c r="F1830" s="3">
        <v>1714833</v>
      </c>
      <c r="G1830" s="1" t="s">
        <v>9</v>
      </c>
      <c r="H1830" s="1" t="b">
        <f t="shared" si="68"/>
        <v>1</v>
      </c>
    </row>
    <row r="1831" spans="1:8" ht="21" x14ac:dyDescent="0.25">
      <c r="A1831" s="2" t="str">
        <f t="shared" si="69"/>
        <v>BSGatlas-operon-941</v>
      </c>
      <c r="B1831" s="2" t="str">
        <f>HYPERLINK("https://rth.dk/resources/bsgatlas/details.php?id=BSGatlas-gene-1933","BSGatlas-gene-1933")</f>
        <v>BSGatlas-gene-1933</v>
      </c>
      <c r="C1831" s="1" t="s">
        <v>1826</v>
      </c>
      <c r="D1831" s="1" t="s">
        <v>8</v>
      </c>
      <c r="E1831" s="3">
        <v>1714855</v>
      </c>
      <c r="F1831" s="3">
        <v>1715325</v>
      </c>
      <c r="G1831" s="1" t="s">
        <v>9</v>
      </c>
      <c r="H1831" s="1" t="b">
        <f t="shared" si="68"/>
        <v>1</v>
      </c>
    </row>
    <row r="1832" spans="1:8" ht="21" x14ac:dyDescent="0.25">
      <c r="A1832" s="2" t="str">
        <f t="shared" si="69"/>
        <v>BSGatlas-operon-941</v>
      </c>
      <c r="B1832" s="2" t="str">
        <f>HYPERLINK("https://rth.dk/resources/bsgatlas/details.php?id=BSGatlas-gene-1934","BSGatlas-gene-1934")</f>
        <v>BSGatlas-gene-1934</v>
      </c>
      <c r="C1832" s="1" t="s">
        <v>1827</v>
      </c>
      <c r="D1832" s="1" t="s">
        <v>8</v>
      </c>
      <c r="E1832" s="3">
        <v>1715344</v>
      </c>
      <c r="F1832" s="3">
        <v>1715973</v>
      </c>
      <c r="G1832" s="1" t="s">
        <v>9</v>
      </c>
      <c r="H1832" s="1" t="b">
        <f t="shared" si="68"/>
        <v>1</v>
      </c>
    </row>
    <row r="1833" spans="1:8" ht="21" x14ac:dyDescent="0.25">
      <c r="A1833" s="2" t="str">
        <f t="shared" si="69"/>
        <v>BSGatlas-operon-941</v>
      </c>
      <c r="B1833" s="2" t="str">
        <f>HYPERLINK("https://rth.dk/resources/bsgatlas/details.php?id=BSGatlas-gene-1935","BSGatlas-gene-1935")</f>
        <v>BSGatlas-gene-1935</v>
      </c>
      <c r="C1833" s="1" t="s">
        <v>1828</v>
      </c>
      <c r="D1833" s="1" t="s">
        <v>8</v>
      </c>
      <c r="E1833" s="3">
        <v>1715970</v>
      </c>
      <c r="F1833" s="3">
        <v>1716470</v>
      </c>
      <c r="G1833" s="1" t="s">
        <v>9</v>
      </c>
      <c r="H1833" s="1" t="b">
        <f t="shared" si="68"/>
        <v>1</v>
      </c>
    </row>
    <row r="1834" spans="1:8" ht="21" x14ac:dyDescent="0.25">
      <c r="A1834" s="2" t="str">
        <f t="shared" si="69"/>
        <v>BSGatlas-operon-941</v>
      </c>
      <c r="B1834" s="2" t="str">
        <f>HYPERLINK("https://rth.dk/resources/bsgatlas/details.php?id=BSGatlas-gene-1936","BSGatlas-gene-1936")</f>
        <v>BSGatlas-gene-1936</v>
      </c>
      <c r="C1834" s="1" t="s">
        <v>1829</v>
      </c>
      <c r="D1834" s="1" t="s">
        <v>8</v>
      </c>
      <c r="E1834" s="3">
        <v>1716493</v>
      </c>
      <c r="F1834" s="3">
        <v>1717257</v>
      </c>
      <c r="G1834" s="1" t="s">
        <v>9</v>
      </c>
      <c r="H1834" s="1" t="b">
        <f t="shared" si="68"/>
        <v>1</v>
      </c>
    </row>
    <row r="1835" spans="1:8" ht="21" x14ac:dyDescent="0.25">
      <c r="A1835" s="2" t="str">
        <f t="shared" si="69"/>
        <v>BSGatlas-operon-941</v>
      </c>
      <c r="B1835" s="2" t="str">
        <f>HYPERLINK("https://rth.dk/resources/bsgatlas/details.php?id=BSGatlas-gene-1937","BSGatlas-gene-1937")</f>
        <v>BSGatlas-gene-1937</v>
      </c>
      <c r="C1835" s="1" t="s">
        <v>1830</v>
      </c>
      <c r="D1835" s="1" t="s">
        <v>8</v>
      </c>
      <c r="E1835" s="3">
        <v>1717286</v>
      </c>
      <c r="F1835" s="3">
        <v>1717789</v>
      </c>
      <c r="G1835" s="1" t="s">
        <v>9</v>
      </c>
      <c r="H1835" s="1" t="b">
        <f t="shared" si="68"/>
        <v>1</v>
      </c>
    </row>
    <row r="1836" spans="1:8" ht="21" x14ac:dyDescent="0.25">
      <c r="A1836" s="2" t="str">
        <f>HYPERLINK("https://rth.dk/resources/bsgatlas/details.php?id=BSGatlas-operon-942","BSGatlas-operon-942")</f>
        <v>BSGatlas-operon-942</v>
      </c>
      <c r="B1836" s="2" t="str">
        <f>HYPERLINK("https://rth.dk/resources/bsgatlas/details.php?id=BSGatlas-gene-1939","BSGatlas-gene-1939")</f>
        <v>BSGatlas-gene-1939</v>
      </c>
      <c r="C1836" s="1" t="s">
        <v>1831</v>
      </c>
      <c r="D1836" s="1" t="s">
        <v>8</v>
      </c>
      <c r="E1836" s="3">
        <v>1717933</v>
      </c>
      <c r="F1836" s="3">
        <v>1718673</v>
      </c>
      <c r="G1836" s="1" t="s">
        <v>9</v>
      </c>
      <c r="H1836" s="1" t="b">
        <f t="shared" si="68"/>
        <v>0</v>
      </c>
    </row>
    <row r="1837" spans="1:8" ht="21" x14ac:dyDescent="0.25">
      <c r="A1837" s="2" t="str">
        <f>HYPERLINK("https://rth.dk/resources/bsgatlas/details.php?id=BSGatlas-operon-942","BSGatlas-operon-942")</f>
        <v>BSGatlas-operon-942</v>
      </c>
      <c r="B1837" s="2" t="str">
        <f>HYPERLINK("https://rth.dk/resources/bsgatlas/details.php?id=BSGatlas-gene-1940","BSGatlas-gene-1940")</f>
        <v>BSGatlas-gene-1940</v>
      </c>
      <c r="C1837" s="1" t="s">
        <v>1832</v>
      </c>
      <c r="D1837" s="1" t="s">
        <v>8</v>
      </c>
      <c r="E1837" s="3">
        <v>1718775</v>
      </c>
      <c r="F1837" s="3">
        <v>1719656</v>
      </c>
      <c r="G1837" s="1" t="s">
        <v>9</v>
      </c>
      <c r="H1837" s="1" t="b">
        <f t="shared" si="68"/>
        <v>0</v>
      </c>
    </row>
    <row r="1838" spans="1:8" ht="21" x14ac:dyDescent="0.25">
      <c r="A1838" s="2" t="str">
        <f>HYPERLINK("https://rth.dk/resources/bsgatlas/details.php?id=BSGatlas-operon-942","BSGatlas-operon-942")</f>
        <v>BSGatlas-operon-942</v>
      </c>
      <c r="B1838" s="2" t="str">
        <f>HYPERLINK("https://rth.dk/resources/bsgatlas/details.php?id=BSGatlas-gene-1941","BSGatlas-gene-1941")</f>
        <v>BSGatlas-gene-1941</v>
      </c>
      <c r="C1838" s="1" t="s">
        <v>1833</v>
      </c>
      <c r="D1838" s="1" t="s">
        <v>8</v>
      </c>
      <c r="E1838" s="3">
        <v>1719802</v>
      </c>
      <c r="F1838" s="3">
        <v>1720524</v>
      </c>
      <c r="G1838" s="1" t="s">
        <v>9</v>
      </c>
      <c r="H1838" s="1" t="b">
        <f t="shared" si="68"/>
        <v>0</v>
      </c>
    </row>
    <row r="1839" spans="1:8" ht="21" x14ac:dyDescent="0.25">
      <c r="A1839" s="2" t="str">
        <f>HYPERLINK("https://rth.dk/resources/bsgatlas/details.php?id=BSGatlas-operon-942","BSGatlas-operon-942")</f>
        <v>BSGatlas-operon-942</v>
      </c>
      <c r="B1839" s="2" t="str">
        <f>HYPERLINK("https://rth.dk/resources/bsgatlas/details.php?id=BSGatlas-gene-1942","BSGatlas-gene-1942")</f>
        <v>BSGatlas-gene-1942</v>
      </c>
      <c r="C1839" s="1" t="s">
        <v>1834</v>
      </c>
      <c r="D1839" s="1" t="s">
        <v>8</v>
      </c>
      <c r="E1839" s="3">
        <v>1720526</v>
      </c>
      <c r="F1839" s="3">
        <v>1721083</v>
      </c>
      <c r="G1839" s="1" t="s">
        <v>9</v>
      </c>
      <c r="H1839" s="1" t="b">
        <f t="shared" si="68"/>
        <v>0</v>
      </c>
    </row>
    <row r="1840" spans="1:8" ht="21" x14ac:dyDescent="0.25">
      <c r="A1840" s="2" t="str">
        <f t="shared" ref="A1840:A1845" si="70">HYPERLINK("https://rth.dk/resources/bsgatlas/details.php?id=BSGatlas-operon-943","BSGatlas-operon-943")</f>
        <v>BSGatlas-operon-943</v>
      </c>
      <c r="B1840" s="2" t="str">
        <f>HYPERLINK("https://rth.dk/resources/bsgatlas/details.php?id=BSGatlas-gene-1943","BSGatlas-gene-1943")</f>
        <v>BSGatlas-gene-1943</v>
      </c>
      <c r="C1840" s="1" t="s">
        <v>1835</v>
      </c>
      <c r="D1840" s="1" t="s">
        <v>8</v>
      </c>
      <c r="E1840" s="3">
        <v>1721214</v>
      </c>
      <c r="F1840" s="3">
        <v>1721996</v>
      </c>
      <c r="G1840" s="1" t="s">
        <v>9</v>
      </c>
      <c r="H1840" s="1" t="b">
        <f t="shared" si="68"/>
        <v>1</v>
      </c>
    </row>
    <row r="1841" spans="1:8" ht="21" x14ac:dyDescent="0.25">
      <c r="A1841" s="2" t="str">
        <f t="shared" si="70"/>
        <v>BSGatlas-operon-943</v>
      </c>
      <c r="B1841" s="2" t="str">
        <f>HYPERLINK("https://rth.dk/resources/bsgatlas/details.php?id=BSGatlas-gene-1944","BSGatlas-gene-1944")</f>
        <v>BSGatlas-gene-1944</v>
      </c>
      <c r="C1841" s="1" t="s">
        <v>1836</v>
      </c>
      <c r="D1841" s="1" t="s">
        <v>8</v>
      </c>
      <c r="E1841" s="3">
        <v>1722000</v>
      </c>
      <c r="F1841" s="3">
        <v>1722809</v>
      </c>
      <c r="G1841" s="1" t="s">
        <v>9</v>
      </c>
      <c r="H1841" s="1" t="b">
        <f t="shared" si="68"/>
        <v>1</v>
      </c>
    </row>
    <row r="1842" spans="1:8" ht="21" x14ac:dyDescent="0.25">
      <c r="A1842" s="2" t="str">
        <f t="shared" si="70"/>
        <v>BSGatlas-operon-943</v>
      </c>
      <c r="B1842" s="2" t="str">
        <f>HYPERLINK("https://rth.dk/resources/bsgatlas/details.php?id=BSGatlas-gene-1945","BSGatlas-gene-1945")</f>
        <v>BSGatlas-gene-1945</v>
      </c>
      <c r="C1842" s="1" t="s">
        <v>1837</v>
      </c>
      <c r="D1842" s="1" t="s">
        <v>8</v>
      </c>
      <c r="E1842" s="3">
        <v>1722871</v>
      </c>
      <c r="F1842" s="3">
        <v>1724022</v>
      </c>
      <c r="G1842" s="1" t="s">
        <v>9</v>
      </c>
      <c r="H1842" s="1" t="b">
        <f t="shared" si="68"/>
        <v>1</v>
      </c>
    </row>
    <row r="1843" spans="1:8" ht="21" x14ac:dyDescent="0.25">
      <c r="A1843" s="2" t="str">
        <f t="shared" si="70"/>
        <v>BSGatlas-operon-943</v>
      </c>
      <c r="B1843" s="2" t="str">
        <f>HYPERLINK("https://rth.dk/resources/bsgatlas/details.php?id=BSGatlas-gene-1946","BSGatlas-gene-1946")</f>
        <v>BSGatlas-gene-1946</v>
      </c>
      <c r="C1843" s="1" t="s">
        <v>1838</v>
      </c>
      <c r="D1843" s="1" t="s">
        <v>8</v>
      </c>
      <c r="E1843" s="3">
        <v>1724029</v>
      </c>
      <c r="F1843" s="3">
        <v>1725297</v>
      </c>
      <c r="G1843" s="1" t="s">
        <v>9</v>
      </c>
      <c r="H1843" s="1" t="b">
        <f t="shared" si="68"/>
        <v>1</v>
      </c>
    </row>
    <row r="1844" spans="1:8" ht="21" x14ac:dyDescent="0.25">
      <c r="A1844" s="2" t="str">
        <f t="shared" si="70"/>
        <v>BSGatlas-operon-943</v>
      </c>
      <c r="B1844" s="2" t="str">
        <f>HYPERLINK("https://rth.dk/resources/bsgatlas/details.php?id=BSGatlas-gene-1947","BSGatlas-gene-1947")</f>
        <v>BSGatlas-gene-1947</v>
      </c>
      <c r="C1844" s="1" t="s">
        <v>1839</v>
      </c>
      <c r="D1844" s="1" t="s">
        <v>8</v>
      </c>
      <c r="E1844" s="3">
        <v>1725330</v>
      </c>
      <c r="F1844" s="3">
        <v>1727024</v>
      </c>
      <c r="G1844" s="1" t="s">
        <v>9</v>
      </c>
      <c r="H1844" s="1" t="b">
        <f t="shared" si="68"/>
        <v>1</v>
      </c>
    </row>
    <row r="1845" spans="1:8" ht="21" x14ac:dyDescent="0.25">
      <c r="A1845" s="2" t="str">
        <f t="shared" si="70"/>
        <v>BSGatlas-operon-943</v>
      </c>
      <c r="B1845" s="2" t="str">
        <f>HYPERLINK("https://rth.dk/resources/bsgatlas/details.php?id=BSGatlas-gene-1948","BSGatlas-gene-1948")</f>
        <v>BSGatlas-gene-1948</v>
      </c>
      <c r="C1845" s="1" t="s">
        <v>1840</v>
      </c>
      <c r="D1845" s="1" t="s">
        <v>8</v>
      </c>
      <c r="E1845" s="3">
        <v>1727133</v>
      </c>
      <c r="F1845" s="3">
        <v>1731446</v>
      </c>
      <c r="G1845" s="1" t="s">
        <v>9</v>
      </c>
      <c r="H1845" s="1" t="b">
        <f t="shared" si="68"/>
        <v>1</v>
      </c>
    </row>
    <row r="1846" spans="1:8" ht="21" x14ac:dyDescent="0.25">
      <c r="A1846" s="2" t="str">
        <f>HYPERLINK("https://rth.dk/resources/bsgatlas/details.php?id=BSGatlas-operon-944","BSGatlas-operon-944")</f>
        <v>BSGatlas-operon-944</v>
      </c>
      <c r="B1846" s="2" t="str">
        <f>HYPERLINK("https://rth.dk/resources/bsgatlas/details.php?id=BSGatlas-gene-1949","BSGatlas-gene-1949")</f>
        <v>BSGatlas-gene-1949</v>
      </c>
      <c r="C1846" s="1" t="s">
        <v>1841</v>
      </c>
      <c r="D1846" s="1" t="s">
        <v>55</v>
      </c>
      <c r="E1846" s="3">
        <v>1731457</v>
      </c>
      <c r="F1846" s="3">
        <v>1731674</v>
      </c>
      <c r="G1846" s="1" t="s">
        <v>9</v>
      </c>
      <c r="H1846" s="1" t="b">
        <f t="shared" si="68"/>
        <v>0</v>
      </c>
    </row>
    <row r="1847" spans="1:8" ht="21" x14ac:dyDescent="0.25">
      <c r="A1847" s="2" t="str">
        <f t="shared" ref="A1847:A1853" si="71">HYPERLINK("https://rth.dk/resources/bsgatlas/details.php?id=BSGatlas-operon-945","BSGatlas-operon-945")</f>
        <v>BSGatlas-operon-945</v>
      </c>
      <c r="B1847" s="2" t="str">
        <f>HYPERLINK("https://rth.dk/resources/bsgatlas/details.php?id=BSGatlas-gene-1951","BSGatlas-gene-1951")</f>
        <v>BSGatlas-gene-1951</v>
      </c>
      <c r="C1847" s="1" t="s">
        <v>1842</v>
      </c>
      <c r="D1847" s="1" t="s">
        <v>8</v>
      </c>
      <c r="E1847" s="3">
        <v>1731776</v>
      </c>
      <c r="F1847" s="3">
        <v>1732246</v>
      </c>
      <c r="G1847" s="1" t="s">
        <v>9</v>
      </c>
      <c r="H1847" s="1" t="b">
        <f t="shared" si="68"/>
        <v>1</v>
      </c>
    </row>
    <row r="1848" spans="1:8" ht="21" x14ac:dyDescent="0.25">
      <c r="A1848" s="2" t="str">
        <f t="shared" si="71"/>
        <v>BSGatlas-operon-945</v>
      </c>
      <c r="B1848" s="2" t="str">
        <f>HYPERLINK("https://rth.dk/resources/bsgatlas/details.php?id=BSGatlas-gene-1952","BSGatlas-gene-1952")</f>
        <v>BSGatlas-gene-1952</v>
      </c>
      <c r="C1848" s="1" t="s">
        <v>1843</v>
      </c>
      <c r="D1848" s="1" t="s">
        <v>8</v>
      </c>
      <c r="E1848" s="3">
        <v>1732281</v>
      </c>
      <c r="F1848" s="3">
        <v>1733396</v>
      </c>
      <c r="G1848" s="1" t="s">
        <v>9</v>
      </c>
      <c r="H1848" s="1" t="b">
        <f t="shared" si="68"/>
        <v>1</v>
      </c>
    </row>
    <row r="1849" spans="1:8" ht="21" x14ac:dyDescent="0.25">
      <c r="A1849" s="2" t="str">
        <f t="shared" si="71"/>
        <v>BSGatlas-operon-945</v>
      </c>
      <c r="B1849" s="2" t="str">
        <f>HYPERLINK("https://rth.dk/resources/bsgatlas/details.php?id=BSGatlas-gene-1953","BSGatlas-gene-1953")</f>
        <v>BSGatlas-gene-1953</v>
      </c>
      <c r="C1849" s="1" t="s">
        <v>1844</v>
      </c>
      <c r="D1849" s="1" t="s">
        <v>8</v>
      </c>
      <c r="E1849" s="3">
        <v>1733410</v>
      </c>
      <c r="F1849" s="3">
        <v>1733685</v>
      </c>
      <c r="G1849" s="1" t="s">
        <v>9</v>
      </c>
      <c r="H1849" s="1" t="b">
        <f t="shared" si="68"/>
        <v>1</v>
      </c>
    </row>
    <row r="1850" spans="1:8" ht="21" x14ac:dyDescent="0.25">
      <c r="A1850" s="2" t="str">
        <f t="shared" si="71"/>
        <v>BSGatlas-operon-945</v>
      </c>
      <c r="B1850" s="2" t="str">
        <f>HYPERLINK("https://rth.dk/resources/bsgatlas/details.php?id=BSGatlas-gene-1954","BSGatlas-gene-1954")</f>
        <v>BSGatlas-gene-1954</v>
      </c>
      <c r="C1850" s="1" t="s">
        <v>1845</v>
      </c>
      <c r="D1850" s="1" t="s">
        <v>8</v>
      </c>
      <c r="E1850" s="3">
        <v>1733687</v>
      </c>
      <c r="F1850" s="3">
        <v>1733989</v>
      </c>
      <c r="G1850" s="1" t="s">
        <v>9</v>
      </c>
      <c r="H1850" s="1" t="b">
        <f t="shared" si="68"/>
        <v>1</v>
      </c>
    </row>
    <row r="1851" spans="1:8" ht="21" x14ac:dyDescent="0.25">
      <c r="A1851" s="2" t="str">
        <f t="shared" si="71"/>
        <v>BSGatlas-operon-945</v>
      </c>
      <c r="B1851" s="2" t="str">
        <f>HYPERLINK("https://rth.dk/resources/bsgatlas/details.php?id=BSGatlas-gene-1955","BSGatlas-gene-1955")</f>
        <v>BSGatlas-gene-1955</v>
      </c>
      <c r="C1851" s="1" t="s">
        <v>1846</v>
      </c>
      <c r="D1851" s="1" t="s">
        <v>8</v>
      </c>
      <c r="E1851" s="3">
        <v>1734009</v>
      </c>
      <c r="F1851" s="3">
        <v>1736159</v>
      </c>
      <c r="G1851" s="1" t="s">
        <v>9</v>
      </c>
      <c r="H1851" s="1" t="b">
        <f t="shared" si="68"/>
        <v>1</v>
      </c>
    </row>
    <row r="1852" spans="1:8" ht="21" x14ac:dyDescent="0.25">
      <c r="A1852" s="2" t="str">
        <f t="shared" si="71"/>
        <v>BSGatlas-operon-945</v>
      </c>
      <c r="B1852" s="2" t="str">
        <f>HYPERLINK("https://rth.dk/resources/bsgatlas/details.php?id=BSGatlas-gene-1956","BSGatlas-gene-1956")</f>
        <v>BSGatlas-gene-1956</v>
      </c>
      <c r="C1852" s="1" t="s">
        <v>1847</v>
      </c>
      <c r="D1852" s="1" t="s">
        <v>8</v>
      </c>
      <c r="E1852" s="3">
        <v>1736156</v>
      </c>
      <c r="F1852" s="3">
        <v>1736434</v>
      </c>
      <c r="G1852" s="1" t="s">
        <v>9</v>
      </c>
      <c r="H1852" s="1" t="b">
        <f t="shared" si="68"/>
        <v>1</v>
      </c>
    </row>
    <row r="1853" spans="1:8" ht="21" x14ac:dyDescent="0.25">
      <c r="A1853" s="2" t="str">
        <f t="shared" si="71"/>
        <v>BSGatlas-operon-945</v>
      </c>
      <c r="B1853" s="2" t="str">
        <f>HYPERLINK("https://rth.dk/resources/bsgatlas/details.php?id=BSGatlas-gene-1957","BSGatlas-gene-1957")</f>
        <v>BSGatlas-gene-1957</v>
      </c>
      <c r="C1853" s="1" t="s">
        <v>1848</v>
      </c>
      <c r="D1853" s="1" t="s">
        <v>8</v>
      </c>
      <c r="E1853" s="3">
        <v>1736451</v>
      </c>
      <c r="F1853" s="3">
        <v>1736804</v>
      </c>
      <c r="G1853" s="1" t="s">
        <v>9</v>
      </c>
      <c r="H1853" s="1" t="b">
        <f t="shared" si="68"/>
        <v>1</v>
      </c>
    </row>
    <row r="1854" spans="1:8" ht="21" x14ac:dyDescent="0.25">
      <c r="A1854" s="2" t="str">
        <f>HYPERLINK("https://rth.dk/resources/bsgatlas/details.php?id=BSGatlas-operon-946","BSGatlas-operon-946")</f>
        <v>BSGatlas-operon-946</v>
      </c>
      <c r="B1854" s="2" t="str">
        <f>HYPERLINK("https://rth.dk/resources/bsgatlas/details.php?id=BSGatlas-gene-1959","BSGatlas-gene-1959")</f>
        <v>BSGatlas-gene-1959</v>
      </c>
      <c r="C1854" s="1" t="s">
        <v>1849</v>
      </c>
      <c r="D1854" s="1" t="s">
        <v>8</v>
      </c>
      <c r="E1854" s="3">
        <v>1737834</v>
      </c>
      <c r="F1854" s="3">
        <v>1738784</v>
      </c>
      <c r="G1854" s="1" t="s">
        <v>9</v>
      </c>
      <c r="H1854" s="1" t="b">
        <f t="shared" si="68"/>
        <v>0</v>
      </c>
    </row>
    <row r="1855" spans="1:8" ht="21" x14ac:dyDescent="0.25">
      <c r="A1855" s="2" t="str">
        <f>HYPERLINK("https://rth.dk/resources/bsgatlas/details.php?id=BSGatlas-operon-946","BSGatlas-operon-946")</f>
        <v>BSGatlas-operon-946</v>
      </c>
      <c r="B1855" s="2" t="str">
        <f>HYPERLINK("https://rth.dk/resources/bsgatlas/details.php?id=BSGatlas-gene-1960","BSGatlas-gene-1960")</f>
        <v>BSGatlas-gene-1960</v>
      </c>
      <c r="C1855" s="1" t="s">
        <v>1850</v>
      </c>
      <c r="D1855" s="1" t="s">
        <v>8</v>
      </c>
      <c r="E1855" s="3">
        <v>1738941</v>
      </c>
      <c r="F1855" s="3">
        <v>1739210</v>
      </c>
      <c r="G1855" s="1" t="s">
        <v>9</v>
      </c>
      <c r="H1855" s="1" t="b">
        <f t="shared" si="68"/>
        <v>0</v>
      </c>
    </row>
    <row r="1856" spans="1:8" ht="21" x14ac:dyDescent="0.25">
      <c r="A1856" s="2" t="str">
        <f>HYPERLINK("https://rth.dk/resources/bsgatlas/details.php?id=BSGatlas-operon-947","BSGatlas-operon-947")</f>
        <v>BSGatlas-operon-947</v>
      </c>
      <c r="B1856" s="2" t="str">
        <f>HYPERLINK("https://rth.dk/resources/bsgatlas/details.php?id=BSGatlas-gene-1962","BSGatlas-gene-1962")</f>
        <v>BSGatlas-gene-1962</v>
      </c>
      <c r="C1856" s="1" t="s">
        <v>1851</v>
      </c>
      <c r="D1856" s="1" t="s">
        <v>8</v>
      </c>
      <c r="E1856" s="3">
        <v>1739383</v>
      </c>
      <c r="F1856" s="3">
        <v>1741500</v>
      </c>
      <c r="G1856" s="1" t="s">
        <v>9</v>
      </c>
      <c r="H1856" s="1" t="b">
        <f t="shared" si="68"/>
        <v>1</v>
      </c>
    </row>
    <row r="1857" spans="1:8" ht="21" x14ac:dyDescent="0.25">
      <c r="A1857" s="2" t="str">
        <f>HYPERLINK("https://rth.dk/resources/bsgatlas/details.php?id=BSGatlas-operon-948","BSGatlas-operon-948")</f>
        <v>BSGatlas-operon-948</v>
      </c>
      <c r="B1857" s="2" t="str">
        <f>HYPERLINK("https://rth.dk/resources/bsgatlas/details.php?id=BSGatlas-gene-1964","BSGatlas-gene-1964")</f>
        <v>BSGatlas-gene-1964</v>
      </c>
      <c r="C1857" s="1" t="s">
        <v>1852</v>
      </c>
      <c r="D1857" s="1" t="s">
        <v>8</v>
      </c>
      <c r="E1857" s="3">
        <v>1742617</v>
      </c>
      <c r="F1857" s="3">
        <v>1743846</v>
      </c>
      <c r="G1857" s="1" t="s">
        <v>9</v>
      </c>
      <c r="H1857" s="1" t="b">
        <f t="shared" si="68"/>
        <v>0</v>
      </c>
    </row>
    <row r="1858" spans="1:8" ht="21" x14ac:dyDescent="0.25">
      <c r="A1858" s="2" t="str">
        <f>HYPERLINK("https://rth.dk/resources/bsgatlas/details.php?id=BSGatlas-operon-949","BSGatlas-operon-949")</f>
        <v>BSGatlas-operon-949</v>
      </c>
      <c r="B1858" s="2" t="str">
        <f>HYPERLINK("https://rth.dk/resources/bsgatlas/details.php?id=BSGatlas-gene-1965","BSGatlas-gene-1965")</f>
        <v>BSGatlas-gene-1965</v>
      </c>
      <c r="C1858" s="1" t="s">
        <v>1853</v>
      </c>
      <c r="D1858" s="1" t="s">
        <v>8</v>
      </c>
      <c r="E1858" s="3">
        <v>1743924</v>
      </c>
      <c r="F1858" s="3">
        <v>1744181</v>
      </c>
      <c r="G1858" s="1" t="s">
        <v>9</v>
      </c>
      <c r="H1858" s="1" t="b">
        <f t="shared" ref="H1858:H1921" si="72">_xlfn.XOR(A1857&lt;&gt;A1858,H1857)</f>
        <v>1</v>
      </c>
    </row>
    <row r="1859" spans="1:8" ht="21" x14ac:dyDescent="0.25">
      <c r="A1859" s="2" t="str">
        <f>HYPERLINK("https://rth.dk/resources/bsgatlas/details.php?id=BSGatlas-operon-950","BSGatlas-operon-950")</f>
        <v>BSGatlas-operon-950</v>
      </c>
      <c r="B1859" s="2" t="str">
        <f>HYPERLINK("https://rth.dk/resources/bsgatlas/details.php?id=BSGatlas-gene-1966","BSGatlas-gene-1966")</f>
        <v>BSGatlas-gene-1966</v>
      </c>
      <c r="C1859" s="1" t="s">
        <v>1854</v>
      </c>
      <c r="D1859" s="1" t="s">
        <v>8</v>
      </c>
      <c r="E1859" s="3">
        <v>1744367</v>
      </c>
      <c r="F1859" s="3">
        <v>1745260</v>
      </c>
      <c r="G1859" s="1" t="s">
        <v>9</v>
      </c>
      <c r="H1859" s="1" t="b">
        <f t="shared" si="72"/>
        <v>0</v>
      </c>
    </row>
    <row r="1860" spans="1:8" ht="21" x14ac:dyDescent="0.25">
      <c r="A1860" s="2" t="str">
        <f>HYPERLINK("https://rth.dk/resources/bsgatlas/details.php?id=BSGatlas-operon-950","BSGatlas-operon-950")</f>
        <v>BSGatlas-operon-950</v>
      </c>
      <c r="B1860" s="2" t="str">
        <f>HYPERLINK("https://rth.dk/resources/bsgatlas/details.php?id=BSGatlas-gene-1967","BSGatlas-gene-1967")</f>
        <v>BSGatlas-gene-1967</v>
      </c>
      <c r="C1860" s="1" t="s">
        <v>1855</v>
      </c>
      <c r="D1860" s="1" t="s">
        <v>8</v>
      </c>
      <c r="E1860" s="3">
        <v>1745263</v>
      </c>
      <c r="F1860" s="3">
        <v>1745865</v>
      </c>
      <c r="G1860" s="1" t="s">
        <v>9</v>
      </c>
      <c r="H1860" s="1" t="b">
        <f t="shared" si="72"/>
        <v>0</v>
      </c>
    </row>
    <row r="1861" spans="1:8" ht="21" x14ac:dyDescent="0.25">
      <c r="A1861" s="2" t="str">
        <f>HYPERLINK("https://rth.dk/resources/bsgatlas/details.php?id=BSGatlas-operon-950","BSGatlas-operon-950")</f>
        <v>BSGatlas-operon-950</v>
      </c>
      <c r="B1861" s="2" t="str">
        <f>HYPERLINK("https://rth.dk/resources/bsgatlas/details.php?id=BSGatlas-gene-1968","BSGatlas-gene-1968")</f>
        <v>BSGatlas-gene-1968</v>
      </c>
      <c r="C1861" s="1" t="s">
        <v>1856</v>
      </c>
      <c r="D1861" s="1" t="s">
        <v>8</v>
      </c>
      <c r="E1861" s="3">
        <v>1745991</v>
      </c>
      <c r="F1861" s="3">
        <v>1747031</v>
      </c>
      <c r="G1861" s="1" t="s">
        <v>9</v>
      </c>
      <c r="H1861" s="1" t="b">
        <f t="shared" si="72"/>
        <v>0</v>
      </c>
    </row>
    <row r="1862" spans="1:8" ht="21" x14ac:dyDescent="0.25">
      <c r="A1862" s="2" t="str">
        <f>HYPERLINK("https://rth.dk/resources/bsgatlas/details.php?id=BSGatlas-operon-950","BSGatlas-operon-950")</f>
        <v>BSGatlas-operon-950</v>
      </c>
      <c r="B1862" s="2" t="str">
        <f>HYPERLINK("https://rth.dk/resources/bsgatlas/details.php?id=BSGatlas-gene-1969","BSGatlas-gene-1969")</f>
        <v>BSGatlas-gene-1969</v>
      </c>
      <c r="C1862" s="1" t="s">
        <v>1857</v>
      </c>
      <c r="D1862" s="1" t="s">
        <v>8</v>
      </c>
      <c r="E1862" s="3">
        <v>1747123</v>
      </c>
      <c r="F1862" s="3">
        <v>1748337</v>
      </c>
      <c r="G1862" s="1" t="s">
        <v>9</v>
      </c>
      <c r="H1862" s="1" t="b">
        <f t="shared" si="72"/>
        <v>0</v>
      </c>
    </row>
    <row r="1863" spans="1:8" ht="21" x14ac:dyDescent="0.25">
      <c r="A1863" s="2" t="str">
        <f>HYPERLINK("https://rth.dk/resources/bsgatlas/details.php?id=BSGatlas-operon-950","BSGatlas-operon-950")</f>
        <v>BSGatlas-operon-950</v>
      </c>
      <c r="B1863" s="2" t="str">
        <f>HYPERLINK("https://rth.dk/resources/bsgatlas/details.php?id=BSGatlas-gene-1970","BSGatlas-gene-1970")</f>
        <v>BSGatlas-gene-1970</v>
      </c>
      <c r="C1863" s="1" t="s">
        <v>1858</v>
      </c>
      <c r="D1863" s="1" t="s">
        <v>8</v>
      </c>
      <c r="E1863" s="3">
        <v>1748368</v>
      </c>
      <c r="F1863" s="3">
        <v>1749240</v>
      </c>
      <c r="G1863" s="1" t="s">
        <v>9</v>
      </c>
      <c r="H1863" s="1" t="b">
        <f t="shared" si="72"/>
        <v>0</v>
      </c>
    </row>
    <row r="1864" spans="1:8" ht="21" x14ac:dyDescent="0.25">
      <c r="A1864" s="2" t="str">
        <f>HYPERLINK("https://rth.dk/resources/bsgatlas/details.php?id=BSGatlas-operon-951","BSGatlas-operon-951")</f>
        <v>BSGatlas-operon-951</v>
      </c>
      <c r="B1864" s="2" t="str">
        <f>HYPERLINK("https://rth.dk/resources/bsgatlas/details.php?id=BSGatlas-gene-1971","BSGatlas-gene-1971")</f>
        <v>BSGatlas-gene-1971</v>
      </c>
      <c r="C1864" s="1" t="s">
        <v>1859</v>
      </c>
      <c r="D1864" s="1" t="s">
        <v>12</v>
      </c>
      <c r="E1864" s="3">
        <v>1748711</v>
      </c>
      <c r="F1864" s="3">
        <v>1749895</v>
      </c>
      <c r="G1864" s="1" t="s">
        <v>13</v>
      </c>
      <c r="H1864" s="1" t="b">
        <f t="shared" si="72"/>
        <v>1</v>
      </c>
    </row>
    <row r="1865" spans="1:8" ht="21" x14ac:dyDescent="0.25">
      <c r="A1865" s="2" t="str">
        <f>HYPERLINK("https://rth.dk/resources/bsgatlas/details.php?id=BSGatlas-operon-952","BSGatlas-operon-952")</f>
        <v>BSGatlas-operon-952</v>
      </c>
      <c r="B1865" s="2" t="str">
        <f>HYPERLINK("https://rth.dk/resources/bsgatlas/details.php?id=BSGatlas-gene-1972","BSGatlas-gene-1972")</f>
        <v>BSGatlas-gene-1972</v>
      </c>
      <c r="C1865" s="1" t="s">
        <v>1860</v>
      </c>
      <c r="D1865" s="1" t="s">
        <v>8</v>
      </c>
      <c r="E1865" s="3">
        <v>1749418</v>
      </c>
      <c r="F1865" s="3">
        <v>1751085</v>
      </c>
      <c r="G1865" s="1" t="s">
        <v>9</v>
      </c>
      <c r="H1865" s="1" t="b">
        <f t="shared" si="72"/>
        <v>0</v>
      </c>
    </row>
    <row r="1866" spans="1:8" ht="21" x14ac:dyDescent="0.25">
      <c r="A1866" s="2" t="str">
        <f>HYPERLINK("https://rth.dk/resources/bsgatlas/details.php?id=BSGatlas-operon-953","BSGatlas-operon-953")</f>
        <v>BSGatlas-operon-953</v>
      </c>
      <c r="B1866" s="2" t="str">
        <f>HYPERLINK("https://rth.dk/resources/bsgatlas/details.php?id=BSGatlas-gene-1973","BSGatlas-gene-1973")</f>
        <v>BSGatlas-gene-1973</v>
      </c>
      <c r="C1866" s="1" t="s">
        <v>1861</v>
      </c>
      <c r="D1866" s="1" t="s">
        <v>8</v>
      </c>
      <c r="E1866" s="3">
        <v>1751201</v>
      </c>
      <c r="F1866" s="3">
        <v>1751938</v>
      </c>
      <c r="G1866" s="1" t="s">
        <v>9</v>
      </c>
      <c r="H1866" s="1" t="b">
        <f t="shared" si="72"/>
        <v>1</v>
      </c>
    </row>
    <row r="1867" spans="1:8" ht="21" x14ac:dyDescent="0.25">
      <c r="A1867" s="2" t="str">
        <f>HYPERLINK("https://rth.dk/resources/bsgatlas/details.php?id=BSGatlas-operon-953","BSGatlas-operon-953")</f>
        <v>BSGatlas-operon-953</v>
      </c>
      <c r="B1867" s="2" t="str">
        <f>HYPERLINK("https://rth.dk/resources/bsgatlas/details.php?id=BSGatlas-gene-1974","BSGatlas-gene-1974")</f>
        <v>BSGatlas-gene-1974</v>
      </c>
      <c r="C1867" s="1" t="s">
        <v>1862</v>
      </c>
      <c r="D1867" s="1" t="s">
        <v>8</v>
      </c>
      <c r="E1867" s="3">
        <v>1751935</v>
      </c>
      <c r="F1867" s="3">
        <v>1752147</v>
      </c>
      <c r="G1867" s="1" t="s">
        <v>9</v>
      </c>
      <c r="H1867" s="1" t="b">
        <f t="shared" si="72"/>
        <v>1</v>
      </c>
    </row>
    <row r="1868" spans="1:8" ht="21" x14ac:dyDescent="0.25">
      <c r="A1868" s="2" t="str">
        <f>HYPERLINK("https://rth.dk/resources/bsgatlas/details.php?id=BSGatlas-operon-954","BSGatlas-operon-954")</f>
        <v>BSGatlas-operon-954</v>
      </c>
      <c r="B1868" s="2" t="str">
        <f>HYPERLINK("https://rth.dk/resources/bsgatlas/details.php?id=BSGatlas-gene-1975","BSGatlas-gene-1975")</f>
        <v>BSGatlas-gene-1975</v>
      </c>
      <c r="C1868" s="1" t="s">
        <v>1863</v>
      </c>
      <c r="D1868" s="1" t="s">
        <v>8</v>
      </c>
      <c r="E1868" s="3">
        <v>1752278</v>
      </c>
      <c r="F1868" s="3">
        <v>1754641</v>
      </c>
      <c r="G1868" s="1" t="s">
        <v>9</v>
      </c>
      <c r="H1868" s="1" t="b">
        <f t="shared" si="72"/>
        <v>0</v>
      </c>
    </row>
    <row r="1869" spans="1:8" ht="21" x14ac:dyDescent="0.25">
      <c r="A1869" s="2" t="str">
        <f>HYPERLINK("https://rth.dk/resources/bsgatlas/details.php?id=BSGatlas-operon-954","BSGatlas-operon-954")</f>
        <v>BSGatlas-operon-954</v>
      </c>
      <c r="B1869" s="2" t="str">
        <f>HYPERLINK("https://rth.dk/resources/bsgatlas/details.php?id=BSGatlas-gene-1976","BSGatlas-gene-1976")</f>
        <v>BSGatlas-gene-1976</v>
      </c>
      <c r="C1869" s="1" t="s">
        <v>1864</v>
      </c>
      <c r="D1869" s="1" t="s">
        <v>8</v>
      </c>
      <c r="E1869" s="3">
        <v>1754785</v>
      </c>
      <c r="F1869" s="3">
        <v>1755510</v>
      </c>
      <c r="G1869" s="1" t="s">
        <v>9</v>
      </c>
      <c r="H1869" s="1" t="b">
        <f t="shared" si="72"/>
        <v>0</v>
      </c>
    </row>
    <row r="1870" spans="1:8" ht="21" x14ac:dyDescent="0.25">
      <c r="A1870" s="2" t="str">
        <f>HYPERLINK("https://rth.dk/resources/bsgatlas/details.php?id=BSGatlas-operon-955","BSGatlas-operon-955")</f>
        <v>BSGatlas-operon-955</v>
      </c>
      <c r="B1870" s="2" t="str">
        <f>HYPERLINK("https://rth.dk/resources/bsgatlas/details.php?id=BSGatlas-gene-1977","BSGatlas-gene-1977")</f>
        <v>BSGatlas-gene-1977</v>
      </c>
      <c r="C1870" s="1" t="s">
        <v>1865</v>
      </c>
      <c r="D1870" s="1" t="s">
        <v>8</v>
      </c>
      <c r="E1870" s="3">
        <v>1755649</v>
      </c>
      <c r="F1870" s="3">
        <v>1756857</v>
      </c>
      <c r="G1870" s="1" t="s">
        <v>9</v>
      </c>
      <c r="H1870" s="1" t="b">
        <f t="shared" si="72"/>
        <v>1</v>
      </c>
    </row>
    <row r="1871" spans="1:8" ht="21" x14ac:dyDescent="0.25">
      <c r="A1871" s="2" t="str">
        <f>HYPERLINK("https://rth.dk/resources/bsgatlas/details.php?id=BSGatlas-operon-955","BSGatlas-operon-955")</f>
        <v>BSGatlas-operon-955</v>
      </c>
      <c r="B1871" s="2" t="str">
        <f>HYPERLINK("https://rth.dk/resources/bsgatlas/details.php?id=BSGatlas-gene-1978","BSGatlas-gene-1978")</f>
        <v>BSGatlas-gene-1978</v>
      </c>
      <c r="C1871" s="1" t="s">
        <v>1866</v>
      </c>
      <c r="D1871" s="1" t="s">
        <v>8</v>
      </c>
      <c r="E1871" s="3">
        <v>1757037</v>
      </c>
      <c r="F1871" s="3">
        <v>1758317</v>
      </c>
      <c r="G1871" s="1" t="s">
        <v>9</v>
      </c>
      <c r="H1871" s="1" t="b">
        <f t="shared" si="72"/>
        <v>1</v>
      </c>
    </row>
    <row r="1872" spans="1:8" ht="21" x14ac:dyDescent="0.25">
      <c r="A1872" s="2" t="str">
        <f>HYPERLINK("https://rth.dk/resources/bsgatlas/details.php?id=BSGatlas-operon-955","BSGatlas-operon-955")</f>
        <v>BSGatlas-operon-955</v>
      </c>
      <c r="B1872" s="2" t="str">
        <f>HYPERLINK("https://rth.dk/resources/bsgatlas/details.php?id=BSGatlas-gene-1979","BSGatlas-gene-1979")</f>
        <v>BSGatlas-gene-1979</v>
      </c>
      <c r="C1872" s="1" t="s">
        <v>1867</v>
      </c>
      <c r="D1872" s="1" t="s">
        <v>8</v>
      </c>
      <c r="E1872" s="3">
        <v>1758314</v>
      </c>
      <c r="F1872" s="3">
        <v>1759600</v>
      </c>
      <c r="G1872" s="1" t="s">
        <v>9</v>
      </c>
      <c r="H1872" s="1" t="b">
        <f t="shared" si="72"/>
        <v>1</v>
      </c>
    </row>
    <row r="1873" spans="1:8" ht="21" x14ac:dyDescent="0.25">
      <c r="A1873" s="2" t="str">
        <f>HYPERLINK("https://rth.dk/resources/bsgatlas/details.php?id=BSGatlas-operon-956","BSGatlas-operon-956")</f>
        <v>BSGatlas-operon-956</v>
      </c>
      <c r="B1873" s="2" t="str">
        <f>HYPERLINK("https://rth.dk/resources/bsgatlas/details.php?id=BSGatlas-gene-1981","BSGatlas-gene-1981")</f>
        <v>BSGatlas-gene-1981</v>
      </c>
      <c r="C1873" s="1" t="s">
        <v>1868</v>
      </c>
      <c r="D1873" s="1" t="s">
        <v>8</v>
      </c>
      <c r="E1873" s="3">
        <v>1760464</v>
      </c>
      <c r="F1873" s="3">
        <v>1760721</v>
      </c>
      <c r="G1873" s="1" t="s">
        <v>9</v>
      </c>
      <c r="H1873" s="1" t="b">
        <f t="shared" si="72"/>
        <v>0</v>
      </c>
    </row>
    <row r="1874" spans="1:8" ht="21" x14ac:dyDescent="0.25">
      <c r="A1874" s="2" t="str">
        <f>HYPERLINK("https://rth.dk/resources/bsgatlas/details.php?id=BSGatlas-operon-957","BSGatlas-operon-957")</f>
        <v>BSGatlas-operon-957</v>
      </c>
      <c r="B1874" s="2" t="str">
        <f>HYPERLINK("https://rth.dk/resources/bsgatlas/details.php?id=BSGatlas-gene-1982","BSGatlas-gene-1982")</f>
        <v>BSGatlas-gene-1982</v>
      </c>
      <c r="C1874" s="1" t="s">
        <v>1869</v>
      </c>
      <c r="D1874" s="1" t="s">
        <v>276</v>
      </c>
      <c r="E1874" s="3">
        <v>1760851</v>
      </c>
      <c r="F1874" s="3">
        <v>1761303</v>
      </c>
      <c r="G1874" s="1" t="s">
        <v>9</v>
      </c>
      <c r="H1874" s="1" t="b">
        <f t="shared" si="72"/>
        <v>1</v>
      </c>
    </row>
    <row r="1875" spans="1:8" ht="21" x14ac:dyDescent="0.25">
      <c r="A1875" s="2" t="str">
        <f>HYPERLINK("https://rth.dk/resources/bsgatlas/details.php?id=BSGatlas-operon-957","BSGatlas-operon-957")</f>
        <v>BSGatlas-operon-957</v>
      </c>
      <c r="B1875" s="2" t="str">
        <f>HYPERLINK("https://rth.dk/resources/bsgatlas/details.php?id=BSGatlas-gene-1983","BSGatlas-gene-1983")</f>
        <v>BSGatlas-gene-1983</v>
      </c>
      <c r="C1875" s="1" t="s">
        <v>1870</v>
      </c>
      <c r="D1875" s="1" t="s">
        <v>276</v>
      </c>
      <c r="E1875" s="3">
        <v>1761302</v>
      </c>
      <c r="F1875" s="3">
        <v>1761640</v>
      </c>
      <c r="G1875" s="1" t="s">
        <v>9</v>
      </c>
      <c r="H1875" s="1" t="b">
        <f t="shared" si="72"/>
        <v>1</v>
      </c>
    </row>
    <row r="1876" spans="1:8" ht="21" x14ac:dyDescent="0.25">
      <c r="A1876" s="2" t="str">
        <f>HYPERLINK("https://rth.dk/resources/bsgatlas/details.php?id=BSGatlas-operon-957","BSGatlas-operon-957")</f>
        <v>BSGatlas-operon-957</v>
      </c>
      <c r="B1876" s="2" t="str">
        <f>HYPERLINK("https://rth.dk/resources/bsgatlas/details.php?id=BSGatlas-gene-1984","BSGatlas-gene-1984")</f>
        <v>BSGatlas-gene-1984</v>
      </c>
      <c r="C1876" s="1" t="s">
        <v>1871</v>
      </c>
      <c r="D1876" s="1" t="s">
        <v>8</v>
      </c>
      <c r="E1876" s="3">
        <v>1761707</v>
      </c>
      <c r="F1876" s="3">
        <v>1762573</v>
      </c>
      <c r="G1876" s="1" t="s">
        <v>9</v>
      </c>
      <c r="H1876" s="1" t="b">
        <f t="shared" si="72"/>
        <v>1</v>
      </c>
    </row>
    <row r="1877" spans="1:8" ht="21" x14ac:dyDescent="0.25">
      <c r="A1877" s="2" t="str">
        <f>HYPERLINK("https://rth.dk/resources/bsgatlas/details.php?id=BSGatlas-operon-957","BSGatlas-operon-957")</f>
        <v>BSGatlas-operon-957</v>
      </c>
      <c r="B1877" s="2" t="str">
        <f>HYPERLINK("https://rth.dk/resources/bsgatlas/details.php?id=BSGatlas-gene-1985","BSGatlas-gene-1985")</f>
        <v>BSGatlas-gene-1985</v>
      </c>
      <c r="C1877" s="1" t="s">
        <v>1872</v>
      </c>
      <c r="D1877" s="1" t="s">
        <v>8</v>
      </c>
      <c r="E1877" s="3">
        <v>1762623</v>
      </c>
      <c r="F1877" s="3">
        <v>1763204</v>
      </c>
      <c r="G1877" s="1" t="s">
        <v>9</v>
      </c>
      <c r="H1877" s="1" t="b">
        <f t="shared" si="72"/>
        <v>1</v>
      </c>
    </row>
    <row r="1878" spans="1:8" ht="21" x14ac:dyDescent="0.25">
      <c r="A1878" s="2" t="str">
        <f>HYPERLINK("https://rth.dk/resources/bsgatlas/details.php?id=BSGatlas-operon-958","BSGatlas-operon-958")</f>
        <v>BSGatlas-operon-958</v>
      </c>
      <c r="B1878" s="2" t="str">
        <f>HYPERLINK("https://rth.dk/resources/bsgatlas/details.php?id=BSGatlas-gene-1987","BSGatlas-gene-1987")</f>
        <v>BSGatlas-gene-1987</v>
      </c>
      <c r="C1878" s="1" t="s">
        <v>1873</v>
      </c>
      <c r="D1878" s="1" t="s">
        <v>8</v>
      </c>
      <c r="E1878" s="3">
        <v>1764645</v>
      </c>
      <c r="F1878" s="3">
        <v>1765691</v>
      </c>
      <c r="G1878" s="1" t="s">
        <v>9</v>
      </c>
      <c r="H1878" s="1" t="b">
        <f t="shared" si="72"/>
        <v>0</v>
      </c>
    </row>
    <row r="1879" spans="1:8" ht="21" x14ac:dyDescent="0.25">
      <c r="A1879" s="2" t="str">
        <f>HYPERLINK("https://rth.dk/resources/bsgatlas/details.php?id=BSGatlas-operon-959","BSGatlas-operon-959")</f>
        <v>BSGatlas-operon-959</v>
      </c>
      <c r="B1879" s="2" t="str">
        <f>HYPERLINK("https://rth.dk/resources/bsgatlas/details.php?id=BSGatlas-gene-1988","BSGatlas-gene-1988")</f>
        <v>BSGatlas-gene-1988</v>
      </c>
      <c r="C1879" s="1" t="s">
        <v>1874</v>
      </c>
      <c r="D1879" s="1" t="s">
        <v>8</v>
      </c>
      <c r="E1879" s="3">
        <v>1765859</v>
      </c>
      <c r="F1879" s="3">
        <v>1767034</v>
      </c>
      <c r="G1879" s="1" t="s">
        <v>9</v>
      </c>
      <c r="H1879" s="1" t="b">
        <f t="shared" si="72"/>
        <v>1</v>
      </c>
    </row>
    <row r="1880" spans="1:8" ht="21" x14ac:dyDescent="0.25">
      <c r="A1880" s="2" t="str">
        <f>HYPERLINK("https://rth.dk/resources/bsgatlas/details.php?id=BSGatlas-operon-960","BSGatlas-operon-960")</f>
        <v>BSGatlas-operon-960</v>
      </c>
      <c r="B1880" s="2" t="str">
        <f>HYPERLINK("https://rth.dk/resources/bsgatlas/details.php?id=BSGatlas-gene-1989","BSGatlas-gene-1989")</f>
        <v>BSGatlas-gene-1989</v>
      </c>
      <c r="C1880" s="1" t="s">
        <v>1875</v>
      </c>
      <c r="D1880" s="1" t="s">
        <v>8</v>
      </c>
      <c r="E1880" s="3">
        <v>1767310</v>
      </c>
      <c r="F1880" s="3">
        <v>1768872</v>
      </c>
      <c r="G1880" s="1" t="s">
        <v>9</v>
      </c>
      <c r="H1880" s="1" t="b">
        <f t="shared" si="72"/>
        <v>0</v>
      </c>
    </row>
    <row r="1881" spans="1:8" ht="21" x14ac:dyDescent="0.25">
      <c r="A1881" s="2" t="str">
        <f>HYPERLINK("https://rth.dk/resources/bsgatlas/details.php?id=BSGatlas-operon-960","BSGatlas-operon-960")</f>
        <v>BSGatlas-operon-960</v>
      </c>
      <c r="B1881" s="2" t="str">
        <f>HYPERLINK("https://rth.dk/resources/bsgatlas/details.php?id=BSGatlas-gene-1990","BSGatlas-gene-1990")</f>
        <v>BSGatlas-gene-1990</v>
      </c>
      <c r="C1881" s="1" t="s">
        <v>1876</v>
      </c>
      <c r="D1881" s="1" t="s">
        <v>8</v>
      </c>
      <c r="E1881" s="3">
        <v>1768941</v>
      </c>
      <c r="F1881" s="3">
        <v>1769735</v>
      </c>
      <c r="G1881" s="1" t="s">
        <v>9</v>
      </c>
      <c r="H1881" s="1" t="b">
        <f t="shared" si="72"/>
        <v>0</v>
      </c>
    </row>
    <row r="1882" spans="1:8" ht="21" x14ac:dyDescent="0.25">
      <c r="A1882" s="2" t="str">
        <f>HYPERLINK("https://rth.dk/resources/bsgatlas/details.php?id=BSGatlas-operon-961","BSGatlas-operon-961")</f>
        <v>BSGatlas-operon-961</v>
      </c>
      <c r="B1882" s="2" t="str">
        <f>HYPERLINK("https://rth.dk/resources/bsgatlas/details.php?id=BSGatlas-gene-1991","BSGatlas-gene-1991")</f>
        <v>BSGatlas-gene-1991</v>
      </c>
      <c r="C1882" s="1" t="s">
        <v>1877</v>
      </c>
      <c r="D1882" s="1" t="s">
        <v>8</v>
      </c>
      <c r="E1882" s="3">
        <v>1769935</v>
      </c>
      <c r="F1882" s="3">
        <v>1770195</v>
      </c>
      <c r="G1882" s="1" t="s">
        <v>9</v>
      </c>
      <c r="H1882" s="1" t="b">
        <f t="shared" si="72"/>
        <v>1</v>
      </c>
    </row>
    <row r="1883" spans="1:8" ht="21" x14ac:dyDescent="0.25">
      <c r="A1883" s="2" t="str">
        <f>HYPERLINK("https://rth.dk/resources/bsgatlas/details.php?id=BSGatlas-operon-962","BSGatlas-operon-962")</f>
        <v>BSGatlas-operon-962</v>
      </c>
      <c r="B1883" s="2" t="str">
        <f>HYPERLINK("https://rth.dk/resources/bsgatlas/details.php?id=BSGatlas-gene-1992","BSGatlas-gene-1992")</f>
        <v>BSGatlas-gene-1992</v>
      </c>
      <c r="C1883" s="1" t="s">
        <v>1878</v>
      </c>
      <c r="D1883" s="1" t="s">
        <v>8</v>
      </c>
      <c r="E1883" s="3">
        <v>1770461</v>
      </c>
      <c r="F1883" s="3">
        <v>1771504</v>
      </c>
      <c r="G1883" s="1" t="s">
        <v>9</v>
      </c>
      <c r="H1883" s="1" t="b">
        <f t="shared" si="72"/>
        <v>0</v>
      </c>
    </row>
    <row r="1884" spans="1:8" ht="21" x14ac:dyDescent="0.25">
      <c r="A1884" s="2" t="str">
        <f>HYPERLINK("https://rth.dk/resources/bsgatlas/details.php?id=BSGatlas-operon-962","BSGatlas-operon-962")</f>
        <v>BSGatlas-operon-962</v>
      </c>
      <c r="B1884" s="2" t="str">
        <f>HYPERLINK("https://rth.dk/resources/bsgatlas/details.php?id=BSGatlas-gene-1993","BSGatlas-gene-1993")</f>
        <v>BSGatlas-gene-1993</v>
      </c>
      <c r="C1884" s="1" t="s">
        <v>1879</v>
      </c>
      <c r="D1884" s="1" t="s">
        <v>8</v>
      </c>
      <c r="E1884" s="3">
        <v>1771517</v>
      </c>
      <c r="F1884" s="3">
        <v>1772695</v>
      </c>
      <c r="G1884" s="1" t="s">
        <v>9</v>
      </c>
      <c r="H1884" s="1" t="b">
        <f t="shared" si="72"/>
        <v>0</v>
      </c>
    </row>
    <row r="1885" spans="1:8" ht="21" x14ac:dyDescent="0.25">
      <c r="A1885" s="2" t="str">
        <f>HYPERLINK("https://rth.dk/resources/bsgatlas/details.php?id=BSGatlas-operon-963","BSGatlas-operon-963")</f>
        <v>BSGatlas-operon-963</v>
      </c>
      <c r="B1885" s="2" t="str">
        <f>HYPERLINK("https://rth.dk/resources/bsgatlas/details.php?id=BSGatlas-gene-1994","BSGatlas-gene-1994")</f>
        <v>BSGatlas-gene-1994</v>
      </c>
      <c r="C1885" s="1" t="s">
        <v>1880</v>
      </c>
      <c r="D1885" s="1" t="s">
        <v>8</v>
      </c>
      <c r="E1885" s="3">
        <v>1772843</v>
      </c>
      <c r="F1885" s="3">
        <v>1774372</v>
      </c>
      <c r="G1885" s="1" t="s">
        <v>9</v>
      </c>
      <c r="H1885" s="1" t="b">
        <f t="shared" si="72"/>
        <v>1</v>
      </c>
    </row>
    <row r="1886" spans="1:8" ht="21" x14ac:dyDescent="0.25">
      <c r="A1886" s="2" t="str">
        <f>HYPERLINK("https://rth.dk/resources/bsgatlas/details.php?id=BSGatlas-operon-963","BSGatlas-operon-963")</f>
        <v>BSGatlas-operon-963</v>
      </c>
      <c r="B1886" s="2" t="str">
        <f>HYPERLINK("https://rth.dk/resources/bsgatlas/details.php?id=BSGatlas-gene-1995","BSGatlas-gene-1995")</f>
        <v>BSGatlas-gene-1995</v>
      </c>
      <c r="C1886" s="1" t="s">
        <v>1881</v>
      </c>
      <c r="D1886" s="1" t="s">
        <v>8</v>
      </c>
      <c r="E1886" s="3">
        <v>1774374</v>
      </c>
      <c r="F1886" s="3">
        <v>1774805</v>
      </c>
      <c r="G1886" s="1" t="s">
        <v>9</v>
      </c>
      <c r="H1886" s="1" t="b">
        <f t="shared" si="72"/>
        <v>1</v>
      </c>
    </row>
    <row r="1887" spans="1:8" ht="21" x14ac:dyDescent="0.25">
      <c r="A1887" s="2" t="str">
        <f>HYPERLINK("https://rth.dk/resources/bsgatlas/details.php?id=BSGatlas-operon-964","BSGatlas-operon-964")</f>
        <v>BSGatlas-operon-964</v>
      </c>
      <c r="B1887" s="2" t="str">
        <f>HYPERLINK("https://rth.dk/resources/bsgatlas/details.php?id=BSGatlas-gene-1996","BSGatlas-gene-1996")</f>
        <v>BSGatlas-gene-1996</v>
      </c>
      <c r="C1887" s="1" t="s">
        <v>1882</v>
      </c>
      <c r="D1887" s="1" t="s">
        <v>8</v>
      </c>
      <c r="E1887" s="3">
        <v>1775067</v>
      </c>
      <c r="F1887" s="3">
        <v>1775612</v>
      </c>
      <c r="G1887" s="1" t="s">
        <v>9</v>
      </c>
      <c r="H1887" s="1" t="b">
        <f t="shared" si="72"/>
        <v>0</v>
      </c>
    </row>
    <row r="1888" spans="1:8" ht="21" x14ac:dyDescent="0.25">
      <c r="A1888" s="2" t="str">
        <f>HYPERLINK("https://rth.dk/resources/bsgatlas/details.php?id=BSGatlas-operon-965","BSGatlas-operon-965")</f>
        <v>BSGatlas-operon-965</v>
      </c>
      <c r="B1888" s="2" t="str">
        <f>HYPERLINK("https://rth.dk/resources/bsgatlas/details.php?id=BSGatlas-gene-1997","BSGatlas-gene-1997")</f>
        <v>BSGatlas-gene-1997</v>
      </c>
      <c r="C1888" s="1" t="s">
        <v>1883</v>
      </c>
      <c r="D1888" s="1" t="s">
        <v>8</v>
      </c>
      <c r="E1888" s="3">
        <v>1775745</v>
      </c>
      <c r="F1888" s="3">
        <v>1778321</v>
      </c>
      <c r="G1888" s="1" t="s">
        <v>9</v>
      </c>
      <c r="H1888" s="1" t="b">
        <f t="shared" si="72"/>
        <v>1</v>
      </c>
    </row>
    <row r="1889" spans="1:8" ht="21" x14ac:dyDescent="0.25">
      <c r="A1889" s="2" t="str">
        <f>HYPERLINK("https://rth.dk/resources/bsgatlas/details.php?id=BSGatlas-operon-965","BSGatlas-operon-965")</f>
        <v>BSGatlas-operon-965</v>
      </c>
      <c r="B1889" s="2" t="str">
        <f>HYPERLINK("https://rth.dk/resources/bsgatlas/details.php?id=BSGatlas-gene-1998","BSGatlas-gene-1998")</f>
        <v>BSGatlas-gene-1998</v>
      </c>
      <c r="C1889" s="1" t="s">
        <v>1884</v>
      </c>
      <c r="D1889" s="1" t="s">
        <v>8</v>
      </c>
      <c r="E1889" s="3">
        <v>1778337</v>
      </c>
      <c r="F1889" s="3">
        <v>1780220</v>
      </c>
      <c r="G1889" s="1" t="s">
        <v>9</v>
      </c>
      <c r="H1889" s="1" t="b">
        <f t="shared" si="72"/>
        <v>1</v>
      </c>
    </row>
    <row r="1890" spans="1:8" ht="21" x14ac:dyDescent="0.25">
      <c r="A1890" s="2" t="str">
        <f>HYPERLINK("https://rth.dk/resources/bsgatlas/details.php?id=BSGatlas-operon-966","BSGatlas-operon-966")</f>
        <v>BSGatlas-operon-966</v>
      </c>
      <c r="B1890" s="2" t="str">
        <f>HYPERLINK("https://rth.dk/resources/bsgatlas/details.php?id=BSGatlas-gene-2000","BSGatlas-gene-2000")</f>
        <v>BSGatlas-gene-2000</v>
      </c>
      <c r="C1890" s="1" t="s">
        <v>1885</v>
      </c>
      <c r="D1890" s="1" t="s">
        <v>55</v>
      </c>
      <c r="E1890" s="3">
        <v>1780404</v>
      </c>
      <c r="F1890" s="3">
        <v>1780554</v>
      </c>
      <c r="G1890" s="1" t="s">
        <v>13</v>
      </c>
      <c r="H1890" s="1" t="b">
        <f t="shared" si="72"/>
        <v>0</v>
      </c>
    </row>
    <row r="1891" spans="1:8" ht="21" x14ac:dyDescent="0.25">
      <c r="A1891" s="2" t="str">
        <f>HYPERLINK("https://rth.dk/resources/bsgatlas/details.php?id=BSGatlas-operon-967","BSGatlas-operon-967")</f>
        <v>BSGatlas-operon-967</v>
      </c>
      <c r="B1891" s="2" t="str">
        <f>HYPERLINK("https://rth.dk/resources/bsgatlas/details.php?id=BSGatlas-gene-1999","BSGatlas-gene-1999")</f>
        <v>BSGatlas-gene-1999</v>
      </c>
      <c r="C1891" s="1" t="s">
        <v>1886</v>
      </c>
      <c r="D1891" s="1" t="s">
        <v>55</v>
      </c>
      <c r="E1891" s="3">
        <v>1780404</v>
      </c>
      <c r="F1891" s="3">
        <v>1780554</v>
      </c>
      <c r="G1891" s="1" t="s">
        <v>9</v>
      </c>
      <c r="H1891" s="1" t="b">
        <f t="shared" si="72"/>
        <v>1</v>
      </c>
    </row>
    <row r="1892" spans="1:8" ht="21" x14ac:dyDescent="0.25">
      <c r="A1892" s="2" t="str">
        <f>HYPERLINK("https://rth.dk/resources/bsgatlas/details.php?id=BSGatlas-operon-968","BSGatlas-operon-968")</f>
        <v>BSGatlas-operon-968</v>
      </c>
      <c r="B1892" s="2" t="str">
        <f>HYPERLINK("https://rth.dk/resources/bsgatlas/details.php?id=BSGatlas-gene-2001","BSGatlas-gene-2001")</f>
        <v>BSGatlas-gene-2001</v>
      </c>
      <c r="C1892" s="1" t="s">
        <v>1887</v>
      </c>
      <c r="D1892" s="1" t="s">
        <v>8</v>
      </c>
      <c r="E1892" s="3">
        <v>1780618</v>
      </c>
      <c r="F1892" s="3">
        <v>1781073</v>
      </c>
      <c r="G1892" s="1" t="s">
        <v>13</v>
      </c>
      <c r="H1892" s="1" t="b">
        <f t="shared" si="72"/>
        <v>0</v>
      </c>
    </row>
    <row r="1893" spans="1:8" ht="21" x14ac:dyDescent="0.25">
      <c r="A1893" s="2" t="str">
        <f>HYPERLINK("https://rth.dk/resources/bsgatlas/details.php?id=BSGatlas-operon-969","BSGatlas-operon-969")</f>
        <v>BSGatlas-operon-969</v>
      </c>
      <c r="B1893" s="2" t="str">
        <f>HYPERLINK("https://rth.dk/resources/bsgatlas/details.php?id=BSGatlas-gene-2002","BSGatlas-gene-2002")</f>
        <v>BSGatlas-gene-2002</v>
      </c>
      <c r="C1893" s="1" t="s">
        <v>1888</v>
      </c>
      <c r="D1893" s="1" t="s">
        <v>8</v>
      </c>
      <c r="E1893" s="3">
        <v>1781228</v>
      </c>
      <c r="F1893" s="3">
        <v>1781785</v>
      </c>
      <c r="G1893" s="1" t="s">
        <v>13</v>
      </c>
      <c r="H1893" s="1" t="b">
        <f t="shared" si="72"/>
        <v>1</v>
      </c>
    </row>
    <row r="1894" spans="1:8" ht="21" x14ac:dyDescent="0.25">
      <c r="A1894" s="2" t="str">
        <f>HYPERLINK("https://rth.dk/resources/bsgatlas/details.php?id=BSGatlas-operon-970","BSGatlas-operon-970")</f>
        <v>BSGatlas-operon-970</v>
      </c>
      <c r="B1894" s="2" t="str">
        <f>HYPERLINK("https://rth.dk/resources/bsgatlas/details.php?id=BSGatlas-gene-2003","BSGatlas-gene-2003")</f>
        <v>BSGatlas-gene-2003</v>
      </c>
      <c r="C1894" s="1" t="s">
        <v>1889</v>
      </c>
      <c r="D1894" s="1" t="s">
        <v>8</v>
      </c>
      <c r="E1894" s="3">
        <v>1781906</v>
      </c>
      <c r="F1894" s="3">
        <v>1782523</v>
      </c>
      <c r="G1894" s="1" t="s">
        <v>9</v>
      </c>
      <c r="H1894" s="1" t="b">
        <f t="shared" si="72"/>
        <v>0</v>
      </c>
    </row>
    <row r="1895" spans="1:8" ht="21" x14ac:dyDescent="0.25">
      <c r="A1895" s="2" t="str">
        <f t="shared" ref="A1895:A1909" si="73">HYPERLINK("https://rth.dk/resources/bsgatlas/details.php?id=BSGatlas-operon-971","BSGatlas-operon-971")</f>
        <v>BSGatlas-operon-971</v>
      </c>
      <c r="B1895" s="2" t="str">
        <f>HYPERLINK("https://rth.dk/resources/bsgatlas/details.php?id=BSGatlas-gene-2004","BSGatlas-gene-2004")</f>
        <v>BSGatlas-gene-2004</v>
      </c>
      <c r="C1895" s="1" t="s">
        <v>1890</v>
      </c>
      <c r="D1895" s="1" t="s">
        <v>8</v>
      </c>
      <c r="E1895" s="3">
        <v>1782713</v>
      </c>
      <c r="F1895" s="3">
        <v>1783390</v>
      </c>
      <c r="G1895" s="1" t="s">
        <v>9</v>
      </c>
      <c r="H1895" s="1" t="b">
        <f t="shared" si="72"/>
        <v>1</v>
      </c>
    </row>
    <row r="1896" spans="1:8" ht="21" x14ac:dyDescent="0.25">
      <c r="A1896" s="2" t="str">
        <f t="shared" si="73"/>
        <v>BSGatlas-operon-971</v>
      </c>
      <c r="B1896" s="2" t="str">
        <f>HYPERLINK("https://rth.dk/resources/bsgatlas/details.php?id=BSGatlas-gene-2005","BSGatlas-gene-2005")</f>
        <v>BSGatlas-gene-2005</v>
      </c>
      <c r="C1896" s="1" t="s">
        <v>318</v>
      </c>
      <c r="D1896" s="1" t="s">
        <v>8</v>
      </c>
      <c r="E1896" s="3">
        <v>1783500</v>
      </c>
      <c r="F1896" s="3">
        <v>1783766</v>
      </c>
      <c r="G1896" s="1" t="s">
        <v>9</v>
      </c>
      <c r="H1896" s="1" t="b">
        <f t="shared" si="72"/>
        <v>1</v>
      </c>
    </row>
    <row r="1897" spans="1:8" ht="21" x14ac:dyDescent="0.25">
      <c r="A1897" s="2" t="str">
        <f t="shared" si="73"/>
        <v>BSGatlas-operon-971</v>
      </c>
      <c r="B1897" s="2" t="str">
        <f>HYPERLINK("https://rth.dk/resources/bsgatlas/details.php?id=BSGatlas-gene-2006","BSGatlas-gene-2006")</f>
        <v>BSGatlas-gene-2006</v>
      </c>
      <c r="C1897" s="1" t="s">
        <v>1891</v>
      </c>
      <c r="D1897" s="1" t="s">
        <v>8</v>
      </c>
      <c r="E1897" s="3">
        <v>1783763</v>
      </c>
      <c r="F1897" s="3">
        <v>1784629</v>
      </c>
      <c r="G1897" s="1" t="s">
        <v>9</v>
      </c>
      <c r="H1897" s="1" t="b">
        <f t="shared" si="72"/>
        <v>1</v>
      </c>
    </row>
    <row r="1898" spans="1:8" ht="21" x14ac:dyDescent="0.25">
      <c r="A1898" s="2" t="str">
        <f t="shared" si="73"/>
        <v>BSGatlas-operon-971</v>
      </c>
      <c r="B1898" s="2" t="str">
        <f>HYPERLINK("https://rth.dk/resources/bsgatlas/details.php?id=BSGatlas-gene-2007","BSGatlas-gene-2007")</f>
        <v>BSGatlas-gene-2007</v>
      </c>
      <c r="C1898" s="1" t="s">
        <v>1892</v>
      </c>
      <c r="D1898" s="1" t="s">
        <v>8</v>
      </c>
      <c r="E1898" s="3">
        <v>1785133</v>
      </c>
      <c r="F1898" s="3">
        <v>1786107</v>
      </c>
      <c r="G1898" s="1" t="s">
        <v>9</v>
      </c>
      <c r="H1898" s="1" t="b">
        <f t="shared" si="72"/>
        <v>1</v>
      </c>
    </row>
    <row r="1899" spans="1:8" ht="21" x14ac:dyDescent="0.25">
      <c r="A1899" s="2" t="str">
        <f t="shared" si="73"/>
        <v>BSGatlas-operon-971</v>
      </c>
      <c r="B1899" s="2" t="str">
        <f>HYPERLINK("https://rth.dk/resources/bsgatlas/details.php?id=BSGatlas-gene-2008","BSGatlas-gene-2008")</f>
        <v>BSGatlas-gene-2008</v>
      </c>
      <c r="C1899" s="1" t="s">
        <v>1893</v>
      </c>
      <c r="D1899" s="1" t="s">
        <v>8</v>
      </c>
      <c r="E1899" s="3">
        <v>1786104</v>
      </c>
      <c r="F1899" s="3">
        <v>1788407</v>
      </c>
      <c r="G1899" s="1" t="s">
        <v>9</v>
      </c>
      <c r="H1899" s="1" t="b">
        <f t="shared" si="72"/>
        <v>1</v>
      </c>
    </row>
    <row r="1900" spans="1:8" ht="21" x14ac:dyDescent="0.25">
      <c r="A1900" s="2" t="str">
        <f t="shared" si="73"/>
        <v>BSGatlas-operon-971</v>
      </c>
      <c r="B1900" s="2" t="str">
        <f>HYPERLINK("https://rth.dk/resources/bsgatlas/details.php?id=BSGatlas-gene-2009","BSGatlas-gene-2009")</f>
        <v>BSGatlas-gene-2009</v>
      </c>
      <c r="C1900" s="1" t="s">
        <v>1894</v>
      </c>
      <c r="D1900" s="1" t="s">
        <v>8</v>
      </c>
      <c r="E1900" s="3">
        <v>1788469</v>
      </c>
      <c r="F1900" s="3">
        <v>1788717</v>
      </c>
      <c r="G1900" s="1" t="s">
        <v>9</v>
      </c>
      <c r="H1900" s="1" t="b">
        <f t="shared" si="72"/>
        <v>1</v>
      </c>
    </row>
    <row r="1901" spans="1:8" ht="21" x14ac:dyDescent="0.25">
      <c r="A1901" s="2" t="str">
        <f t="shared" si="73"/>
        <v>BSGatlas-operon-971</v>
      </c>
      <c r="B1901" s="2" t="str">
        <f>HYPERLINK("https://rth.dk/resources/bsgatlas/details.php?id=BSGatlas-gene-2010","BSGatlas-gene-2010")</f>
        <v>BSGatlas-gene-2010</v>
      </c>
      <c r="C1901" s="1" t="s">
        <v>1895</v>
      </c>
      <c r="D1901" s="1" t="s">
        <v>8</v>
      </c>
      <c r="E1901" s="3">
        <v>1788695</v>
      </c>
      <c r="F1901" s="3">
        <v>1789942</v>
      </c>
      <c r="G1901" s="1" t="s">
        <v>9</v>
      </c>
      <c r="H1901" s="1" t="b">
        <f t="shared" si="72"/>
        <v>1</v>
      </c>
    </row>
    <row r="1902" spans="1:8" ht="21" x14ac:dyDescent="0.25">
      <c r="A1902" s="2" t="str">
        <f t="shared" si="73"/>
        <v>BSGatlas-operon-971</v>
      </c>
      <c r="B1902" s="2" t="str">
        <f>HYPERLINK("https://rth.dk/resources/bsgatlas/details.php?id=BSGatlas-gene-2011","BSGatlas-gene-2011")</f>
        <v>BSGatlas-gene-2011</v>
      </c>
      <c r="C1902" s="1" t="s">
        <v>1896</v>
      </c>
      <c r="D1902" s="1" t="s">
        <v>8</v>
      </c>
      <c r="E1902" s="3">
        <v>1789943</v>
      </c>
      <c r="F1902" s="3">
        <v>1791205</v>
      </c>
      <c r="G1902" s="1" t="s">
        <v>9</v>
      </c>
      <c r="H1902" s="1" t="b">
        <f t="shared" si="72"/>
        <v>1</v>
      </c>
    </row>
    <row r="1903" spans="1:8" ht="21" x14ac:dyDescent="0.25">
      <c r="A1903" s="2" t="str">
        <f t="shared" si="73"/>
        <v>BSGatlas-operon-971</v>
      </c>
      <c r="B1903" s="2" t="str">
        <f>HYPERLINK("https://rth.dk/resources/bsgatlas/details.php?id=BSGatlas-gene-2012","BSGatlas-gene-2012")</f>
        <v>BSGatlas-gene-2012</v>
      </c>
      <c r="C1903" s="1" t="s">
        <v>1897</v>
      </c>
      <c r="D1903" s="1" t="s">
        <v>8</v>
      </c>
      <c r="E1903" s="3">
        <v>1791193</v>
      </c>
      <c r="F1903" s="3">
        <v>1791972</v>
      </c>
      <c r="G1903" s="1" t="s">
        <v>9</v>
      </c>
      <c r="H1903" s="1" t="b">
        <f t="shared" si="72"/>
        <v>1</v>
      </c>
    </row>
    <row r="1904" spans="1:8" ht="21" x14ac:dyDescent="0.25">
      <c r="A1904" s="2" t="str">
        <f t="shared" si="73"/>
        <v>BSGatlas-operon-971</v>
      </c>
      <c r="B1904" s="2" t="str">
        <f>HYPERLINK("https://rth.dk/resources/bsgatlas/details.php?id=BSGatlas-gene-2013","BSGatlas-gene-2013")</f>
        <v>BSGatlas-gene-2013</v>
      </c>
      <c r="C1904" s="1" t="s">
        <v>1898</v>
      </c>
      <c r="D1904" s="1" t="s">
        <v>8</v>
      </c>
      <c r="E1904" s="3">
        <v>1792012</v>
      </c>
      <c r="F1904" s="3">
        <v>1792761</v>
      </c>
      <c r="G1904" s="1" t="s">
        <v>9</v>
      </c>
      <c r="H1904" s="1" t="b">
        <f t="shared" si="72"/>
        <v>1</v>
      </c>
    </row>
    <row r="1905" spans="1:8" ht="21" x14ac:dyDescent="0.25">
      <c r="A1905" s="2" t="str">
        <f t="shared" si="73"/>
        <v>BSGatlas-operon-971</v>
      </c>
      <c r="B1905" s="2" t="str">
        <f>HYPERLINK("https://rth.dk/resources/bsgatlas/details.php?id=BSGatlas-gene-2014","BSGatlas-gene-2014")</f>
        <v>BSGatlas-gene-2014</v>
      </c>
      <c r="C1905" s="1" t="s">
        <v>1899</v>
      </c>
      <c r="D1905" s="1" t="s">
        <v>8</v>
      </c>
      <c r="E1905" s="3">
        <v>1792806</v>
      </c>
      <c r="F1905" s="3">
        <v>1807937</v>
      </c>
      <c r="G1905" s="1" t="s">
        <v>9</v>
      </c>
      <c r="H1905" s="1" t="b">
        <f t="shared" si="72"/>
        <v>1</v>
      </c>
    </row>
    <row r="1906" spans="1:8" ht="21" x14ac:dyDescent="0.25">
      <c r="A1906" s="2" t="str">
        <f t="shared" si="73"/>
        <v>BSGatlas-operon-971</v>
      </c>
      <c r="B1906" s="2" t="str">
        <f>HYPERLINK("https://rth.dk/resources/bsgatlas/details.php?id=BSGatlas-gene-2015","BSGatlas-gene-2015")</f>
        <v>BSGatlas-gene-2015</v>
      </c>
      <c r="C1906" s="1" t="s">
        <v>1900</v>
      </c>
      <c r="D1906" s="1" t="s">
        <v>8</v>
      </c>
      <c r="E1906" s="3">
        <v>1807921</v>
      </c>
      <c r="F1906" s="3">
        <v>1821537</v>
      </c>
      <c r="G1906" s="1" t="s">
        <v>9</v>
      </c>
      <c r="H1906" s="1" t="b">
        <f t="shared" si="72"/>
        <v>1</v>
      </c>
    </row>
    <row r="1907" spans="1:8" ht="21" x14ac:dyDescent="0.25">
      <c r="A1907" s="2" t="str">
        <f t="shared" si="73"/>
        <v>BSGatlas-operon-971</v>
      </c>
      <c r="B1907" s="2" t="str">
        <f>HYPERLINK("https://rth.dk/resources/bsgatlas/details.php?id=BSGatlas-gene-2016","BSGatlas-gene-2016")</f>
        <v>BSGatlas-gene-2016</v>
      </c>
      <c r="C1907" s="1" t="s">
        <v>1901</v>
      </c>
      <c r="D1907" s="1" t="s">
        <v>8</v>
      </c>
      <c r="E1907" s="3">
        <v>1821553</v>
      </c>
      <c r="F1907" s="3">
        <v>1834341</v>
      </c>
      <c r="G1907" s="1" t="s">
        <v>9</v>
      </c>
      <c r="H1907" s="1" t="b">
        <f t="shared" si="72"/>
        <v>1</v>
      </c>
    </row>
    <row r="1908" spans="1:8" ht="21" x14ac:dyDescent="0.25">
      <c r="A1908" s="2" t="str">
        <f t="shared" si="73"/>
        <v>BSGatlas-operon-971</v>
      </c>
      <c r="B1908" s="2" t="str">
        <f>HYPERLINK("https://rth.dk/resources/bsgatlas/details.php?id=BSGatlas-gene-2017","BSGatlas-gene-2017")</f>
        <v>BSGatlas-gene-2017</v>
      </c>
      <c r="C1908" s="1" t="s">
        <v>1902</v>
      </c>
      <c r="D1908" s="1" t="s">
        <v>8</v>
      </c>
      <c r="E1908" s="3">
        <v>1834409</v>
      </c>
      <c r="F1908" s="3">
        <v>1850875</v>
      </c>
      <c r="G1908" s="1" t="s">
        <v>9</v>
      </c>
      <c r="H1908" s="1" t="b">
        <f t="shared" si="72"/>
        <v>1</v>
      </c>
    </row>
    <row r="1909" spans="1:8" ht="21" x14ac:dyDescent="0.25">
      <c r="A1909" s="2" t="str">
        <f t="shared" si="73"/>
        <v>BSGatlas-operon-971</v>
      </c>
      <c r="B1909" s="2" t="str">
        <f>HYPERLINK("https://rth.dk/resources/bsgatlas/details.php?id=BSGatlas-gene-2018","BSGatlas-gene-2018")</f>
        <v>BSGatlas-gene-2018</v>
      </c>
      <c r="C1909" s="1" t="s">
        <v>1903</v>
      </c>
      <c r="D1909" s="1" t="s">
        <v>8</v>
      </c>
      <c r="E1909" s="3">
        <v>1850890</v>
      </c>
      <c r="F1909" s="3">
        <v>1858521</v>
      </c>
      <c r="G1909" s="1" t="s">
        <v>9</v>
      </c>
      <c r="H1909" s="1" t="b">
        <f t="shared" si="72"/>
        <v>1</v>
      </c>
    </row>
    <row r="1910" spans="1:8" ht="21" x14ac:dyDescent="0.25">
      <c r="A1910" s="2" t="str">
        <f>HYPERLINK("https://rth.dk/resources/bsgatlas/details.php?id=BSGatlas-operon-972","BSGatlas-operon-972")</f>
        <v>BSGatlas-operon-972</v>
      </c>
      <c r="B1910" s="2" t="str">
        <f>HYPERLINK("https://rth.dk/resources/bsgatlas/details.php?id=BSGatlas-gene-2019","BSGatlas-gene-2019")</f>
        <v>BSGatlas-gene-2019</v>
      </c>
      <c r="C1910" s="1" t="s">
        <v>1904</v>
      </c>
      <c r="D1910" s="1" t="s">
        <v>8</v>
      </c>
      <c r="E1910" s="3">
        <v>1858566</v>
      </c>
      <c r="F1910" s="3">
        <v>1859783</v>
      </c>
      <c r="G1910" s="1" t="s">
        <v>13</v>
      </c>
      <c r="H1910" s="1" t="b">
        <f t="shared" si="72"/>
        <v>0</v>
      </c>
    </row>
    <row r="1911" spans="1:8" ht="21" x14ac:dyDescent="0.25">
      <c r="A1911" s="2" t="str">
        <f>HYPERLINK("https://rth.dk/resources/bsgatlas/details.php?id=BSGatlas-operon-973","BSGatlas-operon-973")</f>
        <v>BSGatlas-operon-973</v>
      </c>
      <c r="B1911" s="2" t="str">
        <f>HYPERLINK("https://rth.dk/resources/bsgatlas/details.php?id=BSGatlas-gene-2020","BSGatlas-gene-2020")</f>
        <v>BSGatlas-gene-2020</v>
      </c>
      <c r="C1911" s="1" t="s">
        <v>1905</v>
      </c>
      <c r="D1911" s="1" t="s">
        <v>8</v>
      </c>
      <c r="E1911" s="3">
        <v>1860014</v>
      </c>
      <c r="F1911" s="3">
        <v>1860370</v>
      </c>
      <c r="G1911" s="1" t="s">
        <v>13</v>
      </c>
      <c r="H1911" s="1" t="b">
        <f t="shared" si="72"/>
        <v>1</v>
      </c>
    </row>
    <row r="1912" spans="1:8" ht="21" x14ac:dyDescent="0.25">
      <c r="A1912" s="2" t="str">
        <f>HYPERLINK("https://rth.dk/resources/bsgatlas/details.php?id=BSGatlas-operon-973","BSGatlas-operon-973")</f>
        <v>BSGatlas-operon-973</v>
      </c>
      <c r="B1912" s="2" t="str">
        <f>HYPERLINK("https://rth.dk/resources/bsgatlas/details.php?id=BSGatlas-gene-2021","BSGatlas-gene-2021")</f>
        <v>BSGatlas-gene-2021</v>
      </c>
      <c r="C1912" s="1" t="s">
        <v>1906</v>
      </c>
      <c r="D1912" s="1" t="s">
        <v>8</v>
      </c>
      <c r="E1912" s="3">
        <v>1860449</v>
      </c>
      <c r="F1912" s="3">
        <v>1861273</v>
      </c>
      <c r="G1912" s="1" t="s">
        <v>13</v>
      </c>
      <c r="H1912" s="1" t="b">
        <f t="shared" si="72"/>
        <v>1</v>
      </c>
    </row>
    <row r="1913" spans="1:8" ht="21" x14ac:dyDescent="0.25">
      <c r="A1913" s="2" t="str">
        <f>HYPERLINK("https://rth.dk/resources/bsgatlas/details.php?id=BSGatlas-operon-974","BSGatlas-operon-974")</f>
        <v>BSGatlas-operon-974</v>
      </c>
      <c r="B1913" s="2" t="str">
        <f>HYPERLINK("https://rth.dk/resources/bsgatlas/details.php?id=BSGatlas-gene-2022","BSGatlas-gene-2022")</f>
        <v>BSGatlas-gene-2022</v>
      </c>
      <c r="C1913" s="1" t="s">
        <v>1907</v>
      </c>
      <c r="D1913" s="1" t="s">
        <v>8</v>
      </c>
      <c r="E1913" s="3">
        <v>1861384</v>
      </c>
      <c r="F1913" s="3">
        <v>1862712</v>
      </c>
      <c r="G1913" s="1" t="s">
        <v>13</v>
      </c>
      <c r="H1913" s="1" t="b">
        <f t="shared" si="72"/>
        <v>0</v>
      </c>
    </row>
    <row r="1914" spans="1:8" ht="21" x14ac:dyDescent="0.25">
      <c r="A1914" s="2" t="str">
        <f>HYPERLINK("https://rth.dk/resources/bsgatlas/details.php?id=BSGatlas-operon-975","BSGatlas-operon-975")</f>
        <v>BSGatlas-operon-975</v>
      </c>
      <c r="B1914" s="2" t="str">
        <f>HYPERLINK("https://rth.dk/resources/bsgatlas/details.php?id=BSGatlas-gene-2023","BSGatlas-gene-2023")</f>
        <v>BSGatlas-gene-2023</v>
      </c>
      <c r="C1914" s="1" t="s">
        <v>1908</v>
      </c>
      <c r="D1914" s="1" t="s">
        <v>276</v>
      </c>
      <c r="E1914" s="3">
        <v>1862937</v>
      </c>
      <c r="F1914" s="3">
        <v>1862993</v>
      </c>
      <c r="G1914" s="1" t="s">
        <v>9</v>
      </c>
      <c r="H1914" s="1" t="b">
        <f t="shared" si="72"/>
        <v>1</v>
      </c>
    </row>
    <row r="1915" spans="1:8" ht="21" x14ac:dyDescent="0.25">
      <c r="A1915" s="2" t="str">
        <f>HYPERLINK("https://rth.dk/resources/bsgatlas/details.php?id=BSGatlas-operon-976","BSGatlas-operon-976")</f>
        <v>BSGatlas-operon-976</v>
      </c>
      <c r="B1915" s="2" t="str">
        <f>HYPERLINK("https://rth.dk/resources/bsgatlas/details.php?id=BSGatlas-gene-2027","BSGatlas-gene-2027")</f>
        <v>BSGatlas-gene-2027</v>
      </c>
      <c r="C1915" s="1" t="s">
        <v>1909</v>
      </c>
      <c r="D1915" s="1" t="s">
        <v>8</v>
      </c>
      <c r="E1915" s="3">
        <v>1864691</v>
      </c>
      <c r="F1915" s="3">
        <v>1865044</v>
      </c>
      <c r="G1915" s="1" t="s">
        <v>13</v>
      </c>
      <c r="H1915" s="1" t="b">
        <f t="shared" si="72"/>
        <v>0</v>
      </c>
    </row>
    <row r="1916" spans="1:8" ht="21" x14ac:dyDescent="0.25">
      <c r="A1916" s="2" t="str">
        <f>HYPERLINK("https://rth.dk/resources/bsgatlas/details.php?id=BSGatlas-operon-976","BSGatlas-operon-976")</f>
        <v>BSGatlas-operon-976</v>
      </c>
      <c r="B1916" s="2" t="str">
        <f>HYPERLINK("https://rth.dk/resources/bsgatlas/details.php?id=BSGatlas-gene-2028","BSGatlas-gene-2028")</f>
        <v>BSGatlas-gene-2028</v>
      </c>
      <c r="C1916" s="1" t="s">
        <v>1910</v>
      </c>
      <c r="D1916" s="1" t="s">
        <v>8</v>
      </c>
      <c r="E1916" s="3">
        <v>1865058</v>
      </c>
      <c r="F1916" s="3">
        <v>1865375</v>
      </c>
      <c r="G1916" s="1" t="s">
        <v>13</v>
      </c>
      <c r="H1916" s="1" t="b">
        <f t="shared" si="72"/>
        <v>0</v>
      </c>
    </row>
    <row r="1917" spans="1:8" ht="21" x14ac:dyDescent="0.25">
      <c r="A1917" s="2" t="str">
        <f>HYPERLINK("https://rth.dk/resources/bsgatlas/details.php?id=BSGatlas-operon-977","BSGatlas-operon-977")</f>
        <v>BSGatlas-operon-977</v>
      </c>
      <c r="B1917" s="2" t="str">
        <f>HYPERLINK("https://rth.dk/resources/bsgatlas/details.php?id=BSGatlas-gene-2024","BSGatlas-gene-2024")</f>
        <v>BSGatlas-gene-2024</v>
      </c>
      <c r="C1917" s="1" t="s">
        <v>1911</v>
      </c>
      <c r="D1917" s="1" t="s">
        <v>276</v>
      </c>
      <c r="E1917" s="3">
        <v>1862992</v>
      </c>
      <c r="F1917" s="3">
        <v>1863168</v>
      </c>
      <c r="G1917" s="1" t="s">
        <v>9</v>
      </c>
      <c r="H1917" s="1" t="b">
        <f t="shared" si="72"/>
        <v>1</v>
      </c>
    </row>
    <row r="1918" spans="1:8" ht="21" x14ac:dyDescent="0.25">
      <c r="A1918" s="2" t="str">
        <f>HYPERLINK("https://rth.dk/resources/bsgatlas/details.php?id=BSGatlas-operon-978","BSGatlas-operon-978")</f>
        <v>BSGatlas-operon-978</v>
      </c>
      <c r="B1918" s="2" t="str">
        <f>HYPERLINK("https://rth.dk/resources/bsgatlas/details.php?id=BSGatlas-gene-2025","BSGatlas-gene-2025")</f>
        <v>BSGatlas-gene-2025</v>
      </c>
      <c r="C1918" s="1" t="s">
        <v>1912</v>
      </c>
      <c r="D1918" s="1" t="s">
        <v>8</v>
      </c>
      <c r="E1918" s="3">
        <v>1863448</v>
      </c>
      <c r="F1918" s="3">
        <v>1864155</v>
      </c>
      <c r="G1918" s="1" t="s">
        <v>9</v>
      </c>
      <c r="H1918" s="1" t="b">
        <f t="shared" si="72"/>
        <v>0</v>
      </c>
    </row>
    <row r="1919" spans="1:8" ht="21" x14ac:dyDescent="0.25">
      <c r="A1919" s="2" t="str">
        <f>HYPERLINK("https://rth.dk/resources/bsgatlas/details.php?id=BSGatlas-operon-978","BSGatlas-operon-978")</f>
        <v>BSGatlas-operon-978</v>
      </c>
      <c r="B1919" s="2" t="str">
        <f>HYPERLINK("https://rth.dk/resources/bsgatlas/details.php?id=BSGatlas-gene-2026","BSGatlas-gene-2026")</f>
        <v>BSGatlas-gene-2026</v>
      </c>
      <c r="C1919" s="1" t="s">
        <v>1913</v>
      </c>
      <c r="D1919" s="1" t="s">
        <v>8</v>
      </c>
      <c r="E1919" s="3">
        <v>1864225</v>
      </c>
      <c r="F1919" s="3">
        <v>1864677</v>
      </c>
      <c r="G1919" s="1" t="s">
        <v>9</v>
      </c>
      <c r="H1919" s="1" t="b">
        <f t="shared" si="72"/>
        <v>0</v>
      </c>
    </row>
    <row r="1920" spans="1:8" ht="21" x14ac:dyDescent="0.25">
      <c r="A1920" s="2" t="str">
        <f>HYPERLINK("https://rth.dk/resources/bsgatlas/details.php?id=BSGatlas-operon-979","BSGatlas-operon-979")</f>
        <v>BSGatlas-operon-979</v>
      </c>
      <c r="B1920" s="2" t="str">
        <f>HYPERLINK("https://rth.dk/resources/bsgatlas/details.php?id=BSGatlas-gene-2029","BSGatlas-gene-2029")</f>
        <v>BSGatlas-gene-2029</v>
      </c>
      <c r="C1920" s="1" t="s">
        <v>1914</v>
      </c>
      <c r="D1920" s="1" t="s">
        <v>8</v>
      </c>
      <c r="E1920" s="3">
        <v>1865512</v>
      </c>
      <c r="F1920" s="3">
        <v>1865787</v>
      </c>
      <c r="G1920" s="1" t="s">
        <v>13</v>
      </c>
      <c r="H1920" s="1" t="b">
        <f t="shared" si="72"/>
        <v>1</v>
      </c>
    </row>
    <row r="1921" spans="1:8" ht="21" x14ac:dyDescent="0.25">
      <c r="A1921" s="2" t="str">
        <f>HYPERLINK("https://rth.dk/resources/bsgatlas/details.php?id=BSGatlas-operon-980","BSGatlas-operon-980")</f>
        <v>BSGatlas-operon-980</v>
      </c>
      <c r="B1921" s="2" t="str">
        <f>HYPERLINK("https://rth.dk/resources/bsgatlas/details.php?id=BSGatlas-gene-2030","BSGatlas-gene-2030")</f>
        <v>BSGatlas-gene-2030</v>
      </c>
      <c r="C1921" s="1" t="s">
        <v>1915</v>
      </c>
      <c r="D1921" s="1" t="s">
        <v>8</v>
      </c>
      <c r="E1921" s="3">
        <v>1865876</v>
      </c>
      <c r="F1921" s="3">
        <v>1866289</v>
      </c>
      <c r="G1921" s="1" t="s">
        <v>9</v>
      </c>
      <c r="H1921" s="1" t="b">
        <f t="shared" si="72"/>
        <v>0</v>
      </c>
    </row>
    <row r="1922" spans="1:8" ht="21" x14ac:dyDescent="0.25">
      <c r="A1922" s="2" t="str">
        <f>HYPERLINK("https://rth.dk/resources/bsgatlas/details.php?id=BSGatlas-operon-980","BSGatlas-operon-980")</f>
        <v>BSGatlas-operon-980</v>
      </c>
      <c r="B1922" s="2" t="str">
        <f>HYPERLINK("https://rth.dk/resources/bsgatlas/details.php?id=BSGatlas-gene-2031","BSGatlas-gene-2031")</f>
        <v>BSGatlas-gene-2031</v>
      </c>
      <c r="C1922" s="1" t="s">
        <v>1916</v>
      </c>
      <c r="D1922" s="1" t="s">
        <v>8</v>
      </c>
      <c r="E1922" s="3">
        <v>1866389</v>
      </c>
      <c r="F1922" s="3">
        <v>1867333</v>
      </c>
      <c r="G1922" s="1" t="s">
        <v>9</v>
      </c>
      <c r="H1922" s="1" t="b">
        <f t="shared" ref="H1922:H1985" si="74">_xlfn.XOR(A1921&lt;&gt;A1922,H1921)</f>
        <v>0</v>
      </c>
    </row>
    <row r="1923" spans="1:8" ht="21" x14ac:dyDescent="0.25">
      <c r="A1923" s="2" t="str">
        <f>HYPERLINK("https://rth.dk/resources/bsgatlas/details.php?id=BSGatlas-operon-980","BSGatlas-operon-980")</f>
        <v>BSGatlas-operon-980</v>
      </c>
      <c r="B1923" s="2" t="str">
        <f>HYPERLINK("https://rth.dk/resources/bsgatlas/details.php?id=BSGatlas-gene-2032","BSGatlas-gene-2032")</f>
        <v>BSGatlas-gene-2032</v>
      </c>
      <c r="C1923" s="1" t="s">
        <v>1917</v>
      </c>
      <c r="D1923" s="1" t="s">
        <v>8</v>
      </c>
      <c r="E1923" s="3">
        <v>1867373</v>
      </c>
      <c r="F1923" s="3">
        <v>1867594</v>
      </c>
      <c r="G1923" s="1" t="s">
        <v>9</v>
      </c>
      <c r="H1923" s="1" t="b">
        <f t="shared" si="74"/>
        <v>0</v>
      </c>
    </row>
    <row r="1924" spans="1:8" ht="21" x14ac:dyDescent="0.25">
      <c r="A1924" s="2" t="str">
        <f t="shared" ref="A1924:A1929" si="75">HYPERLINK("https://rth.dk/resources/bsgatlas/details.php?id=BSGatlas-operon-981","BSGatlas-operon-981")</f>
        <v>BSGatlas-operon-981</v>
      </c>
      <c r="B1924" s="2" t="str">
        <f>HYPERLINK("https://rth.dk/resources/bsgatlas/details.php?id=BSGatlas-gene-2034","BSGatlas-gene-2034")</f>
        <v>BSGatlas-gene-2034</v>
      </c>
      <c r="C1924" s="1" t="s">
        <v>1918</v>
      </c>
      <c r="D1924" s="1" t="s">
        <v>8</v>
      </c>
      <c r="E1924" s="3">
        <v>1868144</v>
      </c>
      <c r="F1924" s="3">
        <v>1868374</v>
      </c>
      <c r="G1924" s="1" t="s">
        <v>9</v>
      </c>
      <c r="H1924" s="1" t="b">
        <f t="shared" si="74"/>
        <v>1</v>
      </c>
    </row>
    <row r="1925" spans="1:8" ht="21" x14ac:dyDescent="0.25">
      <c r="A1925" s="2" t="str">
        <f t="shared" si="75"/>
        <v>BSGatlas-operon-981</v>
      </c>
      <c r="B1925" s="2" t="str">
        <f>HYPERLINK("https://rth.dk/resources/bsgatlas/details.php?id=BSGatlas-gene-2035","BSGatlas-gene-2035")</f>
        <v>BSGatlas-gene-2035</v>
      </c>
      <c r="C1925" s="1" t="s">
        <v>1919</v>
      </c>
      <c r="D1925" s="1" t="s">
        <v>12</v>
      </c>
      <c r="E1925" s="3">
        <v>1868404</v>
      </c>
      <c r="F1925" s="3">
        <v>1868461</v>
      </c>
      <c r="G1925" s="1" t="s">
        <v>9</v>
      </c>
      <c r="H1925" s="1" t="b">
        <f t="shared" si="74"/>
        <v>1</v>
      </c>
    </row>
    <row r="1926" spans="1:8" ht="21" x14ac:dyDescent="0.25">
      <c r="A1926" s="2" t="str">
        <f t="shared" si="75"/>
        <v>BSGatlas-operon-981</v>
      </c>
      <c r="B1926" s="2" t="str">
        <f>HYPERLINK("https://rth.dk/resources/bsgatlas/details.php?id=BSGatlas-gene-2036","BSGatlas-gene-2036")</f>
        <v>BSGatlas-gene-2036</v>
      </c>
      <c r="C1926" s="1" t="s">
        <v>1920</v>
      </c>
      <c r="D1926" s="1" t="s">
        <v>8</v>
      </c>
      <c r="E1926" s="3">
        <v>1868617</v>
      </c>
      <c r="F1926" s="3">
        <v>1869009</v>
      </c>
      <c r="G1926" s="1" t="s">
        <v>9</v>
      </c>
      <c r="H1926" s="1" t="b">
        <f t="shared" si="74"/>
        <v>1</v>
      </c>
    </row>
    <row r="1927" spans="1:8" ht="21" x14ac:dyDescent="0.25">
      <c r="A1927" s="2" t="str">
        <f t="shared" si="75"/>
        <v>BSGatlas-operon-981</v>
      </c>
      <c r="B1927" s="2" t="str">
        <f>HYPERLINK("https://rth.dk/resources/bsgatlas/details.php?id=BSGatlas-gene-2037","BSGatlas-gene-2037")</f>
        <v>BSGatlas-gene-2037</v>
      </c>
      <c r="C1927" s="1" t="s">
        <v>1921</v>
      </c>
      <c r="D1927" s="1" t="s">
        <v>8</v>
      </c>
      <c r="E1927" s="3">
        <v>1868969</v>
      </c>
      <c r="F1927" s="3">
        <v>1871071</v>
      </c>
      <c r="G1927" s="1" t="s">
        <v>9</v>
      </c>
      <c r="H1927" s="1" t="b">
        <f t="shared" si="74"/>
        <v>1</v>
      </c>
    </row>
    <row r="1928" spans="1:8" ht="21" x14ac:dyDescent="0.25">
      <c r="A1928" s="2" t="str">
        <f t="shared" si="75"/>
        <v>BSGatlas-operon-981</v>
      </c>
      <c r="B1928" s="2" t="str">
        <f>HYPERLINK("https://rth.dk/resources/bsgatlas/details.php?id=BSGatlas-gene-2038","BSGatlas-gene-2038")</f>
        <v>BSGatlas-gene-2038</v>
      </c>
      <c r="C1928" s="1" t="s">
        <v>1922</v>
      </c>
      <c r="D1928" s="1" t="s">
        <v>8</v>
      </c>
      <c r="E1928" s="3">
        <v>1871089</v>
      </c>
      <c r="F1928" s="3">
        <v>1872078</v>
      </c>
      <c r="G1928" s="1" t="s">
        <v>9</v>
      </c>
      <c r="H1928" s="1" t="b">
        <f t="shared" si="74"/>
        <v>1</v>
      </c>
    </row>
    <row r="1929" spans="1:8" ht="21" x14ac:dyDescent="0.25">
      <c r="A1929" s="2" t="str">
        <f t="shared" si="75"/>
        <v>BSGatlas-operon-981</v>
      </c>
      <c r="B1929" s="2" t="str">
        <f>HYPERLINK("https://rth.dk/resources/bsgatlas/details.php?id=BSGatlas-gene-2039","BSGatlas-gene-2039")</f>
        <v>BSGatlas-gene-2039</v>
      </c>
      <c r="C1929" s="1" t="s">
        <v>1923</v>
      </c>
      <c r="D1929" s="1" t="s">
        <v>8</v>
      </c>
      <c r="E1929" s="3">
        <v>1872128</v>
      </c>
      <c r="F1929" s="3">
        <v>1872748</v>
      </c>
      <c r="G1929" s="1" t="s">
        <v>9</v>
      </c>
      <c r="H1929" s="1" t="b">
        <f t="shared" si="74"/>
        <v>1</v>
      </c>
    </row>
    <row r="1930" spans="1:8" ht="21" x14ac:dyDescent="0.25">
      <c r="A1930" s="2" t="str">
        <f>HYPERLINK("https://rth.dk/resources/bsgatlas/details.php?id=BSGatlas-operon-982","BSGatlas-operon-982")</f>
        <v>BSGatlas-operon-982</v>
      </c>
      <c r="B1930" s="2" t="str">
        <f>HYPERLINK("https://rth.dk/resources/bsgatlas/details.php?id=BSGatlas-gene-2041","BSGatlas-gene-2041")</f>
        <v>BSGatlas-gene-2041</v>
      </c>
      <c r="C1930" s="1" t="s">
        <v>1924</v>
      </c>
      <c r="D1930" s="1" t="s">
        <v>8</v>
      </c>
      <c r="E1930" s="3">
        <v>1872812</v>
      </c>
      <c r="F1930" s="3">
        <v>1873579</v>
      </c>
      <c r="G1930" s="1" t="s">
        <v>13</v>
      </c>
      <c r="H1930" s="1" t="b">
        <f t="shared" si="74"/>
        <v>0</v>
      </c>
    </row>
    <row r="1931" spans="1:8" ht="21" x14ac:dyDescent="0.25">
      <c r="A1931" s="2" t="str">
        <f>HYPERLINK("https://rth.dk/resources/bsgatlas/details.php?id=BSGatlas-operon-983","BSGatlas-operon-983")</f>
        <v>BSGatlas-operon-983</v>
      </c>
      <c r="B1931" s="2" t="str">
        <f>HYPERLINK("https://rth.dk/resources/bsgatlas/details.php?id=BSGatlas-gene-2040","BSGatlas-gene-2040")</f>
        <v>BSGatlas-gene-2040</v>
      </c>
      <c r="C1931" s="1" t="s">
        <v>1925</v>
      </c>
      <c r="D1931" s="1" t="s">
        <v>12</v>
      </c>
      <c r="E1931" s="3">
        <v>1872786</v>
      </c>
      <c r="F1931" s="3">
        <v>1873153</v>
      </c>
      <c r="G1931" s="1" t="s">
        <v>9</v>
      </c>
      <c r="H1931" s="1" t="b">
        <f t="shared" si="74"/>
        <v>1</v>
      </c>
    </row>
    <row r="1932" spans="1:8" ht="21" x14ac:dyDescent="0.25">
      <c r="A1932" s="2" t="str">
        <f>HYPERLINK("https://rth.dk/resources/bsgatlas/details.php?id=BSGatlas-operon-984","BSGatlas-operon-984")</f>
        <v>BSGatlas-operon-984</v>
      </c>
      <c r="B1932" s="2" t="str">
        <f>HYPERLINK("https://rth.dk/resources/bsgatlas/details.php?id=BSGatlas-gene-2042","BSGatlas-gene-2042")</f>
        <v>BSGatlas-gene-2042</v>
      </c>
      <c r="C1932" s="1" t="s">
        <v>1926</v>
      </c>
      <c r="D1932" s="1" t="s">
        <v>8</v>
      </c>
      <c r="E1932" s="3">
        <v>1874203</v>
      </c>
      <c r="F1932" s="3">
        <v>1875171</v>
      </c>
      <c r="G1932" s="1" t="s">
        <v>9</v>
      </c>
      <c r="H1932" s="1" t="b">
        <f t="shared" si="74"/>
        <v>0</v>
      </c>
    </row>
    <row r="1933" spans="1:8" ht="21" x14ac:dyDescent="0.25">
      <c r="A1933" s="2" t="str">
        <f>HYPERLINK("https://rth.dk/resources/bsgatlas/details.php?id=BSGatlas-operon-985","BSGatlas-operon-985")</f>
        <v>BSGatlas-operon-985</v>
      </c>
      <c r="B1933" s="2" t="str">
        <f>HYPERLINK("https://rth.dk/resources/bsgatlas/details.php?id=BSGatlas-gene-2043","BSGatlas-gene-2043")</f>
        <v>BSGatlas-gene-2043</v>
      </c>
      <c r="C1933" s="1" t="s">
        <v>1927</v>
      </c>
      <c r="D1933" s="1" t="s">
        <v>8</v>
      </c>
      <c r="E1933" s="3">
        <v>1875304</v>
      </c>
      <c r="F1933" s="3">
        <v>1876566</v>
      </c>
      <c r="G1933" s="1" t="s">
        <v>9</v>
      </c>
      <c r="H1933" s="1" t="b">
        <f t="shared" si="74"/>
        <v>1</v>
      </c>
    </row>
    <row r="1934" spans="1:8" ht="21" x14ac:dyDescent="0.25">
      <c r="A1934" s="2" t="str">
        <f>HYPERLINK("https://rth.dk/resources/bsgatlas/details.php?id=BSGatlas-operon-985","BSGatlas-operon-985")</f>
        <v>BSGatlas-operon-985</v>
      </c>
      <c r="B1934" s="2" t="str">
        <f>HYPERLINK("https://rth.dk/resources/bsgatlas/details.php?id=BSGatlas-gene-2044","BSGatlas-gene-2044")</f>
        <v>BSGatlas-gene-2044</v>
      </c>
      <c r="C1934" s="1" t="s">
        <v>1928</v>
      </c>
      <c r="D1934" s="1" t="s">
        <v>8</v>
      </c>
      <c r="E1934" s="3">
        <v>1876584</v>
      </c>
      <c r="F1934" s="3">
        <v>1877849</v>
      </c>
      <c r="G1934" s="1" t="s">
        <v>9</v>
      </c>
      <c r="H1934" s="1" t="b">
        <f t="shared" si="74"/>
        <v>1</v>
      </c>
    </row>
    <row r="1935" spans="1:8" ht="21" x14ac:dyDescent="0.25">
      <c r="A1935" s="2" t="str">
        <f>HYPERLINK("https://rth.dk/resources/bsgatlas/details.php?id=BSGatlas-operon-985","BSGatlas-operon-985")</f>
        <v>BSGatlas-operon-985</v>
      </c>
      <c r="B1935" s="2" t="str">
        <f>HYPERLINK("https://rth.dk/resources/bsgatlas/details.php?id=BSGatlas-gene-2045","BSGatlas-gene-2045")</f>
        <v>BSGatlas-gene-2045</v>
      </c>
      <c r="C1935" s="1" t="s">
        <v>1929</v>
      </c>
      <c r="D1935" s="1" t="s">
        <v>8</v>
      </c>
      <c r="E1935" s="3">
        <v>1877959</v>
      </c>
      <c r="F1935" s="3">
        <v>1878366</v>
      </c>
      <c r="G1935" s="1" t="s">
        <v>9</v>
      </c>
      <c r="H1935" s="1" t="b">
        <f t="shared" si="74"/>
        <v>1</v>
      </c>
    </row>
    <row r="1936" spans="1:8" ht="21" x14ac:dyDescent="0.25">
      <c r="A1936" s="2" t="str">
        <f>HYPERLINK("https://rth.dk/resources/bsgatlas/details.php?id=BSGatlas-operon-985","BSGatlas-operon-985")</f>
        <v>BSGatlas-operon-985</v>
      </c>
      <c r="B1936" s="2" t="str">
        <f>HYPERLINK("https://rth.dk/resources/bsgatlas/details.php?id=BSGatlas-gene-2046","BSGatlas-gene-2046")</f>
        <v>BSGatlas-gene-2046</v>
      </c>
      <c r="C1936" s="1" t="s">
        <v>1930</v>
      </c>
      <c r="D1936" s="1" t="s">
        <v>8</v>
      </c>
      <c r="E1936" s="3">
        <v>1878425</v>
      </c>
      <c r="F1936" s="3">
        <v>1879759</v>
      </c>
      <c r="G1936" s="1" t="s">
        <v>9</v>
      </c>
      <c r="H1936" s="1" t="b">
        <f t="shared" si="74"/>
        <v>1</v>
      </c>
    </row>
    <row r="1937" spans="1:8" ht="21" x14ac:dyDescent="0.25">
      <c r="A1937" s="2" t="str">
        <f>HYPERLINK("https://rth.dk/resources/bsgatlas/details.php?id=BSGatlas-operon-986","BSGatlas-operon-986")</f>
        <v>BSGatlas-operon-986</v>
      </c>
      <c r="B1937" s="2" t="str">
        <f>HYPERLINK("https://rth.dk/resources/bsgatlas/details.php?id=BSGatlas-gene-2047","BSGatlas-gene-2047")</f>
        <v>BSGatlas-gene-2047</v>
      </c>
      <c r="C1937" s="1" t="s">
        <v>1931</v>
      </c>
      <c r="D1937" s="1" t="s">
        <v>8</v>
      </c>
      <c r="E1937" s="3">
        <v>1880087</v>
      </c>
      <c r="F1937" s="3">
        <v>1880377</v>
      </c>
      <c r="G1937" s="1" t="s">
        <v>9</v>
      </c>
      <c r="H1937" s="1" t="b">
        <f t="shared" si="74"/>
        <v>0</v>
      </c>
    </row>
    <row r="1938" spans="1:8" ht="21" x14ac:dyDescent="0.25">
      <c r="A1938" s="2" t="str">
        <f>HYPERLINK("https://rth.dk/resources/bsgatlas/details.php?id=BSGatlas-operon-987","BSGatlas-operon-987")</f>
        <v>BSGatlas-operon-987</v>
      </c>
      <c r="B1938" s="2" t="str">
        <f>HYPERLINK("https://rth.dk/resources/bsgatlas/details.php?id=BSGatlas-gene-2048","BSGatlas-gene-2048")</f>
        <v>BSGatlas-gene-2048</v>
      </c>
      <c r="C1938" s="1" t="s">
        <v>1932</v>
      </c>
      <c r="D1938" s="1" t="s">
        <v>8</v>
      </c>
      <c r="E1938" s="3">
        <v>1880623</v>
      </c>
      <c r="F1938" s="3">
        <v>1880967</v>
      </c>
      <c r="G1938" s="1" t="s">
        <v>9</v>
      </c>
      <c r="H1938" s="1" t="b">
        <f t="shared" si="74"/>
        <v>1</v>
      </c>
    </row>
    <row r="1939" spans="1:8" ht="21" x14ac:dyDescent="0.25">
      <c r="A1939" s="2" t="str">
        <f>HYPERLINK("https://rth.dk/resources/bsgatlas/details.php?id=BSGatlas-operon-988","BSGatlas-operon-988")</f>
        <v>BSGatlas-operon-988</v>
      </c>
      <c r="B1939" s="2" t="str">
        <f>HYPERLINK("https://rth.dk/resources/bsgatlas/details.php?id=BSGatlas-gene-2050","BSGatlas-gene-2050")</f>
        <v>BSGatlas-gene-2050</v>
      </c>
      <c r="C1939" s="1" t="s">
        <v>1933</v>
      </c>
      <c r="D1939" s="1" t="s">
        <v>8</v>
      </c>
      <c r="E1939" s="3">
        <v>1881536</v>
      </c>
      <c r="F1939" s="3">
        <v>1881970</v>
      </c>
      <c r="G1939" s="1" t="s">
        <v>9</v>
      </c>
      <c r="H1939" s="1" t="b">
        <f t="shared" si="74"/>
        <v>0</v>
      </c>
    </row>
    <row r="1940" spans="1:8" ht="21" x14ac:dyDescent="0.25">
      <c r="A1940" s="2" t="str">
        <f>HYPERLINK("https://rth.dk/resources/bsgatlas/details.php?id=BSGatlas-operon-988","BSGatlas-operon-988")</f>
        <v>BSGatlas-operon-988</v>
      </c>
      <c r="B1940" s="2" t="str">
        <f>HYPERLINK("https://rth.dk/resources/bsgatlas/details.php?id=BSGatlas-gene-2051","BSGatlas-gene-2051")</f>
        <v>BSGatlas-gene-2051</v>
      </c>
      <c r="C1940" s="1" t="s">
        <v>1934</v>
      </c>
      <c r="D1940" s="1" t="s">
        <v>8</v>
      </c>
      <c r="E1940" s="3">
        <v>1882040</v>
      </c>
      <c r="F1940" s="3">
        <v>1882831</v>
      </c>
      <c r="G1940" s="1" t="s">
        <v>9</v>
      </c>
      <c r="H1940" s="1" t="b">
        <f t="shared" si="74"/>
        <v>0</v>
      </c>
    </row>
    <row r="1941" spans="1:8" ht="21" x14ac:dyDescent="0.25">
      <c r="A1941" s="2" t="str">
        <f>HYPERLINK("https://rth.dk/resources/bsgatlas/details.php?id=BSGatlas-operon-989","BSGatlas-operon-989")</f>
        <v>BSGatlas-operon-989</v>
      </c>
      <c r="B1941" s="2" t="str">
        <f>HYPERLINK("https://rth.dk/resources/bsgatlas/details.php?id=BSGatlas-gene-2052","BSGatlas-gene-2052")</f>
        <v>BSGatlas-gene-2052</v>
      </c>
      <c r="C1941" s="1" t="s">
        <v>1935</v>
      </c>
      <c r="D1941" s="1" t="s">
        <v>8</v>
      </c>
      <c r="E1941" s="3">
        <v>1883166</v>
      </c>
      <c r="F1941" s="3">
        <v>1883678</v>
      </c>
      <c r="G1941" s="1" t="s">
        <v>9</v>
      </c>
      <c r="H1941" s="1" t="b">
        <f t="shared" si="74"/>
        <v>1</v>
      </c>
    </row>
    <row r="1942" spans="1:8" ht="21" x14ac:dyDescent="0.25">
      <c r="A1942" s="2" t="str">
        <f>HYPERLINK("https://rth.dk/resources/bsgatlas/details.php?id=BSGatlas-operon-990","BSGatlas-operon-990")</f>
        <v>BSGatlas-operon-990</v>
      </c>
      <c r="B1942" s="2" t="str">
        <f>HYPERLINK("https://rth.dk/resources/bsgatlas/details.php?id=BSGatlas-gene-2053","BSGatlas-gene-2053")</f>
        <v>BSGatlas-gene-2053</v>
      </c>
      <c r="C1942" s="1" t="s">
        <v>1936</v>
      </c>
      <c r="D1942" s="1" t="s">
        <v>8</v>
      </c>
      <c r="E1942" s="3">
        <v>1884238</v>
      </c>
      <c r="F1942" s="3">
        <v>1884879</v>
      </c>
      <c r="G1942" s="1" t="s">
        <v>9</v>
      </c>
      <c r="H1942" s="1" t="b">
        <f t="shared" si="74"/>
        <v>0</v>
      </c>
    </row>
    <row r="1943" spans="1:8" ht="21" x14ac:dyDescent="0.25">
      <c r="A1943" s="2" t="str">
        <f>HYPERLINK("https://rth.dk/resources/bsgatlas/details.php?id=BSGatlas-operon-991","BSGatlas-operon-991")</f>
        <v>BSGatlas-operon-991</v>
      </c>
      <c r="B1943" s="2" t="str">
        <f>HYPERLINK("https://rth.dk/resources/bsgatlas/details.php?id=BSGatlas-gene-2058","BSGatlas-gene-2058")</f>
        <v>BSGatlas-gene-2058</v>
      </c>
      <c r="C1943" s="1" t="s">
        <v>1937</v>
      </c>
      <c r="D1943" s="1" t="s">
        <v>8</v>
      </c>
      <c r="E1943" s="3">
        <v>1887352</v>
      </c>
      <c r="F1943" s="3">
        <v>1888743</v>
      </c>
      <c r="G1943" s="1" t="s">
        <v>9</v>
      </c>
      <c r="H1943" s="1" t="b">
        <f t="shared" si="74"/>
        <v>1</v>
      </c>
    </row>
    <row r="1944" spans="1:8" ht="21" x14ac:dyDescent="0.25">
      <c r="A1944" s="2" t="str">
        <f>HYPERLINK("https://rth.dk/resources/bsgatlas/details.php?id=BSGatlas-operon-991","BSGatlas-operon-991")</f>
        <v>BSGatlas-operon-991</v>
      </c>
      <c r="B1944" s="2" t="str">
        <f>HYPERLINK("https://rth.dk/resources/bsgatlas/details.php?id=BSGatlas-gene-2059","BSGatlas-gene-2059")</f>
        <v>BSGatlas-gene-2059</v>
      </c>
      <c r="C1944" s="1" t="s">
        <v>1938</v>
      </c>
      <c r="D1944" s="1" t="s">
        <v>8</v>
      </c>
      <c r="E1944" s="3">
        <v>1888774</v>
      </c>
      <c r="F1944" s="3">
        <v>1890375</v>
      </c>
      <c r="G1944" s="1" t="s">
        <v>9</v>
      </c>
      <c r="H1944" s="1" t="b">
        <f t="shared" si="74"/>
        <v>1</v>
      </c>
    </row>
    <row r="1945" spans="1:8" ht="21" x14ac:dyDescent="0.25">
      <c r="A1945" s="2" t="str">
        <f>HYPERLINK("https://rth.dk/resources/bsgatlas/details.php?id=BSGatlas-operon-992","BSGatlas-operon-992")</f>
        <v>BSGatlas-operon-992</v>
      </c>
      <c r="B1945" s="2" t="str">
        <f>HYPERLINK("https://rth.dk/resources/bsgatlas/details.php?id=BSGatlas-gene-2060","BSGatlas-gene-2060")</f>
        <v>BSGatlas-gene-2060</v>
      </c>
      <c r="C1945" s="1" t="s">
        <v>1939</v>
      </c>
      <c r="D1945" s="1" t="s">
        <v>12</v>
      </c>
      <c r="E1945" s="3">
        <v>1888890</v>
      </c>
      <c r="F1945" s="3">
        <v>1889195</v>
      </c>
      <c r="G1945" s="1" t="s">
        <v>13</v>
      </c>
      <c r="H1945" s="1" t="b">
        <f t="shared" si="74"/>
        <v>0</v>
      </c>
    </row>
    <row r="1946" spans="1:8" ht="21" x14ac:dyDescent="0.25">
      <c r="A1946" s="2" t="str">
        <f>HYPERLINK("https://rth.dk/resources/bsgatlas/details.php?id=BSGatlas-operon-993","BSGatlas-operon-993")</f>
        <v>BSGatlas-operon-993</v>
      </c>
      <c r="B1946" s="2" t="str">
        <f>HYPERLINK("https://rth.dk/resources/bsgatlas/details.php?id=BSGatlas-gene-2061","BSGatlas-gene-2061")</f>
        <v>BSGatlas-gene-2061</v>
      </c>
      <c r="C1946" s="1" t="s">
        <v>1940</v>
      </c>
      <c r="D1946" s="1" t="s">
        <v>8</v>
      </c>
      <c r="E1946" s="3">
        <v>1890512</v>
      </c>
      <c r="F1946" s="3">
        <v>1891666</v>
      </c>
      <c r="G1946" s="1" t="s">
        <v>13</v>
      </c>
      <c r="H1946" s="1" t="b">
        <f t="shared" si="74"/>
        <v>1</v>
      </c>
    </row>
    <row r="1947" spans="1:8" ht="21" x14ac:dyDescent="0.25">
      <c r="A1947" s="2" t="str">
        <f>HYPERLINK("https://rth.dk/resources/bsgatlas/details.php?id=BSGatlas-operon-994","BSGatlas-operon-994")</f>
        <v>BSGatlas-operon-994</v>
      </c>
      <c r="B1947" s="2" t="str">
        <f>HYPERLINK("https://rth.dk/resources/bsgatlas/details.php?id=BSGatlas-gene-2062","BSGatlas-gene-2062")</f>
        <v>BSGatlas-gene-2062</v>
      </c>
      <c r="C1947" s="1" t="s">
        <v>1941</v>
      </c>
      <c r="D1947" s="1" t="s">
        <v>8</v>
      </c>
      <c r="E1947" s="3">
        <v>1891908</v>
      </c>
      <c r="F1947" s="3">
        <v>1893245</v>
      </c>
      <c r="G1947" s="1" t="s">
        <v>9</v>
      </c>
      <c r="H1947" s="1" t="b">
        <f t="shared" si="74"/>
        <v>0</v>
      </c>
    </row>
    <row r="1948" spans="1:8" ht="21" x14ac:dyDescent="0.25">
      <c r="A1948" s="2" t="str">
        <f>HYPERLINK("https://rth.dk/resources/bsgatlas/details.php?id=BSGatlas-operon-994","BSGatlas-operon-994")</f>
        <v>BSGatlas-operon-994</v>
      </c>
      <c r="B1948" s="2" t="str">
        <f>HYPERLINK("https://rth.dk/resources/bsgatlas/details.php?id=BSGatlas-gene-2063","BSGatlas-gene-2063")</f>
        <v>BSGatlas-gene-2063</v>
      </c>
      <c r="C1948" s="1" t="s">
        <v>1942</v>
      </c>
      <c r="D1948" s="1" t="s">
        <v>8</v>
      </c>
      <c r="E1948" s="3">
        <v>1893396</v>
      </c>
      <c r="F1948" s="3">
        <v>1894895</v>
      </c>
      <c r="G1948" s="1" t="s">
        <v>9</v>
      </c>
      <c r="H1948" s="1" t="b">
        <f t="shared" si="74"/>
        <v>0</v>
      </c>
    </row>
    <row r="1949" spans="1:8" ht="21" x14ac:dyDescent="0.25">
      <c r="A1949" s="2" t="str">
        <f>HYPERLINK("https://rth.dk/resources/bsgatlas/details.php?id=BSGatlas-operon-995","BSGatlas-operon-995")</f>
        <v>BSGatlas-operon-995</v>
      </c>
      <c r="B1949" s="2" t="str">
        <f>HYPERLINK("https://rth.dk/resources/bsgatlas/details.php?id=BSGatlas-gene-2064","BSGatlas-gene-2064")</f>
        <v>BSGatlas-gene-2064</v>
      </c>
      <c r="C1949" s="1" t="s">
        <v>1943</v>
      </c>
      <c r="D1949" s="1" t="s">
        <v>8</v>
      </c>
      <c r="E1949" s="3">
        <v>1895378</v>
      </c>
      <c r="F1949" s="3">
        <v>1896013</v>
      </c>
      <c r="G1949" s="1" t="s">
        <v>13</v>
      </c>
      <c r="H1949" s="1" t="b">
        <f t="shared" si="74"/>
        <v>1</v>
      </c>
    </row>
    <row r="1950" spans="1:8" ht="21" x14ac:dyDescent="0.25">
      <c r="A1950" s="2" t="str">
        <f>HYPERLINK("https://rth.dk/resources/bsgatlas/details.php?id=BSGatlas-operon-996","BSGatlas-operon-996")</f>
        <v>BSGatlas-operon-996</v>
      </c>
      <c r="B1950" s="2" t="str">
        <f>HYPERLINK("https://rth.dk/resources/bsgatlas/details.php?id=BSGatlas-gene-2065","BSGatlas-gene-2065")</f>
        <v>BSGatlas-gene-2065</v>
      </c>
      <c r="C1950" s="1" t="s">
        <v>1944</v>
      </c>
      <c r="D1950" s="1" t="s">
        <v>8</v>
      </c>
      <c r="E1950" s="3">
        <v>1896424</v>
      </c>
      <c r="F1950" s="3">
        <v>1897839</v>
      </c>
      <c r="G1950" s="1" t="s">
        <v>9</v>
      </c>
      <c r="H1950" s="1" t="b">
        <f t="shared" si="74"/>
        <v>0</v>
      </c>
    </row>
    <row r="1951" spans="1:8" ht="21" x14ac:dyDescent="0.25">
      <c r="A1951" s="2" t="str">
        <f>HYPERLINK("https://rth.dk/resources/bsgatlas/details.php?id=BSGatlas-operon-997","BSGatlas-operon-997")</f>
        <v>BSGatlas-operon-997</v>
      </c>
      <c r="B1951" s="2" t="str">
        <f>HYPERLINK("https://rth.dk/resources/bsgatlas/details.php?id=BSGatlas-gene-2066","BSGatlas-gene-2066")</f>
        <v>BSGatlas-gene-2066</v>
      </c>
      <c r="C1951" s="1" t="s">
        <v>1945</v>
      </c>
      <c r="D1951" s="1" t="s">
        <v>8</v>
      </c>
      <c r="E1951" s="3">
        <v>1897941</v>
      </c>
      <c r="F1951" s="3">
        <v>1899125</v>
      </c>
      <c r="G1951" s="1" t="s">
        <v>13</v>
      </c>
      <c r="H1951" s="1" t="b">
        <f t="shared" si="74"/>
        <v>1</v>
      </c>
    </row>
    <row r="1952" spans="1:8" ht="21" x14ac:dyDescent="0.25">
      <c r="A1952" s="2" t="str">
        <f>HYPERLINK("https://rth.dk/resources/bsgatlas/details.php?id=BSGatlas-operon-998","BSGatlas-operon-998")</f>
        <v>BSGatlas-operon-998</v>
      </c>
      <c r="B1952" s="2" t="str">
        <f>HYPERLINK("https://rth.dk/resources/bsgatlas/details.php?id=BSGatlas-gene-2067","BSGatlas-gene-2067")</f>
        <v>BSGatlas-gene-2067</v>
      </c>
      <c r="C1952" s="1" t="s">
        <v>1946</v>
      </c>
      <c r="D1952" s="1" t="s">
        <v>8</v>
      </c>
      <c r="E1952" s="3">
        <v>1899589</v>
      </c>
      <c r="F1952" s="3">
        <v>1900050</v>
      </c>
      <c r="G1952" s="1" t="s">
        <v>9</v>
      </c>
      <c r="H1952" s="1" t="b">
        <f t="shared" si="74"/>
        <v>0</v>
      </c>
    </row>
    <row r="1953" spans="1:8" ht="21" x14ac:dyDescent="0.25">
      <c r="A1953" s="2" t="str">
        <f>HYPERLINK("https://rth.dk/resources/bsgatlas/details.php?id=BSGatlas-operon-999","BSGatlas-operon-999")</f>
        <v>BSGatlas-operon-999</v>
      </c>
      <c r="B1953" s="2" t="str">
        <f>HYPERLINK("https://rth.dk/resources/bsgatlas/details.php?id=BSGatlas-gene-2068","BSGatlas-gene-2068")</f>
        <v>BSGatlas-gene-2068</v>
      </c>
      <c r="C1953" s="1" t="s">
        <v>1947</v>
      </c>
      <c r="D1953" s="1" t="s">
        <v>8</v>
      </c>
      <c r="E1953" s="3">
        <v>1900080</v>
      </c>
      <c r="F1953" s="3">
        <v>1900514</v>
      </c>
      <c r="G1953" s="1" t="s">
        <v>9</v>
      </c>
      <c r="H1953" s="1" t="b">
        <f t="shared" si="74"/>
        <v>1</v>
      </c>
    </row>
    <row r="1954" spans="1:8" ht="21" x14ac:dyDescent="0.25">
      <c r="A1954" s="2" t="str">
        <f>HYPERLINK("https://rth.dk/resources/bsgatlas/details.php?id=BSGatlas-operon-1000","BSGatlas-operon-1000")</f>
        <v>BSGatlas-operon-1000</v>
      </c>
      <c r="B1954" s="2" t="str">
        <f>HYPERLINK("https://rth.dk/resources/bsgatlas/details.php?id=BSGatlas-gene-2070","BSGatlas-gene-2070")</f>
        <v>BSGatlas-gene-2070</v>
      </c>
      <c r="C1954" s="1" t="s">
        <v>1948</v>
      </c>
      <c r="D1954" s="1" t="s">
        <v>12</v>
      </c>
      <c r="E1954" s="3">
        <v>1900570</v>
      </c>
      <c r="F1954" s="3">
        <v>1900855</v>
      </c>
      <c r="G1954" s="1" t="s">
        <v>13</v>
      </c>
      <c r="H1954" s="1" t="b">
        <f t="shared" si="74"/>
        <v>0</v>
      </c>
    </row>
    <row r="1955" spans="1:8" ht="21" x14ac:dyDescent="0.25">
      <c r="A1955" s="2" t="str">
        <f>HYPERLINK("https://rth.dk/resources/bsgatlas/details.php?id=BSGatlas-operon-1001","BSGatlas-operon-1001")</f>
        <v>BSGatlas-operon-1001</v>
      </c>
      <c r="B1955" s="2" t="str">
        <f>HYPERLINK("https://rth.dk/resources/bsgatlas/details.php?id=BSGatlas-gene-2071","BSGatlas-gene-2071")</f>
        <v>BSGatlas-gene-2071</v>
      </c>
      <c r="C1955" s="1" t="s">
        <v>1949</v>
      </c>
      <c r="D1955" s="1" t="s">
        <v>8</v>
      </c>
      <c r="E1955" s="3">
        <v>1901117</v>
      </c>
      <c r="F1955" s="3">
        <v>1901377</v>
      </c>
      <c r="G1955" s="1" t="s">
        <v>13</v>
      </c>
      <c r="H1955" s="1" t="b">
        <f t="shared" si="74"/>
        <v>1</v>
      </c>
    </row>
    <row r="1956" spans="1:8" ht="21" x14ac:dyDescent="0.25">
      <c r="A1956" s="2" t="str">
        <f>HYPERLINK("https://rth.dk/resources/bsgatlas/details.php?id=BSGatlas-operon-1002","BSGatlas-operon-1002")</f>
        <v>BSGatlas-operon-1002</v>
      </c>
      <c r="B1956" s="2" t="str">
        <f>HYPERLINK("https://rth.dk/resources/bsgatlas/details.php?id=BSGatlas-gene-2073","BSGatlas-gene-2073")</f>
        <v>BSGatlas-gene-2073</v>
      </c>
      <c r="C1956" s="1" t="s">
        <v>318</v>
      </c>
      <c r="D1956" s="1" t="s">
        <v>8</v>
      </c>
      <c r="E1956" s="3">
        <v>1901781</v>
      </c>
      <c r="F1956" s="3">
        <v>1901945</v>
      </c>
      <c r="G1956" s="1" t="s">
        <v>9</v>
      </c>
      <c r="H1956" s="1" t="b">
        <f t="shared" si="74"/>
        <v>0</v>
      </c>
    </row>
    <row r="1957" spans="1:8" ht="21" x14ac:dyDescent="0.25">
      <c r="A1957" s="2" t="str">
        <f>HYPERLINK("https://rth.dk/resources/bsgatlas/details.php?id=BSGatlas-operon-1003","BSGatlas-operon-1003")</f>
        <v>BSGatlas-operon-1003</v>
      </c>
      <c r="B1957" s="2" t="str">
        <f>HYPERLINK("https://rth.dk/resources/bsgatlas/details.php?id=BSGatlas-gene-2075","BSGatlas-gene-2075")</f>
        <v>BSGatlas-gene-2075</v>
      </c>
      <c r="C1957" s="1" t="s">
        <v>1950</v>
      </c>
      <c r="D1957" s="1" t="s">
        <v>8</v>
      </c>
      <c r="E1957" s="3">
        <v>1902219</v>
      </c>
      <c r="F1957" s="3">
        <v>1903058</v>
      </c>
      <c r="G1957" s="1" t="s">
        <v>9</v>
      </c>
      <c r="H1957" s="1" t="b">
        <f t="shared" si="74"/>
        <v>1</v>
      </c>
    </row>
    <row r="1958" spans="1:8" ht="21" x14ac:dyDescent="0.25">
      <c r="A1958" s="2" t="str">
        <f>HYPERLINK("https://rth.dk/resources/bsgatlas/details.php?id=BSGatlas-operon-1004","BSGatlas-operon-1004")</f>
        <v>BSGatlas-operon-1004</v>
      </c>
      <c r="B1958" s="2" t="str">
        <f>HYPERLINK("https://rth.dk/resources/bsgatlas/details.php?id=BSGatlas-gene-2076","BSGatlas-gene-2076")</f>
        <v>BSGatlas-gene-2076</v>
      </c>
      <c r="C1958" s="1" t="s">
        <v>318</v>
      </c>
      <c r="D1958" s="1" t="s">
        <v>8</v>
      </c>
      <c r="E1958" s="3">
        <v>1903181</v>
      </c>
      <c r="F1958" s="3">
        <v>1903468</v>
      </c>
      <c r="G1958" s="1" t="s">
        <v>13</v>
      </c>
      <c r="H1958" s="1" t="b">
        <f t="shared" si="74"/>
        <v>0</v>
      </c>
    </row>
    <row r="1959" spans="1:8" ht="21" x14ac:dyDescent="0.25">
      <c r="A1959" s="2" t="str">
        <f>HYPERLINK("https://rth.dk/resources/bsgatlas/details.php?id=BSGatlas-operon-1005","BSGatlas-operon-1005")</f>
        <v>BSGatlas-operon-1005</v>
      </c>
      <c r="B1959" s="2" t="str">
        <f>HYPERLINK("https://rth.dk/resources/bsgatlas/details.php?id=BSGatlas-gene-2077","BSGatlas-gene-2077")</f>
        <v>BSGatlas-gene-2077</v>
      </c>
      <c r="C1959" s="1" t="s">
        <v>1951</v>
      </c>
      <c r="D1959" s="1" t="s">
        <v>12</v>
      </c>
      <c r="E1959" s="3">
        <v>1903330</v>
      </c>
      <c r="F1959" s="3">
        <v>1903490</v>
      </c>
      <c r="G1959" s="1" t="s">
        <v>9</v>
      </c>
      <c r="H1959" s="1" t="b">
        <f t="shared" si="74"/>
        <v>1</v>
      </c>
    </row>
    <row r="1960" spans="1:8" ht="21" x14ac:dyDescent="0.25">
      <c r="A1960" s="2" t="str">
        <f>HYPERLINK("https://rth.dk/resources/bsgatlas/details.php?id=BSGatlas-operon-1006","BSGatlas-operon-1006")</f>
        <v>BSGatlas-operon-1006</v>
      </c>
      <c r="B1960" s="2" t="str">
        <f>HYPERLINK("https://rth.dk/resources/bsgatlas/details.php?id=BSGatlas-gene-2078","BSGatlas-gene-2078")</f>
        <v>BSGatlas-gene-2078</v>
      </c>
      <c r="C1960" s="1" t="s">
        <v>1952</v>
      </c>
      <c r="D1960" s="1" t="s">
        <v>8</v>
      </c>
      <c r="E1960" s="3">
        <v>1903511</v>
      </c>
      <c r="F1960" s="3">
        <v>1904233</v>
      </c>
      <c r="G1960" s="1" t="s">
        <v>13</v>
      </c>
      <c r="H1960" s="1" t="b">
        <f t="shared" si="74"/>
        <v>0</v>
      </c>
    </row>
    <row r="1961" spans="1:8" ht="21" x14ac:dyDescent="0.25">
      <c r="A1961" s="2" t="str">
        <f>HYPERLINK("https://rth.dk/resources/bsgatlas/details.php?id=BSGatlas-operon-1007","BSGatlas-operon-1007")</f>
        <v>BSGatlas-operon-1007</v>
      </c>
      <c r="B1961" s="2" t="str">
        <f>HYPERLINK("https://rth.dk/resources/bsgatlas/details.php?id=BSGatlas-gene-2079","BSGatlas-gene-2079")</f>
        <v>BSGatlas-gene-2079</v>
      </c>
      <c r="C1961" s="1" t="s">
        <v>1953</v>
      </c>
      <c r="D1961" s="1" t="s">
        <v>8</v>
      </c>
      <c r="E1961" s="3">
        <v>1904393</v>
      </c>
      <c r="F1961" s="3">
        <v>1904749</v>
      </c>
      <c r="G1961" s="1" t="s">
        <v>13</v>
      </c>
      <c r="H1961" s="1" t="b">
        <f t="shared" si="74"/>
        <v>1</v>
      </c>
    </row>
    <row r="1962" spans="1:8" ht="21" x14ac:dyDescent="0.25">
      <c r="A1962" s="2" t="str">
        <f>HYPERLINK("https://rth.dk/resources/bsgatlas/details.php?id=BSGatlas-operon-1008","BSGatlas-operon-1008")</f>
        <v>BSGatlas-operon-1008</v>
      </c>
      <c r="B1962" s="2" t="str">
        <f>HYPERLINK("https://rth.dk/resources/bsgatlas/details.php?id=BSGatlas-gene-2080","BSGatlas-gene-2080")</f>
        <v>BSGatlas-gene-2080</v>
      </c>
      <c r="C1962" s="1" t="s">
        <v>1954</v>
      </c>
      <c r="D1962" s="1" t="s">
        <v>8</v>
      </c>
      <c r="E1962" s="3">
        <v>1904995</v>
      </c>
      <c r="F1962" s="3">
        <v>1905195</v>
      </c>
      <c r="G1962" s="1" t="s">
        <v>13</v>
      </c>
      <c r="H1962" s="1" t="b">
        <f t="shared" si="74"/>
        <v>0</v>
      </c>
    </row>
    <row r="1963" spans="1:8" ht="21" x14ac:dyDescent="0.25">
      <c r="A1963" s="2" t="str">
        <f>HYPERLINK("https://rth.dk/resources/bsgatlas/details.php?id=BSGatlas-operon-1009","BSGatlas-operon-1009")</f>
        <v>BSGatlas-operon-1009</v>
      </c>
      <c r="B1963" s="2" t="str">
        <f>HYPERLINK("https://rth.dk/resources/bsgatlas/details.php?id=BSGatlas-gene-2081","BSGatlas-gene-2081")</f>
        <v>BSGatlas-gene-2081</v>
      </c>
      <c r="C1963" s="1" t="s">
        <v>1955</v>
      </c>
      <c r="D1963" s="1" t="s">
        <v>8</v>
      </c>
      <c r="E1963" s="3">
        <v>1905370</v>
      </c>
      <c r="F1963" s="3">
        <v>1905558</v>
      </c>
      <c r="G1963" s="1" t="s">
        <v>13</v>
      </c>
      <c r="H1963" s="1" t="b">
        <f t="shared" si="74"/>
        <v>1</v>
      </c>
    </row>
    <row r="1964" spans="1:8" ht="21" x14ac:dyDescent="0.25">
      <c r="A1964" s="2" t="str">
        <f>HYPERLINK("https://rth.dk/resources/bsgatlas/details.php?id=BSGatlas-operon-1010","BSGatlas-operon-1010")</f>
        <v>BSGatlas-operon-1010</v>
      </c>
      <c r="B1964" s="2" t="str">
        <f>HYPERLINK("https://rth.dk/resources/bsgatlas/details.php?id=BSGatlas-gene-2082","BSGatlas-gene-2082")</f>
        <v>BSGatlas-gene-2082</v>
      </c>
      <c r="C1964" s="1" t="s">
        <v>318</v>
      </c>
      <c r="D1964" s="1" t="s">
        <v>8</v>
      </c>
      <c r="E1964" s="3">
        <v>1905637</v>
      </c>
      <c r="F1964" s="3">
        <v>1905774</v>
      </c>
      <c r="G1964" s="1" t="s">
        <v>9</v>
      </c>
      <c r="H1964" s="1" t="b">
        <f t="shared" si="74"/>
        <v>0</v>
      </c>
    </row>
    <row r="1965" spans="1:8" ht="21" x14ac:dyDescent="0.25">
      <c r="A1965" s="2" t="str">
        <f>HYPERLINK("https://rth.dk/resources/bsgatlas/details.php?id=BSGatlas-operon-1011","BSGatlas-operon-1011")</f>
        <v>BSGatlas-operon-1011</v>
      </c>
      <c r="B1965" s="2" t="str">
        <f>HYPERLINK("https://rth.dk/resources/bsgatlas/details.php?id=BSGatlas-gene-2083","BSGatlas-gene-2083")</f>
        <v>BSGatlas-gene-2083</v>
      </c>
      <c r="C1965" s="1" t="s">
        <v>1956</v>
      </c>
      <c r="D1965" s="1" t="s">
        <v>8</v>
      </c>
      <c r="E1965" s="3">
        <v>1905809</v>
      </c>
      <c r="F1965" s="3">
        <v>1906207</v>
      </c>
      <c r="G1965" s="1" t="s">
        <v>9</v>
      </c>
      <c r="H1965" s="1" t="b">
        <f t="shared" si="74"/>
        <v>1</v>
      </c>
    </row>
    <row r="1966" spans="1:8" ht="21" x14ac:dyDescent="0.25">
      <c r="A1966" s="2" t="str">
        <f>HYPERLINK("https://rth.dk/resources/bsgatlas/details.php?id=BSGatlas-operon-1011","BSGatlas-operon-1011")</f>
        <v>BSGatlas-operon-1011</v>
      </c>
      <c r="B1966" s="2" t="str">
        <f>HYPERLINK("https://rth.dk/resources/bsgatlas/details.php?id=BSGatlas-gene-2085","BSGatlas-gene-2085")</f>
        <v>BSGatlas-gene-2085</v>
      </c>
      <c r="C1966" s="1" t="s">
        <v>1957</v>
      </c>
      <c r="D1966" s="1" t="s">
        <v>8</v>
      </c>
      <c r="E1966" s="3">
        <v>1907013</v>
      </c>
      <c r="F1966" s="3">
        <v>1907201</v>
      </c>
      <c r="G1966" s="1" t="s">
        <v>9</v>
      </c>
      <c r="H1966" s="1" t="b">
        <f t="shared" si="74"/>
        <v>1</v>
      </c>
    </row>
    <row r="1967" spans="1:8" ht="21" x14ac:dyDescent="0.25">
      <c r="A1967" s="2" t="str">
        <f>HYPERLINK("https://rth.dk/resources/bsgatlas/details.php?id=BSGatlas-operon-1012","BSGatlas-operon-1012")</f>
        <v>BSGatlas-operon-1012</v>
      </c>
      <c r="B1967" s="2" t="str">
        <f>HYPERLINK("https://rth.dk/resources/bsgatlas/details.php?id=BSGatlas-gene-2084","BSGatlas-gene-2084")</f>
        <v>BSGatlas-gene-2084</v>
      </c>
      <c r="C1967" s="1" t="s">
        <v>1958</v>
      </c>
      <c r="D1967" s="1" t="s">
        <v>8</v>
      </c>
      <c r="E1967" s="3">
        <v>1906272</v>
      </c>
      <c r="F1967" s="3">
        <v>1906706</v>
      </c>
      <c r="G1967" s="1" t="s">
        <v>13</v>
      </c>
      <c r="H1967" s="1" t="b">
        <f t="shared" si="74"/>
        <v>0</v>
      </c>
    </row>
    <row r="1968" spans="1:8" ht="21" x14ac:dyDescent="0.25">
      <c r="A1968" s="2" t="str">
        <f>HYPERLINK("https://rth.dk/resources/bsgatlas/details.php?id=BSGatlas-operon-1013","BSGatlas-operon-1013")</f>
        <v>BSGatlas-operon-1013</v>
      </c>
      <c r="B1968" s="2" t="str">
        <f>HYPERLINK("https://rth.dk/resources/bsgatlas/details.php?id=BSGatlas-gene-2086","BSGatlas-gene-2086")</f>
        <v>BSGatlas-gene-2086</v>
      </c>
      <c r="C1968" s="1" t="s">
        <v>1959</v>
      </c>
      <c r="D1968" s="1" t="s">
        <v>8</v>
      </c>
      <c r="E1968" s="3">
        <v>1907494</v>
      </c>
      <c r="F1968" s="3">
        <v>1909056</v>
      </c>
      <c r="G1968" s="1" t="s">
        <v>9</v>
      </c>
      <c r="H1968" s="1" t="b">
        <f t="shared" si="74"/>
        <v>1</v>
      </c>
    </row>
    <row r="1969" spans="1:8" ht="21" x14ac:dyDescent="0.25">
      <c r="A1969" s="2" t="str">
        <f>HYPERLINK("https://rth.dk/resources/bsgatlas/details.php?id=BSGatlas-operon-1013","BSGatlas-operon-1013")</f>
        <v>BSGatlas-operon-1013</v>
      </c>
      <c r="B1969" s="2" t="str">
        <f>HYPERLINK("https://rth.dk/resources/bsgatlas/details.php?id=BSGatlas-gene-2087","BSGatlas-gene-2087")</f>
        <v>BSGatlas-gene-2087</v>
      </c>
      <c r="C1969" s="1" t="s">
        <v>1960</v>
      </c>
      <c r="D1969" s="1" t="s">
        <v>8</v>
      </c>
      <c r="E1969" s="3">
        <v>1909086</v>
      </c>
      <c r="F1969" s="3">
        <v>1910177</v>
      </c>
      <c r="G1969" s="1" t="s">
        <v>9</v>
      </c>
      <c r="H1969" s="1" t="b">
        <f t="shared" si="74"/>
        <v>1</v>
      </c>
    </row>
    <row r="1970" spans="1:8" ht="21" x14ac:dyDescent="0.25">
      <c r="A1970" s="2" t="str">
        <f>HYPERLINK("https://rth.dk/resources/bsgatlas/details.php?id=BSGatlas-operon-1013","BSGatlas-operon-1013")</f>
        <v>BSGatlas-operon-1013</v>
      </c>
      <c r="B1970" s="2" t="str">
        <f>HYPERLINK("https://rth.dk/resources/bsgatlas/details.php?id=BSGatlas-gene-2088","BSGatlas-gene-2088")</f>
        <v>BSGatlas-gene-2088</v>
      </c>
      <c r="C1970" s="1" t="s">
        <v>1961</v>
      </c>
      <c r="D1970" s="1" t="s">
        <v>8</v>
      </c>
      <c r="E1970" s="3">
        <v>1910167</v>
      </c>
      <c r="F1970" s="3">
        <v>1911381</v>
      </c>
      <c r="G1970" s="1" t="s">
        <v>9</v>
      </c>
      <c r="H1970" s="1" t="b">
        <f t="shared" si="74"/>
        <v>1</v>
      </c>
    </row>
    <row r="1971" spans="1:8" ht="21" x14ac:dyDescent="0.25">
      <c r="A1971" s="2" t="str">
        <f>HYPERLINK("https://rth.dk/resources/bsgatlas/details.php?id=BSGatlas-operon-1014","BSGatlas-operon-1014")</f>
        <v>BSGatlas-operon-1014</v>
      </c>
      <c r="B1971" s="2" t="str">
        <f>HYPERLINK("https://rth.dk/resources/bsgatlas/details.php?id=BSGatlas-gene-2089","BSGatlas-gene-2089")</f>
        <v>BSGatlas-gene-2089</v>
      </c>
      <c r="C1971" s="1" t="s">
        <v>1962</v>
      </c>
      <c r="D1971" s="1" t="s">
        <v>8</v>
      </c>
      <c r="E1971" s="3">
        <v>1911528</v>
      </c>
      <c r="F1971" s="3">
        <v>1912334</v>
      </c>
      <c r="G1971" s="1" t="s">
        <v>9</v>
      </c>
      <c r="H1971" s="1" t="b">
        <f t="shared" si="74"/>
        <v>0</v>
      </c>
    </row>
    <row r="1972" spans="1:8" ht="21" x14ac:dyDescent="0.25">
      <c r="A1972" s="2" t="str">
        <f>HYPERLINK("https://rth.dk/resources/bsgatlas/details.php?id=BSGatlas-operon-1014","BSGatlas-operon-1014")</f>
        <v>BSGatlas-operon-1014</v>
      </c>
      <c r="B1972" s="2" t="str">
        <f>HYPERLINK("https://rth.dk/resources/bsgatlas/details.php?id=BSGatlas-gene-2091","BSGatlas-gene-2091")</f>
        <v>BSGatlas-gene-2091</v>
      </c>
      <c r="C1972" s="1" t="s">
        <v>1963</v>
      </c>
      <c r="D1972" s="1" t="s">
        <v>8</v>
      </c>
      <c r="E1972" s="3">
        <v>1912339</v>
      </c>
      <c r="F1972" s="3">
        <v>1912956</v>
      </c>
      <c r="G1972" s="1" t="s">
        <v>9</v>
      </c>
      <c r="H1972" s="1" t="b">
        <f t="shared" si="74"/>
        <v>0</v>
      </c>
    </row>
    <row r="1973" spans="1:8" ht="21" x14ac:dyDescent="0.25">
      <c r="A1973" s="2" t="str">
        <f>HYPERLINK("https://rth.dk/resources/bsgatlas/details.php?id=BSGatlas-operon-1014","BSGatlas-operon-1014")</f>
        <v>BSGatlas-operon-1014</v>
      </c>
      <c r="B1973" s="2" t="str">
        <f>HYPERLINK("https://rth.dk/resources/bsgatlas/details.php?id=BSGatlas-gene-2092","BSGatlas-gene-2092")</f>
        <v>BSGatlas-gene-2092</v>
      </c>
      <c r="C1973" s="1" t="s">
        <v>1964</v>
      </c>
      <c r="D1973" s="1" t="s">
        <v>8</v>
      </c>
      <c r="E1973" s="3">
        <v>1912953</v>
      </c>
      <c r="F1973" s="3">
        <v>1914593</v>
      </c>
      <c r="G1973" s="1" t="s">
        <v>9</v>
      </c>
      <c r="H1973" s="1" t="b">
        <f t="shared" si="74"/>
        <v>0</v>
      </c>
    </row>
    <row r="1974" spans="1:8" ht="21" x14ac:dyDescent="0.25">
      <c r="A1974" s="2" t="str">
        <f>HYPERLINK("https://rth.dk/resources/bsgatlas/details.php?id=BSGatlas-operon-1014","BSGatlas-operon-1014")</f>
        <v>BSGatlas-operon-1014</v>
      </c>
      <c r="B1974" s="2" t="str">
        <f>HYPERLINK("https://rth.dk/resources/bsgatlas/details.php?id=BSGatlas-gene-2093","BSGatlas-gene-2093")</f>
        <v>BSGatlas-gene-2093</v>
      </c>
      <c r="C1974" s="1" t="s">
        <v>1965</v>
      </c>
      <c r="D1974" s="1" t="s">
        <v>8</v>
      </c>
      <c r="E1974" s="3">
        <v>1914630</v>
      </c>
      <c r="F1974" s="3">
        <v>1914995</v>
      </c>
      <c r="G1974" s="1" t="s">
        <v>9</v>
      </c>
      <c r="H1974" s="1" t="b">
        <f t="shared" si="74"/>
        <v>0</v>
      </c>
    </row>
    <row r="1975" spans="1:8" ht="21" x14ac:dyDescent="0.25">
      <c r="A1975" s="2" t="str">
        <f>HYPERLINK("https://rth.dk/resources/bsgatlas/details.php?id=BSGatlas-operon-1015","BSGatlas-operon-1015")</f>
        <v>BSGatlas-operon-1015</v>
      </c>
      <c r="B1975" s="2" t="str">
        <f>HYPERLINK("https://rth.dk/resources/bsgatlas/details.php?id=BSGatlas-gene-2090","BSGatlas-gene-2090")</f>
        <v>BSGatlas-gene-2090</v>
      </c>
      <c r="C1975" s="1" t="s">
        <v>1966</v>
      </c>
      <c r="D1975" s="1" t="s">
        <v>12</v>
      </c>
      <c r="E1975" s="3">
        <v>1912142</v>
      </c>
      <c r="F1975" s="3">
        <v>1913240</v>
      </c>
      <c r="G1975" s="1" t="s">
        <v>13</v>
      </c>
      <c r="H1975" s="1" t="b">
        <f t="shared" si="74"/>
        <v>1</v>
      </c>
    </row>
    <row r="1976" spans="1:8" ht="21" x14ac:dyDescent="0.25">
      <c r="A1976" s="2" t="str">
        <f>HYPERLINK("https://rth.dk/resources/bsgatlas/details.php?id=BSGatlas-operon-1016","BSGatlas-operon-1016")</f>
        <v>BSGatlas-operon-1016</v>
      </c>
      <c r="B1976" s="2" t="str">
        <f>HYPERLINK("https://rth.dk/resources/bsgatlas/details.php?id=BSGatlas-gene-2094","BSGatlas-gene-2094")</f>
        <v>BSGatlas-gene-2094</v>
      </c>
      <c r="C1976" s="1" t="s">
        <v>1967</v>
      </c>
      <c r="D1976" s="1" t="s">
        <v>55</v>
      </c>
      <c r="E1976" s="3">
        <v>1914991</v>
      </c>
      <c r="F1976" s="3">
        <v>1915272</v>
      </c>
      <c r="G1976" s="1" t="s">
        <v>13</v>
      </c>
      <c r="H1976" s="1" t="b">
        <f t="shared" si="74"/>
        <v>0</v>
      </c>
    </row>
    <row r="1977" spans="1:8" ht="21" x14ac:dyDescent="0.25">
      <c r="A1977" s="2" t="str">
        <f>HYPERLINK("https://rth.dk/resources/bsgatlas/details.php?id=BSGatlas-operon-1017","BSGatlas-operon-1017")</f>
        <v>BSGatlas-operon-1017</v>
      </c>
      <c r="B1977" s="2" t="str">
        <f>HYPERLINK("https://rth.dk/resources/bsgatlas/details.php?id=BSGatlas-gene-2095","BSGatlas-gene-2095")</f>
        <v>BSGatlas-gene-2095</v>
      </c>
      <c r="C1977" s="1" t="s">
        <v>1968</v>
      </c>
      <c r="D1977" s="1" t="s">
        <v>8</v>
      </c>
      <c r="E1977" s="3">
        <v>1915221</v>
      </c>
      <c r="F1977" s="3">
        <v>1915979</v>
      </c>
      <c r="G1977" s="1" t="s">
        <v>9</v>
      </c>
      <c r="H1977" s="1" t="b">
        <f t="shared" si="74"/>
        <v>1</v>
      </c>
    </row>
    <row r="1978" spans="1:8" ht="21" x14ac:dyDescent="0.25">
      <c r="A1978" s="2" t="str">
        <f>HYPERLINK("https://rth.dk/resources/bsgatlas/details.php?id=BSGatlas-operon-1018","BSGatlas-operon-1018")</f>
        <v>BSGatlas-operon-1018</v>
      </c>
      <c r="B1978" s="2" t="str">
        <f>HYPERLINK("https://rth.dk/resources/bsgatlas/details.php?id=BSGatlas-gene-2096","BSGatlas-gene-2096")</f>
        <v>BSGatlas-gene-2096</v>
      </c>
      <c r="C1978" s="1" t="s">
        <v>1969</v>
      </c>
      <c r="D1978" s="1" t="s">
        <v>8</v>
      </c>
      <c r="E1978" s="3">
        <v>1916006</v>
      </c>
      <c r="F1978" s="3">
        <v>1916545</v>
      </c>
      <c r="G1978" s="1" t="s">
        <v>13</v>
      </c>
      <c r="H1978" s="1" t="b">
        <f t="shared" si="74"/>
        <v>0</v>
      </c>
    </row>
    <row r="1979" spans="1:8" ht="21" x14ac:dyDescent="0.25">
      <c r="A1979" s="2" t="str">
        <f>HYPERLINK("https://rth.dk/resources/bsgatlas/details.php?id=BSGatlas-operon-1019","BSGatlas-operon-1019")</f>
        <v>BSGatlas-operon-1019</v>
      </c>
      <c r="B1979" s="2" t="str">
        <f>HYPERLINK("https://rth.dk/resources/bsgatlas/details.php?id=BSGatlas-gene-2097","BSGatlas-gene-2097")</f>
        <v>BSGatlas-gene-2097</v>
      </c>
      <c r="C1979" s="1" t="s">
        <v>1970</v>
      </c>
      <c r="D1979" s="1" t="s">
        <v>8</v>
      </c>
      <c r="E1979" s="3">
        <v>1916663</v>
      </c>
      <c r="F1979" s="3">
        <v>1917097</v>
      </c>
      <c r="G1979" s="1" t="s">
        <v>9</v>
      </c>
      <c r="H1979" s="1" t="b">
        <f t="shared" si="74"/>
        <v>1</v>
      </c>
    </row>
    <row r="1980" spans="1:8" ht="21" x14ac:dyDescent="0.25">
      <c r="A1980" s="2" t="str">
        <f>HYPERLINK("https://rth.dk/resources/bsgatlas/details.php?id=BSGatlas-operon-1020","BSGatlas-operon-1020")</f>
        <v>BSGatlas-operon-1020</v>
      </c>
      <c r="B1980" s="2" t="str">
        <f>HYPERLINK("https://rth.dk/resources/bsgatlas/details.php?id=BSGatlas-gene-2099","BSGatlas-gene-2099")</f>
        <v>BSGatlas-gene-2099</v>
      </c>
      <c r="C1980" s="1" t="s">
        <v>1971</v>
      </c>
      <c r="D1980" s="1" t="s">
        <v>55</v>
      </c>
      <c r="E1980" s="3">
        <v>1917501</v>
      </c>
      <c r="F1980" s="3">
        <v>1917581</v>
      </c>
      <c r="G1980" s="1" t="s">
        <v>9</v>
      </c>
      <c r="H1980" s="1" t="b">
        <f t="shared" si="74"/>
        <v>0</v>
      </c>
    </row>
    <row r="1981" spans="1:8" ht="21" x14ac:dyDescent="0.25">
      <c r="A1981" s="2" t="str">
        <f>HYPERLINK("https://rth.dk/resources/bsgatlas/details.php?id=BSGatlas-operon-1021","BSGatlas-operon-1021")</f>
        <v>BSGatlas-operon-1021</v>
      </c>
      <c r="B1981" s="2" t="str">
        <f>HYPERLINK("https://rth.dk/resources/bsgatlas/details.php?id=BSGatlas-gene-2100","BSGatlas-gene-2100")</f>
        <v>BSGatlas-gene-2100</v>
      </c>
      <c r="C1981" s="1" t="s">
        <v>1972</v>
      </c>
      <c r="D1981" s="1" t="s">
        <v>8</v>
      </c>
      <c r="E1981" s="3">
        <v>1917639</v>
      </c>
      <c r="F1981" s="3">
        <v>1918256</v>
      </c>
      <c r="G1981" s="1" t="s">
        <v>13</v>
      </c>
      <c r="H1981" s="1" t="b">
        <f t="shared" si="74"/>
        <v>1</v>
      </c>
    </row>
    <row r="1982" spans="1:8" ht="21" x14ac:dyDescent="0.25">
      <c r="A1982" s="2" t="str">
        <f>HYPERLINK("https://rth.dk/resources/bsgatlas/details.php?id=BSGatlas-operon-1022","BSGatlas-operon-1022")</f>
        <v>BSGatlas-operon-1022</v>
      </c>
      <c r="B1982" s="2" t="str">
        <f>HYPERLINK("https://rth.dk/resources/bsgatlas/details.php?id=BSGatlas-gene-2101","BSGatlas-gene-2101")</f>
        <v>BSGatlas-gene-2101</v>
      </c>
      <c r="C1982" s="1" t="s">
        <v>1973</v>
      </c>
      <c r="D1982" s="1" t="s">
        <v>8</v>
      </c>
      <c r="E1982" s="3">
        <v>1918406</v>
      </c>
      <c r="F1982" s="3">
        <v>1918723</v>
      </c>
      <c r="G1982" s="1" t="s">
        <v>9</v>
      </c>
      <c r="H1982" s="1" t="b">
        <f t="shared" si="74"/>
        <v>0</v>
      </c>
    </row>
    <row r="1983" spans="1:8" ht="21" x14ac:dyDescent="0.25">
      <c r="A1983" s="2" t="str">
        <f>HYPERLINK("https://rth.dk/resources/bsgatlas/details.php?id=BSGatlas-operon-1022","BSGatlas-operon-1022")</f>
        <v>BSGatlas-operon-1022</v>
      </c>
      <c r="B1983" s="2" t="str">
        <f>HYPERLINK("https://rth.dk/resources/bsgatlas/details.php?id=BSGatlas-gene-2102","BSGatlas-gene-2102")</f>
        <v>BSGatlas-gene-2102</v>
      </c>
      <c r="C1983" s="1" t="s">
        <v>1974</v>
      </c>
      <c r="D1983" s="1" t="s">
        <v>8</v>
      </c>
      <c r="E1983" s="3">
        <v>1918742</v>
      </c>
      <c r="F1983" s="3">
        <v>1919395</v>
      </c>
      <c r="G1983" s="1" t="s">
        <v>9</v>
      </c>
      <c r="H1983" s="1" t="b">
        <f t="shared" si="74"/>
        <v>0</v>
      </c>
    </row>
    <row r="1984" spans="1:8" ht="21" x14ac:dyDescent="0.25">
      <c r="A1984" s="2" t="str">
        <f>HYPERLINK("https://rth.dk/resources/bsgatlas/details.php?id=BSGatlas-operon-1022","BSGatlas-operon-1022")</f>
        <v>BSGatlas-operon-1022</v>
      </c>
      <c r="B1984" s="2" t="str">
        <f>HYPERLINK("https://rth.dk/resources/bsgatlas/details.php?id=BSGatlas-gene-2103","BSGatlas-gene-2103")</f>
        <v>BSGatlas-gene-2103</v>
      </c>
      <c r="C1984" s="1" t="s">
        <v>1975</v>
      </c>
      <c r="D1984" s="1" t="s">
        <v>8</v>
      </c>
      <c r="E1984" s="3">
        <v>1919459</v>
      </c>
      <c r="F1984" s="3">
        <v>1919692</v>
      </c>
      <c r="G1984" s="1" t="s">
        <v>9</v>
      </c>
      <c r="H1984" s="1" t="b">
        <f t="shared" si="74"/>
        <v>0</v>
      </c>
    </row>
    <row r="1985" spans="1:8" ht="21" x14ac:dyDescent="0.25">
      <c r="A1985" s="2" t="str">
        <f>HYPERLINK("https://rth.dk/resources/bsgatlas/details.php?id=BSGatlas-operon-1023","BSGatlas-operon-1023")</f>
        <v>BSGatlas-operon-1023</v>
      </c>
      <c r="B1985" s="2" t="str">
        <f>HYPERLINK("https://rth.dk/resources/bsgatlas/details.php?id=BSGatlas-gene-2104","BSGatlas-gene-2104")</f>
        <v>BSGatlas-gene-2104</v>
      </c>
      <c r="C1985" s="1" t="s">
        <v>1976</v>
      </c>
      <c r="D1985" s="1" t="s">
        <v>8</v>
      </c>
      <c r="E1985" s="3">
        <v>1919861</v>
      </c>
      <c r="F1985" s="3">
        <v>1921864</v>
      </c>
      <c r="G1985" s="1" t="s">
        <v>9</v>
      </c>
      <c r="H1985" s="1" t="b">
        <f t="shared" si="74"/>
        <v>1</v>
      </c>
    </row>
    <row r="1986" spans="1:8" ht="21" x14ac:dyDescent="0.25">
      <c r="A1986" s="2" t="str">
        <f>HYPERLINK("https://rth.dk/resources/bsgatlas/details.php?id=BSGatlas-operon-1024","BSGatlas-operon-1024")</f>
        <v>BSGatlas-operon-1024</v>
      </c>
      <c r="B1986" s="2" t="str">
        <f>HYPERLINK("https://rth.dk/resources/bsgatlas/details.php?id=BSGatlas-gene-2105","BSGatlas-gene-2105")</f>
        <v>BSGatlas-gene-2105</v>
      </c>
      <c r="C1986" s="1" t="s">
        <v>1977</v>
      </c>
      <c r="D1986" s="1" t="s">
        <v>12</v>
      </c>
      <c r="E1986" s="3">
        <v>1921866</v>
      </c>
      <c r="F1986" s="3">
        <v>1922524</v>
      </c>
      <c r="G1986" s="1" t="s">
        <v>13</v>
      </c>
      <c r="H1986" s="1" t="b">
        <f t="shared" ref="H1986:H2049" si="76">_xlfn.XOR(A1985&lt;&gt;A1986,H1985)</f>
        <v>0</v>
      </c>
    </row>
    <row r="1987" spans="1:8" ht="21" x14ac:dyDescent="0.25">
      <c r="A1987" s="2" t="str">
        <f>HYPERLINK("https://rth.dk/resources/bsgatlas/details.php?id=BSGatlas-operon-1025","BSGatlas-operon-1025")</f>
        <v>BSGatlas-operon-1025</v>
      </c>
      <c r="B1987" s="2" t="str">
        <f>HYPERLINK("https://rth.dk/resources/bsgatlas/details.php?id=BSGatlas-gene-2106","BSGatlas-gene-2106")</f>
        <v>BSGatlas-gene-2106</v>
      </c>
      <c r="C1987" s="1" t="s">
        <v>1978</v>
      </c>
      <c r="D1987" s="1" t="s">
        <v>8</v>
      </c>
      <c r="E1987" s="3">
        <v>1922017</v>
      </c>
      <c r="F1987" s="3">
        <v>1922463</v>
      </c>
      <c r="G1987" s="1" t="s">
        <v>9</v>
      </c>
      <c r="H1987" s="1" t="b">
        <f t="shared" si="76"/>
        <v>1</v>
      </c>
    </row>
    <row r="1988" spans="1:8" ht="21" x14ac:dyDescent="0.25">
      <c r="A1988" s="2" t="str">
        <f>HYPERLINK("https://rth.dk/resources/bsgatlas/details.php?id=BSGatlas-operon-1025","BSGatlas-operon-1025")</f>
        <v>BSGatlas-operon-1025</v>
      </c>
      <c r="B1988" s="2" t="str">
        <f>HYPERLINK("https://rth.dk/resources/bsgatlas/details.php?id=BSGatlas-gene-2107","BSGatlas-gene-2107")</f>
        <v>BSGatlas-gene-2107</v>
      </c>
      <c r="C1988" s="1" t="s">
        <v>1979</v>
      </c>
      <c r="D1988" s="1" t="s">
        <v>8</v>
      </c>
      <c r="E1988" s="3">
        <v>1922549</v>
      </c>
      <c r="F1988" s="3">
        <v>1922767</v>
      </c>
      <c r="G1988" s="1" t="s">
        <v>9</v>
      </c>
      <c r="H1988" s="1" t="b">
        <f t="shared" si="76"/>
        <v>1</v>
      </c>
    </row>
    <row r="1989" spans="1:8" ht="21" x14ac:dyDescent="0.25">
      <c r="A1989" s="2" t="str">
        <f>HYPERLINK("https://rth.dk/resources/bsgatlas/details.php?id=BSGatlas-operon-1026","BSGatlas-operon-1026")</f>
        <v>BSGatlas-operon-1026</v>
      </c>
      <c r="B1989" s="2" t="str">
        <f>HYPERLINK("https://rth.dk/resources/bsgatlas/details.php?id=BSGatlas-gene-2108","BSGatlas-gene-2108")</f>
        <v>BSGatlas-gene-2108</v>
      </c>
      <c r="C1989" s="1" t="s">
        <v>1980</v>
      </c>
      <c r="D1989" s="1" t="s">
        <v>8</v>
      </c>
      <c r="E1989" s="3">
        <v>1922841</v>
      </c>
      <c r="F1989" s="3">
        <v>1923014</v>
      </c>
      <c r="G1989" s="1" t="s">
        <v>13</v>
      </c>
      <c r="H1989" s="1" t="b">
        <f t="shared" si="76"/>
        <v>0</v>
      </c>
    </row>
    <row r="1990" spans="1:8" ht="21" x14ac:dyDescent="0.25">
      <c r="A1990" s="2" t="str">
        <f>HYPERLINK("https://rth.dk/resources/bsgatlas/details.php?id=BSGatlas-operon-1027","BSGatlas-operon-1027")</f>
        <v>BSGatlas-operon-1027</v>
      </c>
      <c r="B1990" s="2" t="str">
        <f>HYPERLINK("https://rth.dk/resources/bsgatlas/details.php?id=BSGatlas-gene-2109","BSGatlas-gene-2109")</f>
        <v>BSGatlas-gene-2109</v>
      </c>
      <c r="C1990" s="1" t="s">
        <v>1981</v>
      </c>
      <c r="D1990" s="1" t="s">
        <v>8</v>
      </c>
      <c r="E1990" s="3">
        <v>1923234</v>
      </c>
      <c r="F1990" s="3">
        <v>1923941</v>
      </c>
      <c r="G1990" s="1" t="s">
        <v>9</v>
      </c>
      <c r="H1990" s="1" t="b">
        <f t="shared" si="76"/>
        <v>1</v>
      </c>
    </row>
    <row r="1991" spans="1:8" ht="21" x14ac:dyDescent="0.25">
      <c r="A1991" s="2" t="str">
        <f>HYPERLINK("https://rth.dk/resources/bsgatlas/details.php?id=BSGatlas-operon-1027","BSGatlas-operon-1027")</f>
        <v>BSGatlas-operon-1027</v>
      </c>
      <c r="B1991" s="2" t="str">
        <f>HYPERLINK("https://rth.dk/resources/bsgatlas/details.php?id=BSGatlas-gene-2110","BSGatlas-gene-2110")</f>
        <v>BSGatlas-gene-2110</v>
      </c>
      <c r="C1991" s="1" t="s">
        <v>1982</v>
      </c>
      <c r="D1991" s="1" t="s">
        <v>8</v>
      </c>
      <c r="E1991" s="3">
        <v>1924030</v>
      </c>
      <c r="F1991" s="3">
        <v>1924392</v>
      </c>
      <c r="G1991" s="1" t="s">
        <v>9</v>
      </c>
      <c r="H1991" s="1" t="b">
        <f t="shared" si="76"/>
        <v>1</v>
      </c>
    </row>
    <row r="1992" spans="1:8" ht="21" x14ac:dyDescent="0.25">
      <c r="A1992" s="2" t="str">
        <f>HYPERLINK("https://rth.dk/resources/bsgatlas/details.php?id=BSGatlas-operon-1027","BSGatlas-operon-1027")</f>
        <v>BSGatlas-operon-1027</v>
      </c>
      <c r="B1992" s="2" t="str">
        <f>HYPERLINK("https://rth.dk/resources/bsgatlas/details.php?id=BSGatlas-gene-2111","BSGatlas-gene-2111")</f>
        <v>BSGatlas-gene-2111</v>
      </c>
      <c r="C1992" s="1" t="s">
        <v>1983</v>
      </c>
      <c r="D1992" s="1" t="s">
        <v>8</v>
      </c>
      <c r="E1992" s="3">
        <v>1924471</v>
      </c>
      <c r="F1992" s="3">
        <v>1924962</v>
      </c>
      <c r="G1992" s="1" t="s">
        <v>9</v>
      </c>
      <c r="H1992" s="1" t="b">
        <f t="shared" si="76"/>
        <v>1</v>
      </c>
    </row>
    <row r="1993" spans="1:8" ht="21" x14ac:dyDescent="0.25">
      <c r="A1993" s="2" t="str">
        <f>HYPERLINK("https://rth.dk/resources/bsgatlas/details.php?id=BSGatlas-operon-1028","BSGatlas-operon-1028")</f>
        <v>BSGatlas-operon-1028</v>
      </c>
      <c r="B1993" s="2" t="str">
        <f>HYPERLINK("https://rth.dk/resources/bsgatlas/details.php?id=BSGatlas-gene-2112","BSGatlas-gene-2112")</f>
        <v>BSGatlas-gene-2112</v>
      </c>
      <c r="C1993" s="1" t="s">
        <v>1984</v>
      </c>
      <c r="D1993" s="1" t="s">
        <v>8</v>
      </c>
      <c r="E1993" s="3">
        <v>1924993</v>
      </c>
      <c r="F1993" s="3">
        <v>1925421</v>
      </c>
      <c r="G1993" s="1" t="s">
        <v>13</v>
      </c>
      <c r="H1993" s="1" t="b">
        <f t="shared" si="76"/>
        <v>0</v>
      </c>
    </row>
    <row r="1994" spans="1:8" ht="21" x14ac:dyDescent="0.25">
      <c r="A1994" s="2" t="str">
        <f>HYPERLINK("https://rth.dk/resources/bsgatlas/details.php?id=BSGatlas-operon-1029","BSGatlas-operon-1029")</f>
        <v>BSGatlas-operon-1029</v>
      </c>
      <c r="B1994" s="2" t="str">
        <f>HYPERLINK("https://rth.dk/resources/bsgatlas/details.php?id=BSGatlas-gene-2113","BSGatlas-gene-2113")</f>
        <v>BSGatlas-gene-2113</v>
      </c>
      <c r="C1994" s="1" t="s">
        <v>1985</v>
      </c>
      <c r="D1994" s="1" t="s">
        <v>12</v>
      </c>
      <c r="E1994" s="3">
        <v>1925548</v>
      </c>
      <c r="F1994" s="3">
        <v>1925619</v>
      </c>
      <c r="G1994" s="1" t="s">
        <v>9</v>
      </c>
      <c r="H1994" s="1" t="b">
        <f t="shared" si="76"/>
        <v>1</v>
      </c>
    </row>
    <row r="1995" spans="1:8" ht="21" x14ac:dyDescent="0.25">
      <c r="A1995" s="2" t="str">
        <f>HYPERLINK("https://rth.dk/resources/bsgatlas/details.php?id=BSGatlas-operon-1030","BSGatlas-operon-1030")</f>
        <v>BSGatlas-operon-1030</v>
      </c>
      <c r="B1995" s="2" t="str">
        <f>HYPERLINK("https://rth.dk/resources/bsgatlas/details.php?id=BSGatlas-gene-2114","BSGatlas-gene-2114")</f>
        <v>BSGatlas-gene-2114</v>
      </c>
      <c r="C1995" s="1" t="s">
        <v>1986</v>
      </c>
      <c r="D1995" s="1" t="s">
        <v>8</v>
      </c>
      <c r="E1995" s="3">
        <v>1925655</v>
      </c>
      <c r="F1995" s="3">
        <v>1926047</v>
      </c>
      <c r="G1995" s="1" t="s">
        <v>13</v>
      </c>
      <c r="H1995" s="1" t="b">
        <f t="shared" si="76"/>
        <v>0</v>
      </c>
    </row>
    <row r="1996" spans="1:8" ht="21" x14ac:dyDescent="0.25">
      <c r="A1996" s="2" t="str">
        <f>HYPERLINK("https://rth.dk/resources/bsgatlas/details.php?id=BSGatlas-operon-1031","BSGatlas-operon-1031")</f>
        <v>BSGatlas-operon-1031</v>
      </c>
      <c r="B1996" s="2" t="str">
        <f>HYPERLINK("https://rth.dk/resources/bsgatlas/details.php?id=BSGatlas-gene-2117","BSGatlas-gene-2117")</f>
        <v>BSGatlas-gene-2117</v>
      </c>
      <c r="C1996" s="1" t="s">
        <v>1987</v>
      </c>
      <c r="D1996" s="1" t="s">
        <v>8</v>
      </c>
      <c r="E1996" s="3">
        <v>1926680</v>
      </c>
      <c r="F1996" s="3">
        <v>1929409</v>
      </c>
      <c r="G1996" s="1" t="s">
        <v>9</v>
      </c>
      <c r="H1996" s="1" t="b">
        <f t="shared" si="76"/>
        <v>1</v>
      </c>
    </row>
    <row r="1997" spans="1:8" ht="21" x14ac:dyDescent="0.25">
      <c r="A1997" s="2" t="str">
        <f>HYPERLINK("https://rth.dk/resources/bsgatlas/details.php?id=BSGatlas-operon-1031","BSGatlas-operon-1031")</f>
        <v>BSGatlas-operon-1031</v>
      </c>
      <c r="B1997" s="2" t="str">
        <f>HYPERLINK("https://rth.dk/resources/bsgatlas/details.php?id=BSGatlas-gene-2118","BSGatlas-gene-2118")</f>
        <v>BSGatlas-gene-2118</v>
      </c>
      <c r="C1997" s="1" t="s">
        <v>1988</v>
      </c>
      <c r="D1997" s="1" t="s">
        <v>8</v>
      </c>
      <c r="E1997" s="3">
        <v>1929481</v>
      </c>
      <c r="F1997" s="3">
        <v>1929993</v>
      </c>
      <c r="G1997" s="1" t="s">
        <v>9</v>
      </c>
      <c r="H1997" s="1" t="b">
        <f t="shared" si="76"/>
        <v>1</v>
      </c>
    </row>
    <row r="1998" spans="1:8" ht="21" x14ac:dyDescent="0.25">
      <c r="A1998" s="2" t="str">
        <f>HYPERLINK("https://rth.dk/resources/bsgatlas/details.php?id=BSGatlas-operon-1032","BSGatlas-operon-1032")</f>
        <v>BSGatlas-operon-1032</v>
      </c>
      <c r="B1998" s="2" t="str">
        <f>HYPERLINK("https://rth.dk/resources/bsgatlas/details.php?id=BSGatlas-gene-2115","BSGatlas-gene-2115")</f>
        <v>BSGatlas-gene-2115</v>
      </c>
      <c r="C1998" s="1" t="s">
        <v>1989</v>
      </c>
      <c r="D1998" s="1" t="s">
        <v>8</v>
      </c>
      <c r="E1998" s="3">
        <v>1926128</v>
      </c>
      <c r="F1998" s="3">
        <v>1926274</v>
      </c>
      <c r="G1998" s="1" t="s">
        <v>13</v>
      </c>
      <c r="H1998" s="1" t="b">
        <f t="shared" si="76"/>
        <v>0</v>
      </c>
    </row>
    <row r="1999" spans="1:8" ht="21" x14ac:dyDescent="0.25">
      <c r="A1999" s="2" t="str">
        <f>HYPERLINK("https://rth.dk/resources/bsgatlas/details.php?id=BSGatlas-operon-1032","BSGatlas-operon-1032")</f>
        <v>BSGatlas-operon-1032</v>
      </c>
      <c r="B1999" s="2" t="str">
        <f>HYPERLINK("https://rth.dk/resources/bsgatlas/details.php?id=BSGatlas-gene-2116","BSGatlas-gene-2116")</f>
        <v>BSGatlas-gene-2116</v>
      </c>
      <c r="C1999" s="1" t="s">
        <v>1990</v>
      </c>
      <c r="D1999" s="1" t="s">
        <v>8</v>
      </c>
      <c r="E1999" s="3">
        <v>1926306</v>
      </c>
      <c r="F1999" s="3">
        <v>1926452</v>
      </c>
      <c r="G1999" s="1" t="s">
        <v>13</v>
      </c>
      <c r="H1999" s="1" t="b">
        <f t="shared" si="76"/>
        <v>0</v>
      </c>
    </row>
    <row r="2000" spans="1:8" ht="21" x14ac:dyDescent="0.25">
      <c r="A2000" s="2" t="str">
        <f>HYPERLINK("https://rth.dk/resources/bsgatlas/details.php?id=BSGatlas-operon-1033","BSGatlas-operon-1033")</f>
        <v>BSGatlas-operon-1033</v>
      </c>
      <c r="B2000" s="2" t="str">
        <f>HYPERLINK("https://rth.dk/resources/bsgatlas/details.php?id=BSGatlas-gene-2119","BSGatlas-gene-2119")</f>
        <v>BSGatlas-gene-2119</v>
      </c>
      <c r="C2000" s="1" t="s">
        <v>1991</v>
      </c>
      <c r="D2000" s="1" t="s">
        <v>8</v>
      </c>
      <c r="E2000" s="3">
        <v>1930074</v>
      </c>
      <c r="F2000" s="3">
        <v>1930199</v>
      </c>
      <c r="G2000" s="1" t="s">
        <v>9</v>
      </c>
      <c r="H2000" s="1" t="b">
        <f t="shared" si="76"/>
        <v>1</v>
      </c>
    </row>
    <row r="2001" spans="1:8" ht="21" x14ac:dyDescent="0.25">
      <c r="A2001" s="2" t="str">
        <f>HYPERLINK("https://rth.dk/resources/bsgatlas/details.php?id=BSGatlas-operon-1034","BSGatlas-operon-1034")</f>
        <v>BSGatlas-operon-1034</v>
      </c>
      <c r="B2001" s="2" t="str">
        <f>HYPERLINK("https://rth.dk/resources/bsgatlas/details.php?id=BSGatlas-gene-2124","BSGatlas-gene-2124")</f>
        <v>BSGatlas-gene-2124</v>
      </c>
      <c r="C2001" s="1" t="s">
        <v>1992</v>
      </c>
      <c r="D2001" s="1" t="s">
        <v>8</v>
      </c>
      <c r="E2001" s="3">
        <v>1931545</v>
      </c>
      <c r="F2001" s="3">
        <v>1931832</v>
      </c>
      <c r="G2001" s="1" t="s">
        <v>13</v>
      </c>
      <c r="H2001" s="1" t="b">
        <f t="shared" si="76"/>
        <v>0</v>
      </c>
    </row>
    <row r="2002" spans="1:8" ht="21" x14ac:dyDescent="0.25">
      <c r="A2002" s="2" t="str">
        <f>HYPERLINK("https://rth.dk/resources/bsgatlas/details.php?id=BSGatlas-operon-1034","BSGatlas-operon-1034")</f>
        <v>BSGatlas-operon-1034</v>
      </c>
      <c r="B2002" s="2" t="str">
        <f>HYPERLINK("https://rth.dk/resources/bsgatlas/details.php?id=BSGatlas-gene-2125","BSGatlas-gene-2125")</f>
        <v>BSGatlas-gene-2125</v>
      </c>
      <c r="C2002" s="1" t="s">
        <v>1993</v>
      </c>
      <c r="D2002" s="1" t="s">
        <v>8</v>
      </c>
      <c r="E2002" s="3">
        <v>1931920</v>
      </c>
      <c r="F2002" s="3">
        <v>1932501</v>
      </c>
      <c r="G2002" s="1" t="s">
        <v>13</v>
      </c>
      <c r="H2002" s="1" t="b">
        <f t="shared" si="76"/>
        <v>0</v>
      </c>
    </row>
    <row r="2003" spans="1:8" ht="21" x14ac:dyDescent="0.25">
      <c r="A2003" s="2" t="str">
        <f>HYPERLINK("https://rth.dk/resources/bsgatlas/details.php?id=BSGatlas-operon-1035","BSGatlas-operon-1035")</f>
        <v>BSGatlas-operon-1035</v>
      </c>
      <c r="B2003" s="2" t="str">
        <f>HYPERLINK("https://rth.dk/resources/bsgatlas/details.php?id=BSGatlas-gene-2120","BSGatlas-gene-2120")</f>
        <v>BSGatlas-gene-2120</v>
      </c>
      <c r="C2003" s="1" t="s">
        <v>1994</v>
      </c>
      <c r="D2003" s="1" t="s">
        <v>8</v>
      </c>
      <c r="E2003" s="3">
        <v>1930264</v>
      </c>
      <c r="F2003" s="3">
        <v>1930410</v>
      </c>
      <c r="G2003" s="1" t="s">
        <v>9</v>
      </c>
      <c r="H2003" s="1" t="b">
        <f t="shared" si="76"/>
        <v>1</v>
      </c>
    </row>
    <row r="2004" spans="1:8" ht="21" x14ac:dyDescent="0.25">
      <c r="A2004" s="2" t="str">
        <f>HYPERLINK("https://rth.dk/resources/bsgatlas/details.php?id=BSGatlas-operon-1035","BSGatlas-operon-1035")</f>
        <v>BSGatlas-operon-1035</v>
      </c>
      <c r="B2004" s="2" t="str">
        <f>HYPERLINK("https://rth.dk/resources/bsgatlas/details.php?id=BSGatlas-gene-2121","BSGatlas-gene-2121")</f>
        <v>BSGatlas-gene-2121</v>
      </c>
      <c r="C2004" s="1" t="s">
        <v>1995</v>
      </c>
      <c r="D2004" s="1" t="s">
        <v>8</v>
      </c>
      <c r="E2004" s="3">
        <v>1930447</v>
      </c>
      <c r="F2004" s="3">
        <v>1930698</v>
      </c>
      <c r="G2004" s="1" t="s">
        <v>9</v>
      </c>
      <c r="H2004" s="1" t="b">
        <f t="shared" si="76"/>
        <v>1</v>
      </c>
    </row>
    <row r="2005" spans="1:8" ht="21" x14ac:dyDescent="0.25">
      <c r="A2005" s="2" t="str">
        <f>HYPERLINK("https://rth.dk/resources/bsgatlas/details.php?id=BSGatlas-operon-1036","BSGatlas-operon-1036")</f>
        <v>BSGatlas-operon-1036</v>
      </c>
      <c r="B2005" s="2" t="str">
        <f>HYPERLINK("https://rth.dk/resources/bsgatlas/details.php?id=BSGatlas-gene-2122","BSGatlas-gene-2122")</f>
        <v>BSGatlas-gene-2122</v>
      </c>
      <c r="C2005" s="1" t="s">
        <v>1996</v>
      </c>
      <c r="D2005" s="1" t="s">
        <v>8</v>
      </c>
      <c r="E2005" s="3">
        <v>1930834</v>
      </c>
      <c r="F2005" s="3">
        <v>1931199</v>
      </c>
      <c r="G2005" s="1" t="s">
        <v>9</v>
      </c>
      <c r="H2005" s="1" t="b">
        <f t="shared" si="76"/>
        <v>0</v>
      </c>
    </row>
    <row r="2006" spans="1:8" ht="21" x14ac:dyDescent="0.25">
      <c r="A2006" s="2" t="str">
        <f>HYPERLINK("https://rth.dk/resources/bsgatlas/details.php?id=BSGatlas-operon-1036","BSGatlas-operon-1036")</f>
        <v>BSGatlas-operon-1036</v>
      </c>
      <c r="B2006" s="2" t="str">
        <f>HYPERLINK("https://rth.dk/resources/bsgatlas/details.php?id=BSGatlas-gene-2123","BSGatlas-gene-2123")</f>
        <v>BSGatlas-gene-2123</v>
      </c>
      <c r="C2006" s="1" t="s">
        <v>1997</v>
      </c>
      <c r="D2006" s="1" t="s">
        <v>8</v>
      </c>
      <c r="E2006" s="3">
        <v>1931215</v>
      </c>
      <c r="F2006" s="3">
        <v>1931514</v>
      </c>
      <c r="G2006" s="1" t="s">
        <v>9</v>
      </c>
      <c r="H2006" s="1" t="b">
        <f t="shared" si="76"/>
        <v>0</v>
      </c>
    </row>
    <row r="2007" spans="1:8" ht="21" x14ac:dyDescent="0.25">
      <c r="A2007" s="2" t="str">
        <f>HYPERLINK("https://rth.dk/resources/bsgatlas/details.php?id=BSGatlas-operon-1037","BSGatlas-operon-1037")</f>
        <v>BSGatlas-operon-1037</v>
      </c>
      <c r="B2007" s="2" t="str">
        <f>HYPERLINK("https://rth.dk/resources/bsgatlas/details.php?id=BSGatlas-gene-2126","BSGatlas-gene-2126")</f>
        <v>BSGatlas-gene-2126</v>
      </c>
      <c r="C2007" s="1" t="s">
        <v>1998</v>
      </c>
      <c r="D2007" s="1" t="s">
        <v>8</v>
      </c>
      <c r="E2007" s="3">
        <v>1932671</v>
      </c>
      <c r="F2007" s="3">
        <v>1933078</v>
      </c>
      <c r="G2007" s="1" t="s">
        <v>9</v>
      </c>
      <c r="H2007" s="1" t="b">
        <f t="shared" si="76"/>
        <v>1</v>
      </c>
    </row>
    <row r="2008" spans="1:8" ht="21" x14ac:dyDescent="0.25">
      <c r="A2008" s="2" t="str">
        <f>HYPERLINK("https://rth.dk/resources/bsgatlas/details.php?id=BSGatlas-operon-1038","BSGatlas-operon-1038")</f>
        <v>BSGatlas-operon-1038</v>
      </c>
      <c r="B2008" s="2" t="str">
        <f>HYPERLINK("https://rth.dk/resources/bsgatlas/details.php?id=BSGatlas-gene-2128","BSGatlas-gene-2128")</f>
        <v>BSGatlas-gene-2128</v>
      </c>
      <c r="C2008" s="1" t="s">
        <v>1999</v>
      </c>
      <c r="D2008" s="1" t="s">
        <v>8</v>
      </c>
      <c r="E2008" s="3">
        <v>1933477</v>
      </c>
      <c r="F2008" s="3">
        <v>1935444</v>
      </c>
      <c r="G2008" s="1" t="s">
        <v>9</v>
      </c>
      <c r="H2008" s="1" t="b">
        <f t="shared" si="76"/>
        <v>0</v>
      </c>
    </row>
    <row r="2009" spans="1:8" ht="21" x14ac:dyDescent="0.25">
      <c r="A2009" s="2" t="str">
        <f>HYPERLINK("https://rth.dk/resources/bsgatlas/details.php?id=BSGatlas-operon-1038","BSGatlas-operon-1038")</f>
        <v>BSGatlas-operon-1038</v>
      </c>
      <c r="B2009" s="2" t="str">
        <f>HYPERLINK("https://rth.dk/resources/bsgatlas/details.php?id=BSGatlas-gene-2129","BSGatlas-gene-2129")</f>
        <v>BSGatlas-gene-2129</v>
      </c>
      <c r="C2009" s="1" t="s">
        <v>2000</v>
      </c>
      <c r="D2009" s="1" t="s">
        <v>8</v>
      </c>
      <c r="E2009" s="3">
        <v>1935448</v>
      </c>
      <c r="F2009" s="3">
        <v>1937868</v>
      </c>
      <c r="G2009" s="1" t="s">
        <v>9</v>
      </c>
      <c r="H2009" s="1" t="b">
        <f t="shared" si="76"/>
        <v>0</v>
      </c>
    </row>
    <row r="2010" spans="1:8" ht="21" x14ac:dyDescent="0.25">
      <c r="A2010" s="2" t="str">
        <f>HYPERLINK("https://rth.dk/resources/bsgatlas/details.php?id=BSGatlas-operon-1039","BSGatlas-operon-1039")</f>
        <v>BSGatlas-operon-1039</v>
      </c>
      <c r="B2010" s="2" t="str">
        <f>HYPERLINK("https://rth.dk/resources/bsgatlas/details.php?id=BSGatlas-gene-2130","BSGatlas-gene-2130")</f>
        <v>BSGatlas-gene-2130</v>
      </c>
      <c r="C2010" s="1" t="s">
        <v>2001</v>
      </c>
      <c r="D2010" s="1" t="s">
        <v>276</v>
      </c>
      <c r="E2010" s="3">
        <v>1937915</v>
      </c>
      <c r="F2010" s="3">
        <v>1938091</v>
      </c>
      <c r="G2010" s="1" t="s">
        <v>13</v>
      </c>
      <c r="H2010" s="1" t="b">
        <f t="shared" si="76"/>
        <v>1</v>
      </c>
    </row>
    <row r="2011" spans="1:8" ht="21" x14ac:dyDescent="0.25">
      <c r="A2011" s="2" t="str">
        <f>HYPERLINK("https://rth.dk/resources/bsgatlas/details.php?id=BSGatlas-operon-1040","BSGatlas-operon-1040")</f>
        <v>BSGatlas-operon-1040</v>
      </c>
      <c r="B2011" s="2" t="str">
        <f>HYPERLINK("https://rth.dk/resources/bsgatlas/details.php?id=BSGatlas-gene-2131","BSGatlas-gene-2131")</f>
        <v>BSGatlas-gene-2131</v>
      </c>
      <c r="C2011" s="1" t="s">
        <v>2002</v>
      </c>
      <c r="D2011" s="1" t="s">
        <v>8</v>
      </c>
      <c r="E2011" s="3">
        <v>1938066</v>
      </c>
      <c r="F2011" s="3">
        <v>1938476</v>
      </c>
      <c r="G2011" s="1" t="s">
        <v>13</v>
      </c>
      <c r="H2011" s="1" t="b">
        <f t="shared" si="76"/>
        <v>0</v>
      </c>
    </row>
    <row r="2012" spans="1:8" ht="21" x14ac:dyDescent="0.25">
      <c r="A2012" s="2" t="str">
        <f>HYPERLINK("https://rth.dk/resources/bsgatlas/details.php?id=BSGatlas-operon-1041","BSGatlas-operon-1041")</f>
        <v>BSGatlas-operon-1041</v>
      </c>
      <c r="B2012" s="2" t="str">
        <f>HYPERLINK("https://rth.dk/resources/bsgatlas/details.php?id=BSGatlas-gene-2132","BSGatlas-gene-2132")</f>
        <v>BSGatlas-gene-2132</v>
      </c>
      <c r="C2012" s="1" t="s">
        <v>2003</v>
      </c>
      <c r="D2012" s="1" t="s">
        <v>8</v>
      </c>
      <c r="E2012" s="3">
        <v>1938925</v>
      </c>
      <c r="F2012" s="3">
        <v>1940322</v>
      </c>
      <c r="G2012" s="1" t="s">
        <v>9</v>
      </c>
      <c r="H2012" s="1" t="b">
        <f t="shared" si="76"/>
        <v>1</v>
      </c>
    </row>
    <row r="2013" spans="1:8" ht="21" x14ac:dyDescent="0.25">
      <c r="A2013" s="2" t="str">
        <f>HYPERLINK("https://rth.dk/resources/bsgatlas/details.php?id=BSGatlas-operon-1042","BSGatlas-operon-1042")</f>
        <v>BSGatlas-operon-1042</v>
      </c>
      <c r="B2013" s="2" t="str">
        <f>HYPERLINK("https://rth.dk/resources/bsgatlas/details.php?id=BSGatlas-gene-2133","BSGatlas-gene-2133")</f>
        <v>BSGatlas-gene-2133</v>
      </c>
      <c r="C2013" s="1" t="s">
        <v>2004</v>
      </c>
      <c r="D2013" s="1" t="s">
        <v>12</v>
      </c>
      <c r="E2013" s="3">
        <v>1940412</v>
      </c>
      <c r="F2013" s="3">
        <v>1941158</v>
      </c>
      <c r="G2013" s="1" t="s">
        <v>13</v>
      </c>
      <c r="H2013" s="1" t="b">
        <f t="shared" si="76"/>
        <v>0</v>
      </c>
    </row>
    <row r="2014" spans="1:8" ht="21" x14ac:dyDescent="0.25">
      <c r="A2014" s="2" t="str">
        <f>HYPERLINK("https://rth.dk/resources/bsgatlas/details.php?id=BSGatlas-operon-1043","BSGatlas-operon-1043")</f>
        <v>BSGatlas-operon-1043</v>
      </c>
      <c r="B2014" s="2" t="str">
        <f>HYPERLINK("https://rth.dk/resources/bsgatlas/details.php?id=BSGatlas-gene-2134","BSGatlas-gene-2134")</f>
        <v>BSGatlas-gene-2134</v>
      </c>
      <c r="C2014" s="1" t="s">
        <v>2005</v>
      </c>
      <c r="D2014" s="1" t="s">
        <v>8</v>
      </c>
      <c r="E2014" s="3">
        <v>1940625</v>
      </c>
      <c r="F2014" s="3">
        <v>1942124</v>
      </c>
      <c r="G2014" s="1" t="s">
        <v>9</v>
      </c>
      <c r="H2014" s="1" t="b">
        <f t="shared" si="76"/>
        <v>1</v>
      </c>
    </row>
    <row r="2015" spans="1:8" ht="21" x14ac:dyDescent="0.25">
      <c r="A2015" s="2" t="str">
        <f>HYPERLINK("https://rth.dk/resources/bsgatlas/details.php?id=BSGatlas-operon-1044","BSGatlas-operon-1044")</f>
        <v>BSGatlas-operon-1044</v>
      </c>
      <c r="B2015" s="2" t="str">
        <f>HYPERLINK("https://rth.dk/resources/bsgatlas/details.php?id=BSGatlas-gene-2136","BSGatlas-gene-2136")</f>
        <v>BSGatlas-gene-2136</v>
      </c>
      <c r="C2015" s="1" t="s">
        <v>2006</v>
      </c>
      <c r="D2015" s="1" t="s">
        <v>8</v>
      </c>
      <c r="E2015" s="3">
        <v>1942714</v>
      </c>
      <c r="F2015" s="3">
        <v>1943982</v>
      </c>
      <c r="G2015" s="1" t="s">
        <v>13</v>
      </c>
      <c r="H2015" s="1" t="b">
        <f t="shared" si="76"/>
        <v>0</v>
      </c>
    </row>
    <row r="2016" spans="1:8" ht="21" x14ac:dyDescent="0.25">
      <c r="A2016" s="2" t="str">
        <f>HYPERLINK("https://rth.dk/resources/bsgatlas/details.php?id=BSGatlas-operon-1044","BSGatlas-operon-1044")</f>
        <v>BSGatlas-operon-1044</v>
      </c>
      <c r="B2016" s="2" t="str">
        <f>HYPERLINK("https://rth.dk/resources/bsgatlas/details.php?id=BSGatlas-gene-2137","BSGatlas-gene-2137")</f>
        <v>BSGatlas-gene-2137</v>
      </c>
      <c r="C2016" s="1" t="s">
        <v>2007</v>
      </c>
      <c r="D2016" s="1" t="s">
        <v>8</v>
      </c>
      <c r="E2016" s="3">
        <v>1944113</v>
      </c>
      <c r="F2016" s="3">
        <v>1945654</v>
      </c>
      <c r="G2016" s="1" t="s">
        <v>13</v>
      </c>
      <c r="H2016" s="1" t="b">
        <f t="shared" si="76"/>
        <v>0</v>
      </c>
    </row>
    <row r="2017" spans="1:8" ht="21" x14ac:dyDescent="0.25">
      <c r="A2017" s="2" t="str">
        <f>HYPERLINK("https://rth.dk/resources/bsgatlas/details.php?id=BSGatlas-operon-1045","BSGatlas-operon-1045")</f>
        <v>BSGatlas-operon-1045</v>
      </c>
      <c r="B2017" s="2" t="str">
        <f>HYPERLINK("https://rth.dk/resources/bsgatlas/details.php?id=BSGatlas-gene-2138","BSGatlas-gene-2138")</f>
        <v>BSGatlas-gene-2138</v>
      </c>
      <c r="C2017" s="1" t="s">
        <v>2008</v>
      </c>
      <c r="D2017" s="1" t="s">
        <v>8</v>
      </c>
      <c r="E2017" s="3">
        <v>1946249</v>
      </c>
      <c r="F2017" s="3">
        <v>1946695</v>
      </c>
      <c r="G2017" s="1" t="s">
        <v>9</v>
      </c>
      <c r="H2017" s="1" t="b">
        <f t="shared" si="76"/>
        <v>1</v>
      </c>
    </row>
    <row r="2018" spans="1:8" ht="21" x14ac:dyDescent="0.25">
      <c r="A2018" s="2" t="str">
        <f>HYPERLINK("https://rth.dk/resources/bsgatlas/details.php?id=BSGatlas-operon-1045","BSGatlas-operon-1045")</f>
        <v>BSGatlas-operon-1045</v>
      </c>
      <c r="B2018" s="2" t="str">
        <f>HYPERLINK("https://rth.dk/resources/bsgatlas/details.php?id=BSGatlas-gene-2139","BSGatlas-gene-2139")</f>
        <v>BSGatlas-gene-2139</v>
      </c>
      <c r="C2018" s="1" t="s">
        <v>2009</v>
      </c>
      <c r="D2018" s="1" t="s">
        <v>8</v>
      </c>
      <c r="E2018" s="3">
        <v>1946702</v>
      </c>
      <c r="F2018" s="3">
        <v>1947595</v>
      </c>
      <c r="G2018" s="1" t="s">
        <v>9</v>
      </c>
      <c r="H2018" s="1" t="b">
        <f t="shared" si="76"/>
        <v>1</v>
      </c>
    </row>
    <row r="2019" spans="1:8" ht="21" x14ac:dyDescent="0.25">
      <c r="A2019" s="2" t="str">
        <f>HYPERLINK("https://rth.dk/resources/bsgatlas/details.php?id=BSGatlas-operon-1045","BSGatlas-operon-1045")</f>
        <v>BSGatlas-operon-1045</v>
      </c>
      <c r="B2019" s="2" t="str">
        <f>HYPERLINK("https://rth.dk/resources/bsgatlas/details.php?id=BSGatlas-gene-2140","BSGatlas-gene-2140")</f>
        <v>BSGatlas-gene-2140</v>
      </c>
      <c r="C2019" s="1" t="s">
        <v>2010</v>
      </c>
      <c r="D2019" s="1" t="s">
        <v>8</v>
      </c>
      <c r="E2019" s="3">
        <v>1947668</v>
      </c>
      <c r="F2019" s="3">
        <v>1948264</v>
      </c>
      <c r="G2019" s="1" t="s">
        <v>9</v>
      </c>
      <c r="H2019" s="1" t="b">
        <f t="shared" si="76"/>
        <v>1</v>
      </c>
    </row>
    <row r="2020" spans="1:8" ht="21" x14ac:dyDescent="0.25">
      <c r="A2020" s="2" t="str">
        <f>HYPERLINK("https://rth.dk/resources/bsgatlas/details.php?id=BSGatlas-operon-1046","BSGatlas-operon-1046")</f>
        <v>BSGatlas-operon-1046</v>
      </c>
      <c r="B2020" s="2" t="str">
        <f>HYPERLINK("https://rth.dk/resources/bsgatlas/details.php?id=BSGatlas-gene-2141","BSGatlas-gene-2141")</f>
        <v>BSGatlas-gene-2141</v>
      </c>
      <c r="C2020" s="1" t="s">
        <v>2011</v>
      </c>
      <c r="D2020" s="1" t="s">
        <v>8</v>
      </c>
      <c r="E2020" s="3">
        <v>1948313</v>
      </c>
      <c r="F2020" s="3">
        <v>1949512</v>
      </c>
      <c r="G2020" s="1" t="s">
        <v>13</v>
      </c>
      <c r="H2020" s="1" t="b">
        <f t="shared" si="76"/>
        <v>0</v>
      </c>
    </row>
    <row r="2021" spans="1:8" ht="21" x14ac:dyDescent="0.25">
      <c r="A2021" s="2" t="str">
        <f t="shared" ref="A2021:A2027" si="77">HYPERLINK("https://rth.dk/resources/bsgatlas/details.php?id=BSGatlas-operon-1047","BSGatlas-operon-1047")</f>
        <v>BSGatlas-operon-1047</v>
      </c>
      <c r="B2021" s="2" t="str">
        <f>HYPERLINK("https://rth.dk/resources/bsgatlas/details.php?id=BSGatlas-gene-2142","BSGatlas-gene-2142")</f>
        <v>BSGatlas-gene-2142</v>
      </c>
      <c r="C2021" s="1" t="s">
        <v>2012</v>
      </c>
      <c r="D2021" s="1" t="s">
        <v>8</v>
      </c>
      <c r="E2021" s="3">
        <v>1949682</v>
      </c>
      <c r="F2021" s="3">
        <v>1951217</v>
      </c>
      <c r="G2021" s="1" t="s">
        <v>13</v>
      </c>
      <c r="H2021" s="1" t="b">
        <f t="shared" si="76"/>
        <v>1</v>
      </c>
    </row>
    <row r="2022" spans="1:8" ht="21" x14ac:dyDescent="0.25">
      <c r="A2022" s="2" t="str">
        <f t="shared" si="77"/>
        <v>BSGatlas-operon-1047</v>
      </c>
      <c r="B2022" s="2" t="str">
        <f>HYPERLINK("https://rth.dk/resources/bsgatlas/details.php?id=BSGatlas-gene-2143","BSGatlas-gene-2143")</f>
        <v>BSGatlas-gene-2143</v>
      </c>
      <c r="C2022" s="1" t="s">
        <v>2013</v>
      </c>
      <c r="D2022" s="1" t="s">
        <v>8</v>
      </c>
      <c r="E2022" s="3">
        <v>1951228</v>
      </c>
      <c r="F2022" s="3">
        <v>1952010</v>
      </c>
      <c r="G2022" s="1" t="s">
        <v>13</v>
      </c>
      <c r="H2022" s="1" t="b">
        <f t="shared" si="76"/>
        <v>1</v>
      </c>
    </row>
    <row r="2023" spans="1:8" ht="21" x14ac:dyDescent="0.25">
      <c r="A2023" s="2" t="str">
        <f t="shared" si="77"/>
        <v>BSGatlas-operon-1047</v>
      </c>
      <c r="B2023" s="2" t="str">
        <f>HYPERLINK("https://rth.dk/resources/bsgatlas/details.php?id=BSGatlas-gene-2144","BSGatlas-gene-2144")</f>
        <v>BSGatlas-gene-2144</v>
      </c>
      <c r="C2023" s="1" t="s">
        <v>2014</v>
      </c>
      <c r="D2023" s="1" t="s">
        <v>8</v>
      </c>
      <c r="E2023" s="3">
        <v>1952031</v>
      </c>
      <c r="F2023" s="3">
        <v>1952930</v>
      </c>
      <c r="G2023" s="1" t="s">
        <v>13</v>
      </c>
      <c r="H2023" s="1" t="b">
        <f t="shared" si="76"/>
        <v>1</v>
      </c>
    </row>
    <row r="2024" spans="1:8" ht="21" x14ac:dyDescent="0.25">
      <c r="A2024" s="2" t="str">
        <f t="shared" si="77"/>
        <v>BSGatlas-operon-1047</v>
      </c>
      <c r="B2024" s="2" t="str">
        <f>HYPERLINK("https://rth.dk/resources/bsgatlas/details.php?id=BSGatlas-gene-2145","BSGatlas-gene-2145")</f>
        <v>BSGatlas-gene-2145</v>
      </c>
      <c r="C2024" s="1" t="s">
        <v>2015</v>
      </c>
      <c r="D2024" s="1" t="s">
        <v>8</v>
      </c>
      <c r="E2024" s="3">
        <v>1952945</v>
      </c>
      <c r="F2024" s="3">
        <v>1953166</v>
      </c>
      <c r="G2024" s="1" t="s">
        <v>13</v>
      </c>
      <c r="H2024" s="1" t="b">
        <f t="shared" si="76"/>
        <v>1</v>
      </c>
    </row>
    <row r="2025" spans="1:8" ht="21" x14ac:dyDescent="0.25">
      <c r="A2025" s="2" t="str">
        <f t="shared" si="77"/>
        <v>BSGatlas-operon-1047</v>
      </c>
      <c r="B2025" s="2" t="str">
        <f>HYPERLINK("https://rth.dk/resources/bsgatlas/details.php?id=BSGatlas-gene-2146","BSGatlas-gene-2146")</f>
        <v>BSGatlas-gene-2146</v>
      </c>
      <c r="C2025" s="1" t="s">
        <v>2016</v>
      </c>
      <c r="D2025" s="1" t="s">
        <v>8</v>
      </c>
      <c r="E2025" s="3">
        <v>1953181</v>
      </c>
      <c r="F2025" s="3">
        <v>1954515</v>
      </c>
      <c r="G2025" s="1" t="s">
        <v>13</v>
      </c>
      <c r="H2025" s="1" t="b">
        <f t="shared" si="76"/>
        <v>1</v>
      </c>
    </row>
    <row r="2026" spans="1:8" ht="21" x14ac:dyDescent="0.25">
      <c r="A2026" s="2" t="str">
        <f t="shared" si="77"/>
        <v>BSGatlas-operon-1047</v>
      </c>
      <c r="B2026" s="2" t="str">
        <f>HYPERLINK("https://rth.dk/resources/bsgatlas/details.php?id=BSGatlas-gene-2147","BSGatlas-gene-2147")</f>
        <v>BSGatlas-gene-2147</v>
      </c>
      <c r="C2026" s="1" t="s">
        <v>2017</v>
      </c>
      <c r="D2026" s="1" t="s">
        <v>8</v>
      </c>
      <c r="E2026" s="3">
        <v>1954525</v>
      </c>
      <c r="F2026" s="3">
        <v>1956174</v>
      </c>
      <c r="G2026" s="1" t="s">
        <v>13</v>
      </c>
      <c r="H2026" s="1" t="b">
        <f t="shared" si="76"/>
        <v>1</v>
      </c>
    </row>
    <row r="2027" spans="1:8" ht="21" x14ac:dyDescent="0.25">
      <c r="A2027" s="2" t="str">
        <f t="shared" si="77"/>
        <v>BSGatlas-operon-1047</v>
      </c>
      <c r="B2027" s="2" t="str">
        <f>HYPERLINK("https://rth.dk/resources/bsgatlas/details.php?id=BSGatlas-gene-2148","BSGatlas-gene-2148")</f>
        <v>BSGatlas-gene-2148</v>
      </c>
      <c r="C2027" s="1" t="s">
        <v>2018</v>
      </c>
      <c r="D2027" s="1" t="s">
        <v>8</v>
      </c>
      <c r="E2027" s="3">
        <v>1956218</v>
      </c>
      <c r="F2027" s="3">
        <v>1957360</v>
      </c>
      <c r="G2027" s="1" t="s">
        <v>13</v>
      </c>
      <c r="H2027" s="1" t="b">
        <f t="shared" si="76"/>
        <v>1</v>
      </c>
    </row>
    <row r="2028" spans="1:8" ht="21" x14ac:dyDescent="0.25">
      <c r="A2028" s="2" t="str">
        <f>HYPERLINK("https://rth.dk/resources/bsgatlas/details.php?id=BSGatlas-operon-1048","BSGatlas-operon-1048")</f>
        <v>BSGatlas-operon-1048</v>
      </c>
      <c r="B2028" s="2" t="str">
        <f>HYPERLINK("https://rth.dk/resources/bsgatlas/details.php?id=BSGatlas-gene-2151","BSGatlas-gene-2151")</f>
        <v>BSGatlas-gene-2151</v>
      </c>
      <c r="C2028" s="1" t="s">
        <v>2019</v>
      </c>
      <c r="D2028" s="1" t="s">
        <v>8</v>
      </c>
      <c r="E2028" s="3">
        <v>1958027</v>
      </c>
      <c r="F2028" s="3">
        <v>1959559</v>
      </c>
      <c r="G2028" s="1" t="s">
        <v>13</v>
      </c>
      <c r="H2028" s="1" t="b">
        <f t="shared" si="76"/>
        <v>0</v>
      </c>
    </row>
    <row r="2029" spans="1:8" ht="21" x14ac:dyDescent="0.25">
      <c r="A2029" s="2" t="str">
        <f>HYPERLINK("https://rth.dk/resources/bsgatlas/details.php?id=BSGatlas-operon-1049","BSGatlas-operon-1049")</f>
        <v>BSGatlas-operon-1049</v>
      </c>
      <c r="B2029" s="2" t="str">
        <f>HYPERLINK("https://rth.dk/resources/bsgatlas/details.php?id=BSGatlas-gene-2152","BSGatlas-gene-2152")</f>
        <v>BSGatlas-gene-2152</v>
      </c>
      <c r="C2029" s="1" t="s">
        <v>2020</v>
      </c>
      <c r="D2029" s="1" t="s">
        <v>8</v>
      </c>
      <c r="E2029" s="3">
        <v>1959695</v>
      </c>
      <c r="F2029" s="3">
        <v>1960087</v>
      </c>
      <c r="G2029" s="1" t="s">
        <v>13</v>
      </c>
      <c r="H2029" s="1" t="b">
        <f t="shared" si="76"/>
        <v>1</v>
      </c>
    </row>
    <row r="2030" spans="1:8" ht="21" x14ac:dyDescent="0.25">
      <c r="A2030" s="2" t="str">
        <f>HYPERLINK("https://rth.dk/resources/bsgatlas/details.php?id=BSGatlas-operon-1050","BSGatlas-operon-1050")</f>
        <v>BSGatlas-operon-1050</v>
      </c>
      <c r="B2030" s="2" t="str">
        <f>HYPERLINK("https://rth.dk/resources/bsgatlas/details.php?id=BSGatlas-gene-2153","BSGatlas-gene-2153")</f>
        <v>BSGatlas-gene-2153</v>
      </c>
      <c r="C2030" s="1" t="s">
        <v>2021</v>
      </c>
      <c r="D2030" s="1" t="s">
        <v>8</v>
      </c>
      <c r="E2030" s="3">
        <v>1960198</v>
      </c>
      <c r="F2030" s="3">
        <v>1964037</v>
      </c>
      <c r="G2030" s="1" t="s">
        <v>13</v>
      </c>
      <c r="H2030" s="1" t="b">
        <f t="shared" si="76"/>
        <v>0</v>
      </c>
    </row>
    <row r="2031" spans="1:8" ht="21" x14ac:dyDescent="0.25">
      <c r="A2031" s="2" t="str">
        <f>HYPERLINK("https://rth.dk/resources/bsgatlas/details.php?id=BSGatlas-operon-1050","BSGatlas-operon-1050")</f>
        <v>BSGatlas-operon-1050</v>
      </c>
      <c r="B2031" s="2" t="str">
        <f>HYPERLINK("https://rth.dk/resources/bsgatlas/details.php?id=BSGatlas-gene-2154","BSGatlas-gene-2154")</f>
        <v>BSGatlas-gene-2154</v>
      </c>
      <c r="C2031" s="1" t="s">
        <v>2022</v>
      </c>
      <c r="D2031" s="1" t="s">
        <v>8</v>
      </c>
      <c r="E2031" s="3">
        <v>1964045</v>
      </c>
      <c r="F2031" s="3">
        <v>1974856</v>
      </c>
      <c r="G2031" s="1" t="s">
        <v>13</v>
      </c>
      <c r="H2031" s="1" t="b">
        <f t="shared" si="76"/>
        <v>0</v>
      </c>
    </row>
    <row r="2032" spans="1:8" ht="21" x14ac:dyDescent="0.25">
      <c r="A2032" s="2" t="str">
        <f>HYPERLINK("https://rth.dk/resources/bsgatlas/details.php?id=BSGatlas-operon-1050","BSGatlas-operon-1050")</f>
        <v>BSGatlas-operon-1050</v>
      </c>
      <c r="B2032" s="2" t="str">
        <f>HYPERLINK("https://rth.dk/resources/bsgatlas/details.php?id=BSGatlas-gene-2155","BSGatlas-gene-2155")</f>
        <v>BSGatlas-gene-2155</v>
      </c>
      <c r="C2032" s="1" t="s">
        <v>2023</v>
      </c>
      <c r="D2032" s="1" t="s">
        <v>8</v>
      </c>
      <c r="E2032" s="3">
        <v>1974881</v>
      </c>
      <c r="F2032" s="3">
        <v>1982548</v>
      </c>
      <c r="G2032" s="1" t="s">
        <v>13</v>
      </c>
      <c r="H2032" s="1" t="b">
        <f t="shared" si="76"/>
        <v>0</v>
      </c>
    </row>
    <row r="2033" spans="1:8" ht="21" x14ac:dyDescent="0.25">
      <c r="A2033" s="2" t="str">
        <f>HYPERLINK("https://rth.dk/resources/bsgatlas/details.php?id=BSGatlas-operon-1050","BSGatlas-operon-1050")</f>
        <v>BSGatlas-operon-1050</v>
      </c>
      <c r="B2033" s="2" t="str">
        <f>HYPERLINK("https://rth.dk/resources/bsgatlas/details.php?id=BSGatlas-gene-2156","BSGatlas-gene-2156")</f>
        <v>BSGatlas-gene-2156</v>
      </c>
      <c r="C2033" s="1" t="s">
        <v>2024</v>
      </c>
      <c r="D2033" s="1" t="s">
        <v>8</v>
      </c>
      <c r="E2033" s="3">
        <v>1982565</v>
      </c>
      <c r="F2033" s="3">
        <v>1990247</v>
      </c>
      <c r="G2033" s="1" t="s">
        <v>13</v>
      </c>
      <c r="H2033" s="1" t="b">
        <f t="shared" si="76"/>
        <v>0</v>
      </c>
    </row>
    <row r="2034" spans="1:8" ht="21" x14ac:dyDescent="0.25">
      <c r="A2034" s="2" t="str">
        <f>HYPERLINK("https://rth.dk/resources/bsgatlas/details.php?id=BSGatlas-operon-1050","BSGatlas-operon-1050")</f>
        <v>BSGatlas-operon-1050</v>
      </c>
      <c r="B2034" s="2" t="str">
        <f>HYPERLINK("https://rth.dk/resources/bsgatlas/details.php?id=BSGatlas-gene-2157","BSGatlas-gene-2157")</f>
        <v>BSGatlas-gene-2157</v>
      </c>
      <c r="C2034" s="1" t="s">
        <v>2025</v>
      </c>
      <c r="D2034" s="1" t="s">
        <v>8</v>
      </c>
      <c r="E2034" s="3">
        <v>1990272</v>
      </c>
      <c r="F2034" s="3">
        <v>1997957</v>
      </c>
      <c r="G2034" s="1" t="s">
        <v>13</v>
      </c>
      <c r="H2034" s="1" t="b">
        <f t="shared" si="76"/>
        <v>0</v>
      </c>
    </row>
    <row r="2035" spans="1:8" ht="21" x14ac:dyDescent="0.25">
      <c r="A2035" s="2" t="str">
        <f>HYPERLINK("https://rth.dk/resources/bsgatlas/details.php?id=BSGatlas-operon-1051","BSGatlas-operon-1051")</f>
        <v>BSGatlas-operon-1051</v>
      </c>
      <c r="B2035" s="2" t="str">
        <f>HYPERLINK("https://rth.dk/resources/bsgatlas/details.php?id=BSGatlas-gene-2158","BSGatlas-gene-2158")</f>
        <v>BSGatlas-gene-2158</v>
      </c>
      <c r="C2035" s="1" t="s">
        <v>2026</v>
      </c>
      <c r="D2035" s="1" t="s">
        <v>8</v>
      </c>
      <c r="E2035" s="3">
        <v>1998340</v>
      </c>
      <c r="F2035" s="3">
        <v>1999815</v>
      </c>
      <c r="G2035" s="1" t="s">
        <v>13</v>
      </c>
      <c r="H2035" s="1" t="b">
        <f t="shared" si="76"/>
        <v>1</v>
      </c>
    </row>
    <row r="2036" spans="1:8" ht="21" x14ac:dyDescent="0.25">
      <c r="A2036" s="2" t="str">
        <f>HYPERLINK("https://rth.dk/resources/bsgatlas/details.php?id=BSGatlas-operon-1051","BSGatlas-operon-1051")</f>
        <v>BSGatlas-operon-1051</v>
      </c>
      <c r="B2036" s="2" t="str">
        <f>HYPERLINK("https://rth.dk/resources/bsgatlas/details.php?id=BSGatlas-gene-2159","BSGatlas-gene-2159")</f>
        <v>BSGatlas-gene-2159</v>
      </c>
      <c r="C2036" s="1" t="s">
        <v>2027</v>
      </c>
      <c r="D2036" s="1" t="s">
        <v>8</v>
      </c>
      <c r="E2036" s="3">
        <v>1999849</v>
      </c>
      <c r="F2036" s="3">
        <v>2000826</v>
      </c>
      <c r="G2036" s="1" t="s">
        <v>13</v>
      </c>
      <c r="H2036" s="1" t="b">
        <f t="shared" si="76"/>
        <v>1</v>
      </c>
    </row>
    <row r="2037" spans="1:8" ht="21" x14ac:dyDescent="0.25">
      <c r="A2037" s="2" t="str">
        <f>HYPERLINK("https://rth.dk/resources/bsgatlas/details.php?id=BSGatlas-operon-1052","BSGatlas-operon-1052")</f>
        <v>BSGatlas-operon-1052</v>
      </c>
      <c r="B2037" s="2" t="str">
        <f>HYPERLINK("https://rth.dk/resources/bsgatlas/details.php?id=BSGatlas-gene-2160","BSGatlas-gene-2160")</f>
        <v>BSGatlas-gene-2160</v>
      </c>
      <c r="C2037" s="1" t="s">
        <v>2028</v>
      </c>
      <c r="D2037" s="1" t="s">
        <v>8</v>
      </c>
      <c r="E2037" s="3">
        <v>2000960</v>
      </c>
      <c r="F2037" s="3">
        <v>2002351</v>
      </c>
      <c r="G2037" s="1" t="s">
        <v>13</v>
      </c>
      <c r="H2037" s="1" t="b">
        <f t="shared" si="76"/>
        <v>0</v>
      </c>
    </row>
    <row r="2038" spans="1:8" ht="21" x14ac:dyDescent="0.25">
      <c r="A2038" s="2" t="str">
        <f>HYPERLINK("https://rth.dk/resources/bsgatlas/details.php?id=BSGatlas-operon-1053","BSGatlas-operon-1053")</f>
        <v>BSGatlas-operon-1053</v>
      </c>
      <c r="B2038" s="2" t="str">
        <f>HYPERLINK("https://rth.dk/resources/bsgatlas/details.php?id=BSGatlas-gene-2161","BSGatlas-gene-2161")</f>
        <v>BSGatlas-gene-2161</v>
      </c>
      <c r="C2038" s="1" t="s">
        <v>2029</v>
      </c>
      <c r="D2038" s="1" t="s">
        <v>8</v>
      </c>
      <c r="E2038" s="3">
        <v>2002637</v>
      </c>
      <c r="F2038" s="3">
        <v>2003182</v>
      </c>
      <c r="G2038" s="1" t="s">
        <v>9</v>
      </c>
      <c r="H2038" s="1" t="b">
        <f t="shared" si="76"/>
        <v>1</v>
      </c>
    </row>
    <row r="2039" spans="1:8" ht="21" x14ac:dyDescent="0.25">
      <c r="A2039" s="2" t="str">
        <f>HYPERLINK("https://rth.dk/resources/bsgatlas/details.php?id=BSGatlas-operon-1054","BSGatlas-operon-1054")</f>
        <v>BSGatlas-operon-1054</v>
      </c>
      <c r="B2039" s="2" t="str">
        <f>HYPERLINK("https://rth.dk/resources/bsgatlas/details.php?id=BSGatlas-gene-2163","BSGatlas-gene-2163")</f>
        <v>BSGatlas-gene-2163</v>
      </c>
      <c r="C2039" s="1" t="s">
        <v>2030</v>
      </c>
      <c r="D2039" s="1" t="s">
        <v>8</v>
      </c>
      <c r="E2039" s="3">
        <v>2003401</v>
      </c>
      <c r="F2039" s="3">
        <v>2003946</v>
      </c>
      <c r="G2039" s="1" t="s">
        <v>13</v>
      </c>
      <c r="H2039" s="1" t="b">
        <f t="shared" si="76"/>
        <v>0</v>
      </c>
    </row>
    <row r="2040" spans="1:8" ht="21" x14ac:dyDescent="0.25">
      <c r="A2040" s="2" t="str">
        <f>HYPERLINK("https://rth.dk/resources/bsgatlas/details.php?id=BSGatlas-operon-1055","BSGatlas-operon-1055")</f>
        <v>BSGatlas-operon-1055</v>
      </c>
      <c r="B2040" s="2" t="str">
        <f>HYPERLINK("https://rth.dk/resources/bsgatlas/details.php?id=BSGatlas-gene-2164","BSGatlas-gene-2164")</f>
        <v>BSGatlas-gene-2164</v>
      </c>
      <c r="C2040" s="1" t="s">
        <v>2031</v>
      </c>
      <c r="D2040" s="1" t="s">
        <v>8</v>
      </c>
      <c r="E2040" s="3">
        <v>2004262</v>
      </c>
      <c r="F2040" s="3">
        <v>2004492</v>
      </c>
      <c r="G2040" s="1" t="s">
        <v>13</v>
      </c>
      <c r="H2040" s="1" t="b">
        <f t="shared" si="76"/>
        <v>1</v>
      </c>
    </row>
    <row r="2041" spans="1:8" ht="21" x14ac:dyDescent="0.25">
      <c r="A2041" s="2" t="str">
        <f>HYPERLINK("https://rth.dk/resources/bsgatlas/details.php?id=BSGatlas-operon-1056","BSGatlas-operon-1056")</f>
        <v>BSGatlas-operon-1056</v>
      </c>
      <c r="B2041" s="2" t="str">
        <f>HYPERLINK("https://rth.dk/resources/bsgatlas/details.php?id=BSGatlas-gene-2165","BSGatlas-gene-2165")</f>
        <v>BSGatlas-gene-2165</v>
      </c>
      <c r="C2041" s="1" t="s">
        <v>2032</v>
      </c>
      <c r="D2041" s="1" t="s">
        <v>8</v>
      </c>
      <c r="E2041" s="3">
        <v>2004677</v>
      </c>
      <c r="F2041" s="3">
        <v>2006440</v>
      </c>
      <c r="G2041" s="1" t="s">
        <v>9</v>
      </c>
      <c r="H2041" s="1" t="b">
        <f t="shared" si="76"/>
        <v>0</v>
      </c>
    </row>
    <row r="2042" spans="1:8" ht="21" x14ac:dyDescent="0.25">
      <c r="A2042" s="2" t="str">
        <f>HYPERLINK("https://rth.dk/resources/bsgatlas/details.php?id=BSGatlas-operon-1057","BSGatlas-operon-1057")</f>
        <v>BSGatlas-operon-1057</v>
      </c>
      <c r="B2042" s="2" t="str">
        <f>HYPERLINK("https://rth.dk/resources/bsgatlas/details.php?id=BSGatlas-gene-2166","BSGatlas-gene-2166")</f>
        <v>BSGatlas-gene-2166</v>
      </c>
      <c r="C2042" s="1" t="s">
        <v>2033</v>
      </c>
      <c r="D2042" s="1" t="s">
        <v>8</v>
      </c>
      <c r="E2042" s="3">
        <v>2006541</v>
      </c>
      <c r="F2042" s="3">
        <v>2007398</v>
      </c>
      <c r="G2042" s="1" t="s">
        <v>13</v>
      </c>
      <c r="H2042" s="1" t="b">
        <f t="shared" si="76"/>
        <v>1</v>
      </c>
    </row>
    <row r="2043" spans="1:8" ht="21" x14ac:dyDescent="0.25">
      <c r="A2043" s="2" t="str">
        <f>HYPERLINK("https://rth.dk/resources/bsgatlas/details.php?id=BSGatlas-operon-1058","BSGatlas-operon-1058")</f>
        <v>BSGatlas-operon-1058</v>
      </c>
      <c r="B2043" s="2" t="str">
        <f>HYPERLINK("https://rth.dk/resources/bsgatlas/details.php?id=BSGatlas-gene-2167","BSGatlas-gene-2167")</f>
        <v>BSGatlas-gene-2167</v>
      </c>
      <c r="C2043" s="1" t="s">
        <v>2034</v>
      </c>
      <c r="D2043" s="1" t="s">
        <v>8</v>
      </c>
      <c r="E2043" s="3">
        <v>2007526</v>
      </c>
      <c r="F2043" s="3">
        <v>2008515</v>
      </c>
      <c r="G2043" s="1" t="s">
        <v>9</v>
      </c>
      <c r="H2043" s="1" t="b">
        <f t="shared" si="76"/>
        <v>0</v>
      </c>
    </row>
    <row r="2044" spans="1:8" ht="21" x14ac:dyDescent="0.25">
      <c r="A2044" s="2" t="str">
        <f>HYPERLINK("https://rth.dk/resources/bsgatlas/details.php?id=BSGatlas-operon-1059","BSGatlas-operon-1059")</f>
        <v>BSGatlas-operon-1059</v>
      </c>
      <c r="B2044" s="2" t="str">
        <f>HYPERLINK("https://rth.dk/resources/bsgatlas/details.php?id=BSGatlas-gene-2168","BSGatlas-gene-2168")</f>
        <v>BSGatlas-gene-2168</v>
      </c>
      <c r="C2044" s="1" t="s">
        <v>2035</v>
      </c>
      <c r="D2044" s="1" t="s">
        <v>8</v>
      </c>
      <c r="E2044" s="3">
        <v>2008572</v>
      </c>
      <c r="F2044" s="3">
        <v>2010053</v>
      </c>
      <c r="G2044" s="1" t="s">
        <v>13</v>
      </c>
      <c r="H2044" s="1" t="b">
        <f t="shared" si="76"/>
        <v>1</v>
      </c>
    </row>
    <row r="2045" spans="1:8" ht="21" x14ac:dyDescent="0.25">
      <c r="A2045" s="2" t="str">
        <f>HYPERLINK("https://rth.dk/resources/bsgatlas/details.php?id=BSGatlas-operon-1059","BSGatlas-operon-1059")</f>
        <v>BSGatlas-operon-1059</v>
      </c>
      <c r="B2045" s="2" t="str">
        <f>HYPERLINK("https://rth.dk/resources/bsgatlas/details.php?id=BSGatlas-gene-2169","BSGatlas-gene-2169")</f>
        <v>BSGatlas-gene-2169</v>
      </c>
      <c r="C2045" s="1" t="s">
        <v>2036</v>
      </c>
      <c r="D2045" s="1" t="s">
        <v>8</v>
      </c>
      <c r="E2045" s="3">
        <v>2010070</v>
      </c>
      <c r="F2045" s="3">
        <v>2014632</v>
      </c>
      <c r="G2045" s="1" t="s">
        <v>13</v>
      </c>
      <c r="H2045" s="1" t="b">
        <f t="shared" si="76"/>
        <v>1</v>
      </c>
    </row>
    <row r="2046" spans="1:8" ht="21" x14ac:dyDescent="0.25">
      <c r="A2046" s="2" t="str">
        <f>HYPERLINK("https://rth.dk/resources/bsgatlas/details.php?id=BSGatlas-operon-1060","BSGatlas-operon-1060")</f>
        <v>BSGatlas-operon-1060</v>
      </c>
      <c r="B2046" s="2" t="str">
        <f>HYPERLINK("https://rth.dk/resources/bsgatlas/details.php?id=BSGatlas-gene-2170","BSGatlas-gene-2170")</f>
        <v>BSGatlas-gene-2170</v>
      </c>
      <c r="C2046" s="1" t="s">
        <v>2037</v>
      </c>
      <c r="D2046" s="1" t="s">
        <v>8</v>
      </c>
      <c r="E2046" s="3">
        <v>2014779</v>
      </c>
      <c r="F2046" s="3">
        <v>2015681</v>
      </c>
      <c r="G2046" s="1" t="s">
        <v>9</v>
      </c>
      <c r="H2046" s="1" t="b">
        <f t="shared" si="76"/>
        <v>0</v>
      </c>
    </row>
    <row r="2047" spans="1:8" ht="21" x14ac:dyDescent="0.25">
      <c r="A2047" s="2" t="str">
        <f>HYPERLINK("https://rth.dk/resources/bsgatlas/details.php?id=BSGatlas-operon-1061","BSGatlas-operon-1061")</f>
        <v>BSGatlas-operon-1061</v>
      </c>
      <c r="B2047" s="2" t="str">
        <f>HYPERLINK("https://rth.dk/resources/bsgatlas/details.php?id=BSGatlas-gene-2171","BSGatlas-gene-2171")</f>
        <v>BSGatlas-gene-2171</v>
      </c>
      <c r="C2047" s="1" t="s">
        <v>2038</v>
      </c>
      <c r="D2047" s="1" t="s">
        <v>8</v>
      </c>
      <c r="E2047" s="3">
        <v>2015733</v>
      </c>
      <c r="F2047" s="3">
        <v>2016848</v>
      </c>
      <c r="G2047" s="1" t="s">
        <v>13</v>
      </c>
      <c r="H2047" s="1" t="b">
        <f t="shared" si="76"/>
        <v>1</v>
      </c>
    </row>
    <row r="2048" spans="1:8" ht="21" x14ac:dyDescent="0.25">
      <c r="A2048" s="2" t="str">
        <f>HYPERLINK("https://rth.dk/resources/bsgatlas/details.php?id=BSGatlas-operon-1061","BSGatlas-operon-1061")</f>
        <v>BSGatlas-operon-1061</v>
      </c>
      <c r="B2048" s="2" t="str">
        <f>HYPERLINK("https://rth.dk/resources/bsgatlas/details.php?id=BSGatlas-gene-2172","BSGatlas-gene-2172")</f>
        <v>BSGatlas-gene-2172</v>
      </c>
      <c r="C2048" s="1" t="s">
        <v>2039</v>
      </c>
      <c r="D2048" s="1" t="s">
        <v>8</v>
      </c>
      <c r="E2048" s="3">
        <v>2016845</v>
      </c>
      <c r="F2048" s="3">
        <v>2017738</v>
      </c>
      <c r="G2048" s="1" t="s">
        <v>13</v>
      </c>
      <c r="H2048" s="1" t="b">
        <f t="shared" si="76"/>
        <v>1</v>
      </c>
    </row>
    <row r="2049" spans="1:8" ht="21" x14ac:dyDescent="0.25">
      <c r="A2049" s="2" t="str">
        <f>HYPERLINK("https://rth.dk/resources/bsgatlas/details.php?id=BSGatlas-operon-1062","BSGatlas-operon-1062")</f>
        <v>BSGatlas-operon-1062</v>
      </c>
      <c r="B2049" s="2" t="str">
        <f>HYPERLINK("https://rth.dk/resources/bsgatlas/details.php?id=BSGatlas-gene-2173","BSGatlas-gene-2173")</f>
        <v>BSGatlas-gene-2173</v>
      </c>
      <c r="C2049" s="1" t="s">
        <v>2040</v>
      </c>
      <c r="D2049" s="1" t="s">
        <v>8</v>
      </c>
      <c r="E2049" s="3">
        <v>2017886</v>
      </c>
      <c r="F2049" s="3">
        <v>2018254</v>
      </c>
      <c r="G2049" s="1" t="s">
        <v>13</v>
      </c>
      <c r="H2049" s="1" t="b">
        <f t="shared" si="76"/>
        <v>0</v>
      </c>
    </row>
    <row r="2050" spans="1:8" ht="21" x14ac:dyDescent="0.25">
      <c r="A2050" s="2" t="str">
        <f>HYPERLINK("https://rth.dk/resources/bsgatlas/details.php?id=BSGatlas-operon-1063","BSGatlas-operon-1063")</f>
        <v>BSGatlas-operon-1063</v>
      </c>
      <c r="B2050" s="2" t="str">
        <f>HYPERLINK("https://rth.dk/resources/bsgatlas/details.php?id=BSGatlas-gene-2174","BSGatlas-gene-2174")</f>
        <v>BSGatlas-gene-2174</v>
      </c>
      <c r="C2050" s="1" t="s">
        <v>2041</v>
      </c>
      <c r="D2050" s="1" t="s">
        <v>8</v>
      </c>
      <c r="E2050" s="3">
        <v>2018554</v>
      </c>
      <c r="F2050" s="3">
        <v>2019270</v>
      </c>
      <c r="G2050" s="1" t="s">
        <v>13</v>
      </c>
      <c r="H2050" s="1" t="b">
        <f t="shared" ref="H2050:H2113" si="78">_xlfn.XOR(A2049&lt;&gt;A2050,H2049)</f>
        <v>1</v>
      </c>
    </row>
    <row r="2051" spans="1:8" ht="21" x14ac:dyDescent="0.25">
      <c r="A2051" s="2" t="str">
        <f>HYPERLINK("https://rth.dk/resources/bsgatlas/details.php?id=BSGatlas-operon-1064","BSGatlas-operon-1064")</f>
        <v>BSGatlas-operon-1064</v>
      </c>
      <c r="B2051" s="2" t="str">
        <f>HYPERLINK("https://rth.dk/resources/bsgatlas/details.php?id=BSGatlas-gene-2175","BSGatlas-gene-2175")</f>
        <v>BSGatlas-gene-2175</v>
      </c>
      <c r="C2051" s="1" t="s">
        <v>2042</v>
      </c>
      <c r="D2051" s="1" t="s">
        <v>8</v>
      </c>
      <c r="E2051" s="3">
        <v>2019421</v>
      </c>
      <c r="F2051" s="3">
        <v>2019726</v>
      </c>
      <c r="G2051" s="1" t="s">
        <v>9</v>
      </c>
      <c r="H2051" s="1" t="b">
        <f t="shared" si="78"/>
        <v>0</v>
      </c>
    </row>
    <row r="2052" spans="1:8" ht="21" x14ac:dyDescent="0.25">
      <c r="A2052" s="2" t="str">
        <f>HYPERLINK("https://rth.dk/resources/bsgatlas/details.php?id=BSGatlas-operon-1064","BSGatlas-operon-1064")</f>
        <v>BSGatlas-operon-1064</v>
      </c>
      <c r="B2052" s="2" t="str">
        <f>HYPERLINK("https://rth.dk/resources/bsgatlas/details.php?id=BSGatlas-gene-2176","BSGatlas-gene-2176")</f>
        <v>BSGatlas-gene-2176</v>
      </c>
      <c r="C2052" s="1" t="s">
        <v>2043</v>
      </c>
      <c r="D2052" s="1" t="s">
        <v>8</v>
      </c>
      <c r="E2052" s="3">
        <v>2019797</v>
      </c>
      <c r="F2052" s="3">
        <v>2020567</v>
      </c>
      <c r="G2052" s="1" t="s">
        <v>9</v>
      </c>
      <c r="H2052" s="1" t="b">
        <f t="shared" si="78"/>
        <v>0</v>
      </c>
    </row>
    <row r="2053" spans="1:8" ht="21" x14ac:dyDescent="0.25">
      <c r="A2053" s="2" t="str">
        <f>HYPERLINK("https://rth.dk/resources/bsgatlas/details.php?id=BSGatlas-operon-1064","BSGatlas-operon-1064")</f>
        <v>BSGatlas-operon-1064</v>
      </c>
      <c r="B2053" s="2" t="str">
        <f>HYPERLINK("https://rth.dk/resources/bsgatlas/details.php?id=BSGatlas-gene-2177","BSGatlas-gene-2177")</f>
        <v>BSGatlas-gene-2177</v>
      </c>
      <c r="C2053" s="1" t="s">
        <v>2044</v>
      </c>
      <c r="D2053" s="1" t="s">
        <v>8</v>
      </c>
      <c r="E2053" s="3">
        <v>2020611</v>
      </c>
      <c r="F2053" s="3">
        <v>2021144</v>
      </c>
      <c r="G2053" s="1" t="s">
        <v>9</v>
      </c>
      <c r="H2053" s="1" t="b">
        <f t="shared" si="78"/>
        <v>0</v>
      </c>
    </row>
    <row r="2054" spans="1:8" ht="21" x14ac:dyDescent="0.25">
      <c r="A2054" s="2" t="str">
        <f>HYPERLINK("https://rth.dk/resources/bsgatlas/details.php?id=BSGatlas-operon-1065","BSGatlas-operon-1065")</f>
        <v>BSGatlas-operon-1065</v>
      </c>
      <c r="B2054" s="2" t="str">
        <f>HYPERLINK("https://rth.dk/resources/bsgatlas/details.php?id=BSGatlas-gene-2178","BSGatlas-gene-2178")</f>
        <v>BSGatlas-gene-2178</v>
      </c>
      <c r="C2054" s="1" t="s">
        <v>2045</v>
      </c>
      <c r="D2054" s="1" t="s">
        <v>8</v>
      </c>
      <c r="E2054" s="3">
        <v>2021223</v>
      </c>
      <c r="F2054" s="3">
        <v>2022467</v>
      </c>
      <c r="G2054" s="1" t="s">
        <v>13</v>
      </c>
      <c r="H2054" s="1" t="b">
        <f t="shared" si="78"/>
        <v>1</v>
      </c>
    </row>
    <row r="2055" spans="1:8" ht="21" x14ac:dyDescent="0.25">
      <c r="A2055" s="2" t="str">
        <f>HYPERLINK("https://rth.dk/resources/bsgatlas/details.php?id=BSGatlas-operon-1065","BSGatlas-operon-1065")</f>
        <v>BSGatlas-operon-1065</v>
      </c>
      <c r="B2055" s="2" t="str">
        <f>HYPERLINK("https://rth.dk/resources/bsgatlas/details.php?id=BSGatlas-gene-2179","BSGatlas-gene-2179")</f>
        <v>BSGatlas-gene-2179</v>
      </c>
      <c r="C2055" s="1" t="s">
        <v>2046</v>
      </c>
      <c r="D2055" s="1" t="s">
        <v>8</v>
      </c>
      <c r="E2055" s="3">
        <v>2022561</v>
      </c>
      <c r="F2055" s="3">
        <v>2024024</v>
      </c>
      <c r="G2055" s="1" t="s">
        <v>13</v>
      </c>
      <c r="H2055" s="1" t="b">
        <f t="shared" si="78"/>
        <v>1</v>
      </c>
    </row>
    <row r="2056" spans="1:8" ht="21" x14ac:dyDescent="0.25">
      <c r="A2056" s="2" t="str">
        <f>HYPERLINK("https://rth.dk/resources/bsgatlas/details.php?id=BSGatlas-operon-1065","BSGatlas-operon-1065")</f>
        <v>BSGatlas-operon-1065</v>
      </c>
      <c r="B2056" s="2" t="str">
        <f>HYPERLINK("https://rth.dk/resources/bsgatlas/details.php?id=BSGatlas-gene-2180","BSGatlas-gene-2180")</f>
        <v>BSGatlas-gene-2180</v>
      </c>
      <c r="C2056" s="1" t="s">
        <v>2047</v>
      </c>
      <c r="D2056" s="1" t="s">
        <v>8</v>
      </c>
      <c r="E2056" s="3">
        <v>2024042</v>
      </c>
      <c r="F2056" s="3">
        <v>2025076</v>
      </c>
      <c r="G2056" s="1" t="s">
        <v>13</v>
      </c>
      <c r="H2056" s="1" t="b">
        <f t="shared" si="78"/>
        <v>1</v>
      </c>
    </row>
    <row r="2057" spans="1:8" ht="21" x14ac:dyDescent="0.25">
      <c r="A2057" s="2" t="str">
        <f>HYPERLINK("https://rth.dk/resources/bsgatlas/details.php?id=BSGatlas-operon-1066","BSGatlas-operon-1066")</f>
        <v>BSGatlas-operon-1066</v>
      </c>
      <c r="B2057" s="2" t="str">
        <f>HYPERLINK("https://rth.dk/resources/bsgatlas/details.php?id=BSGatlas-gene-2181","BSGatlas-gene-2181")</f>
        <v>BSGatlas-gene-2181</v>
      </c>
      <c r="C2057" s="1" t="s">
        <v>2048</v>
      </c>
      <c r="D2057" s="1" t="s">
        <v>34</v>
      </c>
      <c r="E2057" s="3">
        <v>2025159</v>
      </c>
      <c r="F2057" s="3">
        <v>2025251</v>
      </c>
      <c r="G2057" s="1" t="s">
        <v>13</v>
      </c>
      <c r="H2057" s="1" t="b">
        <f t="shared" si="78"/>
        <v>0</v>
      </c>
    </row>
    <row r="2058" spans="1:8" ht="21" x14ac:dyDescent="0.25">
      <c r="A2058" s="2" t="str">
        <f>HYPERLINK("https://rth.dk/resources/bsgatlas/details.php?id=BSGatlas-operon-1067","BSGatlas-operon-1067")</f>
        <v>BSGatlas-operon-1067</v>
      </c>
      <c r="B2058" s="2" t="str">
        <f>HYPERLINK("https://rth.dk/resources/bsgatlas/details.php?id=BSGatlas-gene-2182","BSGatlas-gene-2182")</f>
        <v>BSGatlas-gene-2182</v>
      </c>
      <c r="C2058" s="1" t="s">
        <v>2049</v>
      </c>
      <c r="D2058" s="1" t="s">
        <v>8</v>
      </c>
      <c r="E2058" s="3">
        <v>2025400</v>
      </c>
      <c r="F2058" s="3">
        <v>2027442</v>
      </c>
      <c r="G2058" s="1" t="s">
        <v>9</v>
      </c>
      <c r="H2058" s="1" t="b">
        <f t="shared" si="78"/>
        <v>1</v>
      </c>
    </row>
    <row r="2059" spans="1:8" ht="21" x14ac:dyDescent="0.25">
      <c r="A2059" s="2" t="str">
        <f>HYPERLINK("https://rth.dk/resources/bsgatlas/details.php?id=BSGatlas-operon-1067","BSGatlas-operon-1067")</f>
        <v>BSGatlas-operon-1067</v>
      </c>
      <c r="B2059" s="2" t="str">
        <f>HYPERLINK("https://rth.dk/resources/bsgatlas/details.php?id=BSGatlas-gene-2183","BSGatlas-gene-2183")</f>
        <v>BSGatlas-gene-2183</v>
      </c>
      <c r="C2059" s="1" t="s">
        <v>2050</v>
      </c>
      <c r="D2059" s="1" t="s">
        <v>8</v>
      </c>
      <c r="E2059" s="3">
        <v>2027509</v>
      </c>
      <c r="F2059" s="3">
        <v>2027802</v>
      </c>
      <c r="G2059" s="1" t="s">
        <v>9</v>
      </c>
      <c r="H2059" s="1" t="b">
        <f t="shared" si="78"/>
        <v>1</v>
      </c>
    </row>
    <row r="2060" spans="1:8" ht="21" x14ac:dyDescent="0.25">
      <c r="A2060" s="2" t="str">
        <f>HYPERLINK("https://rth.dk/resources/bsgatlas/details.php?id=BSGatlas-operon-1068","BSGatlas-operon-1068")</f>
        <v>BSGatlas-operon-1068</v>
      </c>
      <c r="B2060" s="2" t="str">
        <f>HYPERLINK("https://rth.dk/resources/bsgatlas/details.php?id=BSGatlas-gene-2184","BSGatlas-gene-2184")</f>
        <v>BSGatlas-gene-2184</v>
      </c>
      <c r="C2060" s="1" t="s">
        <v>2051</v>
      </c>
      <c r="D2060" s="1" t="s">
        <v>8</v>
      </c>
      <c r="E2060" s="3">
        <v>2028175</v>
      </c>
      <c r="F2060" s="3">
        <v>2028579</v>
      </c>
      <c r="G2060" s="1" t="s">
        <v>13</v>
      </c>
      <c r="H2060" s="1" t="b">
        <f t="shared" si="78"/>
        <v>0</v>
      </c>
    </row>
    <row r="2061" spans="1:8" ht="21" x14ac:dyDescent="0.25">
      <c r="A2061" s="2" t="str">
        <f>HYPERLINK("https://rth.dk/resources/bsgatlas/details.php?id=BSGatlas-operon-1069","BSGatlas-operon-1069")</f>
        <v>BSGatlas-operon-1069</v>
      </c>
      <c r="B2061" s="2" t="str">
        <f>HYPERLINK("https://rth.dk/resources/bsgatlas/details.php?id=BSGatlas-gene-2186","BSGatlas-gene-2186")</f>
        <v>BSGatlas-gene-2186</v>
      </c>
      <c r="C2061" s="1" t="s">
        <v>318</v>
      </c>
      <c r="D2061" s="1" t="s">
        <v>8</v>
      </c>
      <c r="E2061" s="3">
        <v>2028854</v>
      </c>
      <c r="F2061" s="3">
        <v>2028976</v>
      </c>
      <c r="G2061" s="1" t="s">
        <v>9</v>
      </c>
      <c r="H2061" s="1" t="b">
        <f t="shared" si="78"/>
        <v>1</v>
      </c>
    </row>
    <row r="2062" spans="1:8" ht="21" x14ac:dyDescent="0.25">
      <c r="A2062" s="2" t="str">
        <f>HYPERLINK("https://rth.dk/resources/bsgatlas/details.php?id=BSGatlas-operon-1070","BSGatlas-operon-1070")</f>
        <v>BSGatlas-operon-1070</v>
      </c>
      <c r="B2062" s="2" t="str">
        <f>HYPERLINK("https://rth.dk/resources/bsgatlas/details.php?id=BSGatlas-gene-2187","BSGatlas-gene-2187")</f>
        <v>BSGatlas-gene-2187</v>
      </c>
      <c r="C2062" s="1" t="s">
        <v>2052</v>
      </c>
      <c r="D2062" s="1" t="s">
        <v>8</v>
      </c>
      <c r="E2062" s="3">
        <v>2029020</v>
      </c>
      <c r="F2062" s="3">
        <v>2029313</v>
      </c>
      <c r="G2062" s="1" t="s">
        <v>9</v>
      </c>
      <c r="H2062" s="1" t="b">
        <f t="shared" si="78"/>
        <v>0</v>
      </c>
    </row>
    <row r="2063" spans="1:8" ht="21" x14ac:dyDescent="0.25">
      <c r="A2063" s="2" t="str">
        <f>HYPERLINK("https://rth.dk/resources/bsgatlas/details.php?id=BSGatlas-operon-1071","BSGatlas-operon-1071")</f>
        <v>BSGatlas-operon-1071</v>
      </c>
      <c r="B2063" s="2" t="str">
        <f>HYPERLINK("https://rth.dk/resources/bsgatlas/details.php?id=BSGatlas-gene-2188","BSGatlas-gene-2188")</f>
        <v>BSGatlas-gene-2188</v>
      </c>
      <c r="C2063" s="1" t="s">
        <v>2053</v>
      </c>
      <c r="D2063" s="1" t="s">
        <v>8</v>
      </c>
      <c r="E2063" s="3">
        <v>2029429</v>
      </c>
      <c r="F2063" s="3">
        <v>2031114</v>
      </c>
      <c r="G2063" s="1" t="s">
        <v>13</v>
      </c>
      <c r="H2063" s="1" t="b">
        <f t="shared" si="78"/>
        <v>1</v>
      </c>
    </row>
    <row r="2064" spans="1:8" ht="21" x14ac:dyDescent="0.25">
      <c r="A2064" s="2" t="str">
        <f>HYPERLINK("https://rth.dk/resources/bsgatlas/details.php?id=BSGatlas-operon-1072","BSGatlas-operon-1072")</f>
        <v>BSGatlas-operon-1072</v>
      </c>
      <c r="B2064" s="2" t="str">
        <f>HYPERLINK("https://rth.dk/resources/bsgatlas/details.php?id=BSGatlas-gene-2189","BSGatlas-gene-2189")</f>
        <v>BSGatlas-gene-2189</v>
      </c>
      <c r="C2064" s="1" t="s">
        <v>2054</v>
      </c>
      <c r="D2064" s="1" t="s">
        <v>8</v>
      </c>
      <c r="E2064" s="3">
        <v>2031439</v>
      </c>
      <c r="F2064" s="3">
        <v>2032890</v>
      </c>
      <c r="G2064" s="1" t="s">
        <v>9</v>
      </c>
      <c r="H2064" s="1" t="b">
        <f t="shared" si="78"/>
        <v>0</v>
      </c>
    </row>
    <row r="2065" spans="1:8" ht="21" x14ac:dyDescent="0.25">
      <c r="A2065" s="2" t="str">
        <f>HYPERLINK("https://rth.dk/resources/bsgatlas/details.php?id=BSGatlas-operon-1073","BSGatlas-operon-1073")</f>
        <v>BSGatlas-operon-1073</v>
      </c>
      <c r="B2065" s="2" t="str">
        <f>HYPERLINK("https://rth.dk/resources/bsgatlas/details.php?id=BSGatlas-gene-2190","BSGatlas-gene-2190")</f>
        <v>BSGatlas-gene-2190</v>
      </c>
      <c r="C2065" s="1" t="s">
        <v>2055</v>
      </c>
      <c r="D2065" s="1" t="s">
        <v>8</v>
      </c>
      <c r="E2065" s="3">
        <v>2032927</v>
      </c>
      <c r="F2065" s="3">
        <v>2033625</v>
      </c>
      <c r="G2065" s="1" t="s">
        <v>13</v>
      </c>
      <c r="H2065" s="1" t="b">
        <f t="shared" si="78"/>
        <v>1</v>
      </c>
    </row>
    <row r="2066" spans="1:8" ht="21" x14ac:dyDescent="0.25">
      <c r="A2066" s="2" t="str">
        <f>HYPERLINK("https://rth.dk/resources/bsgatlas/details.php?id=BSGatlas-operon-1074","BSGatlas-operon-1074")</f>
        <v>BSGatlas-operon-1074</v>
      </c>
      <c r="B2066" s="2" t="str">
        <f>HYPERLINK("https://rth.dk/resources/bsgatlas/details.php?id=BSGatlas-gene-2193","BSGatlas-gene-2193")</f>
        <v>BSGatlas-gene-2193</v>
      </c>
      <c r="C2066" s="1" t="s">
        <v>2056</v>
      </c>
      <c r="D2066" s="1" t="s">
        <v>8</v>
      </c>
      <c r="E2066" s="3">
        <v>2036039</v>
      </c>
      <c r="F2066" s="3">
        <v>2036722</v>
      </c>
      <c r="G2066" s="1" t="s">
        <v>9</v>
      </c>
      <c r="H2066" s="1" t="b">
        <f t="shared" si="78"/>
        <v>0</v>
      </c>
    </row>
    <row r="2067" spans="1:8" ht="21" x14ac:dyDescent="0.25">
      <c r="A2067" s="2" t="str">
        <f>HYPERLINK("https://rth.dk/resources/bsgatlas/details.php?id=BSGatlas-operon-1075","BSGatlas-operon-1075")</f>
        <v>BSGatlas-operon-1075</v>
      </c>
      <c r="B2067" s="2" t="str">
        <f>HYPERLINK("https://rth.dk/resources/bsgatlas/details.php?id=BSGatlas-gene-2194","BSGatlas-gene-2194")</f>
        <v>BSGatlas-gene-2194</v>
      </c>
      <c r="C2067" s="1" t="s">
        <v>2057</v>
      </c>
      <c r="D2067" s="1" t="s">
        <v>8</v>
      </c>
      <c r="E2067" s="3">
        <v>2037063</v>
      </c>
      <c r="F2067" s="3">
        <v>2037368</v>
      </c>
      <c r="G2067" s="1" t="s">
        <v>13</v>
      </c>
      <c r="H2067" s="1" t="b">
        <f t="shared" si="78"/>
        <v>1</v>
      </c>
    </row>
    <row r="2068" spans="1:8" ht="21" x14ac:dyDescent="0.25">
      <c r="A2068" s="2" t="str">
        <f>HYPERLINK("https://rth.dk/resources/bsgatlas/details.php?id=BSGatlas-operon-1076","BSGatlas-operon-1076")</f>
        <v>BSGatlas-operon-1076</v>
      </c>
      <c r="B2068" s="2" t="str">
        <f>HYPERLINK("https://rth.dk/resources/bsgatlas/details.php?id=BSGatlas-gene-2195","BSGatlas-gene-2195")</f>
        <v>BSGatlas-gene-2195</v>
      </c>
      <c r="C2068" s="1" t="s">
        <v>2058</v>
      </c>
      <c r="D2068" s="1" t="s">
        <v>8</v>
      </c>
      <c r="E2068" s="3">
        <v>2037601</v>
      </c>
      <c r="F2068" s="3">
        <v>2038779</v>
      </c>
      <c r="G2068" s="1" t="s">
        <v>13</v>
      </c>
      <c r="H2068" s="1" t="b">
        <f t="shared" si="78"/>
        <v>0</v>
      </c>
    </row>
    <row r="2069" spans="1:8" ht="21" x14ac:dyDescent="0.25">
      <c r="A2069" s="2" t="str">
        <f>HYPERLINK("https://rth.dk/resources/bsgatlas/details.php?id=BSGatlas-operon-1077","BSGatlas-operon-1077")</f>
        <v>BSGatlas-operon-1077</v>
      </c>
      <c r="B2069" s="2" t="str">
        <f>HYPERLINK("https://rth.dk/resources/bsgatlas/details.php?id=BSGatlas-gene-2196","BSGatlas-gene-2196")</f>
        <v>BSGatlas-gene-2196</v>
      </c>
      <c r="C2069" s="1" t="s">
        <v>2059</v>
      </c>
      <c r="D2069" s="1" t="s">
        <v>8</v>
      </c>
      <c r="E2069" s="3">
        <v>2038902</v>
      </c>
      <c r="F2069" s="3">
        <v>2039390</v>
      </c>
      <c r="G2069" s="1" t="s">
        <v>13</v>
      </c>
      <c r="H2069" s="1" t="b">
        <f t="shared" si="78"/>
        <v>1</v>
      </c>
    </row>
    <row r="2070" spans="1:8" ht="21" x14ac:dyDescent="0.25">
      <c r="A2070" s="2" t="str">
        <f>HYPERLINK("https://rth.dk/resources/bsgatlas/details.php?id=BSGatlas-operon-1078","BSGatlas-operon-1078")</f>
        <v>BSGatlas-operon-1078</v>
      </c>
      <c r="B2070" s="2" t="str">
        <f>HYPERLINK("https://rth.dk/resources/bsgatlas/details.php?id=BSGatlas-gene-2199","BSGatlas-gene-2199")</f>
        <v>BSGatlas-gene-2199</v>
      </c>
      <c r="C2070" s="1" t="s">
        <v>2060</v>
      </c>
      <c r="D2070" s="1" t="s">
        <v>8</v>
      </c>
      <c r="E2070" s="3">
        <v>2040673</v>
      </c>
      <c r="F2070" s="3">
        <v>2041029</v>
      </c>
      <c r="G2070" s="1" t="s">
        <v>9</v>
      </c>
      <c r="H2070" s="1" t="b">
        <f t="shared" si="78"/>
        <v>0</v>
      </c>
    </row>
    <row r="2071" spans="1:8" ht="21" x14ac:dyDescent="0.25">
      <c r="A2071" s="2" t="str">
        <f>HYPERLINK("https://rth.dk/resources/bsgatlas/details.php?id=BSGatlas-operon-1079","BSGatlas-operon-1079")</f>
        <v>BSGatlas-operon-1079</v>
      </c>
      <c r="B2071" s="2" t="str">
        <f>HYPERLINK("https://rth.dk/resources/bsgatlas/details.php?id=BSGatlas-gene-2200","BSGatlas-gene-2200")</f>
        <v>BSGatlas-gene-2200</v>
      </c>
      <c r="C2071" s="1" t="s">
        <v>2061</v>
      </c>
      <c r="D2071" s="1" t="s">
        <v>8</v>
      </c>
      <c r="E2071" s="3">
        <v>2040988</v>
      </c>
      <c r="F2071" s="3">
        <v>2041227</v>
      </c>
      <c r="G2071" s="1" t="s">
        <v>13</v>
      </c>
      <c r="H2071" s="1" t="b">
        <f t="shared" si="78"/>
        <v>1</v>
      </c>
    </row>
    <row r="2072" spans="1:8" ht="21" x14ac:dyDescent="0.25">
      <c r="A2072" s="2" t="str">
        <f>HYPERLINK("https://rth.dk/resources/bsgatlas/details.php?id=BSGatlas-operon-1079","BSGatlas-operon-1079")</f>
        <v>BSGatlas-operon-1079</v>
      </c>
      <c r="B2072" s="2" t="str">
        <f>HYPERLINK("https://rth.dk/resources/bsgatlas/details.php?id=BSGatlas-gene-2201","BSGatlas-gene-2201")</f>
        <v>BSGatlas-gene-2201</v>
      </c>
      <c r="C2072" s="1" t="s">
        <v>2062</v>
      </c>
      <c r="D2072" s="1" t="s">
        <v>8</v>
      </c>
      <c r="E2072" s="3">
        <v>2041330</v>
      </c>
      <c r="F2072" s="3">
        <v>2041827</v>
      </c>
      <c r="G2072" s="1" t="s">
        <v>13</v>
      </c>
      <c r="H2072" s="1" t="b">
        <f t="shared" si="78"/>
        <v>1</v>
      </c>
    </row>
    <row r="2073" spans="1:8" ht="21" x14ac:dyDescent="0.25">
      <c r="A2073" s="2" t="str">
        <f>HYPERLINK("https://rth.dk/resources/bsgatlas/details.php?id=BSGatlas-operon-1079","BSGatlas-operon-1079")</f>
        <v>BSGatlas-operon-1079</v>
      </c>
      <c r="B2073" s="2" t="str">
        <f>HYPERLINK("https://rth.dk/resources/bsgatlas/details.php?id=BSGatlas-gene-2202","BSGatlas-gene-2202")</f>
        <v>BSGatlas-gene-2202</v>
      </c>
      <c r="C2073" s="1" t="s">
        <v>2063</v>
      </c>
      <c r="D2073" s="1" t="s">
        <v>8</v>
      </c>
      <c r="E2073" s="3">
        <v>2041928</v>
      </c>
      <c r="F2073" s="3">
        <v>2042839</v>
      </c>
      <c r="G2073" s="1" t="s">
        <v>13</v>
      </c>
      <c r="H2073" s="1" t="b">
        <f t="shared" si="78"/>
        <v>1</v>
      </c>
    </row>
    <row r="2074" spans="1:8" ht="21" x14ac:dyDescent="0.25">
      <c r="A2074" s="2" t="str">
        <f>HYPERLINK("https://rth.dk/resources/bsgatlas/details.php?id=BSGatlas-operon-1080","BSGatlas-operon-1080")</f>
        <v>BSGatlas-operon-1080</v>
      </c>
      <c r="B2074" s="2" t="str">
        <f>HYPERLINK("https://rth.dk/resources/bsgatlas/details.php?id=BSGatlas-gene-2203","BSGatlas-gene-2203")</f>
        <v>BSGatlas-gene-2203</v>
      </c>
      <c r="C2074" s="1" t="s">
        <v>2064</v>
      </c>
      <c r="D2074" s="1" t="s">
        <v>8</v>
      </c>
      <c r="E2074" s="3">
        <v>2043186</v>
      </c>
      <c r="F2074" s="3">
        <v>2043668</v>
      </c>
      <c r="G2074" s="1" t="s">
        <v>9</v>
      </c>
      <c r="H2074" s="1" t="b">
        <f t="shared" si="78"/>
        <v>0</v>
      </c>
    </row>
    <row r="2075" spans="1:8" ht="21" x14ac:dyDescent="0.25">
      <c r="A2075" s="2" t="str">
        <f>HYPERLINK("https://rth.dk/resources/bsgatlas/details.php?id=BSGatlas-operon-1080","BSGatlas-operon-1080")</f>
        <v>BSGatlas-operon-1080</v>
      </c>
      <c r="B2075" s="2" t="str">
        <f>HYPERLINK("https://rth.dk/resources/bsgatlas/details.php?id=BSGatlas-gene-2204","BSGatlas-gene-2204")</f>
        <v>BSGatlas-gene-2204</v>
      </c>
      <c r="C2075" s="1" t="s">
        <v>2065</v>
      </c>
      <c r="D2075" s="1" t="s">
        <v>8</v>
      </c>
      <c r="E2075" s="3">
        <v>2043678</v>
      </c>
      <c r="F2075" s="3">
        <v>2043932</v>
      </c>
      <c r="G2075" s="1" t="s">
        <v>9</v>
      </c>
      <c r="H2075" s="1" t="b">
        <f t="shared" si="78"/>
        <v>0</v>
      </c>
    </row>
    <row r="2076" spans="1:8" ht="21" x14ac:dyDescent="0.25">
      <c r="A2076" s="2" t="str">
        <f>HYPERLINK("https://rth.dk/resources/bsgatlas/details.php?id=BSGatlas-operon-1080","BSGatlas-operon-1080")</f>
        <v>BSGatlas-operon-1080</v>
      </c>
      <c r="B2076" s="2" t="str">
        <f>HYPERLINK("https://rth.dk/resources/bsgatlas/details.php?id=BSGatlas-gene-2205","BSGatlas-gene-2205")</f>
        <v>BSGatlas-gene-2205</v>
      </c>
      <c r="C2076" s="1" t="s">
        <v>2066</v>
      </c>
      <c r="D2076" s="1" t="s">
        <v>8</v>
      </c>
      <c r="E2076" s="3">
        <v>2044038</v>
      </c>
      <c r="F2076" s="3">
        <v>2044832</v>
      </c>
      <c r="G2076" s="1" t="s">
        <v>9</v>
      </c>
      <c r="H2076" s="1" t="b">
        <f t="shared" si="78"/>
        <v>0</v>
      </c>
    </row>
    <row r="2077" spans="1:8" ht="21" x14ac:dyDescent="0.25">
      <c r="A2077" s="2" t="str">
        <f>HYPERLINK("https://rth.dk/resources/bsgatlas/details.php?id=BSGatlas-operon-1080","BSGatlas-operon-1080")</f>
        <v>BSGatlas-operon-1080</v>
      </c>
      <c r="B2077" s="2" t="str">
        <f>HYPERLINK("https://rth.dk/resources/bsgatlas/details.php?id=BSGatlas-gene-2207","BSGatlas-gene-2207")</f>
        <v>BSGatlas-gene-2207</v>
      </c>
      <c r="C2077" s="1" t="s">
        <v>2067</v>
      </c>
      <c r="D2077" s="1" t="s">
        <v>8</v>
      </c>
      <c r="E2077" s="3">
        <v>2045929</v>
      </c>
      <c r="F2077" s="3">
        <v>2046807</v>
      </c>
      <c r="G2077" s="1" t="s">
        <v>9</v>
      </c>
      <c r="H2077" s="1" t="b">
        <f t="shared" si="78"/>
        <v>0</v>
      </c>
    </row>
    <row r="2078" spans="1:8" ht="21" x14ac:dyDescent="0.25">
      <c r="A2078" s="2" t="str">
        <f>HYPERLINK("https://rth.dk/resources/bsgatlas/details.php?id=BSGatlas-operon-1081","BSGatlas-operon-1081")</f>
        <v>BSGatlas-operon-1081</v>
      </c>
      <c r="B2078" s="2" t="str">
        <f>HYPERLINK("https://rth.dk/resources/bsgatlas/details.php?id=BSGatlas-gene-2206","BSGatlas-gene-2206")</f>
        <v>BSGatlas-gene-2206</v>
      </c>
      <c r="C2078" s="1" t="s">
        <v>2068</v>
      </c>
      <c r="D2078" s="1" t="s">
        <v>8</v>
      </c>
      <c r="E2078" s="3">
        <v>2044956</v>
      </c>
      <c r="F2078" s="3">
        <v>2045828</v>
      </c>
      <c r="G2078" s="1" t="s">
        <v>13</v>
      </c>
      <c r="H2078" s="1" t="b">
        <f t="shared" si="78"/>
        <v>1</v>
      </c>
    </row>
    <row r="2079" spans="1:8" ht="21" x14ac:dyDescent="0.25">
      <c r="A2079" s="2" t="str">
        <f>HYPERLINK("https://rth.dk/resources/bsgatlas/details.php?id=BSGatlas-operon-1082","BSGatlas-operon-1082")</f>
        <v>BSGatlas-operon-1082</v>
      </c>
      <c r="B2079" s="2" t="str">
        <f>HYPERLINK("https://rth.dk/resources/bsgatlas/details.php?id=BSGatlas-gene-2208","BSGatlas-gene-2208")</f>
        <v>BSGatlas-gene-2208</v>
      </c>
      <c r="C2079" s="1" t="s">
        <v>2069</v>
      </c>
      <c r="D2079" s="1" t="s">
        <v>8</v>
      </c>
      <c r="E2079" s="3">
        <v>2046980</v>
      </c>
      <c r="F2079" s="3">
        <v>2047411</v>
      </c>
      <c r="G2079" s="1" t="s">
        <v>13</v>
      </c>
      <c r="H2079" s="1" t="b">
        <f t="shared" si="78"/>
        <v>0</v>
      </c>
    </row>
    <row r="2080" spans="1:8" ht="21" x14ac:dyDescent="0.25">
      <c r="A2080" s="2" t="str">
        <f>HYPERLINK("https://rth.dk/resources/bsgatlas/details.php?id=BSGatlas-operon-1083","BSGatlas-operon-1083")</f>
        <v>BSGatlas-operon-1083</v>
      </c>
      <c r="B2080" s="2" t="str">
        <f>HYPERLINK("https://rth.dk/resources/bsgatlas/details.php?id=BSGatlas-gene-2209","BSGatlas-gene-2209")</f>
        <v>BSGatlas-gene-2209</v>
      </c>
      <c r="C2080" s="1" t="s">
        <v>2070</v>
      </c>
      <c r="D2080" s="1" t="s">
        <v>8</v>
      </c>
      <c r="E2080" s="3">
        <v>2047675</v>
      </c>
      <c r="F2080" s="3">
        <v>2048307</v>
      </c>
      <c r="G2080" s="1" t="s">
        <v>13</v>
      </c>
      <c r="H2080" s="1" t="b">
        <f t="shared" si="78"/>
        <v>1</v>
      </c>
    </row>
    <row r="2081" spans="1:8" ht="21" x14ac:dyDescent="0.25">
      <c r="A2081" s="2" t="str">
        <f>HYPERLINK("https://rth.dk/resources/bsgatlas/details.php?id=BSGatlas-operon-1084","BSGatlas-operon-1084")</f>
        <v>BSGatlas-operon-1084</v>
      </c>
      <c r="B2081" s="2" t="str">
        <f>HYPERLINK("https://rth.dk/resources/bsgatlas/details.php?id=BSGatlas-gene-2210","BSGatlas-gene-2210")</f>
        <v>BSGatlas-gene-2210</v>
      </c>
      <c r="C2081" s="1" t="s">
        <v>2071</v>
      </c>
      <c r="D2081" s="1" t="s">
        <v>8</v>
      </c>
      <c r="E2081" s="3">
        <v>2048533</v>
      </c>
      <c r="F2081" s="3">
        <v>2049453</v>
      </c>
      <c r="G2081" s="1" t="s">
        <v>9</v>
      </c>
      <c r="H2081" s="1" t="b">
        <f t="shared" si="78"/>
        <v>0</v>
      </c>
    </row>
    <row r="2082" spans="1:8" ht="21" x14ac:dyDescent="0.25">
      <c r="A2082" s="2" t="str">
        <f>HYPERLINK("https://rth.dk/resources/bsgatlas/details.php?id=BSGatlas-operon-1085","BSGatlas-operon-1085")</f>
        <v>BSGatlas-operon-1085</v>
      </c>
      <c r="B2082" s="2" t="str">
        <f>HYPERLINK("https://rth.dk/resources/bsgatlas/details.php?id=BSGatlas-gene-2213","BSGatlas-gene-2213")</f>
        <v>BSGatlas-gene-2213</v>
      </c>
      <c r="C2082" s="1" t="s">
        <v>2072</v>
      </c>
      <c r="D2082" s="1" t="s">
        <v>8</v>
      </c>
      <c r="E2082" s="3">
        <v>2050689</v>
      </c>
      <c r="F2082" s="3">
        <v>2050952</v>
      </c>
      <c r="G2082" s="1" t="s">
        <v>9</v>
      </c>
      <c r="H2082" s="1" t="b">
        <f t="shared" si="78"/>
        <v>1</v>
      </c>
    </row>
    <row r="2083" spans="1:8" ht="21" x14ac:dyDescent="0.25">
      <c r="A2083" s="2" t="str">
        <f>HYPERLINK("https://rth.dk/resources/bsgatlas/details.php?id=BSGatlas-operon-1086","BSGatlas-operon-1086")</f>
        <v>BSGatlas-operon-1086</v>
      </c>
      <c r="B2083" s="2" t="str">
        <f>HYPERLINK("https://rth.dk/resources/bsgatlas/details.php?id=BSGatlas-gene-2214","BSGatlas-gene-2214")</f>
        <v>BSGatlas-gene-2214</v>
      </c>
      <c r="C2083" s="1" t="s">
        <v>2073</v>
      </c>
      <c r="D2083" s="1" t="s">
        <v>8</v>
      </c>
      <c r="E2083" s="3">
        <v>2051329</v>
      </c>
      <c r="F2083" s="3">
        <v>2053929</v>
      </c>
      <c r="G2083" s="1" t="s">
        <v>13</v>
      </c>
      <c r="H2083" s="1" t="b">
        <f t="shared" si="78"/>
        <v>0</v>
      </c>
    </row>
    <row r="2084" spans="1:8" ht="21" x14ac:dyDescent="0.25">
      <c r="A2084" s="2" t="str">
        <f>HYPERLINK("https://rth.dk/resources/bsgatlas/details.php?id=BSGatlas-operon-1087","BSGatlas-operon-1087")</f>
        <v>BSGatlas-operon-1087</v>
      </c>
      <c r="B2084" s="2" t="str">
        <f>HYPERLINK("https://rth.dk/resources/bsgatlas/details.php?id=BSGatlas-gene-2215","BSGatlas-gene-2215")</f>
        <v>BSGatlas-gene-2215</v>
      </c>
      <c r="C2084" s="1" t="s">
        <v>2074</v>
      </c>
      <c r="D2084" s="1" t="s">
        <v>55</v>
      </c>
      <c r="E2084" s="3">
        <v>2053989</v>
      </c>
      <c r="F2084" s="3">
        <v>2054109</v>
      </c>
      <c r="G2084" s="1" t="s">
        <v>9</v>
      </c>
      <c r="H2084" s="1" t="b">
        <f t="shared" si="78"/>
        <v>1</v>
      </c>
    </row>
    <row r="2085" spans="1:8" ht="21" x14ac:dyDescent="0.25">
      <c r="A2085" s="2" t="str">
        <f>HYPERLINK("https://rth.dk/resources/bsgatlas/details.php?id=BSGatlas-operon-1088","BSGatlas-operon-1088")</f>
        <v>BSGatlas-operon-1088</v>
      </c>
      <c r="B2085" s="2" t="str">
        <f>HYPERLINK("https://rth.dk/resources/bsgatlas/details.php?id=BSGatlas-gene-2216","BSGatlas-gene-2216")</f>
        <v>BSGatlas-gene-2216</v>
      </c>
      <c r="C2085" s="1" t="s">
        <v>2075</v>
      </c>
      <c r="D2085" s="1" t="s">
        <v>8</v>
      </c>
      <c r="E2085" s="3">
        <v>2054599</v>
      </c>
      <c r="F2085" s="3">
        <v>2055240</v>
      </c>
      <c r="G2085" s="1" t="s">
        <v>13</v>
      </c>
      <c r="H2085" s="1" t="b">
        <f t="shared" si="78"/>
        <v>0</v>
      </c>
    </row>
    <row r="2086" spans="1:8" ht="21" x14ac:dyDescent="0.25">
      <c r="A2086" s="2" t="str">
        <f>HYPERLINK("https://rth.dk/resources/bsgatlas/details.php?id=BSGatlas-operon-1089","BSGatlas-operon-1089")</f>
        <v>BSGatlas-operon-1089</v>
      </c>
      <c r="B2086" s="2" t="str">
        <f>HYPERLINK("https://rth.dk/resources/bsgatlas/details.php?id=BSGatlas-gene-2217","BSGatlas-gene-2217")</f>
        <v>BSGatlas-gene-2217</v>
      </c>
      <c r="C2086" s="1" t="s">
        <v>2076</v>
      </c>
      <c r="D2086" s="1" t="s">
        <v>8</v>
      </c>
      <c r="E2086" s="3">
        <v>2055868</v>
      </c>
      <c r="F2086" s="3">
        <v>2056107</v>
      </c>
      <c r="G2086" s="1" t="s">
        <v>13</v>
      </c>
      <c r="H2086" s="1" t="b">
        <f t="shared" si="78"/>
        <v>1</v>
      </c>
    </row>
    <row r="2087" spans="1:8" ht="21" x14ac:dyDescent="0.25">
      <c r="A2087" s="2" t="str">
        <f>HYPERLINK("https://rth.dk/resources/bsgatlas/details.php?id=BSGatlas-operon-1090","BSGatlas-operon-1090")</f>
        <v>BSGatlas-operon-1090</v>
      </c>
      <c r="B2087" s="2" t="str">
        <f>HYPERLINK("https://rth.dk/resources/bsgatlas/details.php?id=BSGatlas-gene-2218","BSGatlas-gene-2218")</f>
        <v>BSGatlas-gene-2218</v>
      </c>
      <c r="C2087" s="1" t="s">
        <v>2077</v>
      </c>
      <c r="D2087" s="1" t="s">
        <v>8</v>
      </c>
      <c r="E2087" s="3">
        <v>2056278</v>
      </c>
      <c r="F2087" s="3">
        <v>2056616</v>
      </c>
      <c r="G2087" s="1" t="s">
        <v>9</v>
      </c>
      <c r="H2087" s="1" t="b">
        <f t="shared" si="78"/>
        <v>0</v>
      </c>
    </row>
    <row r="2088" spans="1:8" ht="21" x14ac:dyDescent="0.25">
      <c r="A2088" s="2" t="str">
        <f>HYPERLINK("https://rth.dk/resources/bsgatlas/details.php?id=BSGatlas-operon-1091","BSGatlas-operon-1091")</f>
        <v>BSGatlas-operon-1091</v>
      </c>
      <c r="B2088" s="2" t="str">
        <f>HYPERLINK("https://rth.dk/resources/bsgatlas/details.php?id=BSGatlas-gene-2219","BSGatlas-gene-2219")</f>
        <v>BSGatlas-gene-2219</v>
      </c>
      <c r="C2088" s="1" t="s">
        <v>2078</v>
      </c>
      <c r="D2088" s="1" t="s">
        <v>8</v>
      </c>
      <c r="E2088" s="3">
        <v>2056650</v>
      </c>
      <c r="F2088" s="3">
        <v>2057006</v>
      </c>
      <c r="G2088" s="1" t="s">
        <v>13</v>
      </c>
      <c r="H2088" s="1" t="b">
        <f t="shared" si="78"/>
        <v>1</v>
      </c>
    </row>
    <row r="2089" spans="1:8" ht="21" x14ac:dyDescent="0.25">
      <c r="A2089" s="2" t="str">
        <f>HYPERLINK("https://rth.dk/resources/bsgatlas/details.php?id=BSGatlas-operon-1092","BSGatlas-operon-1092")</f>
        <v>BSGatlas-operon-1092</v>
      </c>
      <c r="B2089" s="2" t="str">
        <f>HYPERLINK("https://rth.dk/resources/bsgatlas/details.php?id=BSGatlas-gene-2222","BSGatlas-gene-2222")</f>
        <v>BSGatlas-gene-2222</v>
      </c>
      <c r="C2089" s="1" t="s">
        <v>2079</v>
      </c>
      <c r="D2089" s="1" t="s">
        <v>8</v>
      </c>
      <c r="E2089" s="3">
        <v>2058715</v>
      </c>
      <c r="F2089" s="3">
        <v>2059638</v>
      </c>
      <c r="G2089" s="1" t="s">
        <v>13</v>
      </c>
      <c r="H2089" s="1" t="b">
        <f t="shared" si="78"/>
        <v>0</v>
      </c>
    </row>
    <row r="2090" spans="1:8" ht="21" x14ac:dyDescent="0.25">
      <c r="A2090" s="2" t="str">
        <f>HYPERLINK("https://rth.dk/resources/bsgatlas/details.php?id=BSGatlas-operon-1093","BSGatlas-operon-1093")</f>
        <v>BSGatlas-operon-1093</v>
      </c>
      <c r="B2090" s="2" t="str">
        <f>HYPERLINK("https://rth.dk/resources/bsgatlas/details.php?id=BSGatlas-gene-2221","BSGatlas-gene-2221")</f>
        <v>BSGatlas-gene-2221</v>
      </c>
      <c r="C2090" s="1" t="s">
        <v>2080</v>
      </c>
      <c r="D2090" s="1" t="s">
        <v>8</v>
      </c>
      <c r="E2090" s="3">
        <v>2057801</v>
      </c>
      <c r="F2090" s="3">
        <v>2058460</v>
      </c>
      <c r="G2090" s="1" t="s">
        <v>9</v>
      </c>
      <c r="H2090" s="1" t="b">
        <f t="shared" si="78"/>
        <v>1</v>
      </c>
    </row>
    <row r="2091" spans="1:8" ht="21" x14ac:dyDescent="0.25">
      <c r="A2091" s="2" t="str">
        <f>HYPERLINK("https://rth.dk/resources/bsgatlas/details.php?id=BSGatlas-operon-1094","BSGatlas-operon-1094")</f>
        <v>BSGatlas-operon-1094</v>
      </c>
      <c r="B2091" s="2" t="str">
        <f>HYPERLINK("https://rth.dk/resources/bsgatlas/details.php?id=BSGatlas-gene-2224","BSGatlas-gene-2224")</f>
        <v>BSGatlas-gene-2224</v>
      </c>
      <c r="C2091" s="1" t="s">
        <v>2081</v>
      </c>
      <c r="D2091" s="1" t="s">
        <v>8</v>
      </c>
      <c r="E2091" s="3">
        <v>2060009</v>
      </c>
      <c r="F2091" s="3">
        <v>2060233</v>
      </c>
      <c r="G2091" s="1" t="s">
        <v>9</v>
      </c>
      <c r="H2091" s="1" t="b">
        <f t="shared" si="78"/>
        <v>0</v>
      </c>
    </row>
    <row r="2092" spans="1:8" ht="21" x14ac:dyDescent="0.25">
      <c r="A2092" s="2" t="str">
        <f>HYPERLINK("https://rth.dk/resources/bsgatlas/details.php?id=BSGatlas-operon-1095","BSGatlas-operon-1095")</f>
        <v>BSGatlas-operon-1095</v>
      </c>
      <c r="B2092" s="2" t="str">
        <f>HYPERLINK("https://rth.dk/resources/bsgatlas/details.php?id=BSGatlas-gene-2225","BSGatlas-gene-2225")</f>
        <v>BSGatlas-gene-2225</v>
      </c>
      <c r="C2092" s="1" t="s">
        <v>2082</v>
      </c>
      <c r="D2092" s="1" t="s">
        <v>8</v>
      </c>
      <c r="E2092" s="3">
        <v>2060237</v>
      </c>
      <c r="F2092" s="3">
        <v>2060692</v>
      </c>
      <c r="G2092" s="1" t="s">
        <v>13</v>
      </c>
      <c r="H2092" s="1" t="b">
        <f t="shared" si="78"/>
        <v>1</v>
      </c>
    </row>
    <row r="2093" spans="1:8" ht="21" x14ac:dyDescent="0.25">
      <c r="A2093" s="2" t="str">
        <f>HYPERLINK("https://rth.dk/resources/bsgatlas/details.php?id=BSGatlas-operon-1096","BSGatlas-operon-1096")</f>
        <v>BSGatlas-operon-1096</v>
      </c>
      <c r="B2093" s="2" t="str">
        <f>HYPERLINK("https://rth.dk/resources/bsgatlas/details.php?id=BSGatlas-gene-2226","BSGatlas-gene-2226")</f>
        <v>BSGatlas-gene-2226</v>
      </c>
      <c r="C2093" s="1" t="s">
        <v>2083</v>
      </c>
      <c r="D2093" s="1" t="s">
        <v>8</v>
      </c>
      <c r="E2093" s="3">
        <v>2060817</v>
      </c>
      <c r="F2093" s="3">
        <v>2061077</v>
      </c>
      <c r="G2093" s="1" t="s">
        <v>9</v>
      </c>
      <c r="H2093" s="1" t="b">
        <f t="shared" si="78"/>
        <v>0</v>
      </c>
    </row>
    <row r="2094" spans="1:8" ht="21" x14ac:dyDescent="0.25">
      <c r="A2094" s="2" t="str">
        <f>HYPERLINK("https://rth.dk/resources/bsgatlas/details.php?id=BSGatlas-operon-1097","BSGatlas-operon-1097")</f>
        <v>BSGatlas-operon-1097</v>
      </c>
      <c r="B2094" s="2" t="str">
        <f>HYPERLINK("https://rth.dk/resources/bsgatlas/details.php?id=BSGatlas-gene-2227","BSGatlas-gene-2227")</f>
        <v>BSGatlas-gene-2227</v>
      </c>
      <c r="C2094" s="1" t="s">
        <v>2084</v>
      </c>
      <c r="D2094" s="1" t="s">
        <v>276</v>
      </c>
      <c r="E2094" s="3">
        <v>2061855</v>
      </c>
      <c r="F2094" s="3">
        <v>2061995</v>
      </c>
      <c r="G2094" s="1" t="s">
        <v>9</v>
      </c>
      <c r="H2094" s="1" t="b">
        <f t="shared" si="78"/>
        <v>1</v>
      </c>
    </row>
    <row r="2095" spans="1:8" ht="21" x14ac:dyDescent="0.25">
      <c r="A2095" s="2" t="str">
        <f>HYPERLINK("https://rth.dk/resources/bsgatlas/details.php?id=BSGatlas-operon-1098","BSGatlas-operon-1098")</f>
        <v>BSGatlas-operon-1098</v>
      </c>
      <c r="B2095" s="2" t="str">
        <f>HYPERLINK("https://rth.dk/resources/bsgatlas/details.php?id=BSGatlas-gene-2228","BSGatlas-gene-2228")</f>
        <v>BSGatlas-gene-2228</v>
      </c>
      <c r="C2095" s="1" t="s">
        <v>2085</v>
      </c>
      <c r="D2095" s="1" t="s">
        <v>8</v>
      </c>
      <c r="E2095" s="3">
        <v>2062150</v>
      </c>
      <c r="F2095" s="3">
        <v>2063265</v>
      </c>
      <c r="G2095" s="1" t="s">
        <v>9</v>
      </c>
      <c r="H2095" s="1" t="b">
        <f t="shared" si="78"/>
        <v>0</v>
      </c>
    </row>
    <row r="2096" spans="1:8" ht="21" x14ac:dyDescent="0.25">
      <c r="A2096" s="2" t="str">
        <f>HYPERLINK("https://rth.dk/resources/bsgatlas/details.php?id=BSGatlas-operon-1098","BSGatlas-operon-1098")</f>
        <v>BSGatlas-operon-1098</v>
      </c>
      <c r="B2096" s="2" t="str">
        <f>HYPERLINK("https://rth.dk/resources/bsgatlas/details.php?id=BSGatlas-gene-2229","BSGatlas-gene-2229")</f>
        <v>BSGatlas-gene-2229</v>
      </c>
      <c r="C2096" s="1" t="s">
        <v>2086</v>
      </c>
      <c r="D2096" s="1" t="s">
        <v>8</v>
      </c>
      <c r="E2096" s="3">
        <v>2063262</v>
      </c>
      <c r="F2096" s="3">
        <v>2063384</v>
      </c>
      <c r="G2096" s="1" t="s">
        <v>9</v>
      </c>
      <c r="H2096" s="1" t="b">
        <f t="shared" si="78"/>
        <v>0</v>
      </c>
    </row>
    <row r="2097" spans="1:8" ht="21" x14ac:dyDescent="0.25">
      <c r="A2097" s="2" t="str">
        <f>HYPERLINK("https://rth.dk/resources/bsgatlas/details.php?id=BSGatlas-operon-1099","BSGatlas-operon-1099")</f>
        <v>BSGatlas-operon-1099</v>
      </c>
      <c r="B2097" s="2" t="str">
        <f>HYPERLINK("https://rth.dk/resources/bsgatlas/details.php?id=BSGatlas-gene-2230","BSGatlas-gene-2230")</f>
        <v>BSGatlas-gene-2230</v>
      </c>
      <c r="C2097" s="1" t="s">
        <v>2087</v>
      </c>
      <c r="D2097" s="1" t="s">
        <v>276</v>
      </c>
      <c r="E2097" s="3">
        <v>2063510</v>
      </c>
      <c r="F2097" s="3">
        <v>2064163</v>
      </c>
      <c r="G2097" s="1" t="s">
        <v>13</v>
      </c>
      <c r="H2097" s="1" t="b">
        <f t="shared" si="78"/>
        <v>1</v>
      </c>
    </row>
    <row r="2098" spans="1:8" ht="21" x14ac:dyDescent="0.25">
      <c r="A2098" s="2" t="str">
        <f>HYPERLINK("https://rth.dk/resources/bsgatlas/details.php?id=BSGatlas-operon-1099","BSGatlas-operon-1099")</f>
        <v>BSGatlas-operon-1099</v>
      </c>
      <c r="B2098" s="2" t="str">
        <f>HYPERLINK("https://rth.dk/resources/bsgatlas/details.php?id=BSGatlas-gene-2231","BSGatlas-gene-2231")</f>
        <v>BSGatlas-gene-2231</v>
      </c>
      <c r="C2098" s="1" t="s">
        <v>2088</v>
      </c>
      <c r="D2098" s="1" t="s">
        <v>276</v>
      </c>
      <c r="E2098" s="3">
        <v>2064200</v>
      </c>
      <c r="F2098" s="3">
        <v>2064547</v>
      </c>
      <c r="G2098" s="1" t="s">
        <v>13</v>
      </c>
      <c r="H2098" s="1" t="b">
        <f t="shared" si="78"/>
        <v>1</v>
      </c>
    </row>
    <row r="2099" spans="1:8" ht="21" x14ac:dyDescent="0.25">
      <c r="A2099" s="2" t="str">
        <f>HYPERLINK("https://rth.dk/resources/bsgatlas/details.php?id=BSGatlas-operon-1099","BSGatlas-operon-1099")</f>
        <v>BSGatlas-operon-1099</v>
      </c>
      <c r="B2099" s="2" t="str">
        <f>HYPERLINK("https://rth.dk/resources/bsgatlas/details.php?id=BSGatlas-gene-2232","BSGatlas-gene-2232")</f>
        <v>BSGatlas-gene-2232</v>
      </c>
      <c r="C2099" s="1" t="s">
        <v>2089</v>
      </c>
      <c r="D2099" s="1" t="s">
        <v>8</v>
      </c>
      <c r="E2099" s="3">
        <v>2064540</v>
      </c>
      <c r="F2099" s="3">
        <v>2064833</v>
      </c>
      <c r="G2099" s="1" t="s">
        <v>13</v>
      </c>
      <c r="H2099" s="1" t="b">
        <f t="shared" si="78"/>
        <v>1</v>
      </c>
    </row>
    <row r="2100" spans="1:8" ht="21" x14ac:dyDescent="0.25">
      <c r="A2100" s="2" t="str">
        <f>HYPERLINK("https://rth.dk/resources/bsgatlas/details.php?id=BSGatlas-operon-1100","BSGatlas-operon-1100")</f>
        <v>BSGatlas-operon-1100</v>
      </c>
      <c r="B2100" s="2" t="str">
        <f>HYPERLINK("https://rth.dk/resources/bsgatlas/details.php?id=BSGatlas-gene-2233","BSGatlas-gene-2233")</f>
        <v>BSGatlas-gene-2233</v>
      </c>
      <c r="C2100" s="1" t="s">
        <v>2090</v>
      </c>
      <c r="D2100" s="1" t="s">
        <v>8</v>
      </c>
      <c r="E2100" s="3">
        <v>2065042</v>
      </c>
      <c r="F2100" s="3">
        <v>2065377</v>
      </c>
      <c r="G2100" s="1" t="s">
        <v>9</v>
      </c>
      <c r="H2100" s="1" t="b">
        <f t="shared" si="78"/>
        <v>0</v>
      </c>
    </row>
    <row r="2101" spans="1:8" ht="21" x14ac:dyDescent="0.25">
      <c r="A2101" s="2" t="str">
        <f>HYPERLINK("https://rth.dk/resources/bsgatlas/details.php?id=BSGatlas-operon-1101","BSGatlas-operon-1101")</f>
        <v>BSGatlas-operon-1101</v>
      </c>
      <c r="B2101" s="2" t="str">
        <f>HYPERLINK("https://rth.dk/resources/bsgatlas/details.php?id=BSGatlas-gene-2234","BSGatlas-gene-2234")</f>
        <v>BSGatlas-gene-2234</v>
      </c>
      <c r="C2101" s="1" t="s">
        <v>2091</v>
      </c>
      <c r="D2101" s="1" t="s">
        <v>8</v>
      </c>
      <c r="E2101" s="3">
        <v>2065424</v>
      </c>
      <c r="F2101" s="3">
        <v>2069029</v>
      </c>
      <c r="G2101" s="1" t="s">
        <v>13</v>
      </c>
      <c r="H2101" s="1" t="b">
        <f t="shared" si="78"/>
        <v>1</v>
      </c>
    </row>
    <row r="2102" spans="1:8" ht="21" x14ac:dyDescent="0.25">
      <c r="A2102" s="2" t="str">
        <f>HYPERLINK("https://rth.dk/resources/bsgatlas/details.php?id=BSGatlas-operon-1101","BSGatlas-operon-1101")</f>
        <v>BSGatlas-operon-1101</v>
      </c>
      <c r="B2102" s="2" t="str">
        <f>HYPERLINK("https://rth.dk/resources/bsgatlas/details.php?id=BSGatlas-gene-2235","BSGatlas-gene-2235")</f>
        <v>BSGatlas-gene-2235</v>
      </c>
      <c r="C2102" s="1" t="s">
        <v>2092</v>
      </c>
      <c r="D2102" s="1" t="s">
        <v>34</v>
      </c>
      <c r="E2102" s="3">
        <v>2069075</v>
      </c>
      <c r="F2102" s="3">
        <v>2069168</v>
      </c>
      <c r="G2102" s="1" t="s">
        <v>13</v>
      </c>
      <c r="H2102" s="1" t="b">
        <f t="shared" si="78"/>
        <v>1</v>
      </c>
    </row>
    <row r="2103" spans="1:8" ht="21" x14ac:dyDescent="0.25">
      <c r="A2103" s="2" t="str">
        <f>HYPERLINK("https://rth.dk/resources/bsgatlas/details.php?id=BSGatlas-operon-1101","BSGatlas-operon-1101")</f>
        <v>BSGatlas-operon-1101</v>
      </c>
      <c r="B2103" s="2" t="str">
        <f>HYPERLINK("https://rth.dk/resources/bsgatlas/details.php?id=BSGatlas-gene-2236","BSGatlas-gene-2236")</f>
        <v>BSGatlas-gene-2236</v>
      </c>
      <c r="C2103" s="1" t="s">
        <v>2093</v>
      </c>
      <c r="D2103" s="1" t="s">
        <v>276</v>
      </c>
      <c r="E2103" s="3">
        <v>2069262</v>
      </c>
      <c r="F2103" s="3">
        <v>2069561</v>
      </c>
      <c r="G2103" s="1" t="s">
        <v>13</v>
      </c>
      <c r="H2103" s="1" t="b">
        <f t="shared" si="78"/>
        <v>1</v>
      </c>
    </row>
    <row r="2104" spans="1:8" ht="21" x14ac:dyDescent="0.25">
      <c r="A2104" s="2" t="str">
        <f>HYPERLINK("https://rth.dk/resources/bsgatlas/details.php?id=BSGatlas-operon-1102","BSGatlas-operon-1102")</f>
        <v>BSGatlas-operon-1102</v>
      </c>
      <c r="B2104" s="2" t="str">
        <f>HYPERLINK("https://rth.dk/resources/bsgatlas/details.php?id=BSGatlas-gene-2237","BSGatlas-gene-2237")</f>
        <v>BSGatlas-gene-2237</v>
      </c>
      <c r="C2104" s="1" t="s">
        <v>2094</v>
      </c>
      <c r="D2104" s="1" t="s">
        <v>55</v>
      </c>
      <c r="E2104" s="3">
        <v>2069732</v>
      </c>
      <c r="F2104" s="3">
        <v>2070118</v>
      </c>
      <c r="G2104" s="1" t="s">
        <v>13</v>
      </c>
      <c r="H2104" s="1" t="b">
        <f t="shared" si="78"/>
        <v>0</v>
      </c>
    </row>
    <row r="2105" spans="1:8" ht="21" x14ac:dyDescent="0.25">
      <c r="A2105" s="2" t="str">
        <f>HYPERLINK("https://rth.dk/resources/bsgatlas/details.php?id=BSGatlas-operon-1103","BSGatlas-operon-1103")</f>
        <v>BSGatlas-operon-1103</v>
      </c>
      <c r="B2105" s="2" t="str">
        <f>HYPERLINK("https://rth.dk/resources/bsgatlas/details.php?id=BSGatlas-gene-2238","BSGatlas-gene-2238")</f>
        <v>BSGatlas-gene-2238</v>
      </c>
      <c r="C2105" s="1" t="s">
        <v>2095</v>
      </c>
      <c r="D2105" s="1" t="s">
        <v>55</v>
      </c>
      <c r="E2105" s="3">
        <v>2069811</v>
      </c>
      <c r="F2105" s="3">
        <v>2070075</v>
      </c>
      <c r="G2105" s="1" t="s">
        <v>9</v>
      </c>
      <c r="H2105" s="1" t="b">
        <f t="shared" si="78"/>
        <v>1</v>
      </c>
    </row>
    <row r="2106" spans="1:8" ht="21" x14ac:dyDescent="0.25">
      <c r="A2106" s="2" t="str">
        <f>HYPERLINK("https://rth.dk/resources/bsgatlas/details.php?id=BSGatlas-operon-1103","BSGatlas-operon-1103")</f>
        <v>BSGatlas-operon-1103</v>
      </c>
      <c r="B2106" s="2" t="str">
        <f>HYPERLINK("https://rth.dk/resources/bsgatlas/details.php?id=BSGatlas-gene-2239","BSGatlas-gene-2239")</f>
        <v>BSGatlas-gene-2239</v>
      </c>
      <c r="C2106" s="1" t="s">
        <v>2096</v>
      </c>
      <c r="D2106" s="1" t="s">
        <v>8</v>
      </c>
      <c r="E2106" s="3">
        <v>2069883</v>
      </c>
      <c r="F2106" s="3">
        <v>2069975</v>
      </c>
      <c r="G2106" s="1" t="s">
        <v>9</v>
      </c>
      <c r="H2106" s="1" t="b">
        <f t="shared" si="78"/>
        <v>1</v>
      </c>
    </row>
    <row r="2107" spans="1:8" ht="21" x14ac:dyDescent="0.25">
      <c r="A2107" s="2" t="str">
        <f>HYPERLINK("https://rth.dk/resources/bsgatlas/details.php?id=BSGatlas-operon-1104","BSGatlas-operon-1104")</f>
        <v>BSGatlas-operon-1104</v>
      </c>
      <c r="B2107" s="2" t="str">
        <f>HYPERLINK("https://rth.dk/resources/bsgatlas/details.php?id=BSGatlas-gene-2240","BSGatlas-gene-2240")</f>
        <v>BSGatlas-gene-2240</v>
      </c>
      <c r="C2107" s="1" t="s">
        <v>2097</v>
      </c>
      <c r="D2107" s="1" t="s">
        <v>2098</v>
      </c>
      <c r="E2107" s="3">
        <v>2069964</v>
      </c>
      <c r="F2107" s="3">
        <v>2070126</v>
      </c>
      <c r="G2107" s="1" t="s">
        <v>13</v>
      </c>
      <c r="H2107" s="1" t="b">
        <f t="shared" si="78"/>
        <v>0</v>
      </c>
    </row>
    <row r="2108" spans="1:8" ht="21" x14ac:dyDescent="0.25">
      <c r="A2108" s="2" t="str">
        <f>HYPERLINK("https://rth.dk/resources/bsgatlas/details.php?id=BSGatlas-operon-1105","BSGatlas-operon-1105")</f>
        <v>BSGatlas-operon-1105</v>
      </c>
      <c r="B2108" s="2" t="str">
        <f>HYPERLINK("https://rth.dk/resources/bsgatlas/details.php?id=BSGatlas-gene-2241","BSGatlas-gene-2241")</f>
        <v>BSGatlas-gene-2241</v>
      </c>
      <c r="C2108" s="1" t="s">
        <v>2099</v>
      </c>
      <c r="D2108" s="1" t="s">
        <v>8</v>
      </c>
      <c r="E2108" s="3">
        <v>2070244</v>
      </c>
      <c r="F2108" s="3">
        <v>2071086</v>
      </c>
      <c r="G2108" s="1" t="s">
        <v>13</v>
      </c>
      <c r="H2108" s="1" t="b">
        <f t="shared" si="78"/>
        <v>1</v>
      </c>
    </row>
    <row r="2109" spans="1:8" ht="21" x14ac:dyDescent="0.25">
      <c r="A2109" s="2" t="str">
        <f>HYPERLINK("https://rth.dk/resources/bsgatlas/details.php?id=BSGatlas-operon-1106","BSGatlas-operon-1106")</f>
        <v>BSGatlas-operon-1106</v>
      </c>
      <c r="B2109" s="2" t="str">
        <f>HYPERLINK("https://rth.dk/resources/bsgatlas/details.php?id=BSGatlas-gene-2242","BSGatlas-gene-2242")</f>
        <v>BSGatlas-gene-2242</v>
      </c>
      <c r="C2109" s="1" t="s">
        <v>2100</v>
      </c>
      <c r="D2109" s="1" t="s">
        <v>8</v>
      </c>
      <c r="E2109" s="3">
        <v>2071286</v>
      </c>
      <c r="F2109" s="3">
        <v>2071744</v>
      </c>
      <c r="G2109" s="1" t="s">
        <v>13</v>
      </c>
      <c r="H2109" s="1" t="b">
        <f t="shared" si="78"/>
        <v>0</v>
      </c>
    </row>
    <row r="2110" spans="1:8" ht="21" x14ac:dyDescent="0.25">
      <c r="A2110" s="2" t="str">
        <f>HYPERLINK("https://rth.dk/resources/bsgatlas/details.php?id=BSGatlas-operon-1107","BSGatlas-operon-1107")</f>
        <v>BSGatlas-operon-1107</v>
      </c>
      <c r="B2110" s="2" t="str">
        <f>HYPERLINK("https://rth.dk/resources/bsgatlas/details.php?id=BSGatlas-gene-2243","BSGatlas-gene-2243")</f>
        <v>BSGatlas-gene-2243</v>
      </c>
      <c r="C2110" s="1" t="s">
        <v>2101</v>
      </c>
      <c r="D2110" s="1" t="s">
        <v>8</v>
      </c>
      <c r="E2110" s="3">
        <v>2071754</v>
      </c>
      <c r="F2110" s="3">
        <v>2073556</v>
      </c>
      <c r="G2110" s="1" t="s">
        <v>13</v>
      </c>
      <c r="H2110" s="1" t="b">
        <f t="shared" si="78"/>
        <v>1</v>
      </c>
    </row>
    <row r="2111" spans="1:8" ht="21" x14ac:dyDescent="0.25">
      <c r="A2111" s="2" t="str">
        <f>HYPERLINK("https://rth.dk/resources/bsgatlas/details.php?id=BSGatlas-operon-1108","BSGatlas-operon-1108")</f>
        <v>BSGatlas-operon-1108</v>
      </c>
      <c r="B2111" s="2" t="str">
        <f>HYPERLINK("https://rth.dk/resources/bsgatlas/details.php?id=BSGatlas-gene-2244","BSGatlas-gene-2244")</f>
        <v>BSGatlas-gene-2244</v>
      </c>
      <c r="C2111" s="1" t="s">
        <v>2102</v>
      </c>
      <c r="D2111" s="1" t="s">
        <v>8</v>
      </c>
      <c r="E2111" s="3">
        <v>2073658</v>
      </c>
      <c r="F2111" s="3">
        <v>2074215</v>
      </c>
      <c r="G2111" s="1" t="s">
        <v>13</v>
      </c>
      <c r="H2111" s="1" t="b">
        <f t="shared" si="78"/>
        <v>0</v>
      </c>
    </row>
    <row r="2112" spans="1:8" ht="21" x14ac:dyDescent="0.25">
      <c r="A2112" s="2" t="str">
        <f>HYPERLINK("https://rth.dk/resources/bsgatlas/details.php?id=BSGatlas-operon-1109","BSGatlas-operon-1109")</f>
        <v>BSGatlas-operon-1109</v>
      </c>
      <c r="B2112" s="2" t="str">
        <f>HYPERLINK("https://rth.dk/resources/bsgatlas/details.php?id=BSGatlas-gene-2245","BSGatlas-gene-2245")</f>
        <v>BSGatlas-gene-2245</v>
      </c>
      <c r="C2112" s="1" t="s">
        <v>2103</v>
      </c>
      <c r="D2112" s="1" t="s">
        <v>8</v>
      </c>
      <c r="E2112" s="3">
        <v>2074343</v>
      </c>
      <c r="F2112" s="3">
        <v>2075779</v>
      </c>
      <c r="G2112" s="1" t="s">
        <v>9</v>
      </c>
      <c r="H2112" s="1" t="b">
        <f t="shared" si="78"/>
        <v>1</v>
      </c>
    </row>
    <row r="2113" spans="1:8" ht="21" x14ac:dyDescent="0.25">
      <c r="A2113" s="2" t="str">
        <f>HYPERLINK("https://rth.dk/resources/bsgatlas/details.php?id=BSGatlas-operon-1109","BSGatlas-operon-1109")</f>
        <v>BSGatlas-operon-1109</v>
      </c>
      <c r="B2113" s="2" t="str">
        <f>HYPERLINK("https://rth.dk/resources/bsgatlas/details.php?id=BSGatlas-gene-2246","BSGatlas-gene-2246")</f>
        <v>BSGatlas-gene-2246</v>
      </c>
      <c r="C2113" s="1" t="s">
        <v>2104</v>
      </c>
      <c r="D2113" s="1" t="s">
        <v>8</v>
      </c>
      <c r="E2113" s="3">
        <v>2076206</v>
      </c>
      <c r="F2113" s="3">
        <v>2078626</v>
      </c>
      <c r="G2113" s="1" t="s">
        <v>9</v>
      </c>
      <c r="H2113" s="1" t="b">
        <f t="shared" si="78"/>
        <v>1</v>
      </c>
    </row>
    <row r="2114" spans="1:8" ht="21" x14ac:dyDescent="0.25">
      <c r="A2114" s="2" t="str">
        <f>HYPERLINK("https://rth.dk/resources/bsgatlas/details.php?id=BSGatlas-operon-1110","BSGatlas-operon-1110")</f>
        <v>BSGatlas-operon-1110</v>
      </c>
      <c r="B2114" s="2" t="str">
        <f>HYPERLINK("https://rth.dk/resources/bsgatlas/details.php?id=BSGatlas-gene-2248","BSGatlas-gene-2248")</f>
        <v>BSGatlas-gene-2248</v>
      </c>
      <c r="C2114" s="1" t="s">
        <v>2105</v>
      </c>
      <c r="D2114" s="1" t="s">
        <v>8</v>
      </c>
      <c r="E2114" s="3">
        <v>2079214</v>
      </c>
      <c r="F2114" s="3">
        <v>2079546</v>
      </c>
      <c r="G2114" s="1" t="s">
        <v>13</v>
      </c>
      <c r="H2114" s="1" t="b">
        <f t="shared" ref="H2114:H2177" si="79">_xlfn.XOR(A2113&lt;&gt;A2114,H2113)</f>
        <v>0</v>
      </c>
    </row>
    <row r="2115" spans="1:8" ht="21" x14ac:dyDescent="0.25">
      <c r="A2115" s="2" t="str">
        <f>HYPERLINK("https://rth.dk/resources/bsgatlas/details.php?id=BSGatlas-operon-1110","BSGatlas-operon-1110")</f>
        <v>BSGatlas-operon-1110</v>
      </c>
      <c r="B2115" s="2" t="str">
        <f>HYPERLINK("https://rth.dk/resources/bsgatlas/details.php?id=BSGatlas-gene-2249","BSGatlas-gene-2249")</f>
        <v>BSGatlas-gene-2249</v>
      </c>
      <c r="C2115" s="1" t="s">
        <v>2106</v>
      </c>
      <c r="D2115" s="1" t="s">
        <v>8</v>
      </c>
      <c r="E2115" s="3">
        <v>2079611</v>
      </c>
      <c r="F2115" s="3">
        <v>2080336</v>
      </c>
      <c r="G2115" s="1" t="s">
        <v>13</v>
      </c>
      <c r="H2115" s="1" t="b">
        <f t="shared" si="79"/>
        <v>0</v>
      </c>
    </row>
    <row r="2116" spans="1:8" ht="21" x14ac:dyDescent="0.25">
      <c r="A2116" s="2" t="str">
        <f>HYPERLINK("https://rth.dk/resources/bsgatlas/details.php?id=BSGatlas-operon-1110","BSGatlas-operon-1110")</f>
        <v>BSGatlas-operon-1110</v>
      </c>
      <c r="B2116" s="2" t="str">
        <f>HYPERLINK("https://rth.dk/resources/bsgatlas/details.php?id=BSGatlas-gene-2250","BSGatlas-gene-2250")</f>
        <v>BSGatlas-gene-2250</v>
      </c>
      <c r="C2116" s="1" t="s">
        <v>2107</v>
      </c>
      <c r="D2116" s="1" t="s">
        <v>8</v>
      </c>
      <c r="E2116" s="3">
        <v>2080351</v>
      </c>
      <c r="F2116" s="3">
        <v>2081094</v>
      </c>
      <c r="G2116" s="1" t="s">
        <v>13</v>
      </c>
      <c r="H2116" s="1" t="b">
        <f t="shared" si="79"/>
        <v>0</v>
      </c>
    </row>
    <row r="2117" spans="1:8" ht="21" x14ac:dyDescent="0.25">
      <c r="A2117" s="2" t="str">
        <f>HYPERLINK("https://rth.dk/resources/bsgatlas/details.php?id=BSGatlas-operon-1110","BSGatlas-operon-1110")</f>
        <v>BSGatlas-operon-1110</v>
      </c>
      <c r="B2117" s="2" t="str">
        <f>HYPERLINK("https://rth.dk/resources/bsgatlas/details.php?id=BSGatlas-gene-2251","BSGatlas-gene-2251")</f>
        <v>BSGatlas-gene-2251</v>
      </c>
      <c r="C2117" s="1" t="s">
        <v>2108</v>
      </c>
      <c r="D2117" s="1" t="s">
        <v>8</v>
      </c>
      <c r="E2117" s="3">
        <v>2081172</v>
      </c>
      <c r="F2117" s="3">
        <v>2081747</v>
      </c>
      <c r="G2117" s="1" t="s">
        <v>13</v>
      </c>
      <c r="H2117" s="1" t="b">
        <f t="shared" si="79"/>
        <v>0</v>
      </c>
    </row>
    <row r="2118" spans="1:8" ht="21" x14ac:dyDescent="0.25">
      <c r="A2118" s="2" t="str">
        <f>HYPERLINK("https://rth.dk/resources/bsgatlas/details.php?id=BSGatlas-operon-1110","BSGatlas-operon-1110")</f>
        <v>BSGatlas-operon-1110</v>
      </c>
      <c r="B2118" s="2" t="str">
        <f>HYPERLINK("https://rth.dk/resources/bsgatlas/details.php?id=BSGatlas-gene-2252","BSGatlas-gene-2252")</f>
        <v>BSGatlas-gene-2252</v>
      </c>
      <c r="C2118" s="1" t="s">
        <v>2109</v>
      </c>
      <c r="D2118" s="1" t="s">
        <v>8</v>
      </c>
      <c r="E2118" s="3">
        <v>2081753</v>
      </c>
      <c r="F2118" s="3">
        <v>2082454</v>
      </c>
      <c r="G2118" s="1" t="s">
        <v>13</v>
      </c>
      <c r="H2118" s="1" t="b">
        <f t="shared" si="79"/>
        <v>0</v>
      </c>
    </row>
    <row r="2119" spans="1:8" ht="21" x14ac:dyDescent="0.25">
      <c r="A2119" s="2" t="str">
        <f>HYPERLINK("https://rth.dk/resources/bsgatlas/details.php?id=BSGatlas-operon-1111","BSGatlas-operon-1111")</f>
        <v>BSGatlas-operon-1111</v>
      </c>
      <c r="B2119" s="2" t="str">
        <f>HYPERLINK("https://rth.dk/resources/bsgatlas/details.php?id=BSGatlas-gene-2247","BSGatlas-gene-2247")</f>
        <v>BSGatlas-gene-2247</v>
      </c>
      <c r="C2119" s="1" t="s">
        <v>2110</v>
      </c>
      <c r="D2119" s="1" t="s">
        <v>55</v>
      </c>
      <c r="E2119" s="3">
        <v>2079094</v>
      </c>
      <c r="F2119" s="3">
        <v>2079225</v>
      </c>
      <c r="G2119" s="1" t="s">
        <v>9</v>
      </c>
      <c r="H2119" s="1" t="b">
        <f t="shared" si="79"/>
        <v>1</v>
      </c>
    </row>
    <row r="2120" spans="1:8" ht="21" x14ac:dyDescent="0.25">
      <c r="A2120" s="2" t="str">
        <f>HYPERLINK("https://rth.dk/resources/bsgatlas/details.php?id=BSGatlas-operon-1112","BSGatlas-operon-1112")</f>
        <v>BSGatlas-operon-1112</v>
      </c>
      <c r="B2120" s="2" t="str">
        <f>HYPERLINK("https://rth.dk/resources/bsgatlas/details.php?id=BSGatlas-gene-2253","BSGatlas-gene-2253")</f>
        <v>BSGatlas-gene-2253</v>
      </c>
      <c r="C2120" s="1" t="s">
        <v>2111</v>
      </c>
      <c r="D2120" s="1" t="s">
        <v>8</v>
      </c>
      <c r="E2120" s="3">
        <v>2082531</v>
      </c>
      <c r="F2120" s="3">
        <v>2083013</v>
      </c>
      <c r="G2120" s="1" t="s">
        <v>13</v>
      </c>
      <c r="H2120" s="1" t="b">
        <f t="shared" si="79"/>
        <v>0</v>
      </c>
    </row>
    <row r="2121" spans="1:8" ht="21" x14ac:dyDescent="0.25">
      <c r="A2121" s="2" t="str">
        <f>HYPERLINK("https://rth.dk/resources/bsgatlas/details.php?id=BSGatlas-operon-1113","BSGatlas-operon-1113")</f>
        <v>BSGatlas-operon-1113</v>
      </c>
      <c r="B2121" s="2" t="str">
        <f>HYPERLINK("https://rth.dk/resources/bsgatlas/details.php?id=BSGatlas-gene-2254","BSGatlas-gene-2254")</f>
        <v>BSGatlas-gene-2254</v>
      </c>
      <c r="C2121" s="1" t="s">
        <v>2112</v>
      </c>
      <c r="D2121" s="1" t="s">
        <v>8</v>
      </c>
      <c r="E2121" s="3">
        <v>2083067</v>
      </c>
      <c r="F2121" s="3">
        <v>2084008</v>
      </c>
      <c r="G2121" s="1" t="s">
        <v>13</v>
      </c>
      <c r="H2121" s="1" t="b">
        <f t="shared" si="79"/>
        <v>1</v>
      </c>
    </row>
    <row r="2122" spans="1:8" ht="21" x14ac:dyDescent="0.25">
      <c r="A2122" s="2" t="str">
        <f>HYPERLINK("https://rth.dk/resources/bsgatlas/details.php?id=BSGatlas-operon-1114","BSGatlas-operon-1114")</f>
        <v>BSGatlas-operon-1114</v>
      </c>
      <c r="B2122" s="2" t="str">
        <f>HYPERLINK("https://rth.dk/resources/bsgatlas/details.php?id=BSGatlas-gene-2255","BSGatlas-gene-2255")</f>
        <v>BSGatlas-gene-2255</v>
      </c>
      <c r="C2122" s="1" t="s">
        <v>2113</v>
      </c>
      <c r="D2122" s="1" t="s">
        <v>8</v>
      </c>
      <c r="E2122" s="3">
        <v>2084214</v>
      </c>
      <c r="F2122" s="3">
        <v>2084759</v>
      </c>
      <c r="G2122" s="1" t="s">
        <v>9</v>
      </c>
      <c r="H2122" s="1" t="b">
        <f t="shared" si="79"/>
        <v>0</v>
      </c>
    </row>
    <row r="2123" spans="1:8" ht="21" x14ac:dyDescent="0.25">
      <c r="A2123" s="2" t="str">
        <f>HYPERLINK("https://rth.dk/resources/bsgatlas/details.php?id=BSGatlas-operon-1115","BSGatlas-operon-1115")</f>
        <v>BSGatlas-operon-1115</v>
      </c>
      <c r="B2123" s="2" t="str">
        <f>HYPERLINK("https://rth.dk/resources/bsgatlas/details.php?id=BSGatlas-gene-2256","BSGatlas-gene-2256")</f>
        <v>BSGatlas-gene-2256</v>
      </c>
      <c r="C2123" s="1" t="s">
        <v>2114</v>
      </c>
      <c r="D2123" s="1" t="s">
        <v>8</v>
      </c>
      <c r="E2123" s="3">
        <v>2084786</v>
      </c>
      <c r="F2123" s="3">
        <v>2085109</v>
      </c>
      <c r="G2123" s="1" t="s">
        <v>13</v>
      </c>
      <c r="H2123" s="1" t="b">
        <f t="shared" si="79"/>
        <v>1</v>
      </c>
    </row>
    <row r="2124" spans="1:8" ht="21" x14ac:dyDescent="0.25">
      <c r="A2124" s="2" t="str">
        <f>HYPERLINK("https://rth.dk/resources/bsgatlas/details.php?id=BSGatlas-operon-1116","BSGatlas-operon-1116")</f>
        <v>BSGatlas-operon-1116</v>
      </c>
      <c r="B2124" s="2" t="str">
        <f>HYPERLINK("https://rth.dk/resources/bsgatlas/details.php?id=BSGatlas-gene-2257","BSGatlas-gene-2257")</f>
        <v>BSGatlas-gene-2257</v>
      </c>
      <c r="C2124" s="1" t="s">
        <v>2115</v>
      </c>
      <c r="D2124" s="1" t="s">
        <v>8</v>
      </c>
      <c r="E2124" s="3">
        <v>2085303</v>
      </c>
      <c r="F2124" s="3">
        <v>2085980</v>
      </c>
      <c r="G2124" s="1" t="s">
        <v>9</v>
      </c>
      <c r="H2124" s="1" t="b">
        <f t="shared" si="79"/>
        <v>0</v>
      </c>
    </row>
    <row r="2125" spans="1:8" ht="21" x14ac:dyDescent="0.25">
      <c r="A2125" s="2" t="str">
        <f>HYPERLINK("https://rth.dk/resources/bsgatlas/details.php?id=BSGatlas-operon-1117","BSGatlas-operon-1117")</f>
        <v>BSGatlas-operon-1117</v>
      </c>
      <c r="B2125" s="2" t="str">
        <f>HYPERLINK("https://rth.dk/resources/bsgatlas/details.php?id=BSGatlas-gene-2258","BSGatlas-gene-2258")</f>
        <v>BSGatlas-gene-2258</v>
      </c>
      <c r="C2125" s="1" t="s">
        <v>2116</v>
      </c>
      <c r="D2125" s="1" t="s">
        <v>8</v>
      </c>
      <c r="E2125" s="3">
        <v>2086070</v>
      </c>
      <c r="F2125" s="3">
        <v>2086606</v>
      </c>
      <c r="G2125" s="1" t="s">
        <v>13</v>
      </c>
      <c r="H2125" s="1" t="b">
        <f t="shared" si="79"/>
        <v>1</v>
      </c>
    </row>
    <row r="2126" spans="1:8" ht="21" x14ac:dyDescent="0.25">
      <c r="A2126" s="2" t="str">
        <f>HYPERLINK("https://rth.dk/resources/bsgatlas/details.php?id=BSGatlas-operon-1118","BSGatlas-operon-1118")</f>
        <v>BSGatlas-operon-1118</v>
      </c>
      <c r="B2126" s="2" t="str">
        <f>HYPERLINK("https://rth.dk/resources/bsgatlas/details.php?id=BSGatlas-gene-2259","BSGatlas-gene-2259")</f>
        <v>BSGatlas-gene-2259</v>
      </c>
      <c r="C2126" s="1" t="s">
        <v>2117</v>
      </c>
      <c r="D2126" s="1" t="s">
        <v>8</v>
      </c>
      <c r="E2126" s="3">
        <v>2086743</v>
      </c>
      <c r="F2126" s="3">
        <v>2087525</v>
      </c>
      <c r="G2126" s="1" t="s">
        <v>13</v>
      </c>
      <c r="H2126" s="1" t="b">
        <f t="shared" si="79"/>
        <v>0</v>
      </c>
    </row>
    <row r="2127" spans="1:8" ht="21" x14ac:dyDescent="0.25">
      <c r="A2127" s="2" t="str">
        <f>HYPERLINK("https://rth.dk/resources/bsgatlas/details.php?id=BSGatlas-operon-1119","BSGatlas-operon-1119")</f>
        <v>BSGatlas-operon-1119</v>
      </c>
      <c r="B2127" s="2" t="str">
        <f>HYPERLINK("https://rth.dk/resources/bsgatlas/details.php?id=BSGatlas-gene-2260","BSGatlas-gene-2260")</f>
        <v>BSGatlas-gene-2260</v>
      </c>
      <c r="C2127" s="1" t="s">
        <v>2118</v>
      </c>
      <c r="D2127" s="1" t="s">
        <v>8</v>
      </c>
      <c r="E2127" s="3">
        <v>2087696</v>
      </c>
      <c r="F2127" s="3">
        <v>2088193</v>
      </c>
      <c r="G2127" s="1" t="s">
        <v>9</v>
      </c>
      <c r="H2127" s="1" t="b">
        <f t="shared" si="79"/>
        <v>1</v>
      </c>
    </row>
    <row r="2128" spans="1:8" ht="21" x14ac:dyDescent="0.25">
      <c r="A2128" s="2" t="str">
        <f>HYPERLINK("https://rth.dk/resources/bsgatlas/details.php?id=BSGatlas-operon-1119","BSGatlas-operon-1119")</f>
        <v>BSGatlas-operon-1119</v>
      </c>
      <c r="B2128" s="2" t="str">
        <f>HYPERLINK("https://rth.dk/resources/bsgatlas/details.php?id=BSGatlas-gene-2261","BSGatlas-gene-2261")</f>
        <v>BSGatlas-gene-2261</v>
      </c>
      <c r="C2128" s="1" t="s">
        <v>2119</v>
      </c>
      <c r="D2128" s="1" t="s">
        <v>8</v>
      </c>
      <c r="E2128" s="3">
        <v>2088257</v>
      </c>
      <c r="F2128" s="3">
        <v>2089234</v>
      </c>
      <c r="G2128" s="1" t="s">
        <v>9</v>
      </c>
      <c r="H2128" s="1" t="b">
        <f t="shared" si="79"/>
        <v>1</v>
      </c>
    </row>
    <row r="2129" spans="1:8" ht="21" x14ac:dyDescent="0.25">
      <c r="A2129" s="2" t="str">
        <f>HYPERLINK("https://rth.dk/resources/bsgatlas/details.php?id=BSGatlas-operon-1120","BSGatlas-operon-1120")</f>
        <v>BSGatlas-operon-1120</v>
      </c>
      <c r="B2129" s="2" t="str">
        <f>HYPERLINK("https://rth.dk/resources/bsgatlas/details.php?id=BSGatlas-gene-2262","BSGatlas-gene-2262")</f>
        <v>BSGatlas-gene-2262</v>
      </c>
      <c r="C2129" s="1" t="s">
        <v>2120</v>
      </c>
      <c r="D2129" s="1" t="s">
        <v>8</v>
      </c>
      <c r="E2129" s="3">
        <v>2089396</v>
      </c>
      <c r="F2129" s="3">
        <v>2090454</v>
      </c>
      <c r="G2129" s="1" t="s">
        <v>9</v>
      </c>
      <c r="H2129" s="1" t="b">
        <f t="shared" si="79"/>
        <v>0</v>
      </c>
    </row>
    <row r="2130" spans="1:8" ht="21" x14ac:dyDescent="0.25">
      <c r="A2130" s="2" t="str">
        <f>HYPERLINK("https://rth.dk/resources/bsgatlas/details.php?id=BSGatlas-operon-1121","BSGatlas-operon-1121")</f>
        <v>BSGatlas-operon-1121</v>
      </c>
      <c r="B2130" s="2" t="str">
        <f>HYPERLINK("https://rth.dk/resources/bsgatlas/details.php?id=BSGatlas-gene-2263","BSGatlas-gene-2263")</f>
        <v>BSGatlas-gene-2263</v>
      </c>
      <c r="C2130" s="1" t="s">
        <v>2121</v>
      </c>
      <c r="D2130" s="1" t="s">
        <v>8</v>
      </c>
      <c r="E2130" s="3">
        <v>2090574</v>
      </c>
      <c r="F2130" s="3">
        <v>2091686</v>
      </c>
      <c r="G2130" s="1" t="s">
        <v>9</v>
      </c>
      <c r="H2130" s="1" t="b">
        <f t="shared" si="79"/>
        <v>1</v>
      </c>
    </row>
    <row r="2131" spans="1:8" ht="21" x14ac:dyDescent="0.25">
      <c r="A2131" s="2" t="str">
        <f>HYPERLINK("https://rth.dk/resources/bsgatlas/details.php?id=BSGatlas-operon-1121","BSGatlas-operon-1121")</f>
        <v>BSGatlas-operon-1121</v>
      </c>
      <c r="B2131" s="2" t="str">
        <f>HYPERLINK("https://rth.dk/resources/bsgatlas/details.php?id=BSGatlas-gene-2264","BSGatlas-gene-2264")</f>
        <v>BSGatlas-gene-2264</v>
      </c>
      <c r="C2131" s="1" t="s">
        <v>2122</v>
      </c>
      <c r="D2131" s="1" t="s">
        <v>8</v>
      </c>
      <c r="E2131" s="3">
        <v>2091705</v>
      </c>
      <c r="F2131" s="3">
        <v>2092304</v>
      </c>
      <c r="G2131" s="1" t="s">
        <v>9</v>
      </c>
      <c r="H2131" s="1" t="b">
        <f t="shared" si="79"/>
        <v>1</v>
      </c>
    </row>
    <row r="2132" spans="1:8" ht="21" x14ac:dyDescent="0.25">
      <c r="A2132" s="2" t="str">
        <f>HYPERLINK("https://rth.dk/resources/bsgatlas/details.php?id=BSGatlas-operon-1122","BSGatlas-operon-1122")</f>
        <v>BSGatlas-operon-1122</v>
      </c>
      <c r="B2132" s="2" t="str">
        <f>HYPERLINK("https://rth.dk/resources/bsgatlas/details.php?id=BSGatlas-gene-2265","BSGatlas-gene-2265")</f>
        <v>BSGatlas-gene-2265</v>
      </c>
      <c r="C2132" s="1" t="s">
        <v>2123</v>
      </c>
      <c r="D2132" s="1" t="s">
        <v>12</v>
      </c>
      <c r="E2132" s="3">
        <v>2092326</v>
      </c>
      <c r="F2132" s="3">
        <v>2092824</v>
      </c>
      <c r="G2132" s="1" t="s">
        <v>13</v>
      </c>
      <c r="H2132" s="1" t="b">
        <f t="shared" si="79"/>
        <v>0</v>
      </c>
    </row>
    <row r="2133" spans="1:8" ht="21" x14ac:dyDescent="0.25">
      <c r="A2133" s="2" t="str">
        <f>HYPERLINK("https://rth.dk/resources/bsgatlas/details.php?id=BSGatlas-operon-1123","BSGatlas-operon-1123")</f>
        <v>BSGatlas-operon-1123</v>
      </c>
      <c r="B2133" s="2" t="str">
        <f>HYPERLINK("https://rth.dk/resources/bsgatlas/details.php?id=BSGatlas-gene-2266","BSGatlas-gene-2266")</f>
        <v>BSGatlas-gene-2266</v>
      </c>
      <c r="C2133" s="1" t="s">
        <v>2124</v>
      </c>
      <c r="D2133" s="1" t="s">
        <v>12</v>
      </c>
      <c r="E2133" s="3">
        <v>2092817</v>
      </c>
      <c r="F2133" s="3">
        <v>2093011</v>
      </c>
      <c r="G2133" s="1" t="s">
        <v>9</v>
      </c>
      <c r="H2133" s="1" t="b">
        <f t="shared" si="79"/>
        <v>1</v>
      </c>
    </row>
    <row r="2134" spans="1:8" ht="21" x14ac:dyDescent="0.25">
      <c r="A2134" s="2" t="str">
        <f>HYPERLINK("https://rth.dk/resources/bsgatlas/details.php?id=BSGatlas-operon-1124","BSGatlas-operon-1124")</f>
        <v>BSGatlas-operon-1124</v>
      </c>
      <c r="B2134" s="2" t="str">
        <f>HYPERLINK("https://rth.dk/resources/bsgatlas/details.php?id=BSGatlas-gene-2267","BSGatlas-gene-2267")</f>
        <v>BSGatlas-gene-2267</v>
      </c>
      <c r="C2134" s="1" t="s">
        <v>2125</v>
      </c>
      <c r="D2134" s="1" t="s">
        <v>8</v>
      </c>
      <c r="E2134" s="3">
        <v>2092899</v>
      </c>
      <c r="F2134" s="3">
        <v>2093762</v>
      </c>
      <c r="G2134" s="1" t="s">
        <v>13</v>
      </c>
      <c r="H2134" s="1" t="b">
        <f t="shared" si="79"/>
        <v>0</v>
      </c>
    </row>
    <row r="2135" spans="1:8" ht="21" x14ac:dyDescent="0.25">
      <c r="A2135" s="2" t="str">
        <f>HYPERLINK("https://rth.dk/resources/bsgatlas/details.php?id=BSGatlas-operon-1124","BSGatlas-operon-1124")</f>
        <v>BSGatlas-operon-1124</v>
      </c>
      <c r="B2135" s="2" t="str">
        <f>HYPERLINK("https://rth.dk/resources/bsgatlas/details.php?id=BSGatlas-gene-2269","BSGatlas-gene-2269")</f>
        <v>BSGatlas-gene-2269</v>
      </c>
      <c r="C2135" s="1" t="s">
        <v>2126</v>
      </c>
      <c r="D2135" s="1" t="s">
        <v>8</v>
      </c>
      <c r="E2135" s="3">
        <v>2094010</v>
      </c>
      <c r="F2135" s="3">
        <v>2095785</v>
      </c>
      <c r="G2135" s="1" t="s">
        <v>13</v>
      </c>
      <c r="H2135" s="1" t="b">
        <f t="shared" si="79"/>
        <v>0</v>
      </c>
    </row>
    <row r="2136" spans="1:8" ht="21" x14ac:dyDescent="0.25">
      <c r="A2136" s="2" t="str">
        <f>HYPERLINK("https://rth.dk/resources/bsgatlas/details.php?id=BSGatlas-operon-1124","BSGatlas-operon-1124")</f>
        <v>BSGatlas-operon-1124</v>
      </c>
      <c r="B2136" s="2" t="str">
        <f>HYPERLINK("https://rth.dk/resources/bsgatlas/details.php?id=BSGatlas-gene-2270","BSGatlas-gene-2270")</f>
        <v>BSGatlas-gene-2270</v>
      </c>
      <c r="C2136" s="1" t="s">
        <v>2127</v>
      </c>
      <c r="D2136" s="1" t="s">
        <v>55</v>
      </c>
      <c r="E2136" s="3">
        <v>2095909</v>
      </c>
      <c r="F2136" s="3">
        <v>2096113</v>
      </c>
      <c r="G2136" s="1" t="s">
        <v>13</v>
      </c>
      <c r="H2136" s="1" t="b">
        <f t="shared" si="79"/>
        <v>0</v>
      </c>
    </row>
    <row r="2137" spans="1:8" ht="21" x14ac:dyDescent="0.25">
      <c r="A2137" s="2" t="str">
        <f>HYPERLINK("https://rth.dk/resources/bsgatlas/details.php?id=BSGatlas-operon-1124","BSGatlas-operon-1124")</f>
        <v>BSGatlas-operon-1124</v>
      </c>
      <c r="B2137" s="2" t="str">
        <f>HYPERLINK("https://rth.dk/resources/bsgatlas/details.php?id=BSGatlas-gene-2271","BSGatlas-gene-2271")</f>
        <v>BSGatlas-gene-2271</v>
      </c>
      <c r="C2137" s="1" t="s">
        <v>2128</v>
      </c>
      <c r="D2137" s="1" t="s">
        <v>8</v>
      </c>
      <c r="E2137" s="3">
        <v>2096350</v>
      </c>
      <c r="F2137" s="3">
        <v>2096976</v>
      </c>
      <c r="G2137" s="1" t="s">
        <v>13</v>
      </c>
      <c r="H2137" s="1" t="b">
        <f t="shared" si="79"/>
        <v>0</v>
      </c>
    </row>
    <row r="2138" spans="1:8" ht="21" x14ac:dyDescent="0.25">
      <c r="A2138" s="2" t="str">
        <f>HYPERLINK("https://rth.dk/resources/bsgatlas/details.php?id=BSGatlas-operon-1125","BSGatlas-operon-1125")</f>
        <v>BSGatlas-operon-1125</v>
      </c>
      <c r="B2138" s="2" t="str">
        <f>HYPERLINK("https://rth.dk/resources/bsgatlas/details.php?id=BSGatlas-gene-2272","BSGatlas-gene-2272")</f>
        <v>BSGatlas-gene-2272</v>
      </c>
      <c r="C2138" s="1" t="s">
        <v>2129</v>
      </c>
      <c r="D2138" s="1" t="s">
        <v>8</v>
      </c>
      <c r="E2138" s="3">
        <v>2097126</v>
      </c>
      <c r="F2138" s="3">
        <v>2097617</v>
      </c>
      <c r="G2138" s="1" t="s">
        <v>13</v>
      </c>
      <c r="H2138" s="1" t="b">
        <f t="shared" si="79"/>
        <v>1</v>
      </c>
    </row>
    <row r="2139" spans="1:8" ht="21" x14ac:dyDescent="0.25">
      <c r="A2139" s="2" t="str">
        <f>HYPERLINK("https://rth.dk/resources/bsgatlas/details.php?id=BSGatlas-operon-1126","BSGatlas-operon-1126")</f>
        <v>BSGatlas-operon-1126</v>
      </c>
      <c r="B2139" s="2" t="str">
        <f>HYPERLINK("https://rth.dk/resources/bsgatlas/details.php?id=BSGatlas-gene-2273","BSGatlas-gene-2273")</f>
        <v>BSGatlas-gene-2273</v>
      </c>
      <c r="C2139" s="1" t="s">
        <v>2130</v>
      </c>
      <c r="D2139" s="1" t="s">
        <v>8</v>
      </c>
      <c r="E2139" s="3">
        <v>2097692</v>
      </c>
      <c r="F2139" s="3">
        <v>2098024</v>
      </c>
      <c r="G2139" s="1" t="s">
        <v>13</v>
      </c>
      <c r="H2139" s="1" t="b">
        <f t="shared" si="79"/>
        <v>0</v>
      </c>
    </row>
    <row r="2140" spans="1:8" ht="21" x14ac:dyDescent="0.25">
      <c r="A2140" s="2" t="str">
        <f>HYPERLINK("https://rth.dk/resources/bsgatlas/details.php?id=BSGatlas-operon-1127","BSGatlas-operon-1127")</f>
        <v>BSGatlas-operon-1127</v>
      </c>
      <c r="B2140" s="2" t="str">
        <f>HYPERLINK("https://rth.dk/resources/bsgatlas/details.php?id=BSGatlas-gene-2274","BSGatlas-gene-2274")</f>
        <v>BSGatlas-gene-2274</v>
      </c>
      <c r="C2140" s="1" t="s">
        <v>2131</v>
      </c>
      <c r="D2140" s="1" t="s">
        <v>8</v>
      </c>
      <c r="E2140" s="3">
        <v>2098102</v>
      </c>
      <c r="F2140" s="3">
        <v>2098329</v>
      </c>
      <c r="G2140" s="1" t="s">
        <v>9</v>
      </c>
      <c r="H2140" s="1" t="b">
        <f t="shared" si="79"/>
        <v>1</v>
      </c>
    </row>
    <row r="2141" spans="1:8" ht="21" x14ac:dyDescent="0.25">
      <c r="A2141" s="2" t="str">
        <f>HYPERLINK("https://rth.dk/resources/bsgatlas/details.php?id=BSGatlas-operon-1127","BSGatlas-operon-1127")</f>
        <v>BSGatlas-operon-1127</v>
      </c>
      <c r="B2141" s="2" t="str">
        <f>HYPERLINK("https://rth.dk/resources/bsgatlas/details.php?id=BSGatlas-gene-2276","BSGatlas-gene-2276")</f>
        <v>BSGatlas-gene-2276</v>
      </c>
      <c r="C2141" s="1" t="s">
        <v>2132</v>
      </c>
      <c r="D2141" s="1" t="s">
        <v>8</v>
      </c>
      <c r="E2141" s="3">
        <v>2098859</v>
      </c>
      <c r="F2141" s="3">
        <v>2099122</v>
      </c>
      <c r="G2141" s="1" t="s">
        <v>9</v>
      </c>
      <c r="H2141" s="1" t="b">
        <f t="shared" si="79"/>
        <v>1</v>
      </c>
    </row>
    <row r="2142" spans="1:8" ht="21" x14ac:dyDescent="0.25">
      <c r="A2142" s="2" t="str">
        <f>HYPERLINK("https://rth.dk/resources/bsgatlas/details.php?id=BSGatlas-operon-1127","BSGatlas-operon-1127")</f>
        <v>BSGatlas-operon-1127</v>
      </c>
      <c r="B2142" s="2" t="str">
        <f>HYPERLINK("https://rth.dk/resources/bsgatlas/details.php?id=BSGatlas-gene-2277","BSGatlas-gene-2277")</f>
        <v>BSGatlas-gene-2277</v>
      </c>
      <c r="C2142" s="1" t="s">
        <v>2133</v>
      </c>
      <c r="D2142" s="1" t="s">
        <v>8</v>
      </c>
      <c r="E2142" s="3">
        <v>2099127</v>
      </c>
      <c r="F2142" s="3">
        <v>2099360</v>
      </c>
      <c r="G2142" s="1" t="s">
        <v>9</v>
      </c>
      <c r="H2142" s="1" t="b">
        <f t="shared" si="79"/>
        <v>1</v>
      </c>
    </row>
    <row r="2143" spans="1:8" ht="21" x14ac:dyDescent="0.25">
      <c r="A2143" s="2" t="str">
        <f>HYPERLINK("https://rth.dk/resources/bsgatlas/details.php?id=BSGatlas-operon-1128","BSGatlas-operon-1128")</f>
        <v>BSGatlas-operon-1128</v>
      </c>
      <c r="B2143" s="2" t="str">
        <f>HYPERLINK("https://rth.dk/resources/bsgatlas/details.php?id=BSGatlas-gene-2275","BSGatlas-gene-2275")</f>
        <v>BSGatlas-gene-2275</v>
      </c>
      <c r="C2143" s="1" t="s">
        <v>2134</v>
      </c>
      <c r="D2143" s="1" t="s">
        <v>8</v>
      </c>
      <c r="E2143" s="3">
        <v>2098316</v>
      </c>
      <c r="F2143" s="3">
        <v>2098792</v>
      </c>
      <c r="G2143" s="1" t="s">
        <v>13</v>
      </c>
      <c r="H2143" s="1" t="b">
        <f t="shared" si="79"/>
        <v>0</v>
      </c>
    </row>
    <row r="2144" spans="1:8" ht="21" x14ac:dyDescent="0.25">
      <c r="A2144" s="2" t="str">
        <f>HYPERLINK("https://rth.dk/resources/bsgatlas/details.php?id=BSGatlas-operon-1129","BSGatlas-operon-1129")</f>
        <v>BSGatlas-operon-1129</v>
      </c>
      <c r="B2144" s="2" t="str">
        <f>HYPERLINK("https://rth.dk/resources/bsgatlas/details.php?id=BSGatlas-gene-2278","BSGatlas-gene-2278")</f>
        <v>BSGatlas-gene-2278</v>
      </c>
      <c r="C2144" s="1" t="s">
        <v>2135</v>
      </c>
      <c r="D2144" s="1" t="s">
        <v>8</v>
      </c>
      <c r="E2144" s="3">
        <v>2099446</v>
      </c>
      <c r="F2144" s="3">
        <v>2099790</v>
      </c>
      <c r="G2144" s="1" t="s">
        <v>13</v>
      </c>
      <c r="H2144" s="1" t="b">
        <f t="shared" si="79"/>
        <v>1</v>
      </c>
    </row>
    <row r="2145" spans="1:8" ht="21" x14ac:dyDescent="0.25">
      <c r="A2145" s="2" t="str">
        <f>HYPERLINK("https://rth.dk/resources/bsgatlas/details.php?id=BSGatlas-operon-1130","BSGatlas-operon-1130")</f>
        <v>BSGatlas-operon-1130</v>
      </c>
      <c r="B2145" s="2" t="str">
        <f>HYPERLINK("https://rth.dk/resources/bsgatlas/details.php?id=BSGatlas-gene-2279","BSGatlas-gene-2279")</f>
        <v>BSGatlas-gene-2279</v>
      </c>
      <c r="C2145" s="1" t="s">
        <v>2136</v>
      </c>
      <c r="D2145" s="1" t="s">
        <v>12</v>
      </c>
      <c r="E2145" s="3">
        <v>2099817</v>
      </c>
      <c r="F2145" s="3">
        <v>2099956</v>
      </c>
      <c r="G2145" s="1" t="s">
        <v>13</v>
      </c>
      <c r="H2145" s="1" t="b">
        <f t="shared" si="79"/>
        <v>0</v>
      </c>
    </row>
    <row r="2146" spans="1:8" ht="21" x14ac:dyDescent="0.25">
      <c r="A2146" s="2" t="str">
        <f>HYPERLINK("https://rth.dk/resources/bsgatlas/details.php?id=BSGatlas-operon-1131","BSGatlas-operon-1131")</f>
        <v>BSGatlas-operon-1131</v>
      </c>
      <c r="B2146" s="2" t="str">
        <f>HYPERLINK("https://rth.dk/resources/bsgatlas/details.php?id=BSGatlas-gene-2280","BSGatlas-gene-2280")</f>
        <v>BSGatlas-gene-2280</v>
      </c>
      <c r="C2146" s="1" t="s">
        <v>2137</v>
      </c>
      <c r="D2146" s="1" t="s">
        <v>8</v>
      </c>
      <c r="E2146" s="3">
        <v>2100147</v>
      </c>
      <c r="F2146" s="3">
        <v>2100350</v>
      </c>
      <c r="G2146" s="1" t="s">
        <v>13</v>
      </c>
      <c r="H2146" s="1" t="b">
        <f t="shared" si="79"/>
        <v>1</v>
      </c>
    </row>
    <row r="2147" spans="1:8" ht="21" x14ac:dyDescent="0.25">
      <c r="A2147" s="2" t="str">
        <f>HYPERLINK("https://rth.dk/resources/bsgatlas/details.php?id=BSGatlas-operon-1132","BSGatlas-operon-1132")</f>
        <v>BSGatlas-operon-1132</v>
      </c>
      <c r="B2147" s="2" t="str">
        <f>HYPERLINK("https://rth.dk/resources/bsgatlas/details.php?id=BSGatlas-gene-2281","BSGatlas-gene-2281")</f>
        <v>BSGatlas-gene-2281</v>
      </c>
      <c r="C2147" s="1" t="s">
        <v>2138</v>
      </c>
      <c r="D2147" s="1" t="s">
        <v>8</v>
      </c>
      <c r="E2147" s="3">
        <v>2100580</v>
      </c>
      <c r="F2147" s="3">
        <v>2102067</v>
      </c>
      <c r="G2147" s="1" t="s">
        <v>9</v>
      </c>
      <c r="H2147" s="1" t="b">
        <f t="shared" si="79"/>
        <v>0</v>
      </c>
    </row>
    <row r="2148" spans="1:8" ht="21" x14ac:dyDescent="0.25">
      <c r="A2148" s="2" t="str">
        <f>HYPERLINK("https://rth.dk/resources/bsgatlas/details.php?id=BSGatlas-operon-1133","BSGatlas-operon-1133")</f>
        <v>BSGatlas-operon-1133</v>
      </c>
      <c r="B2148" s="2" t="str">
        <f>HYPERLINK("https://rth.dk/resources/bsgatlas/details.php?id=BSGatlas-gene-2282","BSGatlas-gene-2282")</f>
        <v>BSGatlas-gene-2282</v>
      </c>
      <c r="C2148" s="1" t="s">
        <v>2139</v>
      </c>
      <c r="D2148" s="1" t="s">
        <v>8</v>
      </c>
      <c r="E2148" s="3">
        <v>2102168</v>
      </c>
      <c r="F2148" s="3">
        <v>2104066</v>
      </c>
      <c r="G2148" s="1" t="s">
        <v>9</v>
      </c>
      <c r="H2148" s="1" t="b">
        <f t="shared" si="79"/>
        <v>1</v>
      </c>
    </row>
    <row r="2149" spans="1:8" ht="21" x14ac:dyDescent="0.25">
      <c r="A2149" s="2" t="str">
        <f>HYPERLINK("https://rth.dk/resources/bsgatlas/details.php?id=BSGatlas-operon-1133","BSGatlas-operon-1133")</f>
        <v>BSGatlas-operon-1133</v>
      </c>
      <c r="B2149" s="2" t="str">
        <f>HYPERLINK("https://rth.dk/resources/bsgatlas/details.php?id=BSGatlas-gene-2283","BSGatlas-gene-2283")</f>
        <v>BSGatlas-gene-2283</v>
      </c>
      <c r="C2149" s="1" t="s">
        <v>2140</v>
      </c>
      <c r="D2149" s="1" t="s">
        <v>8</v>
      </c>
      <c r="E2149" s="3">
        <v>2104056</v>
      </c>
      <c r="F2149" s="3">
        <v>2104901</v>
      </c>
      <c r="G2149" s="1" t="s">
        <v>9</v>
      </c>
      <c r="H2149" s="1" t="b">
        <f t="shared" si="79"/>
        <v>1</v>
      </c>
    </row>
    <row r="2150" spans="1:8" ht="21" x14ac:dyDescent="0.25">
      <c r="A2150" s="2" t="str">
        <f>HYPERLINK("https://rth.dk/resources/bsgatlas/details.php?id=BSGatlas-operon-1134","BSGatlas-operon-1134")</f>
        <v>BSGatlas-operon-1134</v>
      </c>
      <c r="B2150" s="2" t="str">
        <f>HYPERLINK("https://rth.dk/resources/bsgatlas/details.php?id=BSGatlas-gene-2284","BSGatlas-gene-2284")</f>
        <v>BSGatlas-gene-2284</v>
      </c>
      <c r="C2150" s="1" t="s">
        <v>2141</v>
      </c>
      <c r="D2150" s="1" t="s">
        <v>8</v>
      </c>
      <c r="E2150" s="3">
        <v>2104934</v>
      </c>
      <c r="F2150" s="3">
        <v>2106271</v>
      </c>
      <c r="G2150" s="1" t="s">
        <v>13</v>
      </c>
      <c r="H2150" s="1" t="b">
        <f t="shared" si="79"/>
        <v>0</v>
      </c>
    </row>
    <row r="2151" spans="1:8" ht="21" x14ac:dyDescent="0.25">
      <c r="A2151" s="2" t="str">
        <f>HYPERLINK("https://rth.dk/resources/bsgatlas/details.php?id=BSGatlas-operon-1135","BSGatlas-operon-1135")</f>
        <v>BSGatlas-operon-1135</v>
      </c>
      <c r="B2151" s="2" t="str">
        <f>HYPERLINK("https://rth.dk/resources/bsgatlas/details.php?id=BSGatlas-gene-2285","BSGatlas-gene-2285")</f>
        <v>BSGatlas-gene-2285</v>
      </c>
      <c r="C2151" s="1" t="s">
        <v>2142</v>
      </c>
      <c r="D2151" s="1" t="s">
        <v>8</v>
      </c>
      <c r="E2151" s="3">
        <v>2106490</v>
      </c>
      <c r="F2151" s="3">
        <v>2107455</v>
      </c>
      <c r="G2151" s="1" t="s">
        <v>9</v>
      </c>
      <c r="H2151" s="1" t="b">
        <f t="shared" si="79"/>
        <v>1</v>
      </c>
    </row>
    <row r="2152" spans="1:8" ht="21" x14ac:dyDescent="0.25">
      <c r="A2152" s="2" t="str">
        <f>HYPERLINK("https://rth.dk/resources/bsgatlas/details.php?id=BSGatlas-operon-1136","BSGatlas-operon-1136")</f>
        <v>BSGatlas-operon-1136</v>
      </c>
      <c r="B2152" s="2" t="str">
        <f>HYPERLINK("https://rth.dk/resources/bsgatlas/details.php?id=BSGatlas-gene-2286","BSGatlas-gene-2286")</f>
        <v>BSGatlas-gene-2286</v>
      </c>
      <c r="C2152" s="1" t="s">
        <v>2143</v>
      </c>
      <c r="D2152" s="1" t="s">
        <v>8</v>
      </c>
      <c r="E2152" s="3">
        <v>2107505</v>
      </c>
      <c r="F2152" s="3">
        <v>2108758</v>
      </c>
      <c r="G2152" s="1" t="s">
        <v>13</v>
      </c>
      <c r="H2152" s="1" t="b">
        <f t="shared" si="79"/>
        <v>0</v>
      </c>
    </row>
    <row r="2153" spans="1:8" ht="21" x14ac:dyDescent="0.25">
      <c r="A2153" s="2" t="str">
        <f>HYPERLINK("https://rth.dk/resources/bsgatlas/details.php?id=BSGatlas-operon-1136","BSGatlas-operon-1136")</f>
        <v>BSGatlas-operon-1136</v>
      </c>
      <c r="B2153" s="2" t="str">
        <f>HYPERLINK("https://rth.dk/resources/bsgatlas/details.php?id=BSGatlas-gene-2287","BSGatlas-gene-2287")</f>
        <v>BSGatlas-gene-2287</v>
      </c>
      <c r="C2153" s="1" t="s">
        <v>2144</v>
      </c>
      <c r="D2153" s="1" t="s">
        <v>8</v>
      </c>
      <c r="E2153" s="3">
        <v>2108774</v>
      </c>
      <c r="F2153" s="3">
        <v>2111608</v>
      </c>
      <c r="G2153" s="1" t="s">
        <v>13</v>
      </c>
      <c r="H2153" s="1" t="b">
        <f t="shared" si="79"/>
        <v>0</v>
      </c>
    </row>
    <row r="2154" spans="1:8" ht="21" x14ac:dyDescent="0.25">
      <c r="A2154" s="2" t="str">
        <f>HYPERLINK("https://rth.dk/resources/bsgatlas/details.php?id=BSGatlas-operon-1137","BSGatlas-operon-1137")</f>
        <v>BSGatlas-operon-1137</v>
      </c>
      <c r="B2154" s="2" t="str">
        <f>HYPERLINK("https://rth.dk/resources/bsgatlas/details.php?id=BSGatlas-gene-2288","BSGatlas-gene-2288")</f>
        <v>BSGatlas-gene-2288</v>
      </c>
      <c r="C2154" s="1" t="s">
        <v>2145</v>
      </c>
      <c r="D2154" s="1" t="s">
        <v>8</v>
      </c>
      <c r="E2154" s="3">
        <v>2111837</v>
      </c>
      <c r="F2154" s="3">
        <v>2113753</v>
      </c>
      <c r="G2154" s="1" t="s">
        <v>13</v>
      </c>
      <c r="H2154" s="1" t="b">
        <f t="shared" si="79"/>
        <v>1</v>
      </c>
    </row>
    <row r="2155" spans="1:8" ht="21" x14ac:dyDescent="0.25">
      <c r="A2155" s="2" t="str">
        <f>HYPERLINK("https://rth.dk/resources/bsgatlas/details.php?id=BSGatlas-operon-1137","BSGatlas-operon-1137")</f>
        <v>BSGatlas-operon-1137</v>
      </c>
      <c r="B2155" s="2" t="str">
        <f>HYPERLINK("https://rth.dk/resources/bsgatlas/details.php?id=BSGatlas-gene-2289","BSGatlas-gene-2289")</f>
        <v>BSGatlas-gene-2289</v>
      </c>
      <c r="C2155" s="1" t="s">
        <v>2146</v>
      </c>
      <c r="D2155" s="1" t="s">
        <v>8</v>
      </c>
      <c r="E2155" s="3">
        <v>2113764</v>
      </c>
      <c r="F2155" s="3">
        <v>2114678</v>
      </c>
      <c r="G2155" s="1" t="s">
        <v>13</v>
      </c>
      <c r="H2155" s="1" t="b">
        <f t="shared" si="79"/>
        <v>1</v>
      </c>
    </row>
    <row r="2156" spans="1:8" ht="21" x14ac:dyDescent="0.25">
      <c r="A2156" s="2" t="str">
        <f>HYPERLINK("https://rth.dk/resources/bsgatlas/details.php?id=BSGatlas-operon-1138","BSGatlas-operon-1138")</f>
        <v>BSGatlas-operon-1138</v>
      </c>
      <c r="B2156" s="2" t="str">
        <f>HYPERLINK("https://rth.dk/resources/bsgatlas/details.php?id=BSGatlas-gene-2290","BSGatlas-gene-2290")</f>
        <v>BSGatlas-gene-2290</v>
      </c>
      <c r="C2156" s="1" t="s">
        <v>2147</v>
      </c>
      <c r="D2156" s="1" t="s">
        <v>8</v>
      </c>
      <c r="E2156" s="3">
        <v>2114742</v>
      </c>
      <c r="F2156" s="3">
        <v>2115332</v>
      </c>
      <c r="G2156" s="1" t="s">
        <v>13</v>
      </c>
      <c r="H2156" s="1" t="b">
        <f t="shared" si="79"/>
        <v>0</v>
      </c>
    </row>
    <row r="2157" spans="1:8" ht="21" x14ac:dyDescent="0.25">
      <c r="A2157" s="2" t="str">
        <f>HYPERLINK("https://rth.dk/resources/bsgatlas/details.php?id=BSGatlas-operon-1138","BSGatlas-operon-1138")</f>
        <v>BSGatlas-operon-1138</v>
      </c>
      <c r="B2157" s="2" t="str">
        <f>HYPERLINK("https://rth.dk/resources/bsgatlas/details.php?id=BSGatlas-gene-2291","BSGatlas-gene-2291")</f>
        <v>BSGatlas-gene-2291</v>
      </c>
      <c r="C2157" s="1" t="s">
        <v>2148</v>
      </c>
      <c r="D2157" s="1" t="s">
        <v>8</v>
      </c>
      <c r="E2157" s="3">
        <v>2115425</v>
      </c>
      <c r="F2157" s="3">
        <v>2116669</v>
      </c>
      <c r="G2157" s="1" t="s">
        <v>13</v>
      </c>
      <c r="H2157" s="1" t="b">
        <f t="shared" si="79"/>
        <v>0</v>
      </c>
    </row>
    <row r="2158" spans="1:8" ht="21" x14ac:dyDescent="0.25">
      <c r="A2158" s="2" t="str">
        <f>HYPERLINK("https://rth.dk/resources/bsgatlas/details.php?id=BSGatlas-operon-1139","BSGatlas-operon-1139")</f>
        <v>BSGatlas-operon-1139</v>
      </c>
      <c r="B2158" s="2" t="str">
        <f>HYPERLINK("https://rth.dk/resources/bsgatlas/details.php?id=BSGatlas-gene-2292","BSGatlas-gene-2292")</f>
        <v>BSGatlas-gene-2292</v>
      </c>
      <c r="C2158" s="1" t="s">
        <v>2149</v>
      </c>
      <c r="D2158" s="1" t="s">
        <v>8</v>
      </c>
      <c r="E2158" s="3">
        <v>2117051</v>
      </c>
      <c r="F2158" s="3">
        <v>2118268</v>
      </c>
      <c r="G2158" s="1" t="s">
        <v>13</v>
      </c>
      <c r="H2158" s="1" t="b">
        <f t="shared" si="79"/>
        <v>1</v>
      </c>
    </row>
    <row r="2159" spans="1:8" ht="21" x14ac:dyDescent="0.25">
      <c r="A2159" s="2" t="str">
        <f>HYPERLINK("https://rth.dk/resources/bsgatlas/details.php?id=BSGatlas-operon-1140","BSGatlas-operon-1140")</f>
        <v>BSGatlas-operon-1140</v>
      </c>
      <c r="B2159" s="2" t="str">
        <f>HYPERLINK("https://rth.dk/resources/bsgatlas/details.php?id=BSGatlas-gene-2293","BSGatlas-gene-2293")</f>
        <v>BSGatlas-gene-2293</v>
      </c>
      <c r="C2159" s="1" t="s">
        <v>2150</v>
      </c>
      <c r="D2159" s="1" t="s">
        <v>8</v>
      </c>
      <c r="E2159" s="3">
        <v>2118504</v>
      </c>
      <c r="F2159" s="3">
        <v>2119127</v>
      </c>
      <c r="G2159" s="1" t="s">
        <v>13</v>
      </c>
      <c r="H2159" s="1" t="b">
        <f t="shared" si="79"/>
        <v>0</v>
      </c>
    </row>
    <row r="2160" spans="1:8" ht="21" x14ac:dyDescent="0.25">
      <c r="A2160" s="2" t="str">
        <f>HYPERLINK("https://rth.dk/resources/bsgatlas/details.php?id=BSGatlas-operon-1141","BSGatlas-operon-1141")</f>
        <v>BSGatlas-operon-1141</v>
      </c>
      <c r="B2160" s="2" t="str">
        <f>HYPERLINK("https://rth.dk/resources/bsgatlas/details.php?id=BSGatlas-gene-2294","BSGatlas-gene-2294")</f>
        <v>BSGatlas-gene-2294</v>
      </c>
      <c r="C2160" s="1" t="s">
        <v>2151</v>
      </c>
      <c r="D2160" s="1" t="s">
        <v>8</v>
      </c>
      <c r="E2160" s="3">
        <v>2119393</v>
      </c>
      <c r="F2160" s="3">
        <v>2120751</v>
      </c>
      <c r="G2160" s="1" t="s">
        <v>9</v>
      </c>
      <c r="H2160" s="1" t="b">
        <f t="shared" si="79"/>
        <v>1</v>
      </c>
    </row>
    <row r="2161" spans="1:8" ht="21" x14ac:dyDescent="0.25">
      <c r="A2161" s="2" t="str">
        <f>HYPERLINK("https://rth.dk/resources/bsgatlas/details.php?id=BSGatlas-operon-1141","BSGatlas-operon-1141")</f>
        <v>BSGatlas-operon-1141</v>
      </c>
      <c r="B2161" s="2" t="str">
        <f>HYPERLINK("https://rth.dk/resources/bsgatlas/details.php?id=BSGatlas-gene-2295","BSGatlas-gene-2295")</f>
        <v>BSGatlas-gene-2295</v>
      </c>
      <c r="C2161" s="1" t="s">
        <v>2152</v>
      </c>
      <c r="D2161" s="1" t="s">
        <v>8</v>
      </c>
      <c r="E2161" s="3">
        <v>2120767</v>
      </c>
      <c r="F2161" s="3">
        <v>2121615</v>
      </c>
      <c r="G2161" s="1" t="s">
        <v>9</v>
      </c>
      <c r="H2161" s="1" t="b">
        <f t="shared" si="79"/>
        <v>1</v>
      </c>
    </row>
    <row r="2162" spans="1:8" ht="21" x14ac:dyDescent="0.25">
      <c r="A2162" s="2" t="str">
        <f>HYPERLINK("https://rth.dk/resources/bsgatlas/details.php?id=BSGatlas-operon-1142","BSGatlas-operon-1142")</f>
        <v>BSGatlas-operon-1142</v>
      </c>
      <c r="B2162" s="2" t="str">
        <f>HYPERLINK("https://rth.dk/resources/bsgatlas/details.php?id=BSGatlas-gene-2296","BSGatlas-gene-2296")</f>
        <v>BSGatlas-gene-2296</v>
      </c>
      <c r="C2162" s="1" t="s">
        <v>2153</v>
      </c>
      <c r="D2162" s="1" t="s">
        <v>8</v>
      </c>
      <c r="E2162" s="3">
        <v>2121641</v>
      </c>
      <c r="F2162" s="3">
        <v>2122306</v>
      </c>
      <c r="G2162" s="1" t="s">
        <v>13</v>
      </c>
      <c r="H2162" s="1" t="b">
        <f t="shared" si="79"/>
        <v>0</v>
      </c>
    </row>
    <row r="2163" spans="1:8" ht="21" x14ac:dyDescent="0.25">
      <c r="A2163" s="2" t="str">
        <f>HYPERLINK("https://rth.dk/resources/bsgatlas/details.php?id=BSGatlas-operon-1142","BSGatlas-operon-1142")</f>
        <v>BSGatlas-operon-1142</v>
      </c>
      <c r="B2163" s="2" t="str">
        <f>HYPERLINK("https://rth.dk/resources/bsgatlas/details.php?id=BSGatlas-gene-2297","BSGatlas-gene-2297")</f>
        <v>BSGatlas-gene-2297</v>
      </c>
      <c r="C2163" s="1" t="s">
        <v>2154</v>
      </c>
      <c r="D2163" s="1" t="s">
        <v>8</v>
      </c>
      <c r="E2163" s="3">
        <v>2122325</v>
      </c>
      <c r="F2163" s="3">
        <v>2122675</v>
      </c>
      <c r="G2163" s="1" t="s">
        <v>13</v>
      </c>
      <c r="H2163" s="1" t="b">
        <f t="shared" si="79"/>
        <v>0</v>
      </c>
    </row>
    <row r="2164" spans="1:8" ht="21" x14ac:dyDescent="0.25">
      <c r="A2164" s="2" t="str">
        <f>HYPERLINK("https://rth.dk/resources/bsgatlas/details.php?id=BSGatlas-operon-1142","BSGatlas-operon-1142")</f>
        <v>BSGatlas-operon-1142</v>
      </c>
      <c r="B2164" s="2" t="str">
        <f>HYPERLINK("https://rth.dk/resources/bsgatlas/details.php?id=BSGatlas-gene-2298","BSGatlas-gene-2298")</f>
        <v>BSGatlas-gene-2298</v>
      </c>
      <c r="C2164" s="1" t="s">
        <v>2155</v>
      </c>
      <c r="D2164" s="1" t="s">
        <v>8</v>
      </c>
      <c r="E2164" s="3">
        <v>2122672</v>
      </c>
      <c r="F2164" s="3">
        <v>2122950</v>
      </c>
      <c r="G2164" s="1" t="s">
        <v>13</v>
      </c>
      <c r="H2164" s="1" t="b">
        <f t="shared" si="79"/>
        <v>0</v>
      </c>
    </row>
    <row r="2165" spans="1:8" ht="21" x14ac:dyDescent="0.25">
      <c r="A2165" s="2" t="str">
        <f>HYPERLINK("https://rth.dk/resources/bsgatlas/details.php?id=BSGatlas-operon-1142","BSGatlas-operon-1142")</f>
        <v>BSGatlas-operon-1142</v>
      </c>
      <c r="B2165" s="2" t="str">
        <f>HYPERLINK("https://rth.dk/resources/bsgatlas/details.php?id=BSGatlas-gene-2299","BSGatlas-gene-2299")</f>
        <v>BSGatlas-gene-2299</v>
      </c>
      <c r="C2165" s="1" t="s">
        <v>2156</v>
      </c>
      <c r="D2165" s="1" t="s">
        <v>8</v>
      </c>
      <c r="E2165" s="3">
        <v>2123026</v>
      </c>
      <c r="F2165" s="3">
        <v>2123922</v>
      </c>
      <c r="G2165" s="1" t="s">
        <v>13</v>
      </c>
      <c r="H2165" s="1" t="b">
        <f t="shared" si="79"/>
        <v>0</v>
      </c>
    </row>
    <row r="2166" spans="1:8" ht="21" x14ac:dyDescent="0.25">
      <c r="A2166" s="2" t="str">
        <f>HYPERLINK("https://rth.dk/resources/bsgatlas/details.php?id=BSGatlas-operon-1143","BSGatlas-operon-1143")</f>
        <v>BSGatlas-operon-1143</v>
      </c>
      <c r="B2166" s="2" t="str">
        <f>HYPERLINK("https://rth.dk/resources/bsgatlas/details.php?id=BSGatlas-gene-2300","BSGatlas-gene-2300")</f>
        <v>BSGatlas-gene-2300</v>
      </c>
      <c r="C2166" s="1" t="s">
        <v>2157</v>
      </c>
      <c r="D2166" s="1" t="s">
        <v>8</v>
      </c>
      <c r="E2166" s="3">
        <v>2124021</v>
      </c>
      <c r="F2166" s="3">
        <v>2124494</v>
      </c>
      <c r="G2166" s="1" t="s">
        <v>9</v>
      </c>
      <c r="H2166" s="1" t="b">
        <f t="shared" si="79"/>
        <v>1</v>
      </c>
    </row>
    <row r="2167" spans="1:8" ht="21" x14ac:dyDescent="0.25">
      <c r="A2167" s="2" t="str">
        <f>HYPERLINK("https://rth.dk/resources/bsgatlas/details.php?id=BSGatlas-operon-1144","BSGatlas-operon-1144")</f>
        <v>BSGatlas-operon-1144</v>
      </c>
      <c r="B2167" s="2" t="str">
        <f>HYPERLINK("https://rth.dk/resources/bsgatlas/details.php?id=BSGatlas-gene-2301","BSGatlas-gene-2301")</f>
        <v>BSGatlas-gene-2301</v>
      </c>
      <c r="C2167" s="1" t="s">
        <v>2158</v>
      </c>
      <c r="D2167" s="1" t="s">
        <v>8</v>
      </c>
      <c r="E2167" s="3">
        <v>2124529</v>
      </c>
      <c r="F2167" s="3">
        <v>2124765</v>
      </c>
      <c r="G2167" s="1" t="s">
        <v>13</v>
      </c>
      <c r="H2167" s="1" t="b">
        <f t="shared" si="79"/>
        <v>0</v>
      </c>
    </row>
    <row r="2168" spans="1:8" ht="21" x14ac:dyDescent="0.25">
      <c r="A2168" s="2" t="str">
        <f>HYPERLINK("https://rth.dk/resources/bsgatlas/details.php?id=BSGatlas-operon-1144","BSGatlas-operon-1144")</f>
        <v>BSGatlas-operon-1144</v>
      </c>
      <c r="B2168" s="2" t="str">
        <f>HYPERLINK("https://rth.dk/resources/bsgatlas/details.php?id=BSGatlas-gene-2302","BSGatlas-gene-2302")</f>
        <v>BSGatlas-gene-2302</v>
      </c>
      <c r="C2168" s="1" t="s">
        <v>2159</v>
      </c>
      <c r="D2168" s="1" t="s">
        <v>8</v>
      </c>
      <c r="E2168" s="3">
        <v>2124850</v>
      </c>
      <c r="F2168" s="3">
        <v>2126184</v>
      </c>
      <c r="G2168" s="1" t="s">
        <v>13</v>
      </c>
      <c r="H2168" s="1" t="b">
        <f t="shared" si="79"/>
        <v>0</v>
      </c>
    </row>
    <row r="2169" spans="1:8" ht="21" x14ac:dyDescent="0.25">
      <c r="A2169" s="2" t="str">
        <f>HYPERLINK("https://rth.dk/resources/bsgatlas/details.php?id=BSGatlas-operon-1145","BSGatlas-operon-1145")</f>
        <v>BSGatlas-operon-1145</v>
      </c>
      <c r="B2169" s="2" t="str">
        <f>HYPERLINK("https://rth.dk/resources/bsgatlas/details.php?id=BSGatlas-gene-2303","BSGatlas-gene-2303")</f>
        <v>BSGatlas-gene-2303</v>
      </c>
      <c r="C2169" s="1" t="s">
        <v>2160</v>
      </c>
      <c r="D2169" s="1" t="s">
        <v>8</v>
      </c>
      <c r="E2169" s="3">
        <v>2126549</v>
      </c>
      <c r="F2169" s="3">
        <v>2126938</v>
      </c>
      <c r="G2169" s="1" t="s">
        <v>9</v>
      </c>
      <c r="H2169" s="1" t="b">
        <f t="shared" si="79"/>
        <v>1</v>
      </c>
    </row>
    <row r="2170" spans="1:8" ht="21" x14ac:dyDescent="0.25">
      <c r="A2170" s="2" t="str">
        <f>HYPERLINK("https://rth.dk/resources/bsgatlas/details.php?id=BSGatlas-operon-1146","BSGatlas-operon-1146")</f>
        <v>BSGatlas-operon-1146</v>
      </c>
      <c r="B2170" s="2" t="str">
        <f>HYPERLINK("https://rth.dk/resources/bsgatlas/details.php?id=BSGatlas-gene-2304","BSGatlas-gene-2304")</f>
        <v>BSGatlas-gene-2304</v>
      </c>
      <c r="C2170" s="1" t="s">
        <v>2161</v>
      </c>
      <c r="D2170" s="1" t="s">
        <v>8</v>
      </c>
      <c r="E2170" s="3">
        <v>2127345</v>
      </c>
      <c r="F2170" s="3">
        <v>2127683</v>
      </c>
      <c r="G2170" s="1" t="s">
        <v>13</v>
      </c>
      <c r="H2170" s="1" t="b">
        <f t="shared" si="79"/>
        <v>0</v>
      </c>
    </row>
    <row r="2171" spans="1:8" ht="21" x14ac:dyDescent="0.25">
      <c r="A2171" s="2" t="str">
        <f>HYPERLINK("https://rth.dk/resources/bsgatlas/details.php?id=BSGatlas-operon-1147","BSGatlas-operon-1147")</f>
        <v>BSGatlas-operon-1147</v>
      </c>
      <c r="B2171" s="2" t="str">
        <f>HYPERLINK("https://rth.dk/resources/bsgatlas/details.php?id=BSGatlas-gene-2305","BSGatlas-gene-2305")</f>
        <v>BSGatlas-gene-2305</v>
      </c>
      <c r="C2171" s="1" t="s">
        <v>2162</v>
      </c>
      <c r="D2171" s="1" t="s">
        <v>8</v>
      </c>
      <c r="E2171" s="3">
        <v>2127813</v>
      </c>
      <c r="F2171" s="3">
        <v>2128421</v>
      </c>
      <c r="G2171" s="1" t="s">
        <v>9</v>
      </c>
      <c r="H2171" s="1" t="b">
        <f t="shared" si="79"/>
        <v>1</v>
      </c>
    </row>
    <row r="2172" spans="1:8" ht="21" x14ac:dyDescent="0.25">
      <c r="A2172" s="2" t="str">
        <f>HYPERLINK("https://rth.dk/resources/bsgatlas/details.php?id=BSGatlas-operon-1148","BSGatlas-operon-1148")</f>
        <v>BSGatlas-operon-1148</v>
      </c>
      <c r="B2172" s="2" t="str">
        <f>HYPERLINK("https://rth.dk/resources/bsgatlas/details.php?id=BSGatlas-gene-2306","BSGatlas-gene-2306")</f>
        <v>BSGatlas-gene-2306</v>
      </c>
      <c r="C2172" s="1" t="s">
        <v>2163</v>
      </c>
      <c r="D2172" s="1" t="s">
        <v>8</v>
      </c>
      <c r="E2172" s="3">
        <v>2128464</v>
      </c>
      <c r="F2172" s="3">
        <v>2129066</v>
      </c>
      <c r="G2172" s="1" t="s">
        <v>13</v>
      </c>
      <c r="H2172" s="1" t="b">
        <f t="shared" si="79"/>
        <v>0</v>
      </c>
    </row>
    <row r="2173" spans="1:8" ht="21" x14ac:dyDescent="0.25">
      <c r="A2173" s="2" t="str">
        <f>HYPERLINK("https://rth.dk/resources/bsgatlas/details.php?id=BSGatlas-operon-1148","BSGatlas-operon-1148")</f>
        <v>BSGatlas-operon-1148</v>
      </c>
      <c r="B2173" s="2" t="str">
        <f>HYPERLINK("https://rth.dk/resources/bsgatlas/details.php?id=BSGatlas-gene-2307","BSGatlas-gene-2307")</f>
        <v>BSGatlas-gene-2307</v>
      </c>
      <c r="C2173" s="1" t="s">
        <v>2164</v>
      </c>
      <c r="D2173" s="1" t="s">
        <v>8</v>
      </c>
      <c r="E2173" s="3">
        <v>2129082</v>
      </c>
      <c r="F2173" s="3">
        <v>2129993</v>
      </c>
      <c r="G2173" s="1" t="s">
        <v>13</v>
      </c>
      <c r="H2173" s="1" t="b">
        <f t="shared" si="79"/>
        <v>0</v>
      </c>
    </row>
    <row r="2174" spans="1:8" ht="21" x14ac:dyDescent="0.25">
      <c r="A2174" s="2" t="str">
        <f>HYPERLINK("https://rth.dk/resources/bsgatlas/details.php?id=BSGatlas-operon-1149","BSGatlas-operon-1149")</f>
        <v>BSGatlas-operon-1149</v>
      </c>
      <c r="B2174" s="2" t="str">
        <f>HYPERLINK("https://rth.dk/resources/bsgatlas/details.php?id=BSGatlas-gene-2308","BSGatlas-gene-2308")</f>
        <v>BSGatlas-gene-2308</v>
      </c>
      <c r="C2174" s="1" t="s">
        <v>2165</v>
      </c>
      <c r="D2174" s="1" t="s">
        <v>8</v>
      </c>
      <c r="E2174" s="3">
        <v>2130177</v>
      </c>
      <c r="F2174" s="3">
        <v>2130377</v>
      </c>
      <c r="G2174" s="1" t="s">
        <v>9</v>
      </c>
      <c r="H2174" s="1" t="b">
        <f t="shared" si="79"/>
        <v>1</v>
      </c>
    </row>
    <row r="2175" spans="1:8" ht="21" x14ac:dyDescent="0.25">
      <c r="A2175" s="2" t="str">
        <f>HYPERLINK("https://rth.dk/resources/bsgatlas/details.php?id=BSGatlas-operon-1149","BSGatlas-operon-1149")</f>
        <v>BSGatlas-operon-1149</v>
      </c>
      <c r="B2175" s="2" t="str">
        <f>HYPERLINK("https://rth.dk/resources/bsgatlas/details.php?id=BSGatlas-gene-2309","BSGatlas-gene-2309")</f>
        <v>BSGatlas-gene-2309</v>
      </c>
      <c r="C2175" s="1" t="s">
        <v>2166</v>
      </c>
      <c r="D2175" s="1" t="s">
        <v>8</v>
      </c>
      <c r="E2175" s="3">
        <v>2130377</v>
      </c>
      <c r="F2175" s="3">
        <v>2131867</v>
      </c>
      <c r="G2175" s="1" t="s">
        <v>9</v>
      </c>
      <c r="H2175" s="1" t="b">
        <f t="shared" si="79"/>
        <v>1</v>
      </c>
    </row>
    <row r="2176" spans="1:8" ht="21" x14ac:dyDescent="0.25">
      <c r="A2176" s="2" t="str">
        <f>HYPERLINK("https://rth.dk/resources/bsgatlas/details.php?id=BSGatlas-operon-1150","BSGatlas-operon-1150")</f>
        <v>BSGatlas-operon-1150</v>
      </c>
      <c r="B2176" s="2" t="str">
        <f>HYPERLINK("https://rth.dk/resources/bsgatlas/details.php?id=BSGatlas-gene-2310","BSGatlas-gene-2310")</f>
        <v>BSGatlas-gene-2310</v>
      </c>
      <c r="C2176" s="1" t="s">
        <v>2167</v>
      </c>
      <c r="D2176" s="1" t="s">
        <v>8</v>
      </c>
      <c r="E2176" s="3">
        <v>2131902</v>
      </c>
      <c r="F2176" s="3">
        <v>2133302</v>
      </c>
      <c r="G2176" s="1" t="s">
        <v>13</v>
      </c>
      <c r="H2176" s="1" t="b">
        <f t="shared" si="79"/>
        <v>0</v>
      </c>
    </row>
    <row r="2177" spans="1:8" ht="21" x14ac:dyDescent="0.25">
      <c r="A2177" s="2" t="str">
        <f>HYPERLINK("https://rth.dk/resources/bsgatlas/details.php?id=BSGatlas-operon-1151","BSGatlas-operon-1151")</f>
        <v>BSGatlas-operon-1151</v>
      </c>
      <c r="B2177" s="2" t="str">
        <f>HYPERLINK("https://rth.dk/resources/bsgatlas/details.php?id=BSGatlas-gene-2311","BSGatlas-gene-2311")</f>
        <v>BSGatlas-gene-2311</v>
      </c>
      <c r="C2177" s="1" t="s">
        <v>2168</v>
      </c>
      <c r="D2177" s="1" t="s">
        <v>8</v>
      </c>
      <c r="E2177" s="3">
        <v>2133455</v>
      </c>
      <c r="F2177" s="3">
        <v>2134156</v>
      </c>
      <c r="G2177" s="1" t="s">
        <v>9</v>
      </c>
      <c r="H2177" s="1" t="b">
        <f t="shared" si="79"/>
        <v>1</v>
      </c>
    </row>
    <row r="2178" spans="1:8" ht="21" x14ac:dyDescent="0.25">
      <c r="A2178" s="2" t="str">
        <f>HYPERLINK("https://rth.dk/resources/bsgatlas/details.php?id=BSGatlas-operon-1151","BSGatlas-operon-1151")</f>
        <v>BSGatlas-operon-1151</v>
      </c>
      <c r="B2178" s="2" t="str">
        <f>HYPERLINK("https://rth.dk/resources/bsgatlas/details.php?id=BSGatlas-gene-2312","BSGatlas-gene-2312")</f>
        <v>BSGatlas-gene-2312</v>
      </c>
      <c r="C2178" s="1" t="s">
        <v>2169</v>
      </c>
      <c r="D2178" s="1" t="s">
        <v>8</v>
      </c>
      <c r="E2178" s="3">
        <v>2134244</v>
      </c>
      <c r="F2178" s="3">
        <v>2134495</v>
      </c>
      <c r="G2178" s="1" t="s">
        <v>9</v>
      </c>
      <c r="H2178" s="1" t="b">
        <f t="shared" ref="H2178:H2241" si="80">_xlfn.XOR(A2177&lt;&gt;A2178,H2177)</f>
        <v>1</v>
      </c>
    </row>
    <row r="2179" spans="1:8" ht="21" x14ac:dyDescent="0.25">
      <c r="A2179" s="2" t="str">
        <f>HYPERLINK("https://rth.dk/resources/bsgatlas/details.php?id=BSGatlas-operon-1152","BSGatlas-operon-1152")</f>
        <v>BSGatlas-operon-1152</v>
      </c>
      <c r="B2179" s="2" t="str">
        <f>HYPERLINK("https://rth.dk/resources/bsgatlas/details.php?id=BSGatlas-gene-2313","BSGatlas-gene-2313")</f>
        <v>BSGatlas-gene-2313</v>
      </c>
      <c r="C2179" s="1" t="s">
        <v>2170</v>
      </c>
      <c r="D2179" s="1" t="s">
        <v>8</v>
      </c>
      <c r="E2179" s="3">
        <v>2134566</v>
      </c>
      <c r="F2179" s="3">
        <v>2135387</v>
      </c>
      <c r="G2179" s="1" t="s">
        <v>13</v>
      </c>
      <c r="H2179" s="1" t="b">
        <f t="shared" si="80"/>
        <v>0</v>
      </c>
    </row>
    <row r="2180" spans="1:8" ht="21" x14ac:dyDescent="0.25">
      <c r="A2180" s="2" t="str">
        <f>HYPERLINK("https://rth.dk/resources/bsgatlas/details.php?id=BSGatlas-operon-1152","BSGatlas-operon-1152")</f>
        <v>BSGatlas-operon-1152</v>
      </c>
      <c r="B2180" s="2" t="str">
        <f>HYPERLINK("https://rth.dk/resources/bsgatlas/details.php?id=BSGatlas-gene-2314","BSGatlas-gene-2314")</f>
        <v>BSGatlas-gene-2314</v>
      </c>
      <c r="C2180" s="1" t="s">
        <v>2171</v>
      </c>
      <c r="D2180" s="1" t="s">
        <v>8</v>
      </c>
      <c r="E2180" s="3">
        <v>2135470</v>
      </c>
      <c r="F2180" s="3">
        <v>2136171</v>
      </c>
      <c r="G2180" s="1" t="s">
        <v>13</v>
      </c>
      <c r="H2180" s="1" t="b">
        <f t="shared" si="80"/>
        <v>0</v>
      </c>
    </row>
    <row r="2181" spans="1:8" ht="21" x14ac:dyDescent="0.25">
      <c r="A2181" s="2" t="str">
        <f>HYPERLINK("https://rth.dk/resources/bsgatlas/details.php?id=BSGatlas-operon-1153","BSGatlas-operon-1153")</f>
        <v>BSGatlas-operon-1153</v>
      </c>
      <c r="B2181" s="2" t="str">
        <f>HYPERLINK("https://rth.dk/resources/bsgatlas/details.php?id=BSGatlas-gene-2315","BSGatlas-gene-2315")</f>
        <v>BSGatlas-gene-2315</v>
      </c>
      <c r="C2181" s="1" t="s">
        <v>2172</v>
      </c>
      <c r="D2181" s="1" t="s">
        <v>8</v>
      </c>
      <c r="E2181" s="3">
        <v>2136373</v>
      </c>
      <c r="F2181" s="3">
        <v>2136498</v>
      </c>
      <c r="G2181" s="1" t="s">
        <v>9</v>
      </c>
      <c r="H2181" s="1" t="b">
        <f t="shared" si="80"/>
        <v>1</v>
      </c>
    </row>
    <row r="2182" spans="1:8" ht="21" x14ac:dyDescent="0.25">
      <c r="A2182" s="2" t="str">
        <f>HYPERLINK("https://rth.dk/resources/bsgatlas/details.php?id=BSGatlas-operon-1154","BSGatlas-operon-1154")</f>
        <v>BSGatlas-operon-1154</v>
      </c>
      <c r="B2182" s="2" t="str">
        <f>HYPERLINK("https://rth.dk/resources/bsgatlas/details.php?id=BSGatlas-gene-2316","BSGatlas-gene-2316")</f>
        <v>BSGatlas-gene-2316</v>
      </c>
      <c r="C2182" s="1" t="s">
        <v>2173</v>
      </c>
      <c r="D2182" s="1" t="s">
        <v>8</v>
      </c>
      <c r="E2182" s="3">
        <v>2136538</v>
      </c>
      <c r="F2182" s="3">
        <v>2136852</v>
      </c>
      <c r="G2182" s="1" t="s">
        <v>13</v>
      </c>
      <c r="H2182" s="1" t="b">
        <f t="shared" si="80"/>
        <v>0</v>
      </c>
    </row>
    <row r="2183" spans="1:8" ht="21" x14ac:dyDescent="0.25">
      <c r="A2183" s="2" t="str">
        <f>HYPERLINK("https://rth.dk/resources/bsgatlas/details.php?id=BSGatlas-operon-1155","BSGatlas-operon-1155")</f>
        <v>BSGatlas-operon-1155</v>
      </c>
      <c r="B2183" s="2" t="str">
        <f>HYPERLINK("https://rth.dk/resources/bsgatlas/details.php?id=BSGatlas-gene-2317","BSGatlas-gene-2317")</f>
        <v>BSGatlas-gene-2317</v>
      </c>
      <c r="C2183" s="1" t="s">
        <v>2174</v>
      </c>
      <c r="D2183" s="1" t="s">
        <v>8</v>
      </c>
      <c r="E2183" s="3">
        <v>2136913</v>
      </c>
      <c r="F2183" s="3">
        <v>2137524</v>
      </c>
      <c r="G2183" s="1" t="s">
        <v>13</v>
      </c>
      <c r="H2183" s="1" t="b">
        <f t="shared" si="80"/>
        <v>1</v>
      </c>
    </row>
    <row r="2184" spans="1:8" ht="21" x14ac:dyDescent="0.25">
      <c r="A2184" s="2" t="str">
        <f>HYPERLINK("https://rth.dk/resources/bsgatlas/details.php?id=BSGatlas-operon-1156","BSGatlas-operon-1156")</f>
        <v>BSGatlas-operon-1156</v>
      </c>
      <c r="B2184" s="2" t="str">
        <f>HYPERLINK("https://rth.dk/resources/bsgatlas/details.php?id=BSGatlas-gene-2318","BSGatlas-gene-2318")</f>
        <v>BSGatlas-gene-2318</v>
      </c>
      <c r="C2184" s="1" t="s">
        <v>2175</v>
      </c>
      <c r="D2184" s="1" t="s">
        <v>8</v>
      </c>
      <c r="E2184" s="3">
        <v>2137602</v>
      </c>
      <c r="F2184" s="3">
        <v>2137778</v>
      </c>
      <c r="G2184" s="1" t="s">
        <v>13</v>
      </c>
      <c r="H2184" s="1" t="b">
        <f t="shared" si="80"/>
        <v>0</v>
      </c>
    </row>
    <row r="2185" spans="1:8" ht="21" x14ac:dyDescent="0.25">
      <c r="A2185" s="2" t="str">
        <f>HYPERLINK("https://rth.dk/resources/bsgatlas/details.php?id=BSGatlas-operon-1156","BSGatlas-operon-1156")</f>
        <v>BSGatlas-operon-1156</v>
      </c>
      <c r="B2185" s="2" t="str">
        <f>HYPERLINK("https://rth.dk/resources/bsgatlas/details.php?id=BSGatlas-gene-2320","BSGatlas-gene-2320")</f>
        <v>BSGatlas-gene-2320</v>
      </c>
      <c r="C2185" s="1" t="s">
        <v>2176</v>
      </c>
      <c r="D2185" s="1" t="s">
        <v>8</v>
      </c>
      <c r="E2185" s="3">
        <v>2138037</v>
      </c>
      <c r="F2185" s="3">
        <v>2138717</v>
      </c>
      <c r="G2185" s="1" t="s">
        <v>13</v>
      </c>
      <c r="H2185" s="1" t="b">
        <f t="shared" si="80"/>
        <v>0</v>
      </c>
    </row>
    <row r="2186" spans="1:8" ht="21" x14ac:dyDescent="0.25">
      <c r="A2186" s="2" t="str">
        <f>HYPERLINK("https://rth.dk/resources/bsgatlas/details.php?id=BSGatlas-operon-1157","BSGatlas-operon-1157")</f>
        <v>BSGatlas-operon-1157</v>
      </c>
      <c r="B2186" s="2" t="str">
        <f>HYPERLINK("https://rth.dk/resources/bsgatlas/details.php?id=BSGatlas-gene-2319","BSGatlas-gene-2319")</f>
        <v>BSGatlas-gene-2319</v>
      </c>
      <c r="C2186" s="1" t="s">
        <v>2177</v>
      </c>
      <c r="D2186" s="1" t="s">
        <v>8</v>
      </c>
      <c r="E2186" s="3">
        <v>2137897</v>
      </c>
      <c r="F2186" s="3">
        <v>2138040</v>
      </c>
      <c r="G2186" s="1" t="s">
        <v>9</v>
      </c>
      <c r="H2186" s="1" t="b">
        <f t="shared" si="80"/>
        <v>1</v>
      </c>
    </row>
    <row r="2187" spans="1:8" ht="21" x14ac:dyDescent="0.25">
      <c r="A2187" s="2" t="str">
        <f t="shared" ref="A2187:A2194" si="81">HYPERLINK("https://rth.dk/resources/bsgatlas/details.php?id=BSGatlas-operon-1158","BSGatlas-operon-1158")</f>
        <v>BSGatlas-operon-1158</v>
      </c>
      <c r="B2187" s="2" t="str">
        <f>HYPERLINK("https://rth.dk/resources/bsgatlas/details.php?id=BSGatlas-gene-2321","BSGatlas-gene-2321")</f>
        <v>BSGatlas-gene-2321</v>
      </c>
      <c r="C2187" s="1" t="s">
        <v>2178</v>
      </c>
      <c r="D2187" s="1" t="s">
        <v>8</v>
      </c>
      <c r="E2187" s="3">
        <v>2138868</v>
      </c>
      <c r="F2187" s="3">
        <v>2139092</v>
      </c>
      <c r="G2187" s="1" t="s">
        <v>13</v>
      </c>
      <c r="H2187" s="1" t="b">
        <f t="shared" si="80"/>
        <v>0</v>
      </c>
    </row>
    <row r="2188" spans="1:8" ht="21" x14ac:dyDescent="0.25">
      <c r="A2188" s="2" t="str">
        <f t="shared" si="81"/>
        <v>BSGatlas-operon-1158</v>
      </c>
      <c r="B2188" s="2" t="str">
        <f>HYPERLINK("https://rth.dk/resources/bsgatlas/details.php?id=BSGatlas-gene-2322","BSGatlas-gene-2322")</f>
        <v>BSGatlas-gene-2322</v>
      </c>
      <c r="C2188" s="1" t="s">
        <v>2179</v>
      </c>
      <c r="D2188" s="1" t="s">
        <v>8</v>
      </c>
      <c r="E2188" s="3">
        <v>2139179</v>
      </c>
      <c r="F2188" s="3">
        <v>2139457</v>
      </c>
      <c r="G2188" s="1" t="s">
        <v>13</v>
      </c>
      <c r="H2188" s="1" t="b">
        <f t="shared" si="80"/>
        <v>0</v>
      </c>
    </row>
    <row r="2189" spans="1:8" ht="21" x14ac:dyDescent="0.25">
      <c r="A2189" s="2" t="str">
        <f t="shared" si="81"/>
        <v>BSGatlas-operon-1158</v>
      </c>
      <c r="B2189" s="2" t="str">
        <f>HYPERLINK("https://rth.dk/resources/bsgatlas/details.php?id=BSGatlas-gene-2323","BSGatlas-gene-2323")</f>
        <v>BSGatlas-gene-2323</v>
      </c>
      <c r="C2189" s="1" t="s">
        <v>2180</v>
      </c>
      <c r="D2189" s="1" t="s">
        <v>8</v>
      </c>
      <c r="E2189" s="3">
        <v>2139454</v>
      </c>
      <c r="F2189" s="3">
        <v>2140869</v>
      </c>
      <c r="G2189" s="1" t="s">
        <v>13</v>
      </c>
      <c r="H2189" s="1" t="b">
        <f t="shared" si="80"/>
        <v>0</v>
      </c>
    </row>
    <row r="2190" spans="1:8" ht="21" x14ac:dyDescent="0.25">
      <c r="A2190" s="2" t="str">
        <f t="shared" si="81"/>
        <v>BSGatlas-operon-1158</v>
      </c>
      <c r="B2190" s="2" t="str">
        <f>HYPERLINK("https://rth.dk/resources/bsgatlas/details.php?id=BSGatlas-gene-2324","BSGatlas-gene-2324")</f>
        <v>BSGatlas-gene-2324</v>
      </c>
      <c r="C2190" s="1" t="s">
        <v>2181</v>
      </c>
      <c r="D2190" s="1" t="s">
        <v>8</v>
      </c>
      <c r="E2190" s="3">
        <v>2140898</v>
      </c>
      <c r="F2190" s="3">
        <v>2141725</v>
      </c>
      <c r="G2190" s="1" t="s">
        <v>13</v>
      </c>
      <c r="H2190" s="1" t="b">
        <f t="shared" si="80"/>
        <v>0</v>
      </c>
    </row>
    <row r="2191" spans="1:8" ht="21" x14ac:dyDescent="0.25">
      <c r="A2191" s="2" t="str">
        <f t="shared" si="81"/>
        <v>BSGatlas-operon-1158</v>
      </c>
      <c r="B2191" s="2" t="str">
        <f>HYPERLINK("https://rth.dk/resources/bsgatlas/details.php?id=BSGatlas-gene-2325","BSGatlas-gene-2325")</f>
        <v>BSGatlas-gene-2325</v>
      </c>
      <c r="C2191" s="1" t="s">
        <v>2182</v>
      </c>
      <c r="D2191" s="1" t="s">
        <v>8</v>
      </c>
      <c r="E2191" s="3">
        <v>2141703</v>
      </c>
      <c r="F2191" s="3">
        <v>2143013</v>
      </c>
      <c r="G2191" s="1" t="s">
        <v>13</v>
      </c>
      <c r="H2191" s="1" t="b">
        <f t="shared" si="80"/>
        <v>0</v>
      </c>
    </row>
    <row r="2192" spans="1:8" ht="21" x14ac:dyDescent="0.25">
      <c r="A2192" s="2" t="str">
        <f t="shared" si="81"/>
        <v>BSGatlas-operon-1158</v>
      </c>
      <c r="B2192" s="2" t="str">
        <f>HYPERLINK("https://rth.dk/resources/bsgatlas/details.php?id=BSGatlas-gene-2326","BSGatlas-gene-2326")</f>
        <v>BSGatlas-gene-2326</v>
      </c>
      <c r="C2192" s="1" t="s">
        <v>2183</v>
      </c>
      <c r="D2192" s="1" t="s">
        <v>8</v>
      </c>
      <c r="E2192" s="3">
        <v>2143022</v>
      </c>
      <c r="F2192" s="3">
        <v>2143675</v>
      </c>
      <c r="G2192" s="1" t="s">
        <v>13</v>
      </c>
      <c r="H2192" s="1" t="b">
        <f t="shared" si="80"/>
        <v>0</v>
      </c>
    </row>
    <row r="2193" spans="1:8" ht="21" x14ac:dyDescent="0.25">
      <c r="A2193" s="2" t="str">
        <f t="shared" si="81"/>
        <v>BSGatlas-operon-1158</v>
      </c>
      <c r="B2193" s="2" t="str">
        <f>HYPERLINK("https://rth.dk/resources/bsgatlas/details.php?id=BSGatlas-gene-2327","BSGatlas-gene-2327")</f>
        <v>BSGatlas-gene-2327</v>
      </c>
      <c r="C2193" s="1" t="s">
        <v>2184</v>
      </c>
      <c r="D2193" s="1" t="s">
        <v>8</v>
      </c>
      <c r="E2193" s="3">
        <v>2143660</v>
      </c>
      <c r="F2193" s="3">
        <v>2144349</v>
      </c>
      <c r="G2193" s="1" t="s">
        <v>13</v>
      </c>
      <c r="H2193" s="1" t="b">
        <f t="shared" si="80"/>
        <v>0</v>
      </c>
    </row>
    <row r="2194" spans="1:8" ht="21" x14ac:dyDescent="0.25">
      <c r="A2194" s="2" t="str">
        <f t="shared" si="81"/>
        <v>BSGatlas-operon-1158</v>
      </c>
      <c r="B2194" s="2" t="str">
        <f>HYPERLINK("https://rth.dk/resources/bsgatlas/details.php?id=BSGatlas-gene-2328","BSGatlas-gene-2328")</f>
        <v>BSGatlas-gene-2328</v>
      </c>
      <c r="C2194" s="1" t="s">
        <v>2185</v>
      </c>
      <c r="D2194" s="1" t="s">
        <v>8</v>
      </c>
      <c r="E2194" s="3">
        <v>2144356</v>
      </c>
      <c r="F2194" s="3">
        <v>2145690</v>
      </c>
      <c r="G2194" s="1" t="s">
        <v>13</v>
      </c>
      <c r="H2194" s="1" t="b">
        <f t="shared" si="80"/>
        <v>0</v>
      </c>
    </row>
    <row r="2195" spans="1:8" ht="21" x14ac:dyDescent="0.25">
      <c r="A2195" s="2" t="str">
        <f>HYPERLINK("https://rth.dk/resources/bsgatlas/details.php?id=BSGatlas-operon-1159","BSGatlas-operon-1159")</f>
        <v>BSGatlas-operon-1159</v>
      </c>
      <c r="B2195" s="2" t="str">
        <f>HYPERLINK("https://rth.dk/resources/bsgatlas/details.php?id=BSGatlas-gene-2331","BSGatlas-gene-2331")</f>
        <v>BSGatlas-gene-2331</v>
      </c>
      <c r="C2195" s="1" t="s">
        <v>2186</v>
      </c>
      <c r="D2195" s="1" t="s">
        <v>8</v>
      </c>
      <c r="E2195" s="3">
        <v>2145820</v>
      </c>
      <c r="F2195" s="3">
        <v>2145933</v>
      </c>
      <c r="G2195" s="1" t="s">
        <v>13</v>
      </c>
      <c r="H2195" s="1" t="b">
        <f t="shared" si="80"/>
        <v>1</v>
      </c>
    </row>
    <row r="2196" spans="1:8" ht="21" x14ac:dyDescent="0.25">
      <c r="A2196" s="2" t="str">
        <f>HYPERLINK("https://rth.dk/resources/bsgatlas/details.php?id=BSGatlas-operon-1159","BSGatlas-operon-1159")</f>
        <v>BSGatlas-operon-1159</v>
      </c>
      <c r="B2196" s="2" t="str">
        <f>HYPERLINK("https://rth.dk/resources/bsgatlas/details.php?id=BSGatlas-gene-2330","BSGatlas-gene-2330")</f>
        <v>BSGatlas-gene-2330</v>
      </c>
      <c r="C2196" s="1" t="s">
        <v>2186</v>
      </c>
      <c r="D2196" s="1" t="s">
        <v>8</v>
      </c>
      <c r="E2196" s="3">
        <v>2145820</v>
      </c>
      <c r="F2196" s="3">
        <v>2146053</v>
      </c>
      <c r="G2196" s="1" t="s">
        <v>13</v>
      </c>
      <c r="H2196" s="1" t="b">
        <f t="shared" si="80"/>
        <v>1</v>
      </c>
    </row>
    <row r="2197" spans="1:8" ht="21" x14ac:dyDescent="0.25">
      <c r="A2197" s="2" t="str">
        <f>HYPERLINK("https://rth.dk/resources/bsgatlas/details.php?id=BSGatlas-operon-1160","BSGatlas-operon-1160")</f>
        <v>BSGatlas-operon-1160</v>
      </c>
      <c r="B2197" s="2" t="str">
        <f>HYPERLINK("https://rth.dk/resources/bsgatlas/details.php?id=BSGatlas-gene-2332","BSGatlas-gene-2332")</f>
        <v>BSGatlas-gene-2332</v>
      </c>
      <c r="C2197" s="1" t="s">
        <v>2187</v>
      </c>
      <c r="D2197" s="1" t="s">
        <v>8</v>
      </c>
      <c r="E2197" s="3">
        <v>2146013</v>
      </c>
      <c r="F2197" s="3">
        <v>2146792</v>
      </c>
      <c r="G2197" s="1" t="s">
        <v>13</v>
      </c>
      <c r="H2197" s="1" t="b">
        <f t="shared" si="80"/>
        <v>0</v>
      </c>
    </row>
    <row r="2198" spans="1:8" ht="21" x14ac:dyDescent="0.25">
      <c r="A2198" s="2" t="str">
        <f>HYPERLINK("https://rth.dk/resources/bsgatlas/details.php?id=BSGatlas-operon-1160","BSGatlas-operon-1160")</f>
        <v>BSGatlas-operon-1160</v>
      </c>
      <c r="B2198" s="2" t="str">
        <f>HYPERLINK("https://rth.dk/resources/bsgatlas/details.php?id=BSGatlas-gene-2333","BSGatlas-gene-2333")</f>
        <v>BSGatlas-gene-2333</v>
      </c>
      <c r="C2198" s="1" t="s">
        <v>2188</v>
      </c>
      <c r="D2198" s="1" t="s">
        <v>8</v>
      </c>
      <c r="E2198" s="3">
        <v>2146821</v>
      </c>
      <c r="F2198" s="3">
        <v>2148101</v>
      </c>
      <c r="G2198" s="1" t="s">
        <v>13</v>
      </c>
      <c r="H2198" s="1" t="b">
        <f t="shared" si="80"/>
        <v>0</v>
      </c>
    </row>
    <row r="2199" spans="1:8" ht="21" x14ac:dyDescent="0.25">
      <c r="A2199" s="2" t="str">
        <f>HYPERLINK("https://rth.dk/resources/bsgatlas/details.php?id=BSGatlas-operon-1160","BSGatlas-operon-1160")</f>
        <v>BSGatlas-operon-1160</v>
      </c>
      <c r="B2199" s="2" t="str">
        <f>HYPERLINK("https://rth.dk/resources/bsgatlas/details.php?id=BSGatlas-gene-2334","BSGatlas-gene-2334")</f>
        <v>BSGatlas-gene-2334</v>
      </c>
      <c r="C2199" s="1" t="s">
        <v>2189</v>
      </c>
      <c r="D2199" s="1" t="s">
        <v>8</v>
      </c>
      <c r="E2199" s="3">
        <v>2148166</v>
      </c>
      <c r="F2199" s="3">
        <v>2148471</v>
      </c>
      <c r="G2199" s="1" t="s">
        <v>13</v>
      </c>
      <c r="H2199" s="1" t="b">
        <f t="shared" si="80"/>
        <v>0</v>
      </c>
    </row>
    <row r="2200" spans="1:8" ht="21" x14ac:dyDescent="0.25">
      <c r="A2200" s="2" t="str">
        <f>HYPERLINK("https://rth.dk/resources/bsgatlas/details.php?id=BSGatlas-operon-1161","BSGatlas-operon-1161")</f>
        <v>BSGatlas-operon-1161</v>
      </c>
      <c r="B2200" s="2" t="str">
        <f>HYPERLINK("https://rth.dk/resources/bsgatlas/details.php?id=BSGatlas-gene-2335","BSGatlas-gene-2335")</f>
        <v>BSGatlas-gene-2335</v>
      </c>
      <c r="C2200" s="1" t="s">
        <v>2190</v>
      </c>
      <c r="D2200" s="1" t="s">
        <v>8</v>
      </c>
      <c r="E2200" s="3">
        <v>2148676</v>
      </c>
      <c r="F2200" s="3">
        <v>2149077</v>
      </c>
      <c r="G2200" s="1" t="s">
        <v>9</v>
      </c>
      <c r="H2200" s="1" t="b">
        <f t="shared" si="80"/>
        <v>1</v>
      </c>
    </row>
    <row r="2201" spans="1:8" ht="21" x14ac:dyDescent="0.25">
      <c r="A2201" s="2" t="str">
        <f>HYPERLINK("https://rth.dk/resources/bsgatlas/details.php?id=BSGatlas-operon-1161","BSGatlas-operon-1161")</f>
        <v>BSGatlas-operon-1161</v>
      </c>
      <c r="B2201" s="2" t="str">
        <f>HYPERLINK("https://rth.dk/resources/bsgatlas/details.php?id=BSGatlas-gene-2336","BSGatlas-gene-2336")</f>
        <v>BSGatlas-gene-2336</v>
      </c>
      <c r="C2201" s="1" t="s">
        <v>2191</v>
      </c>
      <c r="D2201" s="1" t="s">
        <v>8</v>
      </c>
      <c r="E2201" s="3">
        <v>2149084</v>
      </c>
      <c r="F2201" s="3">
        <v>2150037</v>
      </c>
      <c r="G2201" s="1" t="s">
        <v>9</v>
      </c>
      <c r="H2201" s="1" t="b">
        <f t="shared" si="80"/>
        <v>1</v>
      </c>
    </row>
    <row r="2202" spans="1:8" ht="21" x14ac:dyDescent="0.25">
      <c r="A2202" s="2" t="str">
        <f>HYPERLINK("https://rth.dk/resources/bsgatlas/details.php?id=BSGatlas-operon-1162","BSGatlas-operon-1162")</f>
        <v>BSGatlas-operon-1162</v>
      </c>
      <c r="B2202" s="2" t="str">
        <f>HYPERLINK("https://rth.dk/resources/bsgatlas/details.php?id=BSGatlas-gene-2337","BSGatlas-gene-2337")</f>
        <v>BSGatlas-gene-2337</v>
      </c>
      <c r="C2202" s="1" t="s">
        <v>2192</v>
      </c>
      <c r="D2202" s="1" t="s">
        <v>8</v>
      </c>
      <c r="E2202" s="3">
        <v>2150108</v>
      </c>
      <c r="F2202" s="3">
        <v>2151256</v>
      </c>
      <c r="G2202" s="1" t="s">
        <v>13</v>
      </c>
      <c r="H2202" s="1" t="b">
        <f t="shared" si="80"/>
        <v>0</v>
      </c>
    </row>
    <row r="2203" spans="1:8" ht="21" x14ac:dyDescent="0.25">
      <c r="A2203" s="2" t="str">
        <f>HYPERLINK("https://rth.dk/resources/bsgatlas/details.php?id=BSGatlas-operon-1163","BSGatlas-operon-1163")</f>
        <v>BSGatlas-operon-1163</v>
      </c>
      <c r="B2203" s="2" t="str">
        <f>HYPERLINK("https://rth.dk/resources/bsgatlas/details.php?id=BSGatlas-gene-2338","BSGatlas-gene-2338")</f>
        <v>BSGatlas-gene-2338</v>
      </c>
      <c r="C2203" s="1" t="s">
        <v>2193</v>
      </c>
      <c r="D2203" s="1" t="s">
        <v>276</v>
      </c>
      <c r="E2203" s="3">
        <v>2151626</v>
      </c>
      <c r="F2203" s="3">
        <v>2152045</v>
      </c>
      <c r="G2203" s="1" t="s">
        <v>9</v>
      </c>
      <c r="H2203" s="1" t="b">
        <f t="shared" si="80"/>
        <v>1</v>
      </c>
    </row>
    <row r="2204" spans="1:8" ht="21" x14ac:dyDescent="0.25">
      <c r="A2204" s="2" t="str">
        <f t="shared" ref="A2204:A2216" si="82">HYPERLINK("https://rth.dk/resources/bsgatlas/details.php?id=BSGatlas-operon-1164","BSGatlas-operon-1164")</f>
        <v>BSGatlas-operon-1164</v>
      </c>
      <c r="B2204" s="2" t="str">
        <f>HYPERLINK("https://rth.dk/resources/bsgatlas/details.php?id=BSGatlas-gene-2339","BSGatlas-gene-2339")</f>
        <v>BSGatlas-gene-2339</v>
      </c>
      <c r="C2204" s="1" t="s">
        <v>2194</v>
      </c>
      <c r="D2204" s="1" t="s">
        <v>8</v>
      </c>
      <c r="E2204" s="3">
        <v>2152086</v>
      </c>
      <c r="F2204" s="3">
        <v>2152262</v>
      </c>
      <c r="G2204" s="1" t="s">
        <v>13</v>
      </c>
      <c r="H2204" s="1" t="b">
        <f t="shared" si="80"/>
        <v>0</v>
      </c>
    </row>
    <row r="2205" spans="1:8" ht="21" x14ac:dyDescent="0.25">
      <c r="A2205" s="2" t="str">
        <f t="shared" si="82"/>
        <v>BSGatlas-operon-1164</v>
      </c>
      <c r="B2205" s="2" t="str">
        <f>HYPERLINK("https://rth.dk/resources/bsgatlas/details.php?id=BSGatlas-gene-2340","BSGatlas-gene-2340")</f>
        <v>BSGatlas-gene-2340</v>
      </c>
      <c r="C2205" s="1" t="s">
        <v>2195</v>
      </c>
      <c r="D2205" s="1" t="s">
        <v>8</v>
      </c>
      <c r="E2205" s="3">
        <v>2152265</v>
      </c>
      <c r="F2205" s="3">
        <v>2152852</v>
      </c>
      <c r="G2205" s="1" t="s">
        <v>13</v>
      </c>
      <c r="H2205" s="1" t="b">
        <f t="shared" si="80"/>
        <v>0</v>
      </c>
    </row>
    <row r="2206" spans="1:8" ht="21" x14ac:dyDescent="0.25">
      <c r="A2206" s="2" t="str">
        <f t="shared" si="82"/>
        <v>BSGatlas-operon-1164</v>
      </c>
      <c r="B2206" s="2" t="str">
        <f>HYPERLINK("https://rth.dk/resources/bsgatlas/details.php?id=BSGatlas-gene-2342","BSGatlas-gene-2342")</f>
        <v>BSGatlas-gene-2342</v>
      </c>
      <c r="C2206" s="1" t="s">
        <v>2196</v>
      </c>
      <c r="D2206" s="1" t="s">
        <v>8</v>
      </c>
      <c r="E2206" s="3">
        <v>2153171</v>
      </c>
      <c r="F2206" s="3">
        <v>2153356</v>
      </c>
      <c r="G2206" s="1" t="s">
        <v>13</v>
      </c>
      <c r="H2206" s="1" t="b">
        <f t="shared" si="80"/>
        <v>0</v>
      </c>
    </row>
    <row r="2207" spans="1:8" ht="21" x14ac:dyDescent="0.25">
      <c r="A2207" s="2" t="str">
        <f t="shared" si="82"/>
        <v>BSGatlas-operon-1164</v>
      </c>
      <c r="B2207" s="2" t="str">
        <f>HYPERLINK("https://rth.dk/resources/bsgatlas/details.php?id=BSGatlas-gene-2343","BSGatlas-gene-2343")</f>
        <v>BSGatlas-gene-2343</v>
      </c>
      <c r="C2207" s="1" t="s">
        <v>2197</v>
      </c>
      <c r="D2207" s="1" t="s">
        <v>8</v>
      </c>
      <c r="E2207" s="3">
        <v>2153440</v>
      </c>
      <c r="F2207" s="3">
        <v>2153652</v>
      </c>
      <c r="G2207" s="1" t="s">
        <v>13</v>
      </c>
      <c r="H2207" s="1" t="b">
        <f t="shared" si="80"/>
        <v>0</v>
      </c>
    </row>
    <row r="2208" spans="1:8" ht="21" x14ac:dyDescent="0.25">
      <c r="A2208" s="2" t="str">
        <f t="shared" si="82"/>
        <v>BSGatlas-operon-1164</v>
      </c>
      <c r="B2208" s="2" t="str">
        <f>HYPERLINK("https://rth.dk/resources/bsgatlas/details.php?id=BSGatlas-gene-2344","BSGatlas-gene-2344")</f>
        <v>BSGatlas-gene-2344</v>
      </c>
      <c r="C2208" s="1" t="s">
        <v>2198</v>
      </c>
      <c r="D2208" s="1" t="s">
        <v>8</v>
      </c>
      <c r="E2208" s="3">
        <v>2153718</v>
      </c>
      <c r="F2208" s="3">
        <v>2154080</v>
      </c>
      <c r="G2208" s="1" t="s">
        <v>13</v>
      </c>
      <c r="H2208" s="1" t="b">
        <f t="shared" si="80"/>
        <v>0</v>
      </c>
    </row>
    <row r="2209" spans="1:8" ht="21" x14ac:dyDescent="0.25">
      <c r="A2209" s="2" t="str">
        <f t="shared" si="82"/>
        <v>BSGatlas-operon-1164</v>
      </c>
      <c r="B2209" s="2" t="str">
        <f>HYPERLINK("https://rth.dk/resources/bsgatlas/details.php?id=BSGatlas-gene-2345","BSGatlas-gene-2345")</f>
        <v>BSGatlas-gene-2345</v>
      </c>
      <c r="C2209" s="1" t="s">
        <v>2199</v>
      </c>
      <c r="D2209" s="1" t="s">
        <v>8</v>
      </c>
      <c r="E2209" s="3">
        <v>2154077</v>
      </c>
      <c r="F2209" s="3">
        <v>2154250</v>
      </c>
      <c r="G2209" s="1" t="s">
        <v>13</v>
      </c>
      <c r="H2209" s="1" t="b">
        <f t="shared" si="80"/>
        <v>0</v>
      </c>
    </row>
    <row r="2210" spans="1:8" ht="21" x14ac:dyDescent="0.25">
      <c r="A2210" s="2" t="str">
        <f t="shared" si="82"/>
        <v>BSGatlas-operon-1164</v>
      </c>
      <c r="B2210" s="2" t="str">
        <f>HYPERLINK("https://rth.dk/resources/bsgatlas/details.php?id=BSGatlas-gene-2346","BSGatlas-gene-2346")</f>
        <v>BSGatlas-gene-2346</v>
      </c>
      <c r="C2210" s="1" t="s">
        <v>2200</v>
      </c>
      <c r="D2210" s="1" t="s">
        <v>8</v>
      </c>
      <c r="E2210" s="3">
        <v>2154266</v>
      </c>
      <c r="F2210" s="3">
        <v>2154583</v>
      </c>
      <c r="G2210" s="1" t="s">
        <v>13</v>
      </c>
      <c r="H2210" s="1" t="b">
        <f t="shared" si="80"/>
        <v>0</v>
      </c>
    </row>
    <row r="2211" spans="1:8" ht="21" x14ac:dyDescent="0.25">
      <c r="A2211" s="2" t="str">
        <f t="shared" si="82"/>
        <v>BSGatlas-operon-1164</v>
      </c>
      <c r="B2211" s="2" t="str">
        <f>HYPERLINK("https://rth.dk/resources/bsgatlas/details.php?id=BSGatlas-gene-2347","BSGatlas-gene-2347")</f>
        <v>BSGatlas-gene-2347</v>
      </c>
      <c r="C2211" s="1" t="s">
        <v>2201</v>
      </c>
      <c r="D2211" s="1" t="s">
        <v>8</v>
      </c>
      <c r="E2211" s="3">
        <v>2154596</v>
      </c>
      <c r="F2211" s="3">
        <v>2154673</v>
      </c>
      <c r="G2211" s="1" t="s">
        <v>13</v>
      </c>
      <c r="H2211" s="1" t="b">
        <f t="shared" si="80"/>
        <v>0</v>
      </c>
    </row>
    <row r="2212" spans="1:8" ht="21" x14ac:dyDescent="0.25">
      <c r="A2212" s="2" t="str">
        <f t="shared" si="82"/>
        <v>BSGatlas-operon-1164</v>
      </c>
      <c r="B2212" s="2" t="str">
        <f>HYPERLINK("https://rth.dk/resources/bsgatlas/details.php?id=BSGatlas-gene-2348","BSGatlas-gene-2348")</f>
        <v>BSGatlas-gene-2348</v>
      </c>
      <c r="C2212" s="1" t="s">
        <v>2202</v>
      </c>
      <c r="D2212" s="1" t="s">
        <v>8</v>
      </c>
      <c r="E2212" s="3">
        <v>2154705</v>
      </c>
      <c r="F2212" s="3">
        <v>2154851</v>
      </c>
      <c r="G2212" s="1" t="s">
        <v>13</v>
      </c>
      <c r="H2212" s="1" t="b">
        <f t="shared" si="80"/>
        <v>0</v>
      </c>
    </row>
    <row r="2213" spans="1:8" ht="21" x14ac:dyDescent="0.25">
      <c r="A2213" s="2" t="str">
        <f t="shared" si="82"/>
        <v>BSGatlas-operon-1164</v>
      </c>
      <c r="B2213" s="2" t="str">
        <f>HYPERLINK("https://rth.dk/resources/bsgatlas/details.php?id=BSGatlas-gene-2350","BSGatlas-gene-2350")</f>
        <v>BSGatlas-gene-2350</v>
      </c>
      <c r="C2213" s="1" t="s">
        <v>2203</v>
      </c>
      <c r="D2213" s="1" t="s">
        <v>8</v>
      </c>
      <c r="E2213" s="3">
        <v>2154887</v>
      </c>
      <c r="F2213" s="3">
        <v>2155018</v>
      </c>
      <c r="G2213" s="1" t="s">
        <v>13</v>
      </c>
      <c r="H2213" s="1" t="b">
        <f t="shared" si="80"/>
        <v>0</v>
      </c>
    </row>
    <row r="2214" spans="1:8" ht="21" x14ac:dyDescent="0.25">
      <c r="A2214" s="2" t="str">
        <f t="shared" si="82"/>
        <v>BSGatlas-operon-1164</v>
      </c>
      <c r="B2214" s="2" t="str">
        <f>HYPERLINK("https://rth.dk/resources/bsgatlas/details.php?id=BSGatlas-gene-2351","BSGatlas-gene-2351")</f>
        <v>BSGatlas-gene-2351</v>
      </c>
      <c r="C2214" s="1" t="s">
        <v>2204</v>
      </c>
      <c r="D2214" s="1" t="s">
        <v>8</v>
      </c>
      <c r="E2214" s="3">
        <v>2155058</v>
      </c>
      <c r="F2214" s="3">
        <v>2155249</v>
      </c>
      <c r="G2214" s="1" t="s">
        <v>13</v>
      </c>
      <c r="H2214" s="1" t="b">
        <f t="shared" si="80"/>
        <v>0</v>
      </c>
    </row>
    <row r="2215" spans="1:8" ht="21" x14ac:dyDescent="0.25">
      <c r="A2215" s="2" t="str">
        <f t="shared" si="82"/>
        <v>BSGatlas-operon-1164</v>
      </c>
      <c r="B2215" s="2" t="str">
        <f>HYPERLINK("https://rth.dk/resources/bsgatlas/details.php?id=BSGatlas-gene-2352","BSGatlas-gene-2352")</f>
        <v>BSGatlas-gene-2352</v>
      </c>
      <c r="C2215" s="1" t="s">
        <v>2205</v>
      </c>
      <c r="D2215" s="1" t="s">
        <v>8</v>
      </c>
      <c r="E2215" s="3">
        <v>2155293</v>
      </c>
      <c r="F2215" s="3">
        <v>2156120</v>
      </c>
      <c r="G2215" s="1" t="s">
        <v>13</v>
      </c>
      <c r="H2215" s="1" t="b">
        <f t="shared" si="80"/>
        <v>0</v>
      </c>
    </row>
    <row r="2216" spans="1:8" ht="21" x14ac:dyDescent="0.25">
      <c r="A2216" s="2" t="str">
        <f t="shared" si="82"/>
        <v>BSGatlas-operon-1164</v>
      </c>
      <c r="B2216" s="2" t="str">
        <f>HYPERLINK("https://rth.dk/resources/bsgatlas/details.php?id=BSGatlas-gene-2354","BSGatlas-gene-2354")</f>
        <v>BSGatlas-gene-2354</v>
      </c>
      <c r="C2216" s="1" t="s">
        <v>2206</v>
      </c>
      <c r="D2216" s="1" t="s">
        <v>8</v>
      </c>
      <c r="E2216" s="3">
        <v>2156757</v>
      </c>
      <c r="F2216" s="3">
        <v>2157110</v>
      </c>
      <c r="G2216" s="1" t="s">
        <v>13</v>
      </c>
      <c r="H2216" s="1" t="b">
        <f t="shared" si="80"/>
        <v>0</v>
      </c>
    </row>
    <row r="2217" spans="1:8" ht="21" x14ac:dyDescent="0.25">
      <c r="A2217" s="2" t="str">
        <f>HYPERLINK("https://rth.dk/resources/bsgatlas/details.php?id=BSGatlas-operon-1165","BSGatlas-operon-1165")</f>
        <v>BSGatlas-operon-1165</v>
      </c>
      <c r="B2217" s="2" t="str">
        <f>HYPERLINK("https://rth.dk/resources/bsgatlas/details.php?id=BSGatlas-gene-2341","BSGatlas-gene-2341")</f>
        <v>BSGatlas-gene-2341</v>
      </c>
      <c r="C2217" s="1" t="s">
        <v>2207</v>
      </c>
      <c r="D2217" s="1" t="s">
        <v>8</v>
      </c>
      <c r="E2217" s="3">
        <v>2152927</v>
      </c>
      <c r="F2217" s="3">
        <v>2153169</v>
      </c>
      <c r="G2217" s="1" t="s">
        <v>9</v>
      </c>
      <c r="H2217" s="1" t="b">
        <f t="shared" si="80"/>
        <v>1</v>
      </c>
    </row>
    <row r="2218" spans="1:8" ht="21" x14ac:dyDescent="0.25">
      <c r="A2218" s="2" t="str">
        <f>HYPERLINK("https://rth.dk/resources/bsgatlas/details.php?id=BSGatlas-operon-1166","BSGatlas-operon-1166")</f>
        <v>BSGatlas-operon-1166</v>
      </c>
      <c r="B2218" s="2" t="str">
        <f>HYPERLINK("https://rth.dk/resources/bsgatlas/details.php?id=BSGatlas-gene-2353","BSGatlas-gene-2353")</f>
        <v>BSGatlas-gene-2353</v>
      </c>
      <c r="C2218" s="1" t="s">
        <v>2208</v>
      </c>
      <c r="D2218" s="1" t="s">
        <v>8</v>
      </c>
      <c r="E2218" s="3">
        <v>2156239</v>
      </c>
      <c r="F2218" s="3">
        <v>2156457</v>
      </c>
      <c r="G2218" s="1" t="s">
        <v>9</v>
      </c>
      <c r="H2218" s="1" t="b">
        <f t="shared" si="80"/>
        <v>0</v>
      </c>
    </row>
    <row r="2219" spans="1:8" ht="21" x14ac:dyDescent="0.25">
      <c r="A2219" s="2" t="str">
        <f>HYPERLINK("https://rth.dk/resources/bsgatlas/details.php?id=BSGatlas-operon-1167","BSGatlas-operon-1167")</f>
        <v>BSGatlas-operon-1167</v>
      </c>
      <c r="B2219" s="2" t="str">
        <f>HYPERLINK("https://rth.dk/resources/bsgatlas/details.php?id=BSGatlas-gene-2358","BSGatlas-gene-2358")</f>
        <v>BSGatlas-gene-2358</v>
      </c>
      <c r="C2219" s="1" t="s">
        <v>2209</v>
      </c>
      <c r="D2219" s="1" t="s">
        <v>8</v>
      </c>
      <c r="E2219" s="3">
        <v>2158439</v>
      </c>
      <c r="F2219" s="3">
        <v>2158684</v>
      </c>
      <c r="G2219" s="1" t="s">
        <v>9</v>
      </c>
      <c r="H2219" s="1" t="b">
        <f t="shared" si="80"/>
        <v>1</v>
      </c>
    </row>
    <row r="2220" spans="1:8" ht="21" x14ac:dyDescent="0.25">
      <c r="A2220" s="2" t="str">
        <f>HYPERLINK("https://rth.dk/resources/bsgatlas/details.php?id=BSGatlas-operon-1168","BSGatlas-operon-1168")</f>
        <v>BSGatlas-operon-1168</v>
      </c>
      <c r="B2220" s="2" t="str">
        <f>HYPERLINK("https://rth.dk/resources/bsgatlas/details.php?id=BSGatlas-gene-2359","BSGatlas-gene-2359")</f>
        <v>BSGatlas-gene-2359</v>
      </c>
      <c r="C2220" s="1" t="s">
        <v>2210</v>
      </c>
      <c r="D2220" s="1" t="s">
        <v>8</v>
      </c>
      <c r="E2220" s="3">
        <v>2158724</v>
      </c>
      <c r="F2220" s="3">
        <v>2159173</v>
      </c>
      <c r="G2220" s="1" t="s">
        <v>13</v>
      </c>
      <c r="H2220" s="1" t="b">
        <f t="shared" si="80"/>
        <v>0</v>
      </c>
    </row>
    <row r="2221" spans="1:8" ht="21" x14ac:dyDescent="0.25">
      <c r="A2221" s="2" t="str">
        <f>HYPERLINK("https://rth.dk/resources/bsgatlas/details.php?id=BSGatlas-operon-1169","BSGatlas-operon-1169")</f>
        <v>BSGatlas-operon-1169</v>
      </c>
      <c r="B2221" s="2" t="str">
        <f>HYPERLINK("https://rth.dk/resources/bsgatlas/details.php?id=BSGatlas-gene-2362","BSGatlas-gene-2362")</f>
        <v>BSGatlas-gene-2362</v>
      </c>
      <c r="C2221" s="1" t="s">
        <v>2211</v>
      </c>
      <c r="D2221" s="1" t="s">
        <v>8</v>
      </c>
      <c r="E2221" s="3">
        <v>2159981</v>
      </c>
      <c r="F2221" s="3">
        <v>2161778</v>
      </c>
      <c r="G2221" s="1" t="s">
        <v>13</v>
      </c>
      <c r="H2221" s="1" t="b">
        <f t="shared" si="80"/>
        <v>1</v>
      </c>
    </row>
    <row r="2222" spans="1:8" ht="21" x14ac:dyDescent="0.25">
      <c r="A2222" s="2" t="str">
        <f>HYPERLINK("https://rth.dk/resources/bsgatlas/details.php?id=BSGatlas-operon-1170","BSGatlas-operon-1170")</f>
        <v>BSGatlas-operon-1170</v>
      </c>
      <c r="B2222" s="2" t="str">
        <f>HYPERLINK("https://rth.dk/resources/bsgatlas/details.php?id=BSGatlas-gene-2366","BSGatlas-gene-2366")</f>
        <v>BSGatlas-gene-2366</v>
      </c>
      <c r="C2222" s="1" t="s">
        <v>2212</v>
      </c>
      <c r="D2222" s="1" t="s">
        <v>8</v>
      </c>
      <c r="E2222" s="3">
        <v>2162108</v>
      </c>
      <c r="F2222" s="3">
        <v>2165614</v>
      </c>
      <c r="G2222" s="1" t="s">
        <v>13</v>
      </c>
      <c r="H2222" s="1" t="b">
        <f t="shared" si="80"/>
        <v>0</v>
      </c>
    </row>
    <row r="2223" spans="1:8" ht="21" x14ac:dyDescent="0.25">
      <c r="A2223" s="2" t="str">
        <f>HYPERLINK("https://rth.dk/resources/bsgatlas/details.php?id=BSGatlas-operon-1171","BSGatlas-operon-1171")</f>
        <v>BSGatlas-operon-1171</v>
      </c>
      <c r="B2223" s="2" t="str">
        <f>HYPERLINK("https://rth.dk/resources/bsgatlas/details.php?id=BSGatlas-gene-2368","BSGatlas-gene-2368")</f>
        <v>BSGatlas-gene-2368</v>
      </c>
      <c r="C2223" s="1" t="s">
        <v>2213</v>
      </c>
      <c r="D2223" s="1" t="s">
        <v>2214</v>
      </c>
      <c r="E2223" s="3">
        <v>2164643</v>
      </c>
      <c r="F2223" s="3">
        <v>2164904</v>
      </c>
      <c r="G2223" s="1" t="s">
        <v>13</v>
      </c>
      <c r="H2223" s="1" t="b">
        <f t="shared" si="80"/>
        <v>1</v>
      </c>
    </row>
    <row r="2224" spans="1:8" ht="21" x14ac:dyDescent="0.25">
      <c r="A2224" s="2" t="str">
        <f>HYPERLINK("https://rth.dk/resources/bsgatlas/details.php?id=BSGatlas-operon-1172","BSGatlas-operon-1172")</f>
        <v>BSGatlas-operon-1172</v>
      </c>
      <c r="B2224" s="2" t="str">
        <f>HYPERLINK("https://rth.dk/resources/bsgatlas/details.php?id=BSGatlas-gene-2369","BSGatlas-gene-2369")</f>
        <v>BSGatlas-gene-2369</v>
      </c>
      <c r="C2224" s="1" t="s">
        <v>2215</v>
      </c>
      <c r="D2224" s="1" t="s">
        <v>8</v>
      </c>
      <c r="E2224" s="3">
        <v>2165577</v>
      </c>
      <c r="F2224" s="3">
        <v>2165972</v>
      </c>
      <c r="G2224" s="1" t="s">
        <v>13</v>
      </c>
      <c r="H2224" s="1" t="b">
        <f t="shared" si="80"/>
        <v>0</v>
      </c>
    </row>
    <row r="2225" spans="1:8" ht="21" x14ac:dyDescent="0.25">
      <c r="A2225" s="2" t="str">
        <f>HYPERLINK("https://rth.dk/resources/bsgatlas/details.php?id=BSGatlas-operon-1173","BSGatlas-operon-1173")</f>
        <v>BSGatlas-operon-1173</v>
      </c>
      <c r="B2225" s="2" t="str">
        <f>HYPERLINK("https://rth.dk/resources/bsgatlas/details.php?id=BSGatlas-gene-2381","BSGatlas-gene-2381")</f>
        <v>BSGatlas-gene-2381</v>
      </c>
      <c r="C2225" s="1" t="s">
        <v>2216</v>
      </c>
      <c r="D2225" s="1" t="s">
        <v>8</v>
      </c>
      <c r="E2225" s="3">
        <v>2169807</v>
      </c>
      <c r="F2225" s="3">
        <v>2169926</v>
      </c>
      <c r="G2225" s="1" t="s">
        <v>9</v>
      </c>
      <c r="H2225" s="1" t="b">
        <f t="shared" si="80"/>
        <v>1</v>
      </c>
    </row>
    <row r="2226" spans="1:8" ht="21" x14ac:dyDescent="0.25">
      <c r="A2226" s="2" t="str">
        <f>HYPERLINK("https://rth.dk/resources/bsgatlas/details.php?id=BSGatlas-operon-1174","BSGatlas-operon-1174")</f>
        <v>BSGatlas-operon-1174</v>
      </c>
      <c r="B2226" s="2" t="str">
        <f>HYPERLINK("https://rth.dk/resources/bsgatlas/details.php?id=BSGatlas-gene-2386","BSGatlas-gene-2386")</f>
        <v>BSGatlas-gene-2386</v>
      </c>
      <c r="C2226" s="1" t="s">
        <v>2217</v>
      </c>
      <c r="D2226" s="1" t="s">
        <v>8</v>
      </c>
      <c r="E2226" s="3">
        <v>2171139</v>
      </c>
      <c r="F2226" s="3">
        <v>2171357</v>
      </c>
      <c r="G2226" s="1" t="s">
        <v>13</v>
      </c>
      <c r="H2226" s="1" t="b">
        <f t="shared" si="80"/>
        <v>0</v>
      </c>
    </row>
    <row r="2227" spans="1:8" ht="21" x14ac:dyDescent="0.25">
      <c r="A2227" s="2" t="str">
        <f>HYPERLINK("https://rth.dk/resources/bsgatlas/details.php?id=BSGatlas-operon-1175","BSGatlas-operon-1175")</f>
        <v>BSGatlas-operon-1175</v>
      </c>
      <c r="B2227" s="2" t="str">
        <f>HYPERLINK("https://rth.dk/resources/bsgatlas/details.php?id=BSGatlas-gene-2394","BSGatlas-gene-2394")</f>
        <v>BSGatlas-gene-2394</v>
      </c>
      <c r="C2227" s="1" t="s">
        <v>2218</v>
      </c>
      <c r="D2227" s="1" t="s">
        <v>8</v>
      </c>
      <c r="E2227" s="3">
        <v>2174585</v>
      </c>
      <c r="F2227" s="3">
        <v>2174734</v>
      </c>
      <c r="G2227" s="1" t="s">
        <v>13</v>
      </c>
      <c r="H2227" s="1" t="b">
        <f t="shared" si="80"/>
        <v>1</v>
      </c>
    </row>
    <row r="2228" spans="1:8" ht="21" x14ac:dyDescent="0.25">
      <c r="A2228" s="2" t="str">
        <f>HYPERLINK("https://rth.dk/resources/bsgatlas/details.php?id=BSGatlas-operon-1176","BSGatlas-operon-1176")</f>
        <v>BSGatlas-operon-1176</v>
      </c>
      <c r="B2228" s="2" t="str">
        <f>HYPERLINK("https://rth.dk/resources/bsgatlas/details.php?id=BSGatlas-gene-2395","BSGatlas-gene-2395")</f>
        <v>BSGatlas-gene-2395</v>
      </c>
      <c r="C2228" s="1" t="s">
        <v>2219</v>
      </c>
      <c r="D2228" s="1" t="s">
        <v>8</v>
      </c>
      <c r="E2228" s="3">
        <v>2174852</v>
      </c>
      <c r="F2228" s="3">
        <v>2175568</v>
      </c>
      <c r="G2228" s="1" t="s">
        <v>13</v>
      </c>
      <c r="H2228" s="1" t="b">
        <f t="shared" si="80"/>
        <v>0</v>
      </c>
    </row>
    <row r="2229" spans="1:8" ht="21" x14ac:dyDescent="0.25">
      <c r="A2229" s="2" t="str">
        <f>HYPERLINK("https://rth.dk/resources/bsgatlas/details.php?id=BSGatlas-operon-1177","BSGatlas-operon-1177")</f>
        <v>BSGatlas-operon-1177</v>
      </c>
      <c r="B2229" s="2" t="str">
        <f>HYPERLINK("https://rth.dk/resources/bsgatlas/details.php?id=BSGatlas-gene-2404","BSGatlas-gene-2404")</f>
        <v>BSGatlas-gene-2404</v>
      </c>
      <c r="C2229" s="1" t="s">
        <v>2220</v>
      </c>
      <c r="D2229" s="1" t="s">
        <v>8</v>
      </c>
      <c r="E2229" s="3">
        <v>2186985</v>
      </c>
      <c r="F2229" s="3">
        <v>2187299</v>
      </c>
      <c r="G2229" s="1" t="s">
        <v>13</v>
      </c>
      <c r="H2229" s="1" t="b">
        <f t="shared" si="80"/>
        <v>1</v>
      </c>
    </row>
    <row r="2230" spans="1:8" ht="21" x14ac:dyDescent="0.25">
      <c r="A2230" s="2" t="str">
        <f>HYPERLINK("https://rth.dk/resources/bsgatlas/details.php?id=BSGatlas-operon-1178","BSGatlas-operon-1178")</f>
        <v>BSGatlas-operon-1178</v>
      </c>
      <c r="B2230" s="2" t="str">
        <f>HYPERLINK("https://rth.dk/resources/bsgatlas/details.php?id=BSGatlas-gene-2405","BSGatlas-gene-2405")</f>
        <v>BSGatlas-gene-2405</v>
      </c>
      <c r="C2230" s="1" t="s">
        <v>2221</v>
      </c>
      <c r="D2230" s="1" t="s">
        <v>8</v>
      </c>
      <c r="E2230" s="3">
        <v>2187376</v>
      </c>
      <c r="F2230" s="3">
        <v>2187756</v>
      </c>
      <c r="G2230" s="1" t="s">
        <v>13</v>
      </c>
      <c r="H2230" s="1" t="b">
        <f t="shared" si="80"/>
        <v>0</v>
      </c>
    </row>
    <row r="2231" spans="1:8" ht="21" x14ac:dyDescent="0.25">
      <c r="A2231" s="2" t="str">
        <f>HYPERLINK("https://rth.dk/resources/bsgatlas/details.php?id=BSGatlas-operon-1178","BSGatlas-operon-1178")</f>
        <v>BSGatlas-operon-1178</v>
      </c>
      <c r="B2231" s="2" t="str">
        <f>HYPERLINK("https://rth.dk/resources/bsgatlas/details.php?id=BSGatlas-gene-2406","BSGatlas-gene-2406")</f>
        <v>BSGatlas-gene-2406</v>
      </c>
      <c r="C2231" s="1" t="s">
        <v>2222</v>
      </c>
      <c r="D2231" s="1" t="s">
        <v>8</v>
      </c>
      <c r="E2231" s="3">
        <v>2187819</v>
      </c>
      <c r="F2231" s="3">
        <v>2188115</v>
      </c>
      <c r="G2231" s="1" t="s">
        <v>13</v>
      </c>
      <c r="H2231" s="1" t="b">
        <f t="shared" si="80"/>
        <v>0</v>
      </c>
    </row>
    <row r="2232" spans="1:8" ht="21" x14ac:dyDescent="0.25">
      <c r="A2232" s="2" t="str">
        <f>HYPERLINK("https://rth.dk/resources/bsgatlas/details.php?id=BSGatlas-operon-1179","BSGatlas-operon-1179")</f>
        <v>BSGatlas-operon-1179</v>
      </c>
      <c r="B2232" s="2" t="str">
        <f>HYPERLINK("https://rth.dk/resources/bsgatlas/details.php?id=BSGatlas-gene-2407","BSGatlas-gene-2407")</f>
        <v>BSGatlas-gene-2407</v>
      </c>
      <c r="C2232" s="1" t="s">
        <v>2223</v>
      </c>
      <c r="D2232" s="1" t="s">
        <v>8</v>
      </c>
      <c r="E2232" s="3">
        <v>2188204</v>
      </c>
      <c r="F2232" s="3">
        <v>2189964</v>
      </c>
      <c r="G2232" s="1" t="s">
        <v>13</v>
      </c>
      <c r="H2232" s="1" t="b">
        <f t="shared" si="80"/>
        <v>1</v>
      </c>
    </row>
    <row r="2233" spans="1:8" ht="21" x14ac:dyDescent="0.25">
      <c r="A2233" s="2" t="str">
        <f>HYPERLINK("https://rth.dk/resources/bsgatlas/details.php?id=BSGatlas-operon-1180","BSGatlas-operon-1180")</f>
        <v>BSGatlas-operon-1180</v>
      </c>
      <c r="B2233" s="2" t="str">
        <f>HYPERLINK("https://rth.dk/resources/bsgatlas/details.php?id=BSGatlas-gene-2408","BSGatlas-gene-2408")</f>
        <v>BSGatlas-gene-2408</v>
      </c>
      <c r="C2233" s="1" t="s">
        <v>2224</v>
      </c>
      <c r="D2233" s="1" t="s">
        <v>8</v>
      </c>
      <c r="E2233" s="3">
        <v>2189961</v>
      </c>
      <c r="F2233" s="3">
        <v>2190785</v>
      </c>
      <c r="G2233" s="1" t="s">
        <v>13</v>
      </c>
      <c r="H2233" s="1" t="b">
        <f t="shared" si="80"/>
        <v>0</v>
      </c>
    </row>
    <row r="2234" spans="1:8" ht="21" x14ac:dyDescent="0.25">
      <c r="A2234" s="2" t="str">
        <f>HYPERLINK("https://rth.dk/resources/bsgatlas/details.php?id=BSGatlas-operon-1181","BSGatlas-operon-1181")</f>
        <v>BSGatlas-operon-1181</v>
      </c>
      <c r="B2234" s="2" t="str">
        <f>HYPERLINK("https://rth.dk/resources/bsgatlas/details.php?id=BSGatlas-gene-2411","BSGatlas-gene-2411")</f>
        <v>BSGatlas-gene-2411</v>
      </c>
      <c r="C2234" s="1" t="s">
        <v>2225</v>
      </c>
      <c r="D2234" s="1" t="s">
        <v>8</v>
      </c>
      <c r="E2234" s="3">
        <v>2191626</v>
      </c>
      <c r="F2234" s="3">
        <v>2192300</v>
      </c>
      <c r="G2234" s="1" t="s">
        <v>9</v>
      </c>
      <c r="H2234" s="1" t="b">
        <f t="shared" si="80"/>
        <v>1</v>
      </c>
    </row>
    <row r="2235" spans="1:8" ht="21" x14ac:dyDescent="0.25">
      <c r="A2235" s="2" t="str">
        <f>HYPERLINK("https://rth.dk/resources/bsgatlas/details.php?id=BSGatlas-operon-1182","BSGatlas-operon-1182")</f>
        <v>BSGatlas-operon-1182</v>
      </c>
      <c r="B2235" s="2" t="str">
        <f>HYPERLINK("https://rth.dk/resources/bsgatlas/details.php?id=BSGatlas-gene-2409","BSGatlas-gene-2409")</f>
        <v>BSGatlas-gene-2409</v>
      </c>
      <c r="C2235" s="1" t="s">
        <v>2226</v>
      </c>
      <c r="D2235" s="1" t="s">
        <v>8</v>
      </c>
      <c r="E2235" s="3">
        <v>2190884</v>
      </c>
      <c r="F2235" s="3">
        <v>2191279</v>
      </c>
      <c r="G2235" s="1" t="s">
        <v>13</v>
      </c>
      <c r="H2235" s="1" t="b">
        <f t="shared" si="80"/>
        <v>0</v>
      </c>
    </row>
    <row r="2236" spans="1:8" ht="21" x14ac:dyDescent="0.25">
      <c r="A2236" s="2" t="str">
        <f>HYPERLINK("https://rth.dk/resources/bsgatlas/details.php?id=BSGatlas-operon-1183","BSGatlas-operon-1183")</f>
        <v>BSGatlas-operon-1183</v>
      </c>
      <c r="B2236" s="2" t="str">
        <f>HYPERLINK("https://rth.dk/resources/bsgatlas/details.php?id=BSGatlas-gene-2413","BSGatlas-gene-2413")</f>
        <v>BSGatlas-gene-2413</v>
      </c>
      <c r="C2236" s="1" t="s">
        <v>2227</v>
      </c>
      <c r="D2236" s="1" t="s">
        <v>8</v>
      </c>
      <c r="E2236" s="3">
        <v>2193248</v>
      </c>
      <c r="F2236" s="3">
        <v>2193661</v>
      </c>
      <c r="G2236" s="1" t="s">
        <v>13</v>
      </c>
      <c r="H2236" s="1" t="b">
        <f t="shared" si="80"/>
        <v>1</v>
      </c>
    </row>
    <row r="2237" spans="1:8" ht="21" x14ac:dyDescent="0.25">
      <c r="A2237" s="2" t="str">
        <f>HYPERLINK("https://rth.dk/resources/bsgatlas/details.php?id=BSGatlas-operon-1184","BSGatlas-operon-1184")</f>
        <v>BSGatlas-operon-1184</v>
      </c>
      <c r="B2237" s="2" t="str">
        <f>HYPERLINK("https://rth.dk/resources/bsgatlas/details.php?id=BSGatlas-gene-2414","BSGatlas-gene-2414")</f>
        <v>BSGatlas-gene-2414</v>
      </c>
      <c r="C2237" s="1" t="s">
        <v>2228</v>
      </c>
      <c r="D2237" s="1" t="s">
        <v>8</v>
      </c>
      <c r="E2237" s="3">
        <v>2193827</v>
      </c>
      <c r="F2237" s="3">
        <v>2193976</v>
      </c>
      <c r="G2237" s="1" t="s">
        <v>9</v>
      </c>
      <c r="H2237" s="1" t="b">
        <f t="shared" si="80"/>
        <v>0</v>
      </c>
    </row>
    <row r="2238" spans="1:8" ht="21" x14ac:dyDescent="0.25">
      <c r="A2238" s="2" t="str">
        <f>HYPERLINK("https://rth.dk/resources/bsgatlas/details.php?id=BSGatlas-operon-1185","BSGatlas-operon-1185")</f>
        <v>BSGatlas-operon-1185</v>
      </c>
      <c r="B2238" s="2" t="str">
        <f>HYPERLINK("https://rth.dk/resources/bsgatlas/details.php?id=BSGatlas-gene-2418","BSGatlas-gene-2418")</f>
        <v>BSGatlas-gene-2418</v>
      </c>
      <c r="C2238" s="1" t="s">
        <v>2229</v>
      </c>
      <c r="D2238" s="1" t="s">
        <v>8</v>
      </c>
      <c r="E2238" s="3">
        <v>2195173</v>
      </c>
      <c r="F2238" s="3">
        <v>2195547</v>
      </c>
      <c r="G2238" s="1" t="s">
        <v>9</v>
      </c>
      <c r="H2238" s="1" t="b">
        <f t="shared" si="80"/>
        <v>1</v>
      </c>
    </row>
    <row r="2239" spans="1:8" ht="21" x14ac:dyDescent="0.25">
      <c r="A2239" s="2" t="str">
        <f>HYPERLINK("https://rth.dk/resources/bsgatlas/details.php?id=BSGatlas-operon-1186","BSGatlas-operon-1186")</f>
        <v>BSGatlas-operon-1186</v>
      </c>
      <c r="B2239" s="2" t="str">
        <f>HYPERLINK("https://rth.dk/resources/bsgatlas/details.php?id=BSGatlas-gene-2419","BSGatlas-gene-2419")</f>
        <v>BSGatlas-gene-2419</v>
      </c>
      <c r="C2239" s="1" t="s">
        <v>2230</v>
      </c>
      <c r="D2239" s="1" t="s">
        <v>8</v>
      </c>
      <c r="E2239" s="3">
        <v>2195564</v>
      </c>
      <c r="F2239" s="3">
        <v>2195782</v>
      </c>
      <c r="G2239" s="1" t="s">
        <v>13</v>
      </c>
      <c r="H2239" s="1" t="b">
        <f t="shared" si="80"/>
        <v>0</v>
      </c>
    </row>
    <row r="2240" spans="1:8" ht="21" x14ac:dyDescent="0.25">
      <c r="A2240" s="2" t="str">
        <f>HYPERLINK("https://rth.dk/resources/bsgatlas/details.php?id=BSGatlas-operon-1187","BSGatlas-operon-1187")</f>
        <v>BSGatlas-operon-1187</v>
      </c>
      <c r="B2240" s="2" t="str">
        <f>HYPERLINK("https://rth.dk/resources/bsgatlas/details.php?id=BSGatlas-gene-2420","BSGatlas-gene-2420")</f>
        <v>BSGatlas-gene-2420</v>
      </c>
      <c r="C2240" s="1" t="s">
        <v>2231</v>
      </c>
      <c r="D2240" s="1" t="s">
        <v>8</v>
      </c>
      <c r="E2240" s="3">
        <v>2195986</v>
      </c>
      <c r="F2240" s="3">
        <v>2196264</v>
      </c>
      <c r="G2240" s="1" t="s">
        <v>9</v>
      </c>
      <c r="H2240" s="1" t="b">
        <f t="shared" si="80"/>
        <v>1</v>
      </c>
    </row>
    <row r="2241" spans="1:8" ht="21" x14ac:dyDescent="0.25">
      <c r="A2241" s="2" t="str">
        <f>HYPERLINK("https://rth.dk/resources/bsgatlas/details.php?id=BSGatlas-operon-1188","BSGatlas-operon-1188")</f>
        <v>BSGatlas-operon-1188</v>
      </c>
      <c r="B2241" s="2" t="str">
        <f>HYPERLINK("https://rth.dk/resources/bsgatlas/details.php?id=BSGatlas-gene-2439","BSGatlas-gene-2439")</f>
        <v>BSGatlas-gene-2439</v>
      </c>
      <c r="C2241" s="1" t="s">
        <v>2232</v>
      </c>
      <c r="D2241" s="1" t="s">
        <v>8</v>
      </c>
      <c r="E2241" s="3">
        <v>2203378</v>
      </c>
      <c r="F2241" s="3">
        <v>2203596</v>
      </c>
      <c r="G2241" s="1" t="s">
        <v>13</v>
      </c>
      <c r="H2241" s="1" t="b">
        <f t="shared" si="80"/>
        <v>0</v>
      </c>
    </row>
    <row r="2242" spans="1:8" ht="21" x14ac:dyDescent="0.25">
      <c r="A2242" s="2" t="str">
        <f>HYPERLINK("https://rth.dk/resources/bsgatlas/details.php?id=BSGatlas-operon-1189","BSGatlas-operon-1189")</f>
        <v>BSGatlas-operon-1189</v>
      </c>
      <c r="B2242" s="2" t="str">
        <f>HYPERLINK("https://rth.dk/resources/bsgatlas/details.php?id=BSGatlas-gene-2440","BSGatlas-gene-2440")</f>
        <v>BSGatlas-gene-2440</v>
      </c>
      <c r="C2242" s="1" t="s">
        <v>2233</v>
      </c>
      <c r="D2242" s="1" t="s">
        <v>8</v>
      </c>
      <c r="E2242" s="3">
        <v>2203779</v>
      </c>
      <c r="F2242" s="3">
        <v>2204003</v>
      </c>
      <c r="G2242" s="1" t="s">
        <v>9</v>
      </c>
      <c r="H2242" s="1" t="b">
        <f t="shared" ref="H2242:H2305" si="83">_xlfn.XOR(A2241&lt;&gt;A2242,H2241)</f>
        <v>1</v>
      </c>
    </row>
    <row r="2243" spans="1:8" ht="21" x14ac:dyDescent="0.25">
      <c r="A2243" s="2" t="str">
        <f t="shared" ref="A2243:A2248" si="84">HYPERLINK("https://rth.dk/resources/bsgatlas/details.php?id=BSGatlas-operon-1190","BSGatlas-operon-1190")</f>
        <v>BSGatlas-operon-1190</v>
      </c>
      <c r="B2243" s="2" t="str">
        <f>HYPERLINK("https://rth.dk/resources/bsgatlas/details.php?id=BSGatlas-gene-2441","BSGatlas-gene-2441")</f>
        <v>BSGatlas-gene-2441</v>
      </c>
      <c r="C2243" s="1" t="s">
        <v>2234</v>
      </c>
      <c r="D2243" s="1" t="s">
        <v>8</v>
      </c>
      <c r="E2243" s="3">
        <v>2204192</v>
      </c>
      <c r="F2243" s="3">
        <v>2205169</v>
      </c>
      <c r="G2243" s="1" t="s">
        <v>13</v>
      </c>
      <c r="H2243" s="1" t="b">
        <f t="shared" si="83"/>
        <v>0</v>
      </c>
    </row>
    <row r="2244" spans="1:8" ht="21" x14ac:dyDescent="0.25">
      <c r="A2244" s="2" t="str">
        <f t="shared" si="84"/>
        <v>BSGatlas-operon-1190</v>
      </c>
      <c r="B2244" s="2" t="str">
        <f>HYPERLINK("https://rth.dk/resources/bsgatlas/details.php?id=BSGatlas-gene-2442","BSGatlas-gene-2442")</f>
        <v>BSGatlas-gene-2442</v>
      </c>
      <c r="C2244" s="1" t="s">
        <v>2235</v>
      </c>
      <c r="D2244" s="1" t="s">
        <v>8</v>
      </c>
      <c r="E2244" s="3">
        <v>2205193</v>
      </c>
      <c r="F2244" s="3">
        <v>2206575</v>
      </c>
      <c r="G2244" s="1" t="s">
        <v>13</v>
      </c>
      <c r="H2244" s="1" t="b">
        <f t="shared" si="83"/>
        <v>0</v>
      </c>
    </row>
    <row r="2245" spans="1:8" ht="21" x14ac:dyDescent="0.25">
      <c r="A2245" s="2" t="str">
        <f t="shared" si="84"/>
        <v>BSGatlas-operon-1190</v>
      </c>
      <c r="B2245" s="2" t="str">
        <f>HYPERLINK("https://rth.dk/resources/bsgatlas/details.php?id=BSGatlas-gene-2443","BSGatlas-gene-2443")</f>
        <v>BSGatlas-gene-2443</v>
      </c>
      <c r="C2245" s="1" t="s">
        <v>2236</v>
      </c>
      <c r="D2245" s="1" t="s">
        <v>8</v>
      </c>
      <c r="E2245" s="3">
        <v>2206682</v>
      </c>
      <c r="F2245" s="3">
        <v>2207758</v>
      </c>
      <c r="G2245" s="1" t="s">
        <v>13</v>
      </c>
      <c r="H2245" s="1" t="b">
        <f t="shared" si="83"/>
        <v>0</v>
      </c>
    </row>
    <row r="2246" spans="1:8" ht="21" x14ac:dyDescent="0.25">
      <c r="A2246" s="2" t="str">
        <f t="shared" si="84"/>
        <v>BSGatlas-operon-1190</v>
      </c>
      <c r="B2246" s="2" t="str">
        <f>HYPERLINK("https://rth.dk/resources/bsgatlas/details.php?id=BSGatlas-gene-2444","BSGatlas-gene-2444")</f>
        <v>BSGatlas-gene-2444</v>
      </c>
      <c r="C2246" s="1" t="s">
        <v>2237</v>
      </c>
      <c r="D2246" s="1" t="s">
        <v>8</v>
      </c>
      <c r="E2246" s="3">
        <v>2207748</v>
      </c>
      <c r="F2246" s="3">
        <v>2207960</v>
      </c>
      <c r="G2246" s="1" t="s">
        <v>13</v>
      </c>
      <c r="H2246" s="1" t="b">
        <f t="shared" si="83"/>
        <v>0</v>
      </c>
    </row>
    <row r="2247" spans="1:8" ht="21" x14ac:dyDescent="0.25">
      <c r="A2247" s="2" t="str">
        <f t="shared" si="84"/>
        <v>BSGatlas-operon-1190</v>
      </c>
      <c r="B2247" s="2" t="str">
        <f>HYPERLINK("https://rth.dk/resources/bsgatlas/details.php?id=BSGatlas-gene-2445","BSGatlas-gene-2445")</f>
        <v>BSGatlas-gene-2445</v>
      </c>
      <c r="C2247" s="1" t="s">
        <v>2238</v>
      </c>
      <c r="D2247" s="1" t="s">
        <v>8</v>
      </c>
      <c r="E2247" s="3">
        <v>2208008</v>
      </c>
      <c r="F2247" s="3">
        <v>2208325</v>
      </c>
      <c r="G2247" s="1" t="s">
        <v>13</v>
      </c>
      <c r="H2247" s="1" t="b">
        <f t="shared" si="83"/>
        <v>0</v>
      </c>
    </row>
    <row r="2248" spans="1:8" ht="21" x14ac:dyDescent="0.25">
      <c r="A2248" s="2" t="str">
        <f t="shared" si="84"/>
        <v>BSGatlas-operon-1190</v>
      </c>
      <c r="B2248" s="2" t="str">
        <f>HYPERLINK("https://rth.dk/resources/bsgatlas/details.php?id=BSGatlas-gene-2446","BSGatlas-gene-2446")</f>
        <v>BSGatlas-gene-2446</v>
      </c>
      <c r="C2248" s="1" t="s">
        <v>2239</v>
      </c>
      <c r="D2248" s="1" t="s">
        <v>8</v>
      </c>
      <c r="E2248" s="3">
        <v>2208328</v>
      </c>
      <c r="F2248" s="3">
        <v>2208528</v>
      </c>
      <c r="G2248" s="1" t="s">
        <v>13</v>
      </c>
      <c r="H2248" s="1" t="b">
        <f t="shared" si="83"/>
        <v>0</v>
      </c>
    </row>
    <row r="2249" spans="1:8" ht="21" x14ac:dyDescent="0.25">
      <c r="A2249" s="2" t="str">
        <f>HYPERLINK("https://rth.dk/resources/bsgatlas/details.php?id=BSGatlas-operon-1191","BSGatlas-operon-1191")</f>
        <v>BSGatlas-operon-1191</v>
      </c>
      <c r="B2249" s="2" t="str">
        <f>HYPERLINK("https://rth.dk/resources/bsgatlas/details.php?id=BSGatlas-gene-2447","BSGatlas-gene-2447")</f>
        <v>BSGatlas-gene-2447</v>
      </c>
      <c r="C2249" s="1" t="s">
        <v>2240</v>
      </c>
      <c r="D2249" s="1" t="s">
        <v>12</v>
      </c>
      <c r="E2249" s="3">
        <v>2208373</v>
      </c>
      <c r="F2249" s="3">
        <v>2208745</v>
      </c>
      <c r="G2249" s="1" t="s">
        <v>9</v>
      </c>
      <c r="H2249" s="1" t="b">
        <f t="shared" si="83"/>
        <v>1</v>
      </c>
    </row>
    <row r="2250" spans="1:8" ht="21" x14ac:dyDescent="0.25">
      <c r="A2250" s="2" t="str">
        <f>HYPERLINK("https://rth.dk/resources/bsgatlas/details.php?id=BSGatlas-operon-1192","BSGatlas-operon-1192")</f>
        <v>BSGatlas-operon-1192</v>
      </c>
      <c r="B2250" s="2" t="str">
        <f>HYPERLINK("https://rth.dk/resources/bsgatlas/details.php?id=BSGatlas-gene-2448","BSGatlas-gene-2448")</f>
        <v>BSGatlas-gene-2448</v>
      </c>
      <c r="C2250" s="1" t="s">
        <v>2241</v>
      </c>
      <c r="D2250" s="1" t="s">
        <v>55</v>
      </c>
      <c r="E2250" s="3">
        <v>2208590</v>
      </c>
      <c r="F2250" s="3">
        <v>2208880</v>
      </c>
      <c r="G2250" s="1" t="s">
        <v>13</v>
      </c>
      <c r="H2250" s="1" t="b">
        <f t="shared" si="83"/>
        <v>0</v>
      </c>
    </row>
    <row r="2251" spans="1:8" ht="21" x14ac:dyDescent="0.25">
      <c r="A2251" s="2" t="str">
        <f>HYPERLINK("https://rth.dk/resources/bsgatlas/details.php?id=BSGatlas-operon-1193","BSGatlas-operon-1193")</f>
        <v>BSGatlas-operon-1193</v>
      </c>
      <c r="B2251" s="2" t="str">
        <f>HYPERLINK("https://rth.dk/resources/bsgatlas/details.php?id=BSGatlas-gene-2449","BSGatlas-gene-2449")</f>
        <v>BSGatlas-gene-2449</v>
      </c>
      <c r="C2251" s="1" t="s">
        <v>2242</v>
      </c>
      <c r="D2251" s="1" t="s">
        <v>8</v>
      </c>
      <c r="E2251" s="3">
        <v>2208855</v>
      </c>
      <c r="F2251" s="3">
        <v>2208980</v>
      </c>
      <c r="G2251" s="1" t="s">
        <v>13</v>
      </c>
      <c r="H2251" s="1" t="b">
        <f t="shared" si="83"/>
        <v>1</v>
      </c>
    </row>
    <row r="2252" spans="1:8" ht="21" x14ac:dyDescent="0.25">
      <c r="A2252" s="2" t="str">
        <f>HYPERLINK("https://rth.dk/resources/bsgatlas/details.php?id=BSGatlas-operon-1194","BSGatlas-operon-1194")</f>
        <v>BSGatlas-operon-1194</v>
      </c>
      <c r="B2252" s="2" t="str">
        <f>HYPERLINK("https://rth.dk/resources/bsgatlas/details.php?id=BSGatlas-gene-2450","BSGatlas-gene-2450")</f>
        <v>BSGatlas-gene-2450</v>
      </c>
      <c r="C2252" s="1" t="s">
        <v>2243</v>
      </c>
      <c r="D2252" s="1" t="s">
        <v>8</v>
      </c>
      <c r="E2252" s="3">
        <v>2208994</v>
      </c>
      <c r="F2252" s="3">
        <v>2210154</v>
      </c>
      <c r="G2252" s="1" t="s">
        <v>13</v>
      </c>
      <c r="H2252" s="1" t="b">
        <f t="shared" si="83"/>
        <v>0</v>
      </c>
    </row>
    <row r="2253" spans="1:8" ht="21" x14ac:dyDescent="0.25">
      <c r="A2253" s="2" t="str">
        <f>HYPERLINK("https://rth.dk/resources/bsgatlas/details.php?id=BSGatlas-operon-1195","BSGatlas-operon-1195")</f>
        <v>BSGatlas-operon-1195</v>
      </c>
      <c r="B2253" s="2" t="str">
        <f>HYPERLINK("https://rth.dk/resources/bsgatlas/details.php?id=BSGatlas-gene-2456","BSGatlas-gene-2456")</f>
        <v>BSGatlas-gene-2456</v>
      </c>
      <c r="C2253" s="1" t="s">
        <v>2244</v>
      </c>
      <c r="D2253" s="1" t="s">
        <v>8</v>
      </c>
      <c r="E2253" s="3">
        <v>2212245</v>
      </c>
      <c r="F2253" s="3">
        <v>2212496</v>
      </c>
      <c r="G2253" s="1" t="s">
        <v>13</v>
      </c>
      <c r="H2253" s="1" t="b">
        <f t="shared" si="83"/>
        <v>1</v>
      </c>
    </row>
    <row r="2254" spans="1:8" ht="21" x14ac:dyDescent="0.25">
      <c r="A2254" s="2" t="str">
        <f>HYPERLINK("https://rth.dk/resources/bsgatlas/details.php?id=BSGatlas-operon-1196","BSGatlas-operon-1196")</f>
        <v>BSGatlas-operon-1196</v>
      </c>
      <c r="B2254" s="2" t="str">
        <f>HYPERLINK("https://rth.dk/resources/bsgatlas/details.php?id=BSGatlas-gene-2457","BSGatlas-gene-2457")</f>
        <v>BSGatlas-gene-2457</v>
      </c>
      <c r="C2254" s="1" t="s">
        <v>2245</v>
      </c>
      <c r="D2254" s="1" t="s">
        <v>8</v>
      </c>
      <c r="E2254" s="3">
        <v>2212567</v>
      </c>
      <c r="F2254" s="3">
        <v>2212746</v>
      </c>
      <c r="G2254" s="1" t="s">
        <v>9</v>
      </c>
      <c r="H2254" s="1" t="b">
        <f t="shared" si="83"/>
        <v>0</v>
      </c>
    </row>
    <row r="2255" spans="1:8" ht="21" x14ac:dyDescent="0.25">
      <c r="A2255" s="2" t="str">
        <f>HYPERLINK("https://rth.dk/resources/bsgatlas/details.php?id=BSGatlas-operon-1197","BSGatlas-operon-1197")</f>
        <v>BSGatlas-operon-1197</v>
      </c>
      <c r="B2255" s="2" t="str">
        <f>HYPERLINK("https://rth.dk/resources/bsgatlas/details.php?id=BSGatlas-gene-2458","BSGatlas-gene-2458")</f>
        <v>BSGatlas-gene-2458</v>
      </c>
      <c r="C2255" s="1" t="s">
        <v>2246</v>
      </c>
      <c r="D2255" s="1" t="s">
        <v>8</v>
      </c>
      <c r="E2255" s="3">
        <v>2212848</v>
      </c>
      <c r="F2255" s="3">
        <v>2213078</v>
      </c>
      <c r="G2255" s="1" t="s">
        <v>9</v>
      </c>
      <c r="H2255" s="1" t="b">
        <f t="shared" si="83"/>
        <v>1</v>
      </c>
    </row>
    <row r="2256" spans="1:8" ht="21" x14ac:dyDescent="0.25">
      <c r="A2256" s="2" t="str">
        <f>HYPERLINK("https://rth.dk/resources/bsgatlas/details.php?id=BSGatlas-operon-1198","BSGatlas-operon-1198")</f>
        <v>BSGatlas-operon-1198</v>
      </c>
      <c r="B2256" s="2" t="str">
        <f>HYPERLINK("https://rth.dk/resources/bsgatlas/details.php?id=BSGatlas-gene-2460","BSGatlas-gene-2460")</f>
        <v>BSGatlas-gene-2460</v>
      </c>
      <c r="C2256" s="1" t="s">
        <v>2247</v>
      </c>
      <c r="D2256" s="1" t="s">
        <v>8</v>
      </c>
      <c r="E2256" s="3">
        <v>2213536</v>
      </c>
      <c r="F2256" s="3">
        <v>2214864</v>
      </c>
      <c r="G2256" s="1" t="s">
        <v>13</v>
      </c>
      <c r="H2256" s="1" t="b">
        <f t="shared" si="83"/>
        <v>0</v>
      </c>
    </row>
    <row r="2257" spans="1:8" ht="21" x14ac:dyDescent="0.25">
      <c r="A2257" s="2" t="str">
        <f>HYPERLINK("https://rth.dk/resources/bsgatlas/details.php?id=BSGatlas-operon-1199","BSGatlas-operon-1199")</f>
        <v>BSGatlas-operon-1199</v>
      </c>
      <c r="B2257" s="2" t="str">
        <f>HYPERLINK("https://rth.dk/resources/bsgatlas/details.php?id=BSGatlas-gene-2462","BSGatlas-gene-2462")</f>
        <v>BSGatlas-gene-2462</v>
      </c>
      <c r="C2257" s="1" t="s">
        <v>2248</v>
      </c>
      <c r="D2257" s="1" t="s">
        <v>8</v>
      </c>
      <c r="E2257" s="3">
        <v>2215460</v>
      </c>
      <c r="F2257" s="3">
        <v>2216776</v>
      </c>
      <c r="G2257" s="1" t="s">
        <v>13</v>
      </c>
      <c r="H2257" s="1" t="b">
        <f t="shared" si="83"/>
        <v>1</v>
      </c>
    </row>
    <row r="2258" spans="1:8" ht="21" x14ac:dyDescent="0.25">
      <c r="A2258" s="2" t="str">
        <f>HYPERLINK("https://rth.dk/resources/bsgatlas/details.php?id=BSGatlas-operon-1200","BSGatlas-operon-1200")</f>
        <v>BSGatlas-operon-1200</v>
      </c>
      <c r="B2258" s="2" t="str">
        <f>HYPERLINK("https://rth.dk/resources/bsgatlas/details.php?id=BSGatlas-gene-2463","BSGatlas-gene-2463")</f>
        <v>BSGatlas-gene-2463</v>
      </c>
      <c r="C2258" s="1" t="s">
        <v>2249</v>
      </c>
      <c r="D2258" s="1" t="s">
        <v>8</v>
      </c>
      <c r="E2258" s="3">
        <v>2217133</v>
      </c>
      <c r="F2258" s="3">
        <v>2217639</v>
      </c>
      <c r="G2258" s="1" t="s">
        <v>13</v>
      </c>
      <c r="H2258" s="1" t="b">
        <f t="shared" si="83"/>
        <v>0</v>
      </c>
    </row>
    <row r="2259" spans="1:8" ht="21" x14ac:dyDescent="0.25">
      <c r="A2259" s="2" t="str">
        <f>HYPERLINK("https://rth.dk/resources/bsgatlas/details.php?id=BSGatlas-operon-1201","BSGatlas-operon-1201")</f>
        <v>BSGatlas-operon-1201</v>
      </c>
      <c r="B2259" s="2" t="str">
        <f>HYPERLINK("https://rth.dk/resources/bsgatlas/details.php?id=BSGatlas-gene-2464","BSGatlas-gene-2464")</f>
        <v>BSGatlas-gene-2464</v>
      </c>
      <c r="C2259" s="1" t="s">
        <v>2250</v>
      </c>
      <c r="D2259" s="1" t="s">
        <v>8</v>
      </c>
      <c r="E2259" s="3">
        <v>2217967</v>
      </c>
      <c r="F2259" s="3">
        <v>2219199</v>
      </c>
      <c r="G2259" s="1" t="s">
        <v>13</v>
      </c>
      <c r="H2259" s="1" t="b">
        <f t="shared" si="83"/>
        <v>1</v>
      </c>
    </row>
    <row r="2260" spans="1:8" ht="21" x14ac:dyDescent="0.25">
      <c r="A2260" s="2" t="str">
        <f>HYPERLINK("https://rth.dk/resources/bsgatlas/details.php?id=BSGatlas-operon-1201","BSGatlas-operon-1201")</f>
        <v>BSGatlas-operon-1201</v>
      </c>
      <c r="B2260" s="2" t="str">
        <f>HYPERLINK("https://rth.dk/resources/bsgatlas/details.php?id=BSGatlas-gene-2465","BSGatlas-gene-2465")</f>
        <v>BSGatlas-gene-2465</v>
      </c>
      <c r="C2260" s="1" t="s">
        <v>2251</v>
      </c>
      <c r="D2260" s="1" t="s">
        <v>8</v>
      </c>
      <c r="E2260" s="3">
        <v>2219281</v>
      </c>
      <c r="F2260" s="3">
        <v>2219469</v>
      </c>
      <c r="G2260" s="1" t="s">
        <v>13</v>
      </c>
      <c r="H2260" s="1" t="b">
        <f t="shared" si="83"/>
        <v>1</v>
      </c>
    </row>
    <row r="2261" spans="1:8" ht="21" x14ac:dyDescent="0.25">
      <c r="A2261" s="2" t="str">
        <f>HYPERLINK("https://rth.dk/resources/bsgatlas/details.php?id=BSGatlas-operon-1201","BSGatlas-operon-1201")</f>
        <v>BSGatlas-operon-1201</v>
      </c>
      <c r="B2261" s="2" t="str">
        <f>HYPERLINK("https://rth.dk/resources/bsgatlas/details.php?id=BSGatlas-gene-2466","BSGatlas-gene-2466")</f>
        <v>BSGatlas-gene-2466</v>
      </c>
      <c r="C2261" s="1" t="s">
        <v>2252</v>
      </c>
      <c r="D2261" s="1" t="s">
        <v>8</v>
      </c>
      <c r="E2261" s="3">
        <v>2219514</v>
      </c>
      <c r="F2261" s="3">
        <v>2219765</v>
      </c>
      <c r="G2261" s="1" t="s">
        <v>13</v>
      </c>
      <c r="H2261" s="1" t="b">
        <f t="shared" si="83"/>
        <v>1</v>
      </c>
    </row>
    <row r="2262" spans="1:8" ht="21" x14ac:dyDescent="0.25">
      <c r="A2262" s="2" t="str">
        <f>HYPERLINK("https://rth.dk/resources/bsgatlas/details.php?id=BSGatlas-operon-1201","BSGatlas-operon-1201")</f>
        <v>BSGatlas-operon-1201</v>
      </c>
      <c r="B2262" s="2" t="str">
        <f>HYPERLINK("https://rth.dk/resources/bsgatlas/details.php?id=BSGatlas-gene-2468","BSGatlas-gene-2468")</f>
        <v>BSGatlas-gene-2468</v>
      </c>
      <c r="C2262" s="1" t="s">
        <v>2253</v>
      </c>
      <c r="D2262" s="1" t="s">
        <v>8</v>
      </c>
      <c r="E2262" s="3">
        <v>2219784</v>
      </c>
      <c r="F2262" s="3">
        <v>2219960</v>
      </c>
      <c r="G2262" s="1" t="s">
        <v>13</v>
      </c>
      <c r="H2262" s="1" t="b">
        <f t="shared" si="83"/>
        <v>1</v>
      </c>
    </row>
    <row r="2263" spans="1:8" ht="21" x14ac:dyDescent="0.25">
      <c r="A2263" s="2" t="str">
        <f>HYPERLINK("https://rth.dk/resources/bsgatlas/details.php?id=BSGatlas-operon-1202","BSGatlas-operon-1202")</f>
        <v>BSGatlas-operon-1202</v>
      </c>
      <c r="B2263" s="2" t="str">
        <f>HYPERLINK("https://rth.dk/resources/bsgatlas/details.php?id=BSGatlas-gene-2467","BSGatlas-gene-2467")</f>
        <v>BSGatlas-gene-2467</v>
      </c>
      <c r="C2263" s="1" t="s">
        <v>2254</v>
      </c>
      <c r="D2263" s="1" t="s">
        <v>2098</v>
      </c>
      <c r="E2263" s="3">
        <v>2219743</v>
      </c>
      <c r="F2263" s="3">
        <v>2219849</v>
      </c>
      <c r="G2263" s="1" t="s">
        <v>9</v>
      </c>
      <c r="H2263" s="1" t="b">
        <f t="shared" si="83"/>
        <v>0</v>
      </c>
    </row>
    <row r="2264" spans="1:8" ht="21" x14ac:dyDescent="0.25">
      <c r="A2264" s="2" t="str">
        <f>HYPERLINK("https://rth.dk/resources/bsgatlas/details.php?id=BSGatlas-operon-1203","BSGatlas-operon-1203")</f>
        <v>BSGatlas-operon-1203</v>
      </c>
      <c r="B2264" s="2" t="str">
        <f>HYPERLINK("https://rth.dk/resources/bsgatlas/details.php?id=BSGatlas-gene-2469","BSGatlas-gene-2469")</f>
        <v>BSGatlas-gene-2469</v>
      </c>
      <c r="C2264" s="1" t="s">
        <v>2255</v>
      </c>
      <c r="D2264" s="1" t="s">
        <v>8</v>
      </c>
      <c r="E2264" s="3">
        <v>2220335</v>
      </c>
      <c r="F2264" s="3">
        <v>2220946</v>
      </c>
      <c r="G2264" s="1" t="s">
        <v>13</v>
      </c>
      <c r="H2264" s="1" t="b">
        <f t="shared" si="83"/>
        <v>1</v>
      </c>
    </row>
    <row r="2265" spans="1:8" ht="21" x14ac:dyDescent="0.25">
      <c r="A2265" s="2" t="str">
        <f>HYPERLINK("https://rth.dk/resources/bsgatlas/details.php?id=BSGatlas-operon-1203","BSGatlas-operon-1203")</f>
        <v>BSGatlas-operon-1203</v>
      </c>
      <c r="B2265" s="2" t="str">
        <f>HYPERLINK("https://rth.dk/resources/bsgatlas/details.php?id=BSGatlas-gene-2470","BSGatlas-gene-2470")</f>
        <v>BSGatlas-gene-2470</v>
      </c>
      <c r="C2265" s="1" t="s">
        <v>2256</v>
      </c>
      <c r="D2265" s="1" t="s">
        <v>8</v>
      </c>
      <c r="E2265" s="3">
        <v>2221061</v>
      </c>
      <c r="F2265" s="3">
        <v>2221387</v>
      </c>
      <c r="G2265" s="1" t="s">
        <v>13</v>
      </c>
      <c r="H2265" s="1" t="b">
        <f t="shared" si="83"/>
        <v>1</v>
      </c>
    </row>
    <row r="2266" spans="1:8" ht="21" x14ac:dyDescent="0.25">
      <c r="A2266" s="2" t="str">
        <f>HYPERLINK("https://rth.dk/resources/bsgatlas/details.php?id=BSGatlas-operon-1204","BSGatlas-operon-1204")</f>
        <v>BSGatlas-operon-1204</v>
      </c>
      <c r="B2266" s="2" t="str">
        <f>HYPERLINK("https://rth.dk/resources/bsgatlas/details.php?id=BSGatlas-gene-2471","BSGatlas-gene-2471")</f>
        <v>BSGatlas-gene-2471</v>
      </c>
      <c r="C2266" s="1" t="s">
        <v>2257</v>
      </c>
      <c r="D2266" s="1" t="s">
        <v>12</v>
      </c>
      <c r="E2266" s="3">
        <v>2221639</v>
      </c>
      <c r="F2266" s="3">
        <v>2221791</v>
      </c>
      <c r="G2266" s="1" t="s">
        <v>9</v>
      </c>
      <c r="H2266" s="1" t="b">
        <f t="shared" si="83"/>
        <v>0</v>
      </c>
    </row>
    <row r="2267" spans="1:8" ht="21" x14ac:dyDescent="0.25">
      <c r="A2267" s="2" t="str">
        <f>HYPERLINK("https://rth.dk/resources/bsgatlas/details.php?id=BSGatlas-operon-1205","BSGatlas-operon-1205")</f>
        <v>BSGatlas-operon-1205</v>
      </c>
      <c r="B2267" s="2" t="str">
        <f>HYPERLINK("https://rth.dk/resources/bsgatlas/details.php?id=BSGatlas-gene-2472","BSGatlas-gene-2472")</f>
        <v>BSGatlas-gene-2472</v>
      </c>
      <c r="C2267" s="1" t="s">
        <v>2258</v>
      </c>
      <c r="D2267" s="1" t="s">
        <v>12</v>
      </c>
      <c r="E2267" s="3">
        <v>2221800</v>
      </c>
      <c r="F2267" s="3">
        <v>2222284</v>
      </c>
      <c r="G2267" s="1" t="s">
        <v>9</v>
      </c>
      <c r="H2267" s="1" t="b">
        <f t="shared" si="83"/>
        <v>1</v>
      </c>
    </row>
    <row r="2268" spans="1:8" ht="21" x14ac:dyDescent="0.25">
      <c r="A2268" s="2" t="str">
        <f>HYPERLINK("https://rth.dk/resources/bsgatlas/details.php?id=BSGatlas-operon-1206","BSGatlas-operon-1206")</f>
        <v>BSGatlas-operon-1206</v>
      </c>
      <c r="B2268" s="2" t="str">
        <f>HYPERLINK("https://rth.dk/resources/bsgatlas/details.php?id=BSGatlas-gene-2473","BSGatlas-gene-2473")</f>
        <v>BSGatlas-gene-2473</v>
      </c>
      <c r="C2268" s="1" t="s">
        <v>2259</v>
      </c>
      <c r="D2268" s="1" t="s">
        <v>8</v>
      </c>
      <c r="E2268" s="3">
        <v>2222340</v>
      </c>
      <c r="F2268" s="3">
        <v>2222534</v>
      </c>
      <c r="G2268" s="1" t="s">
        <v>9</v>
      </c>
      <c r="H2268" s="1" t="b">
        <f t="shared" si="83"/>
        <v>0</v>
      </c>
    </row>
    <row r="2269" spans="1:8" ht="21" x14ac:dyDescent="0.25">
      <c r="A2269" s="2" t="str">
        <f>HYPERLINK("https://rth.dk/resources/bsgatlas/details.php?id=BSGatlas-operon-1206","BSGatlas-operon-1206")</f>
        <v>BSGatlas-operon-1206</v>
      </c>
      <c r="B2269" s="2" t="str">
        <f>HYPERLINK("https://rth.dk/resources/bsgatlas/details.php?id=BSGatlas-gene-2474","BSGatlas-gene-2474")</f>
        <v>BSGatlas-gene-2474</v>
      </c>
      <c r="C2269" s="1" t="s">
        <v>2260</v>
      </c>
      <c r="D2269" s="1" t="s">
        <v>8</v>
      </c>
      <c r="E2269" s="3">
        <v>2222574</v>
      </c>
      <c r="F2269" s="3">
        <v>2225093</v>
      </c>
      <c r="G2269" s="1" t="s">
        <v>9</v>
      </c>
      <c r="H2269" s="1" t="b">
        <f t="shared" si="83"/>
        <v>0</v>
      </c>
    </row>
    <row r="2270" spans="1:8" ht="21" x14ac:dyDescent="0.25">
      <c r="A2270" s="2" t="str">
        <f>HYPERLINK("https://rth.dk/resources/bsgatlas/details.php?id=BSGatlas-operon-1206","BSGatlas-operon-1206")</f>
        <v>BSGatlas-operon-1206</v>
      </c>
      <c r="B2270" s="2" t="str">
        <f>HYPERLINK("https://rth.dk/resources/bsgatlas/details.php?id=BSGatlas-gene-2475","BSGatlas-gene-2475")</f>
        <v>BSGatlas-gene-2475</v>
      </c>
      <c r="C2270" s="1" t="s">
        <v>2261</v>
      </c>
      <c r="D2270" s="1" t="s">
        <v>8</v>
      </c>
      <c r="E2270" s="3">
        <v>2225337</v>
      </c>
      <c r="F2270" s="3">
        <v>2225615</v>
      </c>
      <c r="G2270" s="1" t="s">
        <v>9</v>
      </c>
      <c r="H2270" s="1" t="b">
        <f t="shared" si="83"/>
        <v>0</v>
      </c>
    </row>
    <row r="2271" spans="1:8" ht="21" x14ac:dyDescent="0.25">
      <c r="A2271" s="2" t="str">
        <f>HYPERLINK("https://rth.dk/resources/bsgatlas/details.php?id=BSGatlas-operon-1207","BSGatlas-operon-1207")</f>
        <v>BSGatlas-operon-1207</v>
      </c>
      <c r="B2271" s="2" t="str">
        <f>HYPERLINK("https://rth.dk/resources/bsgatlas/details.php?id=BSGatlas-gene-2476","BSGatlas-gene-2476")</f>
        <v>BSGatlas-gene-2476</v>
      </c>
      <c r="C2271" s="1" t="s">
        <v>2262</v>
      </c>
      <c r="D2271" s="1" t="s">
        <v>12</v>
      </c>
      <c r="E2271" s="3">
        <v>2226070</v>
      </c>
      <c r="F2271" s="3">
        <v>2226618</v>
      </c>
      <c r="G2271" s="1" t="s">
        <v>9</v>
      </c>
      <c r="H2271" s="1" t="b">
        <f t="shared" si="83"/>
        <v>1</v>
      </c>
    </row>
    <row r="2272" spans="1:8" ht="21" x14ac:dyDescent="0.25">
      <c r="A2272" s="2" t="str">
        <f>HYPERLINK("https://rth.dk/resources/bsgatlas/details.php?id=BSGatlas-operon-1208","BSGatlas-operon-1208")</f>
        <v>BSGatlas-operon-1208</v>
      </c>
      <c r="B2272" s="2" t="str">
        <f>HYPERLINK("https://rth.dk/resources/bsgatlas/details.php?id=BSGatlas-gene-2478","BSGatlas-gene-2478")</f>
        <v>BSGatlas-gene-2478</v>
      </c>
      <c r="C2272" s="1" t="s">
        <v>2263</v>
      </c>
      <c r="D2272" s="1" t="s">
        <v>8</v>
      </c>
      <c r="E2272" s="3">
        <v>2227297</v>
      </c>
      <c r="F2272" s="3">
        <v>2227488</v>
      </c>
      <c r="G2272" s="1" t="s">
        <v>9</v>
      </c>
      <c r="H2272" s="1" t="b">
        <f t="shared" si="83"/>
        <v>0</v>
      </c>
    </row>
    <row r="2273" spans="1:8" ht="21" x14ac:dyDescent="0.25">
      <c r="A2273" s="2" t="str">
        <f>HYPERLINK("https://rth.dk/resources/bsgatlas/details.php?id=BSGatlas-operon-1208","BSGatlas-operon-1208")</f>
        <v>BSGatlas-operon-1208</v>
      </c>
      <c r="B2273" s="2" t="str">
        <f>HYPERLINK("https://rth.dk/resources/bsgatlas/details.php?id=BSGatlas-gene-2479","BSGatlas-gene-2479")</f>
        <v>BSGatlas-gene-2479</v>
      </c>
      <c r="C2273" s="1" t="s">
        <v>2264</v>
      </c>
      <c r="D2273" s="1" t="s">
        <v>8</v>
      </c>
      <c r="E2273" s="3">
        <v>2227505</v>
      </c>
      <c r="F2273" s="3">
        <v>2228722</v>
      </c>
      <c r="G2273" s="1" t="s">
        <v>9</v>
      </c>
      <c r="H2273" s="1" t="b">
        <f t="shared" si="83"/>
        <v>0</v>
      </c>
    </row>
    <row r="2274" spans="1:8" ht="21" x14ac:dyDescent="0.25">
      <c r="A2274" s="2" t="str">
        <f>HYPERLINK("https://rth.dk/resources/bsgatlas/details.php?id=BSGatlas-operon-1208","BSGatlas-operon-1208")</f>
        <v>BSGatlas-operon-1208</v>
      </c>
      <c r="B2274" s="2" t="str">
        <f>HYPERLINK("https://rth.dk/resources/bsgatlas/details.php?id=BSGatlas-gene-2481","BSGatlas-gene-2481")</f>
        <v>BSGatlas-gene-2481</v>
      </c>
      <c r="C2274" s="1" t="s">
        <v>2265</v>
      </c>
      <c r="D2274" s="1" t="s">
        <v>8</v>
      </c>
      <c r="E2274" s="3">
        <v>2229385</v>
      </c>
      <c r="F2274" s="3">
        <v>2229885</v>
      </c>
      <c r="G2274" s="1" t="s">
        <v>9</v>
      </c>
      <c r="H2274" s="1" t="b">
        <f t="shared" si="83"/>
        <v>0</v>
      </c>
    </row>
    <row r="2275" spans="1:8" ht="21" x14ac:dyDescent="0.25">
      <c r="A2275" s="2" t="str">
        <f>HYPERLINK("https://rth.dk/resources/bsgatlas/details.php?id=BSGatlas-operon-1209","BSGatlas-operon-1209")</f>
        <v>BSGatlas-operon-1209</v>
      </c>
      <c r="B2275" s="2" t="str">
        <f>HYPERLINK("https://rth.dk/resources/bsgatlas/details.php?id=BSGatlas-gene-2480","BSGatlas-gene-2480")</f>
        <v>BSGatlas-gene-2480</v>
      </c>
      <c r="C2275" s="1" t="s">
        <v>2266</v>
      </c>
      <c r="D2275" s="1" t="s">
        <v>8</v>
      </c>
      <c r="E2275" s="3">
        <v>2228756</v>
      </c>
      <c r="F2275" s="3">
        <v>2229166</v>
      </c>
      <c r="G2275" s="1" t="s">
        <v>13</v>
      </c>
      <c r="H2275" s="1" t="b">
        <f t="shared" si="83"/>
        <v>1</v>
      </c>
    </row>
    <row r="2276" spans="1:8" ht="21" x14ac:dyDescent="0.25">
      <c r="A2276" s="2" t="str">
        <f>HYPERLINK("https://rth.dk/resources/bsgatlas/details.php?id=BSGatlas-operon-1210","BSGatlas-operon-1210")</f>
        <v>BSGatlas-operon-1210</v>
      </c>
      <c r="B2276" s="2" t="str">
        <f>HYPERLINK("https://rth.dk/resources/bsgatlas/details.php?id=BSGatlas-gene-2482","BSGatlas-gene-2482")</f>
        <v>BSGatlas-gene-2482</v>
      </c>
      <c r="C2276" s="1" t="s">
        <v>2267</v>
      </c>
      <c r="D2276" s="1" t="s">
        <v>8</v>
      </c>
      <c r="E2276" s="3">
        <v>2229988</v>
      </c>
      <c r="F2276" s="3">
        <v>2230908</v>
      </c>
      <c r="G2276" s="1" t="s">
        <v>9</v>
      </c>
      <c r="H2276" s="1" t="b">
        <f t="shared" si="83"/>
        <v>0</v>
      </c>
    </row>
    <row r="2277" spans="1:8" ht="21" x14ac:dyDescent="0.25">
      <c r="A2277" s="2" t="str">
        <f>HYPERLINK("https://rth.dk/resources/bsgatlas/details.php?id=BSGatlas-operon-1211","BSGatlas-operon-1211")</f>
        <v>BSGatlas-operon-1211</v>
      </c>
      <c r="B2277" s="2" t="str">
        <f>HYPERLINK("https://rth.dk/resources/bsgatlas/details.php?id=BSGatlas-gene-2503","BSGatlas-gene-2503")</f>
        <v>BSGatlas-gene-2503</v>
      </c>
      <c r="C2277" s="1" t="s">
        <v>2268</v>
      </c>
      <c r="D2277" s="1" t="s">
        <v>8</v>
      </c>
      <c r="E2277" s="3">
        <v>2245147</v>
      </c>
      <c r="F2277" s="3">
        <v>2246148</v>
      </c>
      <c r="G2277" s="1" t="s">
        <v>9</v>
      </c>
      <c r="H2277" s="1" t="b">
        <f t="shared" si="83"/>
        <v>1</v>
      </c>
    </row>
    <row r="2278" spans="1:8" ht="21" x14ac:dyDescent="0.25">
      <c r="A2278" s="2" t="str">
        <f>HYPERLINK("https://rth.dk/resources/bsgatlas/details.php?id=BSGatlas-operon-1212","BSGatlas-operon-1212")</f>
        <v>BSGatlas-operon-1212</v>
      </c>
      <c r="B2278" s="2" t="str">
        <f>HYPERLINK("https://rth.dk/resources/bsgatlas/details.php?id=BSGatlas-gene-2504","BSGatlas-gene-2504")</f>
        <v>BSGatlas-gene-2504</v>
      </c>
      <c r="C2278" s="1" t="s">
        <v>2269</v>
      </c>
      <c r="D2278" s="1" t="s">
        <v>8</v>
      </c>
      <c r="E2278" s="3">
        <v>2246151</v>
      </c>
      <c r="F2278" s="3">
        <v>2246480</v>
      </c>
      <c r="G2278" s="1" t="s">
        <v>13</v>
      </c>
      <c r="H2278" s="1" t="b">
        <f t="shared" si="83"/>
        <v>0</v>
      </c>
    </row>
    <row r="2279" spans="1:8" ht="21" x14ac:dyDescent="0.25">
      <c r="A2279" s="2" t="str">
        <f>HYPERLINK("https://rth.dk/resources/bsgatlas/details.php?id=BSGatlas-operon-1213","BSGatlas-operon-1213")</f>
        <v>BSGatlas-operon-1213</v>
      </c>
      <c r="B2279" s="2" t="str">
        <f>HYPERLINK("https://rth.dk/resources/bsgatlas/details.php?id=BSGatlas-gene-2507","BSGatlas-gene-2507")</f>
        <v>BSGatlas-gene-2507</v>
      </c>
      <c r="C2279" s="1" t="s">
        <v>2270</v>
      </c>
      <c r="D2279" s="1" t="s">
        <v>8</v>
      </c>
      <c r="E2279" s="3">
        <v>2247889</v>
      </c>
      <c r="F2279" s="3">
        <v>2248335</v>
      </c>
      <c r="G2279" s="1" t="s">
        <v>9</v>
      </c>
      <c r="H2279" s="1" t="b">
        <f t="shared" si="83"/>
        <v>1</v>
      </c>
    </row>
    <row r="2280" spans="1:8" ht="21" x14ac:dyDescent="0.25">
      <c r="A2280" s="2" t="str">
        <f>HYPERLINK("https://rth.dk/resources/bsgatlas/details.php?id=BSGatlas-operon-1214","BSGatlas-operon-1214")</f>
        <v>BSGatlas-operon-1214</v>
      </c>
      <c r="B2280" s="2" t="str">
        <f>HYPERLINK("https://rth.dk/resources/bsgatlas/details.php?id=BSGatlas-gene-2508","BSGatlas-gene-2508")</f>
        <v>BSGatlas-gene-2508</v>
      </c>
      <c r="C2280" s="1" t="s">
        <v>2271</v>
      </c>
      <c r="D2280" s="1" t="s">
        <v>8</v>
      </c>
      <c r="E2280" s="3">
        <v>2248417</v>
      </c>
      <c r="F2280" s="3">
        <v>2249100</v>
      </c>
      <c r="G2280" s="1" t="s">
        <v>9</v>
      </c>
      <c r="H2280" s="1" t="b">
        <f t="shared" si="83"/>
        <v>0</v>
      </c>
    </row>
    <row r="2281" spans="1:8" ht="21" x14ac:dyDescent="0.25">
      <c r="A2281" s="2" t="str">
        <f>HYPERLINK("https://rth.dk/resources/bsgatlas/details.php?id=BSGatlas-operon-1215","BSGatlas-operon-1215")</f>
        <v>BSGatlas-operon-1215</v>
      </c>
      <c r="B2281" s="2" t="str">
        <f>HYPERLINK("https://rth.dk/resources/bsgatlas/details.php?id=BSGatlas-gene-2509","BSGatlas-gene-2509")</f>
        <v>BSGatlas-gene-2509</v>
      </c>
      <c r="C2281" s="1" t="s">
        <v>2272</v>
      </c>
      <c r="D2281" s="1" t="s">
        <v>8</v>
      </c>
      <c r="E2281" s="3">
        <v>2249154</v>
      </c>
      <c r="F2281" s="3">
        <v>2256011</v>
      </c>
      <c r="G2281" s="1" t="s">
        <v>9</v>
      </c>
      <c r="H2281" s="1" t="b">
        <f t="shared" si="83"/>
        <v>1</v>
      </c>
    </row>
    <row r="2282" spans="1:8" ht="21" x14ac:dyDescent="0.25">
      <c r="A2282" s="2" t="str">
        <f>HYPERLINK("https://rth.dk/resources/bsgatlas/details.php?id=BSGatlas-operon-1216","BSGatlas-operon-1216")</f>
        <v>BSGatlas-operon-1216</v>
      </c>
      <c r="B2282" s="2" t="str">
        <f>HYPERLINK("https://rth.dk/resources/bsgatlas/details.php?id=BSGatlas-gene-2519","BSGatlas-gene-2519")</f>
        <v>BSGatlas-gene-2519</v>
      </c>
      <c r="C2282" s="1" t="s">
        <v>2273</v>
      </c>
      <c r="D2282" s="1" t="s">
        <v>8</v>
      </c>
      <c r="E2282" s="3">
        <v>2265225</v>
      </c>
      <c r="F2282" s="3">
        <v>2265671</v>
      </c>
      <c r="G2282" s="1" t="s">
        <v>13</v>
      </c>
      <c r="H2282" s="1" t="b">
        <f t="shared" si="83"/>
        <v>0</v>
      </c>
    </row>
    <row r="2283" spans="1:8" ht="21" x14ac:dyDescent="0.25">
      <c r="A2283" s="2" t="str">
        <f>HYPERLINK("https://rth.dk/resources/bsgatlas/details.php?id=BSGatlas-operon-1216","BSGatlas-operon-1216")</f>
        <v>BSGatlas-operon-1216</v>
      </c>
      <c r="B2283" s="2" t="str">
        <f>HYPERLINK("https://rth.dk/resources/bsgatlas/details.php?id=BSGatlas-gene-2520","BSGatlas-gene-2520")</f>
        <v>BSGatlas-gene-2520</v>
      </c>
      <c r="C2283" s="1" t="s">
        <v>2274</v>
      </c>
      <c r="D2283" s="1" t="s">
        <v>8</v>
      </c>
      <c r="E2283" s="3">
        <v>2265668</v>
      </c>
      <c r="F2283" s="3">
        <v>2266936</v>
      </c>
      <c r="G2283" s="1" t="s">
        <v>13</v>
      </c>
      <c r="H2283" s="1" t="b">
        <f t="shared" si="83"/>
        <v>0</v>
      </c>
    </row>
    <row r="2284" spans="1:8" ht="21" x14ac:dyDescent="0.25">
      <c r="A2284" s="2" t="str">
        <f>HYPERLINK("https://rth.dk/resources/bsgatlas/details.php?id=BSGatlas-operon-1216","BSGatlas-operon-1216")</f>
        <v>BSGatlas-operon-1216</v>
      </c>
      <c r="B2284" s="2" t="str">
        <f>HYPERLINK("https://rth.dk/resources/bsgatlas/details.php?id=BSGatlas-gene-2521","BSGatlas-gene-2521")</f>
        <v>BSGatlas-gene-2521</v>
      </c>
      <c r="C2284" s="1" t="s">
        <v>2275</v>
      </c>
      <c r="D2284" s="1" t="s">
        <v>8</v>
      </c>
      <c r="E2284" s="3">
        <v>2266936</v>
      </c>
      <c r="F2284" s="3">
        <v>2267349</v>
      </c>
      <c r="G2284" s="1" t="s">
        <v>13</v>
      </c>
      <c r="H2284" s="1" t="b">
        <f t="shared" si="83"/>
        <v>0</v>
      </c>
    </row>
    <row r="2285" spans="1:8" ht="21" x14ac:dyDescent="0.25">
      <c r="A2285" s="2" t="str">
        <f>HYPERLINK("https://rth.dk/resources/bsgatlas/details.php?id=BSGatlas-operon-1216","BSGatlas-operon-1216")</f>
        <v>BSGatlas-operon-1216</v>
      </c>
      <c r="B2285" s="2" t="str">
        <f>HYPERLINK("https://rth.dk/resources/bsgatlas/details.php?id=BSGatlas-gene-2522","BSGatlas-gene-2522")</f>
        <v>BSGatlas-gene-2522</v>
      </c>
      <c r="C2285" s="1" t="s">
        <v>2276</v>
      </c>
      <c r="D2285" s="1" t="s">
        <v>8</v>
      </c>
      <c r="E2285" s="3">
        <v>2267346</v>
      </c>
      <c r="F2285" s="3">
        <v>2269463</v>
      </c>
      <c r="G2285" s="1" t="s">
        <v>13</v>
      </c>
      <c r="H2285" s="1" t="b">
        <f t="shared" si="83"/>
        <v>0</v>
      </c>
    </row>
    <row r="2286" spans="1:8" ht="21" x14ac:dyDescent="0.25">
      <c r="A2286" s="2" t="str">
        <f>HYPERLINK("https://rth.dk/resources/bsgatlas/details.php?id=BSGatlas-operon-1216","BSGatlas-operon-1216")</f>
        <v>BSGatlas-operon-1216</v>
      </c>
      <c r="B2286" s="2" t="str">
        <f>HYPERLINK("https://rth.dk/resources/bsgatlas/details.php?id=BSGatlas-gene-2523","BSGatlas-gene-2523")</f>
        <v>BSGatlas-gene-2523</v>
      </c>
      <c r="C2286" s="1" t="s">
        <v>2277</v>
      </c>
      <c r="D2286" s="1" t="s">
        <v>8</v>
      </c>
      <c r="E2286" s="3">
        <v>2269521</v>
      </c>
      <c r="F2286" s="3">
        <v>2269691</v>
      </c>
      <c r="G2286" s="1" t="s">
        <v>13</v>
      </c>
      <c r="H2286" s="1" t="b">
        <f t="shared" si="83"/>
        <v>0</v>
      </c>
    </row>
    <row r="2287" spans="1:8" ht="21" x14ac:dyDescent="0.25">
      <c r="A2287" s="2" t="str">
        <f>HYPERLINK("https://rth.dk/resources/bsgatlas/details.php?id=BSGatlas-operon-1217","BSGatlas-operon-1217")</f>
        <v>BSGatlas-operon-1217</v>
      </c>
      <c r="B2287" s="2" t="str">
        <f>HYPERLINK("https://rth.dk/resources/bsgatlas/details.php?id=BSGatlas-gene-2518","BSGatlas-gene-2518")</f>
        <v>BSGatlas-gene-2518</v>
      </c>
      <c r="C2287" s="1" t="s">
        <v>2278</v>
      </c>
      <c r="D2287" s="1" t="s">
        <v>8</v>
      </c>
      <c r="E2287" s="3">
        <v>2264903</v>
      </c>
      <c r="F2287" s="3">
        <v>2265169</v>
      </c>
      <c r="G2287" s="1" t="s">
        <v>9</v>
      </c>
      <c r="H2287" s="1" t="b">
        <f t="shared" si="83"/>
        <v>1</v>
      </c>
    </row>
    <row r="2288" spans="1:8" ht="21" x14ac:dyDescent="0.25">
      <c r="A2288" s="2" t="str">
        <f>HYPERLINK("https://rth.dk/resources/bsgatlas/details.php?id=BSGatlas-operon-1218","BSGatlas-operon-1218")</f>
        <v>BSGatlas-operon-1218</v>
      </c>
      <c r="B2288" s="2" t="str">
        <f>HYPERLINK("https://rth.dk/resources/bsgatlas/details.php?id=BSGatlas-gene-2524","BSGatlas-gene-2524")</f>
        <v>BSGatlas-gene-2524</v>
      </c>
      <c r="C2288" s="1" t="s">
        <v>2279</v>
      </c>
      <c r="D2288" s="1" t="s">
        <v>8</v>
      </c>
      <c r="E2288" s="3">
        <v>2269988</v>
      </c>
      <c r="F2288" s="3">
        <v>2270305</v>
      </c>
      <c r="G2288" s="1" t="s">
        <v>13</v>
      </c>
      <c r="H2288" s="1" t="b">
        <f t="shared" si="83"/>
        <v>0</v>
      </c>
    </row>
    <row r="2289" spans="1:8" ht="21" x14ac:dyDescent="0.25">
      <c r="A2289" s="2" t="str">
        <f>HYPERLINK("https://rth.dk/resources/bsgatlas/details.php?id=BSGatlas-operon-1219","BSGatlas-operon-1219")</f>
        <v>BSGatlas-operon-1219</v>
      </c>
      <c r="B2289" s="2" t="str">
        <f>HYPERLINK("https://rth.dk/resources/bsgatlas/details.php?id=BSGatlas-gene-2525","BSGatlas-gene-2525")</f>
        <v>BSGatlas-gene-2525</v>
      </c>
      <c r="C2289" s="1" t="s">
        <v>2280</v>
      </c>
      <c r="D2289" s="1" t="s">
        <v>8</v>
      </c>
      <c r="E2289" s="3">
        <v>2270407</v>
      </c>
      <c r="F2289" s="3">
        <v>2271657</v>
      </c>
      <c r="G2289" s="1" t="s">
        <v>13</v>
      </c>
      <c r="H2289" s="1" t="b">
        <f t="shared" si="83"/>
        <v>1</v>
      </c>
    </row>
    <row r="2290" spans="1:8" ht="21" x14ac:dyDescent="0.25">
      <c r="A2290" s="2" t="str">
        <f>HYPERLINK("https://rth.dk/resources/bsgatlas/details.php?id=BSGatlas-operon-1219","BSGatlas-operon-1219")</f>
        <v>BSGatlas-operon-1219</v>
      </c>
      <c r="B2290" s="2" t="str">
        <f>HYPERLINK("https://rth.dk/resources/bsgatlas/details.php?id=BSGatlas-gene-2526","BSGatlas-gene-2526")</f>
        <v>BSGatlas-gene-2526</v>
      </c>
      <c r="C2290" s="1" t="s">
        <v>2281</v>
      </c>
      <c r="D2290" s="1" t="s">
        <v>8</v>
      </c>
      <c r="E2290" s="3">
        <v>2271650</v>
      </c>
      <c r="F2290" s="3">
        <v>2271982</v>
      </c>
      <c r="G2290" s="1" t="s">
        <v>13</v>
      </c>
      <c r="H2290" s="1" t="b">
        <f t="shared" si="83"/>
        <v>1</v>
      </c>
    </row>
    <row r="2291" spans="1:8" ht="21" x14ac:dyDescent="0.25">
      <c r="A2291" s="2" t="str">
        <f>HYPERLINK("https://rth.dk/resources/bsgatlas/details.php?id=BSGatlas-operon-1220","BSGatlas-operon-1220")</f>
        <v>BSGatlas-operon-1220</v>
      </c>
      <c r="B2291" s="2" t="str">
        <f>HYPERLINK("https://rth.dk/resources/bsgatlas/details.php?id=BSGatlas-gene-2527","BSGatlas-gene-2527")</f>
        <v>BSGatlas-gene-2527</v>
      </c>
      <c r="C2291" s="1" t="s">
        <v>2282</v>
      </c>
      <c r="D2291" s="1" t="s">
        <v>8</v>
      </c>
      <c r="E2291" s="3">
        <v>2272156</v>
      </c>
      <c r="F2291" s="3">
        <v>2272491</v>
      </c>
      <c r="G2291" s="1" t="s">
        <v>9</v>
      </c>
      <c r="H2291" s="1" t="b">
        <f t="shared" si="83"/>
        <v>0</v>
      </c>
    </row>
    <row r="2292" spans="1:8" ht="21" x14ac:dyDescent="0.25">
      <c r="A2292" s="2" t="str">
        <f>HYPERLINK("https://rth.dk/resources/bsgatlas/details.php?id=BSGatlas-operon-1221","BSGatlas-operon-1221")</f>
        <v>BSGatlas-operon-1221</v>
      </c>
      <c r="B2292" s="2" t="str">
        <f>HYPERLINK("https://rth.dk/resources/bsgatlas/details.php?id=BSGatlas-gene-2528","BSGatlas-gene-2528")</f>
        <v>BSGatlas-gene-2528</v>
      </c>
      <c r="C2292" s="1" t="s">
        <v>2283</v>
      </c>
      <c r="D2292" s="1" t="s">
        <v>8</v>
      </c>
      <c r="E2292" s="3">
        <v>2272534</v>
      </c>
      <c r="F2292" s="3">
        <v>2272890</v>
      </c>
      <c r="G2292" s="1" t="s">
        <v>13</v>
      </c>
      <c r="H2292" s="1" t="b">
        <f t="shared" si="83"/>
        <v>1</v>
      </c>
    </row>
    <row r="2293" spans="1:8" ht="21" x14ac:dyDescent="0.25">
      <c r="A2293" s="2" t="str">
        <f>HYPERLINK("https://rth.dk/resources/bsgatlas/details.php?id=BSGatlas-operon-1221","BSGatlas-operon-1221")</f>
        <v>BSGatlas-operon-1221</v>
      </c>
      <c r="B2293" s="2" t="str">
        <f>HYPERLINK("https://rth.dk/resources/bsgatlas/details.php?id=BSGatlas-gene-2529","BSGatlas-gene-2529")</f>
        <v>BSGatlas-gene-2529</v>
      </c>
      <c r="C2293" s="1" t="s">
        <v>2284</v>
      </c>
      <c r="D2293" s="1" t="s">
        <v>8</v>
      </c>
      <c r="E2293" s="3">
        <v>2272896</v>
      </c>
      <c r="F2293" s="3">
        <v>2273363</v>
      </c>
      <c r="G2293" s="1" t="s">
        <v>13</v>
      </c>
      <c r="H2293" s="1" t="b">
        <f t="shared" si="83"/>
        <v>1</v>
      </c>
    </row>
    <row r="2294" spans="1:8" ht="21" x14ac:dyDescent="0.25">
      <c r="A2294" s="2" t="str">
        <f>HYPERLINK("https://rth.dk/resources/bsgatlas/details.php?id=BSGatlas-operon-1222","BSGatlas-operon-1222")</f>
        <v>BSGatlas-operon-1222</v>
      </c>
      <c r="B2294" s="2" t="str">
        <f>HYPERLINK("https://rth.dk/resources/bsgatlas/details.php?id=BSGatlas-gene-2530","BSGatlas-gene-2530")</f>
        <v>BSGatlas-gene-2530</v>
      </c>
      <c r="C2294" s="1" t="s">
        <v>2285</v>
      </c>
      <c r="D2294" s="1" t="s">
        <v>55</v>
      </c>
      <c r="E2294" s="3">
        <v>2273524</v>
      </c>
      <c r="F2294" s="3">
        <v>2273829</v>
      </c>
      <c r="G2294" s="1" t="s">
        <v>9</v>
      </c>
      <c r="H2294" s="1" t="b">
        <f t="shared" si="83"/>
        <v>0</v>
      </c>
    </row>
    <row r="2295" spans="1:8" ht="21" x14ac:dyDescent="0.25">
      <c r="A2295" s="2" t="str">
        <f>HYPERLINK("https://rth.dk/resources/bsgatlas/details.php?id=BSGatlas-operon-1222","BSGatlas-operon-1222")</f>
        <v>BSGatlas-operon-1222</v>
      </c>
      <c r="B2295" s="2" t="str">
        <f>HYPERLINK("https://rth.dk/resources/bsgatlas/details.php?id=BSGatlas-gene-2531","BSGatlas-gene-2531")</f>
        <v>BSGatlas-gene-2531</v>
      </c>
      <c r="C2295" s="1" t="s">
        <v>2286</v>
      </c>
      <c r="D2295" s="1" t="s">
        <v>8</v>
      </c>
      <c r="E2295" s="3">
        <v>2273594</v>
      </c>
      <c r="F2295" s="3">
        <v>2273710</v>
      </c>
      <c r="G2295" s="1" t="s">
        <v>9</v>
      </c>
      <c r="H2295" s="1" t="b">
        <f t="shared" si="83"/>
        <v>0</v>
      </c>
    </row>
    <row r="2296" spans="1:8" ht="21" x14ac:dyDescent="0.25">
      <c r="A2296" s="2" t="str">
        <f>HYPERLINK("https://rth.dk/resources/bsgatlas/details.php?id=BSGatlas-operon-1223","BSGatlas-operon-1223")</f>
        <v>BSGatlas-operon-1223</v>
      </c>
      <c r="B2296" s="2" t="str">
        <f>HYPERLINK("https://rth.dk/resources/bsgatlas/details.php?id=BSGatlas-gene-2532","BSGatlas-gene-2532")</f>
        <v>BSGatlas-gene-2532</v>
      </c>
      <c r="C2296" s="1" t="s">
        <v>2287</v>
      </c>
      <c r="D2296" s="1" t="s">
        <v>2098</v>
      </c>
      <c r="E2296" s="3">
        <v>2273701</v>
      </c>
      <c r="F2296" s="3">
        <v>2273884</v>
      </c>
      <c r="G2296" s="1" t="s">
        <v>13</v>
      </c>
      <c r="H2296" s="1" t="b">
        <f t="shared" si="83"/>
        <v>1</v>
      </c>
    </row>
    <row r="2297" spans="1:8" ht="21" x14ac:dyDescent="0.25">
      <c r="A2297" s="2" t="str">
        <f>HYPERLINK("https://rth.dk/resources/bsgatlas/details.php?id=BSGatlas-operon-1224","BSGatlas-operon-1224")</f>
        <v>BSGatlas-operon-1224</v>
      </c>
      <c r="B2297" s="2" t="str">
        <f>HYPERLINK("https://rth.dk/resources/bsgatlas/details.php?id=BSGatlas-gene-2533","BSGatlas-gene-2533")</f>
        <v>BSGatlas-gene-2533</v>
      </c>
      <c r="C2297" s="1" t="s">
        <v>2288</v>
      </c>
      <c r="D2297" s="1" t="s">
        <v>12</v>
      </c>
      <c r="E2297" s="3">
        <v>2273801</v>
      </c>
      <c r="F2297" s="3">
        <v>2274302</v>
      </c>
      <c r="G2297" s="1" t="s">
        <v>9</v>
      </c>
      <c r="H2297" s="1" t="b">
        <f t="shared" si="83"/>
        <v>0</v>
      </c>
    </row>
    <row r="2298" spans="1:8" ht="21" x14ac:dyDescent="0.25">
      <c r="A2298" s="2" t="str">
        <f>HYPERLINK("https://rth.dk/resources/bsgatlas/details.php?id=BSGatlas-operon-1225","BSGatlas-operon-1225")</f>
        <v>BSGatlas-operon-1225</v>
      </c>
      <c r="B2298" s="2" t="str">
        <f>HYPERLINK("https://rth.dk/resources/bsgatlas/details.php?id=BSGatlas-gene-2534","BSGatlas-gene-2534")</f>
        <v>BSGatlas-gene-2534</v>
      </c>
      <c r="C2298" s="1" t="s">
        <v>2289</v>
      </c>
      <c r="D2298" s="1" t="s">
        <v>8</v>
      </c>
      <c r="E2298" s="3">
        <v>2273989</v>
      </c>
      <c r="F2298" s="3">
        <v>2274522</v>
      </c>
      <c r="G2298" s="1" t="s">
        <v>13</v>
      </c>
      <c r="H2298" s="1" t="b">
        <f t="shared" si="83"/>
        <v>1</v>
      </c>
    </row>
    <row r="2299" spans="1:8" ht="21" x14ac:dyDescent="0.25">
      <c r="A2299" s="2" t="str">
        <f>HYPERLINK("https://rth.dk/resources/bsgatlas/details.php?id=BSGatlas-operon-1225","BSGatlas-operon-1225")</f>
        <v>BSGatlas-operon-1225</v>
      </c>
      <c r="B2299" s="2" t="str">
        <f>HYPERLINK("https://rth.dk/resources/bsgatlas/details.php?id=BSGatlas-gene-2535","BSGatlas-gene-2535")</f>
        <v>BSGatlas-gene-2535</v>
      </c>
      <c r="C2299" s="1" t="s">
        <v>2290</v>
      </c>
      <c r="D2299" s="1" t="s">
        <v>8</v>
      </c>
      <c r="E2299" s="3">
        <v>2274558</v>
      </c>
      <c r="F2299" s="3">
        <v>2275136</v>
      </c>
      <c r="G2299" s="1" t="s">
        <v>13</v>
      </c>
      <c r="H2299" s="1" t="b">
        <f t="shared" si="83"/>
        <v>1</v>
      </c>
    </row>
    <row r="2300" spans="1:8" ht="21" x14ac:dyDescent="0.25">
      <c r="A2300" s="2" t="str">
        <f>HYPERLINK("https://rth.dk/resources/bsgatlas/details.php?id=BSGatlas-operon-1225","BSGatlas-operon-1225")</f>
        <v>BSGatlas-operon-1225</v>
      </c>
      <c r="B2300" s="2" t="str">
        <f>HYPERLINK("https://rth.dk/resources/bsgatlas/details.php?id=BSGatlas-gene-2536","BSGatlas-gene-2536")</f>
        <v>BSGatlas-gene-2536</v>
      </c>
      <c r="C2300" s="1" t="s">
        <v>2291</v>
      </c>
      <c r="D2300" s="1" t="s">
        <v>8</v>
      </c>
      <c r="E2300" s="3">
        <v>2275200</v>
      </c>
      <c r="F2300" s="3">
        <v>2275697</v>
      </c>
      <c r="G2300" s="1" t="s">
        <v>13</v>
      </c>
      <c r="H2300" s="1" t="b">
        <f t="shared" si="83"/>
        <v>1</v>
      </c>
    </row>
    <row r="2301" spans="1:8" ht="21" x14ac:dyDescent="0.25">
      <c r="A2301" s="2" t="str">
        <f>HYPERLINK("https://rth.dk/resources/bsgatlas/details.php?id=BSGatlas-operon-1225","BSGatlas-operon-1225")</f>
        <v>BSGatlas-operon-1225</v>
      </c>
      <c r="B2301" s="2" t="str">
        <f>HYPERLINK("https://rth.dk/resources/bsgatlas/details.php?id=BSGatlas-gene-2537","BSGatlas-gene-2537")</f>
        <v>BSGatlas-gene-2537</v>
      </c>
      <c r="C2301" s="1" t="s">
        <v>2292</v>
      </c>
      <c r="D2301" s="1" t="s">
        <v>8</v>
      </c>
      <c r="E2301" s="3">
        <v>2275706</v>
      </c>
      <c r="F2301" s="3">
        <v>2277421</v>
      </c>
      <c r="G2301" s="1" t="s">
        <v>13</v>
      </c>
      <c r="H2301" s="1" t="b">
        <f t="shared" si="83"/>
        <v>1</v>
      </c>
    </row>
    <row r="2302" spans="1:8" ht="21" x14ac:dyDescent="0.25">
      <c r="A2302" s="2" t="str">
        <f>HYPERLINK("https://rth.dk/resources/bsgatlas/details.php?id=BSGatlas-operon-1226","BSGatlas-operon-1226")</f>
        <v>BSGatlas-operon-1226</v>
      </c>
      <c r="B2302" s="2" t="str">
        <f>HYPERLINK("https://rth.dk/resources/bsgatlas/details.php?id=BSGatlas-gene-2541","BSGatlas-gene-2541")</f>
        <v>BSGatlas-gene-2541</v>
      </c>
      <c r="C2302" s="1" t="s">
        <v>2293</v>
      </c>
      <c r="D2302" s="1" t="s">
        <v>8</v>
      </c>
      <c r="E2302" s="3">
        <v>2278602</v>
      </c>
      <c r="F2302" s="3">
        <v>2279675</v>
      </c>
      <c r="G2302" s="1" t="s">
        <v>13</v>
      </c>
      <c r="H2302" s="1" t="b">
        <f t="shared" si="83"/>
        <v>0</v>
      </c>
    </row>
    <row r="2303" spans="1:8" ht="21" x14ac:dyDescent="0.25">
      <c r="A2303" s="2" t="str">
        <f>HYPERLINK("https://rth.dk/resources/bsgatlas/details.php?id=BSGatlas-operon-1227","BSGatlas-operon-1227")</f>
        <v>BSGatlas-operon-1227</v>
      </c>
      <c r="B2303" s="2" t="str">
        <f>HYPERLINK("https://rth.dk/resources/bsgatlas/details.php?id=BSGatlas-gene-2542","BSGatlas-gene-2542")</f>
        <v>BSGatlas-gene-2542</v>
      </c>
      <c r="C2303" s="1" t="s">
        <v>2294</v>
      </c>
      <c r="D2303" s="1" t="s">
        <v>8</v>
      </c>
      <c r="E2303" s="3">
        <v>2279977</v>
      </c>
      <c r="F2303" s="3">
        <v>2280867</v>
      </c>
      <c r="G2303" s="1" t="s">
        <v>9</v>
      </c>
      <c r="H2303" s="1" t="b">
        <f t="shared" si="83"/>
        <v>1</v>
      </c>
    </row>
    <row r="2304" spans="1:8" ht="21" x14ac:dyDescent="0.25">
      <c r="A2304" s="2" t="str">
        <f>HYPERLINK("https://rth.dk/resources/bsgatlas/details.php?id=BSGatlas-operon-1227","BSGatlas-operon-1227")</f>
        <v>BSGatlas-operon-1227</v>
      </c>
      <c r="B2304" s="2" t="str">
        <f>HYPERLINK("https://rth.dk/resources/bsgatlas/details.php?id=BSGatlas-gene-2543","BSGatlas-gene-2543")</f>
        <v>BSGatlas-gene-2543</v>
      </c>
      <c r="C2304" s="1" t="s">
        <v>2295</v>
      </c>
      <c r="D2304" s="1" t="s">
        <v>8</v>
      </c>
      <c r="E2304" s="3">
        <v>2280881</v>
      </c>
      <c r="F2304" s="3">
        <v>2281363</v>
      </c>
      <c r="G2304" s="1" t="s">
        <v>9</v>
      </c>
      <c r="H2304" s="1" t="b">
        <f t="shared" si="83"/>
        <v>1</v>
      </c>
    </row>
    <row r="2305" spans="1:8" ht="21" x14ac:dyDescent="0.25">
      <c r="A2305" s="2" t="str">
        <f>HYPERLINK("https://rth.dk/resources/bsgatlas/details.php?id=BSGatlas-operon-1228","BSGatlas-operon-1228")</f>
        <v>BSGatlas-operon-1228</v>
      </c>
      <c r="B2305" s="2" t="str">
        <f>HYPERLINK("https://rth.dk/resources/bsgatlas/details.php?id=BSGatlas-gene-2545","BSGatlas-gene-2545")</f>
        <v>BSGatlas-gene-2545</v>
      </c>
      <c r="C2305" s="1" t="s">
        <v>318</v>
      </c>
      <c r="D2305" s="1" t="s">
        <v>8</v>
      </c>
      <c r="E2305" s="3">
        <v>2282505</v>
      </c>
      <c r="F2305" s="3">
        <v>2282639</v>
      </c>
      <c r="G2305" s="1" t="s">
        <v>13</v>
      </c>
      <c r="H2305" s="1" t="b">
        <f t="shared" si="83"/>
        <v>0</v>
      </c>
    </row>
    <row r="2306" spans="1:8" ht="21" x14ac:dyDescent="0.25">
      <c r="A2306" s="2" t="str">
        <f>HYPERLINK("https://rth.dk/resources/bsgatlas/details.php?id=BSGatlas-operon-1229","BSGatlas-operon-1229")</f>
        <v>BSGatlas-operon-1229</v>
      </c>
      <c r="B2306" s="2" t="str">
        <f>HYPERLINK("https://rth.dk/resources/bsgatlas/details.php?id=BSGatlas-gene-2544","BSGatlas-gene-2544")</f>
        <v>BSGatlas-gene-2544</v>
      </c>
      <c r="C2306" s="1" t="s">
        <v>2296</v>
      </c>
      <c r="D2306" s="1" t="s">
        <v>8</v>
      </c>
      <c r="E2306" s="3">
        <v>2281667</v>
      </c>
      <c r="F2306" s="3">
        <v>2282485</v>
      </c>
      <c r="G2306" s="1" t="s">
        <v>9</v>
      </c>
      <c r="H2306" s="1" t="b">
        <f t="shared" ref="H2306:H2369" si="85">_xlfn.XOR(A2305&lt;&gt;A2306,H2305)</f>
        <v>1</v>
      </c>
    </row>
    <row r="2307" spans="1:8" ht="21" x14ac:dyDescent="0.25">
      <c r="A2307" s="2" t="str">
        <f>HYPERLINK("https://rth.dk/resources/bsgatlas/details.php?id=BSGatlas-operon-1230","BSGatlas-operon-1230")</f>
        <v>BSGatlas-operon-1230</v>
      </c>
      <c r="B2307" s="2" t="str">
        <f>HYPERLINK("https://rth.dk/resources/bsgatlas/details.php?id=BSGatlas-gene-2549","BSGatlas-gene-2549")</f>
        <v>BSGatlas-gene-2549</v>
      </c>
      <c r="C2307" s="1" t="s">
        <v>2297</v>
      </c>
      <c r="D2307" s="1" t="s">
        <v>12</v>
      </c>
      <c r="E2307" s="3">
        <v>2283685</v>
      </c>
      <c r="F2307" s="3">
        <v>2283753</v>
      </c>
      <c r="G2307" s="1" t="s">
        <v>13</v>
      </c>
      <c r="H2307" s="1" t="b">
        <f t="shared" si="85"/>
        <v>0</v>
      </c>
    </row>
    <row r="2308" spans="1:8" ht="21" x14ac:dyDescent="0.25">
      <c r="A2308" s="2" t="str">
        <f>HYPERLINK("https://rth.dk/resources/bsgatlas/details.php?id=BSGatlas-operon-1231","BSGatlas-operon-1231")</f>
        <v>BSGatlas-operon-1231</v>
      </c>
      <c r="B2308" s="2" t="str">
        <f>HYPERLINK("https://rth.dk/resources/bsgatlas/details.php?id=BSGatlas-gene-2550","BSGatlas-gene-2550")</f>
        <v>BSGatlas-gene-2550</v>
      </c>
      <c r="C2308" s="1" t="s">
        <v>2298</v>
      </c>
      <c r="D2308" s="1" t="s">
        <v>8</v>
      </c>
      <c r="E2308" s="3">
        <v>2283858</v>
      </c>
      <c r="F2308" s="3">
        <v>2284568</v>
      </c>
      <c r="G2308" s="1" t="s">
        <v>13</v>
      </c>
      <c r="H2308" s="1" t="b">
        <f t="shared" si="85"/>
        <v>1</v>
      </c>
    </row>
    <row r="2309" spans="1:8" ht="21" x14ac:dyDescent="0.25">
      <c r="A2309" s="2" t="str">
        <f>HYPERLINK("https://rth.dk/resources/bsgatlas/details.php?id=BSGatlas-operon-1232","BSGatlas-operon-1232")</f>
        <v>BSGatlas-operon-1232</v>
      </c>
      <c r="B2309" s="2" t="str">
        <f>HYPERLINK("https://rth.dk/resources/bsgatlas/details.php?id=BSGatlas-gene-2551","BSGatlas-gene-2551")</f>
        <v>BSGatlas-gene-2551</v>
      </c>
      <c r="C2309" s="1" t="s">
        <v>2299</v>
      </c>
      <c r="D2309" s="1" t="s">
        <v>8</v>
      </c>
      <c r="E2309" s="3">
        <v>2284771</v>
      </c>
      <c r="F2309" s="3">
        <v>2286408</v>
      </c>
      <c r="G2309" s="1" t="s">
        <v>9</v>
      </c>
      <c r="H2309" s="1" t="b">
        <f t="shared" si="85"/>
        <v>0</v>
      </c>
    </row>
    <row r="2310" spans="1:8" ht="21" x14ac:dyDescent="0.25">
      <c r="A2310" s="2" t="str">
        <f>HYPERLINK("https://rth.dk/resources/bsgatlas/details.php?id=BSGatlas-operon-1232","BSGatlas-operon-1232")</f>
        <v>BSGatlas-operon-1232</v>
      </c>
      <c r="B2310" s="2" t="str">
        <f>HYPERLINK("https://rth.dk/resources/bsgatlas/details.php?id=BSGatlas-gene-2552","BSGatlas-gene-2552")</f>
        <v>BSGatlas-gene-2552</v>
      </c>
      <c r="C2310" s="1" t="s">
        <v>2300</v>
      </c>
      <c r="D2310" s="1" t="s">
        <v>276</v>
      </c>
      <c r="E2310" s="3">
        <v>2286448</v>
      </c>
      <c r="F2310" s="3">
        <v>2287053</v>
      </c>
      <c r="G2310" s="1" t="s">
        <v>9</v>
      </c>
      <c r="H2310" s="1" t="b">
        <f t="shared" si="85"/>
        <v>0</v>
      </c>
    </row>
    <row r="2311" spans="1:8" ht="21" x14ac:dyDescent="0.25">
      <c r="A2311" s="2" t="str">
        <f>HYPERLINK("https://rth.dk/resources/bsgatlas/details.php?id=BSGatlas-operon-1233","BSGatlas-operon-1233")</f>
        <v>BSGatlas-operon-1233</v>
      </c>
      <c r="B2311" s="2" t="str">
        <f>HYPERLINK("https://rth.dk/resources/bsgatlas/details.php?id=BSGatlas-gene-2553","BSGatlas-gene-2553")</f>
        <v>BSGatlas-gene-2553</v>
      </c>
      <c r="C2311" s="1" t="s">
        <v>2301</v>
      </c>
      <c r="D2311" s="1" t="s">
        <v>8</v>
      </c>
      <c r="E2311" s="3">
        <v>2287097</v>
      </c>
      <c r="F2311" s="3">
        <v>2287528</v>
      </c>
      <c r="G2311" s="1" t="s">
        <v>13</v>
      </c>
      <c r="H2311" s="1" t="b">
        <f t="shared" si="85"/>
        <v>1</v>
      </c>
    </row>
    <row r="2312" spans="1:8" ht="21" x14ac:dyDescent="0.25">
      <c r="A2312" s="2" t="str">
        <f>HYPERLINK("https://rth.dk/resources/bsgatlas/details.php?id=BSGatlas-operon-1233","BSGatlas-operon-1233")</f>
        <v>BSGatlas-operon-1233</v>
      </c>
      <c r="B2312" s="2" t="str">
        <f>HYPERLINK("https://rth.dk/resources/bsgatlas/details.php?id=BSGatlas-gene-2554","BSGatlas-gene-2554")</f>
        <v>BSGatlas-gene-2554</v>
      </c>
      <c r="C2312" s="1" t="s">
        <v>2302</v>
      </c>
      <c r="D2312" s="1" t="s">
        <v>8</v>
      </c>
      <c r="E2312" s="3">
        <v>2287529</v>
      </c>
      <c r="F2312" s="3">
        <v>2288062</v>
      </c>
      <c r="G2312" s="1" t="s">
        <v>13</v>
      </c>
      <c r="H2312" s="1" t="b">
        <f t="shared" si="85"/>
        <v>1</v>
      </c>
    </row>
    <row r="2313" spans="1:8" ht="21" x14ac:dyDescent="0.25">
      <c r="A2313" s="2" t="str">
        <f>HYPERLINK("https://rth.dk/resources/bsgatlas/details.php?id=BSGatlas-operon-1234","BSGatlas-operon-1234")</f>
        <v>BSGatlas-operon-1234</v>
      </c>
      <c r="B2313" s="2" t="str">
        <f>HYPERLINK("https://rth.dk/resources/bsgatlas/details.php?id=BSGatlas-gene-2555","BSGatlas-gene-2555")</f>
        <v>BSGatlas-gene-2555</v>
      </c>
      <c r="C2313" s="1" t="s">
        <v>2303</v>
      </c>
      <c r="D2313" s="1" t="s">
        <v>8</v>
      </c>
      <c r="E2313" s="3">
        <v>2288194</v>
      </c>
      <c r="F2313" s="3">
        <v>2288619</v>
      </c>
      <c r="G2313" s="1" t="s">
        <v>9</v>
      </c>
      <c r="H2313" s="1" t="b">
        <f t="shared" si="85"/>
        <v>0</v>
      </c>
    </row>
    <row r="2314" spans="1:8" ht="21" x14ac:dyDescent="0.25">
      <c r="A2314" s="2" t="str">
        <f>HYPERLINK("https://rth.dk/resources/bsgatlas/details.php?id=BSGatlas-operon-1235","BSGatlas-operon-1235")</f>
        <v>BSGatlas-operon-1235</v>
      </c>
      <c r="B2314" s="2" t="str">
        <f>HYPERLINK("https://rth.dk/resources/bsgatlas/details.php?id=BSGatlas-gene-2556","BSGatlas-gene-2556")</f>
        <v>BSGatlas-gene-2556</v>
      </c>
      <c r="C2314" s="1" t="s">
        <v>2304</v>
      </c>
      <c r="D2314" s="1" t="s">
        <v>8</v>
      </c>
      <c r="E2314" s="3">
        <v>2288669</v>
      </c>
      <c r="F2314" s="3">
        <v>2290006</v>
      </c>
      <c r="G2314" s="1" t="s">
        <v>13</v>
      </c>
      <c r="H2314" s="1" t="b">
        <f t="shared" si="85"/>
        <v>1</v>
      </c>
    </row>
    <row r="2315" spans="1:8" ht="21" x14ac:dyDescent="0.25">
      <c r="A2315" s="2" t="str">
        <f>HYPERLINK("https://rth.dk/resources/bsgatlas/details.php?id=BSGatlas-operon-1236","BSGatlas-operon-1236")</f>
        <v>BSGatlas-operon-1236</v>
      </c>
      <c r="B2315" s="2" t="str">
        <f>HYPERLINK("https://rth.dk/resources/bsgatlas/details.php?id=BSGatlas-gene-2557","BSGatlas-gene-2557")</f>
        <v>BSGatlas-gene-2557</v>
      </c>
      <c r="C2315" s="1" t="s">
        <v>2305</v>
      </c>
      <c r="D2315" s="1" t="s">
        <v>8</v>
      </c>
      <c r="E2315" s="3">
        <v>2290078</v>
      </c>
      <c r="F2315" s="3">
        <v>2290272</v>
      </c>
      <c r="G2315" s="1" t="s">
        <v>13</v>
      </c>
      <c r="H2315" s="1" t="b">
        <f t="shared" si="85"/>
        <v>0</v>
      </c>
    </row>
    <row r="2316" spans="1:8" ht="21" x14ac:dyDescent="0.25">
      <c r="A2316" s="2" t="str">
        <f>HYPERLINK("https://rth.dk/resources/bsgatlas/details.php?id=BSGatlas-operon-1236","BSGatlas-operon-1236")</f>
        <v>BSGatlas-operon-1236</v>
      </c>
      <c r="B2316" s="2" t="str">
        <f>HYPERLINK("https://rth.dk/resources/bsgatlas/details.php?id=BSGatlas-gene-2558","BSGatlas-gene-2558")</f>
        <v>BSGatlas-gene-2558</v>
      </c>
      <c r="C2316" s="1" t="s">
        <v>2306</v>
      </c>
      <c r="D2316" s="1" t="s">
        <v>8</v>
      </c>
      <c r="E2316" s="3">
        <v>2290285</v>
      </c>
      <c r="F2316" s="3">
        <v>2290848</v>
      </c>
      <c r="G2316" s="1" t="s">
        <v>13</v>
      </c>
      <c r="H2316" s="1" t="b">
        <f t="shared" si="85"/>
        <v>0</v>
      </c>
    </row>
    <row r="2317" spans="1:8" ht="21" x14ac:dyDescent="0.25">
      <c r="A2317" s="2" t="str">
        <f>HYPERLINK("https://rth.dk/resources/bsgatlas/details.php?id=BSGatlas-operon-1236","BSGatlas-operon-1236")</f>
        <v>BSGatlas-operon-1236</v>
      </c>
      <c r="B2317" s="2" t="str">
        <f>HYPERLINK("https://rth.dk/resources/bsgatlas/details.php?id=BSGatlas-gene-2559","BSGatlas-gene-2559")</f>
        <v>BSGatlas-gene-2559</v>
      </c>
      <c r="C2317" s="1" t="s">
        <v>2307</v>
      </c>
      <c r="D2317" s="1" t="s">
        <v>8</v>
      </c>
      <c r="E2317" s="3">
        <v>2290858</v>
      </c>
      <c r="F2317" s="3">
        <v>2291625</v>
      </c>
      <c r="G2317" s="1" t="s">
        <v>13</v>
      </c>
      <c r="H2317" s="1" t="b">
        <f t="shared" si="85"/>
        <v>0</v>
      </c>
    </row>
    <row r="2318" spans="1:8" ht="21" x14ac:dyDescent="0.25">
      <c r="A2318" s="2" t="str">
        <f>HYPERLINK("https://rth.dk/resources/bsgatlas/details.php?id=BSGatlas-operon-1236","BSGatlas-operon-1236")</f>
        <v>BSGatlas-operon-1236</v>
      </c>
      <c r="B2318" s="2" t="str">
        <f>HYPERLINK("https://rth.dk/resources/bsgatlas/details.php?id=BSGatlas-gene-2560","BSGatlas-gene-2560")</f>
        <v>BSGatlas-gene-2560</v>
      </c>
      <c r="C2318" s="1" t="s">
        <v>2308</v>
      </c>
      <c r="D2318" s="1" t="s">
        <v>8</v>
      </c>
      <c r="E2318" s="3">
        <v>2291703</v>
      </c>
      <c r="F2318" s="3">
        <v>2292284</v>
      </c>
      <c r="G2318" s="1" t="s">
        <v>13</v>
      </c>
      <c r="H2318" s="1" t="b">
        <f t="shared" si="85"/>
        <v>0</v>
      </c>
    </row>
    <row r="2319" spans="1:8" ht="21" x14ac:dyDescent="0.25">
      <c r="A2319" s="2" t="str">
        <f>HYPERLINK("https://rth.dk/resources/bsgatlas/details.php?id=BSGatlas-operon-1237","BSGatlas-operon-1237")</f>
        <v>BSGatlas-operon-1237</v>
      </c>
      <c r="B2319" s="2" t="str">
        <f>HYPERLINK("https://rth.dk/resources/bsgatlas/details.php?id=BSGatlas-gene-2561","BSGatlas-gene-2561")</f>
        <v>BSGatlas-gene-2561</v>
      </c>
      <c r="C2319" s="1" t="s">
        <v>2309</v>
      </c>
      <c r="D2319" s="1" t="s">
        <v>8</v>
      </c>
      <c r="E2319" s="3">
        <v>2292432</v>
      </c>
      <c r="F2319" s="3">
        <v>2292683</v>
      </c>
      <c r="G2319" s="1" t="s">
        <v>13</v>
      </c>
      <c r="H2319" s="1" t="b">
        <f t="shared" si="85"/>
        <v>1</v>
      </c>
    </row>
    <row r="2320" spans="1:8" ht="21" x14ac:dyDescent="0.25">
      <c r="A2320" s="2" t="str">
        <f>HYPERLINK("https://rth.dk/resources/bsgatlas/details.php?id=BSGatlas-operon-1237","BSGatlas-operon-1237")</f>
        <v>BSGatlas-operon-1237</v>
      </c>
      <c r="B2320" s="2" t="str">
        <f>HYPERLINK("https://rth.dk/resources/bsgatlas/details.php?id=BSGatlas-gene-2562","BSGatlas-gene-2562")</f>
        <v>BSGatlas-gene-2562</v>
      </c>
      <c r="C2320" s="1" t="s">
        <v>2310</v>
      </c>
      <c r="D2320" s="1" t="s">
        <v>8</v>
      </c>
      <c r="E2320" s="3">
        <v>2292769</v>
      </c>
      <c r="F2320" s="3">
        <v>2294037</v>
      </c>
      <c r="G2320" s="1" t="s">
        <v>13</v>
      </c>
      <c r="H2320" s="1" t="b">
        <f t="shared" si="85"/>
        <v>1</v>
      </c>
    </row>
    <row r="2321" spans="1:8" ht="21" x14ac:dyDescent="0.25">
      <c r="A2321" s="2" t="str">
        <f>HYPERLINK("https://rth.dk/resources/bsgatlas/details.php?id=BSGatlas-operon-1238","BSGatlas-operon-1238")</f>
        <v>BSGatlas-operon-1238</v>
      </c>
      <c r="B2321" s="2" t="str">
        <f>HYPERLINK("https://rth.dk/resources/bsgatlas/details.php?id=BSGatlas-gene-2563","BSGatlas-gene-2563")</f>
        <v>BSGatlas-gene-2563</v>
      </c>
      <c r="C2321" s="1" t="s">
        <v>2311</v>
      </c>
      <c r="D2321" s="1" t="s">
        <v>8</v>
      </c>
      <c r="E2321" s="3">
        <v>2294286</v>
      </c>
      <c r="F2321" s="3">
        <v>2295281</v>
      </c>
      <c r="G2321" s="1" t="s">
        <v>9</v>
      </c>
      <c r="H2321" s="1" t="b">
        <f t="shared" si="85"/>
        <v>0</v>
      </c>
    </row>
    <row r="2322" spans="1:8" ht="21" x14ac:dyDescent="0.25">
      <c r="A2322" s="2" t="str">
        <f>HYPERLINK("https://rth.dk/resources/bsgatlas/details.php?id=BSGatlas-operon-1238","BSGatlas-operon-1238")</f>
        <v>BSGatlas-operon-1238</v>
      </c>
      <c r="B2322" s="2" t="str">
        <f>HYPERLINK("https://rth.dk/resources/bsgatlas/details.php?id=BSGatlas-gene-2564","BSGatlas-gene-2564")</f>
        <v>BSGatlas-gene-2564</v>
      </c>
      <c r="C2322" s="1" t="s">
        <v>2312</v>
      </c>
      <c r="D2322" s="1" t="s">
        <v>8</v>
      </c>
      <c r="E2322" s="3">
        <v>2295302</v>
      </c>
      <c r="F2322" s="3">
        <v>2295943</v>
      </c>
      <c r="G2322" s="1" t="s">
        <v>9</v>
      </c>
      <c r="H2322" s="1" t="b">
        <f t="shared" si="85"/>
        <v>0</v>
      </c>
    </row>
    <row r="2323" spans="1:8" ht="21" x14ac:dyDescent="0.25">
      <c r="A2323" s="2" t="str">
        <f>HYPERLINK("https://rth.dk/resources/bsgatlas/details.php?id=BSGatlas-operon-1239","BSGatlas-operon-1239")</f>
        <v>BSGatlas-operon-1239</v>
      </c>
      <c r="B2323" s="2" t="str">
        <f>HYPERLINK("https://rth.dk/resources/bsgatlas/details.php?id=BSGatlas-gene-2565","BSGatlas-gene-2565")</f>
        <v>BSGatlas-gene-2565</v>
      </c>
      <c r="C2323" s="1" t="s">
        <v>2313</v>
      </c>
      <c r="D2323" s="1" t="s">
        <v>8</v>
      </c>
      <c r="E2323" s="3">
        <v>2295982</v>
      </c>
      <c r="F2323" s="3">
        <v>2296602</v>
      </c>
      <c r="G2323" s="1" t="s">
        <v>13</v>
      </c>
      <c r="H2323" s="1" t="b">
        <f t="shared" si="85"/>
        <v>1</v>
      </c>
    </row>
    <row r="2324" spans="1:8" ht="21" x14ac:dyDescent="0.25">
      <c r="A2324" s="2" t="str">
        <f>HYPERLINK("https://rth.dk/resources/bsgatlas/details.php?id=BSGatlas-operon-1239","BSGatlas-operon-1239")</f>
        <v>BSGatlas-operon-1239</v>
      </c>
      <c r="B2324" s="2" t="str">
        <f>HYPERLINK("https://rth.dk/resources/bsgatlas/details.php?id=BSGatlas-gene-2566","BSGatlas-gene-2566")</f>
        <v>BSGatlas-gene-2566</v>
      </c>
      <c r="C2324" s="1" t="s">
        <v>2314</v>
      </c>
      <c r="D2324" s="1" t="s">
        <v>8</v>
      </c>
      <c r="E2324" s="3">
        <v>2296603</v>
      </c>
      <c r="F2324" s="3">
        <v>2297109</v>
      </c>
      <c r="G2324" s="1" t="s">
        <v>13</v>
      </c>
      <c r="H2324" s="1" t="b">
        <f t="shared" si="85"/>
        <v>1</v>
      </c>
    </row>
    <row r="2325" spans="1:8" ht="21" x14ac:dyDescent="0.25">
      <c r="A2325" s="2" t="str">
        <f>HYPERLINK("https://rth.dk/resources/bsgatlas/details.php?id=BSGatlas-operon-1239","BSGatlas-operon-1239")</f>
        <v>BSGatlas-operon-1239</v>
      </c>
      <c r="B2325" s="2" t="str">
        <f>HYPERLINK("https://rth.dk/resources/bsgatlas/details.php?id=BSGatlas-gene-2567","BSGatlas-gene-2567")</f>
        <v>BSGatlas-gene-2567</v>
      </c>
      <c r="C2325" s="1" t="s">
        <v>2315</v>
      </c>
      <c r="D2325" s="1" t="s">
        <v>8</v>
      </c>
      <c r="E2325" s="3">
        <v>2297106</v>
      </c>
      <c r="F2325" s="3">
        <v>2297900</v>
      </c>
      <c r="G2325" s="1" t="s">
        <v>13</v>
      </c>
      <c r="H2325" s="1" t="b">
        <f t="shared" si="85"/>
        <v>1</v>
      </c>
    </row>
    <row r="2326" spans="1:8" ht="21" x14ac:dyDescent="0.25">
      <c r="A2326" s="2" t="str">
        <f>HYPERLINK("https://rth.dk/resources/bsgatlas/details.php?id=BSGatlas-operon-1239","BSGatlas-operon-1239")</f>
        <v>BSGatlas-operon-1239</v>
      </c>
      <c r="B2326" s="2" t="str">
        <f>HYPERLINK("https://rth.dk/resources/bsgatlas/details.php?id=BSGatlas-gene-2568","BSGatlas-gene-2568")</f>
        <v>BSGatlas-gene-2568</v>
      </c>
      <c r="C2326" s="1" t="s">
        <v>2316</v>
      </c>
      <c r="D2326" s="1" t="s">
        <v>8</v>
      </c>
      <c r="E2326" s="3">
        <v>2297984</v>
      </c>
      <c r="F2326" s="3">
        <v>2298517</v>
      </c>
      <c r="G2326" s="1" t="s">
        <v>13</v>
      </c>
      <c r="H2326" s="1" t="b">
        <f t="shared" si="85"/>
        <v>1</v>
      </c>
    </row>
    <row r="2327" spans="1:8" ht="21" x14ac:dyDescent="0.25">
      <c r="A2327" s="2" t="str">
        <f>HYPERLINK("https://rth.dk/resources/bsgatlas/details.php?id=BSGatlas-operon-1239","BSGatlas-operon-1239")</f>
        <v>BSGatlas-operon-1239</v>
      </c>
      <c r="B2327" s="2" t="str">
        <f>HYPERLINK("https://rth.dk/resources/bsgatlas/details.php?id=BSGatlas-gene-2569","BSGatlas-gene-2569")</f>
        <v>BSGatlas-gene-2569</v>
      </c>
      <c r="C2327" s="1" t="s">
        <v>2317</v>
      </c>
      <c r="D2327" s="1" t="s">
        <v>8</v>
      </c>
      <c r="E2327" s="3">
        <v>2298535</v>
      </c>
      <c r="F2327" s="3">
        <v>2299146</v>
      </c>
      <c r="G2327" s="1" t="s">
        <v>13</v>
      </c>
      <c r="H2327" s="1" t="b">
        <f t="shared" si="85"/>
        <v>1</v>
      </c>
    </row>
    <row r="2328" spans="1:8" ht="21" x14ac:dyDescent="0.25">
      <c r="A2328" s="2" t="str">
        <f>HYPERLINK("https://rth.dk/resources/bsgatlas/details.php?id=BSGatlas-operon-1240","BSGatlas-operon-1240")</f>
        <v>BSGatlas-operon-1240</v>
      </c>
      <c r="B2328" s="2" t="str">
        <f>HYPERLINK("https://rth.dk/resources/bsgatlas/details.php?id=BSGatlas-gene-2570","BSGatlas-gene-2570")</f>
        <v>BSGatlas-gene-2570</v>
      </c>
      <c r="C2328" s="1" t="s">
        <v>2318</v>
      </c>
      <c r="D2328" s="1" t="s">
        <v>12</v>
      </c>
      <c r="E2328" s="3">
        <v>2299176</v>
      </c>
      <c r="F2328" s="3">
        <v>2299416</v>
      </c>
      <c r="G2328" s="1" t="s">
        <v>9</v>
      </c>
      <c r="H2328" s="1" t="b">
        <f t="shared" si="85"/>
        <v>0</v>
      </c>
    </row>
    <row r="2329" spans="1:8" ht="21" x14ac:dyDescent="0.25">
      <c r="A2329" s="2" t="str">
        <f>HYPERLINK("https://rth.dk/resources/bsgatlas/details.php?id=BSGatlas-operon-1241","BSGatlas-operon-1241")</f>
        <v>BSGatlas-operon-1241</v>
      </c>
      <c r="B2329" s="2" t="str">
        <f>HYPERLINK("https://rth.dk/resources/bsgatlas/details.php?id=BSGatlas-gene-2571","BSGatlas-gene-2571")</f>
        <v>BSGatlas-gene-2571</v>
      </c>
      <c r="C2329" s="1" t="s">
        <v>2319</v>
      </c>
      <c r="D2329" s="1" t="s">
        <v>8</v>
      </c>
      <c r="E2329" s="3">
        <v>2299406</v>
      </c>
      <c r="F2329" s="3">
        <v>2300179</v>
      </c>
      <c r="G2329" s="1" t="s">
        <v>13</v>
      </c>
      <c r="H2329" s="1" t="b">
        <f t="shared" si="85"/>
        <v>1</v>
      </c>
    </row>
    <row r="2330" spans="1:8" ht="21" x14ac:dyDescent="0.25">
      <c r="A2330" s="2" t="str">
        <f>HYPERLINK("https://rth.dk/resources/bsgatlas/details.php?id=BSGatlas-operon-1241","BSGatlas-operon-1241")</f>
        <v>BSGatlas-operon-1241</v>
      </c>
      <c r="B2330" s="2" t="str">
        <f>HYPERLINK("https://rth.dk/resources/bsgatlas/details.php?id=BSGatlas-gene-2572","BSGatlas-gene-2572")</f>
        <v>BSGatlas-gene-2572</v>
      </c>
      <c r="C2330" s="1" t="s">
        <v>2320</v>
      </c>
      <c r="D2330" s="1" t="s">
        <v>8</v>
      </c>
      <c r="E2330" s="3">
        <v>2300221</v>
      </c>
      <c r="F2330" s="3">
        <v>2300655</v>
      </c>
      <c r="G2330" s="1" t="s">
        <v>13</v>
      </c>
      <c r="H2330" s="1" t="b">
        <f t="shared" si="85"/>
        <v>1</v>
      </c>
    </row>
    <row r="2331" spans="1:8" ht="21" x14ac:dyDescent="0.25">
      <c r="A2331" s="2" t="str">
        <f>HYPERLINK("https://rth.dk/resources/bsgatlas/details.php?id=BSGatlas-operon-1242","BSGatlas-operon-1242")</f>
        <v>BSGatlas-operon-1242</v>
      </c>
      <c r="B2331" s="2" t="str">
        <f>HYPERLINK("https://rth.dk/resources/bsgatlas/details.php?id=BSGatlas-gene-2573","BSGatlas-gene-2573")</f>
        <v>BSGatlas-gene-2573</v>
      </c>
      <c r="C2331" s="1" t="s">
        <v>2321</v>
      </c>
      <c r="D2331" s="1" t="s">
        <v>8</v>
      </c>
      <c r="E2331" s="3">
        <v>2300762</v>
      </c>
      <c r="F2331" s="3">
        <v>2302438</v>
      </c>
      <c r="G2331" s="1" t="s">
        <v>13</v>
      </c>
      <c r="H2331" s="1" t="b">
        <f t="shared" si="85"/>
        <v>0</v>
      </c>
    </row>
    <row r="2332" spans="1:8" ht="21" x14ac:dyDescent="0.25">
      <c r="A2332" s="2" t="str">
        <f>HYPERLINK("https://rth.dk/resources/bsgatlas/details.php?id=BSGatlas-operon-1243","BSGatlas-operon-1243")</f>
        <v>BSGatlas-operon-1243</v>
      </c>
      <c r="B2332" s="2" t="str">
        <f>HYPERLINK("https://rth.dk/resources/bsgatlas/details.php?id=BSGatlas-gene-2574","BSGatlas-gene-2574")</f>
        <v>BSGatlas-gene-2574</v>
      </c>
      <c r="C2332" s="1" t="s">
        <v>2322</v>
      </c>
      <c r="D2332" s="1" t="s">
        <v>8</v>
      </c>
      <c r="E2332" s="3">
        <v>2302727</v>
      </c>
      <c r="F2332" s="3">
        <v>2303860</v>
      </c>
      <c r="G2332" s="1" t="s">
        <v>13</v>
      </c>
      <c r="H2332" s="1" t="b">
        <f t="shared" si="85"/>
        <v>1</v>
      </c>
    </row>
    <row r="2333" spans="1:8" ht="21" x14ac:dyDescent="0.25">
      <c r="A2333" s="2" t="str">
        <f>HYPERLINK("https://rth.dk/resources/bsgatlas/details.php?id=BSGatlas-operon-1243","BSGatlas-operon-1243")</f>
        <v>BSGatlas-operon-1243</v>
      </c>
      <c r="B2333" s="2" t="str">
        <f>HYPERLINK("https://rth.dk/resources/bsgatlas/details.php?id=BSGatlas-gene-2575","BSGatlas-gene-2575")</f>
        <v>BSGatlas-gene-2575</v>
      </c>
      <c r="C2333" s="1" t="s">
        <v>2323</v>
      </c>
      <c r="D2333" s="1" t="s">
        <v>8</v>
      </c>
      <c r="E2333" s="3">
        <v>2303920</v>
      </c>
      <c r="F2333" s="3">
        <v>2304537</v>
      </c>
      <c r="G2333" s="1" t="s">
        <v>13</v>
      </c>
      <c r="H2333" s="1" t="b">
        <f t="shared" si="85"/>
        <v>1</v>
      </c>
    </row>
    <row r="2334" spans="1:8" ht="21" x14ac:dyDescent="0.25">
      <c r="A2334" s="2" t="str">
        <f>HYPERLINK("https://rth.dk/resources/bsgatlas/details.php?id=BSGatlas-operon-1243","BSGatlas-operon-1243")</f>
        <v>BSGatlas-operon-1243</v>
      </c>
      <c r="B2334" s="2" t="str">
        <f>HYPERLINK("https://rth.dk/resources/bsgatlas/details.php?id=BSGatlas-gene-2576","BSGatlas-gene-2576")</f>
        <v>BSGatlas-gene-2576</v>
      </c>
      <c r="C2334" s="1" t="s">
        <v>2324</v>
      </c>
      <c r="D2334" s="1" t="s">
        <v>8</v>
      </c>
      <c r="E2334" s="3">
        <v>2304553</v>
      </c>
      <c r="F2334" s="3">
        <v>2305035</v>
      </c>
      <c r="G2334" s="1" t="s">
        <v>13</v>
      </c>
      <c r="H2334" s="1" t="b">
        <f t="shared" si="85"/>
        <v>1</v>
      </c>
    </row>
    <row r="2335" spans="1:8" ht="21" x14ac:dyDescent="0.25">
      <c r="A2335" s="2" t="str">
        <f>HYPERLINK("https://rth.dk/resources/bsgatlas/details.php?id=BSGatlas-operon-1244","BSGatlas-operon-1244")</f>
        <v>BSGatlas-operon-1244</v>
      </c>
      <c r="B2335" s="2" t="str">
        <f>HYPERLINK("https://rth.dk/resources/bsgatlas/details.php?id=BSGatlas-gene-2577","BSGatlas-gene-2577")</f>
        <v>BSGatlas-gene-2577</v>
      </c>
      <c r="C2335" s="1" t="s">
        <v>2325</v>
      </c>
      <c r="D2335" s="1" t="s">
        <v>8</v>
      </c>
      <c r="E2335" s="3">
        <v>2305378</v>
      </c>
      <c r="F2335" s="3">
        <v>2306283</v>
      </c>
      <c r="G2335" s="1" t="s">
        <v>9</v>
      </c>
      <c r="H2335" s="1" t="b">
        <f t="shared" si="85"/>
        <v>0</v>
      </c>
    </row>
    <row r="2336" spans="1:8" ht="21" x14ac:dyDescent="0.25">
      <c r="A2336" s="2" t="str">
        <f>HYPERLINK("https://rth.dk/resources/bsgatlas/details.php?id=BSGatlas-operon-1244","BSGatlas-operon-1244")</f>
        <v>BSGatlas-operon-1244</v>
      </c>
      <c r="B2336" s="2" t="str">
        <f>HYPERLINK("https://rth.dk/resources/bsgatlas/details.php?id=BSGatlas-gene-2578","BSGatlas-gene-2578")</f>
        <v>BSGatlas-gene-2578</v>
      </c>
      <c r="C2336" s="1" t="s">
        <v>2326</v>
      </c>
      <c r="D2336" s="1" t="s">
        <v>8</v>
      </c>
      <c r="E2336" s="3">
        <v>2306514</v>
      </c>
      <c r="F2336" s="3">
        <v>2307662</v>
      </c>
      <c r="G2336" s="1" t="s">
        <v>9</v>
      </c>
      <c r="H2336" s="1" t="b">
        <f t="shared" si="85"/>
        <v>0</v>
      </c>
    </row>
    <row r="2337" spans="1:8" ht="21" x14ac:dyDescent="0.25">
      <c r="A2337" s="2" t="str">
        <f>HYPERLINK("https://rth.dk/resources/bsgatlas/details.php?id=BSGatlas-operon-1245","BSGatlas-operon-1245")</f>
        <v>BSGatlas-operon-1245</v>
      </c>
      <c r="B2337" s="2" t="str">
        <f>HYPERLINK("https://rth.dk/resources/bsgatlas/details.php?id=BSGatlas-gene-2579","BSGatlas-gene-2579")</f>
        <v>BSGatlas-gene-2579</v>
      </c>
      <c r="C2337" s="1" t="s">
        <v>2327</v>
      </c>
      <c r="D2337" s="1" t="s">
        <v>12</v>
      </c>
      <c r="E2337" s="3">
        <v>2307661</v>
      </c>
      <c r="F2337" s="3">
        <v>2307813</v>
      </c>
      <c r="G2337" s="1" t="s">
        <v>13</v>
      </c>
      <c r="H2337" s="1" t="b">
        <f t="shared" si="85"/>
        <v>1</v>
      </c>
    </row>
    <row r="2338" spans="1:8" ht="21" x14ac:dyDescent="0.25">
      <c r="A2338" s="2" t="str">
        <f>HYPERLINK("https://rth.dk/resources/bsgatlas/details.php?id=BSGatlas-operon-1246","BSGatlas-operon-1246")</f>
        <v>BSGatlas-operon-1246</v>
      </c>
      <c r="B2338" s="2" t="str">
        <f>HYPERLINK("https://rth.dk/resources/bsgatlas/details.php?id=BSGatlas-gene-2581","BSGatlas-gene-2581")</f>
        <v>BSGatlas-gene-2581</v>
      </c>
      <c r="C2338" s="1" t="s">
        <v>593</v>
      </c>
      <c r="D2338" s="1" t="s">
        <v>34</v>
      </c>
      <c r="E2338" s="3">
        <v>2307752</v>
      </c>
      <c r="F2338" s="3">
        <v>2308164</v>
      </c>
      <c r="G2338" s="1" t="s">
        <v>9</v>
      </c>
      <c r="H2338" s="1" t="b">
        <f t="shared" si="85"/>
        <v>0</v>
      </c>
    </row>
    <row r="2339" spans="1:8" ht="21" x14ac:dyDescent="0.25">
      <c r="A2339" s="2" t="str">
        <f>HYPERLINK("https://rth.dk/resources/bsgatlas/details.php?id=BSGatlas-operon-1246","BSGatlas-operon-1246")</f>
        <v>BSGatlas-operon-1246</v>
      </c>
      <c r="B2339" s="2" t="str">
        <f>HYPERLINK("https://rth.dk/resources/bsgatlas/details.php?id=BSGatlas-gene-2582","BSGatlas-gene-2582")</f>
        <v>BSGatlas-gene-2582</v>
      </c>
      <c r="C2339" s="1" t="s">
        <v>2328</v>
      </c>
      <c r="D2339" s="1" t="s">
        <v>8</v>
      </c>
      <c r="E2339" s="3">
        <v>2307905</v>
      </c>
      <c r="F2339" s="3">
        <v>2308105</v>
      </c>
      <c r="G2339" s="1" t="s">
        <v>9</v>
      </c>
      <c r="H2339" s="1" t="b">
        <f t="shared" si="85"/>
        <v>0</v>
      </c>
    </row>
    <row r="2340" spans="1:8" ht="21" x14ac:dyDescent="0.25">
      <c r="A2340" s="2" t="str">
        <f>HYPERLINK("https://rth.dk/resources/bsgatlas/details.php?id=BSGatlas-operon-1247","BSGatlas-operon-1247")</f>
        <v>BSGatlas-operon-1247</v>
      </c>
      <c r="B2340" s="2" t="str">
        <f>HYPERLINK("https://rth.dk/resources/bsgatlas/details.php?id=BSGatlas-gene-2583","BSGatlas-gene-2583")</f>
        <v>BSGatlas-gene-2583</v>
      </c>
      <c r="C2340" s="1" t="s">
        <v>2329</v>
      </c>
      <c r="D2340" s="1" t="s">
        <v>8</v>
      </c>
      <c r="E2340" s="3">
        <v>2308157</v>
      </c>
      <c r="F2340" s="3">
        <v>2308339</v>
      </c>
      <c r="G2340" s="1" t="s">
        <v>13</v>
      </c>
      <c r="H2340" s="1" t="b">
        <f t="shared" si="85"/>
        <v>1</v>
      </c>
    </row>
    <row r="2341" spans="1:8" ht="21" x14ac:dyDescent="0.25">
      <c r="A2341" s="2" t="str">
        <f>HYPERLINK("https://rth.dk/resources/bsgatlas/details.php?id=BSGatlas-operon-1248","BSGatlas-operon-1248")</f>
        <v>BSGatlas-operon-1248</v>
      </c>
      <c r="B2341" s="2" t="str">
        <f>HYPERLINK("https://rth.dk/resources/bsgatlas/details.php?id=BSGatlas-gene-2584","BSGatlas-gene-2584")</f>
        <v>BSGatlas-gene-2584</v>
      </c>
      <c r="C2341" s="1" t="s">
        <v>2330</v>
      </c>
      <c r="D2341" s="1" t="s">
        <v>8</v>
      </c>
      <c r="E2341" s="3">
        <v>2308495</v>
      </c>
      <c r="F2341" s="3">
        <v>2308764</v>
      </c>
      <c r="G2341" s="1" t="s">
        <v>9</v>
      </c>
      <c r="H2341" s="1" t="b">
        <f t="shared" si="85"/>
        <v>0</v>
      </c>
    </row>
    <row r="2342" spans="1:8" ht="21" x14ac:dyDescent="0.25">
      <c r="A2342" s="2" t="str">
        <f>HYPERLINK("https://rth.dk/resources/bsgatlas/details.php?id=BSGatlas-operon-1249","BSGatlas-operon-1249")</f>
        <v>BSGatlas-operon-1249</v>
      </c>
      <c r="B2342" s="2" t="str">
        <f>HYPERLINK("https://rth.dk/resources/bsgatlas/details.php?id=BSGatlas-gene-2585","BSGatlas-gene-2585")</f>
        <v>BSGatlas-gene-2585</v>
      </c>
      <c r="C2342" s="1" t="s">
        <v>2331</v>
      </c>
      <c r="D2342" s="1" t="s">
        <v>8</v>
      </c>
      <c r="E2342" s="3">
        <v>2308792</v>
      </c>
      <c r="F2342" s="3">
        <v>2308974</v>
      </c>
      <c r="G2342" s="1" t="s">
        <v>13</v>
      </c>
      <c r="H2342" s="1" t="b">
        <f t="shared" si="85"/>
        <v>1</v>
      </c>
    </row>
    <row r="2343" spans="1:8" ht="21" x14ac:dyDescent="0.25">
      <c r="A2343" s="2" t="str">
        <f>HYPERLINK("https://rth.dk/resources/bsgatlas/details.php?id=BSGatlas-operon-1249","BSGatlas-operon-1249")</f>
        <v>BSGatlas-operon-1249</v>
      </c>
      <c r="B2343" s="2" t="str">
        <f>HYPERLINK("https://rth.dk/resources/bsgatlas/details.php?id=BSGatlas-gene-2586","BSGatlas-gene-2586")</f>
        <v>BSGatlas-gene-2586</v>
      </c>
      <c r="C2343" s="1" t="s">
        <v>2332</v>
      </c>
      <c r="D2343" s="1" t="s">
        <v>8</v>
      </c>
      <c r="E2343" s="3">
        <v>2308967</v>
      </c>
      <c r="F2343" s="3">
        <v>2309647</v>
      </c>
      <c r="G2343" s="1" t="s">
        <v>13</v>
      </c>
      <c r="H2343" s="1" t="b">
        <f t="shared" si="85"/>
        <v>1</v>
      </c>
    </row>
    <row r="2344" spans="1:8" ht="21" x14ac:dyDescent="0.25">
      <c r="A2344" s="2" t="str">
        <f>HYPERLINK("https://rth.dk/resources/bsgatlas/details.php?id=BSGatlas-operon-1250","BSGatlas-operon-1250")</f>
        <v>BSGatlas-operon-1250</v>
      </c>
      <c r="B2344" s="2" t="str">
        <f>HYPERLINK("https://rth.dk/resources/bsgatlas/details.php?id=BSGatlas-gene-2587","BSGatlas-gene-2587")</f>
        <v>BSGatlas-gene-2587</v>
      </c>
      <c r="C2344" s="1" t="s">
        <v>2333</v>
      </c>
      <c r="D2344" s="1" t="s">
        <v>8</v>
      </c>
      <c r="E2344" s="3">
        <v>2309730</v>
      </c>
      <c r="F2344" s="3">
        <v>2310419</v>
      </c>
      <c r="G2344" s="1" t="s">
        <v>9</v>
      </c>
      <c r="H2344" s="1" t="b">
        <f t="shared" si="85"/>
        <v>0</v>
      </c>
    </row>
    <row r="2345" spans="1:8" ht="21" x14ac:dyDescent="0.25">
      <c r="A2345" s="2" t="str">
        <f>HYPERLINK("https://rth.dk/resources/bsgatlas/details.php?id=BSGatlas-operon-1250","BSGatlas-operon-1250")</f>
        <v>BSGatlas-operon-1250</v>
      </c>
      <c r="B2345" s="2" t="str">
        <f>HYPERLINK("https://rth.dk/resources/bsgatlas/details.php?id=BSGatlas-gene-2588","BSGatlas-gene-2588")</f>
        <v>BSGatlas-gene-2588</v>
      </c>
      <c r="C2345" s="1" t="s">
        <v>2334</v>
      </c>
      <c r="D2345" s="1" t="s">
        <v>8</v>
      </c>
      <c r="E2345" s="3">
        <v>2310419</v>
      </c>
      <c r="F2345" s="3">
        <v>2310817</v>
      </c>
      <c r="G2345" s="1" t="s">
        <v>9</v>
      </c>
      <c r="H2345" s="1" t="b">
        <f t="shared" si="85"/>
        <v>0</v>
      </c>
    </row>
    <row r="2346" spans="1:8" ht="21" x14ac:dyDescent="0.25">
      <c r="A2346" s="2" t="str">
        <f>HYPERLINK("https://rth.dk/resources/bsgatlas/details.php?id=BSGatlas-operon-1251","BSGatlas-operon-1251")</f>
        <v>BSGatlas-operon-1251</v>
      </c>
      <c r="B2346" s="2" t="str">
        <f>HYPERLINK("https://rth.dk/resources/bsgatlas/details.php?id=BSGatlas-gene-2589","BSGatlas-gene-2589")</f>
        <v>BSGatlas-gene-2589</v>
      </c>
      <c r="C2346" s="1" t="s">
        <v>2335</v>
      </c>
      <c r="D2346" s="1" t="s">
        <v>8</v>
      </c>
      <c r="E2346" s="3">
        <v>2310859</v>
      </c>
      <c r="F2346" s="3">
        <v>2310987</v>
      </c>
      <c r="G2346" s="1" t="s">
        <v>9</v>
      </c>
      <c r="H2346" s="1" t="b">
        <f t="shared" si="85"/>
        <v>1</v>
      </c>
    </row>
    <row r="2347" spans="1:8" ht="21" x14ac:dyDescent="0.25">
      <c r="A2347" s="2" t="str">
        <f>HYPERLINK("https://rth.dk/resources/bsgatlas/details.php?id=BSGatlas-operon-1252","BSGatlas-operon-1252")</f>
        <v>BSGatlas-operon-1252</v>
      </c>
      <c r="B2347" s="2" t="str">
        <f>HYPERLINK("https://rth.dk/resources/bsgatlas/details.php?id=BSGatlas-gene-2590","BSGatlas-gene-2590")</f>
        <v>BSGatlas-gene-2590</v>
      </c>
      <c r="C2347" s="1" t="s">
        <v>2336</v>
      </c>
      <c r="D2347" s="1" t="s">
        <v>8</v>
      </c>
      <c r="E2347" s="3">
        <v>2310995</v>
      </c>
      <c r="F2347" s="3">
        <v>2311885</v>
      </c>
      <c r="G2347" s="1" t="s">
        <v>13</v>
      </c>
      <c r="H2347" s="1" t="b">
        <f t="shared" si="85"/>
        <v>0</v>
      </c>
    </row>
    <row r="2348" spans="1:8" ht="21" x14ac:dyDescent="0.25">
      <c r="A2348" s="2" t="str">
        <f>HYPERLINK("https://rth.dk/resources/bsgatlas/details.php?id=BSGatlas-operon-1253","BSGatlas-operon-1253")</f>
        <v>BSGatlas-operon-1253</v>
      </c>
      <c r="B2348" s="2" t="str">
        <f>HYPERLINK("https://rth.dk/resources/bsgatlas/details.php?id=BSGatlas-gene-2591","BSGatlas-gene-2591")</f>
        <v>BSGatlas-gene-2591</v>
      </c>
      <c r="C2348" s="1" t="s">
        <v>2337</v>
      </c>
      <c r="D2348" s="1" t="s">
        <v>8</v>
      </c>
      <c r="E2348" s="3">
        <v>2311986</v>
      </c>
      <c r="F2348" s="3">
        <v>2312132</v>
      </c>
      <c r="G2348" s="1" t="s">
        <v>13</v>
      </c>
      <c r="H2348" s="1" t="b">
        <f t="shared" si="85"/>
        <v>1</v>
      </c>
    </row>
    <row r="2349" spans="1:8" ht="21" x14ac:dyDescent="0.25">
      <c r="A2349" s="2" t="str">
        <f>HYPERLINK("https://rth.dk/resources/bsgatlas/details.php?id=BSGatlas-operon-1253","BSGatlas-operon-1253")</f>
        <v>BSGatlas-operon-1253</v>
      </c>
      <c r="B2349" s="2" t="str">
        <f>HYPERLINK("https://rth.dk/resources/bsgatlas/details.php?id=BSGatlas-gene-2592","BSGatlas-gene-2592")</f>
        <v>BSGatlas-gene-2592</v>
      </c>
      <c r="C2349" s="1" t="s">
        <v>2338</v>
      </c>
      <c r="D2349" s="1" t="s">
        <v>8</v>
      </c>
      <c r="E2349" s="3">
        <v>2312207</v>
      </c>
      <c r="F2349" s="3">
        <v>2312464</v>
      </c>
      <c r="G2349" s="1" t="s">
        <v>13</v>
      </c>
      <c r="H2349" s="1" t="b">
        <f t="shared" si="85"/>
        <v>1</v>
      </c>
    </row>
    <row r="2350" spans="1:8" ht="21" x14ac:dyDescent="0.25">
      <c r="A2350" s="2" t="str">
        <f>HYPERLINK("https://rth.dk/resources/bsgatlas/details.php?id=BSGatlas-operon-1253","BSGatlas-operon-1253")</f>
        <v>BSGatlas-operon-1253</v>
      </c>
      <c r="B2350" s="2" t="str">
        <f>HYPERLINK("https://rth.dk/resources/bsgatlas/details.php?id=BSGatlas-gene-2593","BSGatlas-gene-2593")</f>
        <v>BSGatlas-gene-2593</v>
      </c>
      <c r="C2350" s="1" t="s">
        <v>2339</v>
      </c>
      <c r="D2350" s="1" t="s">
        <v>8</v>
      </c>
      <c r="E2350" s="3">
        <v>2312529</v>
      </c>
      <c r="F2350" s="3">
        <v>2316110</v>
      </c>
      <c r="G2350" s="1" t="s">
        <v>13</v>
      </c>
      <c r="H2350" s="1" t="b">
        <f t="shared" si="85"/>
        <v>1</v>
      </c>
    </row>
    <row r="2351" spans="1:8" ht="21" x14ac:dyDescent="0.25">
      <c r="A2351" s="2" t="str">
        <f>HYPERLINK("https://rth.dk/resources/bsgatlas/details.php?id=BSGatlas-operon-1254","BSGatlas-operon-1254")</f>
        <v>BSGatlas-operon-1254</v>
      </c>
      <c r="B2351" s="2" t="str">
        <f>HYPERLINK("https://rth.dk/resources/bsgatlas/details.php?id=BSGatlas-gene-2594","BSGatlas-gene-2594")</f>
        <v>BSGatlas-gene-2594</v>
      </c>
      <c r="C2351" s="1" t="s">
        <v>2340</v>
      </c>
      <c r="D2351" s="1" t="s">
        <v>8</v>
      </c>
      <c r="E2351" s="3">
        <v>2316286</v>
      </c>
      <c r="F2351" s="3">
        <v>2316375</v>
      </c>
      <c r="G2351" s="1" t="s">
        <v>13</v>
      </c>
      <c r="H2351" s="1" t="b">
        <f t="shared" si="85"/>
        <v>0</v>
      </c>
    </row>
    <row r="2352" spans="1:8" ht="21" x14ac:dyDescent="0.25">
      <c r="A2352" s="2" t="str">
        <f>HYPERLINK("https://rth.dk/resources/bsgatlas/details.php?id=BSGatlas-operon-1255","BSGatlas-operon-1255")</f>
        <v>BSGatlas-operon-1255</v>
      </c>
      <c r="B2352" s="2" t="str">
        <f>HYPERLINK("https://rth.dk/resources/bsgatlas/details.php?id=BSGatlas-gene-2595","BSGatlas-gene-2595")</f>
        <v>BSGatlas-gene-2595</v>
      </c>
      <c r="C2352" s="1" t="s">
        <v>2341</v>
      </c>
      <c r="D2352" s="1" t="s">
        <v>12</v>
      </c>
      <c r="E2352" s="3">
        <v>2316348</v>
      </c>
      <c r="F2352" s="3">
        <v>2316407</v>
      </c>
      <c r="G2352" s="1" t="s">
        <v>13</v>
      </c>
      <c r="H2352" s="1" t="b">
        <f t="shared" si="85"/>
        <v>1</v>
      </c>
    </row>
    <row r="2353" spans="1:8" ht="21" x14ac:dyDescent="0.25">
      <c r="A2353" s="2" t="str">
        <f>HYPERLINK("https://rth.dk/resources/bsgatlas/details.php?id=BSGatlas-operon-1256","BSGatlas-operon-1256")</f>
        <v>BSGatlas-operon-1256</v>
      </c>
      <c r="B2353" s="2" t="str">
        <f>HYPERLINK("https://rth.dk/resources/bsgatlas/details.php?id=BSGatlas-gene-2596","BSGatlas-gene-2596")</f>
        <v>BSGatlas-gene-2596</v>
      </c>
      <c r="C2353" s="1" t="s">
        <v>2342</v>
      </c>
      <c r="D2353" s="1" t="s">
        <v>8</v>
      </c>
      <c r="E2353" s="3">
        <v>2316446</v>
      </c>
      <c r="F2353" s="3">
        <v>2316952</v>
      </c>
      <c r="G2353" s="1" t="s">
        <v>13</v>
      </c>
      <c r="H2353" s="1" t="b">
        <f t="shared" si="85"/>
        <v>0</v>
      </c>
    </row>
    <row r="2354" spans="1:8" ht="21" x14ac:dyDescent="0.25">
      <c r="A2354" s="2" t="str">
        <f>HYPERLINK("https://rth.dk/resources/bsgatlas/details.php?id=BSGatlas-operon-1256","BSGatlas-operon-1256")</f>
        <v>BSGatlas-operon-1256</v>
      </c>
      <c r="B2354" s="2" t="str">
        <f>HYPERLINK("https://rth.dk/resources/bsgatlas/details.php?id=BSGatlas-gene-2597","BSGatlas-gene-2597")</f>
        <v>BSGatlas-gene-2597</v>
      </c>
      <c r="C2354" s="1" t="s">
        <v>2343</v>
      </c>
      <c r="D2354" s="1" t="s">
        <v>8</v>
      </c>
      <c r="E2354" s="3">
        <v>2316956</v>
      </c>
      <c r="F2354" s="3">
        <v>2318053</v>
      </c>
      <c r="G2354" s="1" t="s">
        <v>13</v>
      </c>
      <c r="H2354" s="1" t="b">
        <f t="shared" si="85"/>
        <v>0</v>
      </c>
    </row>
    <row r="2355" spans="1:8" ht="21" x14ac:dyDescent="0.25">
      <c r="A2355" s="2" t="str">
        <f>HYPERLINK("https://rth.dk/resources/bsgatlas/details.php?id=BSGatlas-operon-1257","BSGatlas-operon-1257")</f>
        <v>BSGatlas-operon-1257</v>
      </c>
      <c r="B2355" s="2" t="str">
        <f>HYPERLINK("https://rth.dk/resources/bsgatlas/details.php?id=BSGatlas-gene-2598","BSGatlas-gene-2598")</f>
        <v>BSGatlas-gene-2598</v>
      </c>
      <c r="C2355" s="1" t="s">
        <v>2344</v>
      </c>
      <c r="D2355" s="1" t="s">
        <v>8</v>
      </c>
      <c r="E2355" s="3">
        <v>2318127</v>
      </c>
      <c r="F2355" s="3">
        <v>2319443</v>
      </c>
      <c r="G2355" s="1" t="s">
        <v>13</v>
      </c>
      <c r="H2355" s="1" t="b">
        <f t="shared" si="85"/>
        <v>1</v>
      </c>
    </row>
    <row r="2356" spans="1:8" ht="21" x14ac:dyDescent="0.25">
      <c r="A2356" s="2" t="str">
        <f>HYPERLINK("https://rth.dk/resources/bsgatlas/details.php?id=BSGatlas-operon-1257","BSGatlas-operon-1257")</f>
        <v>BSGatlas-operon-1257</v>
      </c>
      <c r="B2356" s="2" t="str">
        <f>HYPERLINK("https://rth.dk/resources/bsgatlas/details.php?id=BSGatlas-gene-2599","BSGatlas-gene-2599")</f>
        <v>BSGatlas-gene-2599</v>
      </c>
      <c r="C2356" s="1" t="s">
        <v>2345</v>
      </c>
      <c r="D2356" s="1" t="s">
        <v>8</v>
      </c>
      <c r="E2356" s="3">
        <v>2319440</v>
      </c>
      <c r="F2356" s="3">
        <v>2320024</v>
      </c>
      <c r="G2356" s="1" t="s">
        <v>13</v>
      </c>
      <c r="H2356" s="1" t="b">
        <f t="shared" si="85"/>
        <v>1</v>
      </c>
    </row>
    <row r="2357" spans="1:8" ht="21" x14ac:dyDescent="0.25">
      <c r="A2357" s="2" t="str">
        <f>HYPERLINK("https://rth.dk/resources/bsgatlas/details.php?id=BSGatlas-operon-1258","BSGatlas-operon-1258")</f>
        <v>BSGatlas-operon-1258</v>
      </c>
      <c r="B2357" s="2" t="str">
        <f>HYPERLINK("https://rth.dk/resources/bsgatlas/details.php?id=BSGatlas-gene-2600","BSGatlas-gene-2600")</f>
        <v>BSGatlas-gene-2600</v>
      </c>
      <c r="C2357" s="1" t="s">
        <v>2346</v>
      </c>
      <c r="D2357" s="1" t="s">
        <v>34</v>
      </c>
      <c r="E2357" s="3">
        <v>2320113</v>
      </c>
      <c r="F2357" s="3">
        <v>2320213</v>
      </c>
      <c r="G2357" s="1" t="s">
        <v>13</v>
      </c>
      <c r="H2357" s="1" t="b">
        <f t="shared" si="85"/>
        <v>0</v>
      </c>
    </row>
    <row r="2358" spans="1:8" ht="21" x14ac:dyDescent="0.25">
      <c r="A2358" s="2" t="str">
        <f>HYPERLINK("https://rth.dk/resources/bsgatlas/details.php?id=BSGatlas-operon-1259","BSGatlas-operon-1259")</f>
        <v>BSGatlas-operon-1259</v>
      </c>
      <c r="B2358" s="2" t="str">
        <f>HYPERLINK("https://rth.dk/resources/bsgatlas/details.php?id=BSGatlas-gene-2601","BSGatlas-gene-2601")</f>
        <v>BSGatlas-gene-2601</v>
      </c>
      <c r="C2358" s="1" t="s">
        <v>2347</v>
      </c>
      <c r="D2358" s="1" t="s">
        <v>8</v>
      </c>
      <c r="E2358" s="3">
        <v>2320355</v>
      </c>
      <c r="F2358" s="3">
        <v>2321860</v>
      </c>
      <c r="G2358" s="1" t="s">
        <v>13</v>
      </c>
      <c r="H2358" s="1" t="b">
        <f t="shared" si="85"/>
        <v>1</v>
      </c>
    </row>
    <row r="2359" spans="1:8" ht="21" x14ac:dyDescent="0.25">
      <c r="A2359" s="2" t="str">
        <f>HYPERLINK("https://rth.dk/resources/bsgatlas/details.php?id=BSGatlas-operon-1260","BSGatlas-operon-1260")</f>
        <v>BSGatlas-operon-1260</v>
      </c>
      <c r="B2359" s="2" t="str">
        <f>HYPERLINK("https://rth.dk/resources/bsgatlas/details.php?id=BSGatlas-gene-2602","BSGatlas-gene-2602")</f>
        <v>BSGatlas-gene-2602</v>
      </c>
      <c r="C2359" s="1" t="s">
        <v>2348</v>
      </c>
      <c r="D2359" s="1" t="s">
        <v>8</v>
      </c>
      <c r="E2359" s="3">
        <v>2321972</v>
      </c>
      <c r="F2359" s="3">
        <v>2322964</v>
      </c>
      <c r="G2359" s="1" t="s">
        <v>13</v>
      </c>
      <c r="H2359" s="1" t="b">
        <f t="shared" si="85"/>
        <v>0</v>
      </c>
    </row>
    <row r="2360" spans="1:8" ht="21" x14ac:dyDescent="0.25">
      <c r="A2360" s="2" t="str">
        <f>HYPERLINK("https://rth.dk/resources/bsgatlas/details.php?id=BSGatlas-operon-1260","BSGatlas-operon-1260")</f>
        <v>BSGatlas-operon-1260</v>
      </c>
      <c r="B2360" s="2" t="str">
        <f>HYPERLINK("https://rth.dk/resources/bsgatlas/details.php?id=BSGatlas-gene-2603","BSGatlas-gene-2603")</f>
        <v>BSGatlas-gene-2603</v>
      </c>
      <c r="C2360" s="1" t="s">
        <v>2349</v>
      </c>
      <c r="D2360" s="1" t="s">
        <v>8</v>
      </c>
      <c r="E2360" s="3">
        <v>2323009</v>
      </c>
      <c r="F2360" s="3">
        <v>2323599</v>
      </c>
      <c r="G2360" s="1" t="s">
        <v>13</v>
      </c>
      <c r="H2360" s="1" t="b">
        <f t="shared" si="85"/>
        <v>0</v>
      </c>
    </row>
    <row r="2361" spans="1:8" ht="21" x14ac:dyDescent="0.25">
      <c r="A2361" s="2" t="str">
        <f>HYPERLINK("https://rth.dk/resources/bsgatlas/details.php?id=BSGatlas-operon-1260","BSGatlas-operon-1260")</f>
        <v>BSGatlas-operon-1260</v>
      </c>
      <c r="B2361" s="2" t="str">
        <f>HYPERLINK("https://rth.dk/resources/bsgatlas/details.php?id=BSGatlas-gene-2604","BSGatlas-gene-2604")</f>
        <v>BSGatlas-gene-2604</v>
      </c>
      <c r="C2361" s="1" t="s">
        <v>2350</v>
      </c>
      <c r="D2361" s="1" t="s">
        <v>8</v>
      </c>
      <c r="E2361" s="3">
        <v>2323601</v>
      </c>
      <c r="F2361" s="3">
        <v>2324575</v>
      </c>
      <c r="G2361" s="1" t="s">
        <v>13</v>
      </c>
      <c r="H2361" s="1" t="b">
        <f t="shared" si="85"/>
        <v>0</v>
      </c>
    </row>
    <row r="2362" spans="1:8" ht="21" x14ac:dyDescent="0.25">
      <c r="A2362" s="2" t="str">
        <f>HYPERLINK("https://rth.dk/resources/bsgatlas/details.php?id=BSGatlas-operon-1260","BSGatlas-operon-1260")</f>
        <v>BSGatlas-operon-1260</v>
      </c>
      <c r="B2362" s="2" t="str">
        <f>HYPERLINK("https://rth.dk/resources/bsgatlas/details.php?id=BSGatlas-gene-2605","BSGatlas-gene-2605")</f>
        <v>BSGatlas-gene-2605</v>
      </c>
      <c r="C2362" s="1" t="s">
        <v>2351</v>
      </c>
      <c r="D2362" s="1" t="s">
        <v>8</v>
      </c>
      <c r="E2362" s="3">
        <v>2324613</v>
      </c>
      <c r="F2362" s="3">
        <v>2325632</v>
      </c>
      <c r="G2362" s="1" t="s">
        <v>13</v>
      </c>
      <c r="H2362" s="1" t="b">
        <f t="shared" si="85"/>
        <v>0</v>
      </c>
    </row>
    <row r="2363" spans="1:8" ht="21" x14ac:dyDescent="0.25">
      <c r="A2363" s="2" t="str">
        <f>HYPERLINK("https://rth.dk/resources/bsgatlas/details.php?id=BSGatlas-operon-1261","BSGatlas-operon-1261")</f>
        <v>BSGatlas-operon-1261</v>
      </c>
      <c r="B2363" s="2" t="str">
        <f>HYPERLINK("https://rth.dk/resources/bsgatlas/details.php?id=BSGatlas-gene-2606","BSGatlas-gene-2606")</f>
        <v>BSGatlas-gene-2606</v>
      </c>
      <c r="C2363" s="1" t="s">
        <v>2352</v>
      </c>
      <c r="D2363" s="1" t="s">
        <v>8</v>
      </c>
      <c r="E2363" s="3">
        <v>2325854</v>
      </c>
      <c r="F2363" s="3">
        <v>2326681</v>
      </c>
      <c r="G2363" s="1" t="s">
        <v>9</v>
      </c>
      <c r="H2363" s="1" t="b">
        <f t="shared" si="85"/>
        <v>1</v>
      </c>
    </row>
    <row r="2364" spans="1:8" ht="21" x14ac:dyDescent="0.25">
      <c r="A2364" s="2" t="str">
        <f>HYPERLINK("https://rth.dk/resources/bsgatlas/details.php?id=BSGatlas-operon-1261","BSGatlas-operon-1261")</f>
        <v>BSGatlas-operon-1261</v>
      </c>
      <c r="B2364" s="2" t="str">
        <f>HYPERLINK("https://rth.dk/resources/bsgatlas/details.php?id=BSGatlas-gene-2607","BSGatlas-gene-2607")</f>
        <v>BSGatlas-gene-2607</v>
      </c>
      <c r="C2364" s="1" t="s">
        <v>2353</v>
      </c>
      <c r="D2364" s="1" t="s">
        <v>8</v>
      </c>
      <c r="E2364" s="3">
        <v>2326683</v>
      </c>
      <c r="F2364" s="3">
        <v>2327447</v>
      </c>
      <c r="G2364" s="1" t="s">
        <v>9</v>
      </c>
      <c r="H2364" s="1" t="b">
        <f t="shared" si="85"/>
        <v>1</v>
      </c>
    </row>
    <row r="2365" spans="1:8" ht="21" x14ac:dyDescent="0.25">
      <c r="A2365" s="2" t="str">
        <f>HYPERLINK("https://rth.dk/resources/bsgatlas/details.php?id=BSGatlas-operon-1262","BSGatlas-operon-1262")</f>
        <v>BSGatlas-operon-1262</v>
      </c>
      <c r="B2365" s="2" t="str">
        <f>HYPERLINK("https://rth.dk/resources/bsgatlas/details.php?id=BSGatlas-gene-2608","BSGatlas-gene-2608")</f>
        <v>BSGatlas-gene-2608</v>
      </c>
      <c r="C2365" s="1" t="s">
        <v>2354</v>
      </c>
      <c r="D2365" s="1" t="s">
        <v>8</v>
      </c>
      <c r="E2365" s="3">
        <v>2327488</v>
      </c>
      <c r="F2365" s="3">
        <v>2329413</v>
      </c>
      <c r="G2365" s="1" t="s">
        <v>13</v>
      </c>
      <c r="H2365" s="1" t="b">
        <f t="shared" si="85"/>
        <v>0</v>
      </c>
    </row>
    <row r="2366" spans="1:8" ht="21" x14ac:dyDescent="0.25">
      <c r="A2366" s="2" t="str">
        <f>HYPERLINK("https://rth.dk/resources/bsgatlas/details.php?id=BSGatlas-operon-1263","BSGatlas-operon-1263")</f>
        <v>BSGatlas-operon-1263</v>
      </c>
      <c r="B2366" s="2" t="str">
        <f>HYPERLINK("https://rth.dk/resources/bsgatlas/details.php?id=BSGatlas-gene-2609","BSGatlas-gene-2609")</f>
        <v>BSGatlas-gene-2609</v>
      </c>
      <c r="C2366" s="1" t="s">
        <v>2355</v>
      </c>
      <c r="D2366" s="1" t="s">
        <v>8</v>
      </c>
      <c r="E2366" s="3">
        <v>2329515</v>
      </c>
      <c r="F2366" s="3">
        <v>2329706</v>
      </c>
      <c r="G2366" s="1" t="s">
        <v>13</v>
      </c>
      <c r="H2366" s="1" t="b">
        <f t="shared" si="85"/>
        <v>1</v>
      </c>
    </row>
    <row r="2367" spans="1:8" ht="21" x14ac:dyDescent="0.25">
      <c r="A2367" s="2" t="str">
        <f>HYPERLINK("https://rth.dk/resources/bsgatlas/details.php?id=BSGatlas-operon-1264","BSGatlas-operon-1264")</f>
        <v>BSGatlas-operon-1264</v>
      </c>
      <c r="B2367" s="2" t="str">
        <f>HYPERLINK("https://rth.dk/resources/bsgatlas/details.php?id=BSGatlas-gene-2610","BSGatlas-gene-2610")</f>
        <v>BSGatlas-gene-2610</v>
      </c>
      <c r="C2367" s="1" t="s">
        <v>2356</v>
      </c>
      <c r="D2367" s="1" t="s">
        <v>8</v>
      </c>
      <c r="E2367" s="3">
        <v>2329870</v>
      </c>
      <c r="F2367" s="3">
        <v>2330022</v>
      </c>
      <c r="G2367" s="1" t="s">
        <v>9</v>
      </c>
      <c r="H2367" s="1" t="b">
        <f t="shared" si="85"/>
        <v>0</v>
      </c>
    </row>
    <row r="2368" spans="1:8" ht="21" x14ac:dyDescent="0.25">
      <c r="A2368" s="2" t="str">
        <f>HYPERLINK("https://rth.dk/resources/bsgatlas/details.php?id=BSGatlas-operon-1265","BSGatlas-operon-1265")</f>
        <v>BSGatlas-operon-1265</v>
      </c>
      <c r="B2368" s="2" t="str">
        <f>HYPERLINK("https://rth.dk/resources/bsgatlas/details.php?id=BSGatlas-gene-2611","BSGatlas-gene-2611")</f>
        <v>BSGatlas-gene-2611</v>
      </c>
      <c r="C2368" s="1" t="s">
        <v>2357</v>
      </c>
      <c r="D2368" s="1" t="s">
        <v>8</v>
      </c>
      <c r="E2368" s="3">
        <v>2330075</v>
      </c>
      <c r="F2368" s="3">
        <v>2331232</v>
      </c>
      <c r="G2368" s="1" t="s">
        <v>13</v>
      </c>
      <c r="H2368" s="1" t="b">
        <f t="shared" si="85"/>
        <v>1</v>
      </c>
    </row>
    <row r="2369" spans="1:8" ht="21" x14ac:dyDescent="0.25">
      <c r="A2369" s="2" t="str">
        <f>HYPERLINK("https://rth.dk/resources/bsgatlas/details.php?id=BSGatlas-operon-1265","BSGatlas-operon-1265")</f>
        <v>BSGatlas-operon-1265</v>
      </c>
      <c r="B2369" s="2" t="str">
        <f>HYPERLINK("https://rth.dk/resources/bsgatlas/details.php?id=BSGatlas-gene-2612","BSGatlas-gene-2612")</f>
        <v>BSGatlas-gene-2612</v>
      </c>
      <c r="C2369" s="1" t="s">
        <v>2358</v>
      </c>
      <c r="D2369" s="1" t="s">
        <v>2359</v>
      </c>
      <c r="E2369" s="3">
        <v>2331320</v>
      </c>
      <c r="F2369" s="3">
        <v>2331720</v>
      </c>
      <c r="G2369" s="1" t="s">
        <v>13</v>
      </c>
      <c r="H2369" s="1" t="b">
        <f t="shared" si="85"/>
        <v>1</v>
      </c>
    </row>
    <row r="2370" spans="1:8" ht="21" x14ac:dyDescent="0.25">
      <c r="A2370" s="2" t="str">
        <f>HYPERLINK("https://rth.dk/resources/bsgatlas/details.php?id=BSGatlas-operon-1265","BSGatlas-operon-1265")</f>
        <v>BSGatlas-operon-1265</v>
      </c>
      <c r="B2370" s="2" t="str">
        <f>HYPERLINK("https://rth.dk/resources/bsgatlas/details.php?id=BSGatlas-gene-2613","BSGatlas-gene-2613")</f>
        <v>BSGatlas-gene-2613</v>
      </c>
      <c r="C2370" s="1" t="s">
        <v>2360</v>
      </c>
      <c r="D2370" s="1" t="s">
        <v>8</v>
      </c>
      <c r="E2370" s="3">
        <v>2331779</v>
      </c>
      <c r="F2370" s="3">
        <v>2332075</v>
      </c>
      <c r="G2370" s="1" t="s">
        <v>13</v>
      </c>
      <c r="H2370" s="1" t="b">
        <f t="shared" ref="H2370:H2433" si="86">_xlfn.XOR(A2369&lt;&gt;A2370,H2369)</f>
        <v>1</v>
      </c>
    </row>
    <row r="2371" spans="1:8" ht="21" x14ac:dyDescent="0.25">
      <c r="A2371" s="2" t="str">
        <f>HYPERLINK("https://rth.dk/resources/bsgatlas/details.php?id=BSGatlas-operon-1266","BSGatlas-operon-1266")</f>
        <v>BSGatlas-operon-1266</v>
      </c>
      <c r="B2371" s="2" t="str">
        <f>HYPERLINK("https://rth.dk/resources/bsgatlas/details.php?id=BSGatlas-gene-2615","BSGatlas-gene-2615")</f>
        <v>BSGatlas-gene-2615</v>
      </c>
      <c r="C2371" s="1" t="s">
        <v>2361</v>
      </c>
      <c r="D2371" s="1" t="s">
        <v>8</v>
      </c>
      <c r="E2371" s="3">
        <v>2332784</v>
      </c>
      <c r="F2371" s="3">
        <v>2333011</v>
      </c>
      <c r="G2371" s="1" t="s">
        <v>13</v>
      </c>
      <c r="H2371" s="1" t="b">
        <f t="shared" si="86"/>
        <v>0</v>
      </c>
    </row>
    <row r="2372" spans="1:8" ht="21" x14ac:dyDescent="0.25">
      <c r="A2372" s="2" t="str">
        <f>HYPERLINK("https://rth.dk/resources/bsgatlas/details.php?id=BSGatlas-operon-1266","BSGatlas-operon-1266")</f>
        <v>BSGatlas-operon-1266</v>
      </c>
      <c r="B2372" s="2" t="str">
        <f>HYPERLINK("https://rth.dk/resources/bsgatlas/details.php?id=BSGatlas-gene-2616","BSGatlas-gene-2616")</f>
        <v>BSGatlas-gene-2616</v>
      </c>
      <c r="C2372" s="1" t="s">
        <v>318</v>
      </c>
      <c r="D2372" s="1" t="s">
        <v>8</v>
      </c>
      <c r="E2372" s="3">
        <v>2333095</v>
      </c>
      <c r="F2372" s="3">
        <v>2333223</v>
      </c>
      <c r="G2372" s="1" t="s">
        <v>13</v>
      </c>
      <c r="H2372" s="1" t="b">
        <f t="shared" si="86"/>
        <v>0</v>
      </c>
    </row>
    <row r="2373" spans="1:8" ht="21" x14ac:dyDescent="0.25">
      <c r="A2373" s="2" t="str">
        <f>HYPERLINK("https://rth.dk/resources/bsgatlas/details.php?id=BSGatlas-operon-1266","BSGatlas-operon-1266")</f>
        <v>BSGatlas-operon-1266</v>
      </c>
      <c r="B2373" s="2" t="str">
        <f>HYPERLINK("https://rth.dk/resources/bsgatlas/details.php?id=BSGatlas-gene-2617","BSGatlas-gene-2617")</f>
        <v>BSGatlas-gene-2617</v>
      </c>
      <c r="C2373" s="1" t="s">
        <v>2362</v>
      </c>
      <c r="D2373" s="1" t="s">
        <v>8</v>
      </c>
      <c r="E2373" s="3">
        <v>2333324</v>
      </c>
      <c r="F2373" s="3">
        <v>2334565</v>
      </c>
      <c r="G2373" s="1" t="s">
        <v>13</v>
      </c>
      <c r="H2373" s="1" t="b">
        <f t="shared" si="86"/>
        <v>0</v>
      </c>
    </row>
    <row r="2374" spans="1:8" ht="21" x14ac:dyDescent="0.25">
      <c r="A2374" s="2" t="str">
        <f>HYPERLINK("https://rth.dk/resources/bsgatlas/details.php?id=BSGatlas-operon-1266","BSGatlas-operon-1266")</f>
        <v>BSGatlas-operon-1266</v>
      </c>
      <c r="B2374" s="2" t="str">
        <f>HYPERLINK("https://rth.dk/resources/bsgatlas/details.php?id=BSGatlas-gene-2618","BSGatlas-gene-2618")</f>
        <v>BSGatlas-gene-2618</v>
      </c>
      <c r="C2374" s="1" t="s">
        <v>2363</v>
      </c>
      <c r="D2374" s="1" t="s">
        <v>8</v>
      </c>
      <c r="E2374" s="3">
        <v>2334581</v>
      </c>
      <c r="F2374" s="3">
        <v>2336830</v>
      </c>
      <c r="G2374" s="1" t="s">
        <v>13</v>
      </c>
      <c r="H2374" s="1" t="b">
        <f t="shared" si="86"/>
        <v>0</v>
      </c>
    </row>
    <row r="2375" spans="1:8" ht="21" x14ac:dyDescent="0.25">
      <c r="A2375" s="2" t="str">
        <f>HYPERLINK("https://rth.dk/resources/bsgatlas/details.php?id=BSGatlas-operon-1267","BSGatlas-operon-1267")</f>
        <v>BSGatlas-operon-1267</v>
      </c>
      <c r="B2375" s="2" t="str">
        <f>HYPERLINK("https://rth.dk/resources/bsgatlas/details.php?id=BSGatlas-gene-2619","BSGatlas-gene-2619")</f>
        <v>BSGatlas-gene-2619</v>
      </c>
      <c r="C2375" s="1" t="s">
        <v>2364</v>
      </c>
      <c r="D2375" s="1" t="s">
        <v>8</v>
      </c>
      <c r="E2375" s="3">
        <v>2336933</v>
      </c>
      <c r="F2375" s="3">
        <v>2337439</v>
      </c>
      <c r="G2375" s="1" t="s">
        <v>13</v>
      </c>
      <c r="H2375" s="1" t="b">
        <f t="shared" si="86"/>
        <v>1</v>
      </c>
    </row>
    <row r="2376" spans="1:8" ht="21" x14ac:dyDescent="0.25">
      <c r="A2376" s="2" t="str">
        <f>HYPERLINK("https://rth.dk/resources/bsgatlas/details.php?id=BSGatlas-operon-1268","BSGatlas-operon-1268")</f>
        <v>BSGatlas-operon-1268</v>
      </c>
      <c r="B2376" s="2" t="str">
        <f>HYPERLINK("https://rth.dk/resources/bsgatlas/details.php?id=BSGatlas-gene-2620","BSGatlas-gene-2620")</f>
        <v>BSGatlas-gene-2620</v>
      </c>
      <c r="C2376" s="1" t="s">
        <v>2365</v>
      </c>
      <c r="D2376" s="1" t="s">
        <v>8</v>
      </c>
      <c r="E2376" s="3">
        <v>2337577</v>
      </c>
      <c r="F2376" s="3">
        <v>2337996</v>
      </c>
      <c r="G2376" s="1" t="s">
        <v>9</v>
      </c>
      <c r="H2376" s="1" t="b">
        <f t="shared" si="86"/>
        <v>0</v>
      </c>
    </row>
    <row r="2377" spans="1:8" ht="21" x14ac:dyDescent="0.25">
      <c r="A2377" s="2" t="str">
        <f>HYPERLINK("https://rth.dk/resources/bsgatlas/details.php?id=BSGatlas-operon-1269","BSGatlas-operon-1269")</f>
        <v>BSGatlas-operon-1269</v>
      </c>
      <c r="B2377" s="2" t="str">
        <f>HYPERLINK("https://rth.dk/resources/bsgatlas/details.php?id=BSGatlas-gene-2621","BSGatlas-gene-2621")</f>
        <v>BSGatlas-gene-2621</v>
      </c>
      <c r="C2377" s="1" t="s">
        <v>2366</v>
      </c>
      <c r="D2377" s="1" t="s">
        <v>8</v>
      </c>
      <c r="E2377" s="3">
        <v>2338017</v>
      </c>
      <c r="F2377" s="3">
        <v>2338394</v>
      </c>
      <c r="G2377" s="1" t="s">
        <v>13</v>
      </c>
      <c r="H2377" s="1" t="b">
        <f t="shared" si="86"/>
        <v>1</v>
      </c>
    </row>
    <row r="2378" spans="1:8" ht="21" x14ac:dyDescent="0.25">
      <c r="A2378" s="2" t="str">
        <f>HYPERLINK("https://rth.dk/resources/bsgatlas/details.php?id=BSGatlas-operon-1270","BSGatlas-operon-1270")</f>
        <v>BSGatlas-operon-1270</v>
      </c>
      <c r="B2378" s="2" t="str">
        <f>HYPERLINK("https://rth.dk/resources/bsgatlas/details.php?id=BSGatlas-gene-2622","BSGatlas-gene-2622")</f>
        <v>BSGatlas-gene-2622</v>
      </c>
      <c r="C2378" s="1" t="s">
        <v>2367</v>
      </c>
      <c r="D2378" s="1" t="s">
        <v>8</v>
      </c>
      <c r="E2378" s="3">
        <v>2338582</v>
      </c>
      <c r="F2378" s="3">
        <v>2338770</v>
      </c>
      <c r="G2378" s="1" t="s">
        <v>9</v>
      </c>
      <c r="H2378" s="1" t="b">
        <f t="shared" si="86"/>
        <v>0</v>
      </c>
    </row>
    <row r="2379" spans="1:8" ht="21" x14ac:dyDescent="0.25">
      <c r="A2379" s="2" t="str">
        <f>HYPERLINK("https://rth.dk/resources/bsgatlas/details.php?id=BSGatlas-operon-1271","BSGatlas-operon-1271")</f>
        <v>BSGatlas-operon-1271</v>
      </c>
      <c r="B2379" s="2" t="str">
        <f>HYPERLINK("https://rth.dk/resources/bsgatlas/details.php?id=BSGatlas-gene-2623","BSGatlas-gene-2623")</f>
        <v>BSGatlas-gene-2623</v>
      </c>
      <c r="C2379" s="1" t="s">
        <v>2368</v>
      </c>
      <c r="D2379" s="1" t="s">
        <v>8</v>
      </c>
      <c r="E2379" s="3">
        <v>2338809</v>
      </c>
      <c r="F2379" s="3">
        <v>2339180</v>
      </c>
      <c r="G2379" s="1" t="s">
        <v>13</v>
      </c>
      <c r="H2379" s="1" t="b">
        <f t="shared" si="86"/>
        <v>1</v>
      </c>
    </row>
    <row r="2380" spans="1:8" ht="21" x14ac:dyDescent="0.25">
      <c r="A2380" s="2" t="str">
        <f>HYPERLINK("https://rth.dk/resources/bsgatlas/details.php?id=BSGatlas-operon-1271","BSGatlas-operon-1271")</f>
        <v>BSGatlas-operon-1271</v>
      </c>
      <c r="B2380" s="2" t="str">
        <f>HYPERLINK("https://rth.dk/resources/bsgatlas/details.php?id=BSGatlas-gene-2624","BSGatlas-gene-2624")</f>
        <v>BSGatlas-gene-2624</v>
      </c>
      <c r="C2380" s="1" t="s">
        <v>2369</v>
      </c>
      <c r="D2380" s="1" t="s">
        <v>8</v>
      </c>
      <c r="E2380" s="3">
        <v>2339226</v>
      </c>
      <c r="F2380" s="3">
        <v>2339471</v>
      </c>
      <c r="G2380" s="1" t="s">
        <v>13</v>
      </c>
      <c r="H2380" s="1" t="b">
        <f t="shared" si="86"/>
        <v>1</v>
      </c>
    </row>
    <row r="2381" spans="1:8" ht="21" x14ac:dyDescent="0.25">
      <c r="A2381" s="2" t="str">
        <f>HYPERLINK("https://rth.dk/resources/bsgatlas/details.php?id=BSGatlas-operon-1272","BSGatlas-operon-1272")</f>
        <v>BSGatlas-operon-1272</v>
      </c>
      <c r="B2381" s="2" t="str">
        <f>HYPERLINK("https://rth.dk/resources/bsgatlas/details.php?id=BSGatlas-gene-2625","BSGatlas-gene-2625")</f>
        <v>BSGatlas-gene-2625</v>
      </c>
      <c r="C2381" s="1" t="s">
        <v>2370</v>
      </c>
      <c r="D2381" s="1" t="s">
        <v>8</v>
      </c>
      <c r="E2381" s="3">
        <v>2339670</v>
      </c>
      <c r="F2381" s="3">
        <v>2339774</v>
      </c>
      <c r="G2381" s="1" t="s">
        <v>9</v>
      </c>
      <c r="H2381" s="1" t="b">
        <f t="shared" si="86"/>
        <v>0</v>
      </c>
    </row>
    <row r="2382" spans="1:8" ht="21" x14ac:dyDescent="0.25">
      <c r="A2382" s="2" t="str">
        <f>HYPERLINK("https://rth.dk/resources/bsgatlas/details.php?id=BSGatlas-operon-1273","BSGatlas-operon-1273")</f>
        <v>BSGatlas-operon-1273</v>
      </c>
      <c r="B2382" s="2" t="str">
        <f>HYPERLINK("https://rth.dk/resources/bsgatlas/details.php?id=BSGatlas-gene-2626","BSGatlas-gene-2626")</f>
        <v>BSGatlas-gene-2626</v>
      </c>
      <c r="C2382" s="1" t="s">
        <v>2371</v>
      </c>
      <c r="D2382" s="1" t="s">
        <v>8</v>
      </c>
      <c r="E2382" s="3">
        <v>2339799</v>
      </c>
      <c r="F2382" s="3">
        <v>2340761</v>
      </c>
      <c r="G2382" s="1" t="s">
        <v>13</v>
      </c>
      <c r="H2382" s="1" t="b">
        <f t="shared" si="86"/>
        <v>1</v>
      </c>
    </row>
    <row r="2383" spans="1:8" ht="21" x14ac:dyDescent="0.25">
      <c r="A2383" s="2" t="str">
        <f>HYPERLINK("https://rth.dk/resources/bsgatlas/details.php?id=BSGatlas-operon-1274","BSGatlas-operon-1274")</f>
        <v>BSGatlas-operon-1274</v>
      </c>
      <c r="B2383" s="2" t="str">
        <f>HYPERLINK("https://rth.dk/resources/bsgatlas/details.php?id=BSGatlas-gene-2627","BSGatlas-gene-2627")</f>
        <v>BSGatlas-gene-2627</v>
      </c>
      <c r="C2383" s="1" t="s">
        <v>2372</v>
      </c>
      <c r="D2383" s="1" t="s">
        <v>8</v>
      </c>
      <c r="E2383" s="3">
        <v>2340802</v>
      </c>
      <c r="F2383" s="3">
        <v>2341422</v>
      </c>
      <c r="G2383" s="1" t="s">
        <v>9</v>
      </c>
      <c r="H2383" s="1" t="b">
        <f t="shared" si="86"/>
        <v>0</v>
      </c>
    </row>
    <row r="2384" spans="1:8" ht="21" x14ac:dyDescent="0.25">
      <c r="A2384" s="2" t="str">
        <f>HYPERLINK("https://rth.dk/resources/bsgatlas/details.php?id=BSGatlas-operon-1274","BSGatlas-operon-1274")</f>
        <v>BSGatlas-operon-1274</v>
      </c>
      <c r="B2384" s="2" t="str">
        <f>HYPERLINK("https://rth.dk/resources/bsgatlas/details.php?id=BSGatlas-gene-2628","BSGatlas-gene-2628")</f>
        <v>BSGatlas-gene-2628</v>
      </c>
      <c r="C2384" s="1" t="s">
        <v>2373</v>
      </c>
      <c r="D2384" s="1" t="s">
        <v>8</v>
      </c>
      <c r="E2384" s="3">
        <v>2341444</v>
      </c>
      <c r="F2384" s="3">
        <v>2344188</v>
      </c>
      <c r="G2384" s="1" t="s">
        <v>9</v>
      </c>
      <c r="H2384" s="1" t="b">
        <f t="shared" si="86"/>
        <v>0</v>
      </c>
    </row>
    <row r="2385" spans="1:8" ht="21" x14ac:dyDescent="0.25">
      <c r="A2385" s="2" t="str">
        <f>HYPERLINK("https://rth.dk/resources/bsgatlas/details.php?id=BSGatlas-operon-1275","BSGatlas-operon-1275")</f>
        <v>BSGatlas-operon-1275</v>
      </c>
      <c r="B2385" s="2" t="str">
        <f>HYPERLINK("https://rth.dk/resources/bsgatlas/details.php?id=BSGatlas-gene-2629","BSGatlas-gene-2629")</f>
        <v>BSGatlas-gene-2629</v>
      </c>
      <c r="C2385" s="1" t="s">
        <v>2374</v>
      </c>
      <c r="D2385" s="1" t="s">
        <v>8</v>
      </c>
      <c r="E2385" s="3">
        <v>2344264</v>
      </c>
      <c r="F2385" s="3">
        <v>2344758</v>
      </c>
      <c r="G2385" s="1" t="s">
        <v>13</v>
      </c>
      <c r="H2385" s="1" t="b">
        <f t="shared" si="86"/>
        <v>1</v>
      </c>
    </row>
    <row r="2386" spans="1:8" ht="21" x14ac:dyDescent="0.25">
      <c r="A2386" s="2" t="str">
        <f>HYPERLINK("https://rth.dk/resources/bsgatlas/details.php?id=BSGatlas-operon-1275","BSGatlas-operon-1275")</f>
        <v>BSGatlas-operon-1275</v>
      </c>
      <c r="B2386" s="2" t="str">
        <f>HYPERLINK("https://rth.dk/resources/bsgatlas/details.php?id=BSGatlas-gene-2630","BSGatlas-gene-2630")</f>
        <v>BSGatlas-gene-2630</v>
      </c>
      <c r="C2386" s="1" t="s">
        <v>2375</v>
      </c>
      <c r="D2386" s="1" t="s">
        <v>8</v>
      </c>
      <c r="E2386" s="3">
        <v>2344755</v>
      </c>
      <c r="F2386" s="3">
        <v>2345414</v>
      </c>
      <c r="G2386" s="1" t="s">
        <v>13</v>
      </c>
      <c r="H2386" s="1" t="b">
        <f t="shared" si="86"/>
        <v>1</v>
      </c>
    </row>
    <row r="2387" spans="1:8" ht="21" x14ac:dyDescent="0.25">
      <c r="A2387" s="2" t="str">
        <f>HYPERLINK("https://rth.dk/resources/bsgatlas/details.php?id=BSGatlas-operon-1275","BSGatlas-operon-1275")</f>
        <v>BSGatlas-operon-1275</v>
      </c>
      <c r="B2387" s="2" t="str">
        <f>HYPERLINK("https://rth.dk/resources/bsgatlas/details.php?id=BSGatlas-gene-2631","BSGatlas-gene-2631")</f>
        <v>BSGatlas-gene-2631</v>
      </c>
      <c r="C2387" s="1" t="s">
        <v>2376</v>
      </c>
      <c r="D2387" s="1" t="s">
        <v>8</v>
      </c>
      <c r="E2387" s="3">
        <v>2345433</v>
      </c>
      <c r="F2387" s="3">
        <v>2346131</v>
      </c>
      <c r="G2387" s="1" t="s">
        <v>13</v>
      </c>
      <c r="H2387" s="1" t="b">
        <f t="shared" si="86"/>
        <v>1</v>
      </c>
    </row>
    <row r="2388" spans="1:8" ht="21" x14ac:dyDescent="0.25">
      <c r="A2388" s="2" t="str">
        <f>HYPERLINK("https://rth.dk/resources/bsgatlas/details.php?id=BSGatlas-operon-1275","BSGatlas-operon-1275")</f>
        <v>BSGatlas-operon-1275</v>
      </c>
      <c r="B2388" s="2" t="str">
        <f>HYPERLINK("https://rth.dk/resources/bsgatlas/details.php?id=BSGatlas-gene-2632","BSGatlas-gene-2632")</f>
        <v>BSGatlas-gene-2632</v>
      </c>
      <c r="C2388" s="1" t="s">
        <v>2377</v>
      </c>
      <c r="D2388" s="1" t="s">
        <v>8</v>
      </c>
      <c r="E2388" s="3">
        <v>2346224</v>
      </c>
      <c r="F2388" s="3">
        <v>2347516</v>
      </c>
      <c r="G2388" s="1" t="s">
        <v>13</v>
      </c>
      <c r="H2388" s="1" t="b">
        <f t="shared" si="86"/>
        <v>1</v>
      </c>
    </row>
    <row r="2389" spans="1:8" ht="21" x14ac:dyDescent="0.25">
      <c r="A2389" s="2" t="str">
        <f>HYPERLINK("https://rth.dk/resources/bsgatlas/details.php?id=BSGatlas-operon-1276","BSGatlas-operon-1276")</f>
        <v>BSGatlas-operon-1276</v>
      </c>
      <c r="B2389" s="2" t="str">
        <f>HYPERLINK("https://rth.dk/resources/bsgatlas/details.php?id=BSGatlas-gene-2633","BSGatlas-gene-2633")</f>
        <v>BSGatlas-gene-2633</v>
      </c>
      <c r="C2389" s="1" t="s">
        <v>2378</v>
      </c>
      <c r="D2389" s="1" t="s">
        <v>8</v>
      </c>
      <c r="E2389" s="3">
        <v>2347660</v>
      </c>
      <c r="F2389" s="3">
        <v>2348841</v>
      </c>
      <c r="G2389" s="1" t="s">
        <v>13</v>
      </c>
      <c r="H2389" s="1" t="b">
        <f t="shared" si="86"/>
        <v>0</v>
      </c>
    </row>
    <row r="2390" spans="1:8" ht="21" x14ac:dyDescent="0.25">
      <c r="A2390" s="2" t="str">
        <f>HYPERLINK("https://rth.dk/resources/bsgatlas/details.php?id=BSGatlas-operon-1276","BSGatlas-operon-1276")</f>
        <v>BSGatlas-operon-1276</v>
      </c>
      <c r="B2390" s="2" t="str">
        <f>HYPERLINK("https://rth.dk/resources/bsgatlas/details.php?id=BSGatlas-gene-2634","BSGatlas-gene-2634")</f>
        <v>BSGatlas-gene-2634</v>
      </c>
      <c r="C2390" s="1" t="s">
        <v>2379</v>
      </c>
      <c r="D2390" s="1" t="s">
        <v>8</v>
      </c>
      <c r="E2390" s="3">
        <v>2348864</v>
      </c>
      <c r="F2390" s="3">
        <v>2349349</v>
      </c>
      <c r="G2390" s="1" t="s">
        <v>13</v>
      </c>
      <c r="H2390" s="1" t="b">
        <f t="shared" si="86"/>
        <v>0</v>
      </c>
    </row>
    <row r="2391" spans="1:8" ht="21" x14ac:dyDescent="0.25">
      <c r="A2391" s="2" t="str">
        <f>HYPERLINK("https://rth.dk/resources/bsgatlas/details.php?id=BSGatlas-operon-1276","BSGatlas-operon-1276")</f>
        <v>BSGatlas-operon-1276</v>
      </c>
      <c r="B2391" s="2" t="str">
        <f>HYPERLINK("https://rth.dk/resources/bsgatlas/details.php?id=BSGatlas-gene-2635","BSGatlas-gene-2635")</f>
        <v>BSGatlas-gene-2635</v>
      </c>
      <c r="C2391" s="1" t="s">
        <v>2380</v>
      </c>
      <c r="D2391" s="1" t="s">
        <v>8</v>
      </c>
      <c r="E2391" s="3">
        <v>2349358</v>
      </c>
      <c r="F2391" s="3">
        <v>2349528</v>
      </c>
      <c r="G2391" s="1" t="s">
        <v>13</v>
      </c>
      <c r="H2391" s="1" t="b">
        <f t="shared" si="86"/>
        <v>0</v>
      </c>
    </row>
    <row r="2392" spans="1:8" ht="21" x14ac:dyDescent="0.25">
      <c r="A2392" s="2" t="str">
        <f>HYPERLINK("https://rth.dk/resources/bsgatlas/details.php?id=BSGatlas-operon-1277","BSGatlas-operon-1277")</f>
        <v>BSGatlas-operon-1277</v>
      </c>
      <c r="B2392" s="2" t="str">
        <f>HYPERLINK("https://rth.dk/resources/bsgatlas/details.php?id=BSGatlas-gene-2636","BSGatlas-gene-2636")</f>
        <v>BSGatlas-gene-2636</v>
      </c>
      <c r="C2392" s="1" t="s">
        <v>2381</v>
      </c>
      <c r="D2392" s="1" t="s">
        <v>12</v>
      </c>
      <c r="E2392" s="3">
        <v>2349590</v>
      </c>
      <c r="F2392" s="3">
        <v>2349664</v>
      </c>
      <c r="G2392" s="1" t="s">
        <v>9</v>
      </c>
      <c r="H2392" s="1" t="b">
        <f t="shared" si="86"/>
        <v>1</v>
      </c>
    </row>
    <row r="2393" spans="1:8" ht="21" x14ac:dyDescent="0.25">
      <c r="A2393" s="2" t="str">
        <f>HYPERLINK("https://rth.dk/resources/bsgatlas/details.php?id=BSGatlas-operon-1278","BSGatlas-operon-1278")</f>
        <v>BSGatlas-operon-1278</v>
      </c>
      <c r="B2393" s="2" t="str">
        <f>HYPERLINK("https://rth.dk/resources/bsgatlas/details.php?id=BSGatlas-gene-2640","BSGatlas-gene-2640")</f>
        <v>BSGatlas-gene-2640</v>
      </c>
      <c r="C2393" s="1" t="s">
        <v>2382</v>
      </c>
      <c r="D2393" s="1" t="s">
        <v>8</v>
      </c>
      <c r="E2393" s="3">
        <v>2353839</v>
      </c>
      <c r="F2393" s="3">
        <v>2354672</v>
      </c>
      <c r="G2393" s="1" t="s">
        <v>13</v>
      </c>
      <c r="H2393" s="1" t="b">
        <f t="shared" si="86"/>
        <v>0</v>
      </c>
    </row>
    <row r="2394" spans="1:8" ht="21" x14ac:dyDescent="0.25">
      <c r="A2394" s="2" t="str">
        <f t="shared" ref="A2394:A2400" si="87">HYPERLINK("https://rth.dk/resources/bsgatlas/details.php?id=BSGatlas-operon-1279","BSGatlas-operon-1279")</f>
        <v>BSGatlas-operon-1279</v>
      </c>
      <c r="B2394" s="2" t="str">
        <f>HYPERLINK("https://rth.dk/resources/bsgatlas/details.php?id=BSGatlas-gene-2642","BSGatlas-gene-2642")</f>
        <v>BSGatlas-gene-2642</v>
      </c>
      <c r="C2394" s="1" t="s">
        <v>2383</v>
      </c>
      <c r="D2394" s="1" t="s">
        <v>8</v>
      </c>
      <c r="E2394" s="3">
        <v>2354918</v>
      </c>
      <c r="F2394" s="3">
        <v>2355895</v>
      </c>
      <c r="G2394" s="1" t="s">
        <v>13</v>
      </c>
      <c r="H2394" s="1" t="b">
        <f t="shared" si="86"/>
        <v>1</v>
      </c>
    </row>
    <row r="2395" spans="1:8" ht="21" x14ac:dyDescent="0.25">
      <c r="A2395" s="2" t="str">
        <f t="shared" si="87"/>
        <v>BSGatlas-operon-1279</v>
      </c>
      <c r="B2395" s="2" t="str">
        <f>HYPERLINK("https://rth.dk/resources/bsgatlas/details.php?id=BSGatlas-gene-2643","BSGatlas-gene-2643")</f>
        <v>BSGatlas-gene-2643</v>
      </c>
      <c r="C2395" s="1" t="s">
        <v>2384</v>
      </c>
      <c r="D2395" s="1" t="s">
        <v>8</v>
      </c>
      <c r="E2395" s="3">
        <v>2355880</v>
      </c>
      <c r="F2395" s="3">
        <v>2357073</v>
      </c>
      <c r="G2395" s="1" t="s">
        <v>13</v>
      </c>
      <c r="H2395" s="1" t="b">
        <f t="shared" si="86"/>
        <v>1</v>
      </c>
    </row>
    <row r="2396" spans="1:8" ht="21" x14ac:dyDescent="0.25">
      <c r="A2396" s="2" t="str">
        <f t="shared" si="87"/>
        <v>BSGatlas-operon-1279</v>
      </c>
      <c r="B2396" s="2" t="str">
        <f>HYPERLINK("https://rth.dk/resources/bsgatlas/details.php?id=BSGatlas-gene-2644","BSGatlas-gene-2644")</f>
        <v>BSGatlas-gene-2644</v>
      </c>
      <c r="C2396" s="1" t="s">
        <v>2385</v>
      </c>
      <c r="D2396" s="1" t="s">
        <v>8</v>
      </c>
      <c r="E2396" s="3">
        <v>2357078</v>
      </c>
      <c r="F2396" s="3">
        <v>2358211</v>
      </c>
      <c r="G2396" s="1" t="s">
        <v>13</v>
      </c>
      <c r="H2396" s="1" t="b">
        <f t="shared" si="86"/>
        <v>1</v>
      </c>
    </row>
    <row r="2397" spans="1:8" ht="21" x14ac:dyDescent="0.25">
      <c r="A2397" s="2" t="str">
        <f t="shared" si="87"/>
        <v>BSGatlas-operon-1279</v>
      </c>
      <c r="B2397" s="2" t="str">
        <f>HYPERLINK("https://rth.dk/resources/bsgatlas/details.php?id=BSGatlas-gene-2645","BSGatlas-gene-2645")</f>
        <v>BSGatlas-gene-2645</v>
      </c>
      <c r="C2397" s="1" t="s">
        <v>2386</v>
      </c>
      <c r="D2397" s="1" t="s">
        <v>8</v>
      </c>
      <c r="E2397" s="3">
        <v>2358208</v>
      </c>
      <c r="F2397" s="3">
        <v>2358918</v>
      </c>
      <c r="G2397" s="1" t="s">
        <v>13</v>
      </c>
      <c r="H2397" s="1" t="b">
        <f t="shared" si="86"/>
        <v>1</v>
      </c>
    </row>
    <row r="2398" spans="1:8" ht="21" x14ac:dyDescent="0.25">
      <c r="A2398" s="2" t="str">
        <f t="shared" si="87"/>
        <v>BSGatlas-operon-1279</v>
      </c>
      <c r="B2398" s="2" t="str">
        <f>HYPERLINK("https://rth.dk/resources/bsgatlas/details.php?id=BSGatlas-gene-2646","BSGatlas-gene-2646")</f>
        <v>BSGatlas-gene-2646</v>
      </c>
      <c r="C2398" s="1" t="s">
        <v>2387</v>
      </c>
      <c r="D2398" s="1" t="s">
        <v>8</v>
      </c>
      <c r="E2398" s="3">
        <v>2358911</v>
      </c>
      <c r="F2398" s="3">
        <v>2359324</v>
      </c>
      <c r="G2398" s="1" t="s">
        <v>13</v>
      </c>
      <c r="H2398" s="1" t="b">
        <f t="shared" si="86"/>
        <v>1</v>
      </c>
    </row>
    <row r="2399" spans="1:8" ht="21" x14ac:dyDescent="0.25">
      <c r="A2399" s="2" t="str">
        <f t="shared" si="87"/>
        <v>BSGatlas-operon-1279</v>
      </c>
      <c r="B2399" s="2" t="str">
        <f>HYPERLINK("https://rth.dk/resources/bsgatlas/details.php?id=BSGatlas-gene-2647","BSGatlas-gene-2647")</f>
        <v>BSGatlas-gene-2647</v>
      </c>
      <c r="C2399" s="1" t="s">
        <v>2388</v>
      </c>
      <c r="D2399" s="1" t="s">
        <v>8</v>
      </c>
      <c r="E2399" s="3">
        <v>2359340</v>
      </c>
      <c r="F2399" s="3">
        <v>2360143</v>
      </c>
      <c r="G2399" s="1" t="s">
        <v>13</v>
      </c>
      <c r="H2399" s="1" t="b">
        <f t="shared" si="86"/>
        <v>1</v>
      </c>
    </row>
    <row r="2400" spans="1:8" ht="21" x14ac:dyDescent="0.25">
      <c r="A2400" s="2" t="str">
        <f t="shared" si="87"/>
        <v>BSGatlas-operon-1279</v>
      </c>
      <c r="B2400" s="2" t="str">
        <f>HYPERLINK("https://rth.dk/resources/bsgatlas/details.php?id=BSGatlas-gene-2648","BSGatlas-gene-2648")</f>
        <v>BSGatlas-gene-2648</v>
      </c>
      <c r="C2400" s="1" t="s">
        <v>2389</v>
      </c>
      <c r="D2400" s="1" t="s">
        <v>8</v>
      </c>
      <c r="E2400" s="3">
        <v>2360155</v>
      </c>
      <c r="F2400" s="3">
        <v>2360490</v>
      </c>
      <c r="G2400" s="1" t="s">
        <v>13</v>
      </c>
      <c r="H2400" s="1" t="b">
        <f t="shared" si="86"/>
        <v>1</v>
      </c>
    </row>
    <row r="2401" spans="1:8" ht="21" x14ac:dyDescent="0.25">
      <c r="A2401" s="2" t="str">
        <f>HYPERLINK("https://rth.dk/resources/bsgatlas/details.php?id=BSGatlas-operon-1280","BSGatlas-operon-1280")</f>
        <v>BSGatlas-operon-1280</v>
      </c>
      <c r="B2401" s="2" t="str">
        <f>HYPERLINK("https://rth.dk/resources/bsgatlas/details.php?id=BSGatlas-gene-2649","BSGatlas-gene-2649")</f>
        <v>BSGatlas-gene-2649</v>
      </c>
      <c r="C2401" s="1" t="s">
        <v>2390</v>
      </c>
      <c r="D2401" s="1" t="s">
        <v>8</v>
      </c>
      <c r="E2401" s="3">
        <v>2360630</v>
      </c>
      <c r="F2401" s="3">
        <v>2361502</v>
      </c>
      <c r="G2401" s="1" t="s">
        <v>9</v>
      </c>
      <c r="H2401" s="1" t="b">
        <f t="shared" si="86"/>
        <v>0</v>
      </c>
    </row>
    <row r="2402" spans="1:8" ht="21" x14ac:dyDescent="0.25">
      <c r="A2402" s="2" t="str">
        <f>HYPERLINK("https://rth.dk/resources/bsgatlas/details.php?id=BSGatlas-operon-1281","BSGatlas-operon-1281")</f>
        <v>BSGatlas-operon-1281</v>
      </c>
      <c r="B2402" s="2" t="str">
        <f>HYPERLINK("https://rth.dk/resources/bsgatlas/details.php?id=BSGatlas-gene-2650","BSGatlas-gene-2650")</f>
        <v>BSGatlas-gene-2650</v>
      </c>
      <c r="C2402" s="1" t="s">
        <v>2391</v>
      </c>
      <c r="D2402" s="1" t="s">
        <v>8</v>
      </c>
      <c r="E2402" s="3">
        <v>2361544</v>
      </c>
      <c r="F2402" s="3">
        <v>2362338</v>
      </c>
      <c r="G2402" s="1" t="s">
        <v>13</v>
      </c>
      <c r="H2402" s="1" t="b">
        <f t="shared" si="86"/>
        <v>1</v>
      </c>
    </row>
    <row r="2403" spans="1:8" ht="21" x14ac:dyDescent="0.25">
      <c r="A2403" s="2" t="str">
        <f>HYPERLINK("https://rth.dk/resources/bsgatlas/details.php?id=BSGatlas-operon-1282","BSGatlas-operon-1282")</f>
        <v>BSGatlas-operon-1282</v>
      </c>
      <c r="B2403" s="2" t="str">
        <f>HYPERLINK("https://rth.dk/resources/bsgatlas/details.php?id=BSGatlas-gene-2652","BSGatlas-gene-2652")</f>
        <v>BSGatlas-gene-2652</v>
      </c>
      <c r="C2403" s="1" t="s">
        <v>2392</v>
      </c>
      <c r="D2403" s="1" t="s">
        <v>8</v>
      </c>
      <c r="E2403" s="3">
        <v>2363111</v>
      </c>
      <c r="F2403" s="3">
        <v>2363878</v>
      </c>
      <c r="G2403" s="1" t="s">
        <v>13</v>
      </c>
      <c r="H2403" s="1" t="b">
        <f t="shared" si="86"/>
        <v>0</v>
      </c>
    </row>
    <row r="2404" spans="1:8" ht="21" x14ac:dyDescent="0.25">
      <c r="A2404" s="2" t="str">
        <f>HYPERLINK("https://rth.dk/resources/bsgatlas/details.php?id=BSGatlas-operon-1282","BSGatlas-operon-1282")</f>
        <v>BSGatlas-operon-1282</v>
      </c>
      <c r="B2404" s="2" t="str">
        <f>HYPERLINK("https://rth.dk/resources/bsgatlas/details.php?id=BSGatlas-gene-2653","BSGatlas-gene-2653")</f>
        <v>BSGatlas-gene-2653</v>
      </c>
      <c r="C2404" s="1" t="s">
        <v>2393</v>
      </c>
      <c r="D2404" s="1" t="s">
        <v>8</v>
      </c>
      <c r="E2404" s="3">
        <v>2363913</v>
      </c>
      <c r="F2404" s="3">
        <v>2364587</v>
      </c>
      <c r="G2404" s="1" t="s">
        <v>13</v>
      </c>
      <c r="H2404" s="1" t="b">
        <f t="shared" si="86"/>
        <v>0</v>
      </c>
    </row>
    <row r="2405" spans="1:8" ht="21" x14ac:dyDescent="0.25">
      <c r="A2405" s="2" t="str">
        <f>HYPERLINK("https://rth.dk/resources/bsgatlas/details.php?id=BSGatlas-operon-1282","BSGatlas-operon-1282")</f>
        <v>BSGatlas-operon-1282</v>
      </c>
      <c r="B2405" s="2" t="str">
        <f>HYPERLINK("https://rth.dk/resources/bsgatlas/details.php?id=BSGatlas-gene-2654","BSGatlas-gene-2654")</f>
        <v>BSGatlas-gene-2654</v>
      </c>
      <c r="C2405" s="1" t="s">
        <v>2394</v>
      </c>
      <c r="D2405" s="1" t="s">
        <v>8</v>
      </c>
      <c r="E2405" s="3">
        <v>2364589</v>
      </c>
      <c r="F2405" s="3">
        <v>2365092</v>
      </c>
      <c r="G2405" s="1" t="s">
        <v>13</v>
      </c>
      <c r="H2405" s="1" t="b">
        <f t="shared" si="86"/>
        <v>0</v>
      </c>
    </row>
    <row r="2406" spans="1:8" ht="21" x14ac:dyDescent="0.25">
      <c r="A2406" s="2" t="str">
        <f>HYPERLINK("https://rth.dk/resources/bsgatlas/details.php?id=BSGatlas-operon-1283","BSGatlas-operon-1283")</f>
        <v>BSGatlas-operon-1283</v>
      </c>
      <c r="B2406" s="2" t="str">
        <f>HYPERLINK("https://rth.dk/resources/bsgatlas/details.php?id=BSGatlas-gene-2655","BSGatlas-gene-2655")</f>
        <v>BSGatlas-gene-2655</v>
      </c>
      <c r="C2406" s="1" t="s">
        <v>2395</v>
      </c>
      <c r="D2406" s="1" t="s">
        <v>8</v>
      </c>
      <c r="E2406" s="3">
        <v>2365235</v>
      </c>
      <c r="F2406" s="3">
        <v>2365681</v>
      </c>
      <c r="G2406" s="1" t="s">
        <v>13</v>
      </c>
      <c r="H2406" s="1" t="b">
        <f t="shared" si="86"/>
        <v>1</v>
      </c>
    </row>
    <row r="2407" spans="1:8" ht="21" x14ac:dyDescent="0.25">
      <c r="A2407" s="2" t="str">
        <f>HYPERLINK("https://rth.dk/resources/bsgatlas/details.php?id=BSGatlas-operon-1284","BSGatlas-operon-1284")</f>
        <v>BSGatlas-operon-1284</v>
      </c>
      <c r="B2407" s="2" t="str">
        <f>HYPERLINK("https://rth.dk/resources/bsgatlas/details.php?id=BSGatlas-gene-2656","BSGatlas-gene-2656")</f>
        <v>BSGatlas-gene-2656</v>
      </c>
      <c r="C2407" s="1" t="s">
        <v>2396</v>
      </c>
      <c r="D2407" s="1" t="s">
        <v>8</v>
      </c>
      <c r="E2407" s="3">
        <v>2365736</v>
      </c>
      <c r="F2407" s="3">
        <v>2366275</v>
      </c>
      <c r="G2407" s="1" t="s">
        <v>13</v>
      </c>
      <c r="H2407" s="1" t="b">
        <f t="shared" si="86"/>
        <v>0</v>
      </c>
    </row>
    <row r="2408" spans="1:8" ht="21" x14ac:dyDescent="0.25">
      <c r="A2408" s="2" t="str">
        <f>HYPERLINK("https://rth.dk/resources/bsgatlas/details.php?id=BSGatlas-operon-1284","BSGatlas-operon-1284")</f>
        <v>BSGatlas-operon-1284</v>
      </c>
      <c r="B2408" s="2" t="str">
        <f>HYPERLINK("https://rth.dk/resources/bsgatlas/details.php?id=BSGatlas-gene-2657","BSGatlas-gene-2657")</f>
        <v>BSGatlas-gene-2657</v>
      </c>
      <c r="C2408" s="1" t="s">
        <v>2397</v>
      </c>
      <c r="D2408" s="1" t="s">
        <v>8</v>
      </c>
      <c r="E2408" s="3">
        <v>2366347</v>
      </c>
      <c r="F2408" s="3">
        <v>2367618</v>
      </c>
      <c r="G2408" s="1" t="s">
        <v>13</v>
      </c>
      <c r="H2408" s="1" t="b">
        <f t="shared" si="86"/>
        <v>0</v>
      </c>
    </row>
    <row r="2409" spans="1:8" ht="21" x14ac:dyDescent="0.25">
      <c r="A2409" s="2" t="str">
        <f t="shared" ref="A2409:A2417" si="88">HYPERLINK("https://rth.dk/resources/bsgatlas/details.php?id=BSGatlas-operon-1285","BSGatlas-operon-1285")</f>
        <v>BSGatlas-operon-1285</v>
      </c>
      <c r="B2409" s="2" t="str">
        <f>HYPERLINK("https://rth.dk/resources/bsgatlas/details.php?id=BSGatlas-gene-2658","BSGatlas-gene-2658")</f>
        <v>BSGatlas-gene-2658</v>
      </c>
      <c r="C2409" s="1" t="s">
        <v>2398</v>
      </c>
      <c r="D2409" s="1" t="s">
        <v>8</v>
      </c>
      <c r="E2409" s="3">
        <v>2367954</v>
      </c>
      <c r="F2409" s="3">
        <v>2369240</v>
      </c>
      <c r="G2409" s="1" t="s">
        <v>13</v>
      </c>
      <c r="H2409" s="1" t="b">
        <f t="shared" si="86"/>
        <v>1</v>
      </c>
    </row>
    <row r="2410" spans="1:8" ht="21" x14ac:dyDescent="0.25">
      <c r="A2410" s="2" t="str">
        <f t="shared" si="88"/>
        <v>BSGatlas-operon-1285</v>
      </c>
      <c r="B2410" s="2" t="str">
        <f>HYPERLINK("https://rth.dk/resources/bsgatlas/details.php?id=BSGatlas-gene-2659","BSGatlas-gene-2659")</f>
        <v>BSGatlas-gene-2659</v>
      </c>
      <c r="C2410" s="1" t="s">
        <v>2399</v>
      </c>
      <c r="D2410" s="1" t="s">
        <v>8</v>
      </c>
      <c r="E2410" s="3">
        <v>2369251</v>
      </c>
      <c r="F2410" s="3">
        <v>2370366</v>
      </c>
      <c r="G2410" s="1" t="s">
        <v>13</v>
      </c>
      <c r="H2410" s="1" t="b">
        <f t="shared" si="86"/>
        <v>1</v>
      </c>
    </row>
    <row r="2411" spans="1:8" ht="21" x14ac:dyDescent="0.25">
      <c r="A2411" s="2" t="str">
        <f t="shared" si="88"/>
        <v>BSGatlas-operon-1285</v>
      </c>
      <c r="B2411" s="2" t="str">
        <f>HYPERLINK("https://rth.dk/resources/bsgatlas/details.php?id=BSGatlas-gene-2660","BSGatlas-gene-2660")</f>
        <v>BSGatlas-gene-2660</v>
      </c>
      <c r="C2411" s="1" t="s">
        <v>2400</v>
      </c>
      <c r="D2411" s="1" t="s">
        <v>8</v>
      </c>
      <c r="E2411" s="3">
        <v>2370415</v>
      </c>
      <c r="F2411" s="3">
        <v>2371497</v>
      </c>
      <c r="G2411" s="1" t="s">
        <v>13</v>
      </c>
      <c r="H2411" s="1" t="b">
        <f t="shared" si="86"/>
        <v>1</v>
      </c>
    </row>
    <row r="2412" spans="1:8" ht="21" x14ac:dyDescent="0.25">
      <c r="A2412" s="2" t="str">
        <f t="shared" si="88"/>
        <v>BSGatlas-operon-1285</v>
      </c>
      <c r="B2412" s="2" t="str">
        <f>HYPERLINK("https://rth.dk/resources/bsgatlas/details.php?id=BSGatlas-gene-2661","BSGatlas-gene-2661")</f>
        <v>BSGatlas-gene-2661</v>
      </c>
      <c r="C2412" s="1" t="s">
        <v>2401</v>
      </c>
      <c r="D2412" s="1" t="s">
        <v>8</v>
      </c>
      <c r="E2412" s="3">
        <v>2371508</v>
      </c>
      <c r="F2412" s="3">
        <v>2372311</v>
      </c>
      <c r="G2412" s="1" t="s">
        <v>13</v>
      </c>
      <c r="H2412" s="1" t="b">
        <f t="shared" si="86"/>
        <v>1</v>
      </c>
    </row>
    <row r="2413" spans="1:8" ht="21" x14ac:dyDescent="0.25">
      <c r="A2413" s="2" t="str">
        <f t="shared" si="88"/>
        <v>BSGatlas-operon-1285</v>
      </c>
      <c r="B2413" s="2" t="str">
        <f>HYPERLINK("https://rth.dk/resources/bsgatlas/details.php?id=BSGatlas-gene-2662","BSGatlas-gene-2662")</f>
        <v>BSGatlas-gene-2662</v>
      </c>
      <c r="C2413" s="1" t="s">
        <v>2402</v>
      </c>
      <c r="D2413" s="1" t="s">
        <v>8</v>
      </c>
      <c r="E2413" s="3">
        <v>2372304</v>
      </c>
      <c r="F2413" s="3">
        <v>2373506</v>
      </c>
      <c r="G2413" s="1" t="s">
        <v>13</v>
      </c>
      <c r="H2413" s="1" t="b">
        <f t="shared" si="86"/>
        <v>1</v>
      </c>
    </row>
    <row r="2414" spans="1:8" ht="21" x14ac:dyDescent="0.25">
      <c r="A2414" s="2" t="str">
        <f t="shared" si="88"/>
        <v>BSGatlas-operon-1285</v>
      </c>
      <c r="B2414" s="2" t="str">
        <f>HYPERLINK("https://rth.dk/resources/bsgatlas/details.php?id=BSGatlas-gene-2663","BSGatlas-gene-2663")</f>
        <v>BSGatlas-gene-2663</v>
      </c>
      <c r="C2414" s="1" t="s">
        <v>2403</v>
      </c>
      <c r="D2414" s="1" t="s">
        <v>8</v>
      </c>
      <c r="E2414" s="3">
        <v>2373487</v>
      </c>
      <c r="F2414" s="3">
        <v>2374134</v>
      </c>
      <c r="G2414" s="1" t="s">
        <v>13</v>
      </c>
      <c r="H2414" s="1" t="b">
        <f t="shared" si="86"/>
        <v>1</v>
      </c>
    </row>
    <row r="2415" spans="1:8" ht="21" x14ac:dyDescent="0.25">
      <c r="A2415" s="2" t="str">
        <f t="shared" si="88"/>
        <v>BSGatlas-operon-1285</v>
      </c>
      <c r="B2415" s="2" t="str">
        <f>HYPERLINK("https://rth.dk/resources/bsgatlas/details.php?id=BSGatlas-gene-2664","BSGatlas-gene-2664")</f>
        <v>BSGatlas-gene-2664</v>
      </c>
      <c r="C2415" s="1" t="s">
        <v>2404</v>
      </c>
      <c r="D2415" s="1" t="s">
        <v>8</v>
      </c>
      <c r="E2415" s="3">
        <v>2374139</v>
      </c>
      <c r="F2415" s="3">
        <v>2374888</v>
      </c>
      <c r="G2415" s="1" t="s">
        <v>13</v>
      </c>
      <c r="H2415" s="1" t="b">
        <f t="shared" si="86"/>
        <v>1</v>
      </c>
    </row>
    <row r="2416" spans="1:8" ht="21" x14ac:dyDescent="0.25">
      <c r="A2416" s="2" t="str">
        <f t="shared" si="88"/>
        <v>BSGatlas-operon-1285</v>
      </c>
      <c r="B2416" s="2" t="str">
        <f>HYPERLINK("https://rth.dk/resources/bsgatlas/details.php?id=BSGatlas-gene-2665","BSGatlas-gene-2665")</f>
        <v>BSGatlas-gene-2665</v>
      </c>
      <c r="C2416" s="1" t="s">
        <v>2405</v>
      </c>
      <c r="D2416" s="1" t="s">
        <v>8</v>
      </c>
      <c r="E2416" s="3">
        <v>2374881</v>
      </c>
      <c r="F2416" s="3">
        <v>2375897</v>
      </c>
      <c r="G2416" s="1" t="s">
        <v>13</v>
      </c>
      <c r="H2416" s="1" t="b">
        <f t="shared" si="86"/>
        <v>1</v>
      </c>
    </row>
    <row r="2417" spans="1:8" ht="21" x14ac:dyDescent="0.25">
      <c r="A2417" s="2" t="str">
        <f t="shared" si="88"/>
        <v>BSGatlas-operon-1285</v>
      </c>
      <c r="B2417" s="2" t="str">
        <f>HYPERLINK("https://rth.dk/resources/bsgatlas/details.php?id=BSGatlas-gene-2666","BSGatlas-gene-2666")</f>
        <v>BSGatlas-gene-2666</v>
      </c>
      <c r="C2417" s="1" t="s">
        <v>2406</v>
      </c>
      <c r="D2417" s="1" t="s">
        <v>8</v>
      </c>
      <c r="E2417" s="3">
        <v>2375869</v>
      </c>
      <c r="F2417" s="3">
        <v>2377416</v>
      </c>
      <c r="G2417" s="1" t="s">
        <v>13</v>
      </c>
      <c r="H2417" s="1" t="b">
        <f t="shared" si="86"/>
        <v>1</v>
      </c>
    </row>
    <row r="2418" spans="1:8" ht="21" x14ac:dyDescent="0.25">
      <c r="A2418" s="2" t="str">
        <f>HYPERLINK("https://rth.dk/resources/bsgatlas/details.php?id=BSGatlas-operon-1286","BSGatlas-operon-1286")</f>
        <v>BSGatlas-operon-1286</v>
      </c>
      <c r="B2418" s="2" t="str">
        <f>HYPERLINK("https://rth.dk/resources/bsgatlas/details.php?id=BSGatlas-gene-2667","BSGatlas-gene-2667")</f>
        <v>BSGatlas-gene-2667</v>
      </c>
      <c r="C2418" s="1" t="s">
        <v>2407</v>
      </c>
      <c r="D2418" s="1" t="s">
        <v>34</v>
      </c>
      <c r="E2418" s="3">
        <v>2377479</v>
      </c>
      <c r="F2418" s="3">
        <v>2377619</v>
      </c>
      <c r="G2418" s="1" t="s">
        <v>13</v>
      </c>
      <c r="H2418" s="1" t="b">
        <f t="shared" si="86"/>
        <v>0</v>
      </c>
    </row>
    <row r="2419" spans="1:8" ht="21" x14ac:dyDescent="0.25">
      <c r="A2419" s="2" t="str">
        <f>HYPERLINK("https://rth.dk/resources/bsgatlas/details.php?id=BSGatlas-operon-1287","BSGatlas-operon-1287")</f>
        <v>BSGatlas-operon-1287</v>
      </c>
      <c r="B2419" s="2" t="str">
        <f>HYPERLINK("https://rth.dk/resources/bsgatlas/details.php?id=BSGatlas-gene-2668","BSGatlas-gene-2668")</f>
        <v>BSGatlas-gene-2668</v>
      </c>
      <c r="C2419" s="1" t="s">
        <v>2408</v>
      </c>
      <c r="D2419" s="1" t="s">
        <v>8</v>
      </c>
      <c r="E2419" s="3">
        <v>2377632</v>
      </c>
      <c r="F2419" s="3">
        <v>2378015</v>
      </c>
      <c r="G2419" s="1" t="s">
        <v>13</v>
      </c>
      <c r="H2419" s="1" t="b">
        <f t="shared" si="86"/>
        <v>1</v>
      </c>
    </row>
    <row r="2420" spans="1:8" ht="21" x14ac:dyDescent="0.25">
      <c r="A2420" s="2" t="str">
        <f>HYPERLINK("https://rth.dk/resources/bsgatlas/details.php?id=BSGatlas-operon-1287","BSGatlas-operon-1287")</f>
        <v>BSGatlas-operon-1287</v>
      </c>
      <c r="B2420" s="2" t="str">
        <f>HYPERLINK("https://rth.dk/resources/bsgatlas/details.php?id=BSGatlas-gene-2669","BSGatlas-gene-2669")</f>
        <v>BSGatlas-gene-2669</v>
      </c>
      <c r="C2420" s="1" t="s">
        <v>2409</v>
      </c>
      <c r="D2420" s="1" t="s">
        <v>8</v>
      </c>
      <c r="E2420" s="3">
        <v>2378012</v>
      </c>
      <c r="F2420" s="3">
        <v>2379100</v>
      </c>
      <c r="G2420" s="1" t="s">
        <v>13</v>
      </c>
      <c r="H2420" s="1" t="b">
        <f t="shared" si="86"/>
        <v>1</v>
      </c>
    </row>
    <row r="2421" spans="1:8" ht="21" x14ac:dyDescent="0.25">
      <c r="A2421" s="2" t="str">
        <f>HYPERLINK("https://rth.dk/resources/bsgatlas/details.php?id=BSGatlas-operon-1287","BSGatlas-operon-1287")</f>
        <v>BSGatlas-operon-1287</v>
      </c>
      <c r="B2421" s="2" t="str">
        <f>HYPERLINK("https://rth.dk/resources/bsgatlas/details.php?id=BSGatlas-gene-2670","BSGatlas-gene-2670")</f>
        <v>BSGatlas-gene-2670</v>
      </c>
      <c r="C2421" s="1" t="s">
        <v>2410</v>
      </c>
      <c r="D2421" s="1" t="s">
        <v>8</v>
      </c>
      <c r="E2421" s="3">
        <v>2379100</v>
      </c>
      <c r="F2421" s="3">
        <v>2380272</v>
      </c>
      <c r="G2421" s="1" t="s">
        <v>13</v>
      </c>
      <c r="H2421" s="1" t="b">
        <f t="shared" si="86"/>
        <v>1</v>
      </c>
    </row>
    <row r="2422" spans="1:8" ht="21" x14ac:dyDescent="0.25">
      <c r="A2422" s="2" t="str">
        <f>HYPERLINK("https://rth.dk/resources/bsgatlas/details.php?id=BSGatlas-operon-1287","BSGatlas-operon-1287")</f>
        <v>BSGatlas-operon-1287</v>
      </c>
      <c r="B2422" s="2" t="str">
        <f>HYPERLINK("https://rth.dk/resources/bsgatlas/details.php?id=BSGatlas-gene-2671","BSGatlas-gene-2671")</f>
        <v>BSGatlas-gene-2671</v>
      </c>
      <c r="C2422" s="1" t="s">
        <v>2411</v>
      </c>
      <c r="D2422" s="1" t="s">
        <v>8</v>
      </c>
      <c r="E2422" s="3">
        <v>2380347</v>
      </c>
      <c r="F2422" s="3">
        <v>2381117</v>
      </c>
      <c r="G2422" s="1" t="s">
        <v>13</v>
      </c>
      <c r="H2422" s="1" t="b">
        <f t="shared" si="86"/>
        <v>1</v>
      </c>
    </row>
    <row r="2423" spans="1:8" ht="21" x14ac:dyDescent="0.25">
      <c r="A2423" s="2" t="str">
        <f>HYPERLINK("https://rth.dk/resources/bsgatlas/details.php?id=BSGatlas-operon-1288","BSGatlas-operon-1288")</f>
        <v>BSGatlas-operon-1288</v>
      </c>
      <c r="B2423" s="2" t="str">
        <f>HYPERLINK("https://rth.dk/resources/bsgatlas/details.php?id=BSGatlas-gene-2672","BSGatlas-gene-2672")</f>
        <v>BSGatlas-gene-2672</v>
      </c>
      <c r="C2423" s="1" t="s">
        <v>2412</v>
      </c>
      <c r="D2423" s="1" t="s">
        <v>8</v>
      </c>
      <c r="E2423" s="3">
        <v>2381354</v>
      </c>
      <c r="F2423" s="3">
        <v>2381803</v>
      </c>
      <c r="G2423" s="1" t="s">
        <v>13</v>
      </c>
      <c r="H2423" s="1" t="b">
        <f t="shared" si="86"/>
        <v>0</v>
      </c>
    </row>
    <row r="2424" spans="1:8" ht="21" x14ac:dyDescent="0.25">
      <c r="A2424" s="2" t="str">
        <f>HYPERLINK("https://rth.dk/resources/bsgatlas/details.php?id=BSGatlas-operon-1288","BSGatlas-operon-1288")</f>
        <v>BSGatlas-operon-1288</v>
      </c>
      <c r="B2424" s="2" t="str">
        <f>HYPERLINK("https://rth.dk/resources/bsgatlas/details.php?id=BSGatlas-gene-2673","BSGatlas-gene-2673")</f>
        <v>BSGatlas-gene-2673</v>
      </c>
      <c r="C2424" s="1" t="s">
        <v>2413</v>
      </c>
      <c r="D2424" s="1" t="s">
        <v>8</v>
      </c>
      <c r="E2424" s="3">
        <v>2381919</v>
      </c>
      <c r="F2424" s="3">
        <v>2382965</v>
      </c>
      <c r="G2424" s="1" t="s">
        <v>13</v>
      </c>
      <c r="H2424" s="1" t="b">
        <f t="shared" si="86"/>
        <v>0</v>
      </c>
    </row>
    <row r="2425" spans="1:8" ht="21" x14ac:dyDescent="0.25">
      <c r="A2425" s="2" t="str">
        <f>HYPERLINK("https://rth.dk/resources/bsgatlas/details.php?id=BSGatlas-operon-1288","BSGatlas-operon-1288")</f>
        <v>BSGatlas-operon-1288</v>
      </c>
      <c r="B2425" s="2" t="str">
        <f>HYPERLINK("https://rth.dk/resources/bsgatlas/details.php?id=BSGatlas-gene-2674","BSGatlas-gene-2674")</f>
        <v>BSGatlas-gene-2674</v>
      </c>
      <c r="C2425" s="1" t="s">
        <v>2414</v>
      </c>
      <c r="D2425" s="1" t="s">
        <v>8</v>
      </c>
      <c r="E2425" s="3">
        <v>2382907</v>
      </c>
      <c r="F2425" s="3">
        <v>2383608</v>
      </c>
      <c r="G2425" s="1" t="s">
        <v>13</v>
      </c>
      <c r="H2425" s="1" t="b">
        <f t="shared" si="86"/>
        <v>0</v>
      </c>
    </row>
    <row r="2426" spans="1:8" ht="21" x14ac:dyDescent="0.25">
      <c r="A2426" s="2" t="str">
        <f>HYPERLINK("https://rth.dk/resources/bsgatlas/details.php?id=BSGatlas-operon-1288","BSGatlas-operon-1288")</f>
        <v>BSGatlas-operon-1288</v>
      </c>
      <c r="B2426" s="2" t="str">
        <f>HYPERLINK("https://rth.dk/resources/bsgatlas/details.php?id=BSGatlas-gene-2675","BSGatlas-gene-2675")</f>
        <v>BSGatlas-gene-2675</v>
      </c>
      <c r="C2426" s="1" t="s">
        <v>2415</v>
      </c>
      <c r="D2426" s="1" t="s">
        <v>8</v>
      </c>
      <c r="E2426" s="3">
        <v>2383615</v>
      </c>
      <c r="F2426" s="3">
        <v>2384370</v>
      </c>
      <c r="G2426" s="1" t="s">
        <v>13</v>
      </c>
      <c r="H2426" s="1" t="b">
        <f t="shared" si="86"/>
        <v>0</v>
      </c>
    </row>
    <row r="2427" spans="1:8" ht="21" x14ac:dyDescent="0.25">
      <c r="A2427" s="2" t="str">
        <f>HYPERLINK("https://rth.dk/resources/bsgatlas/details.php?id=BSGatlas-operon-1289","BSGatlas-operon-1289")</f>
        <v>BSGatlas-operon-1289</v>
      </c>
      <c r="B2427" s="2" t="str">
        <f>HYPERLINK("https://rth.dk/resources/bsgatlas/details.php?id=BSGatlas-gene-2676","BSGatlas-gene-2676")</f>
        <v>BSGatlas-gene-2676</v>
      </c>
      <c r="C2427" s="1" t="s">
        <v>2416</v>
      </c>
      <c r="D2427" s="1" t="s">
        <v>8</v>
      </c>
      <c r="E2427" s="3">
        <v>2384534</v>
      </c>
      <c r="F2427" s="3">
        <v>2384761</v>
      </c>
      <c r="G2427" s="1" t="s">
        <v>13</v>
      </c>
      <c r="H2427" s="1" t="b">
        <f t="shared" si="86"/>
        <v>1</v>
      </c>
    </row>
    <row r="2428" spans="1:8" ht="21" x14ac:dyDescent="0.25">
      <c r="A2428" s="2" t="str">
        <f>HYPERLINK("https://rth.dk/resources/bsgatlas/details.php?id=BSGatlas-operon-1289","BSGatlas-operon-1289")</f>
        <v>BSGatlas-operon-1289</v>
      </c>
      <c r="B2428" s="2" t="str">
        <f>HYPERLINK("https://rth.dk/resources/bsgatlas/details.php?id=BSGatlas-gene-2677","BSGatlas-gene-2677")</f>
        <v>BSGatlas-gene-2677</v>
      </c>
      <c r="C2428" s="1" t="s">
        <v>2417</v>
      </c>
      <c r="D2428" s="1" t="s">
        <v>8</v>
      </c>
      <c r="E2428" s="3">
        <v>2384783</v>
      </c>
      <c r="F2428" s="3">
        <v>2385355</v>
      </c>
      <c r="G2428" s="1" t="s">
        <v>13</v>
      </c>
      <c r="H2428" s="1" t="b">
        <f t="shared" si="86"/>
        <v>1</v>
      </c>
    </row>
    <row r="2429" spans="1:8" ht="21" x14ac:dyDescent="0.25">
      <c r="A2429" s="2" t="str">
        <f>HYPERLINK("https://rth.dk/resources/bsgatlas/details.php?id=BSGatlas-operon-1290","BSGatlas-operon-1290")</f>
        <v>BSGatlas-operon-1290</v>
      </c>
      <c r="B2429" s="2" t="str">
        <f>HYPERLINK("https://rth.dk/resources/bsgatlas/details.php?id=BSGatlas-gene-2678","BSGatlas-gene-2678")</f>
        <v>BSGatlas-gene-2678</v>
      </c>
      <c r="C2429" s="1" t="s">
        <v>2418</v>
      </c>
      <c r="D2429" s="1" t="s">
        <v>8</v>
      </c>
      <c r="E2429" s="3">
        <v>2385543</v>
      </c>
      <c r="F2429" s="3">
        <v>2385821</v>
      </c>
      <c r="G2429" s="1" t="s">
        <v>13</v>
      </c>
      <c r="H2429" s="1" t="b">
        <f t="shared" si="86"/>
        <v>0</v>
      </c>
    </row>
    <row r="2430" spans="1:8" ht="21" x14ac:dyDescent="0.25">
      <c r="A2430" s="2" t="str">
        <f>HYPERLINK("https://rth.dk/resources/bsgatlas/details.php?id=BSGatlas-operon-1291","BSGatlas-operon-1291")</f>
        <v>BSGatlas-operon-1291</v>
      </c>
      <c r="B2430" s="2" t="str">
        <f>HYPERLINK("https://rth.dk/resources/bsgatlas/details.php?id=BSGatlas-gene-2679","BSGatlas-gene-2679")</f>
        <v>BSGatlas-gene-2679</v>
      </c>
      <c r="C2430" s="1" t="s">
        <v>2419</v>
      </c>
      <c r="D2430" s="1" t="s">
        <v>8</v>
      </c>
      <c r="E2430" s="3">
        <v>2386195</v>
      </c>
      <c r="F2430" s="3">
        <v>2387673</v>
      </c>
      <c r="G2430" s="1" t="s">
        <v>13</v>
      </c>
      <c r="H2430" s="1" t="b">
        <f t="shared" si="86"/>
        <v>1</v>
      </c>
    </row>
    <row r="2431" spans="1:8" ht="21" x14ac:dyDescent="0.25">
      <c r="A2431" s="2" t="str">
        <f>HYPERLINK("https://rth.dk/resources/bsgatlas/details.php?id=BSGatlas-operon-1292","BSGatlas-operon-1292")</f>
        <v>BSGatlas-operon-1292</v>
      </c>
      <c r="B2431" s="2" t="str">
        <f>HYPERLINK("https://rth.dk/resources/bsgatlas/details.php?id=BSGatlas-gene-2680","BSGatlas-gene-2680")</f>
        <v>BSGatlas-gene-2680</v>
      </c>
      <c r="C2431" s="1" t="s">
        <v>2420</v>
      </c>
      <c r="D2431" s="1" t="s">
        <v>8</v>
      </c>
      <c r="E2431" s="3">
        <v>2387854</v>
      </c>
      <c r="F2431" s="3">
        <v>2388588</v>
      </c>
      <c r="G2431" s="1" t="s">
        <v>13</v>
      </c>
      <c r="H2431" s="1" t="b">
        <f t="shared" si="86"/>
        <v>0</v>
      </c>
    </row>
    <row r="2432" spans="1:8" ht="21" x14ac:dyDescent="0.25">
      <c r="A2432" s="2" t="str">
        <f>HYPERLINK("https://rth.dk/resources/bsgatlas/details.php?id=BSGatlas-operon-1292","BSGatlas-operon-1292")</f>
        <v>BSGatlas-operon-1292</v>
      </c>
      <c r="B2432" s="2" t="str">
        <f>HYPERLINK("https://rth.dk/resources/bsgatlas/details.php?id=BSGatlas-gene-2681","BSGatlas-gene-2681")</f>
        <v>BSGatlas-gene-2681</v>
      </c>
      <c r="C2432" s="1" t="s">
        <v>2421</v>
      </c>
      <c r="D2432" s="1" t="s">
        <v>8</v>
      </c>
      <c r="E2432" s="3">
        <v>2388610</v>
      </c>
      <c r="F2432" s="3">
        <v>2388813</v>
      </c>
      <c r="G2432" s="1" t="s">
        <v>13</v>
      </c>
      <c r="H2432" s="1" t="b">
        <f t="shared" si="86"/>
        <v>0</v>
      </c>
    </row>
    <row r="2433" spans="1:8" ht="21" x14ac:dyDescent="0.25">
      <c r="A2433" s="2" t="str">
        <f>HYPERLINK("https://rth.dk/resources/bsgatlas/details.php?id=BSGatlas-operon-1293","BSGatlas-operon-1293")</f>
        <v>BSGatlas-operon-1293</v>
      </c>
      <c r="B2433" s="2" t="str">
        <f>HYPERLINK("https://rth.dk/resources/bsgatlas/details.php?id=BSGatlas-gene-2682","BSGatlas-gene-2682")</f>
        <v>BSGatlas-gene-2682</v>
      </c>
      <c r="C2433" s="1" t="s">
        <v>2422</v>
      </c>
      <c r="D2433" s="1" t="s">
        <v>12</v>
      </c>
      <c r="E2433" s="3">
        <v>2388935</v>
      </c>
      <c r="F2433" s="3">
        <v>2389134</v>
      </c>
      <c r="G2433" s="1" t="s">
        <v>13</v>
      </c>
      <c r="H2433" s="1" t="b">
        <f t="shared" si="86"/>
        <v>1</v>
      </c>
    </row>
    <row r="2434" spans="1:8" ht="21" x14ac:dyDescent="0.25">
      <c r="A2434" s="2" t="str">
        <f>HYPERLINK("https://rth.dk/resources/bsgatlas/details.php?id=BSGatlas-operon-1294","BSGatlas-operon-1294")</f>
        <v>BSGatlas-operon-1294</v>
      </c>
      <c r="B2434" s="2" t="str">
        <f>HYPERLINK("https://rth.dk/resources/bsgatlas/details.php?id=BSGatlas-gene-2683","BSGatlas-gene-2683")</f>
        <v>BSGatlas-gene-2683</v>
      </c>
      <c r="C2434" s="1" t="s">
        <v>2423</v>
      </c>
      <c r="D2434" s="1" t="s">
        <v>8</v>
      </c>
      <c r="E2434" s="3">
        <v>2389151</v>
      </c>
      <c r="F2434" s="3">
        <v>2390188</v>
      </c>
      <c r="G2434" s="1" t="s">
        <v>13</v>
      </c>
      <c r="H2434" s="1" t="b">
        <f t="shared" ref="H2434:H2497" si="89">_xlfn.XOR(A2433&lt;&gt;A2434,H2433)</f>
        <v>0</v>
      </c>
    </row>
    <row r="2435" spans="1:8" ht="21" x14ac:dyDescent="0.25">
      <c r="A2435" s="2" t="str">
        <f>HYPERLINK("https://rth.dk/resources/bsgatlas/details.php?id=BSGatlas-operon-1294","BSGatlas-operon-1294")</f>
        <v>BSGatlas-operon-1294</v>
      </c>
      <c r="B2435" s="2" t="str">
        <f>HYPERLINK("https://rth.dk/resources/bsgatlas/details.php?id=BSGatlas-gene-2684","BSGatlas-gene-2684")</f>
        <v>BSGatlas-gene-2684</v>
      </c>
      <c r="C2435" s="1" t="s">
        <v>2424</v>
      </c>
      <c r="D2435" s="1" t="s">
        <v>8</v>
      </c>
      <c r="E2435" s="3">
        <v>2390206</v>
      </c>
      <c r="F2435" s="3">
        <v>2391516</v>
      </c>
      <c r="G2435" s="1" t="s">
        <v>13</v>
      </c>
      <c r="H2435" s="1" t="b">
        <f t="shared" si="89"/>
        <v>0</v>
      </c>
    </row>
    <row r="2436" spans="1:8" ht="21" x14ac:dyDescent="0.25">
      <c r="A2436" s="2" t="str">
        <f>HYPERLINK("https://rth.dk/resources/bsgatlas/details.php?id=BSGatlas-operon-1294","BSGatlas-operon-1294")</f>
        <v>BSGatlas-operon-1294</v>
      </c>
      <c r="B2436" s="2" t="str">
        <f>HYPERLINK("https://rth.dk/resources/bsgatlas/details.php?id=BSGatlas-gene-2685","BSGatlas-gene-2685")</f>
        <v>BSGatlas-gene-2685</v>
      </c>
      <c r="C2436" s="1" t="s">
        <v>2425</v>
      </c>
      <c r="D2436" s="1" t="s">
        <v>8</v>
      </c>
      <c r="E2436" s="3">
        <v>2391670</v>
      </c>
      <c r="F2436" s="3">
        <v>2391864</v>
      </c>
      <c r="G2436" s="1" t="s">
        <v>13</v>
      </c>
      <c r="H2436" s="1" t="b">
        <f t="shared" si="89"/>
        <v>0</v>
      </c>
    </row>
    <row r="2437" spans="1:8" ht="21" x14ac:dyDescent="0.25">
      <c r="A2437" s="2" t="str">
        <f>HYPERLINK("https://rth.dk/resources/bsgatlas/details.php?id=BSGatlas-operon-1294","BSGatlas-operon-1294")</f>
        <v>BSGatlas-operon-1294</v>
      </c>
      <c r="B2437" s="2" t="str">
        <f>HYPERLINK("https://rth.dk/resources/bsgatlas/details.php?id=BSGatlas-gene-2686","BSGatlas-gene-2686")</f>
        <v>BSGatlas-gene-2686</v>
      </c>
      <c r="C2437" s="1" t="s">
        <v>2426</v>
      </c>
      <c r="D2437" s="1" t="s">
        <v>8</v>
      </c>
      <c r="E2437" s="3">
        <v>2391861</v>
      </c>
      <c r="F2437" s="3">
        <v>2392754</v>
      </c>
      <c r="G2437" s="1" t="s">
        <v>13</v>
      </c>
      <c r="H2437" s="1" t="b">
        <f t="shared" si="89"/>
        <v>0</v>
      </c>
    </row>
    <row r="2438" spans="1:8" ht="21" x14ac:dyDescent="0.25">
      <c r="A2438" s="2" t="str">
        <f>HYPERLINK("https://rth.dk/resources/bsgatlas/details.php?id=BSGatlas-operon-1294","BSGatlas-operon-1294")</f>
        <v>BSGatlas-operon-1294</v>
      </c>
      <c r="B2438" s="2" t="str">
        <f>HYPERLINK("https://rth.dk/resources/bsgatlas/details.php?id=BSGatlas-gene-2687","BSGatlas-gene-2687")</f>
        <v>BSGatlas-gene-2687</v>
      </c>
      <c r="C2438" s="1" t="s">
        <v>2427</v>
      </c>
      <c r="D2438" s="1" t="s">
        <v>8</v>
      </c>
      <c r="E2438" s="3">
        <v>2392751</v>
      </c>
      <c r="F2438" s="3">
        <v>2393350</v>
      </c>
      <c r="G2438" s="1" t="s">
        <v>13</v>
      </c>
      <c r="H2438" s="1" t="b">
        <f t="shared" si="89"/>
        <v>0</v>
      </c>
    </row>
    <row r="2439" spans="1:8" ht="21" x14ac:dyDescent="0.25">
      <c r="A2439" s="2" t="str">
        <f>HYPERLINK("https://rth.dk/resources/bsgatlas/details.php?id=BSGatlas-operon-1295","BSGatlas-operon-1295")</f>
        <v>BSGatlas-operon-1295</v>
      </c>
      <c r="B2439" s="2" t="str">
        <f>HYPERLINK("https://rth.dk/resources/bsgatlas/details.php?id=BSGatlas-gene-2688","BSGatlas-gene-2688")</f>
        <v>BSGatlas-gene-2688</v>
      </c>
      <c r="C2439" s="1" t="s">
        <v>2428</v>
      </c>
      <c r="D2439" s="1" t="s">
        <v>8</v>
      </c>
      <c r="E2439" s="3">
        <v>2393428</v>
      </c>
      <c r="F2439" s="3">
        <v>2393559</v>
      </c>
      <c r="G2439" s="1" t="s">
        <v>9</v>
      </c>
      <c r="H2439" s="1" t="b">
        <f t="shared" si="89"/>
        <v>1</v>
      </c>
    </row>
    <row r="2440" spans="1:8" ht="21" x14ac:dyDescent="0.25">
      <c r="A2440" s="2" t="str">
        <f>HYPERLINK("https://rth.dk/resources/bsgatlas/details.php?id=BSGatlas-operon-1296","BSGatlas-operon-1296")</f>
        <v>BSGatlas-operon-1296</v>
      </c>
      <c r="B2440" s="2" t="str">
        <f>HYPERLINK("https://rth.dk/resources/bsgatlas/details.php?id=BSGatlas-gene-2689","BSGatlas-gene-2689")</f>
        <v>BSGatlas-gene-2689</v>
      </c>
      <c r="C2440" s="1" t="s">
        <v>2429</v>
      </c>
      <c r="D2440" s="1" t="s">
        <v>8</v>
      </c>
      <c r="E2440" s="3">
        <v>2393602</v>
      </c>
      <c r="F2440" s="3">
        <v>2394651</v>
      </c>
      <c r="G2440" s="1" t="s">
        <v>13</v>
      </c>
      <c r="H2440" s="1" t="b">
        <f t="shared" si="89"/>
        <v>0</v>
      </c>
    </row>
    <row r="2441" spans="1:8" ht="21" x14ac:dyDescent="0.25">
      <c r="A2441" s="2" t="str">
        <f>HYPERLINK("https://rth.dk/resources/bsgatlas/details.php?id=BSGatlas-operon-1296","BSGatlas-operon-1296")</f>
        <v>BSGatlas-operon-1296</v>
      </c>
      <c r="B2441" s="2" t="str">
        <f>HYPERLINK("https://rth.dk/resources/bsgatlas/details.php?id=BSGatlas-gene-2690","BSGatlas-gene-2690")</f>
        <v>BSGatlas-gene-2690</v>
      </c>
      <c r="C2441" s="1" t="s">
        <v>2430</v>
      </c>
      <c r="D2441" s="1" t="s">
        <v>8</v>
      </c>
      <c r="E2441" s="3">
        <v>2394664</v>
      </c>
      <c r="F2441" s="3">
        <v>2395812</v>
      </c>
      <c r="G2441" s="1" t="s">
        <v>13</v>
      </c>
      <c r="H2441" s="1" t="b">
        <f t="shared" si="89"/>
        <v>0</v>
      </c>
    </row>
    <row r="2442" spans="1:8" ht="21" x14ac:dyDescent="0.25">
      <c r="A2442" s="2" t="str">
        <f>HYPERLINK("https://rth.dk/resources/bsgatlas/details.php?id=BSGatlas-operon-1296","BSGatlas-operon-1296")</f>
        <v>BSGatlas-operon-1296</v>
      </c>
      <c r="B2442" s="2" t="str">
        <f>HYPERLINK("https://rth.dk/resources/bsgatlas/details.php?id=BSGatlas-gene-2691","BSGatlas-gene-2691")</f>
        <v>BSGatlas-gene-2691</v>
      </c>
      <c r="C2442" s="1" t="s">
        <v>2431</v>
      </c>
      <c r="D2442" s="1" t="s">
        <v>8</v>
      </c>
      <c r="E2442" s="3">
        <v>2396045</v>
      </c>
      <c r="F2442" s="3">
        <v>2396719</v>
      </c>
      <c r="G2442" s="1" t="s">
        <v>13</v>
      </c>
      <c r="H2442" s="1" t="b">
        <f t="shared" si="89"/>
        <v>0</v>
      </c>
    </row>
    <row r="2443" spans="1:8" ht="21" x14ac:dyDescent="0.25">
      <c r="A2443" s="2" t="str">
        <f>HYPERLINK("https://rth.dk/resources/bsgatlas/details.php?id=BSGatlas-operon-1296","BSGatlas-operon-1296")</f>
        <v>BSGatlas-operon-1296</v>
      </c>
      <c r="B2443" s="2" t="str">
        <f>HYPERLINK("https://rth.dk/resources/bsgatlas/details.php?id=BSGatlas-gene-2692","BSGatlas-gene-2692")</f>
        <v>BSGatlas-gene-2692</v>
      </c>
      <c r="C2443" s="1" t="s">
        <v>2432</v>
      </c>
      <c r="D2443" s="1" t="s">
        <v>8</v>
      </c>
      <c r="E2443" s="3">
        <v>2396798</v>
      </c>
      <c r="F2443" s="3">
        <v>2396974</v>
      </c>
      <c r="G2443" s="1" t="s">
        <v>13</v>
      </c>
      <c r="H2443" s="1" t="b">
        <f t="shared" si="89"/>
        <v>0</v>
      </c>
    </row>
    <row r="2444" spans="1:8" ht="21" x14ac:dyDescent="0.25">
      <c r="A2444" s="2" t="str">
        <f>HYPERLINK("https://rth.dk/resources/bsgatlas/details.php?id=BSGatlas-operon-1296","BSGatlas-operon-1296")</f>
        <v>BSGatlas-operon-1296</v>
      </c>
      <c r="B2444" s="2" t="str">
        <f>HYPERLINK("https://rth.dk/resources/bsgatlas/details.php?id=BSGatlas-gene-2693","BSGatlas-gene-2693")</f>
        <v>BSGatlas-gene-2693</v>
      </c>
      <c r="C2444" s="1" t="s">
        <v>2433</v>
      </c>
      <c r="D2444" s="1" t="s">
        <v>8</v>
      </c>
      <c r="E2444" s="3">
        <v>2397019</v>
      </c>
      <c r="F2444" s="3">
        <v>2397672</v>
      </c>
      <c r="G2444" s="1" t="s">
        <v>13</v>
      </c>
      <c r="H2444" s="1" t="b">
        <f t="shared" si="89"/>
        <v>0</v>
      </c>
    </row>
    <row r="2445" spans="1:8" ht="21" x14ac:dyDescent="0.25">
      <c r="A2445" s="2" t="str">
        <f>HYPERLINK("https://rth.dk/resources/bsgatlas/details.php?id=BSGatlas-operon-1297","BSGatlas-operon-1297")</f>
        <v>BSGatlas-operon-1297</v>
      </c>
      <c r="B2445" s="2" t="str">
        <f>HYPERLINK("https://rth.dk/resources/bsgatlas/details.php?id=BSGatlas-gene-2694","BSGatlas-gene-2694")</f>
        <v>BSGatlas-gene-2694</v>
      </c>
      <c r="C2445" s="1" t="s">
        <v>2434</v>
      </c>
      <c r="D2445" s="1" t="s">
        <v>8</v>
      </c>
      <c r="E2445" s="3">
        <v>2397765</v>
      </c>
      <c r="F2445" s="3">
        <v>2399117</v>
      </c>
      <c r="G2445" s="1" t="s">
        <v>13</v>
      </c>
      <c r="H2445" s="1" t="b">
        <f t="shared" si="89"/>
        <v>1</v>
      </c>
    </row>
    <row r="2446" spans="1:8" ht="21" x14ac:dyDescent="0.25">
      <c r="A2446" s="2" t="str">
        <f>HYPERLINK("https://rth.dk/resources/bsgatlas/details.php?id=BSGatlas-operon-1297","BSGatlas-operon-1297")</f>
        <v>BSGatlas-operon-1297</v>
      </c>
      <c r="B2446" s="2" t="str">
        <f>HYPERLINK("https://rth.dk/resources/bsgatlas/details.php?id=BSGatlas-gene-2695","BSGatlas-gene-2695")</f>
        <v>BSGatlas-gene-2695</v>
      </c>
      <c r="C2446" s="1" t="s">
        <v>2435</v>
      </c>
      <c r="D2446" s="1" t="s">
        <v>8</v>
      </c>
      <c r="E2446" s="3">
        <v>2399152</v>
      </c>
      <c r="F2446" s="3">
        <v>2400069</v>
      </c>
      <c r="G2446" s="1" t="s">
        <v>13</v>
      </c>
      <c r="H2446" s="1" t="b">
        <f t="shared" si="89"/>
        <v>1</v>
      </c>
    </row>
    <row r="2447" spans="1:8" ht="21" x14ac:dyDescent="0.25">
      <c r="A2447" s="2" t="str">
        <f>HYPERLINK("https://rth.dk/resources/bsgatlas/details.php?id=BSGatlas-operon-1298","BSGatlas-operon-1298")</f>
        <v>BSGatlas-operon-1298</v>
      </c>
      <c r="B2447" s="2" t="str">
        <f>HYPERLINK("https://rth.dk/resources/bsgatlas/details.php?id=BSGatlas-gene-2696","BSGatlas-gene-2696")</f>
        <v>BSGatlas-gene-2696</v>
      </c>
      <c r="C2447" s="1" t="s">
        <v>2436</v>
      </c>
      <c r="D2447" s="1" t="s">
        <v>8</v>
      </c>
      <c r="E2447" s="3">
        <v>2400208</v>
      </c>
      <c r="F2447" s="3">
        <v>2400864</v>
      </c>
      <c r="G2447" s="1" t="s">
        <v>13</v>
      </c>
      <c r="H2447" s="1" t="b">
        <f t="shared" si="89"/>
        <v>0</v>
      </c>
    </row>
    <row r="2448" spans="1:8" ht="21" x14ac:dyDescent="0.25">
      <c r="A2448" s="2" t="str">
        <f>HYPERLINK("https://rth.dk/resources/bsgatlas/details.php?id=BSGatlas-operon-1299","BSGatlas-operon-1299")</f>
        <v>BSGatlas-operon-1299</v>
      </c>
      <c r="B2448" s="2" t="str">
        <f>HYPERLINK("https://rth.dk/resources/bsgatlas/details.php?id=BSGatlas-gene-2697","BSGatlas-gene-2697")</f>
        <v>BSGatlas-gene-2697</v>
      </c>
      <c r="C2448" s="1" t="s">
        <v>2437</v>
      </c>
      <c r="D2448" s="1" t="s">
        <v>8</v>
      </c>
      <c r="E2448" s="3">
        <v>2400984</v>
      </c>
      <c r="F2448" s="3">
        <v>2401958</v>
      </c>
      <c r="G2448" s="1" t="s">
        <v>13</v>
      </c>
      <c r="H2448" s="1" t="b">
        <f t="shared" si="89"/>
        <v>1</v>
      </c>
    </row>
    <row r="2449" spans="1:8" ht="21" x14ac:dyDescent="0.25">
      <c r="A2449" s="2" t="str">
        <f>HYPERLINK("https://rth.dk/resources/bsgatlas/details.php?id=BSGatlas-operon-1300","BSGatlas-operon-1300")</f>
        <v>BSGatlas-operon-1300</v>
      </c>
      <c r="B2449" s="2" t="str">
        <f>HYPERLINK("https://rth.dk/resources/bsgatlas/details.php?id=BSGatlas-gene-2698","BSGatlas-gene-2698")</f>
        <v>BSGatlas-gene-2698</v>
      </c>
      <c r="C2449" s="1" t="s">
        <v>2438</v>
      </c>
      <c r="D2449" s="1" t="s">
        <v>12</v>
      </c>
      <c r="E2449" s="3">
        <v>2401843</v>
      </c>
      <c r="F2449" s="3">
        <v>2402036</v>
      </c>
      <c r="G2449" s="1" t="s">
        <v>9</v>
      </c>
      <c r="H2449" s="1" t="b">
        <f t="shared" si="89"/>
        <v>0</v>
      </c>
    </row>
    <row r="2450" spans="1:8" ht="21" x14ac:dyDescent="0.25">
      <c r="A2450" s="2" t="str">
        <f>HYPERLINK("https://rth.dk/resources/bsgatlas/details.php?id=BSGatlas-operon-1301","BSGatlas-operon-1301")</f>
        <v>BSGatlas-operon-1301</v>
      </c>
      <c r="B2450" s="2" t="str">
        <f>HYPERLINK("https://rth.dk/resources/bsgatlas/details.php?id=BSGatlas-gene-2699","BSGatlas-gene-2699")</f>
        <v>BSGatlas-gene-2699</v>
      </c>
      <c r="C2450" s="1" t="s">
        <v>2439</v>
      </c>
      <c r="D2450" s="1" t="s">
        <v>8</v>
      </c>
      <c r="E2450" s="3">
        <v>2402067</v>
      </c>
      <c r="F2450" s="3">
        <v>2403350</v>
      </c>
      <c r="G2450" s="1" t="s">
        <v>13</v>
      </c>
      <c r="H2450" s="1" t="b">
        <f t="shared" si="89"/>
        <v>1</v>
      </c>
    </row>
    <row r="2451" spans="1:8" ht="21" x14ac:dyDescent="0.25">
      <c r="A2451" s="2" t="str">
        <f>HYPERLINK("https://rth.dk/resources/bsgatlas/details.php?id=BSGatlas-operon-1302","BSGatlas-operon-1302")</f>
        <v>BSGatlas-operon-1302</v>
      </c>
      <c r="B2451" s="2" t="str">
        <f>HYPERLINK("https://rth.dk/resources/bsgatlas/details.php?id=BSGatlas-gene-2700","BSGatlas-gene-2700")</f>
        <v>BSGatlas-gene-2700</v>
      </c>
      <c r="C2451" s="1" t="s">
        <v>2440</v>
      </c>
      <c r="D2451" s="1" t="s">
        <v>8</v>
      </c>
      <c r="E2451" s="3">
        <v>2403506</v>
      </c>
      <c r="F2451" s="3">
        <v>2404090</v>
      </c>
      <c r="G2451" s="1" t="s">
        <v>13</v>
      </c>
      <c r="H2451" s="1" t="b">
        <f t="shared" si="89"/>
        <v>0</v>
      </c>
    </row>
    <row r="2452" spans="1:8" ht="21" x14ac:dyDescent="0.25">
      <c r="A2452" s="2" t="str">
        <f>HYPERLINK("https://rth.dk/resources/bsgatlas/details.php?id=BSGatlas-operon-1303","BSGatlas-operon-1303")</f>
        <v>BSGatlas-operon-1303</v>
      </c>
      <c r="B2452" s="2" t="str">
        <f>HYPERLINK("https://rth.dk/resources/bsgatlas/details.php?id=BSGatlas-gene-2701","BSGatlas-gene-2701")</f>
        <v>BSGatlas-gene-2701</v>
      </c>
      <c r="C2452" s="1" t="s">
        <v>2441</v>
      </c>
      <c r="D2452" s="1" t="s">
        <v>8</v>
      </c>
      <c r="E2452" s="3">
        <v>2404249</v>
      </c>
      <c r="F2452" s="3">
        <v>2405028</v>
      </c>
      <c r="G2452" s="1" t="s">
        <v>13</v>
      </c>
      <c r="H2452" s="1" t="b">
        <f t="shared" si="89"/>
        <v>1</v>
      </c>
    </row>
    <row r="2453" spans="1:8" ht="21" x14ac:dyDescent="0.25">
      <c r="A2453" s="2" t="str">
        <f>HYPERLINK("https://rth.dk/resources/bsgatlas/details.php?id=BSGatlas-operon-1304","BSGatlas-operon-1304")</f>
        <v>BSGatlas-operon-1304</v>
      </c>
      <c r="B2453" s="2" t="str">
        <f>HYPERLINK("https://rth.dk/resources/bsgatlas/details.php?id=BSGatlas-gene-2702","BSGatlas-gene-2702")</f>
        <v>BSGatlas-gene-2702</v>
      </c>
      <c r="C2453" s="1" t="s">
        <v>2442</v>
      </c>
      <c r="D2453" s="1" t="s">
        <v>8</v>
      </c>
      <c r="E2453" s="3">
        <v>2405114</v>
      </c>
      <c r="F2453" s="3">
        <v>2405557</v>
      </c>
      <c r="G2453" s="1" t="s">
        <v>13</v>
      </c>
      <c r="H2453" s="1" t="b">
        <f t="shared" si="89"/>
        <v>0</v>
      </c>
    </row>
    <row r="2454" spans="1:8" ht="21" x14ac:dyDescent="0.25">
      <c r="A2454" s="2" t="str">
        <f>HYPERLINK("https://rth.dk/resources/bsgatlas/details.php?id=BSGatlas-operon-1305","BSGatlas-operon-1305")</f>
        <v>BSGatlas-operon-1305</v>
      </c>
      <c r="B2454" s="2" t="str">
        <f>HYPERLINK("https://rth.dk/resources/bsgatlas/details.php?id=BSGatlas-gene-2703","BSGatlas-gene-2703")</f>
        <v>BSGatlas-gene-2703</v>
      </c>
      <c r="C2454" s="1" t="s">
        <v>2443</v>
      </c>
      <c r="D2454" s="1" t="s">
        <v>8</v>
      </c>
      <c r="E2454" s="3">
        <v>2405620</v>
      </c>
      <c r="F2454" s="3">
        <v>2406342</v>
      </c>
      <c r="G2454" s="1" t="s">
        <v>13</v>
      </c>
      <c r="H2454" s="1" t="b">
        <f t="shared" si="89"/>
        <v>1</v>
      </c>
    </row>
    <row r="2455" spans="1:8" ht="21" x14ac:dyDescent="0.25">
      <c r="A2455" s="2" t="str">
        <f>HYPERLINK("https://rth.dk/resources/bsgatlas/details.php?id=BSGatlas-operon-1306","BSGatlas-operon-1306")</f>
        <v>BSGatlas-operon-1306</v>
      </c>
      <c r="B2455" s="2" t="str">
        <f>HYPERLINK("https://rth.dk/resources/bsgatlas/details.php?id=BSGatlas-gene-2704","BSGatlas-gene-2704")</f>
        <v>BSGatlas-gene-2704</v>
      </c>
      <c r="C2455" s="1" t="s">
        <v>2444</v>
      </c>
      <c r="D2455" s="1" t="s">
        <v>8</v>
      </c>
      <c r="E2455" s="3">
        <v>2406293</v>
      </c>
      <c r="F2455" s="3">
        <v>2406862</v>
      </c>
      <c r="G2455" s="1" t="s">
        <v>13</v>
      </c>
      <c r="H2455" s="1" t="b">
        <f t="shared" si="89"/>
        <v>0</v>
      </c>
    </row>
    <row r="2456" spans="1:8" ht="21" x14ac:dyDescent="0.25">
      <c r="A2456" s="2" t="str">
        <f>HYPERLINK("https://rth.dk/resources/bsgatlas/details.php?id=BSGatlas-operon-1307","BSGatlas-operon-1307")</f>
        <v>BSGatlas-operon-1307</v>
      </c>
      <c r="B2456" s="2" t="str">
        <f>HYPERLINK("https://rth.dk/resources/bsgatlas/details.php?id=BSGatlas-gene-2707","BSGatlas-gene-2707")</f>
        <v>BSGatlas-gene-2707</v>
      </c>
      <c r="C2456" s="1" t="s">
        <v>2445</v>
      </c>
      <c r="D2456" s="1" t="s">
        <v>8</v>
      </c>
      <c r="E2456" s="3">
        <v>2408405</v>
      </c>
      <c r="F2456" s="3">
        <v>2409463</v>
      </c>
      <c r="G2456" s="1" t="s">
        <v>13</v>
      </c>
      <c r="H2456" s="1" t="b">
        <f t="shared" si="89"/>
        <v>1</v>
      </c>
    </row>
    <row r="2457" spans="1:8" ht="21" x14ac:dyDescent="0.25">
      <c r="A2457" s="2" t="str">
        <f>HYPERLINK("https://rth.dk/resources/bsgatlas/details.php?id=BSGatlas-operon-1308","BSGatlas-operon-1308")</f>
        <v>BSGatlas-operon-1308</v>
      </c>
      <c r="B2457" s="2" t="str">
        <f>HYPERLINK("https://rth.dk/resources/bsgatlas/details.php?id=BSGatlas-gene-2708","BSGatlas-gene-2708")</f>
        <v>BSGatlas-gene-2708</v>
      </c>
      <c r="C2457" s="1" t="s">
        <v>2446</v>
      </c>
      <c r="D2457" s="1" t="s">
        <v>8</v>
      </c>
      <c r="E2457" s="3">
        <v>2409729</v>
      </c>
      <c r="F2457" s="3">
        <v>2409977</v>
      </c>
      <c r="G2457" s="1" t="s">
        <v>9</v>
      </c>
      <c r="H2457" s="1" t="b">
        <f t="shared" si="89"/>
        <v>0</v>
      </c>
    </row>
    <row r="2458" spans="1:8" ht="21" x14ac:dyDescent="0.25">
      <c r="A2458" s="2" t="str">
        <f>HYPERLINK("https://rth.dk/resources/bsgatlas/details.php?id=BSGatlas-operon-1309","BSGatlas-operon-1309")</f>
        <v>BSGatlas-operon-1309</v>
      </c>
      <c r="B2458" s="2" t="str">
        <f>HYPERLINK("https://rth.dk/resources/bsgatlas/details.php?id=BSGatlas-gene-2709","BSGatlas-gene-2709")</f>
        <v>BSGatlas-gene-2709</v>
      </c>
      <c r="C2458" s="1" t="s">
        <v>2447</v>
      </c>
      <c r="D2458" s="1" t="s">
        <v>8</v>
      </c>
      <c r="E2458" s="3">
        <v>2410017</v>
      </c>
      <c r="F2458" s="3">
        <v>2410589</v>
      </c>
      <c r="G2458" s="1" t="s">
        <v>13</v>
      </c>
      <c r="H2458" s="1" t="b">
        <f t="shared" si="89"/>
        <v>1</v>
      </c>
    </row>
    <row r="2459" spans="1:8" ht="21" x14ac:dyDescent="0.25">
      <c r="A2459" s="2" t="str">
        <f>HYPERLINK("https://rth.dk/resources/bsgatlas/details.php?id=BSGatlas-operon-1309","BSGatlas-operon-1309")</f>
        <v>BSGatlas-operon-1309</v>
      </c>
      <c r="B2459" s="2" t="str">
        <f>HYPERLINK("https://rth.dk/resources/bsgatlas/details.php?id=BSGatlas-gene-2711","BSGatlas-gene-2711")</f>
        <v>BSGatlas-gene-2711</v>
      </c>
      <c r="C2459" s="1" t="s">
        <v>2448</v>
      </c>
      <c r="D2459" s="1" t="s">
        <v>8</v>
      </c>
      <c r="E2459" s="3">
        <v>2410695</v>
      </c>
      <c r="F2459" s="3">
        <v>2410859</v>
      </c>
      <c r="G2459" s="1" t="s">
        <v>13</v>
      </c>
      <c r="H2459" s="1" t="b">
        <f t="shared" si="89"/>
        <v>1</v>
      </c>
    </row>
    <row r="2460" spans="1:8" ht="21" x14ac:dyDescent="0.25">
      <c r="A2460" s="2" t="str">
        <f>HYPERLINK("https://rth.dk/resources/bsgatlas/details.php?id=BSGatlas-operon-1310","BSGatlas-operon-1310")</f>
        <v>BSGatlas-operon-1310</v>
      </c>
      <c r="B2460" s="2" t="str">
        <f>HYPERLINK("https://rth.dk/resources/bsgatlas/details.php?id=BSGatlas-gene-2712","BSGatlas-gene-2712")</f>
        <v>BSGatlas-gene-2712</v>
      </c>
      <c r="C2460" s="1" t="s">
        <v>2449</v>
      </c>
      <c r="D2460" s="1" t="s">
        <v>8</v>
      </c>
      <c r="E2460" s="3">
        <v>2411086</v>
      </c>
      <c r="F2460" s="3">
        <v>2412663</v>
      </c>
      <c r="G2460" s="1" t="s">
        <v>9</v>
      </c>
      <c r="H2460" s="1" t="b">
        <f t="shared" si="89"/>
        <v>0</v>
      </c>
    </row>
    <row r="2461" spans="1:8" ht="21" x14ac:dyDescent="0.25">
      <c r="A2461" s="2" t="str">
        <f>HYPERLINK("https://rth.dk/resources/bsgatlas/details.php?id=BSGatlas-operon-1311","BSGatlas-operon-1311")</f>
        <v>BSGatlas-operon-1311</v>
      </c>
      <c r="B2461" s="2" t="str">
        <f>HYPERLINK("https://rth.dk/resources/bsgatlas/details.php?id=BSGatlas-gene-2713","BSGatlas-gene-2713")</f>
        <v>BSGatlas-gene-2713</v>
      </c>
      <c r="C2461" s="1" t="s">
        <v>2450</v>
      </c>
      <c r="D2461" s="1" t="s">
        <v>8</v>
      </c>
      <c r="E2461" s="3">
        <v>2412706</v>
      </c>
      <c r="F2461" s="3">
        <v>2413473</v>
      </c>
      <c r="G2461" s="1" t="s">
        <v>13</v>
      </c>
      <c r="H2461" s="1" t="b">
        <f t="shared" si="89"/>
        <v>1</v>
      </c>
    </row>
    <row r="2462" spans="1:8" ht="21" x14ac:dyDescent="0.25">
      <c r="A2462" s="2" t="str">
        <f>HYPERLINK("https://rth.dk/resources/bsgatlas/details.php?id=BSGatlas-operon-1312","BSGatlas-operon-1312")</f>
        <v>BSGatlas-operon-1312</v>
      </c>
      <c r="B2462" s="2" t="str">
        <f>HYPERLINK("https://rth.dk/resources/bsgatlas/details.php?id=BSGatlas-gene-2714","BSGatlas-gene-2714")</f>
        <v>BSGatlas-gene-2714</v>
      </c>
      <c r="C2462" s="1" t="s">
        <v>2451</v>
      </c>
      <c r="D2462" s="1" t="s">
        <v>8</v>
      </c>
      <c r="E2462" s="3">
        <v>2413585</v>
      </c>
      <c r="F2462" s="3">
        <v>2414691</v>
      </c>
      <c r="G2462" s="1" t="s">
        <v>13</v>
      </c>
      <c r="H2462" s="1" t="b">
        <f t="shared" si="89"/>
        <v>0</v>
      </c>
    </row>
    <row r="2463" spans="1:8" ht="21" x14ac:dyDescent="0.25">
      <c r="A2463" s="2" t="str">
        <f>HYPERLINK("https://rth.dk/resources/bsgatlas/details.php?id=BSGatlas-operon-1312","BSGatlas-operon-1312")</f>
        <v>BSGatlas-operon-1312</v>
      </c>
      <c r="B2463" s="2" t="str">
        <f>HYPERLINK("https://rth.dk/resources/bsgatlas/details.php?id=BSGatlas-gene-2715","BSGatlas-gene-2715")</f>
        <v>BSGatlas-gene-2715</v>
      </c>
      <c r="C2463" s="1" t="s">
        <v>2452</v>
      </c>
      <c r="D2463" s="1" t="s">
        <v>8</v>
      </c>
      <c r="E2463" s="3">
        <v>2414627</v>
      </c>
      <c r="F2463" s="3">
        <v>2415211</v>
      </c>
      <c r="G2463" s="1" t="s">
        <v>13</v>
      </c>
      <c r="H2463" s="1" t="b">
        <f t="shared" si="89"/>
        <v>0</v>
      </c>
    </row>
    <row r="2464" spans="1:8" ht="21" x14ac:dyDescent="0.25">
      <c r="A2464" s="2" t="str">
        <f>HYPERLINK("https://rth.dk/resources/bsgatlas/details.php?id=BSGatlas-operon-1313","BSGatlas-operon-1313")</f>
        <v>BSGatlas-operon-1313</v>
      </c>
      <c r="B2464" s="2" t="str">
        <f>HYPERLINK("https://rth.dk/resources/bsgatlas/details.php?id=BSGatlas-gene-2716","BSGatlas-gene-2716")</f>
        <v>BSGatlas-gene-2716</v>
      </c>
      <c r="C2464" s="1" t="s">
        <v>2453</v>
      </c>
      <c r="D2464" s="1" t="s">
        <v>12</v>
      </c>
      <c r="E2464" s="3">
        <v>2415264</v>
      </c>
      <c r="F2464" s="3">
        <v>2415371</v>
      </c>
      <c r="G2464" s="1" t="s">
        <v>9</v>
      </c>
      <c r="H2464" s="1" t="b">
        <f t="shared" si="89"/>
        <v>1</v>
      </c>
    </row>
    <row r="2465" spans="1:8" ht="21" x14ac:dyDescent="0.25">
      <c r="A2465" s="2" t="str">
        <f t="shared" ref="A2465:A2470" si="90">HYPERLINK("https://rth.dk/resources/bsgatlas/details.php?id=BSGatlas-operon-1314","BSGatlas-operon-1314")</f>
        <v>BSGatlas-operon-1314</v>
      </c>
      <c r="B2465" s="2" t="str">
        <f>HYPERLINK("https://rth.dk/resources/bsgatlas/details.php?id=BSGatlas-gene-2717","BSGatlas-gene-2717")</f>
        <v>BSGatlas-gene-2717</v>
      </c>
      <c r="C2465" s="1" t="s">
        <v>2454</v>
      </c>
      <c r="D2465" s="1" t="s">
        <v>8</v>
      </c>
      <c r="E2465" s="3">
        <v>2415415</v>
      </c>
      <c r="F2465" s="3">
        <v>2417184</v>
      </c>
      <c r="G2465" s="1" t="s">
        <v>13</v>
      </c>
      <c r="H2465" s="1" t="b">
        <f t="shared" si="89"/>
        <v>0</v>
      </c>
    </row>
    <row r="2466" spans="1:8" ht="21" x14ac:dyDescent="0.25">
      <c r="A2466" s="2" t="str">
        <f t="shared" si="90"/>
        <v>BSGatlas-operon-1314</v>
      </c>
      <c r="B2466" s="2" t="str">
        <f>HYPERLINK("https://rth.dk/resources/bsgatlas/details.php?id=BSGatlas-gene-2718","BSGatlas-gene-2718")</f>
        <v>BSGatlas-gene-2718</v>
      </c>
      <c r="C2466" s="1" t="s">
        <v>2455</v>
      </c>
      <c r="D2466" s="1" t="s">
        <v>8</v>
      </c>
      <c r="E2466" s="3">
        <v>2417181</v>
      </c>
      <c r="F2466" s="3">
        <v>2417903</v>
      </c>
      <c r="G2466" s="1" t="s">
        <v>13</v>
      </c>
      <c r="H2466" s="1" t="b">
        <f t="shared" si="89"/>
        <v>0</v>
      </c>
    </row>
    <row r="2467" spans="1:8" ht="21" x14ac:dyDescent="0.25">
      <c r="A2467" s="2" t="str">
        <f t="shared" si="90"/>
        <v>BSGatlas-operon-1314</v>
      </c>
      <c r="B2467" s="2" t="str">
        <f>HYPERLINK("https://rth.dk/resources/bsgatlas/details.php?id=BSGatlas-gene-2719","BSGatlas-gene-2719")</f>
        <v>BSGatlas-gene-2719</v>
      </c>
      <c r="C2467" s="1" t="s">
        <v>2456</v>
      </c>
      <c r="D2467" s="1" t="s">
        <v>8</v>
      </c>
      <c r="E2467" s="3">
        <v>2417984</v>
      </c>
      <c r="F2467" s="3">
        <v>2419159</v>
      </c>
      <c r="G2467" s="1" t="s">
        <v>13</v>
      </c>
      <c r="H2467" s="1" t="b">
        <f t="shared" si="89"/>
        <v>0</v>
      </c>
    </row>
    <row r="2468" spans="1:8" ht="21" x14ac:dyDescent="0.25">
      <c r="A2468" s="2" t="str">
        <f t="shared" si="90"/>
        <v>BSGatlas-operon-1314</v>
      </c>
      <c r="B2468" s="2" t="str">
        <f>HYPERLINK("https://rth.dk/resources/bsgatlas/details.php?id=BSGatlas-gene-2720","BSGatlas-gene-2720")</f>
        <v>BSGatlas-gene-2720</v>
      </c>
      <c r="C2468" s="1" t="s">
        <v>2457</v>
      </c>
      <c r="D2468" s="1" t="s">
        <v>8</v>
      </c>
      <c r="E2468" s="3">
        <v>2419179</v>
      </c>
      <c r="F2468" s="3">
        <v>2420807</v>
      </c>
      <c r="G2468" s="1" t="s">
        <v>13</v>
      </c>
      <c r="H2468" s="1" t="b">
        <f t="shared" si="89"/>
        <v>0</v>
      </c>
    </row>
    <row r="2469" spans="1:8" ht="21" x14ac:dyDescent="0.25">
      <c r="A2469" s="2" t="str">
        <f t="shared" si="90"/>
        <v>BSGatlas-operon-1314</v>
      </c>
      <c r="B2469" s="2" t="str">
        <f>HYPERLINK("https://rth.dk/resources/bsgatlas/details.php?id=BSGatlas-gene-2721","BSGatlas-gene-2721")</f>
        <v>BSGatlas-gene-2721</v>
      </c>
      <c r="C2469" s="1" t="s">
        <v>2458</v>
      </c>
      <c r="D2469" s="1" t="s">
        <v>8</v>
      </c>
      <c r="E2469" s="3">
        <v>2420804</v>
      </c>
      <c r="F2469" s="3">
        <v>2421343</v>
      </c>
      <c r="G2469" s="1" t="s">
        <v>13</v>
      </c>
      <c r="H2469" s="1" t="b">
        <f t="shared" si="89"/>
        <v>0</v>
      </c>
    </row>
    <row r="2470" spans="1:8" ht="21" x14ac:dyDescent="0.25">
      <c r="A2470" s="2" t="str">
        <f t="shared" si="90"/>
        <v>BSGatlas-operon-1314</v>
      </c>
      <c r="B2470" s="2" t="str">
        <f>HYPERLINK("https://rth.dk/resources/bsgatlas/details.php?id=BSGatlas-gene-2722","BSGatlas-gene-2722")</f>
        <v>BSGatlas-gene-2722</v>
      </c>
      <c r="C2470" s="1" t="s">
        <v>2459</v>
      </c>
      <c r="D2470" s="1" t="s">
        <v>8</v>
      </c>
      <c r="E2470" s="3">
        <v>2421438</v>
      </c>
      <c r="F2470" s="3">
        <v>2422172</v>
      </c>
      <c r="G2470" s="1" t="s">
        <v>13</v>
      </c>
      <c r="H2470" s="1" t="b">
        <f t="shared" si="89"/>
        <v>0</v>
      </c>
    </row>
    <row r="2471" spans="1:8" ht="21" x14ac:dyDescent="0.25">
      <c r="A2471" s="2" t="str">
        <f>HYPERLINK("https://rth.dk/resources/bsgatlas/details.php?id=BSGatlas-operon-1315","BSGatlas-operon-1315")</f>
        <v>BSGatlas-operon-1315</v>
      </c>
      <c r="B2471" s="2" t="str">
        <f>HYPERLINK("https://rth.dk/resources/bsgatlas/details.php?id=BSGatlas-gene-2723","BSGatlas-gene-2723")</f>
        <v>BSGatlas-gene-2723</v>
      </c>
      <c r="C2471" s="1" t="s">
        <v>2460</v>
      </c>
      <c r="D2471" s="1" t="s">
        <v>8</v>
      </c>
      <c r="E2471" s="3">
        <v>2422264</v>
      </c>
      <c r="F2471" s="3">
        <v>2422800</v>
      </c>
      <c r="G2471" s="1" t="s">
        <v>13</v>
      </c>
      <c r="H2471" s="1" t="b">
        <f t="shared" si="89"/>
        <v>1</v>
      </c>
    </row>
    <row r="2472" spans="1:8" ht="21" x14ac:dyDescent="0.25">
      <c r="A2472" s="2" t="str">
        <f>HYPERLINK("https://rth.dk/resources/bsgatlas/details.php?id=BSGatlas-operon-1315","BSGatlas-operon-1315")</f>
        <v>BSGatlas-operon-1315</v>
      </c>
      <c r="B2472" s="2" t="str">
        <f>HYPERLINK("https://rth.dk/resources/bsgatlas/details.php?id=BSGatlas-gene-2724","BSGatlas-gene-2724")</f>
        <v>BSGatlas-gene-2724</v>
      </c>
      <c r="C2472" s="1" t="s">
        <v>2461</v>
      </c>
      <c r="D2472" s="1" t="s">
        <v>8</v>
      </c>
      <c r="E2472" s="3">
        <v>2422805</v>
      </c>
      <c r="F2472" s="3">
        <v>2423395</v>
      </c>
      <c r="G2472" s="1" t="s">
        <v>13</v>
      </c>
      <c r="H2472" s="1" t="b">
        <f t="shared" si="89"/>
        <v>1</v>
      </c>
    </row>
    <row r="2473" spans="1:8" ht="21" x14ac:dyDescent="0.25">
      <c r="A2473" s="2" t="str">
        <f>HYPERLINK("https://rth.dk/resources/bsgatlas/details.php?id=BSGatlas-operon-1315","BSGatlas-operon-1315")</f>
        <v>BSGatlas-operon-1315</v>
      </c>
      <c r="B2473" s="2" t="str">
        <f>HYPERLINK("https://rth.dk/resources/bsgatlas/details.php?id=BSGatlas-gene-2725","BSGatlas-gene-2725")</f>
        <v>BSGatlas-gene-2725</v>
      </c>
      <c r="C2473" s="1" t="s">
        <v>2462</v>
      </c>
      <c r="D2473" s="1" t="s">
        <v>8</v>
      </c>
      <c r="E2473" s="3">
        <v>2423383</v>
      </c>
      <c r="F2473" s="3">
        <v>2424531</v>
      </c>
      <c r="G2473" s="1" t="s">
        <v>13</v>
      </c>
      <c r="H2473" s="1" t="b">
        <f t="shared" si="89"/>
        <v>1</v>
      </c>
    </row>
    <row r="2474" spans="1:8" ht="21" x14ac:dyDescent="0.25">
      <c r="A2474" s="2" t="str">
        <f>HYPERLINK("https://rth.dk/resources/bsgatlas/details.php?id=BSGatlas-operon-1316","BSGatlas-operon-1316")</f>
        <v>BSGatlas-operon-1316</v>
      </c>
      <c r="B2474" s="2" t="str">
        <f>HYPERLINK("https://rth.dk/resources/bsgatlas/details.php?id=BSGatlas-gene-2726","BSGatlas-gene-2726")</f>
        <v>BSGatlas-gene-2726</v>
      </c>
      <c r="C2474" s="1" t="s">
        <v>2463</v>
      </c>
      <c r="D2474" s="1" t="s">
        <v>8</v>
      </c>
      <c r="E2474" s="3">
        <v>2424654</v>
      </c>
      <c r="F2474" s="3">
        <v>2425193</v>
      </c>
      <c r="G2474" s="1" t="s">
        <v>13</v>
      </c>
      <c r="H2474" s="1" t="b">
        <f t="shared" si="89"/>
        <v>0</v>
      </c>
    </row>
    <row r="2475" spans="1:8" ht="21" x14ac:dyDescent="0.25">
      <c r="A2475" s="2" t="str">
        <f>HYPERLINK("https://rth.dk/resources/bsgatlas/details.php?id=BSGatlas-operon-1316","BSGatlas-operon-1316")</f>
        <v>BSGatlas-operon-1316</v>
      </c>
      <c r="B2475" s="2" t="str">
        <f>HYPERLINK("https://rth.dk/resources/bsgatlas/details.php?id=BSGatlas-gene-2727","BSGatlas-gene-2727")</f>
        <v>BSGatlas-gene-2727</v>
      </c>
      <c r="C2475" s="1" t="s">
        <v>2464</v>
      </c>
      <c r="D2475" s="1" t="s">
        <v>8</v>
      </c>
      <c r="E2475" s="3">
        <v>2425248</v>
      </c>
      <c r="F2475" s="3">
        <v>2425841</v>
      </c>
      <c r="G2475" s="1" t="s">
        <v>13</v>
      </c>
      <c r="H2475" s="1" t="b">
        <f t="shared" si="89"/>
        <v>0</v>
      </c>
    </row>
    <row r="2476" spans="1:8" ht="21" x14ac:dyDescent="0.25">
      <c r="A2476" s="2" t="str">
        <f>HYPERLINK("https://rth.dk/resources/bsgatlas/details.php?id=BSGatlas-operon-1316","BSGatlas-operon-1316")</f>
        <v>BSGatlas-operon-1316</v>
      </c>
      <c r="B2476" s="2" t="str">
        <f>HYPERLINK("https://rth.dk/resources/bsgatlas/details.php?id=BSGatlas-gene-2728","BSGatlas-gene-2728")</f>
        <v>BSGatlas-gene-2728</v>
      </c>
      <c r="C2476" s="1" t="s">
        <v>2465</v>
      </c>
      <c r="D2476" s="1" t="s">
        <v>8</v>
      </c>
      <c r="E2476" s="3">
        <v>2425831</v>
      </c>
      <c r="F2476" s="3">
        <v>2426586</v>
      </c>
      <c r="G2476" s="1" t="s">
        <v>13</v>
      </c>
      <c r="H2476" s="1" t="b">
        <f t="shared" si="89"/>
        <v>0</v>
      </c>
    </row>
    <row r="2477" spans="1:8" ht="21" x14ac:dyDescent="0.25">
      <c r="A2477" s="2" t="str">
        <f>HYPERLINK("https://rth.dk/resources/bsgatlas/details.php?id=BSGatlas-operon-1317","BSGatlas-operon-1317")</f>
        <v>BSGatlas-operon-1317</v>
      </c>
      <c r="B2477" s="2" t="str">
        <f>HYPERLINK("https://rth.dk/resources/bsgatlas/details.php?id=BSGatlas-gene-2729","BSGatlas-gene-2729")</f>
        <v>BSGatlas-gene-2729</v>
      </c>
      <c r="C2477" s="1" t="s">
        <v>2466</v>
      </c>
      <c r="D2477" s="1" t="s">
        <v>8</v>
      </c>
      <c r="E2477" s="3">
        <v>2426867</v>
      </c>
      <c r="F2477" s="3">
        <v>2427391</v>
      </c>
      <c r="G2477" s="1" t="s">
        <v>9</v>
      </c>
      <c r="H2477" s="1" t="b">
        <f t="shared" si="89"/>
        <v>1</v>
      </c>
    </row>
    <row r="2478" spans="1:8" ht="21" x14ac:dyDescent="0.25">
      <c r="A2478" s="2" t="str">
        <f>HYPERLINK("https://rth.dk/resources/bsgatlas/details.php?id=BSGatlas-operon-1318","BSGatlas-operon-1318")</f>
        <v>BSGatlas-operon-1318</v>
      </c>
      <c r="B2478" s="2" t="str">
        <f>HYPERLINK("https://rth.dk/resources/bsgatlas/details.php?id=BSGatlas-gene-2730","BSGatlas-gene-2730")</f>
        <v>BSGatlas-gene-2730</v>
      </c>
      <c r="C2478" s="1" t="s">
        <v>2467</v>
      </c>
      <c r="D2478" s="1" t="s">
        <v>8</v>
      </c>
      <c r="E2478" s="3">
        <v>2427405</v>
      </c>
      <c r="F2478" s="3">
        <v>2427779</v>
      </c>
      <c r="G2478" s="1" t="s">
        <v>13</v>
      </c>
      <c r="H2478" s="1" t="b">
        <f t="shared" si="89"/>
        <v>0</v>
      </c>
    </row>
    <row r="2479" spans="1:8" ht="21" x14ac:dyDescent="0.25">
      <c r="A2479" s="2" t="str">
        <f>HYPERLINK("https://rth.dk/resources/bsgatlas/details.php?id=BSGatlas-operon-1318","BSGatlas-operon-1318")</f>
        <v>BSGatlas-operon-1318</v>
      </c>
      <c r="B2479" s="2" t="str">
        <f>HYPERLINK("https://rth.dk/resources/bsgatlas/details.php?id=BSGatlas-gene-2731","BSGatlas-gene-2731")</f>
        <v>BSGatlas-gene-2731</v>
      </c>
      <c r="C2479" s="1" t="s">
        <v>2468</v>
      </c>
      <c r="D2479" s="1" t="s">
        <v>8</v>
      </c>
      <c r="E2479" s="3">
        <v>2427892</v>
      </c>
      <c r="F2479" s="3">
        <v>2428356</v>
      </c>
      <c r="G2479" s="1" t="s">
        <v>13</v>
      </c>
      <c r="H2479" s="1" t="b">
        <f t="shared" si="89"/>
        <v>0</v>
      </c>
    </row>
    <row r="2480" spans="1:8" ht="21" x14ac:dyDescent="0.25">
      <c r="A2480" s="2" t="str">
        <f>HYPERLINK("https://rth.dk/resources/bsgatlas/details.php?id=BSGatlas-operon-1318","BSGatlas-operon-1318")</f>
        <v>BSGatlas-operon-1318</v>
      </c>
      <c r="B2480" s="2" t="str">
        <f>HYPERLINK("https://rth.dk/resources/bsgatlas/details.php?id=BSGatlas-gene-2732","BSGatlas-gene-2732")</f>
        <v>BSGatlas-gene-2732</v>
      </c>
      <c r="C2480" s="1" t="s">
        <v>2469</v>
      </c>
      <c r="D2480" s="1" t="s">
        <v>8</v>
      </c>
      <c r="E2480" s="3">
        <v>2428389</v>
      </c>
      <c r="F2480" s="3">
        <v>2429585</v>
      </c>
      <c r="G2480" s="1" t="s">
        <v>13</v>
      </c>
      <c r="H2480" s="1" t="b">
        <f t="shared" si="89"/>
        <v>0</v>
      </c>
    </row>
    <row r="2481" spans="1:8" ht="21" x14ac:dyDescent="0.25">
      <c r="A2481" s="2" t="str">
        <f>HYPERLINK("https://rth.dk/resources/bsgatlas/details.php?id=BSGatlas-operon-1318","BSGatlas-operon-1318")</f>
        <v>BSGatlas-operon-1318</v>
      </c>
      <c r="B2481" s="2" t="str">
        <f>HYPERLINK("https://rth.dk/resources/bsgatlas/details.php?id=BSGatlas-gene-2733","BSGatlas-gene-2733")</f>
        <v>BSGatlas-gene-2733</v>
      </c>
      <c r="C2481" s="1" t="s">
        <v>2470</v>
      </c>
      <c r="D2481" s="1" t="s">
        <v>8</v>
      </c>
      <c r="E2481" s="3">
        <v>2429600</v>
      </c>
      <c r="F2481" s="3">
        <v>2430247</v>
      </c>
      <c r="G2481" s="1" t="s">
        <v>13</v>
      </c>
      <c r="H2481" s="1" t="b">
        <f t="shared" si="89"/>
        <v>0</v>
      </c>
    </row>
    <row r="2482" spans="1:8" ht="21" x14ac:dyDescent="0.25">
      <c r="A2482" s="2" t="str">
        <f>HYPERLINK("https://rth.dk/resources/bsgatlas/details.php?id=BSGatlas-operon-1318","BSGatlas-operon-1318")</f>
        <v>BSGatlas-operon-1318</v>
      </c>
      <c r="B2482" s="2" t="str">
        <f>HYPERLINK("https://rth.dk/resources/bsgatlas/details.php?id=BSGatlas-gene-2734","BSGatlas-gene-2734")</f>
        <v>BSGatlas-gene-2734</v>
      </c>
      <c r="C2482" s="1" t="s">
        <v>2471</v>
      </c>
      <c r="D2482" s="1" t="s">
        <v>8</v>
      </c>
      <c r="E2482" s="3">
        <v>2430258</v>
      </c>
      <c r="F2482" s="3">
        <v>2431343</v>
      </c>
      <c r="G2482" s="1" t="s">
        <v>13</v>
      </c>
      <c r="H2482" s="1" t="b">
        <f t="shared" si="89"/>
        <v>0</v>
      </c>
    </row>
    <row r="2483" spans="1:8" ht="21" x14ac:dyDescent="0.25">
      <c r="A2483" s="2" t="str">
        <f>HYPERLINK("https://rth.dk/resources/bsgatlas/details.php?id=BSGatlas-operon-1319","BSGatlas-operon-1319")</f>
        <v>BSGatlas-operon-1319</v>
      </c>
      <c r="B2483" s="2" t="str">
        <f>HYPERLINK("https://rth.dk/resources/bsgatlas/details.php?id=BSGatlas-gene-2735","BSGatlas-gene-2735")</f>
        <v>BSGatlas-gene-2735</v>
      </c>
      <c r="C2483" s="1" t="s">
        <v>2472</v>
      </c>
      <c r="D2483" s="1" t="s">
        <v>34</v>
      </c>
      <c r="E2483" s="3">
        <v>2431472</v>
      </c>
      <c r="F2483" s="3">
        <v>2431617</v>
      </c>
      <c r="G2483" s="1" t="s">
        <v>13</v>
      </c>
      <c r="H2483" s="1" t="b">
        <f t="shared" si="89"/>
        <v>1</v>
      </c>
    </row>
    <row r="2484" spans="1:8" ht="21" x14ac:dyDescent="0.25">
      <c r="A2484" s="2" t="str">
        <f>HYPERLINK("https://rth.dk/resources/bsgatlas/details.php?id=BSGatlas-operon-1320","BSGatlas-operon-1320")</f>
        <v>BSGatlas-operon-1320</v>
      </c>
      <c r="B2484" s="2" t="str">
        <f>HYPERLINK("https://rth.dk/resources/bsgatlas/details.php?id=BSGatlas-gene-2736","BSGatlas-gene-2736")</f>
        <v>BSGatlas-gene-2736</v>
      </c>
      <c r="C2484" s="1" t="s">
        <v>2473</v>
      </c>
      <c r="D2484" s="1" t="s">
        <v>8</v>
      </c>
      <c r="E2484" s="3">
        <v>2431737</v>
      </c>
      <c r="F2484" s="3">
        <v>2432081</v>
      </c>
      <c r="G2484" s="1" t="s">
        <v>13</v>
      </c>
      <c r="H2484" s="1" t="b">
        <f t="shared" si="89"/>
        <v>0</v>
      </c>
    </row>
    <row r="2485" spans="1:8" ht="21" x14ac:dyDescent="0.25">
      <c r="A2485" s="2" t="str">
        <f>HYPERLINK("https://rth.dk/resources/bsgatlas/details.php?id=BSGatlas-operon-1321","BSGatlas-operon-1321")</f>
        <v>BSGatlas-operon-1321</v>
      </c>
      <c r="B2485" s="2" t="str">
        <f>HYPERLINK("https://rth.dk/resources/bsgatlas/details.php?id=BSGatlas-gene-2737","BSGatlas-gene-2737")</f>
        <v>BSGatlas-gene-2737</v>
      </c>
      <c r="C2485" s="1" t="s">
        <v>2474</v>
      </c>
      <c r="D2485" s="1" t="s">
        <v>12</v>
      </c>
      <c r="E2485" s="3">
        <v>2432160</v>
      </c>
      <c r="F2485" s="3">
        <v>2433082</v>
      </c>
      <c r="G2485" s="1" t="s">
        <v>9</v>
      </c>
      <c r="H2485" s="1" t="b">
        <f t="shared" si="89"/>
        <v>1</v>
      </c>
    </row>
    <row r="2486" spans="1:8" ht="21" x14ac:dyDescent="0.25">
      <c r="A2486" s="2" t="str">
        <f>HYPERLINK("https://rth.dk/resources/bsgatlas/details.php?id=BSGatlas-operon-1322","BSGatlas-operon-1322")</f>
        <v>BSGatlas-operon-1322</v>
      </c>
      <c r="B2486" s="2" t="str">
        <f>HYPERLINK("https://rth.dk/resources/bsgatlas/details.php?id=BSGatlas-gene-2738","BSGatlas-gene-2738")</f>
        <v>BSGatlas-gene-2738</v>
      </c>
      <c r="C2486" s="1" t="s">
        <v>2475</v>
      </c>
      <c r="D2486" s="1" t="s">
        <v>8</v>
      </c>
      <c r="E2486" s="3">
        <v>2432316</v>
      </c>
      <c r="F2486" s="3">
        <v>2432870</v>
      </c>
      <c r="G2486" s="1" t="s">
        <v>13</v>
      </c>
      <c r="H2486" s="1" t="b">
        <f t="shared" si="89"/>
        <v>0</v>
      </c>
    </row>
    <row r="2487" spans="1:8" ht="21" x14ac:dyDescent="0.25">
      <c r="A2487" s="2" t="str">
        <f>HYPERLINK("https://rth.dk/resources/bsgatlas/details.php?id=BSGatlas-operon-1322","BSGatlas-operon-1322")</f>
        <v>BSGatlas-operon-1322</v>
      </c>
      <c r="B2487" s="2" t="str">
        <f>HYPERLINK("https://rth.dk/resources/bsgatlas/details.php?id=BSGatlas-gene-2740","BSGatlas-gene-2740")</f>
        <v>BSGatlas-gene-2740</v>
      </c>
      <c r="C2487" s="1" t="s">
        <v>2476</v>
      </c>
      <c r="D2487" s="1" t="s">
        <v>8</v>
      </c>
      <c r="E2487" s="3">
        <v>2433316</v>
      </c>
      <c r="F2487" s="3">
        <v>2433522</v>
      </c>
      <c r="G2487" s="1" t="s">
        <v>13</v>
      </c>
      <c r="H2487" s="1" t="b">
        <f t="shared" si="89"/>
        <v>0</v>
      </c>
    </row>
    <row r="2488" spans="1:8" ht="21" x14ac:dyDescent="0.25">
      <c r="A2488" s="2" t="str">
        <f>HYPERLINK("https://rth.dk/resources/bsgatlas/details.php?id=BSGatlas-operon-1323","BSGatlas-operon-1323")</f>
        <v>BSGatlas-operon-1323</v>
      </c>
      <c r="B2488" s="2" t="str">
        <f>HYPERLINK("https://rth.dk/resources/bsgatlas/details.php?id=BSGatlas-gene-2739","BSGatlas-gene-2739")</f>
        <v>BSGatlas-gene-2739</v>
      </c>
      <c r="C2488" s="1" t="s">
        <v>2477</v>
      </c>
      <c r="D2488" s="1" t="s">
        <v>8</v>
      </c>
      <c r="E2488" s="3">
        <v>2433137</v>
      </c>
      <c r="F2488" s="3">
        <v>2433373</v>
      </c>
      <c r="G2488" s="1" t="s">
        <v>9</v>
      </c>
      <c r="H2488" s="1" t="b">
        <f t="shared" si="89"/>
        <v>1</v>
      </c>
    </row>
    <row r="2489" spans="1:8" ht="21" x14ac:dyDescent="0.25">
      <c r="A2489" s="2" t="str">
        <f>HYPERLINK("https://rth.dk/resources/bsgatlas/details.php?id=BSGatlas-operon-1324","BSGatlas-operon-1324")</f>
        <v>BSGatlas-operon-1324</v>
      </c>
      <c r="B2489" s="2" t="str">
        <f>HYPERLINK("https://rth.dk/resources/bsgatlas/details.php?id=BSGatlas-gene-2741","BSGatlas-gene-2741")</f>
        <v>BSGatlas-gene-2741</v>
      </c>
      <c r="C2489" s="1" t="s">
        <v>2478</v>
      </c>
      <c r="D2489" s="1" t="s">
        <v>276</v>
      </c>
      <c r="E2489" s="3">
        <v>2433631</v>
      </c>
      <c r="F2489" s="3">
        <v>2433885</v>
      </c>
      <c r="G2489" s="1" t="s">
        <v>13</v>
      </c>
      <c r="H2489" s="1" t="b">
        <f t="shared" si="89"/>
        <v>0</v>
      </c>
    </row>
    <row r="2490" spans="1:8" ht="21" x14ac:dyDescent="0.25">
      <c r="A2490" s="2" t="str">
        <f>HYPERLINK("https://rth.dk/resources/bsgatlas/details.php?id=BSGatlas-operon-1324","BSGatlas-operon-1324")</f>
        <v>BSGatlas-operon-1324</v>
      </c>
      <c r="B2490" s="2" t="str">
        <f>HYPERLINK("https://rth.dk/resources/bsgatlas/details.php?id=BSGatlas-gene-2743","BSGatlas-gene-2743")</f>
        <v>BSGatlas-gene-2743</v>
      </c>
      <c r="C2490" s="1" t="s">
        <v>2478</v>
      </c>
      <c r="D2490" s="1" t="s">
        <v>276</v>
      </c>
      <c r="E2490" s="3">
        <v>2433878</v>
      </c>
      <c r="F2490" s="3">
        <v>2434165</v>
      </c>
      <c r="G2490" s="1" t="s">
        <v>13</v>
      </c>
      <c r="H2490" s="1" t="b">
        <f t="shared" si="89"/>
        <v>0</v>
      </c>
    </row>
    <row r="2491" spans="1:8" ht="21" x14ac:dyDescent="0.25">
      <c r="A2491" s="2" t="str">
        <f>HYPERLINK("https://rth.dk/resources/bsgatlas/details.php?id=BSGatlas-operon-1324","BSGatlas-operon-1324")</f>
        <v>BSGatlas-operon-1324</v>
      </c>
      <c r="B2491" s="2" t="str">
        <f>HYPERLINK("https://rth.dk/resources/bsgatlas/details.php?id=BSGatlas-gene-2744","BSGatlas-gene-2744")</f>
        <v>BSGatlas-gene-2744</v>
      </c>
      <c r="C2491" s="1" t="s">
        <v>2479</v>
      </c>
      <c r="D2491" s="1" t="s">
        <v>8</v>
      </c>
      <c r="E2491" s="3">
        <v>2434143</v>
      </c>
      <c r="F2491" s="3">
        <v>2434346</v>
      </c>
      <c r="G2491" s="1" t="s">
        <v>13</v>
      </c>
      <c r="H2491" s="1" t="b">
        <f t="shared" si="89"/>
        <v>0</v>
      </c>
    </row>
    <row r="2492" spans="1:8" ht="21" x14ac:dyDescent="0.25">
      <c r="A2492" s="2" t="str">
        <f>HYPERLINK("https://rth.dk/resources/bsgatlas/details.php?id=BSGatlas-operon-1325","BSGatlas-operon-1325")</f>
        <v>BSGatlas-operon-1325</v>
      </c>
      <c r="B2492" s="2" t="str">
        <f>HYPERLINK("https://rth.dk/resources/bsgatlas/details.php?id=BSGatlas-gene-2742","BSGatlas-gene-2742")</f>
        <v>BSGatlas-gene-2742</v>
      </c>
      <c r="C2492" s="1" t="s">
        <v>2480</v>
      </c>
      <c r="D2492" s="1" t="s">
        <v>12</v>
      </c>
      <c r="E2492" s="3">
        <v>2433788</v>
      </c>
      <c r="F2492" s="3">
        <v>2434859</v>
      </c>
      <c r="G2492" s="1" t="s">
        <v>9</v>
      </c>
      <c r="H2492" s="1" t="b">
        <f t="shared" si="89"/>
        <v>1</v>
      </c>
    </row>
    <row r="2493" spans="1:8" ht="21" x14ac:dyDescent="0.25">
      <c r="A2493" s="2" t="str">
        <f>HYPERLINK("https://rth.dk/resources/bsgatlas/details.php?id=BSGatlas-operon-1326","BSGatlas-operon-1326")</f>
        <v>BSGatlas-operon-1326</v>
      </c>
      <c r="B2493" s="2" t="str">
        <f>HYPERLINK("https://rth.dk/resources/bsgatlas/details.php?id=BSGatlas-gene-2746","BSGatlas-gene-2746")</f>
        <v>BSGatlas-gene-2746</v>
      </c>
      <c r="C2493" s="1" t="s">
        <v>2481</v>
      </c>
      <c r="D2493" s="1" t="s">
        <v>8</v>
      </c>
      <c r="E2493" s="3">
        <v>2435012</v>
      </c>
      <c r="F2493" s="3">
        <v>2435224</v>
      </c>
      <c r="G2493" s="1" t="s">
        <v>9</v>
      </c>
      <c r="H2493" s="1" t="b">
        <f t="shared" si="89"/>
        <v>0</v>
      </c>
    </row>
    <row r="2494" spans="1:8" ht="21" x14ac:dyDescent="0.25">
      <c r="A2494" s="2" t="str">
        <f>HYPERLINK("https://rth.dk/resources/bsgatlas/details.php?id=BSGatlas-operon-1327","BSGatlas-operon-1327")</f>
        <v>BSGatlas-operon-1327</v>
      </c>
      <c r="B2494" s="2" t="str">
        <f>HYPERLINK("https://rth.dk/resources/bsgatlas/details.php?id=BSGatlas-gene-2747","BSGatlas-gene-2747")</f>
        <v>BSGatlas-gene-2747</v>
      </c>
      <c r="C2494" s="1" t="s">
        <v>2482</v>
      </c>
      <c r="D2494" s="1" t="s">
        <v>8</v>
      </c>
      <c r="E2494" s="3">
        <v>2435360</v>
      </c>
      <c r="F2494" s="3">
        <v>2435791</v>
      </c>
      <c r="G2494" s="1" t="s">
        <v>13</v>
      </c>
      <c r="H2494" s="1" t="b">
        <f t="shared" si="89"/>
        <v>1</v>
      </c>
    </row>
    <row r="2495" spans="1:8" ht="21" x14ac:dyDescent="0.25">
      <c r="A2495" s="2" t="str">
        <f>HYPERLINK("https://rth.dk/resources/bsgatlas/details.php?id=BSGatlas-operon-1328","BSGatlas-operon-1328")</f>
        <v>BSGatlas-operon-1328</v>
      </c>
      <c r="B2495" s="2" t="str">
        <f>HYPERLINK("https://rth.dk/resources/bsgatlas/details.php?id=BSGatlas-gene-2748","BSGatlas-gene-2748")</f>
        <v>BSGatlas-gene-2748</v>
      </c>
      <c r="C2495" s="1" t="s">
        <v>2483</v>
      </c>
      <c r="D2495" s="1" t="s">
        <v>8</v>
      </c>
      <c r="E2495" s="3">
        <v>2436045</v>
      </c>
      <c r="F2495" s="3">
        <v>2436917</v>
      </c>
      <c r="G2495" s="1" t="s">
        <v>9</v>
      </c>
      <c r="H2495" s="1" t="b">
        <f t="shared" si="89"/>
        <v>0</v>
      </c>
    </row>
    <row r="2496" spans="1:8" ht="21" x14ac:dyDescent="0.25">
      <c r="A2496" s="2" t="str">
        <f t="shared" ref="A2496:A2503" si="91">HYPERLINK("https://rth.dk/resources/bsgatlas/details.php?id=BSGatlas-operon-1329","BSGatlas-operon-1329")</f>
        <v>BSGatlas-operon-1329</v>
      </c>
      <c r="B2496" s="2" t="str">
        <f>HYPERLINK("https://rth.dk/resources/bsgatlas/details.php?id=BSGatlas-gene-2749","BSGatlas-gene-2749")</f>
        <v>BSGatlas-gene-2749</v>
      </c>
      <c r="C2496" s="1" t="s">
        <v>2484</v>
      </c>
      <c r="D2496" s="1" t="s">
        <v>8</v>
      </c>
      <c r="E2496" s="3">
        <v>2436947</v>
      </c>
      <c r="F2496" s="3">
        <v>2438266</v>
      </c>
      <c r="G2496" s="1" t="s">
        <v>13</v>
      </c>
      <c r="H2496" s="1" t="b">
        <f t="shared" si="89"/>
        <v>1</v>
      </c>
    </row>
    <row r="2497" spans="1:8" ht="21" x14ac:dyDescent="0.25">
      <c r="A2497" s="2" t="str">
        <f t="shared" si="91"/>
        <v>BSGatlas-operon-1329</v>
      </c>
      <c r="B2497" s="2" t="str">
        <f>HYPERLINK("https://rth.dk/resources/bsgatlas/details.php?id=BSGatlas-gene-2750","BSGatlas-gene-2750")</f>
        <v>BSGatlas-gene-2750</v>
      </c>
      <c r="C2497" s="1" t="s">
        <v>2485</v>
      </c>
      <c r="D2497" s="1" t="s">
        <v>8</v>
      </c>
      <c r="E2497" s="3">
        <v>2438372</v>
      </c>
      <c r="F2497" s="3">
        <v>2439853</v>
      </c>
      <c r="G2497" s="1" t="s">
        <v>13</v>
      </c>
      <c r="H2497" s="1" t="b">
        <f t="shared" si="89"/>
        <v>1</v>
      </c>
    </row>
    <row r="2498" spans="1:8" ht="21" x14ac:dyDescent="0.25">
      <c r="A2498" s="2" t="str">
        <f t="shared" si="91"/>
        <v>BSGatlas-operon-1329</v>
      </c>
      <c r="B2498" s="2" t="str">
        <f>HYPERLINK("https://rth.dk/resources/bsgatlas/details.php?id=BSGatlas-gene-2751","BSGatlas-gene-2751")</f>
        <v>BSGatlas-gene-2751</v>
      </c>
      <c r="C2498" s="1" t="s">
        <v>2486</v>
      </c>
      <c r="D2498" s="1" t="s">
        <v>8</v>
      </c>
      <c r="E2498" s="3">
        <v>2439804</v>
      </c>
      <c r="F2498" s="3">
        <v>2440415</v>
      </c>
      <c r="G2498" s="1" t="s">
        <v>13</v>
      </c>
      <c r="H2498" s="1" t="b">
        <f t="shared" ref="H2498:H2561" si="92">_xlfn.XOR(A2497&lt;&gt;A2498,H2497)</f>
        <v>1</v>
      </c>
    </row>
    <row r="2499" spans="1:8" ht="21" x14ac:dyDescent="0.25">
      <c r="A2499" s="2" t="str">
        <f t="shared" si="91"/>
        <v>BSGatlas-operon-1329</v>
      </c>
      <c r="B2499" s="2" t="str">
        <f>HYPERLINK("https://rth.dk/resources/bsgatlas/details.php?id=BSGatlas-gene-2752","BSGatlas-gene-2752")</f>
        <v>BSGatlas-gene-2752</v>
      </c>
      <c r="C2499" s="1" t="s">
        <v>2487</v>
      </c>
      <c r="D2499" s="1" t="s">
        <v>8</v>
      </c>
      <c r="E2499" s="3">
        <v>2440423</v>
      </c>
      <c r="F2499" s="3">
        <v>2440773</v>
      </c>
      <c r="G2499" s="1" t="s">
        <v>13</v>
      </c>
      <c r="H2499" s="1" t="b">
        <f t="shared" si="92"/>
        <v>1</v>
      </c>
    </row>
    <row r="2500" spans="1:8" ht="21" x14ac:dyDescent="0.25">
      <c r="A2500" s="2" t="str">
        <f t="shared" si="91"/>
        <v>BSGatlas-operon-1329</v>
      </c>
      <c r="B2500" s="2" t="str">
        <f>HYPERLINK("https://rth.dk/resources/bsgatlas/details.php?id=BSGatlas-gene-2753","BSGatlas-gene-2753")</f>
        <v>BSGatlas-gene-2753</v>
      </c>
      <c r="C2500" s="1" t="s">
        <v>2488</v>
      </c>
      <c r="D2500" s="1" t="s">
        <v>8</v>
      </c>
      <c r="E2500" s="3">
        <v>2440775</v>
      </c>
      <c r="F2500" s="3">
        <v>2441791</v>
      </c>
      <c r="G2500" s="1" t="s">
        <v>13</v>
      </c>
      <c r="H2500" s="1" t="b">
        <f t="shared" si="92"/>
        <v>1</v>
      </c>
    </row>
    <row r="2501" spans="1:8" ht="21" x14ac:dyDescent="0.25">
      <c r="A2501" s="2" t="str">
        <f t="shared" si="91"/>
        <v>BSGatlas-operon-1329</v>
      </c>
      <c r="B2501" s="2" t="str">
        <f>HYPERLINK("https://rth.dk/resources/bsgatlas/details.php?id=BSGatlas-gene-2754","BSGatlas-gene-2754")</f>
        <v>BSGatlas-gene-2754</v>
      </c>
      <c r="C2501" s="1" t="s">
        <v>2489</v>
      </c>
      <c r="D2501" s="1" t="s">
        <v>8</v>
      </c>
      <c r="E2501" s="3">
        <v>2441804</v>
      </c>
      <c r="F2501" s="3">
        <v>2442256</v>
      </c>
      <c r="G2501" s="1" t="s">
        <v>13</v>
      </c>
      <c r="H2501" s="1" t="b">
        <f t="shared" si="92"/>
        <v>1</v>
      </c>
    </row>
    <row r="2502" spans="1:8" ht="21" x14ac:dyDescent="0.25">
      <c r="A2502" s="2" t="str">
        <f t="shared" si="91"/>
        <v>BSGatlas-operon-1329</v>
      </c>
      <c r="B2502" s="2" t="str">
        <f>HYPERLINK("https://rth.dk/resources/bsgatlas/details.php?id=BSGatlas-gene-2755","BSGatlas-gene-2755")</f>
        <v>BSGatlas-gene-2755</v>
      </c>
      <c r="C2502" s="1" t="s">
        <v>2490</v>
      </c>
      <c r="D2502" s="1" t="s">
        <v>8</v>
      </c>
      <c r="E2502" s="3">
        <v>2442269</v>
      </c>
      <c r="F2502" s="3">
        <v>2442694</v>
      </c>
      <c r="G2502" s="1" t="s">
        <v>13</v>
      </c>
      <c r="H2502" s="1" t="b">
        <f t="shared" si="92"/>
        <v>1</v>
      </c>
    </row>
    <row r="2503" spans="1:8" ht="21" x14ac:dyDescent="0.25">
      <c r="A2503" s="2" t="str">
        <f t="shared" si="91"/>
        <v>BSGatlas-operon-1329</v>
      </c>
      <c r="B2503" s="2" t="str">
        <f>HYPERLINK("https://rth.dk/resources/bsgatlas/details.php?id=BSGatlas-gene-2756","BSGatlas-gene-2756")</f>
        <v>BSGatlas-gene-2756</v>
      </c>
      <c r="C2503" s="1" t="s">
        <v>2491</v>
      </c>
      <c r="D2503" s="1" t="s">
        <v>8</v>
      </c>
      <c r="E2503" s="3">
        <v>2442684</v>
      </c>
      <c r="F2503" s="3">
        <v>2443304</v>
      </c>
      <c r="G2503" s="1" t="s">
        <v>13</v>
      </c>
      <c r="H2503" s="1" t="b">
        <f t="shared" si="92"/>
        <v>1</v>
      </c>
    </row>
    <row r="2504" spans="1:8" ht="21" x14ac:dyDescent="0.25">
      <c r="A2504" s="2" t="str">
        <f>HYPERLINK("https://rth.dk/resources/bsgatlas/details.php?id=BSGatlas-operon-1330","BSGatlas-operon-1330")</f>
        <v>BSGatlas-operon-1330</v>
      </c>
      <c r="B2504" s="2" t="str">
        <f>HYPERLINK("https://rth.dk/resources/bsgatlas/details.php?id=BSGatlas-gene-2757","BSGatlas-gene-2757")</f>
        <v>BSGatlas-gene-2757</v>
      </c>
      <c r="C2504" s="1" t="s">
        <v>2492</v>
      </c>
      <c r="D2504" s="1" t="s">
        <v>8</v>
      </c>
      <c r="E2504" s="3">
        <v>2443429</v>
      </c>
      <c r="F2504" s="3">
        <v>2444196</v>
      </c>
      <c r="G2504" s="1" t="s">
        <v>13</v>
      </c>
      <c r="H2504" s="1" t="b">
        <f t="shared" si="92"/>
        <v>0</v>
      </c>
    </row>
    <row r="2505" spans="1:8" ht="21" x14ac:dyDescent="0.25">
      <c r="A2505" s="2" t="str">
        <f>HYPERLINK("https://rth.dk/resources/bsgatlas/details.php?id=BSGatlas-operon-1330","BSGatlas-operon-1330")</f>
        <v>BSGatlas-operon-1330</v>
      </c>
      <c r="B2505" s="2" t="str">
        <f>HYPERLINK("https://rth.dk/resources/bsgatlas/details.php?id=BSGatlas-gene-2758","BSGatlas-gene-2758")</f>
        <v>BSGatlas-gene-2758</v>
      </c>
      <c r="C2505" s="1" t="s">
        <v>2493</v>
      </c>
      <c r="D2505" s="1" t="s">
        <v>8</v>
      </c>
      <c r="E2505" s="3">
        <v>2444208</v>
      </c>
      <c r="F2505" s="3">
        <v>2444648</v>
      </c>
      <c r="G2505" s="1" t="s">
        <v>13</v>
      </c>
      <c r="H2505" s="1" t="b">
        <f t="shared" si="92"/>
        <v>0</v>
      </c>
    </row>
    <row r="2506" spans="1:8" ht="21" x14ac:dyDescent="0.25">
      <c r="A2506" s="2" t="str">
        <f>HYPERLINK("https://rth.dk/resources/bsgatlas/details.php?id=BSGatlas-operon-1330","BSGatlas-operon-1330")</f>
        <v>BSGatlas-operon-1330</v>
      </c>
      <c r="B2506" s="2" t="str">
        <f>HYPERLINK("https://rth.dk/resources/bsgatlas/details.php?id=BSGatlas-gene-2759","BSGatlas-gene-2759")</f>
        <v>BSGatlas-gene-2759</v>
      </c>
      <c r="C2506" s="1" t="s">
        <v>2494</v>
      </c>
      <c r="D2506" s="1" t="s">
        <v>8</v>
      </c>
      <c r="E2506" s="3">
        <v>2444645</v>
      </c>
      <c r="F2506" s="3">
        <v>2444998</v>
      </c>
      <c r="G2506" s="1" t="s">
        <v>13</v>
      </c>
      <c r="H2506" s="1" t="b">
        <f t="shared" si="92"/>
        <v>0</v>
      </c>
    </row>
    <row r="2507" spans="1:8" ht="21" x14ac:dyDescent="0.25">
      <c r="A2507" s="2" t="str">
        <f>HYPERLINK("https://rth.dk/resources/bsgatlas/details.php?id=BSGatlas-operon-1330","BSGatlas-operon-1330")</f>
        <v>BSGatlas-operon-1330</v>
      </c>
      <c r="B2507" s="2" t="str">
        <f>HYPERLINK("https://rth.dk/resources/bsgatlas/details.php?id=BSGatlas-gene-2760","BSGatlas-gene-2760")</f>
        <v>BSGatlas-gene-2760</v>
      </c>
      <c r="C2507" s="1" t="s">
        <v>2495</v>
      </c>
      <c r="D2507" s="1" t="s">
        <v>8</v>
      </c>
      <c r="E2507" s="3">
        <v>2445094</v>
      </c>
      <c r="F2507" s="3">
        <v>2446263</v>
      </c>
      <c r="G2507" s="1" t="s">
        <v>13</v>
      </c>
      <c r="H2507" s="1" t="b">
        <f t="shared" si="92"/>
        <v>0</v>
      </c>
    </row>
    <row r="2508" spans="1:8" ht="21" x14ac:dyDescent="0.25">
      <c r="A2508" s="2" t="str">
        <f>HYPERLINK("https://rth.dk/resources/bsgatlas/details.php?id=BSGatlas-operon-1331","BSGatlas-operon-1331")</f>
        <v>BSGatlas-operon-1331</v>
      </c>
      <c r="B2508" s="2" t="str">
        <f>HYPERLINK("https://rth.dk/resources/bsgatlas/details.php?id=BSGatlas-gene-2761","BSGatlas-gene-2761")</f>
        <v>BSGatlas-gene-2761</v>
      </c>
      <c r="C2508" s="1" t="s">
        <v>2496</v>
      </c>
      <c r="D2508" s="1" t="s">
        <v>8</v>
      </c>
      <c r="E2508" s="3">
        <v>2446418</v>
      </c>
      <c r="F2508" s="3">
        <v>2447233</v>
      </c>
      <c r="G2508" s="1" t="s">
        <v>13</v>
      </c>
      <c r="H2508" s="1" t="b">
        <f t="shared" si="92"/>
        <v>1</v>
      </c>
    </row>
    <row r="2509" spans="1:8" ht="21" x14ac:dyDescent="0.25">
      <c r="A2509" s="2" t="str">
        <f>HYPERLINK("https://rth.dk/resources/bsgatlas/details.php?id=BSGatlas-operon-1331","BSGatlas-operon-1331")</f>
        <v>BSGatlas-operon-1331</v>
      </c>
      <c r="B2509" s="2" t="str">
        <f>HYPERLINK("https://rth.dk/resources/bsgatlas/details.php?id=BSGatlas-gene-2762","BSGatlas-gene-2762")</f>
        <v>BSGatlas-gene-2762</v>
      </c>
      <c r="C2509" s="1" t="s">
        <v>2497</v>
      </c>
      <c r="D2509" s="1" t="s">
        <v>8</v>
      </c>
      <c r="E2509" s="3">
        <v>2447246</v>
      </c>
      <c r="F2509" s="3">
        <v>2448430</v>
      </c>
      <c r="G2509" s="1" t="s">
        <v>13</v>
      </c>
      <c r="H2509" s="1" t="b">
        <f t="shared" si="92"/>
        <v>1</v>
      </c>
    </row>
    <row r="2510" spans="1:8" ht="21" x14ac:dyDescent="0.25">
      <c r="A2510" s="2" t="str">
        <f>HYPERLINK("https://rth.dk/resources/bsgatlas/details.php?id=BSGatlas-operon-1332","BSGatlas-operon-1332")</f>
        <v>BSGatlas-operon-1332</v>
      </c>
      <c r="B2510" s="2" t="str">
        <f>HYPERLINK("https://rth.dk/resources/bsgatlas/details.php?id=BSGatlas-gene-2764","BSGatlas-gene-2764")</f>
        <v>BSGatlas-gene-2764</v>
      </c>
      <c r="C2510" s="1" t="s">
        <v>2498</v>
      </c>
      <c r="D2510" s="1" t="s">
        <v>8</v>
      </c>
      <c r="E2510" s="3">
        <v>2449489</v>
      </c>
      <c r="F2510" s="3">
        <v>2449716</v>
      </c>
      <c r="G2510" s="1" t="s">
        <v>13</v>
      </c>
      <c r="H2510" s="1" t="b">
        <f t="shared" si="92"/>
        <v>0</v>
      </c>
    </row>
    <row r="2511" spans="1:8" ht="21" x14ac:dyDescent="0.25">
      <c r="A2511" s="2" t="str">
        <f>HYPERLINK("https://rth.dk/resources/bsgatlas/details.php?id=BSGatlas-operon-1333","BSGatlas-operon-1333")</f>
        <v>BSGatlas-operon-1333</v>
      </c>
      <c r="B2511" s="2" t="str">
        <f>HYPERLINK("https://rth.dk/resources/bsgatlas/details.php?id=BSGatlas-gene-2765","BSGatlas-gene-2765")</f>
        <v>BSGatlas-gene-2765</v>
      </c>
      <c r="C2511" s="1" t="s">
        <v>2499</v>
      </c>
      <c r="D2511" s="1" t="s">
        <v>8</v>
      </c>
      <c r="E2511" s="3">
        <v>2449841</v>
      </c>
      <c r="F2511" s="3">
        <v>2450290</v>
      </c>
      <c r="G2511" s="1" t="s">
        <v>13</v>
      </c>
      <c r="H2511" s="1" t="b">
        <f t="shared" si="92"/>
        <v>1</v>
      </c>
    </row>
    <row r="2512" spans="1:8" ht="21" x14ac:dyDescent="0.25">
      <c r="A2512" s="2" t="str">
        <f>HYPERLINK("https://rth.dk/resources/bsgatlas/details.php?id=BSGatlas-operon-1334","BSGatlas-operon-1334")</f>
        <v>BSGatlas-operon-1334</v>
      </c>
      <c r="B2512" s="2" t="str">
        <f>HYPERLINK("https://rth.dk/resources/bsgatlas/details.php?id=BSGatlas-gene-2766","BSGatlas-gene-2766")</f>
        <v>BSGatlas-gene-2766</v>
      </c>
      <c r="C2512" s="1" t="s">
        <v>2500</v>
      </c>
      <c r="D2512" s="1" t="s">
        <v>8</v>
      </c>
      <c r="E2512" s="3">
        <v>2450403</v>
      </c>
      <c r="F2512" s="3">
        <v>2451047</v>
      </c>
      <c r="G2512" s="1" t="s">
        <v>13</v>
      </c>
      <c r="H2512" s="1" t="b">
        <f t="shared" si="92"/>
        <v>0</v>
      </c>
    </row>
    <row r="2513" spans="1:8" ht="21" x14ac:dyDescent="0.25">
      <c r="A2513" s="2" t="str">
        <f>HYPERLINK("https://rth.dk/resources/bsgatlas/details.php?id=BSGatlas-operon-1335","BSGatlas-operon-1335")</f>
        <v>BSGatlas-operon-1335</v>
      </c>
      <c r="B2513" s="2" t="str">
        <f>HYPERLINK("https://rth.dk/resources/bsgatlas/details.php?id=BSGatlas-gene-2767","BSGatlas-gene-2767")</f>
        <v>BSGatlas-gene-2767</v>
      </c>
      <c r="C2513" s="1" t="s">
        <v>2501</v>
      </c>
      <c r="D2513" s="1" t="s">
        <v>8</v>
      </c>
      <c r="E2513" s="3">
        <v>2451148</v>
      </c>
      <c r="F2513" s="3">
        <v>2451363</v>
      </c>
      <c r="G2513" s="1" t="s">
        <v>13</v>
      </c>
      <c r="H2513" s="1" t="b">
        <f t="shared" si="92"/>
        <v>1</v>
      </c>
    </row>
    <row r="2514" spans="1:8" ht="21" x14ac:dyDescent="0.25">
      <c r="A2514" s="2" t="str">
        <f>HYPERLINK("https://rth.dk/resources/bsgatlas/details.php?id=BSGatlas-operon-1336","BSGatlas-operon-1336")</f>
        <v>BSGatlas-operon-1336</v>
      </c>
      <c r="B2514" s="2" t="str">
        <f>HYPERLINK("https://rth.dk/resources/bsgatlas/details.php?id=BSGatlas-gene-2768","BSGatlas-gene-2768")</f>
        <v>BSGatlas-gene-2768</v>
      </c>
      <c r="C2514" s="1" t="s">
        <v>2502</v>
      </c>
      <c r="D2514" s="1" t="s">
        <v>8</v>
      </c>
      <c r="E2514" s="3">
        <v>2451463</v>
      </c>
      <c r="F2514" s="3">
        <v>2452782</v>
      </c>
      <c r="G2514" s="1" t="s">
        <v>13</v>
      </c>
      <c r="H2514" s="1" t="b">
        <f t="shared" si="92"/>
        <v>0</v>
      </c>
    </row>
    <row r="2515" spans="1:8" ht="21" x14ac:dyDescent="0.25">
      <c r="A2515" s="2" t="str">
        <f>HYPERLINK("https://rth.dk/resources/bsgatlas/details.php?id=BSGatlas-operon-1336","BSGatlas-operon-1336")</f>
        <v>BSGatlas-operon-1336</v>
      </c>
      <c r="B2515" s="2" t="str">
        <f>HYPERLINK("https://rth.dk/resources/bsgatlas/details.php?id=BSGatlas-gene-2769","BSGatlas-gene-2769")</f>
        <v>BSGatlas-gene-2769</v>
      </c>
      <c r="C2515" s="1" t="s">
        <v>2503</v>
      </c>
      <c r="D2515" s="1" t="s">
        <v>8</v>
      </c>
      <c r="E2515" s="3">
        <v>2452800</v>
      </c>
      <c r="F2515" s="3">
        <v>2454206</v>
      </c>
      <c r="G2515" s="1" t="s">
        <v>13</v>
      </c>
      <c r="H2515" s="1" t="b">
        <f t="shared" si="92"/>
        <v>0</v>
      </c>
    </row>
    <row r="2516" spans="1:8" ht="21" x14ac:dyDescent="0.25">
      <c r="A2516" s="2" t="str">
        <f>HYPERLINK("https://rth.dk/resources/bsgatlas/details.php?id=BSGatlas-operon-1336","BSGatlas-operon-1336")</f>
        <v>BSGatlas-operon-1336</v>
      </c>
      <c r="B2516" s="2" t="str">
        <f>HYPERLINK("https://rth.dk/resources/bsgatlas/details.php?id=BSGatlas-gene-2770","BSGatlas-gene-2770")</f>
        <v>BSGatlas-gene-2770</v>
      </c>
      <c r="C2516" s="1" t="s">
        <v>2504</v>
      </c>
      <c r="D2516" s="1" t="s">
        <v>8</v>
      </c>
      <c r="E2516" s="3">
        <v>2454347</v>
      </c>
      <c r="F2516" s="3">
        <v>2455774</v>
      </c>
      <c r="G2516" s="1" t="s">
        <v>13</v>
      </c>
      <c r="H2516" s="1" t="b">
        <f t="shared" si="92"/>
        <v>0</v>
      </c>
    </row>
    <row r="2517" spans="1:8" ht="21" x14ac:dyDescent="0.25">
      <c r="A2517" s="2" t="str">
        <f>HYPERLINK("https://rth.dk/resources/bsgatlas/details.php?id=BSGatlas-operon-1336","BSGatlas-operon-1336")</f>
        <v>BSGatlas-operon-1336</v>
      </c>
      <c r="B2517" s="2" t="str">
        <f>HYPERLINK("https://rth.dk/resources/bsgatlas/details.php?id=BSGatlas-gene-2771","BSGatlas-gene-2771")</f>
        <v>BSGatlas-gene-2771</v>
      </c>
      <c r="C2517" s="1" t="s">
        <v>2505</v>
      </c>
      <c r="D2517" s="1" t="s">
        <v>8</v>
      </c>
      <c r="E2517" s="3">
        <v>2455819</v>
      </c>
      <c r="F2517" s="3">
        <v>2456808</v>
      </c>
      <c r="G2517" s="1" t="s">
        <v>13</v>
      </c>
      <c r="H2517" s="1" t="b">
        <f t="shared" si="92"/>
        <v>0</v>
      </c>
    </row>
    <row r="2518" spans="1:8" ht="21" x14ac:dyDescent="0.25">
      <c r="A2518" s="2" t="str">
        <f>HYPERLINK("https://rth.dk/resources/bsgatlas/details.php?id=BSGatlas-operon-1337","BSGatlas-operon-1337")</f>
        <v>BSGatlas-operon-1337</v>
      </c>
      <c r="B2518" s="2" t="str">
        <f>HYPERLINK("https://rth.dk/resources/bsgatlas/details.php?id=BSGatlas-gene-2772","BSGatlas-gene-2772")</f>
        <v>BSGatlas-gene-2772</v>
      </c>
      <c r="C2518" s="1" t="s">
        <v>2506</v>
      </c>
      <c r="D2518" s="1" t="s">
        <v>8</v>
      </c>
      <c r="E2518" s="3">
        <v>2456990</v>
      </c>
      <c r="F2518" s="3">
        <v>2457340</v>
      </c>
      <c r="G2518" s="1" t="s">
        <v>9</v>
      </c>
      <c r="H2518" s="1" t="b">
        <f t="shared" si="92"/>
        <v>1</v>
      </c>
    </row>
    <row r="2519" spans="1:8" ht="21" x14ac:dyDescent="0.25">
      <c r="A2519" s="2" t="str">
        <f>HYPERLINK("https://rth.dk/resources/bsgatlas/details.php?id=BSGatlas-operon-1338","BSGatlas-operon-1338")</f>
        <v>BSGatlas-operon-1338</v>
      </c>
      <c r="B2519" s="2" t="str">
        <f>HYPERLINK("https://rth.dk/resources/bsgatlas/details.php?id=BSGatlas-gene-2773","BSGatlas-gene-2773")</f>
        <v>BSGatlas-gene-2773</v>
      </c>
      <c r="C2519" s="1" t="s">
        <v>2507</v>
      </c>
      <c r="D2519" s="1" t="s">
        <v>8</v>
      </c>
      <c r="E2519" s="3">
        <v>2457349</v>
      </c>
      <c r="F2519" s="3">
        <v>2458512</v>
      </c>
      <c r="G2519" s="1" t="s">
        <v>13</v>
      </c>
      <c r="H2519" s="1" t="b">
        <f t="shared" si="92"/>
        <v>0</v>
      </c>
    </row>
    <row r="2520" spans="1:8" ht="21" x14ac:dyDescent="0.25">
      <c r="A2520" s="2" t="str">
        <f>HYPERLINK("https://rth.dk/resources/bsgatlas/details.php?id=BSGatlas-operon-1338","BSGatlas-operon-1338")</f>
        <v>BSGatlas-operon-1338</v>
      </c>
      <c r="B2520" s="2" t="str">
        <f>HYPERLINK("https://rth.dk/resources/bsgatlas/details.php?id=BSGatlas-gene-2774","BSGatlas-gene-2774")</f>
        <v>BSGatlas-gene-2774</v>
      </c>
      <c r="C2520" s="1" t="s">
        <v>2508</v>
      </c>
      <c r="D2520" s="1" t="s">
        <v>8</v>
      </c>
      <c r="E2520" s="3">
        <v>2458509</v>
      </c>
      <c r="F2520" s="3">
        <v>2459066</v>
      </c>
      <c r="G2520" s="1" t="s">
        <v>13</v>
      </c>
      <c r="H2520" s="1" t="b">
        <f t="shared" si="92"/>
        <v>0</v>
      </c>
    </row>
    <row r="2521" spans="1:8" ht="21" x14ac:dyDescent="0.25">
      <c r="A2521" s="2" t="str">
        <f>HYPERLINK("https://rth.dk/resources/bsgatlas/details.php?id=BSGatlas-operon-1339","BSGatlas-operon-1339")</f>
        <v>BSGatlas-operon-1339</v>
      </c>
      <c r="B2521" s="2" t="str">
        <f>HYPERLINK("https://rth.dk/resources/bsgatlas/details.php?id=BSGatlas-gene-2775","BSGatlas-gene-2775")</f>
        <v>BSGatlas-gene-2775</v>
      </c>
      <c r="C2521" s="1" t="s">
        <v>2509</v>
      </c>
      <c r="D2521" s="1" t="s">
        <v>8</v>
      </c>
      <c r="E2521" s="3">
        <v>2459141</v>
      </c>
      <c r="F2521" s="3">
        <v>2459263</v>
      </c>
      <c r="G2521" s="1" t="s">
        <v>9</v>
      </c>
      <c r="H2521" s="1" t="b">
        <f t="shared" si="92"/>
        <v>1</v>
      </c>
    </row>
    <row r="2522" spans="1:8" ht="21" x14ac:dyDescent="0.25">
      <c r="A2522" s="2" t="str">
        <f>HYPERLINK("https://rth.dk/resources/bsgatlas/details.php?id=BSGatlas-operon-1339","BSGatlas-operon-1339")</f>
        <v>BSGatlas-operon-1339</v>
      </c>
      <c r="B2522" s="2" t="str">
        <f>HYPERLINK("https://rth.dk/resources/bsgatlas/details.php?id=BSGatlas-gene-2776","BSGatlas-gene-2776")</f>
        <v>BSGatlas-gene-2776</v>
      </c>
      <c r="C2522" s="1" t="s">
        <v>2510</v>
      </c>
      <c r="D2522" s="1" t="s">
        <v>8</v>
      </c>
      <c r="E2522" s="3">
        <v>2459326</v>
      </c>
      <c r="F2522" s="3">
        <v>2460246</v>
      </c>
      <c r="G2522" s="1" t="s">
        <v>9</v>
      </c>
      <c r="H2522" s="1" t="b">
        <f t="shared" si="92"/>
        <v>1</v>
      </c>
    </row>
    <row r="2523" spans="1:8" ht="21" x14ac:dyDescent="0.25">
      <c r="A2523" s="2" t="str">
        <f>HYPERLINK("https://rth.dk/resources/bsgatlas/details.php?id=BSGatlas-operon-1340","BSGatlas-operon-1340")</f>
        <v>BSGatlas-operon-1340</v>
      </c>
      <c r="B2523" s="2" t="str">
        <f>HYPERLINK("https://rth.dk/resources/bsgatlas/details.php?id=BSGatlas-gene-2777","BSGatlas-gene-2777")</f>
        <v>BSGatlas-gene-2777</v>
      </c>
      <c r="C2523" s="1" t="s">
        <v>2511</v>
      </c>
      <c r="D2523" s="1" t="s">
        <v>8</v>
      </c>
      <c r="E2523" s="3">
        <v>2460278</v>
      </c>
      <c r="F2523" s="3">
        <v>2460502</v>
      </c>
      <c r="G2523" s="1" t="s">
        <v>13</v>
      </c>
      <c r="H2523" s="1" t="b">
        <f t="shared" si="92"/>
        <v>0</v>
      </c>
    </row>
    <row r="2524" spans="1:8" ht="21" x14ac:dyDescent="0.25">
      <c r="A2524" s="2" t="str">
        <f>HYPERLINK("https://rth.dk/resources/bsgatlas/details.php?id=BSGatlas-operon-1341","BSGatlas-operon-1341")</f>
        <v>BSGatlas-operon-1341</v>
      </c>
      <c r="B2524" s="2" t="str">
        <f>HYPERLINK("https://rth.dk/resources/bsgatlas/details.php?id=BSGatlas-gene-2778","BSGatlas-gene-2778")</f>
        <v>BSGatlas-gene-2778</v>
      </c>
      <c r="C2524" s="1" t="s">
        <v>2512</v>
      </c>
      <c r="D2524" s="1" t="s">
        <v>8</v>
      </c>
      <c r="E2524" s="3">
        <v>2460664</v>
      </c>
      <c r="F2524" s="3">
        <v>2461581</v>
      </c>
      <c r="G2524" s="1" t="s">
        <v>9</v>
      </c>
      <c r="H2524" s="1" t="b">
        <f t="shared" si="92"/>
        <v>1</v>
      </c>
    </row>
    <row r="2525" spans="1:8" ht="21" x14ac:dyDescent="0.25">
      <c r="A2525" s="2" t="str">
        <f t="shared" ref="A2525:A2531" si="93">HYPERLINK("https://rth.dk/resources/bsgatlas/details.php?id=BSGatlas-operon-1342","BSGatlas-operon-1342")</f>
        <v>BSGatlas-operon-1342</v>
      </c>
      <c r="B2525" s="2" t="str">
        <f>HYPERLINK("https://rth.dk/resources/bsgatlas/details.php?id=BSGatlas-gene-2779","BSGatlas-gene-2779")</f>
        <v>BSGatlas-gene-2779</v>
      </c>
      <c r="C2525" s="1" t="s">
        <v>2513</v>
      </c>
      <c r="D2525" s="1" t="s">
        <v>8</v>
      </c>
      <c r="E2525" s="3">
        <v>2461621</v>
      </c>
      <c r="F2525" s="3">
        <v>2461860</v>
      </c>
      <c r="G2525" s="1" t="s">
        <v>13</v>
      </c>
      <c r="H2525" s="1" t="b">
        <f t="shared" si="92"/>
        <v>0</v>
      </c>
    </row>
    <row r="2526" spans="1:8" ht="21" x14ac:dyDescent="0.25">
      <c r="A2526" s="2" t="str">
        <f t="shared" si="93"/>
        <v>BSGatlas-operon-1342</v>
      </c>
      <c r="B2526" s="2" t="str">
        <f>HYPERLINK("https://rth.dk/resources/bsgatlas/details.php?id=BSGatlas-gene-2780","BSGatlas-gene-2780")</f>
        <v>BSGatlas-gene-2780</v>
      </c>
      <c r="C2526" s="1" t="s">
        <v>2514</v>
      </c>
      <c r="D2526" s="1" t="s">
        <v>8</v>
      </c>
      <c r="E2526" s="3">
        <v>2461873</v>
      </c>
      <c r="F2526" s="3">
        <v>2462196</v>
      </c>
      <c r="G2526" s="1" t="s">
        <v>13</v>
      </c>
      <c r="H2526" s="1" t="b">
        <f t="shared" si="92"/>
        <v>0</v>
      </c>
    </row>
    <row r="2527" spans="1:8" ht="21" x14ac:dyDescent="0.25">
      <c r="A2527" s="2" t="str">
        <f t="shared" si="93"/>
        <v>BSGatlas-operon-1342</v>
      </c>
      <c r="B2527" s="2" t="str">
        <f>HYPERLINK("https://rth.dk/resources/bsgatlas/details.php?id=BSGatlas-gene-2781","BSGatlas-gene-2781")</f>
        <v>BSGatlas-gene-2781</v>
      </c>
      <c r="C2527" s="1" t="s">
        <v>2515</v>
      </c>
      <c r="D2527" s="1" t="s">
        <v>8</v>
      </c>
      <c r="E2527" s="3">
        <v>2462193</v>
      </c>
      <c r="F2527" s="3">
        <v>2463224</v>
      </c>
      <c r="G2527" s="1" t="s">
        <v>13</v>
      </c>
      <c r="H2527" s="1" t="b">
        <f t="shared" si="92"/>
        <v>0</v>
      </c>
    </row>
    <row r="2528" spans="1:8" ht="21" x14ac:dyDescent="0.25">
      <c r="A2528" s="2" t="str">
        <f t="shared" si="93"/>
        <v>BSGatlas-operon-1342</v>
      </c>
      <c r="B2528" s="2" t="str">
        <f>HYPERLINK("https://rth.dk/resources/bsgatlas/details.php?id=BSGatlas-gene-2782","BSGatlas-gene-2782")</f>
        <v>BSGatlas-gene-2782</v>
      </c>
      <c r="C2528" s="1" t="s">
        <v>2516</v>
      </c>
      <c r="D2528" s="1" t="s">
        <v>8</v>
      </c>
      <c r="E2528" s="3">
        <v>2463217</v>
      </c>
      <c r="F2528" s="3">
        <v>2463561</v>
      </c>
      <c r="G2528" s="1" t="s">
        <v>13</v>
      </c>
      <c r="H2528" s="1" t="b">
        <f t="shared" si="92"/>
        <v>0</v>
      </c>
    </row>
    <row r="2529" spans="1:8" ht="21" x14ac:dyDescent="0.25">
      <c r="A2529" s="2" t="str">
        <f t="shared" si="93"/>
        <v>BSGatlas-operon-1342</v>
      </c>
      <c r="B2529" s="2" t="str">
        <f>HYPERLINK("https://rth.dk/resources/bsgatlas/details.php?id=BSGatlas-gene-2783","BSGatlas-gene-2783")</f>
        <v>BSGatlas-gene-2783</v>
      </c>
      <c r="C2529" s="1" t="s">
        <v>2517</v>
      </c>
      <c r="D2529" s="1" t="s">
        <v>8</v>
      </c>
      <c r="E2529" s="3">
        <v>2463571</v>
      </c>
      <c r="F2529" s="3">
        <v>2464041</v>
      </c>
      <c r="G2529" s="1" t="s">
        <v>13</v>
      </c>
      <c r="H2529" s="1" t="b">
        <f t="shared" si="92"/>
        <v>0</v>
      </c>
    </row>
    <row r="2530" spans="1:8" ht="21" x14ac:dyDescent="0.25">
      <c r="A2530" s="2" t="str">
        <f t="shared" si="93"/>
        <v>BSGatlas-operon-1342</v>
      </c>
      <c r="B2530" s="2" t="str">
        <f>HYPERLINK("https://rth.dk/resources/bsgatlas/details.php?id=BSGatlas-gene-2784","BSGatlas-gene-2784")</f>
        <v>BSGatlas-gene-2784</v>
      </c>
      <c r="C2530" s="1" t="s">
        <v>2518</v>
      </c>
      <c r="D2530" s="1" t="s">
        <v>8</v>
      </c>
      <c r="E2530" s="3">
        <v>2464227</v>
      </c>
      <c r="F2530" s="3">
        <v>2464565</v>
      </c>
      <c r="G2530" s="1" t="s">
        <v>13</v>
      </c>
      <c r="H2530" s="1" t="b">
        <f t="shared" si="92"/>
        <v>0</v>
      </c>
    </row>
    <row r="2531" spans="1:8" ht="21" x14ac:dyDescent="0.25">
      <c r="A2531" s="2" t="str">
        <f t="shared" si="93"/>
        <v>BSGatlas-operon-1342</v>
      </c>
      <c r="B2531" s="2" t="str">
        <f>HYPERLINK("https://rth.dk/resources/bsgatlas/details.php?id=BSGatlas-gene-2785","BSGatlas-gene-2785")</f>
        <v>BSGatlas-gene-2785</v>
      </c>
      <c r="C2531" s="1" t="s">
        <v>2519</v>
      </c>
      <c r="D2531" s="1" t="s">
        <v>8</v>
      </c>
      <c r="E2531" s="3">
        <v>2464562</v>
      </c>
      <c r="F2531" s="3">
        <v>2465800</v>
      </c>
      <c r="G2531" s="1" t="s">
        <v>13</v>
      </c>
      <c r="H2531" s="1" t="b">
        <f t="shared" si="92"/>
        <v>0</v>
      </c>
    </row>
    <row r="2532" spans="1:8" ht="21" x14ac:dyDescent="0.25">
      <c r="A2532" s="2" t="str">
        <f>HYPERLINK("https://rth.dk/resources/bsgatlas/details.php?id=BSGatlas-operon-1343","BSGatlas-operon-1343")</f>
        <v>BSGatlas-operon-1343</v>
      </c>
      <c r="B2532" s="2" t="str">
        <f>HYPERLINK("https://rth.dk/resources/bsgatlas/details.php?id=BSGatlas-gene-2786","BSGatlas-gene-2786")</f>
        <v>BSGatlas-gene-2786</v>
      </c>
      <c r="C2532" s="1" t="s">
        <v>2520</v>
      </c>
      <c r="D2532" s="1" t="s">
        <v>8</v>
      </c>
      <c r="E2532" s="3">
        <v>2465966</v>
      </c>
      <c r="F2532" s="3">
        <v>2466172</v>
      </c>
      <c r="G2532" s="1" t="s">
        <v>9</v>
      </c>
      <c r="H2532" s="1" t="b">
        <f t="shared" si="92"/>
        <v>1</v>
      </c>
    </row>
    <row r="2533" spans="1:8" ht="21" x14ac:dyDescent="0.25">
      <c r="A2533" s="2" t="str">
        <f>HYPERLINK("https://rth.dk/resources/bsgatlas/details.php?id=BSGatlas-operon-1344","BSGatlas-operon-1344")</f>
        <v>BSGatlas-operon-1344</v>
      </c>
      <c r="B2533" s="2" t="str">
        <f>HYPERLINK("https://rth.dk/resources/bsgatlas/details.php?id=BSGatlas-gene-2787","BSGatlas-gene-2787")</f>
        <v>BSGatlas-gene-2787</v>
      </c>
      <c r="C2533" s="1" t="s">
        <v>2521</v>
      </c>
      <c r="D2533" s="1" t="s">
        <v>8</v>
      </c>
      <c r="E2533" s="3">
        <v>2466721</v>
      </c>
      <c r="F2533" s="3">
        <v>2467953</v>
      </c>
      <c r="G2533" s="1" t="s">
        <v>9</v>
      </c>
      <c r="H2533" s="1" t="b">
        <f t="shared" si="92"/>
        <v>0</v>
      </c>
    </row>
    <row r="2534" spans="1:8" ht="21" x14ac:dyDescent="0.25">
      <c r="A2534" s="2" t="str">
        <f>HYPERLINK("https://rth.dk/resources/bsgatlas/details.php?id=BSGatlas-operon-1344","BSGatlas-operon-1344")</f>
        <v>BSGatlas-operon-1344</v>
      </c>
      <c r="B2534" s="2" t="str">
        <f>HYPERLINK("https://rth.dk/resources/bsgatlas/details.php?id=BSGatlas-gene-2788","BSGatlas-gene-2788")</f>
        <v>BSGatlas-gene-2788</v>
      </c>
      <c r="C2534" s="1" t="s">
        <v>2522</v>
      </c>
      <c r="D2534" s="1" t="s">
        <v>8</v>
      </c>
      <c r="E2534" s="3">
        <v>2467800</v>
      </c>
      <c r="F2534" s="3">
        <v>2468162</v>
      </c>
      <c r="G2534" s="1" t="s">
        <v>9</v>
      </c>
      <c r="H2534" s="1" t="b">
        <f t="shared" si="92"/>
        <v>0</v>
      </c>
    </row>
    <row r="2535" spans="1:8" ht="21" x14ac:dyDescent="0.25">
      <c r="A2535" s="2" t="str">
        <f>HYPERLINK("https://rth.dk/resources/bsgatlas/details.php?id=BSGatlas-operon-1344","BSGatlas-operon-1344")</f>
        <v>BSGatlas-operon-1344</v>
      </c>
      <c r="B2535" s="2" t="str">
        <f>HYPERLINK("https://rth.dk/resources/bsgatlas/details.php?id=BSGatlas-gene-2789","BSGatlas-gene-2789")</f>
        <v>BSGatlas-gene-2789</v>
      </c>
      <c r="C2535" s="1" t="s">
        <v>2522</v>
      </c>
      <c r="D2535" s="1" t="s">
        <v>8</v>
      </c>
      <c r="E2535" s="3">
        <v>2467971</v>
      </c>
      <c r="F2535" s="3">
        <v>2468162</v>
      </c>
      <c r="G2535" s="1" t="s">
        <v>9</v>
      </c>
      <c r="H2535" s="1" t="b">
        <f t="shared" si="92"/>
        <v>0</v>
      </c>
    </row>
    <row r="2536" spans="1:8" ht="21" x14ac:dyDescent="0.25">
      <c r="A2536" s="2" t="str">
        <f>HYPERLINK("https://rth.dk/resources/bsgatlas/details.php?id=BSGatlas-operon-1345","BSGatlas-operon-1345")</f>
        <v>BSGatlas-operon-1345</v>
      </c>
      <c r="B2536" s="2" t="str">
        <f>HYPERLINK("https://rth.dk/resources/bsgatlas/details.php?id=BSGatlas-gene-2790","BSGatlas-gene-2790")</f>
        <v>BSGatlas-gene-2790</v>
      </c>
      <c r="C2536" s="1" t="s">
        <v>2523</v>
      </c>
      <c r="D2536" s="1" t="s">
        <v>8</v>
      </c>
      <c r="E2536" s="3">
        <v>2468159</v>
      </c>
      <c r="F2536" s="3">
        <v>2468545</v>
      </c>
      <c r="G2536" s="1" t="s">
        <v>13</v>
      </c>
      <c r="H2536" s="1" t="b">
        <f t="shared" si="92"/>
        <v>1</v>
      </c>
    </row>
    <row r="2537" spans="1:8" ht="21" x14ac:dyDescent="0.25">
      <c r="A2537" s="2" t="str">
        <f>HYPERLINK("https://rth.dk/resources/bsgatlas/details.php?id=BSGatlas-operon-1345","BSGatlas-operon-1345")</f>
        <v>BSGatlas-operon-1345</v>
      </c>
      <c r="B2537" s="2" t="str">
        <f>HYPERLINK("https://rth.dk/resources/bsgatlas/details.php?id=BSGatlas-gene-2791","BSGatlas-gene-2791")</f>
        <v>BSGatlas-gene-2791</v>
      </c>
      <c r="C2537" s="1" t="s">
        <v>2524</v>
      </c>
      <c r="D2537" s="1" t="s">
        <v>8</v>
      </c>
      <c r="E2537" s="3">
        <v>2468549</v>
      </c>
      <c r="F2537" s="3">
        <v>2469508</v>
      </c>
      <c r="G2537" s="1" t="s">
        <v>13</v>
      </c>
      <c r="H2537" s="1" t="b">
        <f t="shared" si="92"/>
        <v>1</v>
      </c>
    </row>
    <row r="2538" spans="1:8" ht="21" x14ac:dyDescent="0.25">
      <c r="A2538" s="2" t="str">
        <f>HYPERLINK("https://rth.dk/resources/bsgatlas/details.php?id=BSGatlas-operon-1345","BSGatlas-operon-1345")</f>
        <v>BSGatlas-operon-1345</v>
      </c>
      <c r="B2538" s="2" t="str">
        <f>HYPERLINK("https://rth.dk/resources/bsgatlas/details.php?id=BSGatlas-gene-2792","BSGatlas-gene-2792")</f>
        <v>BSGatlas-gene-2792</v>
      </c>
      <c r="C2538" s="1" t="s">
        <v>2525</v>
      </c>
      <c r="D2538" s="1" t="s">
        <v>8</v>
      </c>
      <c r="E2538" s="3">
        <v>2469580</v>
      </c>
      <c r="F2538" s="3">
        <v>2470926</v>
      </c>
      <c r="G2538" s="1" t="s">
        <v>13</v>
      </c>
      <c r="H2538" s="1" t="b">
        <f t="shared" si="92"/>
        <v>1</v>
      </c>
    </row>
    <row r="2539" spans="1:8" ht="21" x14ac:dyDescent="0.25">
      <c r="A2539" s="2" t="str">
        <f>HYPERLINK("https://rth.dk/resources/bsgatlas/details.php?id=BSGatlas-operon-1345","BSGatlas-operon-1345")</f>
        <v>BSGatlas-operon-1345</v>
      </c>
      <c r="B2539" s="2" t="str">
        <f>HYPERLINK("https://rth.dk/resources/bsgatlas/details.php?id=BSGatlas-gene-2793","BSGatlas-gene-2793")</f>
        <v>BSGatlas-gene-2793</v>
      </c>
      <c r="C2539" s="1" t="s">
        <v>2526</v>
      </c>
      <c r="D2539" s="1" t="s">
        <v>8</v>
      </c>
      <c r="E2539" s="3">
        <v>2471002</v>
      </c>
      <c r="F2539" s="3">
        <v>2471781</v>
      </c>
      <c r="G2539" s="1" t="s">
        <v>13</v>
      </c>
      <c r="H2539" s="1" t="b">
        <f t="shared" si="92"/>
        <v>1</v>
      </c>
    </row>
    <row r="2540" spans="1:8" ht="21" x14ac:dyDescent="0.25">
      <c r="A2540" s="2" t="str">
        <f>HYPERLINK("https://rth.dk/resources/bsgatlas/details.php?id=BSGatlas-operon-1345","BSGatlas-operon-1345")</f>
        <v>BSGatlas-operon-1345</v>
      </c>
      <c r="B2540" s="2" t="str">
        <f>HYPERLINK("https://rth.dk/resources/bsgatlas/details.php?id=BSGatlas-gene-2794","BSGatlas-gene-2794")</f>
        <v>BSGatlas-gene-2794</v>
      </c>
      <c r="C2540" s="1" t="s">
        <v>2527</v>
      </c>
      <c r="D2540" s="1" t="s">
        <v>8</v>
      </c>
      <c r="E2540" s="3">
        <v>2471787</v>
      </c>
      <c r="F2540" s="3">
        <v>2472746</v>
      </c>
      <c r="G2540" s="1" t="s">
        <v>13</v>
      </c>
      <c r="H2540" s="1" t="b">
        <f t="shared" si="92"/>
        <v>1</v>
      </c>
    </row>
    <row r="2541" spans="1:8" ht="21" x14ac:dyDescent="0.25">
      <c r="A2541" s="2" t="str">
        <f>HYPERLINK("https://rth.dk/resources/bsgatlas/details.php?id=BSGatlas-operon-1346","BSGatlas-operon-1346")</f>
        <v>BSGatlas-operon-1346</v>
      </c>
      <c r="B2541" s="2" t="str">
        <f>HYPERLINK("https://rth.dk/resources/bsgatlas/details.php?id=BSGatlas-gene-2795","BSGatlas-gene-2795")</f>
        <v>BSGatlas-gene-2795</v>
      </c>
      <c r="C2541" s="1" t="s">
        <v>2528</v>
      </c>
      <c r="D2541" s="1" t="s">
        <v>34</v>
      </c>
      <c r="E2541" s="3">
        <v>2472880</v>
      </c>
      <c r="F2541" s="3">
        <v>2473125</v>
      </c>
      <c r="G2541" s="1" t="s">
        <v>9</v>
      </c>
      <c r="H2541" s="1" t="b">
        <f t="shared" si="92"/>
        <v>0</v>
      </c>
    </row>
    <row r="2542" spans="1:8" ht="21" x14ac:dyDescent="0.25">
      <c r="A2542" s="2" t="str">
        <f>HYPERLINK("https://rth.dk/resources/bsgatlas/details.php?id=BSGatlas-operon-1347","BSGatlas-operon-1347")</f>
        <v>BSGatlas-operon-1347</v>
      </c>
      <c r="B2542" s="2" t="str">
        <f>HYPERLINK("https://rth.dk/resources/bsgatlas/details.php?id=BSGatlas-gene-2796","BSGatlas-gene-2796")</f>
        <v>BSGatlas-gene-2796</v>
      </c>
      <c r="C2542" s="1" t="s">
        <v>2529</v>
      </c>
      <c r="D2542" s="1" t="s">
        <v>8</v>
      </c>
      <c r="E2542" s="3">
        <v>2473151</v>
      </c>
      <c r="F2542" s="3">
        <v>2473987</v>
      </c>
      <c r="G2542" s="1" t="s">
        <v>9</v>
      </c>
      <c r="H2542" s="1" t="b">
        <f t="shared" si="92"/>
        <v>1</v>
      </c>
    </row>
    <row r="2543" spans="1:8" ht="21" x14ac:dyDescent="0.25">
      <c r="A2543" s="2" t="str">
        <f>HYPERLINK("https://rth.dk/resources/bsgatlas/details.php?id=BSGatlas-operon-1348","BSGatlas-operon-1348")</f>
        <v>BSGatlas-operon-1348</v>
      </c>
      <c r="B2543" s="2" t="str">
        <f>HYPERLINK("https://rth.dk/resources/bsgatlas/details.php?id=BSGatlas-gene-2797","BSGatlas-gene-2797")</f>
        <v>BSGatlas-gene-2797</v>
      </c>
      <c r="C2543" s="1" t="s">
        <v>2530</v>
      </c>
      <c r="D2543" s="1" t="s">
        <v>8</v>
      </c>
      <c r="E2543" s="3">
        <v>2474028</v>
      </c>
      <c r="F2543" s="3">
        <v>2475671</v>
      </c>
      <c r="G2543" s="1" t="s">
        <v>13</v>
      </c>
      <c r="H2543" s="1" t="b">
        <f t="shared" si="92"/>
        <v>0</v>
      </c>
    </row>
    <row r="2544" spans="1:8" ht="21" x14ac:dyDescent="0.25">
      <c r="A2544" s="2" t="str">
        <f>HYPERLINK("https://rth.dk/resources/bsgatlas/details.php?id=BSGatlas-operon-1349","BSGatlas-operon-1349")</f>
        <v>BSGatlas-operon-1349</v>
      </c>
      <c r="B2544" s="2" t="str">
        <f>HYPERLINK("https://rth.dk/resources/bsgatlas/details.php?id=BSGatlas-gene-2798","BSGatlas-gene-2798")</f>
        <v>BSGatlas-gene-2798</v>
      </c>
      <c r="C2544" s="1" t="s">
        <v>2531</v>
      </c>
      <c r="D2544" s="1" t="s">
        <v>8</v>
      </c>
      <c r="E2544" s="3">
        <v>2475843</v>
      </c>
      <c r="F2544" s="3">
        <v>2476859</v>
      </c>
      <c r="G2544" s="1" t="s">
        <v>9</v>
      </c>
      <c r="H2544" s="1" t="b">
        <f t="shared" si="92"/>
        <v>1</v>
      </c>
    </row>
    <row r="2545" spans="1:8" ht="21" x14ac:dyDescent="0.25">
      <c r="A2545" s="2" t="str">
        <f>HYPERLINK("https://rth.dk/resources/bsgatlas/details.php?id=BSGatlas-operon-1350","BSGatlas-operon-1350")</f>
        <v>BSGatlas-operon-1350</v>
      </c>
      <c r="B2545" s="2" t="str">
        <f>HYPERLINK("https://rth.dk/resources/bsgatlas/details.php?id=BSGatlas-gene-2799","BSGatlas-gene-2799")</f>
        <v>BSGatlas-gene-2799</v>
      </c>
      <c r="C2545" s="1" t="s">
        <v>2532</v>
      </c>
      <c r="D2545" s="1" t="s">
        <v>8</v>
      </c>
      <c r="E2545" s="3">
        <v>2476969</v>
      </c>
      <c r="F2545" s="3">
        <v>2477730</v>
      </c>
      <c r="G2545" s="1" t="s">
        <v>9</v>
      </c>
      <c r="H2545" s="1" t="b">
        <f t="shared" si="92"/>
        <v>0</v>
      </c>
    </row>
    <row r="2546" spans="1:8" ht="21" x14ac:dyDescent="0.25">
      <c r="A2546" s="2" t="str">
        <f>HYPERLINK("https://rth.dk/resources/bsgatlas/details.php?id=BSGatlas-operon-1351","BSGatlas-operon-1351")</f>
        <v>BSGatlas-operon-1351</v>
      </c>
      <c r="B2546" s="2" t="str">
        <f>HYPERLINK("https://rth.dk/resources/bsgatlas/details.php?id=BSGatlas-gene-2800","BSGatlas-gene-2800")</f>
        <v>BSGatlas-gene-2800</v>
      </c>
      <c r="C2546" s="1" t="s">
        <v>2533</v>
      </c>
      <c r="D2546" s="1" t="s">
        <v>12</v>
      </c>
      <c r="E2546" s="3">
        <v>2477751</v>
      </c>
      <c r="F2546" s="3">
        <v>2477925</v>
      </c>
      <c r="G2546" s="1" t="s">
        <v>13</v>
      </c>
      <c r="H2546" s="1" t="b">
        <f t="shared" si="92"/>
        <v>1</v>
      </c>
    </row>
    <row r="2547" spans="1:8" ht="21" x14ac:dyDescent="0.25">
      <c r="A2547" s="2" t="str">
        <f>HYPERLINK("https://rth.dk/resources/bsgatlas/details.php?id=BSGatlas-operon-1351","BSGatlas-operon-1351")</f>
        <v>BSGatlas-operon-1351</v>
      </c>
      <c r="B2547" s="2" t="str">
        <f>HYPERLINK("https://rth.dk/resources/bsgatlas/details.php?id=BSGatlas-gene-2801","BSGatlas-gene-2801")</f>
        <v>BSGatlas-gene-2801</v>
      </c>
      <c r="C2547" s="1" t="s">
        <v>2534</v>
      </c>
      <c r="D2547" s="1" t="s">
        <v>276</v>
      </c>
      <c r="E2547" s="3">
        <v>2477777</v>
      </c>
      <c r="F2547" s="3">
        <v>2477899</v>
      </c>
      <c r="G2547" s="1" t="s">
        <v>13</v>
      </c>
      <c r="H2547" s="1" t="b">
        <f t="shared" si="92"/>
        <v>1</v>
      </c>
    </row>
    <row r="2548" spans="1:8" ht="21" x14ac:dyDescent="0.25">
      <c r="A2548" s="2" t="str">
        <f>HYPERLINK("https://rth.dk/resources/bsgatlas/details.php?id=BSGatlas-operon-1351","BSGatlas-operon-1351")</f>
        <v>BSGatlas-operon-1351</v>
      </c>
      <c r="B2548" s="2" t="str">
        <f>HYPERLINK("https://rth.dk/resources/bsgatlas/details.php?id=BSGatlas-gene-2802","BSGatlas-gene-2802")</f>
        <v>BSGatlas-gene-2802</v>
      </c>
      <c r="C2548" s="1" t="s">
        <v>2535</v>
      </c>
      <c r="D2548" s="1" t="s">
        <v>276</v>
      </c>
      <c r="E2548" s="3">
        <v>2477892</v>
      </c>
      <c r="F2548" s="3">
        <v>2477924</v>
      </c>
      <c r="G2548" s="1" t="s">
        <v>13</v>
      </c>
      <c r="H2548" s="1" t="b">
        <f t="shared" si="92"/>
        <v>1</v>
      </c>
    </row>
    <row r="2549" spans="1:8" ht="21" x14ac:dyDescent="0.25">
      <c r="A2549" s="2" t="str">
        <f>HYPERLINK("https://rth.dk/resources/bsgatlas/details.php?id=BSGatlas-operon-1351","BSGatlas-operon-1351")</f>
        <v>BSGatlas-operon-1351</v>
      </c>
      <c r="B2549" s="2" t="str">
        <f>HYPERLINK("https://rth.dk/resources/bsgatlas/details.php?id=BSGatlas-gene-2803","BSGatlas-gene-2803")</f>
        <v>BSGatlas-gene-2803</v>
      </c>
      <c r="C2549" s="1" t="s">
        <v>2536</v>
      </c>
      <c r="D2549" s="1" t="s">
        <v>8</v>
      </c>
      <c r="E2549" s="3">
        <v>2478006</v>
      </c>
      <c r="F2549" s="3">
        <v>2478929</v>
      </c>
      <c r="G2549" s="1" t="s">
        <v>13</v>
      </c>
      <c r="H2549" s="1" t="b">
        <f t="shared" si="92"/>
        <v>1</v>
      </c>
    </row>
    <row r="2550" spans="1:8" ht="21" x14ac:dyDescent="0.25">
      <c r="A2550" s="2" t="str">
        <f>HYPERLINK("https://rth.dk/resources/bsgatlas/details.php?id=BSGatlas-operon-1352","BSGatlas-operon-1352")</f>
        <v>BSGatlas-operon-1352</v>
      </c>
      <c r="B2550" s="2" t="str">
        <f>HYPERLINK("https://rth.dk/resources/bsgatlas/details.php?id=BSGatlas-gene-2804","BSGatlas-gene-2804")</f>
        <v>BSGatlas-gene-2804</v>
      </c>
      <c r="C2550" s="1" t="s">
        <v>2537</v>
      </c>
      <c r="D2550" s="1" t="s">
        <v>8</v>
      </c>
      <c r="E2550" s="3">
        <v>2479156</v>
      </c>
      <c r="F2550" s="3">
        <v>2480625</v>
      </c>
      <c r="G2550" s="1" t="s">
        <v>9</v>
      </c>
      <c r="H2550" s="1" t="b">
        <f t="shared" si="92"/>
        <v>0</v>
      </c>
    </row>
    <row r="2551" spans="1:8" ht="21" x14ac:dyDescent="0.25">
      <c r="A2551" s="2" t="str">
        <f>HYPERLINK("https://rth.dk/resources/bsgatlas/details.php?id=BSGatlas-operon-1353","BSGatlas-operon-1353")</f>
        <v>BSGatlas-operon-1353</v>
      </c>
      <c r="B2551" s="2" t="str">
        <f>HYPERLINK("https://rth.dk/resources/bsgatlas/details.php?id=BSGatlas-gene-2805","BSGatlas-gene-2805")</f>
        <v>BSGatlas-gene-2805</v>
      </c>
      <c r="C2551" s="1" t="s">
        <v>2538</v>
      </c>
      <c r="D2551" s="1" t="s">
        <v>8</v>
      </c>
      <c r="E2551" s="3">
        <v>2480750</v>
      </c>
      <c r="F2551" s="3">
        <v>2482159</v>
      </c>
      <c r="G2551" s="1" t="s">
        <v>13</v>
      </c>
      <c r="H2551" s="1" t="b">
        <f t="shared" si="92"/>
        <v>1</v>
      </c>
    </row>
    <row r="2552" spans="1:8" ht="21" x14ac:dyDescent="0.25">
      <c r="A2552" s="2" t="str">
        <f>HYPERLINK("https://rth.dk/resources/bsgatlas/details.php?id=BSGatlas-operon-1353","BSGatlas-operon-1353")</f>
        <v>BSGatlas-operon-1353</v>
      </c>
      <c r="B2552" s="2" t="str">
        <f>HYPERLINK("https://rth.dk/resources/bsgatlas/details.php?id=BSGatlas-gene-2806","BSGatlas-gene-2806")</f>
        <v>BSGatlas-gene-2806</v>
      </c>
      <c r="C2552" s="1" t="s">
        <v>2539</v>
      </c>
      <c r="D2552" s="1" t="s">
        <v>8</v>
      </c>
      <c r="E2552" s="3">
        <v>2482269</v>
      </c>
      <c r="F2552" s="3">
        <v>2483513</v>
      </c>
      <c r="G2552" s="1" t="s">
        <v>13</v>
      </c>
      <c r="H2552" s="1" t="b">
        <f t="shared" si="92"/>
        <v>1</v>
      </c>
    </row>
    <row r="2553" spans="1:8" ht="21" x14ac:dyDescent="0.25">
      <c r="A2553" s="2" t="str">
        <f>HYPERLINK("https://rth.dk/resources/bsgatlas/details.php?id=BSGatlas-operon-1354","BSGatlas-operon-1354")</f>
        <v>BSGatlas-operon-1354</v>
      </c>
      <c r="B2553" s="2" t="str">
        <f>HYPERLINK("https://rth.dk/resources/bsgatlas/details.php?id=BSGatlas-gene-2807","BSGatlas-gene-2807")</f>
        <v>BSGatlas-gene-2807</v>
      </c>
      <c r="C2553" s="1" t="s">
        <v>2540</v>
      </c>
      <c r="D2553" s="1" t="s">
        <v>8</v>
      </c>
      <c r="E2553" s="3">
        <v>2483586</v>
      </c>
      <c r="F2553" s="3">
        <v>2483873</v>
      </c>
      <c r="G2553" s="1" t="s">
        <v>9</v>
      </c>
      <c r="H2553" s="1" t="b">
        <f t="shared" si="92"/>
        <v>0</v>
      </c>
    </row>
    <row r="2554" spans="1:8" ht="21" x14ac:dyDescent="0.25">
      <c r="A2554" s="2" t="str">
        <f>HYPERLINK("https://rth.dk/resources/bsgatlas/details.php?id=BSGatlas-operon-1354","BSGatlas-operon-1354")</f>
        <v>BSGatlas-operon-1354</v>
      </c>
      <c r="B2554" s="2" t="str">
        <f>HYPERLINK("https://rth.dk/resources/bsgatlas/details.php?id=BSGatlas-gene-2808","BSGatlas-gene-2808")</f>
        <v>BSGatlas-gene-2808</v>
      </c>
      <c r="C2554" s="1" t="s">
        <v>2541</v>
      </c>
      <c r="D2554" s="1" t="s">
        <v>8</v>
      </c>
      <c r="E2554" s="3">
        <v>2483904</v>
      </c>
      <c r="F2554" s="3">
        <v>2484731</v>
      </c>
      <c r="G2554" s="1" t="s">
        <v>9</v>
      </c>
      <c r="H2554" s="1" t="b">
        <f t="shared" si="92"/>
        <v>0</v>
      </c>
    </row>
    <row r="2555" spans="1:8" ht="21" x14ac:dyDescent="0.25">
      <c r="A2555" s="2" t="str">
        <f>HYPERLINK("https://rth.dk/resources/bsgatlas/details.php?id=BSGatlas-operon-1355","BSGatlas-operon-1355")</f>
        <v>BSGatlas-operon-1355</v>
      </c>
      <c r="B2555" s="2" t="str">
        <f>HYPERLINK("https://rth.dk/resources/bsgatlas/details.php?id=BSGatlas-gene-2810","BSGatlas-gene-2810")</f>
        <v>BSGatlas-gene-2810</v>
      </c>
      <c r="C2555" s="1" t="s">
        <v>2542</v>
      </c>
      <c r="D2555" s="1" t="s">
        <v>8</v>
      </c>
      <c r="E2555" s="3">
        <v>2485680</v>
      </c>
      <c r="F2555" s="3">
        <v>2486795</v>
      </c>
      <c r="G2555" s="1" t="s">
        <v>13</v>
      </c>
      <c r="H2555" s="1" t="b">
        <f t="shared" si="92"/>
        <v>1</v>
      </c>
    </row>
    <row r="2556" spans="1:8" ht="21" x14ac:dyDescent="0.25">
      <c r="A2556" s="2" t="str">
        <f>HYPERLINK("https://rth.dk/resources/bsgatlas/details.php?id=BSGatlas-operon-1356","BSGatlas-operon-1356")</f>
        <v>BSGatlas-operon-1356</v>
      </c>
      <c r="B2556" s="2" t="str">
        <f>HYPERLINK("https://rth.dk/resources/bsgatlas/details.php?id=BSGatlas-gene-2809","BSGatlas-gene-2809")</f>
        <v>BSGatlas-gene-2809</v>
      </c>
      <c r="C2556" s="1" t="s">
        <v>2543</v>
      </c>
      <c r="D2556" s="1" t="s">
        <v>8</v>
      </c>
      <c r="E2556" s="3">
        <v>2484911</v>
      </c>
      <c r="F2556" s="3">
        <v>2485639</v>
      </c>
      <c r="G2556" s="1" t="s">
        <v>9</v>
      </c>
      <c r="H2556" s="1" t="b">
        <f t="shared" si="92"/>
        <v>0</v>
      </c>
    </row>
    <row r="2557" spans="1:8" ht="21" x14ac:dyDescent="0.25">
      <c r="A2557" s="2" t="str">
        <f>HYPERLINK("https://rth.dk/resources/bsgatlas/details.php?id=BSGatlas-operon-1357","BSGatlas-operon-1357")</f>
        <v>BSGatlas-operon-1357</v>
      </c>
      <c r="B2557" s="2" t="str">
        <f>HYPERLINK("https://rth.dk/resources/bsgatlas/details.php?id=BSGatlas-gene-2811","BSGatlas-gene-2811")</f>
        <v>BSGatlas-gene-2811</v>
      </c>
      <c r="C2557" s="1" t="s">
        <v>2544</v>
      </c>
      <c r="D2557" s="1" t="s">
        <v>8</v>
      </c>
      <c r="E2557" s="3">
        <v>2486813</v>
      </c>
      <c r="F2557" s="3">
        <v>2488336</v>
      </c>
      <c r="G2557" s="1" t="s">
        <v>13</v>
      </c>
      <c r="H2557" s="1" t="b">
        <f t="shared" si="92"/>
        <v>1</v>
      </c>
    </row>
    <row r="2558" spans="1:8" ht="21" x14ac:dyDescent="0.25">
      <c r="A2558" s="2" t="str">
        <f>HYPERLINK("https://rth.dk/resources/bsgatlas/details.php?id=BSGatlas-operon-1358","BSGatlas-operon-1358")</f>
        <v>BSGatlas-operon-1358</v>
      </c>
      <c r="B2558" s="2" t="str">
        <f>HYPERLINK("https://rth.dk/resources/bsgatlas/details.php?id=BSGatlas-gene-2812","BSGatlas-gene-2812")</f>
        <v>BSGatlas-gene-2812</v>
      </c>
      <c r="C2558" s="1" t="s">
        <v>2545</v>
      </c>
      <c r="D2558" s="1" t="s">
        <v>8</v>
      </c>
      <c r="E2558" s="3">
        <v>2488329</v>
      </c>
      <c r="F2558" s="3">
        <v>2488751</v>
      </c>
      <c r="G2558" s="1" t="s">
        <v>13</v>
      </c>
      <c r="H2558" s="1" t="b">
        <f t="shared" si="92"/>
        <v>0</v>
      </c>
    </row>
    <row r="2559" spans="1:8" ht="21" x14ac:dyDescent="0.25">
      <c r="A2559" s="2" t="str">
        <f>HYPERLINK("https://rth.dk/resources/bsgatlas/details.php?id=BSGatlas-operon-1358","BSGatlas-operon-1358")</f>
        <v>BSGatlas-operon-1358</v>
      </c>
      <c r="B2559" s="2" t="str">
        <f>HYPERLINK("https://rth.dk/resources/bsgatlas/details.php?id=BSGatlas-gene-2814","BSGatlas-gene-2814")</f>
        <v>BSGatlas-gene-2814</v>
      </c>
      <c r="C2559" s="1" t="s">
        <v>2546</v>
      </c>
      <c r="D2559" s="1" t="s">
        <v>8</v>
      </c>
      <c r="E2559" s="3">
        <v>2488953</v>
      </c>
      <c r="F2559" s="3">
        <v>2489483</v>
      </c>
      <c r="G2559" s="1" t="s">
        <v>13</v>
      </c>
      <c r="H2559" s="1" t="b">
        <f t="shared" si="92"/>
        <v>0</v>
      </c>
    </row>
    <row r="2560" spans="1:8" ht="21" x14ac:dyDescent="0.25">
      <c r="A2560" s="2" t="str">
        <f>HYPERLINK("https://rth.dk/resources/bsgatlas/details.php?id=BSGatlas-operon-1359","BSGatlas-operon-1359")</f>
        <v>BSGatlas-operon-1359</v>
      </c>
      <c r="B2560" s="2" t="str">
        <f>HYPERLINK("https://rth.dk/resources/bsgatlas/details.php?id=BSGatlas-gene-2813","BSGatlas-gene-2813")</f>
        <v>BSGatlas-gene-2813</v>
      </c>
      <c r="C2560" s="1" t="s">
        <v>2547</v>
      </c>
      <c r="D2560" s="1" t="s">
        <v>12</v>
      </c>
      <c r="E2560" s="3">
        <v>2488824</v>
      </c>
      <c r="F2560" s="3">
        <v>2488976</v>
      </c>
      <c r="G2560" s="1" t="s">
        <v>9</v>
      </c>
      <c r="H2560" s="1" t="b">
        <f t="shared" si="92"/>
        <v>1</v>
      </c>
    </row>
    <row r="2561" spans="1:8" ht="21" x14ac:dyDescent="0.25">
      <c r="A2561" s="2" t="str">
        <f>HYPERLINK("https://rth.dk/resources/bsgatlas/details.php?id=BSGatlas-operon-1360","BSGatlas-operon-1360")</f>
        <v>BSGatlas-operon-1360</v>
      </c>
      <c r="B2561" s="2" t="str">
        <f>HYPERLINK("https://rth.dk/resources/bsgatlas/details.php?id=BSGatlas-gene-2815","BSGatlas-gene-2815")</f>
        <v>BSGatlas-gene-2815</v>
      </c>
      <c r="C2561" s="1" t="s">
        <v>2548</v>
      </c>
      <c r="D2561" s="1" t="s">
        <v>8</v>
      </c>
      <c r="E2561" s="3">
        <v>2489535</v>
      </c>
      <c r="F2561" s="3">
        <v>2490503</v>
      </c>
      <c r="G2561" s="1" t="s">
        <v>13</v>
      </c>
      <c r="H2561" s="1" t="b">
        <f t="shared" si="92"/>
        <v>0</v>
      </c>
    </row>
    <row r="2562" spans="1:8" ht="21" x14ac:dyDescent="0.25">
      <c r="A2562" s="2" t="str">
        <f>HYPERLINK("https://rth.dk/resources/bsgatlas/details.php?id=BSGatlas-operon-1361","BSGatlas-operon-1361")</f>
        <v>BSGatlas-operon-1361</v>
      </c>
      <c r="B2562" s="2" t="str">
        <f>HYPERLINK("https://rth.dk/resources/bsgatlas/details.php?id=BSGatlas-gene-2816","BSGatlas-gene-2816")</f>
        <v>BSGatlas-gene-2816</v>
      </c>
      <c r="C2562" s="1" t="s">
        <v>2549</v>
      </c>
      <c r="D2562" s="1" t="s">
        <v>8</v>
      </c>
      <c r="E2562" s="3">
        <v>2490574</v>
      </c>
      <c r="F2562" s="3">
        <v>2491296</v>
      </c>
      <c r="G2562" s="1" t="s">
        <v>13</v>
      </c>
      <c r="H2562" s="1" t="b">
        <f t="shared" ref="H2562:H2625" si="94">_xlfn.XOR(A2561&lt;&gt;A2562,H2561)</f>
        <v>1</v>
      </c>
    </row>
    <row r="2563" spans="1:8" ht="21" x14ac:dyDescent="0.25">
      <c r="A2563" s="2" t="str">
        <f>HYPERLINK("https://rth.dk/resources/bsgatlas/details.php?id=BSGatlas-operon-1361","BSGatlas-operon-1361")</f>
        <v>BSGatlas-operon-1361</v>
      </c>
      <c r="B2563" s="2" t="str">
        <f>HYPERLINK("https://rth.dk/resources/bsgatlas/details.php?id=BSGatlas-gene-2817","BSGatlas-gene-2817")</f>
        <v>BSGatlas-gene-2817</v>
      </c>
      <c r="C2563" s="1" t="s">
        <v>2550</v>
      </c>
      <c r="D2563" s="1" t="s">
        <v>8</v>
      </c>
      <c r="E2563" s="3">
        <v>2491289</v>
      </c>
      <c r="F2563" s="3">
        <v>2491948</v>
      </c>
      <c r="G2563" s="1" t="s">
        <v>13</v>
      </c>
      <c r="H2563" s="1" t="b">
        <f t="shared" si="94"/>
        <v>1</v>
      </c>
    </row>
    <row r="2564" spans="1:8" ht="21" x14ac:dyDescent="0.25">
      <c r="A2564" s="2" t="str">
        <f>HYPERLINK("https://rth.dk/resources/bsgatlas/details.php?id=BSGatlas-operon-1361","BSGatlas-operon-1361")</f>
        <v>BSGatlas-operon-1361</v>
      </c>
      <c r="B2564" s="2" t="str">
        <f>HYPERLINK("https://rth.dk/resources/bsgatlas/details.php?id=BSGatlas-gene-2818","BSGatlas-gene-2818")</f>
        <v>BSGatlas-gene-2818</v>
      </c>
      <c r="C2564" s="1" t="s">
        <v>2551</v>
      </c>
      <c r="D2564" s="1" t="s">
        <v>8</v>
      </c>
      <c r="E2564" s="3">
        <v>2492029</v>
      </c>
      <c r="F2564" s="3">
        <v>2492796</v>
      </c>
      <c r="G2564" s="1" t="s">
        <v>13</v>
      </c>
      <c r="H2564" s="1" t="b">
        <f t="shared" si="94"/>
        <v>1</v>
      </c>
    </row>
    <row r="2565" spans="1:8" ht="21" x14ac:dyDescent="0.25">
      <c r="A2565" s="2" t="str">
        <f>HYPERLINK("https://rth.dk/resources/bsgatlas/details.php?id=BSGatlas-operon-1362","BSGatlas-operon-1362")</f>
        <v>BSGatlas-operon-1362</v>
      </c>
      <c r="B2565" s="2" t="str">
        <f>HYPERLINK("https://rth.dk/resources/bsgatlas/details.php?id=BSGatlas-gene-2819","BSGatlas-gene-2819")</f>
        <v>BSGatlas-gene-2819</v>
      </c>
      <c r="C2565" s="1" t="s">
        <v>2552</v>
      </c>
      <c r="D2565" s="1" t="s">
        <v>8</v>
      </c>
      <c r="E2565" s="3">
        <v>2493064</v>
      </c>
      <c r="F2565" s="3">
        <v>2493501</v>
      </c>
      <c r="G2565" s="1" t="s">
        <v>13</v>
      </c>
      <c r="H2565" s="1" t="b">
        <f t="shared" si="94"/>
        <v>0</v>
      </c>
    </row>
    <row r="2566" spans="1:8" ht="21" x14ac:dyDescent="0.25">
      <c r="A2566" s="2" t="str">
        <f>HYPERLINK("https://rth.dk/resources/bsgatlas/details.php?id=BSGatlas-operon-1363","BSGatlas-operon-1363")</f>
        <v>BSGatlas-operon-1363</v>
      </c>
      <c r="B2566" s="2" t="str">
        <f>HYPERLINK("https://rth.dk/resources/bsgatlas/details.php?id=BSGatlas-gene-2820","BSGatlas-gene-2820")</f>
        <v>BSGatlas-gene-2820</v>
      </c>
      <c r="C2566" s="1" t="s">
        <v>2553</v>
      </c>
      <c r="D2566" s="1" t="s">
        <v>8</v>
      </c>
      <c r="E2566" s="3">
        <v>2493662</v>
      </c>
      <c r="F2566" s="3">
        <v>2494555</v>
      </c>
      <c r="G2566" s="1" t="s">
        <v>9</v>
      </c>
      <c r="H2566" s="1" t="b">
        <f t="shared" si="94"/>
        <v>1</v>
      </c>
    </row>
    <row r="2567" spans="1:8" ht="21" x14ac:dyDescent="0.25">
      <c r="A2567" s="2" t="str">
        <f>HYPERLINK("https://rth.dk/resources/bsgatlas/details.php?id=BSGatlas-operon-1363","BSGatlas-operon-1363")</f>
        <v>BSGatlas-operon-1363</v>
      </c>
      <c r="B2567" s="2" t="str">
        <f>HYPERLINK("https://rth.dk/resources/bsgatlas/details.php?id=BSGatlas-gene-2821","BSGatlas-gene-2821")</f>
        <v>BSGatlas-gene-2821</v>
      </c>
      <c r="C2567" s="1" t="s">
        <v>2554</v>
      </c>
      <c r="D2567" s="1" t="s">
        <v>8</v>
      </c>
      <c r="E2567" s="3">
        <v>2494656</v>
      </c>
      <c r="F2567" s="3">
        <v>2495825</v>
      </c>
      <c r="G2567" s="1" t="s">
        <v>9</v>
      </c>
      <c r="H2567" s="1" t="b">
        <f t="shared" si="94"/>
        <v>1</v>
      </c>
    </row>
    <row r="2568" spans="1:8" ht="21" x14ac:dyDescent="0.25">
      <c r="A2568" s="2" t="str">
        <f>HYPERLINK("https://rth.dk/resources/bsgatlas/details.php?id=BSGatlas-operon-1363","BSGatlas-operon-1363")</f>
        <v>BSGatlas-operon-1363</v>
      </c>
      <c r="B2568" s="2" t="str">
        <f>HYPERLINK("https://rth.dk/resources/bsgatlas/details.php?id=BSGatlas-gene-2822","BSGatlas-gene-2822")</f>
        <v>BSGatlas-gene-2822</v>
      </c>
      <c r="C2568" s="1" t="s">
        <v>2555</v>
      </c>
      <c r="D2568" s="1" t="s">
        <v>8</v>
      </c>
      <c r="E2568" s="3">
        <v>2495898</v>
      </c>
      <c r="F2568" s="3">
        <v>2496734</v>
      </c>
      <c r="G2568" s="1" t="s">
        <v>9</v>
      </c>
      <c r="H2568" s="1" t="b">
        <f t="shared" si="94"/>
        <v>1</v>
      </c>
    </row>
    <row r="2569" spans="1:8" ht="21" x14ac:dyDescent="0.25">
      <c r="A2569" s="2" t="str">
        <f t="shared" ref="A2569:A2575" si="95">HYPERLINK("https://rth.dk/resources/bsgatlas/details.php?id=BSGatlas-operon-1364","BSGatlas-operon-1364")</f>
        <v>BSGatlas-operon-1364</v>
      </c>
      <c r="B2569" s="2" t="str">
        <f>HYPERLINK("https://rth.dk/resources/bsgatlas/details.php?id=BSGatlas-gene-2823","BSGatlas-gene-2823")</f>
        <v>BSGatlas-gene-2823</v>
      </c>
      <c r="C2569" s="1" t="s">
        <v>2556</v>
      </c>
      <c r="D2569" s="1" t="s">
        <v>8</v>
      </c>
      <c r="E2569" s="3">
        <v>2496796</v>
      </c>
      <c r="F2569" s="3">
        <v>2498070</v>
      </c>
      <c r="G2569" s="1" t="s">
        <v>13</v>
      </c>
      <c r="H2569" s="1" t="b">
        <f t="shared" si="94"/>
        <v>0</v>
      </c>
    </row>
    <row r="2570" spans="1:8" ht="21" x14ac:dyDescent="0.25">
      <c r="A2570" s="2" t="str">
        <f t="shared" si="95"/>
        <v>BSGatlas-operon-1364</v>
      </c>
      <c r="B2570" s="2" t="str">
        <f>HYPERLINK("https://rth.dk/resources/bsgatlas/details.php?id=BSGatlas-gene-2824","BSGatlas-gene-2824")</f>
        <v>BSGatlas-gene-2824</v>
      </c>
      <c r="C2570" s="1" t="s">
        <v>2557</v>
      </c>
      <c r="D2570" s="1" t="s">
        <v>8</v>
      </c>
      <c r="E2570" s="3">
        <v>2498093</v>
      </c>
      <c r="F2570" s="3">
        <v>2499076</v>
      </c>
      <c r="G2570" s="1" t="s">
        <v>13</v>
      </c>
      <c r="H2570" s="1" t="b">
        <f t="shared" si="94"/>
        <v>0</v>
      </c>
    </row>
    <row r="2571" spans="1:8" ht="21" x14ac:dyDescent="0.25">
      <c r="A2571" s="2" t="str">
        <f t="shared" si="95"/>
        <v>BSGatlas-operon-1364</v>
      </c>
      <c r="B2571" s="2" t="str">
        <f>HYPERLINK("https://rth.dk/resources/bsgatlas/details.php?id=BSGatlas-gene-2825","BSGatlas-gene-2825")</f>
        <v>BSGatlas-gene-2825</v>
      </c>
      <c r="C2571" s="1" t="s">
        <v>2558</v>
      </c>
      <c r="D2571" s="1" t="s">
        <v>8</v>
      </c>
      <c r="E2571" s="3">
        <v>2499090</v>
      </c>
      <c r="F2571" s="3">
        <v>2500082</v>
      </c>
      <c r="G2571" s="1" t="s">
        <v>13</v>
      </c>
      <c r="H2571" s="1" t="b">
        <f t="shared" si="94"/>
        <v>0</v>
      </c>
    </row>
    <row r="2572" spans="1:8" ht="21" x14ac:dyDescent="0.25">
      <c r="A2572" s="2" t="str">
        <f t="shared" si="95"/>
        <v>BSGatlas-operon-1364</v>
      </c>
      <c r="B2572" s="2" t="str">
        <f>HYPERLINK("https://rth.dk/resources/bsgatlas/details.php?id=BSGatlas-gene-2826","BSGatlas-gene-2826")</f>
        <v>BSGatlas-gene-2826</v>
      </c>
      <c r="C2572" s="1" t="s">
        <v>2559</v>
      </c>
      <c r="D2572" s="1" t="s">
        <v>8</v>
      </c>
      <c r="E2572" s="3">
        <v>2500104</v>
      </c>
      <c r="F2572" s="3">
        <v>2501528</v>
      </c>
      <c r="G2572" s="1" t="s">
        <v>13</v>
      </c>
      <c r="H2572" s="1" t="b">
        <f t="shared" si="94"/>
        <v>0</v>
      </c>
    </row>
    <row r="2573" spans="1:8" ht="21" x14ac:dyDescent="0.25">
      <c r="A2573" s="2" t="str">
        <f t="shared" si="95"/>
        <v>BSGatlas-operon-1364</v>
      </c>
      <c r="B2573" s="2" t="str">
        <f>HYPERLINK("https://rth.dk/resources/bsgatlas/details.php?id=BSGatlas-gene-2827","BSGatlas-gene-2827")</f>
        <v>BSGatlas-gene-2827</v>
      </c>
      <c r="C2573" s="1" t="s">
        <v>2560</v>
      </c>
      <c r="D2573" s="1" t="s">
        <v>8</v>
      </c>
      <c r="E2573" s="3">
        <v>2501549</v>
      </c>
      <c r="F2573" s="3">
        <v>2502640</v>
      </c>
      <c r="G2573" s="1" t="s">
        <v>13</v>
      </c>
      <c r="H2573" s="1" t="b">
        <f t="shared" si="94"/>
        <v>0</v>
      </c>
    </row>
    <row r="2574" spans="1:8" ht="21" x14ac:dyDescent="0.25">
      <c r="A2574" s="2" t="str">
        <f t="shared" si="95"/>
        <v>BSGatlas-operon-1364</v>
      </c>
      <c r="B2574" s="2" t="str">
        <f>HYPERLINK("https://rth.dk/resources/bsgatlas/details.php?id=BSGatlas-gene-2828","BSGatlas-gene-2828")</f>
        <v>BSGatlas-gene-2828</v>
      </c>
      <c r="C2574" s="1" t="s">
        <v>2561</v>
      </c>
      <c r="D2574" s="1" t="s">
        <v>8</v>
      </c>
      <c r="E2574" s="3">
        <v>2502659</v>
      </c>
      <c r="F2574" s="3">
        <v>2503753</v>
      </c>
      <c r="G2574" s="1" t="s">
        <v>13</v>
      </c>
      <c r="H2574" s="1" t="b">
        <f t="shared" si="94"/>
        <v>0</v>
      </c>
    </row>
    <row r="2575" spans="1:8" ht="21" x14ac:dyDescent="0.25">
      <c r="A2575" s="2" t="str">
        <f t="shared" si="95"/>
        <v>BSGatlas-operon-1364</v>
      </c>
      <c r="B2575" s="2" t="str">
        <f>HYPERLINK("https://rth.dk/resources/bsgatlas/details.php?id=BSGatlas-gene-2829","BSGatlas-gene-2829")</f>
        <v>BSGatlas-gene-2829</v>
      </c>
      <c r="C2575" s="1" t="s">
        <v>2562</v>
      </c>
      <c r="D2575" s="1" t="s">
        <v>8</v>
      </c>
      <c r="E2575" s="3">
        <v>2503765</v>
      </c>
      <c r="F2575" s="3">
        <v>2504664</v>
      </c>
      <c r="G2575" s="1" t="s">
        <v>13</v>
      </c>
      <c r="H2575" s="1" t="b">
        <f t="shared" si="94"/>
        <v>0</v>
      </c>
    </row>
    <row r="2576" spans="1:8" ht="21" x14ac:dyDescent="0.25">
      <c r="A2576" s="2" t="str">
        <f>HYPERLINK("https://rth.dk/resources/bsgatlas/details.php?id=BSGatlas-operon-1365","BSGatlas-operon-1365")</f>
        <v>BSGatlas-operon-1365</v>
      </c>
      <c r="B2576" s="2" t="str">
        <f>HYPERLINK("https://rth.dk/resources/bsgatlas/details.php?id=BSGatlas-gene-2830","BSGatlas-gene-2830")</f>
        <v>BSGatlas-gene-2830</v>
      </c>
      <c r="C2576" s="1" t="s">
        <v>2563</v>
      </c>
      <c r="D2576" s="1" t="s">
        <v>8</v>
      </c>
      <c r="E2576" s="3">
        <v>2504789</v>
      </c>
      <c r="F2576" s="3">
        <v>2506867</v>
      </c>
      <c r="G2576" s="1" t="s">
        <v>13</v>
      </c>
      <c r="H2576" s="1" t="b">
        <f t="shared" si="94"/>
        <v>1</v>
      </c>
    </row>
    <row r="2577" spans="1:8" ht="21" x14ac:dyDescent="0.25">
      <c r="A2577" s="2" t="str">
        <f>HYPERLINK("https://rth.dk/resources/bsgatlas/details.php?id=BSGatlas-operon-1366","BSGatlas-operon-1366")</f>
        <v>BSGatlas-operon-1366</v>
      </c>
      <c r="B2577" s="2" t="str">
        <f>HYPERLINK("https://rth.dk/resources/bsgatlas/details.php?id=BSGatlas-gene-2831","BSGatlas-gene-2831")</f>
        <v>BSGatlas-gene-2831</v>
      </c>
      <c r="C2577" s="1" t="s">
        <v>2564</v>
      </c>
      <c r="D2577" s="1" t="s">
        <v>8</v>
      </c>
      <c r="E2577" s="3">
        <v>2507020</v>
      </c>
      <c r="F2577" s="3">
        <v>2507256</v>
      </c>
      <c r="G2577" s="1" t="s">
        <v>9</v>
      </c>
      <c r="H2577" s="1" t="b">
        <f t="shared" si="94"/>
        <v>0</v>
      </c>
    </row>
    <row r="2578" spans="1:8" ht="21" x14ac:dyDescent="0.25">
      <c r="A2578" s="2" t="str">
        <f t="shared" ref="A2578:A2583" si="96">HYPERLINK("https://rth.dk/resources/bsgatlas/details.php?id=BSGatlas-operon-1367","BSGatlas-operon-1367")</f>
        <v>BSGatlas-operon-1367</v>
      </c>
      <c r="B2578" s="2" t="str">
        <f>HYPERLINK("https://rth.dk/resources/bsgatlas/details.php?id=BSGatlas-gene-2832","BSGatlas-gene-2832")</f>
        <v>BSGatlas-gene-2832</v>
      </c>
      <c r="C2578" s="1" t="s">
        <v>2565</v>
      </c>
      <c r="D2578" s="1" t="s">
        <v>8</v>
      </c>
      <c r="E2578" s="3">
        <v>2507298</v>
      </c>
      <c r="F2578" s="3">
        <v>2508203</v>
      </c>
      <c r="G2578" s="1" t="s">
        <v>13</v>
      </c>
      <c r="H2578" s="1" t="b">
        <f t="shared" si="94"/>
        <v>1</v>
      </c>
    </row>
    <row r="2579" spans="1:8" ht="21" x14ac:dyDescent="0.25">
      <c r="A2579" s="2" t="str">
        <f t="shared" si="96"/>
        <v>BSGatlas-operon-1367</v>
      </c>
      <c r="B2579" s="2" t="str">
        <f>HYPERLINK("https://rth.dk/resources/bsgatlas/details.php?id=BSGatlas-gene-2833","BSGatlas-gene-2833")</f>
        <v>BSGatlas-gene-2833</v>
      </c>
      <c r="C2579" s="1" t="s">
        <v>2566</v>
      </c>
      <c r="D2579" s="1" t="s">
        <v>8</v>
      </c>
      <c r="E2579" s="3">
        <v>2508221</v>
      </c>
      <c r="F2579" s="3">
        <v>2509639</v>
      </c>
      <c r="G2579" s="1" t="s">
        <v>13</v>
      </c>
      <c r="H2579" s="1" t="b">
        <f t="shared" si="94"/>
        <v>1</v>
      </c>
    </row>
    <row r="2580" spans="1:8" ht="21" x14ac:dyDescent="0.25">
      <c r="A2580" s="2" t="str">
        <f t="shared" si="96"/>
        <v>BSGatlas-operon-1367</v>
      </c>
      <c r="B2580" s="2" t="str">
        <f>HYPERLINK("https://rth.dk/resources/bsgatlas/details.php?id=BSGatlas-gene-2834","BSGatlas-gene-2834")</f>
        <v>BSGatlas-gene-2834</v>
      </c>
      <c r="C2580" s="1" t="s">
        <v>2567</v>
      </c>
      <c r="D2580" s="1" t="s">
        <v>8</v>
      </c>
      <c r="E2580" s="3">
        <v>2509654</v>
      </c>
      <c r="F2580" s="3">
        <v>2510772</v>
      </c>
      <c r="G2580" s="1" t="s">
        <v>13</v>
      </c>
      <c r="H2580" s="1" t="b">
        <f t="shared" si="94"/>
        <v>1</v>
      </c>
    </row>
    <row r="2581" spans="1:8" ht="21" x14ac:dyDescent="0.25">
      <c r="A2581" s="2" t="str">
        <f t="shared" si="96"/>
        <v>BSGatlas-operon-1367</v>
      </c>
      <c r="B2581" s="2" t="str">
        <f>HYPERLINK("https://rth.dk/resources/bsgatlas/details.php?id=BSGatlas-gene-2835","BSGatlas-gene-2835")</f>
        <v>BSGatlas-gene-2835</v>
      </c>
      <c r="C2581" s="1" t="s">
        <v>2568</v>
      </c>
      <c r="D2581" s="1" t="s">
        <v>8</v>
      </c>
      <c r="E2581" s="3">
        <v>2510806</v>
      </c>
      <c r="F2581" s="3">
        <v>2511945</v>
      </c>
      <c r="G2581" s="1" t="s">
        <v>13</v>
      </c>
      <c r="H2581" s="1" t="b">
        <f t="shared" si="94"/>
        <v>1</v>
      </c>
    </row>
    <row r="2582" spans="1:8" ht="21" x14ac:dyDescent="0.25">
      <c r="A2582" s="2" t="str">
        <f t="shared" si="96"/>
        <v>BSGatlas-operon-1367</v>
      </c>
      <c r="B2582" s="2" t="str">
        <f>HYPERLINK("https://rth.dk/resources/bsgatlas/details.php?id=BSGatlas-gene-2836","BSGatlas-gene-2836")</f>
        <v>BSGatlas-gene-2836</v>
      </c>
      <c r="C2582" s="1" t="s">
        <v>2569</v>
      </c>
      <c r="D2582" s="1" t="s">
        <v>8</v>
      </c>
      <c r="E2582" s="3">
        <v>2511973</v>
      </c>
      <c r="F2582" s="3">
        <v>2512836</v>
      </c>
      <c r="G2582" s="1" t="s">
        <v>13</v>
      </c>
      <c r="H2582" s="1" t="b">
        <f t="shared" si="94"/>
        <v>1</v>
      </c>
    </row>
    <row r="2583" spans="1:8" ht="21" x14ac:dyDescent="0.25">
      <c r="A2583" s="2" t="str">
        <f t="shared" si="96"/>
        <v>BSGatlas-operon-1367</v>
      </c>
      <c r="B2583" s="2" t="str">
        <f>HYPERLINK("https://rth.dk/resources/bsgatlas/details.php?id=BSGatlas-gene-2837","BSGatlas-gene-2837")</f>
        <v>BSGatlas-gene-2837</v>
      </c>
      <c r="C2583" s="1" t="s">
        <v>2570</v>
      </c>
      <c r="D2583" s="1" t="s">
        <v>8</v>
      </c>
      <c r="E2583" s="3">
        <v>2512861</v>
      </c>
      <c r="F2583" s="3">
        <v>2514042</v>
      </c>
      <c r="G2583" s="1" t="s">
        <v>13</v>
      </c>
      <c r="H2583" s="1" t="b">
        <f t="shared" si="94"/>
        <v>1</v>
      </c>
    </row>
    <row r="2584" spans="1:8" ht="21" x14ac:dyDescent="0.25">
      <c r="A2584" s="2" t="str">
        <f>HYPERLINK("https://rth.dk/resources/bsgatlas/details.php?id=BSGatlas-operon-1368","BSGatlas-operon-1368")</f>
        <v>BSGatlas-operon-1368</v>
      </c>
      <c r="B2584" s="2" t="str">
        <f>HYPERLINK("https://rth.dk/resources/bsgatlas/details.php?id=BSGatlas-gene-2838","BSGatlas-gene-2838")</f>
        <v>BSGatlas-gene-2838</v>
      </c>
      <c r="C2584" s="1" t="s">
        <v>2571</v>
      </c>
      <c r="D2584" s="1" t="s">
        <v>8</v>
      </c>
      <c r="E2584" s="3">
        <v>2514169</v>
      </c>
      <c r="F2584" s="3">
        <v>2514900</v>
      </c>
      <c r="G2584" s="1" t="s">
        <v>13</v>
      </c>
      <c r="H2584" s="1" t="b">
        <f t="shared" si="94"/>
        <v>0</v>
      </c>
    </row>
    <row r="2585" spans="1:8" ht="21" x14ac:dyDescent="0.25">
      <c r="A2585" s="2" t="str">
        <f>HYPERLINK("https://rth.dk/resources/bsgatlas/details.php?id=BSGatlas-operon-1368","BSGatlas-operon-1368")</f>
        <v>BSGatlas-operon-1368</v>
      </c>
      <c r="B2585" s="2" t="str">
        <f>HYPERLINK("https://rth.dk/resources/bsgatlas/details.php?id=BSGatlas-gene-2839","BSGatlas-gene-2839")</f>
        <v>BSGatlas-gene-2839</v>
      </c>
      <c r="C2585" s="1" t="s">
        <v>2572</v>
      </c>
      <c r="D2585" s="1" t="s">
        <v>8</v>
      </c>
      <c r="E2585" s="3">
        <v>2514979</v>
      </c>
      <c r="F2585" s="3">
        <v>2515599</v>
      </c>
      <c r="G2585" s="1" t="s">
        <v>13</v>
      </c>
      <c r="H2585" s="1" t="b">
        <f t="shared" si="94"/>
        <v>0</v>
      </c>
    </row>
    <row r="2586" spans="1:8" ht="21" x14ac:dyDescent="0.25">
      <c r="A2586" s="2" t="str">
        <f>HYPERLINK("https://rth.dk/resources/bsgatlas/details.php?id=BSGatlas-operon-1368","BSGatlas-operon-1368")</f>
        <v>BSGatlas-operon-1368</v>
      </c>
      <c r="B2586" s="2" t="str">
        <f>HYPERLINK("https://rth.dk/resources/bsgatlas/details.php?id=BSGatlas-gene-2840","BSGatlas-gene-2840")</f>
        <v>BSGatlas-gene-2840</v>
      </c>
      <c r="C2586" s="1" t="s">
        <v>2573</v>
      </c>
      <c r="D2586" s="1" t="s">
        <v>8</v>
      </c>
      <c r="E2586" s="3">
        <v>2515614</v>
      </c>
      <c r="F2586" s="3">
        <v>2515907</v>
      </c>
      <c r="G2586" s="1" t="s">
        <v>13</v>
      </c>
      <c r="H2586" s="1" t="b">
        <f t="shared" si="94"/>
        <v>0</v>
      </c>
    </row>
    <row r="2587" spans="1:8" ht="21" x14ac:dyDescent="0.25">
      <c r="A2587" s="2" t="str">
        <f>HYPERLINK("https://rth.dk/resources/bsgatlas/details.php?id=BSGatlas-operon-1369","BSGatlas-operon-1369")</f>
        <v>BSGatlas-operon-1369</v>
      </c>
      <c r="B2587" s="2" t="str">
        <f>HYPERLINK("https://rth.dk/resources/bsgatlas/details.php?id=BSGatlas-gene-2841","BSGatlas-gene-2841")</f>
        <v>BSGatlas-gene-2841</v>
      </c>
      <c r="C2587" s="1" t="s">
        <v>318</v>
      </c>
      <c r="D2587" s="1" t="s">
        <v>8</v>
      </c>
      <c r="E2587" s="3">
        <v>2516215</v>
      </c>
      <c r="F2587" s="3">
        <v>2516367</v>
      </c>
      <c r="G2587" s="1" t="s">
        <v>9</v>
      </c>
      <c r="H2587" s="1" t="b">
        <f t="shared" si="94"/>
        <v>1</v>
      </c>
    </row>
    <row r="2588" spans="1:8" ht="21" x14ac:dyDescent="0.25">
      <c r="A2588" s="2" t="str">
        <f>HYPERLINK("https://rth.dk/resources/bsgatlas/details.php?id=BSGatlas-operon-1370","BSGatlas-operon-1370")</f>
        <v>BSGatlas-operon-1370</v>
      </c>
      <c r="B2588" s="2" t="str">
        <f>HYPERLINK("https://rth.dk/resources/bsgatlas/details.php?id=BSGatlas-gene-2842","BSGatlas-gene-2842")</f>
        <v>BSGatlas-gene-2842</v>
      </c>
      <c r="C2588" s="1" t="s">
        <v>2574</v>
      </c>
      <c r="D2588" s="1" t="s">
        <v>8</v>
      </c>
      <c r="E2588" s="3">
        <v>2516440</v>
      </c>
      <c r="F2588" s="3">
        <v>2517558</v>
      </c>
      <c r="G2588" s="1" t="s">
        <v>9</v>
      </c>
      <c r="H2588" s="1" t="b">
        <f t="shared" si="94"/>
        <v>0</v>
      </c>
    </row>
    <row r="2589" spans="1:8" ht="21" x14ac:dyDescent="0.25">
      <c r="A2589" s="2" t="str">
        <f>HYPERLINK("https://rth.dk/resources/bsgatlas/details.php?id=BSGatlas-operon-1371","BSGatlas-operon-1371")</f>
        <v>BSGatlas-operon-1371</v>
      </c>
      <c r="B2589" s="2" t="str">
        <f>HYPERLINK("https://rth.dk/resources/bsgatlas/details.php?id=BSGatlas-gene-2843","BSGatlas-gene-2843")</f>
        <v>BSGatlas-gene-2843</v>
      </c>
      <c r="C2589" s="1" t="s">
        <v>2575</v>
      </c>
      <c r="D2589" s="1" t="s">
        <v>12</v>
      </c>
      <c r="E2589" s="3">
        <v>2517585</v>
      </c>
      <c r="F2589" s="3">
        <v>2517755</v>
      </c>
      <c r="G2589" s="1" t="s">
        <v>13</v>
      </c>
      <c r="H2589" s="1" t="b">
        <f t="shared" si="94"/>
        <v>1</v>
      </c>
    </row>
    <row r="2590" spans="1:8" ht="21" x14ac:dyDescent="0.25">
      <c r="A2590" s="2" t="str">
        <f>HYPERLINK("https://rth.dk/resources/bsgatlas/details.php?id=BSGatlas-operon-1372","BSGatlas-operon-1372")</f>
        <v>BSGatlas-operon-1372</v>
      </c>
      <c r="B2590" s="2" t="str">
        <f>HYPERLINK("https://rth.dk/resources/bsgatlas/details.php?id=BSGatlas-gene-2844","BSGatlas-gene-2844")</f>
        <v>BSGatlas-gene-2844</v>
      </c>
      <c r="C2590" s="1" t="s">
        <v>2576</v>
      </c>
      <c r="D2590" s="1" t="s">
        <v>8</v>
      </c>
      <c r="E2590" s="3">
        <v>2518023</v>
      </c>
      <c r="F2590" s="3">
        <v>2518826</v>
      </c>
      <c r="G2590" s="1" t="s">
        <v>13</v>
      </c>
      <c r="H2590" s="1" t="b">
        <f t="shared" si="94"/>
        <v>0</v>
      </c>
    </row>
    <row r="2591" spans="1:8" ht="21" x14ac:dyDescent="0.25">
      <c r="A2591" s="2" t="str">
        <f>HYPERLINK("https://rth.dk/resources/bsgatlas/details.php?id=BSGatlas-operon-1373","BSGatlas-operon-1373")</f>
        <v>BSGatlas-operon-1373</v>
      </c>
      <c r="B2591" s="2" t="str">
        <f>HYPERLINK("https://rth.dk/resources/bsgatlas/details.php?id=BSGatlas-gene-2845","BSGatlas-gene-2845")</f>
        <v>BSGatlas-gene-2845</v>
      </c>
      <c r="C2591" s="1" t="s">
        <v>2577</v>
      </c>
      <c r="D2591" s="1" t="s">
        <v>8</v>
      </c>
      <c r="E2591" s="3">
        <v>2519102</v>
      </c>
      <c r="F2591" s="3">
        <v>2520382</v>
      </c>
      <c r="G2591" s="1" t="s">
        <v>13</v>
      </c>
      <c r="H2591" s="1" t="b">
        <f t="shared" si="94"/>
        <v>1</v>
      </c>
    </row>
    <row r="2592" spans="1:8" ht="21" x14ac:dyDescent="0.25">
      <c r="A2592" s="2" t="str">
        <f>HYPERLINK("https://rth.dk/resources/bsgatlas/details.php?id=BSGatlas-operon-1374","BSGatlas-operon-1374")</f>
        <v>BSGatlas-operon-1374</v>
      </c>
      <c r="B2592" s="2" t="str">
        <f>HYPERLINK("https://rth.dk/resources/bsgatlas/details.php?id=BSGatlas-gene-2846","BSGatlas-gene-2846")</f>
        <v>BSGatlas-gene-2846</v>
      </c>
      <c r="C2592" s="1" t="s">
        <v>2578</v>
      </c>
      <c r="D2592" s="1" t="s">
        <v>8</v>
      </c>
      <c r="E2592" s="3">
        <v>2520557</v>
      </c>
      <c r="F2592" s="3">
        <v>2522287</v>
      </c>
      <c r="G2592" s="1" t="s">
        <v>13</v>
      </c>
      <c r="H2592" s="1" t="b">
        <f t="shared" si="94"/>
        <v>0</v>
      </c>
    </row>
    <row r="2593" spans="1:8" ht="21" x14ac:dyDescent="0.25">
      <c r="A2593" s="2" t="str">
        <f>HYPERLINK("https://rth.dk/resources/bsgatlas/details.php?id=BSGatlas-operon-1374","BSGatlas-operon-1374")</f>
        <v>BSGatlas-operon-1374</v>
      </c>
      <c r="B2593" s="2" t="str">
        <f>HYPERLINK("https://rth.dk/resources/bsgatlas/details.php?id=BSGatlas-gene-2847","BSGatlas-gene-2847")</f>
        <v>BSGatlas-gene-2847</v>
      </c>
      <c r="C2593" s="1" t="s">
        <v>2579</v>
      </c>
      <c r="D2593" s="1" t="s">
        <v>8</v>
      </c>
      <c r="E2593" s="3">
        <v>2522324</v>
      </c>
      <c r="F2593" s="3">
        <v>2522773</v>
      </c>
      <c r="G2593" s="1" t="s">
        <v>13</v>
      </c>
      <c r="H2593" s="1" t="b">
        <f t="shared" si="94"/>
        <v>0</v>
      </c>
    </row>
    <row r="2594" spans="1:8" ht="21" x14ac:dyDescent="0.25">
      <c r="A2594" s="2" t="str">
        <f>HYPERLINK("https://rth.dk/resources/bsgatlas/details.php?id=BSGatlas-operon-1374","BSGatlas-operon-1374")</f>
        <v>BSGatlas-operon-1374</v>
      </c>
      <c r="B2594" s="2" t="str">
        <f>HYPERLINK("https://rth.dk/resources/bsgatlas/details.php?id=BSGatlas-gene-2848","BSGatlas-gene-2848")</f>
        <v>BSGatlas-gene-2848</v>
      </c>
      <c r="C2594" s="1" t="s">
        <v>2580</v>
      </c>
      <c r="D2594" s="1" t="s">
        <v>8</v>
      </c>
      <c r="E2594" s="3">
        <v>2522871</v>
      </c>
      <c r="F2594" s="3">
        <v>2523716</v>
      </c>
      <c r="G2594" s="1" t="s">
        <v>13</v>
      </c>
      <c r="H2594" s="1" t="b">
        <f t="shared" si="94"/>
        <v>0</v>
      </c>
    </row>
    <row r="2595" spans="1:8" ht="21" x14ac:dyDescent="0.25">
      <c r="A2595" s="2" t="str">
        <f>HYPERLINK("https://rth.dk/resources/bsgatlas/details.php?id=BSGatlas-operon-1374","BSGatlas-operon-1374")</f>
        <v>BSGatlas-operon-1374</v>
      </c>
      <c r="B2595" s="2" t="str">
        <f>HYPERLINK("https://rth.dk/resources/bsgatlas/details.php?id=BSGatlas-gene-2849","BSGatlas-gene-2849")</f>
        <v>BSGatlas-gene-2849</v>
      </c>
      <c r="C2595" s="1" t="s">
        <v>2581</v>
      </c>
      <c r="D2595" s="1" t="s">
        <v>8</v>
      </c>
      <c r="E2595" s="3">
        <v>2523713</v>
      </c>
      <c r="F2595" s="3">
        <v>2525614</v>
      </c>
      <c r="G2595" s="1" t="s">
        <v>13</v>
      </c>
      <c r="H2595" s="1" t="b">
        <f t="shared" si="94"/>
        <v>0</v>
      </c>
    </row>
    <row r="2596" spans="1:8" ht="21" x14ac:dyDescent="0.25">
      <c r="A2596" s="2" t="str">
        <f>HYPERLINK("https://rth.dk/resources/bsgatlas/details.php?id=BSGatlas-operon-1375","BSGatlas-operon-1375")</f>
        <v>BSGatlas-operon-1375</v>
      </c>
      <c r="B2596" s="2" t="str">
        <f>HYPERLINK("https://rth.dk/resources/bsgatlas/details.php?id=BSGatlas-gene-2854","BSGatlas-gene-2854")</f>
        <v>BSGatlas-gene-2854</v>
      </c>
      <c r="C2596" s="1" t="s">
        <v>522</v>
      </c>
      <c r="D2596" s="1" t="s">
        <v>34</v>
      </c>
      <c r="E2596" s="3">
        <v>2528308</v>
      </c>
      <c r="F2596" s="3">
        <v>2528397</v>
      </c>
      <c r="G2596" s="1" t="s">
        <v>13</v>
      </c>
      <c r="H2596" s="1" t="b">
        <f t="shared" si="94"/>
        <v>1</v>
      </c>
    </row>
    <row r="2597" spans="1:8" ht="21" x14ac:dyDescent="0.25">
      <c r="A2597" s="2" t="str">
        <f>HYPERLINK("https://rth.dk/resources/bsgatlas/details.php?id=BSGatlas-operon-1376","BSGatlas-operon-1376")</f>
        <v>BSGatlas-operon-1376</v>
      </c>
      <c r="B2597" s="2" t="str">
        <f>HYPERLINK("https://rth.dk/resources/bsgatlas/details.php?id=BSGatlas-gene-2855","BSGatlas-gene-2855")</f>
        <v>BSGatlas-gene-2855</v>
      </c>
      <c r="C2597" s="1" t="s">
        <v>2582</v>
      </c>
      <c r="D2597" s="1" t="s">
        <v>8</v>
      </c>
      <c r="E2597" s="3">
        <v>2528404</v>
      </c>
      <c r="F2597" s="3">
        <v>2529255</v>
      </c>
      <c r="G2597" s="1" t="s">
        <v>13</v>
      </c>
      <c r="H2597" s="1" t="b">
        <f t="shared" si="94"/>
        <v>0</v>
      </c>
    </row>
    <row r="2598" spans="1:8" ht="21" x14ac:dyDescent="0.25">
      <c r="A2598" s="2" t="str">
        <f>HYPERLINK("https://rth.dk/resources/bsgatlas/details.php?id=BSGatlas-operon-1376","BSGatlas-operon-1376")</f>
        <v>BSGatlas-operon-1376</v>
      </c>
      <c r="B2598" s="2" t="str">
        <f>HYPERLINK("https://rth.dk/resources/bsgatlas/details.php?id=BSGatlas-gene-2856","BSGatlas-gene-2856")</f>
        <v>BSGatlas-gene-2856</v>
      </c>
      <c r="C2598" s="1" t="s">
        <v>2583</v>
      </c>
      <c r="D2598" s="1" t="s">
        <v>8</v>
      </c>
      <c r="E2598" s="3">
        <v>2529267</v>
      </c>
      <c r="F2598" s="3">
        <v>2529662</v>
      </c>
      <c r="G2598" s="1" t="s">
        <v>13</v>
      </c>
      <c r="H2598" s="1" t="b">
        <f t="shared" si="94"/>
        <v>0</v>
      </c>
    </row>
    <row r="2599" spans="1:8" ht="21" x14ac:dyDescent="0.25">
      <c r="A2599" s="2" t="str">
        <f>HYPERLINK("https://rth.dk/resources/bsgatlas/details.php?id=BSGatlas-operon-1377","BSGatlas-operon-1377")</f>
        <v>BSGatlas-operon-1377</v>
      </c>
      <c r="B2599" s="2" t="str">
        <f>HYPERLINK("https://rth.dk/resources/bsgatlas/details.php?id=BSGatlas-gene-2857","BSGatlas-gene-2857")</f>
        <v>BSGatlas-gene-2857</v>
      </c>
      <c r="C2599" s="1" t="s">
        <v>2584</v>
      </c>
      <c r="D2599" s="1" t="s">
        <v>8</v>
      </c>
      <c r="E2599" s="3">
        <v>2529926</v>
      </c>
      <c r="F2599" s="3">
        <v>2530333</v>
      </c>
      <c r="G2599" s="1" t="s">
        <v>13</v>
      </c>
      <c r="H2599" s="1" t="b">
        <f t="shared" si="94"/>
        <v>1</v>
      </c>
    </row>
    <row r="2600" spans="1:8" ht="21" x14ac:dyDescent="0.25">
      <c r="A2600" s="2" t="str">
        <f>HYPERLINK("https://rth.dk/resources/bsgatlas/details.php?id=BSGatlas-operon-1377","BSGatlas-operon-1377")</f>
        <v>BSGatlas-operon-1377</v>
      </c>
      <c r="B2600" s="2" t="str">
        <f>HYPERLINK("https://rth.dk/resources/bsgatlas/details.php?id=BSGatlas-gene-2858","BSGatlas-gene-2858")</f>
        <v>BSGatlas-gene-2858</v>
      </c>
      <c r="C2600" s="1" t="s">
        <v>2585</v>
      </c>
      <c r="D2600" s="1" t="s">
        <v>8</v>
      </c>
      <c r="E2600" s="3">
        <v>2530354</v>
      </c>
      <c r="F2600" s="3">
        <v>2531706</v>
      </c>
      <c r="G2600" s="1" t="s">
        <v>13</v>
      </c>
      <c r="H2600" s="1" t="b">
        <f t="shared" si="94"/>
        <v>1</v>
      </c>
    </row>
    <row r="2601" spans="1:8" ht="21" x14ac:dyDescent="0.25">
      <c r="A2601" s="2" t="str">
        <f>HYPERLINK("https://rth.dk/resources/bsgatlas/details.php?id=BSGatlas-operon-1377","BSGatlas-operon-1377")</f>
        <v>BSGatlas-operon-1377</v>
      </c>
      <c r="B2601" s="2" t="str">
        <f>HYPERLINK("https://rth.dk/resources/bsgatlas/details.php?id=BSGatlas-gene-2859","BSGatlas-gene-2859")</f>
        <v>BSGatlas-gene-2859</v>
      </c>
      <c r="C2601" s="1" t="s">
        <v>2586</v>
      </c>
      <c r="D2601" s="1" t="s">
        <v>8</v>
      </c>
      <c r="E2601" s="3">
        <v>2531718</v>
      </c>
      <c r="F2601" s="3">
        <v>2532197</v>
      </c>
      <c r="G2601" s="1" t="s">
        <v>13</v>
      </c>
      <c r="H2601" s="1" t="b">
        <f t="shared" si="94"/>
        <v>1</v>
      </c>
    </row>
    <row r="2602" spans="1:8" ht="21" x14ac:dyDescent="0.25">
      <c r="A2602" s="2" t="str">
        <f t="shared" ref="A2602:A2610" si="97">HYPERLINK("https://rth.dk/resources/bsgatlas/details.php?id=BSGatlas-operon-1378","BSGatlas-operon-1378")</f>
        <v>BSGatlas-operon-1378</v>
      </c>
      <c r="B2602" s="2" t="str">
        <f>HYPERLINK("https://rth.dk/resources/bsgatlas/details.php?id=BSGatlas-gene-2860","BSGatlas-gene-2860")</f>
        <v>BSGatlas-gene-2860</v>
      </c>
      <c r="C2602" s="1" t="s">
        <v>2587</v>
      </c>
      <c r="D2602" s="1" t="s">
        <v>8</v>
      </c>
      <c r="E2602" s="3">
        <v>2532353</v>
      </c>
      <c r="F2602" s="3">
        <v>2533009</v>
      </c>
      <c r="G2602" s="1" t="s">
        <v>13</v>
      </c>
      <c r="H2602" s="1" t="b">
        <f t="shared" si="94"/>
        <v>0</v>
      </c>
    </row>
    <row r="2603" spans="1:8" ht="21" x14ac:dyDescent="0.25">
      <c r="A2603" s="2" t="str">
        <f t="shared" si="97"/>
        <v>BSGatlas-operon-1378</v>
      </c>
      <c r="B2603" s="2" t="str">
        <f>HYPERLINK("https://rth.dk/resources/bsgatlas/details.php?id=BSGatlas-gene-2861","BSGatlas-gene-2861")</f>
        <v>BSGatlas-gene-2861</v>
      </c>
      <c r="C2603" s="1" t="s">
        <v>2588</v>
      </c>
      <c r="D2603" s="1" t="s">
        <v>8</v>
      </c>
      <c r="E2603" s="3">
        <v>2533010</v>
      </c>
      <c r="F2603" s="3">
        <v>2533699</v>
      </c>
      <c r="G2603" s="1" t="s">
        <v>13</v>
      </c>
      <c r="H2603" s="1" t="b">
        <f t="shared" si="94"/>
        <v>0</v>
      </c>
    </row>
    <row r="2604" spans="1:8" ht="21" x14ac:dyDescent="0.25">
      <c r="A2604" s="2" t="str">
        <f t="shared" si="97"/>
        <v>BSGatlas-operon-1378</v>
      </c>
      <c r="B2604" s="2" t="str">
        <f>HYPERLINK("https://rth.dk/resources/bsgatlas/details.php?id=BSGatlas-gene-2862","BSGatlas-gene-2862")</f>
        <v>BSGatlas-gene-2862</v>
      </c>
      <c r="C2604" s="1" t="s">
        <v>2589</v>
      </c>
      <c r="D2604" s="1" t="s">
        <v>8</v>
      </c>
      <c r="E2604" s="3">
        <v>2533692</v>
      </c>
      <c r="F2604" s="3">
        <v>2534312</v>
      </c>
      <c r="G2604" s="1" t="s">
        <v>13</v>
      </c>
      <c r="H2604" s="1" t="b">
        <f t="shared" si="94"/>
        <v>0</v>
      </c>
    </row>
    <row r="2605" spans="1:8" ht="21" x14ac:dyDescent="0.25">
      <c r="A2605" s="2" t="str">
        <f t="shared" si="97"/>
        <v>BSGatlas-operon-1378</v>
      </c>
      <c r="B2605" s="2" t="str">
        <f>HYPERLINK("https://rth.dk/resources/bsgatlas/details.php?id=BSGatlas-gene-2863","BSGatlas-gene-2863")</f>
        <v>BSGatlas-gene-2863</v>
      </c>
      <c r="C2605" s="1" t="s">
        <v>2590</v>
      </c>
      <c r="D2605" s="1" t="s">
        <v>8</v>
      </c>
      <c r="E2605" s="3">
        <v>2534326</v>
      </c>
      <c r="F2605" s="3">
        <v>2535525</v>
      </c>
      <c r="G2605" s="1" t="s">
        <v>13</v>
      </c>
      <c r="H2605" s="1" t="b">
        <f t="shared" si="94"/>
        <v>0</v>
      </c>
    </row>
    <row r="2606" spans="1:8" ht="21" x14ac:dyDescent="0.25">
      <c r="A2606" s="2" t="str">
        <f t="shared" si="97"/>
        <v>BSGatlas-operon-1378</v>
      </c>
      <c r="B2606" s="2" t="str">
        <f>HYPERLINK("https://rth.dk/resources/bsgatlas/details.php?id=BSGatlas-gene-2864","BSGatlas-gene-2864")</f>
        <v>BSGatlas-gene-2864</v>
      </c>
      <c r="C2606" s="1" t="s">
        <v>2591</v>
      </c>
      <c r="D2606" s="1" t="s">
        <v>8</v>
      </c>
      <c r="E2606" s="3">
        <v>2535544</v>
      </c>
      <c r="F2606" s="3">
        <v>2535945</v>
      </c>
      <c r="G2606" s="1" t="s">
        <v>13</v>
      </c>
      <c r="H2606" s="1" t="b">
        <f t="shared" si="94"/>
        <v>0</v>
      </c>
    </row>
    <row r="2607" spans="1:8" ht="21" x14ac:dyDescent="0.25">
      <c r="A2607" s="2" t="str">
        <f t="shared" si="97"/>
        <v>BSGatlas-operon-1378</v>
      </c>
      <c r="B2607" s="2" t="str">
        <f>HYPERLINK("https://rth.dk/resources/bsgatlas/details.php?id=BSGatlas-gene-2865","BSGatlas-gene-2865")</f>
        <v>BSGatlas-gene-2865</v>
      </c>
      <c r="C2607" s="1" t="s">
        <v>2592</v>
      </c>
      <c r="D2607" s="1" t="s">
        <v>8</v>
      </c>
      <c r="E2607" s="3">
        <v>2535952</v>
      </c>
      <c r="F2607" s="3">
        <v>2536158</v>
      </c>
      <c r="G2607" s="1" t="s">
        <v>13</v>
      </c>
      <c r="H2607" s="1" t="b">
        <f t="shared" si="94"/>
        <v>0</v>
      </c>
    </row>
    <row r="2608" spans="1:8" ht="21" x14ac:dyDescent="0.25">
      <c r="A2608" s="2" t="str">
        <f t="shared" si="97"/>
        <v>BSGatlas-operon-1378</v>
      </c>
      <c r="B2608" s="2" t="str">
        <f>HYPERLINK("https://rth.dk/resources/bsgatlas/details.php?id=BSGatlas-gene-2866","BSGatlas-gene-2866")</f>
        <v>BSGatlas-gene-2866</v>
      </c>
      <c r="C2608" s="1" t="s">
        <v>2593</v>
      </c>
      <c r="D2608" s="1" t="s">
        <v>8</v>
      </c>
      <c r="E2608" s="3">
        <v>2536181</v>
      </c>
      <c r="F2608" s="3">
        <v>2536696</v>
      </c>
      <c r="G2608" s="1" t="s">
        <v>13</v>
      </c>
      <c r="H2608" s="1" t="b">
        <f t="shared" si="94"/>
        <v>0</v>
      </c>
    </row>
    <row r="2609" spans="1:8" ht="21" x14ac:dyDescent="0.25">
      <c r="A2609" s="2" t="str">
        <f t="shared" si="97"/>
        <v>BSGatlas-operon-1378</v>
      </c>
      <c r="B2609" s="2" t="str">
        <f>HYPERLINK("https://rth.dk/resources/bsgatlas/details.php?id=BSGatlas-gene-2867","BSGatlas-gene-2867")</f>
        <v>BSGatlas-gene-2867</v>
      </c>
      <c r="C2609" s="1" t="s">
        <v>2594</v>
      </c>
      <c r="D2609" s="1" t="s">
        <v>8</v>
      </c>
      <c r="E2609" s="3">
        <v>2536690</v>
      </c>
      <c r="F2609" s="3">
        <v>2537613</v>
      </c>
      <c r="G2609" s="1" t="s">
        <v>13</v>
      </c>
      <c r="H2609" s="1" t="b">
        <f t="shared" si="94"/>
        <v>0</v>
      </c>
    </row>
    <row r="2610" spans="1:8" ht="21" x14ac:dyDescent="0.25">
      <c r="A2610" s="2" t="str">
        <f t="shared" si="97"/>
        <v>BSGatlas-operon-1378</v>
      </c>
      <c r="B2610" s="2" t="str">
        <f>HYPERLINK("https://rth.dk/resources/bsgatlas/details.php?id=BSGatlas-gene-2868","BSGatlas-gene-2868")</f>
        <v>BSGatlas-gene-2868</v>
      </c>
      <c r="C2610" s="1" t="s">
        <v>2595</v>
      </c>
      <c r="D2610" s="1" t="s">
        <v>8</v>
      </c>
      <c r="E2610" s="3">
        <v>2537689</v>
      </c>
      <c r="F2610" s="3">
        <v>2537970</v>
      </c>
      <c r="G2610" s="1" t="s">
        <v>13</v>
      </c>
      <c r="H2610" s="1" t="b">
        <f t="shared" si="94"/>
        <v>0</v>
      </c>
    </row>
    <row r="2611" spans="1:8" ht="21" x14ac:dyDescent="0.25">
      <c r="A2611" s="2" t="str">
        <f>HYPERLINK("https://rth.dk/resources/bsgatlas/details.php?id=BSGatlas-operon-1379","BSGatlas-operon-1379")</f>
        <v>BSGatlas-operon-1379</v>
      </c>
      <c r="B2611" s="2" t="str">
        <f>HYPERLINK("https://rth.dk/resources/bsgatlas/details.php?id=BSGatlas-gene-2869","BSGatlas-gene-2869")</f>
        <v>BSGatlas-gene-2869</v>
      </c>
      <c r="C2611" s="1" t="s">
        <v>2596</v>
      </c>
      <c r="D2611" s="1" t="s">
        <v>8</v>
      </c>
      <c r="E2611" s="3">
        <v>2538115</v>
      </c>
      <c r="F2611" s="3">
        <v>2538672</v>
      </c>
      <c r="G2611" s="1" t="s">
        <v>13</v>
      </c>
      <c r="H2611" s="1" t="b">
        <f t="shared" si="94"/>
        <v>1</v>
      </c>
    </row>
    <row r="2612" spans="1:8" ht="21" x14ac:dyDescent="0.25">
      <c r="A2612" s="2" t="str">
        <f>HYPERLINK("https://rth.dk/resources/bsgatlas/details.php?id=BSGatlas-operon-1379","BSGatlas-operon-1379")</f>
        <v>BSGatlas-operon-1379</v>
      </c>
      <c r="B2612" s="2" t="str">
        <f>HYPERLINK("https://rth.dk/resources/bsgatlas/details.php?id=BSGatlas-gene-2870","BSGatlas-gene-2870")</f>
        <v>BSGatlas-gene-2870</v>
      </c>
      <c r="C2612" s="1" t="s">
        <v>2597</v>
      </c>
      <c r="D2612" s="1" t="s">
        <v>8</v>
      </c>
      <c r="E2612" s="3">
        <v>2538697</v>
      </c>
      <c r="F2612" s="3">
        <v>2539758</v>
      </c>
      <c r="G2612" s="1" t="s">
        <v>13</v>
      </c>
      <c r="H2612" s="1" t="b">
        <f t="shared" si="94"/>
        <v>1</v>
      </c>
    </row>
    <row r="2613" spans="1:8" ht="21" x14ac:dyDescent="0.25">
      <c r="A2613" s="2" t="str">
        <f>HYPERLINK("https://rth.dk/resources/bsgatlas/details.php?id=BSGatlas-operon-1379","BSGatlas-operon-1379")</f>
        <v>BSGatlas-operon-1379</v>
      </c>
      <c r="B2613" s="2" t="str">
        <f>HYPERLINK("https://rth.dk/resources/bsgatlas/details.php?id=BSGatlas-gene-2871","BSGatlas-gene-2871")</f>
        <v>BSGatlas-gene-2871</v>
      </c>
      <c r="C2613" s="1" t="s">
        <v>2598</v>
      </c>
      <c r="D2613" s="1" t="s">
        <v>8</v>
      </c>
      <c r="E2613" s="3">
        <v>2539755</v>
      </c>
      <c r="F2613" s="3">
        <v>2540201</v>
      </c>
      <c r="G2613" s="1" t="s">
        <v>13</v>
      </c>
      <c r="H2613" s="1" t="b">
        <f t="shared" si="94"/>
        <v>1</v>
      </c>
    </row>
    <row r="2614" spans="1:8" ht="21" x14ac:dyDescent="0.25">
      <c r="A2614" s="2" t="str">
        <f>HYPERLINK("https://rth.dk/resources/bsgatlas/details.php?id=BSGatlas-operon-1379","BSGatlas-operon-1379")</f>
        <v>BSGatlas-operon-1379</v>
      </c>
      <c r="B2614" s="2" t="str">
        <f>HYPERLINK("https://rth.dk/resources/bsgatlas/details.php?id=BSGatlas-gene-2872","BSGatlas-gene-2872")</f>
        <v>BSGatlas-gene-2872</v>
      </c>
      <c r="C2614" s="1" t="s">
        <v>2599</v>
      </c>
      <c r="D2614" s="1" t="s">
        <v>8</v>
      </c>
      <c r="E2614" s="3">
        <v>2540288</v>
      </c>
      <c r="F2614" s="3">
        <v>2540824</v>
      </c>
      <c r="G2614" s="1" t="s">
        <v>13</v>
      </c>
      <c r="H2614" s="1" t="b">
        <f t="shared" si="94"/>
        <v>1</v>
      </c>
    </row>
    <row r="2615" spans="1:8" ht="21" x14ac:dyDescent="0.25">
      <c r="A2615" s="2" t="str">
        <f>HYPERLINK("https://rth.dk/resources/bsgatlas/details.php?id=BSGatlas-operon-1380","BSGatlas-operon-1380")</f>
        <v>BSGatlas-operon-1380</v>
      </c>
      <c r="B2615" s="2" t="str">
        <f>HYPERLINK("https://rth.dk/resources/bsgatlas/details.php?id=BSGatlas-gene-2873","BSGatlas-gene-2873")</f>
        <v>BSGatlas-gene-2873</v>
      </c>
      <c r="C2615" s="1" t="s">
        <v>2600</v>
      </c>
      <c r="D2615" s="1" t="s">
        <v>8</v>
      </c>
      <c r="E2615" s="3">
        <v>2541051</v>
      </c>
      <c r="F2615" s="3">
        <v>2542007</v>
      </c>
      <c r="G2615" s="1" t="s">
        <v>9</v>
      </c>
      <c r="H2615" s="1" t="b">
        <f t="shared" si="94"/>
        <v>0</v>
      </c>
    </row>
    <row r="2616" spans="1:8" ht="21" x14ac:dyDescent="0.25">
      <c r="A2616" s="2" t="str">
        <f>HYPERLINK("https://rth.dk/resources/bsgatlas/details.php?id=BSGatlas-operon-1380","BSGatlas-operon-1380")</f>
        <v>BSGatlas-operon-1380</v>
      </c>
      <c r="B2616" s="2" t="str">
        <f>HYPERLINK("https://rth.dk/resources/bsgatlas/details.php?id=BSGatlas-gene-2874","BSGatlas-gene-2874")</f>
        <v>BSGatlas-gene-2874</v>
      </c>
      <c r="C2616" s="1" t="s">
        <v>2601</v>
      </c>
      <c r="D2616" s="1" t="s">
        <v>8</v>
      </c>
      <c r="E2616" s="3">
        <v>2542047</v>
      </c>
      <c r="F2616" s="3">
        <v>2542442</v>
      </c>
      <c r="G2616" s="1" t="s">
        <v>9</v>
      </c>
      <c r="H2616" s="1" t="b">
        <f t="shared" si="94"/>
        <v>0</v>
      </c>
    </row>
    <row r="2617" spans="1:8" ht="21" x14ac:dyDescent="0.25">
      <c r="A2617" s="2" t="str">
        <f>HYPERLINK("https://rth.dk/resources/bsgatlas/details.php?id=BSGatlas-operon-1381","BSGatlas-operon-1381")</f>
        <v>BSGatlas-operon-1381</v>
      </c>
      <c r="B2617" s="2" t="str">
        <f>HYPERLINK("https://rth.dk/resources/bsgatlas/details.php?id=BSGatlas-gene-2875","BSGatlas-gene-2875")</f>
        <v>BSGatlas-gene-2875</v>
      </c>
      <c r="C2617" s="1" t="s">
        <v>2602</v>
      </c>
      <c r="D2617" s="1" t="s">
        <v>8</v>
      </c>
      <c r="E2617" s="3">
        <v>2542439</v>
      </c>
      <c r="F2617" s="3">
        <v>2543314</v>
      </c>
      <c r="G2617" s="1" t="s">
        <v>13</v>
      </c>
      <c r="H2617" s="1" t="b">
        <f t="shared" si="94"/>
        <v>1</v>
      </c>
    </row>
    <row r="2618" spans="1:8" ht="21" x14ac:dyDescent="0.25">
      <c r="A2618" s="2" t="str">
        <f>HYPERLINK("https://rth.dk/resources/bsgatlas/details.php?id=BSGatlas-operon-1382","BSGatlas-operon-1382")</f>
        <v>BSGatlas-operon-1382</v>
      </c>
      <c r="B2618" s="2" t="str">
        <f>HYPERLINK("https://rth.dk/resources/bsgatlas/details.php?id=BSGatlas-gene-2876","BSGatlas-gene-2876")</f>
        <v>BSGatlas-gene-2876</v>
      </c>
      <c r="C2618" s="1" t="s">
        <v>2603</v>
      </c>
      <c r="D2618" s="1" t="s">
        <v>8</v>
      </c>
      <c r="E2618" s="3">
        <v>2543440</v>
      </c>
      <c r="F2618" s="3">
        <v>2543868</v>
      </c>
      <c r="G2618" s="1" t="s">
        <v>13</v>
      </c>
      <c r="H2618" s="1" t="b">
        <f t="shared" si="94"/>
        <v>0</v>
      </c>
    </row>
    <row r="2619" spans="1:8" ht="21" x14ac:dyDescent="0.25">
      <c r="A2619" s="2" t="str">
        <f>HYPERLINK("https://rth.dk/resources/bsgatlas/details.php?id=BSGatlas-operon-1382","BSGatlas-operon-1382")</f>
        <v>BSGatlas-operon-1382</v>
      </c>
      <c r="B2619" s="2" t="str">
        <f>HYPERLINK("https://rth.dk/resources/bsgatlas/details.php?id=BSGatlas-gene-2877","BSGatlas-gene-2877")</f>
        <v>BSGatlas-gene-2877</v>
      </c>
      <c r="C2619" s="1" t="s">
        <v>2604</v>
      </c>
      <c r="D2619" s="1" t="s">
        <v>8</v>
      </c>
      <c r="E2619" s="3">
        <v>2543968</v>
      </c>
      <c r="F2619" s="3">
        <v>2544804</v>
      </c>
      <c r="G2619" s="1" t="s">
        <v>13</v>
      </c>
      <c r="H2619" s="1" t="b">
        <f t="shared" si="94"/>
        <v>0</v>
      </c>
    </row>
    <row r="2620" spans="1:8" ht="21" x14ac:dyDescent="0.25">
      <c r="A2620" s="2" t="str">
        <f>HYPERLINK("https://rth.dk/resources/bsgatlas/details.php?id=BSGatlas-operon-1383","BSGatlas-operon-1383")</f>
        <v>BSGatlas-operon-1383</v>
      </c>
      <c r="B2620" s="2" t="str">
        <f>HYPERLINK("https://rth.dk/resources/bsgatlas/details.php?id=BSGatlas-gene-2878","BSGatlas-gene-2878")</f>
        <v>BSGatlas-gene-2878</v>
      </c>
      <c r="C2620" s="1" t="s">
        <v>2605</v>
      </c>
      <c r="D2620" s="1" t="s">
        <v>8</v>
      </c>
      <c r="E2620" s="3">
        <v>2544995</v>
      </c>
      <c r="F2620" s="3">
        <v>2545375</v>
      </c>
      <c r="G2620" s="1" t="s">
        <v>9</v>
      </c>
      <c r="H2620" s="1" t="b">
        <f t="shared" si="94"/>
        <v>1</v>
      </c>
    </row>
    <row r="2621" spans="1:8" ht="21" x14ac:dyDescent="0.25">
      <c r="A2621" s="2" t="str">
        <f>HYPERLINK("https://rth.dk/resources/bsgatlas/details.php?id=BSGatlas-operon-1384","BSGatlas-operon-1384")</f>
        <v>BSGatlas-operon-1384</v>
      </c>
      <c r="B2621" s="2" t="str">
        <f>HYPERLINK("https://rth.dk/resources/bsgatlas/details.php?id=BSGatlas-gene-2879","BSGatlas-gene-2879")</f>
        <v>BSGatlas-gene-2879</v>
      </c>
      <c r="C2621" s="1" t="s">
        <v>2606</v>
      </c>
      <c r="D2621" s="1" t="s">
        <v>8</v>
      </c>
      <c r="E2621" s="3">
        <v>2545410</v>
      </c>
      <c r="F2621" s="3">
        <v>2546876</v>
      </c>
      <c r="G2621" s="1" t="s">
        <v>13</v>
      </c>
      <c r="H2621" s="1" t="b">
        <f t="shared" si="94"/>
        <v>0</v>
      </c>
    </row>
    <row r="2622" spans="1:8" ht="21" x14ac:dyDescent="0.25">
      <c r="A2622" s="2" t="str">
        <f>HYPERLINK("https://rth.dk/resources/bsgatlas/details.php?id=BSGatlas-operon-1384","BSGatlas-operon-1384")</f>
        <v>BSGatlas-operon-1384</v>
      </c>
      <c r="B2622" s="2" t="str">
        <f>HYPERLINK("https://rth.dk/resources/bsgatlas/details.php?id=BSGatlas-gene-2880","BSGatlas-gene-2880")</f>
        <v>BSGatlas-gene-2880</v>
      </c>
      <c r="C2622" s="1" t="s">
        <v>2607</v>
      </c>
      <c r="D2622" s="1" t="s">
        <v>8</v>
      </c>
      <c r="E2622" s="3">
        <v>2546869</v>
      </c>
      <c r="F2622" s="3">
        <v>2548215</v>
      </c>
      <c r="G2622" s="1" t="s">
        <v>13</v>
      </c>
      <c r="H2622" s="1" t="b">
        <f t="shared" si="94"/>
        <v>0</v>
      </c>
    </row>
    <row r="2623" spans="1:8" ht="21" x14ac:dyDescent="0.25">
      <c r="A2623" s="2" t="str">
        <f>HYPERLINK("https://rth.dk/resources/bsgatlas/details.php?id=BSGatlas-operon-1384","BSGatlas-operon-1384")</f>
        <v>BSGatlas-operon-1384</v>
      </c>
      <c r="B2623" s="2" t="str">
        <f>HYPERLINK("https://rth.dk/resources/bsgatlas/details.php?id=BSGatlas-gene-2881","BSGatlas-gene-2881")</f>
        <v>BSGatlas-gene-2881</v>
      </c>
      <c r="C2623" s="1" t="s">
        <v>2608</v>
      </c>
      <c r="D2623" s="1" t="s">
        <v>8</v>
      </c>
      <c r="E2623" s="3">
        <v>2548245</v>
      </c>
      <c r="F2623" s="3">
        <v>2549333</v>
      </c>
      <c r="G2623" s="1" t="s">
        <v>13</v>
      </c>
      <c r="H2623" s="1" t="b">
        <f t="shared" si="94"/>
        <v>0</v>
      </c>
    </row>
    <row r="2624" spans="1:8" ht="21" x14ac:dyDescent="0.25">
      <c r="A2624" s="2" t="str">
        <f>HYPERLINK("https://rth.dk/resources/bsgatlas/details.php?id=BSGatlas-operon-1385","BSGatlas-operon-1385")</f>
        <v>BSGatlas-operon-1385</v>
      </c>
      <c r="B2624" s="2" t="str">
        <f>HYPERLINK("https://rth.dk/resources/bsgatlas/details.php?id=BSGatlas-gene-2882","BSGatlas-gene-2882")</f>
        <v>BSGatlas-gene-2882</v>
      </c>
      <c r="C2624" s="1" t="s">
        <v>2609</v>
      </c>
      <c r="D2624" s="1" t="s">
        <v>34</v>
      </c>
      <c r="E2624" s="3">
        <v>2549407</v>
      </c>
      <c r="F2624" s="3">
        <v>2549606</v>
      </c>
      <c r="G2624" s="1" t="s">
        <v>13</v>
      </c>
      <c r="H2624" s="1" t="b">
        <f t="shared" si="94"/>
        <v>1</v>
      </c>
    </row>
    <row r="2625" spans="1:8" ht="21" x14ac:dyDescent="0.25">
      <c r="A2625" s="2" t="str">
        <f>HYPERLINK("https://rth.dk/resources/bsgatlas/details.php?id=BSGatlas-operon-1386","BSGatlas-operon-1386")</f>
        <v>BSGatlas-operon-1386</v>
      </c>
      <c r="B2625" s="2" t="str">
        <f>HYPERLINK("https://rth.dk/resources/bsgatlas/details.php?id=BSGatlas-gene-2883","BSGatlas-gene-2883")</f>
        <v>BSGatlas-gene-2883</v>
      </c>
      <c r="C2625" s="1" t="s">
        <v>2610</v>
      </c>
      <c r="D2625" s="1" t="s">
        <v>8</v>
      </c>
      <c r="E2625" s="3">
        <v>2549775</v>
      </c>
      <c r="F2625" s="3">
        <v>2551448</v>
      </c>
      <c r="G2625" s="1" t="s">
        <v>9</v>
      </c>
      <c r="H2625" s="1" t="b">
        <f t="shared" si="94"/>
        <v>0</v>
      </c>
    </row>
    <row r="2626" spans="1:8" ht="21" x14ac:dyDescent="0.25">
      <c r="A2626" s="2" t="str">
        <f>HYPERLINK("https://rth.dk/resources/bsgatlas/details.php?id=BSGatlas-operon-1386","BSGatlas-operon-1386")</f>
        <v>BSGatlas-operon-1386</v>
      </c>
      <c r="B2626" s="2" t="str">
        <f>HYPERLINK("https://rth.dk/resources/bsgatlas/details.php?id=BSGatlas-gene-2884","BSGatlas-gene-2884")</f>
        <v>BSGatlas-gene-2884</v>
      </c>
      <c r="C2626" s="1" t="s">
        <v>2611</v>
      </c>
      <c r="D2626" s="1" t="s">
        <v>8</v>
      </c>
      <c r="E2626" s="3">
        <v>2551469</v>
      </c>
      <c r="F2626" s="3">
        <v>2552263</v>
      </c>
      <c r="G2626" s="1" t="s">
        <v>9</v>
      </c>
      <c r="H2626" s="1" t="b">
        <f t="shared" ref="H2626:H2689" si="98">_xlfn.XOR(A2625&lt;&gt;A2626,H2625)</f>
        <v>0</v>
      </c>
    </row>
    <row r="2627" spans="1:8" ht="21" x14ac:dyDescent="0.25">
      <c r="A2627" s="2" t="str">
        <f>HYPERLINK("https://rth.dk/resources/bsgatlas/details.php?id=BSGatlas-operon-1387","BSGatlas-operon-1387")</f>
        <v>BSGatlas-operon-1387</v>
      </c>
      <c r="B2627" s="2" t="str">
        <f>HYPERLINK("https://rth.dk/resources/bsgatlas/details.php?id=BSGatlas-gene-2885","BSGatlas-gene-2885")</f>
        <v>BSGatlas-gene-2885</v>
      </c>
      <c r="C2627" s="1" t="s">
        <v>2612</v>
      </c>
      <c r="D2627" s="1" t="s">
        <v>8</v>
      </c>
      <c r="E2627" s="3">
        <v>2552446</v>
      </c>
      <c r="F2627" s="3">
        <v>2552619</v>
      </c>
      <c r="G2627" s="1" t="s">
        <v>9</v>
      </c>
      <c r="H2627" s="1" t="b">
        <f t="shared" si="98"/>
        <v>1</v>
      </c>
    </row>
    <row r="2628" spans="1:8" ht="21" x14ac:dyDescent="0.25">
      <c r="A2628" s="2" t="str">
        <f>HYPERLINK("https://rth.dk/resources/bsgatlas/details.php?id=BSGatlas-operon-1387","BSGatlas-operon-1387")</f>
        <v>BSGatlas-operon-1387</v>
      </c>
      <c r="B2628" s="2" t="str">
        <f>HYPERLINK("https://rth.dk/resources/bsgatlas/details.php?id=BSGatlas-gene-2886","BSGatlas-gene-2886")</f>
        <v>BSGatlas-gene-2886</v>
      </c>
      <c r="C2628" s="1" t="s">
        <v>2613</v>
      </c>
      <c r="D2628" s="1" t="s">
        <v>8</v>
      </c>
      <c r="E2628" s="3">
        <v>2552653</v>
      </c>
      <c r="F2628" s="3">
        <v>2552988</v>
      </c>
      <c r="G2628" s="1" t="s">
        <v>9</v>
      </c>
      <c r="H2628" s="1" t="b">
        <f t="shared" si="98"/>
        <v>1</v>
      </c>
    </row>
    <row r="2629" spans="1:8" ht="21" x14ac:dyDescent="0.25">
      <c r="A2629" s="2" t="str">
        <f>HYPERLINK("https://rth.dk/resources/bsgatlas/details.php?id=BSGatlas-operon-1388","BSGatlas-operon-1388")</f>
        <v>BSGatlas-operon-1388</v>
      </c>
      <c r="B2629" s="2" t="str">
        <f>HYPERLINK("https://rth.dk/resources/bsgatlas/details.php?id=BSGatlas-gene-2887","BSGatlas-gene-2887")</f>
        <v>BSGatlas-gene-2887</v>
      </c>
      <c r="C2629" s="1" t="s">
        <v>2614</v>
      </c>
      <c r="D2629" s="1" t="s">
        <v>8</v>
      </c>
      <c r="E2629" s="3">
        <v>2553081</v>
      </c>
      <c r="F2629" s="3">
        <v>2553866</v>
      </c>
      <c r="G2629" s="1" t="s">
        <v>13</v>
      </c>
      <c r="H2629" s="1" t="b">
        <f t="shared" si="98"/>
        <v>0</v>
      </c>
    </row>
    <row r="2630" spans="1:8" ht="21" x14ac:dyDescent="0.25">
      <c r="A2630" s="2" t="str">
        <f>HYPERLINK("https://rth.dk/resources/bsgatlas/details.php?id=BSGatlas-operon-1388","BSGatlas-operon-1388")</f>
        <v>BSGatlas-operon-1388</v>
      </c>
      <c r="B2630" s="2" t="str">
        <f>HYPERLINK("https://rth.dk/resources/bsgatlas/details.php?id=BSGatlas-gene-2888","BSGatlas-gene-2888")</f>
        <v>BSGatlas-gene-2888</v>
      </c>
      <c r="C2630" s="1" t="s">
        <v>2615</v>
      </c>
      <c r="D2630" s="1" t="s">
        <v>8</v>
      </c>
      <c r="E2630" s="3">
        <v>2553930</v>
      </c>
      <c r="F2630" s="3">
        <v>2554502</v>
      </c>
      <c r="G2630" s="1" t="s">
        <v>13</v>
      </c>
      <c r="H2630" s="1" t="b">
        <f t="shared" si="98"/>
        <v>0</v>
      </c>
    </row>
    <row r="2631" spans="1:8" ht="21" x14ac:dyDescent="0.25">
      <c r="A2631" s="2" t="str">
        <f>HYPERLINK("https://rth.dk/resources/bsgatlas/details.php?id=BSGatlas-operon-1388","BSGatlas-operon-1388")</f>
        <v>BSGatlas-operon-1388</v>
      </c>
      <c r="B2631" s="2" t="str">
        <f>HYPERLINK("https://rth.dk/resources/bsgatlas/details.php?id=BSGatlas-gene-2889","BSGatlas-gene-2889")</f>
        <v>BSGatlas-gene-2889</v>
      </c>
      <c r="C2631" s="1" t="s">
        <v>2616</v>
      </c>
      <c r="D2631" s="1" t="s">
        <v>8</v>
      </c>
      <c r="E2631" s="3">
        <v>2554486</v>
      </c>
      <c r="F2631" s="3">
        <v>2555247</v>
      </c>
      <c r="G2631" s="1" t="s">
        <v>13</v>
      </c>
      <c r="H2631" s="1" t="b">
        <f t="shared" si="98"/>
        <v>0</v>
      </c>
    </row>
    <row r="2632" spans="1:8" ht="21" x14ac:dyDescent="0.25">
      <c r="A2632" s="2" t="str">
        <f>HYPERLINK("https://rth.dk/resources/bsgatlas/details.php?id=BSGatlas-operon-1389","BSGatlas-operon-1389")</f>
        <v>BSGatlas-operon-1389</v>
      </c>
      <c r="B2632" s="2" t="str">
        <f>HYPERLINK("https://rth.dk/resources/bsgatlas/details.php?id=BSGatlas-gene-2890","BSGatlas-gene-2890")</f>
        <v>BSGatlas-gene-2890</v>
      </c>
      <c r="C2632" s="1" t="s">
        <v>2617</v>
      </c>
      <c r="D2632" s="1" t="s">
        <v>8</v>
      </c>
      <c r="E2632" s="3">
        <v>2555519</v>
      </c>
      <c r="F2632" s="3">
        <v>2555845</v>
      </c>
      <c r="G2632" s="1" t="s">
        <v>9</v>
      </c>
      <c r="H2632" s="1" t="b">
        <f t="shared" si="98"/>
        <v>1</v>
      </c>
    </row>
    <row r="2633" spans="1:8" ht="21" x14ac:dyDescent="0.25">
      <c r="A2633" s="2" t="str">
        <f t="shared" ref="A2633:A2640" si="99">HYPERLINK("https://rth.dk/resources/bsgatlas/details.php?id=BSGatlas-operon-1390","BSGatlas-operon-1390")</f>
        <v>BSGatlas-operon-1390</v>
      </c>
      <c r="B2633" s="2" t="str">
        <f>HYPERLINK("https://rth.dk/resources/bsgatlas/details.php?id=BSGatlas-gene-2891","BSGatlas-gene-2891")</f>
        <v>BSGatlas-gene-2891</v>
      </c>
      <c r="C2633" s="1" t="s">
        <v>2618</v>
      </c>
      <c r="D2633" s="1" t="s">
        <v>8</v>
      </c>
      <c r="E2633" s="3">
        <v>2555887</v>
      </c>
      <c r="F2633" s="3">
        <v>2556066</v>
      </c>
      <c r="G2633" s="1" t="s">
        <v>13</v>
      </c>
      <c r="H2633" s="1" t="b">
        <f t="shared" si="98"/>
        <v>0</v>
      </c>
    </row>
    <row r="2634" spans="1:8" ht="21" x14ac:dyDescent="0.25">
      <c r="A2634" s="2" t="str">
        <f t="shared" si="99"/>
        <v>BSGatlas-operon-1390</v>
      </c>
      <c r="B2634" s="2" t="str">
        <f>HYPERLINK("https://rth.dk/resources/bsgatlas/details.php?id=BSGatlas-gene-2892","BSGatlas-gene-2892")</f>
        <v>BSGatlas-gene-2892</v>
      </c>
      <c r="C2634" s="1" t="s">
        <v>2619</v>
      </c>
      <c r="D2634" s="1" t="s">
        <v>8</v>
      </c>
      <c r="E2634" s="3">
        <v>2556137</v>
      </c>
      <c r="F2634" s="3">
        <v>2556511</v>
      </c>
      <c r="G2634" s="1" t="s">
        <v>13</v>
      </c>
      <c r="H2634" s="1" t="b">
        <f t="shared" si="98"/>
        <v>0</v>
      </c>
    </row>
    <row r="2635" spans="1:8" ht="21" x14ac:dyDescent="0.25">
      <c r="A2635" s="2" t="str">
        <f t="shared" si="99"/>
        <v>BSGatlas-operon-1390</v>
      </c>
      <c r="B2635" s="2" t="str">
        <f>HYPERLINK("https://rth.dk/resources/bsgatlas/details.php?id=BSGatlas-gene-2893","BSGatlas-gene-2893")</f>
        <v>BSGatlas-gene-2893</v>
      </c>
      <c r="C2635" s="1" t="s">
        <v>2620</v>
      </c>
      <c r="D2635" s="1" t="s">
        <v>8</v>
      </c>
      <c r="E2635" s="3">
        <v>2556512</v>
      </c>
      <c r="F2635" s="3">
        <v>2556895</v>
      </c>
      <c r="G2635" s="1" t="s">
        <v>13</v>
      </c>
      <c r="H2635" s="1" t="b">
        <f t="shared" si="98"/>
        <v>0</v>
      </c>
    </row>
    <row r="2636" spans="1:8" ht="21" x14ac:dyDescent="0.25">
      <c r="A2636" s="2" t="str">
        <f t="shared" si="99"/>
        <v>BSGatlas-operon-1390</v>
      </c>
      <c r="B2636" s="2" t="str">
        <f>HYPERLINK("https://rth.dk/resources/bsgatlas/details.php?id=BSGatlas-gene-2894","BSGatlas-gene-2894")</f>
        <v>BSGatlas-gene-2894</v>
      </c>
      <c r="C2636" s="1" t="s">
        <v>2621</v>
      </c>
      <c r="D2636" s="1" t="s">
        <v>8</v>
      </c>
      <c r="E2636" s="3">
        <v>2556921</v>
      </c>
      <c r="F2636" s="3">
        <v>2557268</v>
      </c>
      <c r="G2636" s="1" t="s">
        <v>13</v>
      </c>
      <c r="H2636" s="1" t="b">
        <f t="shared" si="98"/>
        <v>0</v>
      </c>
    </row>
    <row r="2637" spans="1:8" ht="21" x14ac:dyDescent="0.25">
      <c r="A2637" s="2" t="str">
        <f t="shared" si="99"/>
        <v>BSGatlas-operon-1390</v>
      </c>
      <c r="B2637" s="2" t="str">
        <f>HYPERLINK("https://rth.dk/resources/bsgatlas/details.php?id=BSGatlas-gene-2895","BSGatlas-gene-2895")</f>
        <v>BSGatlas-gene-2895</v>
      </c>
      <c r="C2637" s="1" t="s">
        <v>2622</v>
      </c>
      <c r="D2637" s="1" t="s">
        <v>8</v>
      </c>
      <c r="E2637" s="3">
        <v>2557252</v>
      </c>
      <c r="F2637" s="3">
        <v>2557683</v>
      </c>
      <c r="G2637" s="1" t="s">
        <v>13</v>
      </c>
      <c r="H2637" s="1" t="b">
        <f t="shared" si="98"/>
        <v>0</v>
      </c>
    </row>
    <row r="2638" spans="1:8" ht="21" x14ac:dyDescent="0.25">
      <c r="A2638" s="2" t="str">
        <f t="shared" si="99"/>
        <v>BSGatlas-operon-1390</v>
      </c>
      <c r="B2638" s="2" t="str">
        <f>HYPERLINK("https://rth.dk/resources/bsgatlas/details.php?id=BSGatlas-gene-2896","BSGatlas-gene-2896")</f>
        <v>BSGatlas-gene-2896</v>
      </c>
      <c r="C2638" s="1" t="s">
        <v>2623</v>
      </c>
      <c r="D2638" s="1" t="s">
        <v>8</v>
      </c>
      <c r="E2638" s="3">
        <v>2557673</v>
      </c>
      <c r="F2638" s="3">
        <v>2557969</v>
      </c>
      <c r="G2638" s="1" t="s">
        <v>13</v>
      </c>
      <c r="H2638" s="1" t="b">
        <f t="shared" si="98"/>
        <v>0</v>
      </c>
    </row>
    <row r="2639" spans="1:8" ht="21" x14ac:dyDescent="0.25">
      <c r="A2639" s="2" t="str">
        <f t="shared" si="99"/>
        <v>BSGatlas-operon-1390</v>
      </c>
      <c r="B2639" s="2" t="str">
        <f>HYPERLINK("https://rth.dk/resources/bsgatlas/details.php?id=BSGatlas-gene-2897","BSGatlas-gene-2897")</f>
        <v>BSGatlas-gene-2897</v>
      </c>
      <c r="C2639" s="1" t="s">
        <v>2624</v>
      </c>
      <c r="D2639" s="1" t="s">
        <v>8</v>
      </c>
      <c r="E2639" s="3">
        <v>2557983</v>
      </c>
      <c r="F2639" s="3">
        <v>2558954</v>
      </c>
      <c r="G2639" s="1" t="s">
        <v>13</v>
      </c>
      <c r="H2639" s="1" t="b">
        <f t="shared" si="98"/>
        <v>0</v>
      </c>
    </row>
    <row r="2640" spans="1:8" ht="21" x14ac:dyDescent="0.25">
      <c r="A2640" s="2" t="str">
        <f t="shared" si="99"/>
        <v>BSGatlas-operon-1390</v>
      </c>
      <c r="B2640" s="2" t="str">
        <f>HYPERLINK("https://rth.dk/resources/bsgatlas/details.php?id=BSGatlas-gene-2898","BSGatlas-gene-2898")</f>
        <v>BSGatlas-gene-2898</v>
      </c>
      <c r="C2640" s="1" t="s">
        <v>2625</v>
      </c>
      <c r="D2640" s="1" t="s">
        <v>8</v>
      </c>
      <c r="E2640" s="3">
        <v>2559007</v>
      </c>
      <c r="F2640" s="3">
        <v>2560077</v>
      </c>
      <c r="G2640" s="1" t="s">
        <v>13</v>
      </c>
      <c r="H2640" s="1" t="b">
        <f t="shared" si="98"/>
        <v>0</v>
      </c>
    </row>
    <row r="2641" spans="1:8" ht="21" x14ac:dyDescent="0.25">
      <c r="A2641" s="2" t="str">
        <f>HYPERLINK("https://rth.dk/resources/bsgatlas/details.php?id=BSGatlas-operon-1391","BSGatlas-operon-1391")</f>
        <v>BSGatlas-operon-1391</v>
      </c>
      <c r="B2641" s="2" t="str">
        <f>HYPERLINK("https://rth.dk/resources/bsgatlas/details.php?id=BSGatlas-gene-2899","BSGatlas-gene-2899")</f>
        <v>BSGatlas-gene-2899</v>
      </c>
      <c r="C2641" s="1" t="s">
        <v>2626</v>
      </c>
      <c r="D2641" s="1" t="s">
        <v>8</v>
      </c>
      <c r="E2641" s="3">
        <v>2560489</v>
      </c>
      <c r="F2641" s="3">
        <v>2561442</v>
      </c>
      <c r="G2641" s="1" t="s">
        <v>13</v>
      </c>
      <c r="H2641" s="1" t="b">
        <f t="shared" si="98"/>
        <v>1</v>
      </c>
    </row>
    <row r="2642" spans="1:8" ht="21" x14ac:dyDescent="0.25">
      <c r="A2642" s="2" t="str">
        <f>HYPERLINK("https://rth.dk/resources/bsgatlas/details.php?id=BSGatlas-operon-1392","BSGatlas-operon-1392")</f>
        <v>BSGatlas-operon-1392</v>
      </c>
      <c r="B2642" s="2" t="str">
        <f>HYPERLINK("https://rth.dk/resources/bsgatlas/details.php?id=BSGatlas-gene-2900","BSGatlas-gene-2900")</f>
        <v>BSGatlas-gene-2900</v>
      </c>
      <c r="C2642" s="1" t="s">
        <v>2627</v>
      </c>
      <c r="D2642" s="1" t="s">
        <v>8</v>
      </c>
      <c r="E2642" s="3">
        <v>2561585</v>
      </c>
      <c r="F2642" s="3">
        <v>2562913</v>
      </c>
      <c r="G2642" s="1" t="s">
        <v>9</v>
      </c>
      <c r="H2642" s="1" t="b">
        <f t="shared" si="98"/>
        <v>0</v>
      </c>
    </row>
    <row r="2643" spans="1:8" ht="21" x14ac:dyDescent="0.25">
      <c r="A2643" s="2" t="str">
        <f>HYPERLINK("https://rth.dk/resources/bsgatlas/details.php?id=BSGatlas-operon-1393","BSGatlas-operon-1393")</f>
        <v>BSGatlas-operon-1393</v>
      </c>
      <c r="B2643" s="2" t="str">
        <f>HYPERLINK("https://rth.dk/resources/bsgatlas/details.php?id=BSGatlas-gene-2901","BSGatlas-gene-2901")</f>
        <v>BSGatlas-gene-2901</v>
      </c>
      <c r="C2643" s="1" t="s">
        <v>2628</v>
      </c>
      <c r="D2643" s="1" t="s">
        <v>8</v>
      </c>
      <c r="E2643" s="3">
        <v>2562966</v>
      </c>
      <c r="F2643" s="3">
        <v>2563802</v>
      </c>
      <c r="G2643" s="1" t="s">
        <v>13</v>
      </c>
      <c r="H2643" s="1" t="b">
        <f t="shared" si="98"/>
        <v>1</v>
      </c>
    </row>
    <row r="2644" spans="1:8" ht="21" x14ac:dyDescent="0.25">
      <c r="A2644" s="2" t="str">
        <f>HYPERLINK("https://rth.dk/resources/bsgatlas/details.php?id=BSGatlas-operon-1394","BSGatlas-operon-1394")</f>
        <v>BSGatlas-operon-1394</v>
      </c>
      <c r="B2644" s="2" t="str">
        <f>HYPERLINK("https://rth.dk/resources/bsgatlas/details.php?id=BSGatlas-gene-2902","BSGatlas-gene-2902")</f>
        <v>BSGatlas-gene-2902</v>
      </c>
      <c r="C2644" s="1" t="s">
        <v>2629</v>
      </c>
      <c r="D2644" s="1" t="s">
        <v>23</v>
      </c>
      <c r="E2644" s="3">
        <v>2563888</v>
      </c>
      <c r="F2644" s="3">
        <v>2563959</v>
      </c>
      <c r="G2644" s="1" t="s">
        <v>9</v>
      </c>
      <c r="H2644" s="1" t="b">
        <f t="shared" si="98"/>
        <v>0</v>
      </c>
    </row>
    <row r="2645" spans="1:8" ht="21" x14ac:dyDescent="0.25">
      <c r="A2645" s="2" t="str">
        <f>HYPERLINK("https://rth.dk/resources/bsgatlas/details.php?id=BSGatlas-operon-1395","BSGatlas-operon-1395")</f>
        <v>BSGatlas-operon-1395</v>
      </c>
      <c r="B2645" s="2" t="str">
        <f>HYPERLINK("https://rth.dk/resources/bsgatlas/details.php?id=BSGatlas-gene-2903","BSGatlas-gene-2903")</f>
        <v>BSGatlas-gene-2903</v>
      </c>
      <c r="C2645" s="1" t="s">
        <v>2630</v>
      </c>
      <c r="D2645" s="1" t="s">
        <v>8</v>
      </c>
      <c r="E2645" s="3">
        <v>2564026</v>
      </c>
      <c r="F2645" s="3">
        <v>2564406</v>
      </c>
      <c r="G2645" s="1" t="s">
        <v>13</v>
      </c>
      <c r="H2645" s="1" t="b">
        <f t="shared" si="98"/>
        <v>1</v>
      </c>
    </row>
    <row r="2646" spans="1:8" ht="21" x14ac:dyDescent="0.25">
      <c r="A2646" s="2" t="str">
        <f>HYPERLINK("https://rth.dk/resources/bsgatlas/details.php?id=BSGatlas-operon-1396","BSGatlas-operon-1396")</f>
        <v>BSGatlas-operon-1396</v>
      </c>
      <c r="B2646" s="2" t="str">
        <f>HYPERLINK("https://rth.dk/resources/bsgatlas/details.php?id=BSGatlas-gene-2904","BSGatlas-gene-2904")</f>
        <v>BSGatlas-gene-2904</v>
      </c>
      <c r="C2646" s="1" t="s">
        <v>2631</v>
      </c>
      <c r="D2646" s="1" t="s">
        <v>8</v>
      </c>
      <c r="E2646" s="3">
        <v>2564638</v>
      </c>
      <c r="F2646" s="3">
        <v>2564883</v>
      </c>
      <c r="G2646" s="1" t="s">
        <v>9</v>
      </c>
      <c r="H2646" s="1" t="b">
        <f t="shared" si="98"/>
        <v>0</v>
      </c>
    </row>
    <row r="2647" spans="1:8" ht="21" x14ac:dyDescent="0.25">
      <c r="A2647" s="2" t="str">
        <f>HYPERLINK("https://rth.dk/resources/bsgatlas/details.php?id=BSGatlas-operon-1397","BSGatlas-operon-1397")</f>
        <v>BSGatlas-operon-1397</v>
      </c>
      <c r="B2647" s="2" t="str">
        <f>HYPERLINK("https://rth.dk/resources/bsgatlas/details.php?id=BSGatlas-gene-2905","BSGatlas-gene-2905")</f>
        <v>BSGatlas-gene-2905</v>
      </c>
      <c r="C2647" s="1" t="s">
        <v>2632</v>
      </c>
      <c r="D2647" s="1" t="s">
        <v>8</v>
      </c>
      <c r="E2647" s="3">
        <v>2564923</v>
      </c>
      <c r="F2647" s="3">
        <v>2565558</v>
      </c>
      <c r="G2647" s="1" t="s">
        <v>13</v>
      </c>
      <c r="H2647" s="1" t="b">
        <f t="shared" si="98"/>
        <v>1</v>
      </c>
    </row>
    <row r="2648" spans="1:8" ht="21" x14ac:dyDescent="0.25">
      <c r="A2648" s="2" t="str">
        <f>HYPERLINK("https://rth.dk/resources/bsgatlas/details.php?id=BSGatlas-operon-1398","BSGatlas-operon-1398")</f>
        <v>BSGatlas-operon-1398</v>
      </c>
      <c r="B2648" s="2" t="str">
        <f>HYPERLINK("https://rth.dk/resources/bsgatlas/details.php?id=BSGatlas-gene-2906","BSGatlas-gene-2906")</f>
        <v>BSGatlas-gene-2906</v>
      </c>
      <c r="C2648" s="1" t="s">
        <v>2633</v>
      </c>
      <c r="D2648" s="1" t="s">
        <v>8</v>
      </c>
      <c r="E2648" s="3">
        <v>2565715</v>
      </c>
      <c r="F2648" s="3">
        <v>2565888</v>
      </c>
      <c r="G2648" s="1" t="s">
        <v>9</v>
      </c>
      <c r="H2648" s="1" t="b">
        <f t="shared" si="98"/>
        <v>0</v>
      </c>
    </row>
    <row r="2649" spans="1:8" ht="21" x14ac:dyDescent="0.25">
      <c r="A2649" s="2" t="str">
        <f>HYPERLINK("https://rth.dk/resources/bsgatlas/details.php?id=BSGatlas-operon-1399","BSGatlas-operon-1399")</f>
        <v>BSGatlas-operon-1399</v>
      </c>
      <c r="B2649" s="2" t="str">
        <f>HYPERLINK("https://rth.dk/resources/bsgatlas/details.php?id=BSGatlas-gene-2907","BSGatlas-gene-2907")</f>
        <v>BSGatlas-gene-2907</v>
      </c>
      <c r="C2649" s="1" t="s">
        <v>2634</v>
      </c>
      <c r="D2649" s="1" t="s">
        <v>8</v>
      </c>
      <c r="E2649" s="3">
        <v>2565920</v>
      </c>
      <c r="F2649" s="3">
        <v>2566234</v>
      </c>
      <c r="G2649" s="1" t="s">
        <v>13</v>
      </c>
      <c r="H2649" s="1" t="b">
        <f t="shared" si="98"/>
        <v>1</v>
      </c>
    </row>
    <row r="2650" spans="1:8" ht="21" x14ac:dyDescent="0.25">
      <c r="A2650" s="2" t="str">
        <f>HYPERLINK("https://rth.dk/resources/bsgatlas/details.php?id=BSGatlas-operon-1399","BSGatlas-operon-1399")</f>
        <v>BSGatlas-operon-1399</v>
      </c>
      <c r="B2650" s="2" t="str">
        <f>HYPERLINK("https://rth.dk/resources/bsgatlas/details.php?id=BSGatlas-gene-2908","BSGatlas-gene-2908")</f>
        <v>BSGatlas-gene-2908</v>
      </c>
      <c r="C2650" s="1" t="s">
        <v>2635</v>
      </c>
      <c r="D2650" s="1" t="s">
        <v>8</v>
      </c>
      <c r="E2650" s="3">
        <v>2566237</v>
      </c>
      <c r="F2650" s="3">
        <v>2567298</v>
      </c>
      <c r="G2650" s="1" t="s">
        <v>13</v>
      </c>
      <c r="H2650" s="1" t="b">
        <f t="shared" si="98"/>
        <v>1</v>
      </c>
    </row>
    <row r="2651" spans="1:8" ht="21" x14ac:dyDescent="0.25">
      <c r="A2651" s="2" t="str">
        <f>HYPERLINK("https://rth.dk/resources/bsgatlas/details.php?id=BSGatlas-operon-1399","BSGatlas-operon-1399")</f>
        <v>BSGatlas-operon-1399</v>
      </c>
      <c r="B2651" s="2" t="str">
        <f>HYPERLINK("https://rth.dk/resources/bsgatlas/details.php?id=BSGatlas-gene-2909","BSGatlas-gene-2909")</f>
        <v>BSGatlas-gene-2909</v>
      </c>
      <c r="C2651" s="1" t="s">
        <v>2636</v>
      </c>
      <c r="D2651" s="1" t="s">
        <v>8</v>
      </c>
      <c r="E2651" s="3">
        <v>2567360</v>
      </c>
      <c r="F2651" s="3">
        <v>2568490</v>
      </c>
      <c r="G2651" s="1" t="s">
        <v>13</v>
      </c>
      <c r="H2651" s="1" t="b">
        <f t="shared" si="98"/>
        <v>1</v>
      </c>
    </row>
    <row r="2652" spans="1:8" ht="21" x14ac:dyDescent="0.25">
      <c r="A2652" s="2" t="str">
        <f>HYPERLINK("https://rth.dk/resources/bsgatlas/details.php?id=BSGatlas-operon-1400","BSGatlas-operon-1400")</f>
        <v>BSGatlas-operon-1400</v>
      </c>
      <c r="B2652" s="2" t="str">
        <f>HYPERLINK("https://rth.dk/resources/bsgatlas/details.php?id=BSGatlas-gene-2910","BSGatlas-gene-2910")</f>
        <v>BSGatlas-gene-2910</v>
      </c>
      <c r="C2652" s="1" t="s">
        <v>2637</v>
      </c>
      <c r="D2652" s="1" t="s">
        <v>8</v>
      </c>
      <c r="E2652" s="3">
        <v>2568573</v>
      </c>
      <c r="F2652" s="3">
        <v>2570489</v>
      </c>
      <c r="G2652" s="1" t="s">
        <v>13</v>
      </c>
      <c r="H2652" s="1" t="b">
        <f t="shared" si="98"/>
        <v>0</v>
      </c>
    </row>
    <row r="2653" spans="1:8" ht="21" x14ac:dyDescent="0.25">
      <c r="A2653" s="2" t="str">
        <f>HYPERLINK("https://rth.dk/resources/bsgatlas/details.php?id=BSGatlas-operon-1400","BSGatlas-operon-1400")</f>
        <v>BSGatlas-operon-1400</v>
      </c>
      <c r="B2653" s="2" t="str">
        <f>HYPERLINK("https://rth.dk/resources/bsgatlas/details.php?id=BSGatlas-gene-2912","BSGatlas-gene-2912")</f>
        <v>BSGatlas-gene-2912</v>
      </c>
      <c r="C2653" s="1" t="s">
        <v>2638</v>
      </c>
      <c r="D2653" s="1" t="s">
        <v>8</v>
      </c>
      <c r="E2653" s="3">
        <v>2570606</v>
      </c>
      <c r="F2653" s="3">
        <v>2571571</v>
      </c>
      <c r="G2653" s="1" t="s">
        <v>13</v>
      </c>
      <c r="H2653" s="1" t="b">
        <f t="shared" si="98"/>
        <v>0</v>
      </c>
    </row>
    <row r="2654" spans="1:8" ht="21" x14ac:dyDescent="0.25">
      <c r="A2654" s="2" t="str">
        <f>HYPERLINK("https://rth.dk/resources/bsgatlas/details.php?id=BSGatlas-operon-1400","BSGatlas-operon-1400")</f>
        <v>BSGatlas-operon-1400</v>
      </c>
      <c r="B2654" s="2" t="str">
        <f>HYPERLINK("https://rth.dk/resources/bsgatlas/details.php?id=BSGatlas-gene-2913","BSGatlas-gene-2913")</f>
        <v>BSGatlas-gene-2913</v>
      </c>
      <c r="C2654" s="1" t="s">
        <v>2639</v>
      </c>
      <c r="D2654" s="1" t="s">
        <v>8</v>
      </c>
      <c r="E2654" s="3">
        <v>2571582</v>
      </c>
      <c r="F2654" s="3">
        <v>2571797</v>
      </c>
      <c r="G2654" s="1" t="s">
        <v>13</v>
      </c>
      <c r="H2654" s="1" t="b">
        <f t="shared" si="98"/>
        <v>0</v>
      </c>
    </row>
    <row r="2655" spans="1:8" ht="21" x14ac:dyDescent="0.25">
      <c r="A2655" s="2" t="str">
        <f>HYPERLINK("https://rth.dk/resources/bsgatlas/details.php?id=BSGatlas-operon-1400","BSGatlas-operon-1400")</f>
        <v>BSGatlas-operon-1400</v>
      </c>
      <c r="B2655" s="2" t="str">
        <f>HYPERLINK("https://rth.dk/resources/bsgatlas/details.php?id=BSGatlas-gene-2914","BSGatlas-gene-2914")</f>
        <v>BSGatlas-gene-2914</v>
      </c>
      <c r="C2655" s="1" t="s">
        <v>2640</v>
      </c>
      <c r="D2655" s="1" t="s">
        <v>8</v>
      </c>
      <c r="E2655" s="3">
        <v>2571907</v>
      </c>
      <c r="F2655" s="3">
        <v>2573430</v>
      </c>
      <c r="G2655" s="1" t="s">
        <v>13</v>
      </c>
      <c r="H2655" s="1" t="b">
        <f t="shared" si="98"/>
        <v>0</v>
      </c>
    </row>
    <row r="2656" spans="1:8" ht="21" x14ac:dyDescent="0.25">
      <c r="A2656" s="2" t="str">
        <f>HYPERLINK("https://rth.dk/resources/bsgatlas/details.php?id=BSGatlas-operon-1400","BSGatlas-operon-1400")</f>
        <v>BSGatlas-operon-1400</v>
      </c>
      <c r="B2656" s="2" t="str">
        <f>HYPERLINK("https://rth.dk/resources/bsgatlas/details.php?id=BSGatlas-gene-2915","BSGatlas-gene-2915")</f>
        <v>BSGatlas-gene-2915</v>
      </c>
      <c r="C2656" s="1" t="s">
        <v>2641</v>
      </c>
      <c r="D2656" s="1" t="s">
        <v>8</v>
      </c>
      <c r="E2656" s="3">
        <v>2573520</v>
      </c>
      <c r="F2656" s="3">
        <v>2573693</v>
      </c>
      <c r="G2656" s="1" t="s">
        <v>13</v>
      </c>
      <c r="H2656" s="1" t="b">
        <f t="shared" si="98"/>
        <v>0</v>
      </c>
    </row>
    <row r="2657" spans="1:8" ht="21" x14ac:dyDescent="0.25">
      <c r="A2657" s="2" t="str">
        <f>HYPERLINK("https://rth.dk/resources/bsgatlas/details.php?id=BSGatlas-operon-1401","BSGatlas-operon-1401")</f>
        <v>BSGatlas-operon-1401</v>
      </c>
      <c r="B2657" s="2" t="str">
        <f>HYPERLINK("https://rth.dk/resources/bsgatlas/details.php?id=BSGatlas-gene-2911","BSGatlas-gene-2911")</f>
        <v>BSGatlas-gene-2911</v>
      </c>
      <c r="C2657" s="1" t="s">
        <v>2642</v>
      </c>
      <c r="D2657" s="1" t="s">
        <v>12</v>
      </c>
      <c r="E2657" s="3">
        <v>2569624</v>
      </c>
      <c r="F2657" s="3">
        <v>2570653</v>
      </c>
      <c r="G2657" s="1" t="s">
        <v>9</v>
      </c>
      <c r="H2657" s="1" t="b">
        <f t="shared" si="98"/>
        <v>1</v>
      </c>
    </row>
    <row r="2658" spans="1:8" ht="21" x14ac:dyDescent="0.25">
      <c r="A2658" s="2" t="str">
        <f>HYPERLINK("https://rth.dk/resources/bsgatlas/details.php?id=BSGatlas-operon-1402","BSGatlas-operon-1402")</f>
        <v>BSGatlas-operon-1402</v>
      </c>
      <c r="B2658" s="2" t="str">
        <f>HYPERLINK("https://rth.dk/resources/bsgatlas/details.php?id=BSGatlas-gene-2917","BSGatlas-gene-2917")</f>
        <v>BSGatlas-gene-2917</v>
      </c>
      <c r="C2658" s="1" t="s">
        <v>2643</v>
      </c>
      <c r="D2658" s="1" t="s">
        <v>8</v>
      </c>
      <c r="E2658" s="3">
        <v>2574408</v>
      </c>
      <c r="F2658" s="3">
        <v>2574557</v>
      </c>
      <c r="G2658" s="1" t="s">
        <v>13</v>
      </c>
      <c r="H2658" s="1" t="b">
        <f t="shared" si="98"/>
        <v>0</v>
      </c>
    </row>
    <row r="2659" spans="1:8" ht="21" x14ac:dyDescent="0.25">
      <c r="A2659" s="2" t="str">
        <f>HYPERLINK("https://rth.dk/resources/bsgatlas/details.php?id=BSGatlas-operon-1402","BSGatlas-operon-1402")</f>
        <v>BSGatlas-operon-1402</v>
      </c>
      <c r="B2659" s="2" t="str">
        <f>HYPERLINK("https://rth.dk/resources/bsgatlas/details.php?id=BSGatlas-gene-2918","BSGatlas-gene-2918")</f>
        <v>BSGatlas-gene-2918</v>
      </c>
      <c r="C2659" s="1" t="s">
        <v>2644</v>
      </c>
      <c r="D2659" s="1" t="s">
        <v>8</v>
      </c>
      <c r="E2659" s="3">
        <v>2574641</v>
      </c>
      <c r="F2659" s="3">
        <v>2575720</v>
      </c>
      <c r="G2659" s="1" t="s">
        <v>13</v>
      </c>
      <c r="H2659" s="1" t="b">
        <f t="shared" si="98"/>
        <v>0</v>
      </c>
    </row>
    <row r="2660" spans="1:8" ht="21" x14ac:dyDescent="0.25">
      <c r="A2660" s="2" t="str">
        <f>HYPERLINK("https://rth.dk/resources/bsgatlas/details.php?id=BSGatlas-operon-1402","BSGatlas-operon-1402")</f>
        <v>BSGatlas-operon-1402</v>
      </c>
      <c r="B2660" s="2" t="str">
        <f>HYPERLINK("https://rth.dk/resources/bsgatlas/details.php?id=BSGatlas-gene-2919","BSGatlas-gene-2919")</f>
        <v>BSGatlas-gene-2919</v>
      </c>
      <c r="C2660" s="1" t="s">
        <v>2645</v>
      </c>
      <c r="D2660" s="1" t="s">
        <v>8</v>
      </c>
      <c r="E2660" s="3">
        <v>2575717</v>
      </c>
      <c r="F2660" s="3">
        <v>2576187</v>
      </c>
      <c r="G2660" s="1" t="s">
        <v>13</v>
      </c>
      <c r="H2660" s="1" t="b">
        <f t="shared" si="98"/>
        <v>0</v>
      </c>
    </row>
    <row r="2661" spans="1:8" ht="21" x14ac:dyDescent="0.25">
      <c r="A2661" s="2" t="str">
        <f>HYPERLINK("https://rth.dk/resources/bsgatlas/details.php?id=BSGatlas-operon-1403","BSGatlas-operon-1403")</f>
        <v>BSGatlas-operon-1403</v>
      </c>
      <c r="B2661" s="2" t="str">
        <f>HYPERLINK("https://rth.dk/resources/bsgatlas/details.php?id=BSGatlas-gene-2920","BSGatlas-gene-2920")</f>
        <v>BSGatlas-gene-2920</v>
      </c>
      <c r="C2661" s="1" t="s">
        <v>2646</v>
      </c>
      <c r="D2661" s="1" t="s">
        <v>8</v>
      </c>
      <c r="E2661" s="3">
        <v>2576367</v>
      </c>
      <c r="F2661" s="3">
        <v>2576720</v>
      </c>
      <c r="G2661" s="1" t="s">
        <v>9</v>
      </c>
      <c r="H2661" s="1" t="b">
        <f t="shared" si="98"/>
        <v>1</v>
      </c>
    </row>
    <row r="2662" spans="1:8" ht="21" x14ac:dyDescent="0.25">
      <c r="A2662" s="2" t="str">
        <f>HYPERLINK("https://rth.dk/resources/bsgatlas/details.php?id=BSGatlas-operon-1403","BSGatlas-operon-1403")</f>
        <v>BSGatlas-operon-1403</v>
      </c>
      <c r="B2662" s="2" t="str">
        <f>HYPERLINK("https://rth.dk/resources/bsgatlas/details.php?id=BSGatlas-gene-2921","BSGatlas-gene-2921")</f>
        <v>BSGatlas-gene-2921</v>
      </c>
      <c r="C2662" s="1" t="s">
        <v>2647</v>
      </c>
      <c r="D2662" s="1" t="s">
        <v>8</v>
      </c>
      <c r="E2662" s="3">
        <v>2576717</v>
      </c>
      <c r="F2662" s="3">
        <v>2577181</v>
      </c>
      <c r="G2662" s="1" t="s">
        <v>9</v>
      </c>
      <c r="H2662" s="1" t="b">
        <f t="shared" si="98"/>
        <v>1</v>
      </c>
    </row>
    <row r="2663" spans="1:8" ht="21" x14ac:dyDescent="0.25">
      <c r="A2663" s="2" t="str">
        <f>HYPERLINK("https://rth.dk/resources/bsgatlas/details.php?id=BSGatlas-operon-1404","BSGatlas-operon-1404")</f>
        <v>BSGatlas-operon-1404</v>
      </c>
      <c r="B2663" s="2" t="str">
        <f>HYPERLINK("https://rth.dk/resources/bsgatlas/details.php?id=BSGatlas-gene-2922","BSGatlas-gene-2922")</f>
        <v>BSGatlas-gene-2922</v>
      </c>
      <c r="C2663" s="1" t="s">
        <v>2648</v>
      </c>
      <c r="D2663" s="1" t="s">
        <v>8</v>
      </c>
      <c r="E2663" s="3">
        <v>2577210</v>
      </c>
      <c r="F2663" s="3">
        <v>2577992</v>
      </c>
      <c r="G2663" s="1" t="s">
        <v>13</v>
      </c>
      <c r="H2663" s="1" t="b">
        <f t="shared" si="98"/>
        <v>0</v>
      </c>
    </row>
    <row r="2664" spans="1:8" ht="21" x14ac:dyDescent="0.25">
      <c r="A2664" s="2" t="str">
        <f>HYPERLINK("https://rth.dk/resources/bsgatlas/details.php?id=BSGatlas-operon-1404","BSGatlas-operon-1404")</f>
        <v>BSGatlas-operon-1404</v>
      </c>
      <c r="B2664" s="2" t="str">
        <f>HYPERLINK("https://rth.dk/resources/bsgatlas/details.php?id=BSGatlas-gene-2923","BSGatlas-gene-2923")</f>
        <v>BSGatlas-gene-2923</v>
      </c>
      <c r="C2664" s="1" t="s">
        <v>2649</v>
      </c>
      <c r="D2664" s="1" t="s">
        <v>8</v>
      </c>
      <c r="E2664" s="3">
        <v>2578003</v>
      </c>
      <c r="F2664" s="3">
        <v>2578812</v>
      </c>
      <c r="G2664" s="1" t="s">
        <v>13</v>
      </c>
      <c r="H2664" s="1" t="b">
        <f t="shared" si="98"/>
        <v>0</v>
      </c>
    </row>
    <row r="2665" spans="1:8" ht="21" x14ac:dyDescent="0.25">
      <c r="A2665" s="2" t="str">
        <f>HYPERLINK("https://rth.dk/resources/bsgatlas/details.php?id=BSGatlas-operon-1404","BSGatlas-operon-1404")</f>
        <v>BSGatlas-operon-1404</v>
      </c>
      <c r="B2665" s="2" t="str">
        <f>HYPERLINK("https://rth.dk/resources/bsgatlas/details.php?id=BSGatlas-gene-2924","BSGatlas-gene-2924")</f>
        <v>BSGatlas-gene-2924</v>
      </c>
      <c r="C2665" s="1" t="s">
        <v>2650</v>
      </c>
      <c r="D2665" s="1" t="s">
        <v>8</v>
      </c>
      <c r="E2665" s="3">
        <v>2578833</v>
      </c>
      <c r="F2665" s="3">
        <v>2579717</v>
      </c>
      <c r="G2665" s="1" t="s">
        <v>13</v>
      </c>
      <c r="H2665" s="1" t="b">
        <f t="shared" si="98"/>
        <v>0</v>
      </c>
    </row>
    <row r="2666" spans="1:8" ht="21" x14ac:dyDescent="0.25">
      <c r="A2666" s="2" t="str">
        <f>HYPERLINK("https://rth.dk/resources/bsgatlas/details.php?id=BSGatlas-operon-1404","BSGatlas-operon-1404")</f>
        <v>BSGatlas-operon-1404</v>
      </c>
      <c r="B2666" s="2" t="str">
        <f>HYPERLINK("https://rth.dk/resources/bsgatlas/details.php?id=BSGatlas-gene-2925","BSGatlas-gene-2925")</f>
        <v>BSGatlas-gene-2925</v>
      </c>
      <c r="C2666" s="1" t="s">
        <v>2651</v>
      </c>
      <c r="D2666" s="1" t="s">
        <v>8</v>
      </c>
      <c r="E2666" s="3">
        <v>2579717</v>
      </c>
      <c r="F2666" s="3">
        <v>2580646</v>
      </c>
      <c r="G2666" s="1" t="s">
        <v>13</v>
      </c>
      <c r="H2666" s="1" t="b">
        <f t="shared" si="98"/>
        <v>0</v>
      </c>
    </row>
    <row r="2667" spans="1:8" ht="21" x14ac:dyDescent="0.25">
      <c r="A2667" s="2" t="str">
        <f>HYPERLINK("https://rth.dk/resources/bsgatlas/details.php?id=BSGatlas-operon-1404","BSGatlas-operon-1404")</f>
        <v>BSGatlas-operon-1404</v>
      </c>
      <c r="B2667" s="2" t="str">
        <f>HYPERLINK("https://rth.dk/resources/bsgatlas/details.php?id=BSGatlas-gene-2926","BSGatlas-gene-2926")</f>
        <v>BSGatlas-gene-2926</v>
      </c>
      <c r="C2667" s="1" t="s">
        <v>2652</v>
      </c>
      <c r="D2667" s="1" t="s">
        <v>8</v>
      </c>
      <c r="E2667" s="3">
        <v>2580715</v>
      </c>
      <c r="F2667" s="3">
        <v>2581617</v>
      </c>
      <c r="G2667" s="1" t="s">
        <v>13</v>
      </c>
      <c r="H2667" s="1" t="b">
        <f t="shared" si="98"/>
        <v>0</v>
      </c>
    </row>
    <row r="2668" spans="1:8" ht="21" x14ac:dyDescent="0.25">
      <c r="A2668" s="2" t="str">
        <f>HYPERLINK("https://rth.dk/resources/bsgatlas/details.php?id=BSGatlas-operon-1405","BSGatlas-operon-1405")</f>
        <v>BSGatlas-operon-1405</v>
      </c>
      <c r="B2668" s="2" t="str">
        <f>HYPERLINK("https://rth.dk/resources/bsgatlas/details.php?id=BSGatlas-gene-2927","BSGatlas-gene-2927")</f>
        <v>BSGatlas-gene-2927</v>
      </c>
      <c r="C2668" s="1" t="s">
        <v>2653</v>
      </c>
      <c r="D2668" s="1" t="s">
        <v>8</v>
      </c>
      <c r="E2668" s="3">
        <v>2581771</v>
      </c>
      <c r="F2668" s="3">
        <v>2583921</v>
      </c>
      <c r="G2668" s="1" t="s">
        <v>13</v>
      </c>
      <c r="H2668" s="1" t="b">
        <f t="shared" si="98"/>
        <v>1</v>
      </c>
    </row>
    <row r="2669" spans="1:8" ht="21" x14ac:dyDescent="0.25">
      <c r="A2669" s="2" t="str">
        <f>HYPERLINK("https://rth.dk/resources/bsgatlas/details.php?id=BSGatlas-operon-1406","BSGatlas-operon-1406")</f>
        <v>BSGatlas-operon-1406</v>
      </c>
      <c r="B2669" s="2" t="str">
        <f>HYPERLINK("https://rth.dk/resources/bsgatlas/details.php?id=BSGatlas-gene-2928","BSGatlas-gene-2928")</f>
        <v>BSGatlas-gene-2928</v>
      </c>
      <c r="C2669" s="1" t="s">
        <v>2654</v>
      </c>
      <c r="D2669" s="1" t="s">
        <v>8</v>
      </c>
      <c r="E2669" s="3">
        <v>2584035</v>
      </c>
      <c r="F2669" s="3">
        <v>2585327</v>
      </c>
      <c r="G2669" s="1" t="s">
        <v>13</v>
      </c>
      <c r="H2669" s="1" t="b">
        <f t="shared" si="98"/>
        <v>0</v>
      </c>
    </row>
    <row r="2670" spans="1:8" ht="21" x14ac:dyDescent="0.25">
      <c r="A2670" s="2" t="str">
        <f>HYPERLINK("https://rth.dk/resources/bsgatlas/details.php?id=BSGatlas-operon-1407","BSGatlas-operon-1407")</f>
        <v>BSGatlas-operon-1407</v>
      </c>
      <c r="B2670" s="2" t="str">
        <f>HYPERLINK("https://rth.dk/resources/bsgatlas/details.php?id=BSGatlas-gene-2929","BSGatlas-gene-2929")</f>
        <v>BSGatlas-gene-2929</v>
      </c>
      <c r="C2670" s="1" t="s">
        <v>2655</v>
      </c>
      <c r="D2670" s="1" t="s">
        <v>8</v>
      </c>
      <c r="E2670" s="3">
        <v>2585434</v>
      </c>
      <c r="F2670" s="3">
        <v>2586042</v>
      </c>
      <c r="G2670" s="1" t="s">
        <v>13</v>
      </c>
      <c r="H2670" s="1" t="b">
        <f t="shared" si="98"/>
        <v>1</v>
      </c>
    </row>
    <row r="2671" spans="1:8" ht="21" x14ac:dyDescent="0.25">
      <c r="A2671" s="2" t="str">
        <f>HYPERLINK("https://rth.dk/resources/bsgatlas/details.php?id=BSGatlas-operon-1407","BSGatlas-operon-1407")</f>
        <v>BSGatlas-operon-1407</v>
      </c>
      <c r="B2671" s="2" t="str">
        <f>HYPERLINK("https://rth.dk/resources/bsgatlas/details.php?id=BSGatlas-gene-2930","BSGatlas-gene-2930")</f>
        <v>BSGatlas-gene-2930</v>
      </c>
      <c r="C2671" s="1" t="s">
        <v>2656</v>
      </c>
      <c r="D2671" s="1" t="s">
        <v>8</v>
      </c>
      <c r="E2671" s="3">
        <v>2586221</v>
      </c>
      <c r="F2671" s="3">
        <v>2586703</v>
      </c>
      <c r="G2671" s="1" t="s">
        <v>13</v>
      </c>
      <c r="H2671" s="1" t="b">
        <f t="shared" si="98"/>
        <v>1</v>
      </c>
    </row>
    <row r="2672" spans="1:8" ht="21" x14ac:dyDescent="0.25">
      <c r="A2672" s="2" t="str">
        <f>HYPERLINK("https://rth.dk/resources/bsgatlas/details.php?id=BSGatlas-operon-1408","BSGatlas-operon-1408")</f>
        <v>BSGatlas-operon-1408</v>
      </c>
      <c r="B2672" s="2" t="str">
        <f>HYPERLINK("https://rth.dk/resources/bsgatlas/details.php?id=BSGatlas-gene-2931","BSGatlas-gene-2931")</f>
        <v>BSGatlas-gene-2931</v>
      </c>
      <c r="C2672" s="1" t="s">
        <v>2657</v>
      </c>
      <c r="D2672" s="1" t="s">
        <v>8</v>
      </c>
      <c r="E2672" s="3">
        <v>2586813</v>
      </c>
      <c r="F2672" s="3">
        <v>2587580</v>
      </c>
      <c r="G2672" s="1" t="s">
        <v>9</v>
      </c>
      <c r="H2672" s="1" t="b">
        <f t="shared" si="98"/>
        <v>0</v>
      </c>
    </row>
    <row r="2673" spans="1:8" ht="21" x14ac:dyDescent="0.25">
      <c r="A2673" s="2" t="str">
        <f>HYPERLINK("https://rth.dk/resources/bsgatlas/details.php?id=BSGatlas-operon-1409","BSGatlas-operon-1409")</f>
        <v>BSGatlas-operon-1409</v>
      </c>
      <c r="B2673" s="2" t="str">
        <f>HYPERLINK("https://rth.dk/resources/bsgatlas/details.php?id=BSGatlas-gene-2932","BSGatlas-gene-2932")</f>
        <v>BSGatlas-gene-2932</v>
      </c>
      <c r="C2673" s="1" t="s">
        <v>2658</v>
      </c>
      <c r="D2673" s="1" t="s">
        <v>8</v>
      </c>
      <c r="E2673" s="3">
        <v>2587996</v>
      </c>
      <c r="F2673" s="3">
        <v>2588424</v>
      </c>
      <c r="G2673" s="1" t="s">
        <v>13</v>
      </c>
      <c r="H2673" s="1" t="b">
        <f t="shared" si="98"/>
        <v>1</v>
      </c>
    </row>
    <row r="2674" spans="1:8" ht="21" x14ac:dyDescent="0.25">
      <c r="A2674" s="2" t="str">
        <f>HYPERLINK("https://rth.dk/resources/bsgatlas/details.php?id=BSGatlas-operon-1410","BSGatlas-operon-1410")</f>
        <v>BSGatlas-operon-1410</v>
      </c>
      <c r="B2674" s="2" t="str">
        <f>HYPERLINK("https://rth.dk/resources/bsgatlas/details.php?id=BSGatlas-gene-2933","BSGatlas-gene-2933")</f>
        <v>BSGatlas-gene-2933</v>
      </c>
      <c r="C2674" s="1" t="s">
        <v>2659</v>
      </c>
      <c r="D2674" s="1" t="s">
        <v>8</v>
      </c>
      <c r="E2674" s="3">
        <v>2588701</v>
      </c>
      <c r="F2674" s="3">
        <v>2589000</v>
      </c>
      <c r="G2674" s="1" t="s">
        <v>9</v>
      </c>
      <c r="H2674" s="1" t="b">
        <f t="shared" si="98"/>
        <v>0</v>
      </c>
    </row>
    <row r="2675" spans="1:8" ht="21" x14ac:dyDescent="0.25">
      <c r="A2675" s="2" t="str">
        <f>HYPERLINK("https://rth.dk/resources/bsgatlas/details.php?id=BSGatlas-operon-1410","BSGatlas-operon-1410")</f>
        <v>BSGatlas-operon-1410</v>
      </c>
      <c r="B2675" s="2" t="str">
        <f>HYPERLINK("https://rth.dk/resources/bsgatlas/details.php?id=BSGatlas-gene-2934","BSGatlas-gene-2934")</f>
        <v>BSGatlas-gene-2934</v>
      </c>
      <c r="C2675" s="1" t="s">
        <v>2660</v>
      </c>
      <c r="D2675" s="1" t="s">
        <v>8</v>
      </c>
      <c r="E2675" s="3">
        <v>2589123</v>
      </c>
      <c r="F2675" s="3">
        <v>2590256</v>
      </c>
      <c r="G2675" s="1" t="s">
        <v>9</v>
      </c>
      <c r="H2675" s="1" t="b">
        <f t="shared" si="98"/>
        <v>0</v>
      </c>
    </row>
    <row r="2676" spans="1:8" ht="21" x14ac:dyDescent="0.25">
      <c r="A2676" s="2" t="str">
        <f>HYPERLINK("https://rth.dk/resources/bsgatlas/details.php?id=BSGatlas-operon-1411","BSGatlas-operon-1411")</f>
        <v>BSGatlas-operon-1411</v>
      </c>
      <c r="B2676" s="2" t="str">
        <f>HYPERLINK("https://rth.dk/resources/bsgatlas/details.php?id=BSGatlas-gene-2935","BSGatlas-gene-2935")</f>
        <v>BSGatlas-gene-2935</v>
      </c>
      <c r="C2676" s="1" t="s">
        <v>2661</v>
      </c>
      <c r="D2676" s="1" t="s">
        <v>8</v>
      </c>
      <c r="E2676" s="3">
        <v>2590282</v>
      </c>
      <c r="F2676" s="3">
        <v>2590671</v>
      </c>
      <c r="G2676" s="1" t="s">
        <v>13</v>
      </c>
      <c r="H2676" s="1" t="b">
        <f t="shared" si="98"/>
        <v>1</v>
      </c>
    </row>
    <row r="2677" spans="1:8" ht="21" x14ac:dyDescent="0.25">
      <c r="A2677" s="2" t="str">
        <f>HYPERLINK("https://rth.dk/resources/bsgatlas/details.php?id=BSGatlas-operon-1412","BSGatlas-operon-1412")</f>
        <v>BSGatlas-operon-1412</v>
      </c>
      <c r="B2677" s="2" t="str">
        <f>HYPERLINK("https://rth.dk/resources/bsgatlas/details.php?id=BSGatlas-gene-2936","BSGatlas-gene-2936")</f>
        <v>BSGatlas-gene-2936</v>
      </c>
      <c r="C2677" s="1" t="s">
        <v>2662</v>
      </c>
      <c r="D2677" s="1" t="s">
        <v>8</v>
      </c>
      <c r="E2677" s="3">
        <v>2590804</v>
      </c>
      <c r="F2677" s="3">
        <v>2591385</v>
      </c>
      <c r="G2677" s="1" t="s">
        <v>9</v>
      </c>
      <c r="H2677" s="1" t="b">
        <f t="shared" si="98"/>
        <v>0</v>
      </c>
    </row>
    <row r="2678" spans="1:8" ht="21" x14ac:dyDescent="0.25">
      <c r="A2678" s="2" t="str">
        <f>HYPERLINK("https://rth.dk/resources/bsgatlas/details.php?id=BSGatlas-operon-1413","BSGatlas-operon-1413")</f>
        <v>BSGatlas-operon-1413</v>
      </c>
      <c r="B2678" s="2" t="str">
        <f>HYPERLINK("https://rth.dk/resources/bsgatlas/details.php?id=BSGatlas-gene-2937","BSGatlas-gene-2937")</f>
        <v>BSGatlas-gene-2937</v>
      </c>
      <c r="C2678" s="1" t="s">
        <v>2663</v>
      </c>
      <c r="D2678" s="1" t="s">
        <v>8</v>
      </c>
      <c r="E2678" s="3">
        <v>2591428</v>
      </c>
      <c r="F2678" s="3">
        <v>2591865</v>
      </c>
      <c r="G2678" s="1" t="s">
        <v>13</v>
      </c>
      <c r="H2678" s="1" t="b">
        <f t="shared" si="98"/>
        <v>1</v>
      </c>
    </row>
    <row r="2679" spans="1:8" ht="21" x14ac:dyDescent="0.25">
      <c r="A2679" s="2" t="str">
        <f>HYPERLINK("https://rth.dk/resources/bsgatlas/details.php?id=BSGatlas-operon-1413","BSGatlas-operon-1413")</f>
        <v>BSGatlas-operon-1413</v>
      </c>
      <c r="B2679" s="2" t="str">
        <f>HYPERLINK("https://rth.dk/resources/bsgatlas/details.php?id=BSGatlas-gene-2938","BSGatlas-gene-2938")</f>
        <v>BSGatlas-gene-2938</v>
      </c>
      <c r="C2679" s="1" t="s">
        <v>2664</v>
      </c>
      <c r="D2679" s="1" t="s">
        <v>8</v>
      </c>
      <c r="E2679" s="3">
        <v>2592003</v>
      </c>
      <c r="F2679" s="3">
        <v>2592884</v>
      </c>
      <c r="G2679" s="1" t="s">
        <v>13</v>
      </c>
      <c r="H2679" s="1" t="b">
        <f t="shared" si="98"/>
        <v>1</v>
      </c>
    </row>
    <row r="2680" spans="1:8" ht="21" x14ac:dyDescent="0.25">
      <c r="A2680" s="2" t="str">
        <f>HYPERLINK("https://rth.dk/resources/bsgatlas/details.php?id=BSGatlas-operon-1413","BSGatlas-operon-1413")</f>
        <v>BSGatlas-operon-1413</v>
      </c>
      <c r="B2680" s="2" t="str">
        <f>HYPERLINK("https://rth.dk/resources/bsgatlas/details.php?id=BSGatlas-gene-2940","BSGatlas-gene-2940")</f>
        <v>BSGatlas-gene-2940</v>
      </c>
      <c r="C2680" s="1" t="s">
        <v>2665</v>
      </c>
      <c r="D2680" s="1" t="s">
        <v>8</v>
      </c>
      <c r="E2680" s="3">
        <v>2593281</v>
      </c>
      <c r="F2680" s="3">
        <v>2594174</v>
      </c>
      <c r="G2680" s="1" t="s">
        <v>13</v>
      </c>
      <c r="H2680" s="1" t="b">
        <f t="shared" si="98"/>
        <v>1</v>
      </c>
    </row>
    <row r="2681" spans="1:8" ht="21" x14ac:dyDescent="0.25">
      <c r="A2681" s="2" t="str">
        <f>HYPERLINK("https://rth.dk/resources/bsgatlas/details.php?id=BSGatlas-operon-1413","BSGatlas-operon-1413")</f>
        <v>BSGatlas-operon-1413</v>
      </c>
      <c r="B2681" s="2" t="str">
        <f>HYPERLINK("https://rth.dk/resources/bsgatlas/details.php?id=BSGatlas-gene-2941","BSGatlas-gene-2941")</f>
        <v>BSGatlas-gene-2941</v>
      </c>
      <c r="C2681" s="1" t="s">
        <v>2666</v>
      </c>
      <c r="D2681" s="1" t="s">
        <v>8</v>
      </c>
      <c r="E2681" s="3">
        <v>2594184</v>
      </c>
      <c r="F2681" s="3">
        <v>2595500</v>
      </c>
      <c r="G2681" s="1" t="s">
        <v>13</v>
      </c>
      <c r="H2681" s="1" t="b">
        <f t="shared" si="98"/>
        <v>1</v>
      </c>
    </row>
    <row r="2682" spans="1:8" ht="21" x14ac:dyDescent="0.25">
      <c r="A2682" s="2" t="str">
        <f>HYPERLINK("https://rth.dk/resources/bsgatlas/details.php?id=BSGatlas-operon-1414","BSGatlas-operon-1414")</f>
        <v>BSGatlas-operon-1414</v>
      </c>
      <c r="B2682" s="2" t="str">
        <f>HYPERLINK("https://rth.dk/resources/bsgatlas/details.php?id=BSGatlas-gene-2939","BSGatlas-gene-2939")</f>
        <v>BSGatlas-gene-2939</v>
      </c>
      <c r="C2682" s="1" t="s">
        <v>2667</v>
      </c>
      <c r="D2682" s="1" t="s">
        <v>8</v>
      </c>
      <c r="E2682" s="3">
        <v>2593000</v>
      </c>
      <c r="F2682" s="3">
        <v>2593254</v>
      </c>
      <c r="G2682" s="1" t="s">
        <v>9</v>
      </c>
      <c r="H2682" s="1" t="b">
        <f t="shared" si="98"/>
        <v>0</v>
      </c>
    </row>
    <row r="2683" spans="1:8" ht="21" x14ac:dyDescent="0.25">
      <c r="A2683" s="2" t="str">
        <f>HYPERLINK("https://rth.dk/resources/bsgatlas/details.php?id=BSGatlas-operon-1415","BSGatlas-operon-1415")</f>
        <v>BSGatlas-operon-1415</v>
      </c>
      <c r="B2683" s="2" t="str">
        <f>HYPERLINK("https://rth.dk/resources/bsgatlas/details.php?id=BSGatlas-gene-2942","BSGatlas-gene-2942")</f>
        <v>BSGatlas-gene-2942</v>
      </c>
      <c r="C2683" s="1" t="s">
        <v>2668</v>
      </c>
      <c r="D2683" s="1" t="s">
        <v>8</v>
      </c>
      <c r="E2683" s="3">
        <v>2595669</v>
      </c>
      <c r="F2683" s="3">
        <v>2596412</v>
      </c>
      <c r="G2683" s="1" t="s">
        <v>9</v>
      </c>
      <c r="H2683" s="1" t="b">
        <f t="shared" si="98"/>
        <v>1</v>
      </c>
    </row>
    <row r="2684" spans="1:8" ht="21" x14ac:dyDescent="0.25">
      <c r="A2684" s="2" t="str">
        <f>HYPERLINK("https://rth.dk/resources/bsgatlas/details.php?id=BSGatlas-operon-1415","BSGatlas-operon-1415")</f>
        <v>BSGatlas-operon-1415</v>
      </c>
      <c r="B2684" s="2" t="str">
        <f>HYPERLINK("https://rth.dk/resources/bsgatlas/details.php?id=BSGatlas-gene-2943","BSGatlas-gene-2943")</f>
        <v>BSGatlas-gene-2943</v>
      </c>
      <c r="C2684" s="1" t="s">
        <v>2669</v>
      </c>
      <c r="D2684" s="1" t="s">
        <v>8</v>
      </c>
      <c r="E2684" s="3">
        <v>2596535</v>
      </c>
      <c r="F2684" s="3">
        <v>2597479</v>
      </c>
      <c r="G2684" s="1" t="s">
        <v>9</v>
      </c>
      <c r="H2684" s="1" t="b">
        <f t="shared" si="98"/>
        <v>1</v>
      </c>
    </row>
    <row r="2685" spans="1:8" ht="21" x14ac:dyDescent="0.25">
      <c r="A2685" s="2" t="str">
        <f>HYPERLINK("https://rth.dk/resources/bsgatlas/details.php?id=BSGatlas-operon-1416","BSGatlas-operon-1416")</f>
        <v>BSGatlas-operon-1416</v>
      </c>
      <c r="B2685" s="2" t="str">
        <f>HYPERLINK("https://rth.dk/resources/bsgatlas/details.php?id=BSGatlas-gene-2944","BSGatlas-gene-2944")</f>
        <v>BSGatlas-gene-2944</v>
      </c>
      <c r="C2685" s="1" t="s">
        <v>2670</v>
      </c>
      <c r="D2685" s="1" t="s">
        <v>8</v>
      </c>
      <c r="E2685" s="3">
        <v>2597502</v>
      </c>
      <c r="F2685" s="3">
        <v>2598623</v>
      </c>
      <c r="G2685" s="1" t="s">
        <v>13</v>
      </c>
      <c r="H2685" s="1" t="b">
        <f t="shared" si="98"/>
        <v>0</v>
      </c>
    </row>
    <row r="2686" spans="1:8" ht="21" x14ac:dyDescent="0.25">
      <c r="A2686" s="2" t="str">
        <f>HYPERLINK("https://rth.dk/resources/bsgatlas/details.php?id=BSGatlas-operon-1416","BSGatlas-operon-1416")</f>
        <v>BSGatlas-operon-1416</v>
      </c>
      <c r="B2686" s="2" t="str">
        <f>HYPERLINK("https://rth.dk/resources/bsgatlas/details.php?id=BSGatlas-gene-2945","BSGatlas-gene-2945")</f>
        <v>BSGatlas-gene-2945</v>
      </c>
      <c r="C2686" s="1" t="s">
        <v>2671</v>
      </c>
      <c r="D2686" s="1" t="s">
        <v>8</v>
      </c>
      <c r="E2686" s="3">
        <v>2598616</v>
      </c>
      <c r="F2686" s="3">
        <v>2599266</v>
      </c>
      <c r="G2686" s="1" t="s">
        <v>13</v>
      </c>
      <c r="H2686" s="1" t="b">
        <f t="shared" si="98"/>
        <v>0</v>
      </c>
    </row>
    <row r="2687" spans="1:8" ht="21" x14ac:dyDescent="0.25">
      <c r="A2687" s="2" t="str">
        <f>HYPERLINK("https://rth.dk/resources/bsgatlas/details.php?id=BSGatlas-operon-1417","BSGatlas-operon-1417")</f>
        <v>BSGatlas-operon-1417</v>
      </c>
      <c r="B2687" s="2" t="str">
        <f>HYPERLINK("https://rth.dk/resources/bsgatlas/details.php?id=BSGatlas-gene-2946","BSGatlas-gene-2946")</f>
        <v>BSGatlas-gene-2946</v>
      </c>
      <c r="C2687" s="1" t="s">
        <v>2672</v>
      </c>
      <c r="D2687" s="1" t="s">
        <v>8</v>
      </c>
      <c r="E2687" s="3">
        <v>2599523</v>
      </c>
      <c r="F2687" s="3">
        <v>2599885</v>
      </c>
      <c r="G2687" s="1" t="s">
        <v>13</v>
      </c>
      <c r="H2687" s="1" t="b">
        <f t="shared" si="98"/>
        <v>1</v>
      </c>
    </row>
    <row r="2688" spans="1:8" ht="21" x14ac:dyDescent="0.25">
      <c r="A2688" s="2" t="str">
        <f>HYPERLINK("https://rth.dk/resources/bsgatlas/details.php?id=BSGatlas-operon-1418","BSGatlas-operon-1418")</f>
        <v>BSGatlas-operon-1418</v>
      </c>
      <c r="B2688" s="2" t="str">
        <f>HYPERLINK("https://rth.dk/resources/bsgatlas/details.php?id=BSGatlas-gene-2947","BSGatlas-gene-2947")</f>
        <v>BSGatlas-gene-2947</v>
      </c>
      <c r="C2688" s="1" t="s">
        <v>2673</v>
      </c>
      <c r="D2688" s="1" t="s">
        <v>12</v>
      </c>
      <c r="E2688" s="3">
        <v>2600156</v>
      </c>
      <c r="F2688" s="3">
        <v>2602305</v>
      </c>
      <c r="G2688" s="1" t="s">
        <v>9</v>
      </c>
      <c r="H2688" s="1" t="b">
        <f t="shared" si="98"/>
        <v>0</v>
      </c>
    </row>
    <row r="2689" spans="1:8" ht="21" x14ac:dyDescent="0.25">
      <c r="A2689" s="2" t="str">
        <f>HYPERLINK("https://rth.dk/resources/bsgatlas/details.php?id=BSGatlas-operon-1419","BSGatlas-operon-1419")</f>
        <v>BSGatlas-operon-1419</v>
      </c>
      <c r="B2689" s="2" t="str">
        <f>HYPERLINK("https://rth.dk/resources/bsgatlas/details.php?id=BSGatlas-gene-2948","BSGatlas-gene-2948")</f>
        <v>BSGatlas-gene-2948</v>
      </c>
      <c r="C2689" s="1" t="s">
        <v>2674</v>
      </c>
      <c r="D2689" s="1" t="s">
        <v>8</v>
      </c>
      <c r="E2689" s="3">
        <v>2600214</v>
      </c>
      <c r="F2689" s="3">
        <v>2601329</v>
      </c>
      <c r="G2689" s="1" t="s">
        <v>13</v>
      </c>
      <c r="H2689" s="1" t="b">
        <f t="shared" si="98"/>
        <v>1</v>
      </c>
    </row>
    <row r="2690" spans="1:8" ht="21" x14ac:dyDescent="0.25">
      <c r="A2690" s="2" t="str">
        <f>HYPERLINK("https://rth.dk/resources/bsgatlas/details.php?id=BSGatlas-operon-1419","BSGatlas-operon-1419")</f>
        <v>BSGatlas-operon-1419</v>
      </c>
      <c r="B2690" s="2" t="str">
        <f>HYPERLINK("https://rth.dk/resources/bsgatlas/details.php?id=BSGatlas-gene-2949","BSGatlas-gene-2949")</f>
        <v>BSGatlas-gene-2949</v>
      </c>
      <c r="C2690" s="1" t="s">
        <v>2675</v>
      </c>
      <c r="D2690" s="1" t="s">
        <v>8</v>
      </c>
      <c r="E2690" s="3">
        <v>2601528</v>
      </c>
      <c r="F2690" s="3">
        <v>2603339</v>
      </c>
      <c r="G2690" s="1" t="s">
        <v>13</v>
      </c>
      <c r="H2690" s="1" t="b">
        <f t="shared" ref="H2690:H2753" si="100">_xlfn.XOR(A2689&lt;&gt;A2690,H2689)</f>
        <v>1</v>
      </c>
    </row>
    <row r="2691" spans="1:8" ht="21" x14ac:dyDescent="0.25">
      <c r="A2691" s="2" t="str">
        <f>HYPERLINK("https://rth.dk/resources/bsgatlas/details.php?id=BSGatlas-operon-1419","BSGatlas-operon-1419")</f>
        <v>BSGatlas-operon-1419</v>
      </c>
      <c r="B2691" s="2" t="str">
        <f>HYPERLINK("https://rth.dk/resources/bsgatlas/details.php?id=BSGatlas-gene-2951","BSGatlas-gene-2951")</f>
        <v>BSGatlas-gene-2951</v>
      </c>
      <c r="C2691" s="1" t="s">
        <v>2676</v>
      </c>
      <c r="D2691" s="1" t="s">
        <v>8</v>
      </c>
      <c r="E2691" s="3">
        <v>2603373</v>
      </c>
      <c r="F2691" s="3">
        <v>2603867</v>
      </c>
      <c r="G2691" s="1" t="s">
        <v>13</v>
      </c>
      <c r="H2691" s="1" t="b">
        <f t="shared" si="100"/>
        <v>1</v>
      </c>
    </row>
    <row r="2692" spans="1:8" ht="21" x14ac:dyDescent="0.25">
      <c r="A2692" s="2" t="str">
        <f>HYPERLINK("https://rth.dk/resources/bsgatlas/details.php?id=BSGatlas-operon-1420","BSGatlas-operon-1420")</f>
        <v>BSGatlas-operon-1420</v>
      </c>
      <c r="B2692" s="2" t="str">
        <f>HYPERLINK("https://rth.dk/resources/bsgatlas/details.php?id=BSGatlas-gene-2950","BSGatlas-gene-2950")</f>
        <v>BSGatlas-gene-2950</v>
      </c>
      <c r="C2692" s="1" t="s">
        <v>2677</v>
      </c>
      <c r="D2692" s="1" t="s">
        <v>8</v>
      </c>
      <c r="E2692" s="3">
        <v>2602979</v>
      </c>
      <c r="F2692" s="3">
        <v>2603275</v>
      </c>
      <c r="G2692" s="1" t="s">
        <v>9</v>
      </c>
      <c r="H2692" s="1" t="b">
        <f t="shared" si="100"/>
        <v>0</v>
      </c>
    </row>
    <row r="2693" spans="1:8" ht="21" x14ac:dyDescent="0.25">
      <c r="A2693" s="2" t="str">
        <f>HYPERLINK("https://rth.dk/resources/bsgatlas/details.php?id=BSGatlas-operon-1421","BSGatlas-operon-1421")</f>
        <v>BSGatlas-operon-1421</v>
      </c>
      <c r="B2693" s="2" t="str">
        <f>HYPERLINK("https://rth.dk/resources/bsgatlas/details.php?id=BSGatlas-gene-2952","BSGatlas-gene-2952")</f>
        <v>BSGatlas-gene-2952</v>
      </c>
      <c r="C2693" s="1" t="s">
        <v>2678</v>
      </c>
      <c r="D2693" s="1" t="s">
        <v>8</v>
      </c>
      <c r="E2693" s="3">
        <v>2604121</v>
      </c>
      <c r="F2693" s="3">
        <v>2604933</v>
      </c>
      <c r="G2693" s="1" t="s">
        <v>13</v>
      </c>
      <c r="H2693" s="1" t="b">
        <f t="shared" si="100"/>
        <v>1</v>
      </c>
    </row>
    <row r="2694" spans="1:8" ht="21" x14ac:dyDescent="0.25">
      <c r="A2694" s="2" t="str">
        <f>HYPERLINK("https://rth.dk/resources/bsgatlas/details.php?id=BSGatlas-operon-1421","BSGatlas-operon-1421")</f>
        <v>BSGatlas-operon-1421</v>
      </c>
      <c r="B2694" s="2" t="str">
        <f>HYPERLINK("https://rth.dk/resources/bsgatlas/details.php?id=BSGatlas-gene-2953","BSGatlas-gene-2953")</f>
        <v>BSGatlas-gene-2953</v>
      </c>
      <c r="C2694" s="1" t="s">
        <v>2679</v>
      </c>
      <c r="D2694" s="1" t="s">
        <v>8</v>
      </c>
      <c r="E2694" s="3">
        <v>2604959</v>
      </c>
      <c r="F2694" s="3">
        <v>2605597</v>
      </c>
      <c r="G2694" s="1" t="s">
        <v>13</v>
      </c>
      <c r="H2694" s="1" t="b">
        <f t="shared" si="100"/>
        <v>1</v>
      </c>
    </row>
    <row r="2695" spans="1:8" ht="21" x14ac:dyDescent="0.25">
      <c r="A2695" s="2" t="str">
        <f>HYPERLINK("https://rth.dk/resources/bsgatlas/details.php?id=BSGatlas-operon-1422","BSGatlas-operon-1422")</f>
        <v>BSGatlas-operon-1422</v>
      </c>
      <c r="B2695" s="2" t="str">
        <f>HYPERLINK("https://rth.dk/resources/bsgatlas/details.php?id=BSGatlas-gene-2954","BSGatlas-gene-2954")</f>
        <v>BSGatlas-gene-2954</v>
      </c>
      <c r="C2695" s="1" t="s">
        <v>2680</v>
      </c>
      <c r="D2695" s="1" t="s">
        <v>8</v>
      </c>
      <c r="E2695" s="3">
        <v>2605730</v>
      </c>
      <c r="F2695" s="3">
        <v>2607769</v>
      </c>
      <c r="G2695" s="1" t="s">
        <v>13</v>
      </c>
      <c r="H2695" s="1" t="b">
        <f t="shared" si="100"/>
        <v>0</v>
      </c>
    </row>
    <row r="2696" spans="1:8" ht="21" x14ac:dyDescent="0.25">
      <c r="A2696" s="2" t="str">
        <f>HYPERLINK("https://rth.dk/resources/bsgatlas/details.php?id=BSGatlas-operon-1422","BSGatlas-operon-1422")</f>
        <v>BSGatlas-operon-1422</v>
      </c>
      <c r="B2696" s="2" t="str">
        <f>HYPERLINK("https://rth.dk/resources/bsgatlas/details.php?id=BSGatlas-gene-2955","BSGatlas-gene-2955")</f>
        <v>BSGatlas-gene-2955</v>
      </c>
      <c r="C2696" s="1" t="s">
        <v>2681</v>
      </c>
      <c r="D2696" s="1" t="s">
        <v>8</v>
      </c>
      <c r="E2696" s="3">
        <v>2607762</v>
      </c>
      <c r="F2696" s="3">
        <v>2608649</v>
      </c>
      <c r="G2696" s="1" t="s">
        <v>13</v>
      </c>
      <c r="H2696" s="1" t="b">
        <f t="shared" si="100"/>
        <v>0</v>
      </c>
    </row>
    <row r="2697" spans="1:8" ht="21" x14ac:dyDescent="0.25">
      <c r="A2697" s="2" t="str">
        <f>HYPERLINK("https://rth.dk/resources/bsgatlas/details.php?id=BSGatlas-operon-1423","BSGatlas-operon-1423")</f>
        <v>BSGatlas-operon-1423</v>
      </c>
      <c r="B2697" s="2" t="str">
        <f>HYPERLINK("https://rth.dk/resources/bsgatlas/details.php?id=BSGatlas-gene-2956","BSGatlas-gene-2956")</f>
        <v>BSGatlas-gene-2956</v>
      </c>
      <c r="C2697" s="1" t="s">
        <v>2682</v>
      </c>
      <c r="D2697" s="1" t="s">
        <v>34</v>
      </c>
      <c r="E2697" s="3">
        <v>2608732</v>
      </c>
      <c r="F2697" s="3">
        <v>2608906</v>
      </c>
      <c r="G2697" s="1" t="s">
        <v>13</v>
      </c>
      <c r="H2697" s="1" t="b">
        <f t="shared" si="100"/>
        <v>1</v>
      </c>
    </row>
    <row r="2698" spans="1:8" ht="21" x14ac:dyDescent="0.25">
      <c r="A2698" s="2" t="str">
        <f>HYPERLINK("https://rth.dk/resources/bsgatlas/details.php?id=BSGatlas-operon-1424","BSGatlas-operon-1424")</f>
        <v>BSGatlas-operon-1424</v>
      </c>
      <c r="B2698" s="2" t="str">
        <f>HYPERLINK("https://rth.dk/resources/bsgatlas/details.php?id=BSGatlas-gene-2957","BSGatlas-gene-2957")</f>
        <v>BSGatlas-gene-2957</v>
      </c>
      <c r="C2698" s="1" t="s">
        <v>2683</v>
      </c>
      <c r="D2698" s="1" t="s">
        <v>12</v>
      </c>
      <c r="E2698" s="3">
        <v>2608912</v>
      </c>
      <c r="F2698" s="3">
        <v>2610324</v>
      </c>
      <c r="G2698" s="1" t="s">
        <v>9</v>
      </c>
      <c r="H2698" s="1" t="b">
        <f t="shared" si="100"/>
        <v>0</v>
      </c>
    </row>
    <row r="2699" spans="1:8" ht="21" x14ac:dyDescent="0.25">
      <c r="A2699" s="2" t="str">
        <f>HYPERLINK("https://rth.dk/resources/bsgatlas/details.php?id=BSGatlas-operon-1425","BSGatlas-operon-1425")</f>
        <v>BSGatlas-operon-1425</v>
      </c>
      <c r="B2699" s="2" t="str">
        <f>HYPERLINK("https://rth.dk/resources/bsgatlas/details.php?id=BSGatlas-gene-2958","BSGatlas-gene-2958")</f>
        <v>BSGatlas-gene-2958</v>
      </c>
      <c r="C2699" s="1" t="s">
        <v>2684</v>
      </c>
      <c r="D2699" s="1" t="s">
        <v>8</v>
      </c>
      <c r="E2699" s="3">
        <v>2608946</v>
      </c>
      <c r="F2699" s="3">
        <v>2609713</v>
      </c>
      <c r="G2699" s="1" t="s">
        <v>13</v>
      </c>
      <c r="H2699" s="1" t="b">
        <f t="shared" si="100"/>
        <v>1</v>
      </c>
    </row>
    <row r="2700" spans="1:8" ht="21" x14ac:dyDescent="0.25">
      <c r="A2700" s="2" t="str">
        <f>HYPERLINK("https://rth.dk/resources/bsgatlas/details.php?id=BSGatlas-operon-1425","BSGatlas-operon-1425")</f>
        <v>BSGatlas-operon-1425</v>
      </c>
      <c r="B2700" s="2" t="str">
        <f>HYPERLINK("https://rth.dk/resources/bsgatlas/details.php?id=BSGatlas-gene-2959","BSGatlas-gene-2959")</f>
        <v>BSGatlas-gene-2959</v>
      </c>
      <c r="C2700" s="1" t="s">
        <v>2685</v>
      </c>
      <c r="D2700" s="1" t="s">
        <v>8</v>
      </c>
      <c r="E2700" s="3">
        <v>2609750</v>
      </c>
      <c r="F2700" s="3">
        <v>2609893</v>
      </c>
      <c r="G2700" s="1" t="s">
        <v>13</v>
      </c>
      <c r="H2700" s="1" t="b">
        <f t="shared" si="100"/>
        <v>1</v>
      </c>
    </row>
    <row r="2701" spans="1:8" ht="21" x14ac:dyDescent="0.25">
      <c r="A2701" s="2" t="str">
        <f>HYPERLINK("https://rth.dk/resources/bsgatlas/details.php?id=BSGatlas-operon-1425","BSGatlas-operon-1425")</f>
        <v>BSGatlas-operon-1425</v>
      </c>
      <c r="B2701" s="2" t="str">
        <f>HYPERLINK("https://rth.dk/resources/bsgatlas/details.php?id=BSGatlas-gene-2960","BSGatlas-gene-2960")</f>
        <v>BSGatlas-gene-2960</v>
      </c>
      <c r="C2701" s="1" t="s">
        <v>2686</v>
      </c>
      <c r="D2701" s="1" t="s">
        <v>8</v>
      </c>
      <c r="E2701" s="3">
        <v>2610041</v>
      </c>
      <c r="F2701" s="3">
        <v>2610946</v>
      </c>
      <c r="G2701" s="1" t="s">
        <v>13</v>
      </c>
      <c r="H2701" s="1" t="b">
        <f t="shared" si="100"/>
        <v>1</v>
      </c>
    </row>
    <row r="2702" spans="1:8" ht="21" x14ac:dyDescent="0.25">
      <c r="A2702" s="2" t="str">
        <f>HYPERLINK("https://rth.dk/resources/bsgatlas/details.php?id=BSGatlas-operon-1425","BSGatlas-operon-1425")</f>
        <v>BSGatlas-operon-1425</v>
      </c>
      <c r="B2702" s="2" t="str">
        <f>HYPERLINK("https://rth.dk/resources/bsgatlas/details.php?id=BSGatlas-gene-2961","BSGatlas-gene-2961")</f>
        <v>BSGatlas-gene-2961</v>
      </c>
      <c r="C2702" s="1" t="s">
        <v>2687</v>
      </c>
      <c r="D2702" s="1" t="s">
        <v>8</v>
      </c>
      <c r="E2702" s="3">
        <v>2610927</v>
      </c>
      <c r="F2702" s="3">
        <v>2611337</v>
      </c>
      <c r="G2702" s="1" t="s">
        <v>13</v>
      </c>
      <c r="H2702" s="1" t="b">
        <f t="shared" si="100"/>
        <v>1</v>
      </c>
    </row>
    <row r="2703" spans="1:8" ht="21" x14ac:dyDescent="0.25">
      <c r="A2703" s="2" t="str">
        <f>HYPERLINK("https://rth.dk/resources/bsgatlas/details.php?id=BSGatlas-operon-1426","BSGatlas-operon-1426")</f>
        <v>BSGatlas-operon-1426</v>
      </c>
      <c r="B2703" s="2" t="str">
        <f>HYPERLINK("https://rth.dk/resources/bsgatlas/details.php?id=BSGatlas-gene-2965","BSGatlas-gene-2965")</f>
        <v>BSGatlas-gene-2965</v>
      </c>
      <c r="C2703" s="1" t="s">
        <v>2688</v>
      </c>
      <c r="D2703" s="1" t="s">
        <v>8</v>
      </c>
      <c r="E2703" s="3">
        <v>2614496</v>
      </c>
      <c r="F2703" s="3">
        <v>2615455</v>
      </c>
      <c r="G2703" s="1" t="s">
        <v>13</v>
      </c>
      <c r="H2703" s="1" t="b">
        <f t="shared" si="100"/>
        <v>0</v>
      </c>
    </row>
    <row r="2704" spans="1:8" ht="21" x14ac:dyDescent="0.25">
      <c r="A2704" s="2" t="str">
        <f>HYPERLINK("https://rth.dk/resources/bsgatlas/details.php?id=BSGatlas-operon-1427","BSGatlas-operon-1427")</f>
        <v>BSGatlas-operon-1427</v>
      </c>
      <c r="B2704" s="2" t="str">
        <f>HYPERLINK("https://rth.dk/resources/bsgatlas/details.php?id=BSGatlas-gene-2966","BSGatlas-gene-2966")</f>
        <v>BSGatlas-gene-2966</v>
      </c>
      <c r="C2704" s="1" t="s">
        <v>2689</v>
      </c>
      <c r="D2704" s="1" t="s">
        <v>8</v>
      </c>
      <c r="E2704" s="3">
        <v>2615452</v>
      </c>
      <c r="F2704" s="3">
        <v>2616648</v>
      </c>
      <c r="G2704" s="1" t="s">
        <v>13</v>
      </c>
      <c r="H2704" s="1" t="b">
        <f t="shared" si="100"/>
        <v>1</v>
      </c>
    </row>
    <row r="2705" spans="1:8" ht="21" x14ac:dyDescent="0.25">
      <c r="A2705" s="2" t="str">
        <f>HYPERLINK("https://rth.dk/resources/bsgatlas/details.php?id=BSGatlas-operon-1427","BSGatlas-operon-1427")</f>
        <v>BSGatlas-operon-1427</v>
      </c>
      <c r="B2705" s="2" t="str">
        <f>HYPERLINK("https://rth.dk/resources/bsgatlas/details.php?id=BSGatlas-gene-2967","BSGatlas-gene-2967")</f>
        <v>BSGatlas-gene-2967</v>
      </c>
      <c r="C2705" s="1" t="s">
        <v>2690</v>
      </c>
      <c r="D2705" s="1" t="s">
        <v>8</v>
      </c>
      <c r="E2705" s="3">
        <v>2616667</v>
      </c>
      <c r="F2705" s="3">
        <v>2616948</v>
      </c>
      <c r="G2705" s="1" t="s">
        <v>13</v>
      </c>
      <c r="H2705" s="1" t="b">
        <f t="shared" si="100"/>
        <v>1</v>
      </c>
    </row>
    <row r="2706" spans="1:8" ht="21" x14ac:dyDescent="0.25">
      <c r="A2706" s="2" t="str">
        <f>HYPERLINK("https://rth.dk/resources/bsgatlas/details.php?id=BSGatlas-operon-1428","BSGatlas-operon-1428")</f>
        <v>BSGatlas-operon-1428</v>
      </c>
      <c r="B2706" s="2" t="str">
        <f>HYPERLINK("https://rth.dk/resources/bsgatlas/details.php?id=BSGatlas-gene-2968","BSGatlas-gene-2968")</f>
        <v>BSGatlas-gene-2968</v>
      </c>
      <c r="C2706" s="1" t="s">
        <v>2691</v>
      </c>
      <c r="D2706" s="1" t="s">
        <v>8</v>
      </c>
      <c r="E2706" s="3">
        <v>2617005</v>
      </c>
      <c r="F2706" s="3">
        <v>2617424</v>
      </c>
      <c r="G2706" s="1" t="s">
        <v>13</v>
      </c>
      <c r="H2706" s="1" t="b">
        <f t="shared" si="100"/>
        <v>0</v>
      </c>
    </row>
    <row r="2707" spans="1:8" ht="21" x14ac:dyDescent="0.25">
      <c r="A2707" s="2" t="str">
        <f>HYPERLINK("https://rth.dk/resources/bsgatlas/details.php?id=BSGatlas-operon-1428","BSGatlas-operon-1428")</f>
        <v>BSGatlas-operon-1428</v>
      </c>
      <c r="B2707" s="2" t="str">
        <f>HYPERLINK("https://rth.dk/resources/bsgatlas/details.php?id=BSGatlas-gene-2969","BSGatlas-gene-2969")</f>
        <v>BSGatlas-gene-2969</v>
      </c>
      <c r="C2707" s="1" t="s">
        <v>2692</v>
      </c>
      <c r="D2707" s="1" t="s">
        <v>8</v>
      </c>
      <c r="E2707" s="3">
        <v>2617449</v>
      </c>
      <c r="F2707" s="3">
        <v>2618444</v>
      </c>
      <c r="G2707" s="1" t="s">
        <v>13</v>
      </c>
      <c r="H2707" s="1" t="b">
        <f t="shared" si="100"/>
        <v>0</v>
      </c>
    </row>
    <row r="2708" spans="1:8" ht="21" x14ac:dyDescent="0.25">
      <c r="A2708" s="2" t="str">
        <f>HYPERLINK("https://rth.dk/resources/bsgatlas/details.php?id=BSGatlas-operon-1428","BSGatlas-operon-1428")</f>
        <v>BSGatlas-operon-1428</v>
      </c>
      <c r="B2708" s="2" t="str">
        <f>HYPERLINK("https://rth.dk/resources/bsgatlas/details.php?id=BSGatlas-gene-2970","BSGatlas-gene-2970")</f>
        <v>BSGatlas-gene-2970</v>
      </c>
      <c r="C2708" s="1" t="s">
        <v>2693</v>
      </c>
      <c r="D2708" s="1" t="s">
        <v>8</v>
      </c>
      <c r="E2708" s="3">
        <v>2618466</v>
      </c>
      <c r="F2708" s="3">
        <v>2619779</v>
      </c>
      <c r="G2708" s="1" t="s">
        <v>13</v>
      </c>
      <c r="H2708" s="1" t="b">
        <f t="shared" si="100"/>
        <v>0</v>
      </c>
    </row>
    <row r="2709" spans="1:8" ht="21" x14ac:dyDescent="0.25">
      <c r="A2709" s="2" t="str">
        <f>HYPERLINK("https://rth.dk/resources/bsgatlas/details.php?id=BSGatlas-operon-1429","BSGatlas-operon-1429")</f>
        <v>BSGatlas-operon-1429</v>
      </c>
      <c r="B2709" s="2" t="str">
        <f>HYPERLINK("https://rth.dk/resources/bsgatlas/details.php?id=BSGatlas-gene-2971","BSGatlas-gene-2971")</f>
        <v>BSGatlas-gene-2971</v>
      </c>
      <c r="C2709" s="1" t="s">
        <v>2694</v>
      </c>
      <c r="D2709" s="1" t="s">
        <v>8</v>
      </c>
      <c r="E2709" s="3">
        <v>2619910</v>
      </c>
      <c r="F2709" s="3">
        <v>2620356</v>
      </c>
      <c r="G2709" s="1" t="s">
        <v>13</v>
      </c>
      <c r="H2709" s="1" t="b">
        <f t="shared" si="100"/>
        <v>1</v>
      </c>
    </row>
    <row r="2710" spans="1:8" ht="21" x14ac:dyDescent="0.25">
      <c r="A2710" s="2" t="str">
        <f>HYPERLINK("https://rth.dk/resources/bsgatlas/details.php?id=BSGatlas-operon-1429","BSGatlas-operon-1429")</f>
        <v>BSGatlas-operon-1429</v>
      </c>
      <c r="B2710" s="2" t="str">
        <f>HYPERLINK("https://rth.dk/resources/bsgatlas/details.php?id=BSGatlas-gene-2972","BSGatlas-gene-2972")</f>
        <v>BSGatlas-gene-2972</v>
      </c>
      <c r="C2710" s="1" t="s">
        <v>2695</v>
      </c>
      <c r="D2710" s="1" t="s">
        <v>8</v>
      </c>
      <c r="E2710" s="3">
        <v>2620371</v>
      </c>
      <c r="F2710" s="3">
        <v>2620544</v>
      </c>
      <c r="G2710" s="1" t="s">
        <v>13</v>
      </c>
      <c r="H2710" s="1" t="b">
        <f t="shared" si="100"/>
        <v>1</v>
      </c>
    </row>
    <row r="2711" spans="1:8" ht="21" x14ac:dyDescent="0.25">
      <c r="A2711" s="2" t="str">
        <f>HYPERLINK("https://rth.dk/resources/bsgatlas/details.php?id=BSGatlas-operon-1430","BSGatlas-operon-1430")</f>
        <v>BSGatlas-operon-1430</v>
      </c>
      <c r="B2711" s="2" t="str">
        <f>HYPERLINK("https://rth.dk/resources/bsgatlas/details.php?id=BSGatlas-gene-2973","BSGatlas-gene-2973")</f>
        <v>BSGatlas-gene-2973</v>
      </c>
      <c r="C2711" s="1" t="s">
        <v>2696</v>
      </c>
      <c r="D2711" s="1" t="s">
        <v>8</v>
      </c>
      <c r="E2711" s="3">
        <v>2620717</v>
      </c>
      <c r="F2711" s="3">
        <v>2621640</v>
      </c>
      <c r="G2711" s="1" t="s">
        <v>9</v>
      </c>
      <c r="H2711" s="1" t="b">
        <f t="shared" si="100"/>
        <v>0</v>
      </c>
    </row>
    <row r="2712" spans="1:8" ht="21" x14ac:dyDescent="0.25">
      <c r="A2712" s="2" t="str">
        <f t="shared" ref="A2712:A2720" si="101">HYPERLINK("https://rth.dk/resources/bsgatlas/details.php?id=BSGatlas-operon-1431","BSGatlas-operon-1431")</f>
        <v>BSGatlas-operon-1431</v>
      </c>
      <c r="B2712" s="2" t="str">
        <f>HYPERLINK("https://rth.dk/resources/bsgatlas/details.php?id=BSGatlas-gene-2974","BSGatlas-gene-2974")</f>
        <v>BSGatlas-gene-2974</v>
      </c>
      <c r="C2712" s="1" t="s">
        <v>2697</v>
      </c>
      <c r="D2712" s="1" t="s">
        <v>8</v>
      </c>
      <c r="E2712" s="3">
        <v>2621677</v>
      </c>
      <c r="F2712" s="3">
        <v>2623032</v>
      </c>
      <c r="G2712" s="1" t="s">
        <v>13</v>
      </c>
      <c r="H2712" s="1" t="b">
        <f t="shared" si="100"/>
        <v>1</v>
      </c>
    </row>
    <row r="2713" spans="1:8" ht="21" x14ac:dyDescent="0.25">
      <c r="A2713" s="2" t="str">
        <f t="shared" si="101"/>
        <v>BSGatlas-operon-1431</v>
      </c>
      <c r="B2713" s="2" t="str">
        <f>HYPERLINK("https://rth.dk/resources/bsgatlas/details.php?id=BSGatlas-gene-2975","BSGatlas-gene-2975")</f>
        <v>BSGatlas-gene-2975</v>
      </c>
      <c r="C2713" s="1" t="s">
        <v>2698</v>
      </c>
      <c r="D2713" s="1" t="s">
        <v>8</v>
      </c>
      <c r="E2713" s="3">
        <v>2623032</v>
      </c>
      <c r="F2713" s="3">
        <v>2623802</v>
      </c>
      <c r="G2713" s="1" t="s">
        <v>13</v>
      </c>
      <c r="H2713" s="1" t="b">
        <f t="shared" si="100"/>
        <v>1</v>
      </c>
    </row>
    <row r="2714" spans="1:8" ht="21" x14ac:dyDescent="0.25">
      <c r="A2714" s="2" t="str">
        <f t="shared" si="101"/>
        <v>BSGatlas-operon-1431</v>
      </c>
      <c r="B2714" s="2" t="str">
        <f>HYPERLINK("https://rth.dk/resources/bsgatlas/details.php?id=BSGatlas-gene-2976","BSGatlas-gene-2976")</f>
        <v>BSGatlas-gene-2976</v>
      </c>
      <c r="C2714" s="1" t="s">
        <v>2699</v>
      </c>
      <c r="D2714" s="1" t="s">
        <v>8</v>
      </c>
      <c r="E2714" s="3">
        <v>2623825</v>
      </c>
      <c r="F2714" s="3">
        <v>2624760</v>
      </c>
      <c r="G2714" s="1" t="s">
        <v>13</v>
      </c>
      <c r="H2714" s="1" t="b">
        <f t="shared" si="100"/>
        <v>1</v>
      </c>
    </row>
    <row r="2715" spans="1:8" ht="21" x14ac:dyDescent="0.25">
      <c r="A2715" s="2" t="str">
        <f t="shared" si="101"/>
        <v>BSGatlas-operon-1431</v>
      </c>
      <c r="B2715" s="2" t="str">
        <f>HYPERLINK("https://rth.dk/resources/bsgatlas/details.php?id=BSGatlas-gene-2977","BSGatlas-gene-2977")</f>
        <v>BSGatlas-gene-2977</v>
      </c>
      <c r="C2715" s="1" t="s">
        <v>2700</v>
      </c>
      <c r="D2715" s="1" t="s">
        <v>8</v>
      </c>
      <c r="E2715" s="3">
        <v>2624785</v>
      </c>
      <c r="F2715" s="3">
        <v>2625912</v>
      </c>
      <c r="G2715" s="1" t="s">
        <v>13</v>
      </c>
      <c r="H2715" s="1" t="b">
        <f t="shared" si="100"/>
        <v>1</v>
      </c>
    </row>
    <row r="2716" spans="1:8" ht="21" x14ac:dyDescent="0.25">
      <c r="A2716" s="2" t="str">
        <f t="shared" si="101"/>
        <v>BSGatlas-operon-1431</v>
      </c>
      <c r="B2716" s="2" t="str">
        <f>HYPERLINK("https://rth.dk/resources/bsgatlas/details.php?id=BSGatlas-gene-2979","BSGatlas-gene-2979")</f>
        <v>BSGatlas-gene-2979</v>
      </c>
      <c r="C2716" s="1" t="s">
        <v>2701</v>
      </c>
      <c r="D2716" s="1" t="s">
        <v>8</v>
      </c>
      <c r="E2716" s="3">
        <v>2626112</v>
      </c>
      <c r="F2716" s="3">
        <v>2627947</v>
      </c>
      <c r="G2716" s="1" t="s">
        <v>13</v>
      </c>
      <c r="H2716" s="1" t="b">
        <f t="shared" si="100"/>
        <v>1</v>
      </c>
    </row>
    <row r="2717" spans="1:8" ht="21" x14ac:dyDescent="0.25">
      <c r="A2717" s="2" t="str">
        <f t="shared" si="101"/>
        <v>BSGatlas-operon-1431</v>
      </c>
      <c r="B2717" s="2" t="str">
        <f>HYPERLINK("https://rth.dk/resources/bsgatlas/details.php?id=BSGatlas-gene-2980","BSGatlas-gene-2980")</f>
        <v>BSGatlas-gene-2980</v>
      </c>
      <c r="C2717" s="1" t="s">
        <v>2702</v>
      </c>
      <c r="D2717" s="1" t="s">
        <v>8</v>
      </c>
      <c r="E2717" s="3">
        <v>2627971</v>
      </c>
      <c r="F2717" s="3">
        <v>2628534</v>
      </c>
      <c r="G2717" s="1" t="s">
        <v>13</v>
      </c>
      <c r="H2717" s="1" t="b">
        <f t="shared" si="100"/>
        <v>1</v>
      </c>
    </row>
    <row r="2718" spans="1:8" ht="21" x14ac:dyDescent="0.25">
      <c r="A2718" s="2" t="str">
        <f t="shared" si="101"/>
        <v>BSGatlas-operon-1431</v>
      </c>
      <c r="B2718" s="2" t="str">
        <f>HYPERLINK("https://rth.dk/resources/bsgatlas/details.php?id=BSGatlas-gene-2981","BSGatlas-gene-2981")</f>
        <v>BSGatlas-gene-2981</v>
      </c>
      <c r="C2718" s="1" t="s">
        <v>2703</v>
      </c>
      <c r="D2718" s="1" t="s">
        <v>8</v>
      </c>
      <c r="E2718" s="3">
        <v>2628606</v>
      </c>
      <c r="F2718" s="3">
        <v>2629637</v>
      </c>
      <c r="G2718" s="1" t="s">
        <v>13</v>
      </c>
      <c r="H2718" s="1" t="b">
        <f t="shared" si="100"/>
        <v>1</v>
      </c>
    </row>
    <row r="2719" spans="1:8" ht="21" x14ac:dyDescent="0.25">
      <c r="A2719" s="2" t="str">
        <f t="shared" si="101"/>
        <v>BSGatlas-operon-1431</v>
      </c>
      <c r="B2719" s="2" t="str">
        <f>HYPERLINK("https://rth.dk/resources/bsgatlas/details.php?id=BSGatlas-gene-2982","BSGatlas-gene-2982")</f>
        <v>BSGatlas-gene-2982</v>
      </c>
      <c r="C2719" s="1" t="s">
        <v>2704</v>
      </c>
      <c r="D2719" s="1" t="s">
        <v>8</v>
      </c>
      <c r="E2719" s="3">
        <v>2629718</v>
      </c>
      <c r="F2719" s="3">
        <v>2630857</v>
      </c>
      <c r="G2719" s="1" t="s">
        <v>13</v>
      </c>
      <c r="H2719" s="1" t="b">
        <f t="shared" si="100"/>
        <v>1</v>
      </c>
    </row>
    <row r="2720" spans="1:8" ht="21" x14ac:dyDescent="0.25">
      <c r="A2720" s="2" t="str">
        <f t="shared" si="101"/>
        <v>BSGatlas-operon-1431</v>
      </c>
      <c r="B2720" s="2" t="str">
        <f>HYPERLINK("https://rth.dk/resources/bsgatlas/details.php?id=BSGatlas-gene-2983","BSGatlas-gene-2983")</f>
        <v>BSGatlas-gene-2983</v>
      </c>
      <c r="C2720" s="1" t="s">
        <v>2705</v>
      </c>
      <c r="D2720" s="1" t="s">
        <v>8</v>
      </c>
      <c r="E2720" s="3">
        <v>2630910</v>
      </c>
      <c r="F2720" s="3">
        <v>2632748</v>
      </c>
      <c r="G2720" s="1" t="s">
        <v>13</v>
      </c>
      <c r="H2720" s="1" t="b">
        <f t="shared" si="100"/>
        <v>1</v>
      </c>
    </row>
    <row r="2721" spans="1:8" ht="21" x14ac:dyDescent="0.25">
      <c r="A2721" s="2" t="str">
        <f>HYPERLINK("https://rth.dk/resources/bsgatlas/details.php?id=BSGatlas-operon-1432","BSGatlas-operon-1432")</f>
        <v>BSGatlas-operon-1432</v>
      </c>
      <c r="B2721" s="2" t="str">
        <f>HYPERLINK("https://rth.dk/resources/bsgatlas/details.php?id=BSGatlas-gene-2978","BSGatlas-gene-2978")</f>
        <v>BSGatlas-gene-2978</v>
      </c>
      <c r="C2721" s="1" t="s">
        <v>2706</v>
      </c>
      <c r="D2721" s="1" t="s">
        <v>55</v>
      </c>
      <c r="E2721" s="3">
        <v>2625951</v>
      </c>
      <c r="F2721" s="3">
        <v>2626112</v>
      </c>
      <c r="G2721" s="1" t="s">
        <v>9</v>
      </c>
      <c r="H2721" s="1" t="b">
        <f t="shared" si="100"/>
        <v>0</v>
      </c>
    </row>
    <row r="2722" spans="1:8" ht="21" x14ac:dyDescent="0.25">
      <c r="A2722" s="2" t="str">
        <f>HYPERLINK("https://rth.dk/resources/bsgatlas/details.php?id=BSGatlas-operon-1433","BSGatlas-operon-1433")</f>
        <v>BSGatlas-operon-1433</v>
      </c>
      <c r="B2722" s="2" t="str">
        <f>HYPERLINK("https://rth.dk/resources/bsgatlas/details.php?id=BSGatlas-gene-2984","BSGatlas-gene-2984")</f>
        <v>BSGatlas-gene-2984</v>
      </c>
      <c r="C2722" s="1" t="s">
        <v>2707</v>
      </c>
      <c r="D2722" s="1" t="s">
        <v>8</v>
      </c>
      <c r="E2722" s="3">
        <v>2632882</v>
      </c>
      <c r="F2722" s="3">
        <v>2633220</v>
      </c>
      <c r="G2722" s="1" t="s">
        <v>13</v>
      </c>
      <c r="H2722" s="1" t="b">
        <f t="shared" si="100"/>
        <v>1</v>
      </c>
    </row>
    <row r="2723" spans="1:8" ht="21" x14ac:dyDescent="0.25">
      <c r="A2723" s="2" t="str">
        <f>HYPERLINK("https://rth.dk/resources/bsgatlas/details.php?id=BSGatlas-operon-1433","BSGatlas-operon-1433")</f>
        <v>BSGatlas-operon-1433</v>
      </c>
      <c r="B2723" s="2" t="str">
        <f>HYPERLINK("https://rth.dk/resources/bsgatlas/details.php?id=BSGatlas-gene-2985","BSGatlas-gene-2985")</f>
        <v>BSGatlas-gene-2985</v>
      </c>
      <c r="C2723" s="1" t="s">
        <v>2708</v>
      </c>
      <c r="D2723" s="1" t="s">
        <v>8</v>
      </c>
      <c r="E2723" s="3">
        <v>2633237</v>
      </c>
      <c r="F2723" s="3">
        <v>2634442</v>
      </c>
      <c r="G2723" s="1" t="s">
        <v>13</v>
      </c>
      <c r="H2723" s="1" t="b">
        <f t="shared" si="100"/>
        <v>1</v>
      </c>
    </row>
    <row r="2724" spans="1:8" ht="21" x14ac:dyDescent="0.25">
      <c r="A2724" s="2" t="str">
        <f>HYPERLINK("https://rth.dk/resources/bsgatlas/details.php?id=BSGatlas-operon-1433","BSGatlas-operon-1433")</f>
        <v>BSGatlas-operon-1433</v>
      </c>
      <c r="B2724" s="2" t="str">
        <f>HYPERLINK("https://rth.dk/resources/bsgatlas/details.php?id=BSGatlas-gene-2986","BSGatlas-gene-2986")</f>
        <v>BSGatlas-gene-2986</v>
      </c>
      <c r="C2724" s="1" t="s">
        <v>2709</v>
      </c>
      <c r="D2724" s="1" t="s">
        <v>8</v>
      </c>
      <c r="E2724" s="3">
        <v>2634505</v>
      </c>
      <c r="F2724" s="3">
        <v>2635611</v>
      </c>
      <c r="G2724" s="1" t="s">
        <v>13</v>
      </c>
      <c r="H2724" s="1" t="b">
        <f t="shared" si="100"/>
        <v>1</v>
      </c>
    </row>
    <row r="2725" spans="1:8" ht="21" x14ac:dyDescent="0.25">
      <c r="A2725" s="2" t="str">
        <f>HYPERLINK("https://rth.dk/resources/bsgatlas/details.php?id=BSGatlas-operon-1434","BSGatlas-operon-1434")</f>
        <v>BSGatlas-operon-1434</v>
      </c>
      <c r="B2725" s="2" t="str">
        <f>HYPERLINK("https://rth.dk/resources/bsgatlas/details.php?id=BSGatlas-gene-2987","BSGatlas-gene-2987")</f>
        <v>BSGatlas-gene-2987</v>
      </c>
      <c r="C2725" s="1" t="s">
        <v>2710</v>
      </c>
      <c r="D2725" s="1" t="s">
        <v>8</v>
      </c>
      <c r="E2725" s="3">
        <v>2635815</v>
      </c>
      <c r="F2725" s="3">
        <v>2636081</v>
      </c>
      <c r="G2725" s="1" t="s">
        <v>9</v>
      </c>
      <c r="H2725" s="1" t="b">
        <f t="shared" si="100"/>
        <v>0</v>
      </c>
    </row>
    <row r="2726" spans="1:8" ht="21" x14ac:dyDescent="0.25">
      <c r="A2726" s="2" t="str">
        <f>HYPERLINK("https://rth.dk/resources/bsgatlas/details.php?id=BSGatlas-operon-1435","BSGatlas-operon-1435")</f>
        <v>BSGatlas-operon-1435</v>
      </c>
      <c r="B2726" s="2" t="str">
        <f>HYPERLINK("https://rth.dk/resources/bsgatlas/details.php?id=BSGatlas-gene-2988","BSGatlas-gene-2988")</f>
        <v>BSGatlas-gene-2988</v>
      </c>
      <c r="C2726" s="1" t="s">
        <v>2711</v>
      </c>
      <c r="D2726" s="1" t="s">
        <v>8</v>
      </c>
      <c r="E2726" s="3">
        <v>2636096</v>
      </c>
      <c r="F2726" s="3">
        <v>2637139</v>
      </c>
      <c r="G2726" s="1" t="s">
        <v>13</v>
      </c>
      <c r="H2726" s="1" t="b">
        <f t="shared" si="100"/>
        <v>1</v>
      </c>
    </row>
    <row r="2727" spans="1:8" ht="21" x14ac:dyDescent="0.25">
      <c r="A2727" s="2" t="str">
        <f>HYPERLINK("https://rth.dk/resources/bsgatlas/details.php?id=BSGatlas-operon-1436","BSGatlas-operon-1436")</f>
        <v>BSGatlas-operon-1436</v>
      </c>
      <c r="B2727" s="2" t="str">
        <f>HYPERLINK("https://rth.dk/resources/bsgatlas/details.php?id=BSGatlas-gene-2990","BSGatlas-gene-2990")</f>
        <v>BSGatlas-gene-2990</v>
      </c>
      <c r="C2727" s="1" t="s">
        <v>2712</v>
      </c>
      <c r="D2727" s="1" t="s">
        <v>12</v>
      </c>
      <c r="E2727" s="3">
        <v>2637203</v>
      </c>
      <c r="F2727" s="3">
        <v>2637542</v>
      </c>
      <c r="G2727" s="1" t="s">
        <v>13</v>
      </c>
      <c r="H2727" s="1" t="b">
        <f t="shared" si="100"/>
        <v>0</v>
      </c>
    </row>
    <row r="2728" spans="1:8" ht="21" x14ac:dyDescent="0.25">
      <c r="A2728" s="2" t="str">
        <f>HYPERLINK("https://rth.dk/resources/bsgatlas/details.php?id=BSGatlas-operon-1437","BSGatlas-operon-1437")</f>
        <v>BSGatlas-operon-1437</v>
      </c>
      <c r="B2728" s="2" t="str">
        <f>HYPERLINK("https://rth.dk/resources/bsgatlas/details.php?id=BSGatlas-gene-2991","BSGatlas-gene-2991")</f>
        <v>BSGatlas-gene-2991</v>
      </c>
      <c r="C2728" s="1" t="s">
        <v>2713</v>
      </c>
      <c r="D2728" s="1" t="s">
        <v>8</v>
      </c>
      <c r="E2728" s="3">
        <v>2637369</v>
      </c>
      <c r="F2728" s="3">
        <v>2637503</v>
      </c>
      <c r="G2728" s="1" t="s">
        <v>9</v>
      </c>
      <c r="H2728" s="1" t="b">
        <f t="shared" si="100"/>
        <v>1</v>
      </c>
    </row>
    <row r="2729" spans="1:8" ht="21" x14ac:dyDescent="0.25">
      <c r="A2729" s="2" t="str">
        <f>HYPERLINK("https://rth.dk/resources/bsgatlas/details.php?id=BSGatlas-operon-1438","BSGatlas-operon-1438")</f>
        <v>BSGatlas-operon-1438</v>
      </c>
      <c r="B2729" s="2" t="str">
        <f>HYPERLINK("https://rth.dk/resources/bsgatlas/details.php?id=BSGatlas-gene-2992","BSGatlas-gene-2992")</f>
        <v>BSGatlas-gene-2992</v>
      </c>
      <c r="C2729" s="1" t="s">
        <v>2714</v>
      </c>
      <c r="D2729" s="1" t="s">
        <v>8</v>
      </c>
      <c r="E2729" s="3">
        <v>2637543</v>
      </c>
      <c r="F2729" s="3">
        <v>2639873</v>
      </c>
      <c r="G2729" s="1" t="s">
        <v>13</v>
      </c>
      <c r="H2729" s="1" t="b">
        <f t="shared" si="100"/>
        <v>0</v>
      </c>
    </row>
    <row r="2730" spans="1:8" ht="21" x14ac:dyDescent="0.25">
      <c r="A2730" s="2" t="str">
        <f>HYPERLINK("https://rth.dk/resources/bsgatlas/details.php?id=BSGatlas-operon-1438","BSGatlas-operon-1438")</f>
        <v>BSGatlas-operon-1438</v>
      </c>
      <c r="B2730" s="2" t="str">
        <f>HYPERLINK("https://rth.dk/resources/bsgatlas/details.php?id=BSGatlas-gene-2993","BSGatlas-gene-2993")</f>
        <v>BSGatlas-gene-2993</v>
      </c>
      <c r="C2730" s="1" t="s">
        <v>2715</v>
      </c>
      <c r="D2730" s="1" t="s">
        <v>8</v>
      </c>
      <c r="E2730" s="3">
        <v>2639877</v>
      </c>
      <c r="F2730" s="3">
        <v>2640446</v>
      </c>
      <c r="G2730" s="1" t="s">
        <v>13</v>
      </c>
      <c r="H2730" s="1" t="b">
        <f t="shared" si="100"/>
        <v>0</v>
      </c>
    </row>
    <row r="2731" spans="1:8" ht="21" x14ac:dyDescent="0.25">
      <c r="A2731" s="2" t="str">
        <f>HYPERLINK("https://rth.dk/resources/bsgatlas/details.php?id=BSGatlas-operon-1438","BSGatlas-operon-1438")</f>
        <v>BSGatlas-operon-1438</v>
      </c>
      <c r="B2731" s="2" t="str">
        <f>HYPERLINK("https://rth.dk/resources/bsgatlas/details.php?id=BSGatlas-gene-2994","BSGatlas-gene-2994")</f>
        <v>BSGatlas-gene-2994</v>
      </c>
      <c r="C2731" s="1" t="s">
        <v>2716</v>
      </c>
      <c r="D2731" s="1" t="s">
        <v>8</v>
      </c>
      <c r="E2731" s="3">
        <v>2640513</v>
      </c>
      <c r="F2731" s="3">
        <v>2641130</v>
      </c>
      <c r="G2731" s="1" t="s">
        <v>13</v>
      </c>
      <c r="H2731" s="1" t="b">
        <f t="shared" si="100"/>
        <v>0</v>
      </c>
    </row>
    <row r="2732" spans="1:8" ht="21" x14ac:dyDescent="0.25">
      <c r="A2732" s="2" t="str">
        <f>HYPERLINK("https://rth.dk/resources/bsgatlas/details.php?id=BSGatlas-operon-1439","BSGatlas-operon-1439")</f>
        <v>BSGatlas-operon-1439</v>
      </c>
      <c r="B2732" s="2" t="str">
        <f>HYPERLINK("https://rth.dk/resources/bsgatlas/details.php?id=BSGatlas-gene-2995","BSGatlas-gene-2995")</f>
        <v>BSGatlas-gene-2995</v>
      </c>
      <c r="C2732" s="1" t="s">
        <v>2717</v>
      </c>
      <c r="D2732" s="1" t="s">
        <v>8</v>
      </c>
      <c r="E2732" s="3">
        <v>2641214</v>
      </c>
      <c r="F2732" s="3">
        <v>2642035</v>
      </c>
      <c r="G2732" s="1" t="s">
        <v>9</v>
      </c>
      <c r="H2732" s="1" t="b">
        <f t="shared" si="100"/>
        <v>1</v>
      </c>
    </row>
    <row r="2733" spans="1:8" ht="21" x14ac:dyDescent="0.25">
      <c r="A2733" s="2" t="str">
        <f t="shared" ref="A2733:A2740" si="102">HYPERLINK("https://rth.dk/resources/bsgatlas/details.php?id=BSGatlas-operon-1440","BSGatlas-operon-1440")</f>
        <v>BSGatlas-operon-1440</v>
      </c>
      <c r="B2733" s="2" t="str">
        <f>HYPERLINK("https://rth.dk/resources/bsgatlas/details.php?id=BSGatlas-gene-2996","BSGatlas-gene-2996")</f>
        <v>BSGatlas-gene-2996</v>
      </c>
      <c r="C2733" s="1" t="s">
        <v>2718</v>
      </c>
      <c r="D2733" s="1" t="s">
        <v>8</v>
      </c>
      <c r="E2733" s="3">
        <v>2642101</v>
      </c>
      <c r="F2733" s="3">
        <v>2642844</v>
      </c>
      <c r="G2733" s="1" t="s">
        <v>13</v>
      </c>
      <c r="H2733" s="1" t="b">
        <f t="shared" si="100"/>
        <v>0</v>
      </c>
    </row>
    <row r="2734" spans="1:8" ht="21" x14ac:dyDescent="0.25">
      <c r="A2734" s="2" t="str">
        <f t="shared" si="102"/>
        <v>BSGatlas-operon-1440</v>
      </c>
      <c r="B2734" s="2" t="str">
        <f>HYPERLINK("https://rth.dk/resources/bsgatlas/details.php?id=BSGatlas-gene-2997","BSGatlas-gene-2997")</f>
        <v>BSGatlas-gene-2997</v>
      </c>
      <c r="C2734" s="1" t="s">
        <v>2719</v>
      </c>
      <c r="D2734" s="1" t="s">
        <v>8</v>
      </c>
      <c r="E2734" s="3">
        <v>2642841</v>
      </c>
      <c r="F2734" s="3">
        <v>2643197</v>
      </c>
      <c r="G2734" s="1" t="s">
        <v>13</v>
      </c>
      <c r="H2734" s="1" t="b">
        <f t="shared" si="100"/>
        <v>0</v>
      </c>
    </row>
    <row r="2735" spans="1:8" ht="21" x14ac:dyDescent="0.25">
      <c r="A2735" s="2" t="str">
        <f t="shared" si="102"/>
        <v>BSGatlas-operon-1440</v>
      </c>
      <c r="B2735" s="2" t="str">
        <f>HYPERLINK("https://rth.dk/resources/bsgatlas/details.php?id=BSGatlas-gene-2998","BSGatlas-gene-2998")</f>
        <v>BSGatlas-gene-2998</v>
      </c>
      <c r="C2735" s="1" t="s">
        <v>2720</v>
      </c>
      <c r="D2735" s="1" t="s">
        <v>8</v>
      </c>
      <c r="E2735" s="3">
        <v>2643215</v>
      </c>
      <c r="F2735" s="3">
        <v>2643775</v>
      </c>
      <c r="G2735" s="1" t="s">
        <v>13</v>
      </c>
      <c r="H2735" s="1" t="b">
        <f t="shared" si="100"/>
        <v>0</v>
      </c>
    </row>
    <row r="2736" spans="1:8" ht="21" x14ac:dyDescent="0.25">
      <c r="A2736" s="2" t="str">
        <f t="shared" si="102"/>
        <v>BSGatlas-operon-1440</v>
      </c>
      <c r="B2736" s="2" t="str">
        <f>HYPERLINK("https://rth.dk/resources/bsgatlas/details.php?id=BSGatlas-gene-2999","BSGatlas-gene-2999")</f>
        <v>BSGatlas-gene-2999</v>
      </c>
      <c r="C2736" s="1" t="s">
        <v>2721</v>
      </c>
      <c r="D2736" s="1" t="s">
        <v>8</v>
      </c>
      <c r="E2736" s="3">
        <v>2643765</v>
      </c>
      <c r="F2736" s="3">
        <v>2644334</v>
      </c>
      <c r="G2736" s="1" t="s">
        <v>13</v>
      </c>
      <c r="H2736" s="1" t="b">
        <f t="shared" si="100"/>
        <v>0</v>
      </c>
    </row>
    <row r="2737" spans="1:8" ht="21" x14ac:dyDescent="0.25">
      <c r="A2737" s="2" t="str">
        <f t="shared" si="102"/>
        <v>BSGatlas-operon-1440</v>
      </c>
      <c r="B2737" s="2" t="str">
        <f>HYPERLINK("https://rth.dk/resources/bsgatlas/details.php?id=BSGatlas-gene-3000","BSGatlas-gene-3000")</f>
        <v>BSGatlas-gene-3000</v>
      </c>
      <c r="C2737" s="1" t="s">
        <v>2722</v>
      </c>
      <c r="D2737" s="1" t="s">
        <v>8</v>
      </c>
      <c r="E2737" s="3">
        <v>2644346</v>
      </c>
      <c r="F2737" s="3">
        <v>2644636</v>
      </c>
      <c r="G2737" s="1" t="s">
        <v>13</v>
      </c>
      <c r="H2737" s="1" t="b">
        <f t="shared" si="100"/>
        <v>0</v>
      </c>
    </row>
    <row r="2738" spans="1:8" ht="21" x14ac:dyDescent="0.25">
      <c r="A2738" s="2" t="str">
        <f t="shared" si="102"/>
        <v>BSGatlas-operon-1440</v>
      </c>
      <c r="B2738" s="2" t="str">
        <f>HYPERLINK("https://rth.dk/resources/bsgatlas/details.php?id=BSGatlas-gene-3001","BSGatlas-gene-3001")</f>
        <v>BSGatlas-gene-3001</v>
      </c>
      <c r="C2738" s="1" t="s">
        <v>2723</v>
      </c>
      <c r="D2738" s="1" t="s">
        <v>8</v>
      </c>
      <c r="E2738" s="3">
        <v>2644630</v>
      </c>
      <c r="F2738" s="3">
        <v>2645472</v>
      </c>
      <c r="G2738" s="1" t="s">
        <v>13</v>
      </c>
      <c r="H2738" s="1" t="b">
        <f t="shared" si="100"/>
        <v>0</v>
      </c>
    </row>
    <row r="2739" spans="1:8" ht="21" x14ac:dyDescent="0.25">
      <c r="A2739" s="2" t="str">
        <f t="shared" si="102"/>
        <v>BSGatlas-operon-1440</v>
      </c>
      <c r="B2739" s="2" t="str">
        <f>HYPERLINK("https://rth.dk/resources/bsgatlas/details.php?id=BSGatlas-gene-3002","BSGatlas-gene-3002")</f>
        <v>BSGatlas-gene-3002</v>
      </c>
      <c r="C2739" s="1" t="s">
        <v>2724</v>
      </c>
      <c r="D2739" s="1" t="s">
        <v>8</v>
      </c>
      <c r="E2739" s="3">
        <v>2645490</v>
      </c>
      <c r="F2739" s="3">
        <v>2646590</v>
      </c>
      <c r="G2739" s="1" t="s">
        <v>13</v>
      </c>
      <c r="H2739" s="1" t="b">
        <f t="shared" si="100"/>
        <v>0</v>
      </c>
    </row>
    <row r="2740" spans="1:8" ht="21" x14ac:dyDescent="0.25">
      <c r="A2740" s="2" t="str">
        <f t="shared" si="102"/>
        <v>BSGatlas-operon-1440</v>
      </c>
      <c r="B2740" s="2" t="str">
        <f>HYPERLINK("https://rth.dk/resources/bsgatlas/details.php?id=BSGatlas-gene-3003","BSGatlas-gene-3003")</f>
        <v>BSGatlas-gene-3003</v>
      </c>
      <c r="C2740" s="1" t="s">
        <v>2725</v>
      </c>
      <c r="D2740" s="1" t="s">
        <v>8</v>
      </c>
      <c r="E2740" s="3">
        <v>2646594</v>
      </c>
      <c r="F2740" s="3">
        <v>2647112</v>
      </c>
      <c r="G2740" s="1" t="s">
        <v>13</v>
      </c>
      <c r="H2740" s="1" t="b">
        <f t="shared" si="100"/>
        <v>0</v>
      </c>
    </row>
    <row r="2741" spans="1:8" ht="21" x14ac:dyDescent="0.25">
      <c r="A2741" s="2" t="str">
        <f>HYPERLINK("https://rth.dk/resources/bsgatlas/details.php?id=BSGatlas-operon-1441","BSGatlas-operon-1441")</f>
        <v>BSGatlas-operon-1441</v>
      </c>
      <c r="B2741" s="2" t="str">
        <f>HYPERLINK("https://rth.dk/resources/bsgatlas/details.php?id=BSGatlas-gene-3004","BSGatlas-gene-3004")</f>
        <v>BSGatlas-gene-3004</v>
      </c>
      <c r="C2741" s="1" t="s">
        <v>2726</v>
      </c>
      <c r="D2741" s="1" t="s">
        <v>2098</v>
      </c>
      <c r="E2741" s="3">
        <v>2647051</v>
      </c>
      <c r="F2741" s="3">
        <v>2647663</v>
      </c>
      <c r="G2741" s="1" t="s">
        <v>13</v>
      </c>
      <c r="H2741" s="1" t="b">
        <f t="shared" si="100"/>
        <v>1</v>
      </c>
    </row>
    <row r="2742" spans="1:8" ht="21" x14ac:dyDescent="0.25">
      <c r="A2742" s="2" t="str">
        <f>HYPERLINK("https://rth.dk/resources/bsgatlas/details.php?id=BSGatlas-operon-1442","BSGatlas-operon-1442")</f>
        <v>BSGatlas-operon-1442</v>
      </c>
      <c r="B2742" s="2" t="str">
        <f>HYPERLINK("https://rth.dk/resources/bsgatlas/details.php?id=BSGatlas-gene-3005","BSGatlas-gene-3005")</f>
        <v>BSGatlas-gene-3005</v>
      </c>
      <c r="C2742" s="1" t="s">
        <v>2727</v>
      </c>
      <c r="D2742" s="1" t="s">
        <v>8</v>
      </c>
      <c r="E2742" s="3">
        <v>2647456</v>
      </c>
      <c r="F2742" s="3">
        <v>2647614</v>
      </c>
      <c r="G2742" s="1" t="s">
        <v>9</v>
      </c>
      <c r="H2742" s="1" t="b">
        <f t="shared" si="100"/>
        <v>0</v>
      </c>
    </row>
    <row r="2743" spans="1:8" ht="21" x14ac:dyDescent="0.25">
      <c r="A2743" s="2" t="str">
        <f>HYPERLINK("https://rth.dk/resources/bsgatlas/details.php?id=BSGatlas-operon-1443","BSGatlas-operon-1443")</f>
        <v>BSGatlas-operon-1443</v>
      </c>
      <c r="B2743" s="2" t="str">
        <f>HYPERLINK("https://rth.dk/resources/bsgatlas/details.php?id=BSGatlas-gene-3006","BSGatlas-gene-3006")</f>
        <v>BSGatlas-gene-3006</v>
      </c>
      <c r="C2743" s="1" t="s">
        <v>2728</v>
      </c>
      <c r="D2743" s="1" t="s">
        <v>12</v>
      </c>
      <c r="E2743" s="3">
        <v>2647695</v>
      </c>
      <c r="F2743" s="3">
        <v>2647869</v>
      </c>
      <c r="G2743" s="1" t="s">
        <v>9</v>
      </c>
      <c r="H2743" s="1" t="b">
        <f t="shared" si="100"/>
        <v>1</v>
      </c>
    </row>
    <row r="2744" spans="1:8" ht="21" x14ac:dyDescent="0.25">
      <c r="A2744" s="2" t="str">
        <f>HYPERLINK("https://rth.dk/resources/bsgatlas/details.php?id=BSGatlas-operon-1444","BSGatlas-operon-1444")</f>
        <v>BSGatlas-operon-1444</v>
      </c>
      <c r="B2744" s="2" t="str">
        <f>HYPERLINK("https://rth.dk/resources/bsgatlas/details.php?id=BSGatlas-gene-3007","BSGatlas-gene-3007")</f>
        <v>BSGatlas-gene-3007</v>
      </c>
      <c r="C2744" s="1" t="s">
        <v>2729</v>
      </c>
      <c r="D2744" s="1" t="s">
        <v>12</v>
      </c>
      <c r="E2744" s="3">
        <v>2647725</v>
      </c>
      <c r="F2744" s="3">
        <v>2647872</v>
      </c>
      <c r="G2744" s="1" t="s">
        <v>13</v>
      </c>
      <c r="H2744" s="1" t="b">
        <f t="shared" si="100"/>
        <v>0</v>
      </c>
    </row>
    <row r="2745" spans="1:8" ht="21" x14ac:dyDescent="0.25">
      <c r="A2745" s="2" t="str">
        <f>HYPERLINK("https://rth.dk/resources/bsgatlas/details.php?id=BSGatlas-operon-1445","BSGatlas-operon-1445")</f>
        <v>BSGatlas-operon-1445</v>
      </c>
      <c r="B2745" s="2" t="str">
        <f>HYPERLINK("https://rth.dk/resources/bsgatlas/details.php?id=BSGatlas-gene-3008","BSGatlas-gene-3008")</f>
        <v>BSGatlas-gene-3008</v>
      </c>
      <c r="C2745" s="1" t="s">
        <v>2730</v>
      </c>
      <c r="D2745" s="1" t="s">
        <v>8</v>
      </c>
      <c r="E2745" s="3">
        <v>2647920</v>
      </c>
      <c r="F2745" s="3">
        <v>2648651</v>
      </c>
      <c r="G2745" s="1" t="s">
        <v>13</v>
      </c>
      <c r="H2745" s="1" t="b">
        <f t="shared" si="100"/>
        <v>1</v>
      </c>
    </row>
    <row r="2746" spans="1:8" ht="21" x14ac:dyDescent="0.25">
      <c r="A2746" s="2" t="str">
        <f>HYPERLINK("https://rth.dk/resources/bsgatlas/details.php?id=BSGatlas-operon-1446","BSGatlas-operon-1446")</f>
        <v>BSGatlas-operon-1446</v>
      </c>
      <c r="B2746" s="2" t="str">
        <f>HYPERLINK("https://rth.dk/resources/bsgatlas/details.php?id=BSGatlas-gene-3009","BSGatlas-gene-3009")</f>
        <v>BSGatlas-gene-3009</v>
      </c>
      <c r="C2746" s="1" t="s">
        <v>2731</v>
      </c>
      <c r="D2746" s="1" t="s">
        <v>8</v>
      </c>
      <c r="E2746" s="3">
        <v>2648903</v>
      </c>
      <c r="F2746" s="3">
        <v>2649655</v>
      </c>
      <c r="G2746" s="1" t="s">
        <v>13</v>
      </c>
      <c r="H2746" s="1" t="b">
        <f t="shared" si="100"/>
        <v>0</v>
      </c>
    </row>
    <row r="2747" spans="1:8" ht="21" x14ac:dyDescent="0.25">
      <c r="A2747" s="2" t="str">
        <f>HYPERLINK("https://rth.dk/resources/bsgatlas/details.php?id=BSGatlas-operon-1447","BSGatlas-operon-1447")</f>
        <v>BSGatlas-operon-1447</v>
      </c>
      <c r="B2747" s="2" t="str">
        <f>HYPERLINK("https://rth.dk/resources/bsgatlas/details.php?id=BSGatlas-gene-3010","BSGatlas-gene-3010")</f>
        <v>BSGatlas-gene-3010</v>
      </c>
      <c r="C2747" s="1" t="s">
        <v>2732</v>
      </c>
      <c r="D2747" s="1" t="s">
        <v>8</v>
      </c>
      <c r="E2747" s="3">
        <v>2649842</v>
      </c>
      <c r="F2747" s="3">
        <v>2650468</v>
      </c>
      <c r="G2747" s="1" t="s">
        <v>9</v>
      </c>
      <c r="H2747" s="1" t="b">
        <f t="shared" si="100"/>
        <v>1</v>
      </c>
    </row>
    <row r="2748" spans="1:8" ht="21" x14ac:dyDescent="0.25">
      <c r="A2748" s="2" t="str">
        <f>HYPERLINK("https://rth.dk/resources/bsgatlas/details.php?id=BSGatlas-operon-1448","BSGatlas-operon-1448")</f>
        <v>BSGatlas-operon-1448</v>
      </c>
      <c r="B2748" s="2" t="str">
        <f>HYPERLINK("https://rth.dk/resources/bsgatlas/details.php?id=BSGatlas-gene-3011","BSGatlas-gene-3011")</f>
        <v>BSGatlas-gene-3011</v>
      </c>
      <c r="C2748" s="1" t="s">
        <v>2733</v>
      </c>
      <c r="D2748" s="1" t="s">
        <v>8</v>
      </c>
      <c r="E2748" s="3">
        <v>2650487</v>
      </c>
      <c r="F2748" s="3">
        <v>2651380</v>
      </c>
      <c r="G2748" s="1" t="s">
        <v>13</v>
      </c>
      <c r="H2748" s="1" t="b">
        <f t="shared" si="100"/>
        <v>0</v>
      </c>
    </row>
    <row r="2749" spans="1:8" ht="21" x14ac:dyDescent="0.25">
      <c r="A2749" s="2" t="str">
        <f>HYPERLINK("https://rth.dk/resources/bsgatlas/details.php?id=BSGatlas-operon-1449","BSGatlas-operon-1449")</f>
        <v>BSGatlas-operon-1449</v>
      </c>
      <c r="B2749" s="2" t="str">
        <f>HYPERLINK("https://rth.dk/resources/bsgatlas/details.php?id=BSGatlas-gene-3012","BSGatlas-gene-3012")</f>
        <v>BSGatlas-gene-3012</v>
      </c>
      <c r="C2749" s="1" t="s">
        <v>2734</v>
      </c>
      <c r="D2749" s="1" t="s">
        <v>8</v>
      </c>
      <c r="E2749" s="3">
        <v>2651632</v>
      </c>
      <c r="F2749" s="3">
        <v>2652354</v>
      </c>
      <c r="G2749" s="1" t="s">
        <v>9</v>
      </c>
      <c r="H2749" s="1" t="b">
        <f t="shared" si="100"/>
        <v>1</v>
      </c>
    </row>
    <row r="2750" spans="1:8" ht="21" x14ac:dyDescent="0.25">
      <c r="A2750" s="2" t="str">
        <f>HYPERLINK("https://rth.dk/resources/bsgatlas/details.php?id=BSGatlas-operon-1450","BSGatlas-operon-1450")</f>
        <v>BSGatlas-operon-1450</v>
      </c>
      <c r="B2750" s="2" t="str">
        <f>HYPERLINK("https://rth.dk/resources/bsgatlas/details.php?id=BSGatlas-gene-3013","BSGatlas-gene-3013")</f>
        <v>BSGatlas-gene-3013</v>
      </c>
      <c r="C2750" s="1" t="s">
        <v>2735</v>
      </c>
      <c r="D2750" s="1" t="s">
        <v>8</v>
      </c>
      <c r="E2750" s="3">
        <v>2652387</v>
      </c>
      <c r="F2750" s="3">
        <v>2652797</v>
      </c>
      <c r="G2750" s="1" t="s">
        <v>13</v>
      </c>
      <c r="H2750" s="1" t="b">
        <f t="shared" si="100"/>
        <v>0</v>
      </c>
    </row>
    <row r="2751" spans="1:8" ht="21" x14ac:dyDescent="0.25">
      <c r="A2751" s="2" t="str">
        <f>HYPERLINK("https://rth.dk/resources/bsgatlas/details.php?id=BSGatlas-operon-1451","BSGatlas-operon-1451")</f>
        <v>BSGatlas-operon-1451</v>
      </c>
      <c r="B2751" s="2" t="str">
        <f>HYPERLINK("https://rth.dk/resources/bsgatlas/details.php?id=BSGatlas-gene-3014","BSGatlas-gene-3014")</f>
        <v>BSGatlas-gene-3014</v>
      </c>
      <c r="C2751" s="1" t="s">
        <v>2736</v>
      </c>
      <c r="D2751" s="1" t="s">
        <v>8</v>
      </c>
      <c r="E2751" s="3">
        <v>2652993</v>
      </c>
      <c r="F2751" s="3">
        <v>2653463</v>
      </c>
      <c r="G2751" s="1" t="s">
        <v>9</v>
      </c>
      <c r="H2751" s="1" t="b">
        <f t="shared" si="100"/>
        <v>1</v>
      </c>
    </row>
    <row r="2752" spans="1:8" ht="21" x14ac:dyDescent="0.25">
      <c r="A2752" s="2" t="str">
        <f>HYPERLINK("https://rth.dk/resources/bsgatlas/details.php?id=BSGatlas-operon-1452","BSGatlas-operon-1452")</f>
        <v>BSGatlas-operon-1452</v>
      </c>
      <c r="B2752" s="2" t="str">
        <f>HYPERLINK("https://rth.dk/resources/bsgatlas/details.php?id=BSGatlas-gene-3015","BSGatlas-gene-3015")</f>
        <v>BSGatlas-gene-3015</v>
      </c>
      <c r="C2752" s="1" t="s">
        <v>2737</v>
      </c>
      <c r="D2752" s="1" t="s">
        <v>8</v>
      </c>
      <c r="E2752" s="3">
        <v>2653371</v>
      </c>
      <c r="F2752" s="3">
        <v>2654873</v>
      </c>
      <c r="G2752" s="1" t="s">
        <v>13</v>
      </c>
      <c r="H2752" s="1" t="b">
        <f t="shared" si="100"/>
        <v>0</v>
      </c>
    </row>
    <row r="2753" spans="1:8" ht="21" x14ac:dyDescent="0.25">
      <c r="A2753" s="2" t="str">
        <f>HYPERLINK("https://rth.dk/resources/bsgatlas/details.php?id=BSGatlas-operon-1453","BSGatlas-operon-1453")</f>
        <v>BSGatlas-operon-1453</v>
      </c>
      <c r="B2753" s="2" t="str">
        <f>HYPERLINK("https://rth.dk/resources/bsgatlas/details.php?id=BSGatlas-gene-3016","BSGatlas-gene-3016")</f>
        <v>BSGatlas-gene-3016</v>
      </c>
      <c r="C2753" s="1" t="s">
        <v>2738</v>
      </c>
      <c r="D2753" s="1" t="s">
        <v>8</v>
      </c>
      <c r="E2753" s="3">
        <v>2655322</v>
      </c>
      <c r="F2753" s="3">
        <v>2655741</v>
      </c>
      <c r="G2753" s="1" t="s">
        <v>13</v>
      </c>
      <c r="H2753" s="1" t="b">
        <f t="shared" si="100"/>
        <v>1</v>
      </c>
    </row>
    <row r="2754" spans="1:8" ht="21" x14ac:dyDescent="0.25">
      <c r="A2754" s="2" t="str">
        <f>HYPERLINK("https://rth.dk/resources/bsgatlas/details.php?id=BSGatlas-operon-1453","BSGatlas-operon-1453")</f>
        <v>BSGatlas-operon-1453</v>
      </c>
      <c r="B2754" s="2" t="str">
        <f>HYPERLINK("https://rth.dk/resources/bsgatlas/details.php?id=BSGatlas-gene-3017","BSGatlas-gene-3017")</f>
        <v>BSGatlas-gene-3017</v>
      </c>
      <c r="C2754" s="1" t="s">
        <v>2739</v>
      </c>
      <c r="D2754" s="1" t="s">
        <v>8</v>
      </c>
      <c r="E2754" s="3">
        <v>2655753</v>
      </c>
      <c r="F2754" s="3">
        <v>2656793</v>
      </c>
      <c r="G2754" s="1" t="s">
        <v>13</v>
      </c>
      <c r="H2754" s="1" t="b">
        <f t="shared" ref="H2754:H2817" si="103">_xlfn.XOR(A2753&lt;&gt;A2754,H2753)</f>
        <v>1</v>
      </c>
    </row>
    <row r="2755" spans="1:8" ht="21" x14ac:dyDescent="0.25">
      <c r="A2755" s="2" t="str">
        <f>HYPERLINK("https://rth.dk/resources/bsgatlas/details.php?id=BSGatlas-operon-1453","BSGatlas-operon-1453")</f>
        <v>BSGatlas-operon-1453</v>
      </c>
      <c r="B2755" s="2" t="str">
        <f>HYPERLINK("https://rth.dk/resources/bsgatlas/details.php?id=BSGatlas-gene-3018","BSGatlas-gene-3018")</f>
        <v>BSGatlas-gene-3018</v>
      </c>
      <c r="C2755" s="1" t="s">
        <v>2740</v>
      </c>
      <c r="D2755" s="1" t="s">
        <v>8</v>
      </c>
      <c r="E2755" s="3">
        <v>2656816</v>
      </c>
      <c r="F2755" s="3">
        <v>2657256</v>
      </c>
      <c r="G2755" s="1" t="s">
        <v>13</v>
      </c>
      <c r="H2755" s="1" t="b">
        <f t="shared" si="103"/>
        <v>1</v>
      </c>
    </row>
    <row r="2756" spans="1:8" ht="21" x14ac:dyDescent="0.25">
      <c r="A2756" s="2" t="str">
        <f>HYPERLINK("https://rth.dk/resources/bsgatlas/details.php?id=BSGatlas-operon-1453","BSGatlas-operon-1453")</f>
        <v>BSGatlas-operon-1453</v>
      </c>
      <c r="B2756" s="2" t="str">
        <f>HYPERLINK("https://rth.dk/resources/bsgatlas/details.php?id=BSGatlas-gene-3019","BSGatlas-gene-3019")</f>
        <v>BSGatlas-gene-3019</v>
      </c>
      <c r="C2756" s="1" t="s">
        <v>2741</v>
      </c>
      <c r="D2756" s="1" t="s">
        <v>8</v>
      </c>
      <c r="E2756" s="3">
        <v>2657317</v>
      </c>
      <c r="F2756" s="3">
        <v>2657634</v>
      </c>
      <c r="G2756" s="1" t="s">
        <v>13</v>
      </c>
      <c r="H2756" s="1" t="b">
        <f t="shared" si="103"/>
        <v>1</v>
      </c>
    </row>
    <row r="2757" spans="1:8" ht="21" x14ac:dyDescent="0.25">
      <c r="A2757" s="2" t="str">
        <f>HYPERLINK("https://rth.dk/resources/bsgatlas/details.php?id=BSGatlas-operon-1454","BSGatlas-operon-1454")</f>
        <v>BSGatlas-operon-1454</v>
      </c>
      <c r="B2757" s="2" t="str">
        <f>HYPERLINK("https://rth.dk/resources/bsgatlas/details.php?id=BSGatlas-gene-3020","BSGatlas-gene-3020")</f>
        <v>BSGatlas-gene-3020</v>
      </c>
      <c r="C2757" s="1" t="s">
        <v>2742</v>
      </c>
      <c r="D2757" s="1" t="s">
        <v>8</v>
      </c>
      <c r="E2757" s="3">
        <v>2658006</v>
      </c>
      <c r="F2757" s="3">
        <v>2658770</v>
      </c>
      <c r="G2757" s="1" t="s">
        <v>13</v>
      </c>
      <c r="H2757" s="1" t="b">
        <f t="shared" si="103"/>
        <v>0</v>
      </c>
    </row>
    <row r="2758" spans="1:8" ht="21" x14ac:dyDescent="0.25">
      <c r="A2758" s="2" t="str">
        <f>HYPERLINK("https://rth.dk/resources/bsgatlas/details.php?id=BSGatlas-operon-1455","BSGatlas-operon-1455")</f>
        <v>BSGatlas-operon-1455</v>
      </c>
      <c r="B2758" s="2" t="str">
        <f>HYPERLINK("https://rth.dk/resources/bsgatlas/details.php?id=BSGatlas-gene-3021","BSGatlas-gene-3021")</f>
        <v>BSGatlas-gene-3021</v>
      </c>
      <c r="C2758" s="1" t="s">
        <v>2743</v>
      </c>
      <c r="D2758" s="1" t="s">
        <v>8</v>
      </c>
      <c r="E2758" s="3">
        <v>2659213</v>
      </c>
      <c r="F2758" s="3">
        <v>2660340</v>
      </c>
      <c r="G2758" s="1" t="s">
        <v>9</v>
      </c>
      <c r="H2758" s="1" t="b">
        <f t="shared" si="103"/>
        <v>1</v>
      </c>
    </row>
    <row r="2759" spans="1:8" ht="21" x14ac:dyDescent="0.25">
      <c r="A2759" s="2" t="str">
        <f>HYPERLINK("https://rth.dk/resources/bsgatlas/details.php?id=BSGatlas-operon-1455","BSGatlas-operon-1455")</f>
        <v>BSGatlas-operon-1455</v>
      </c>
      <c r="B2759" s="2" t="str">
        <f>HYPERLINK("https://rth.dk/resources/bsgatlas/details.php?id=BSGatlas-gene-3022","BSGatlas-gene-3022")</f>
        <v>BSGatlas-gene-3022</v>
      </c>
      <c r="C2759" s="1" t="s">
        <v>2744</v>
      </c>
      <c r="D2759" s="1" t="s">
        <v>8</v>
      </c>
      <c r="E2759" s="3">
        <v>2660330</v>
      </c>
      <c r="F2759" s="3">
        <v>2660464</v>
      </c>
      <c r="G2759" s="1" t="s">
        <v>9</v>
      </c>
      <c r="H2759" s="1" t="b">
        <f t="shared" si="103"/>
        <v>1</v>
      </c>
    </row>
    <row r="2760" spans="1:8" ht="21" x14ac:dyDescent="0.25">
      <c r="A2760" s="2" t="str">
        <f>HYPERLINK("https://rth.dk/resources/bsgatlas/details.php?id=BSGatlas-operon-1456","BSGatlas-operon-1456")</f>
        <v>BSGatlas-operon-1456</v>
      </c>
      <c r="B2760" s="2" t="str">
        <f>HYPERLINK("https://rth.dk/resources/bsgatlas/details.php?id=BSGatlas-gene-3024","BSGatlas-gene-3024")</f>
        <v>BSGatlas-gene-3024</v>
      </c>
      <c r="C2760" s="1" t="s">
        <v>2745</v>
      </c>
      <c r="D2760" s="1" t="s">
        <v>8</v>
      </c>
      <c r="E2760" s="3">
        <v>2661102</v>
      </c>
      <c r="F2760" s="3">
        <v>2662697</v>
      </c>
      <c r="G2760" s="1" t="s">
        <v>9</v>
      </c>
      <c r="H2760" s="1" t="b">
        <f t="shared" si="103"/>
        <v>0</v>
      </c>
    </row>
    <row r="2761" spans="1:8" ht="21" x14ac:dyDescent="0.25">
      <c r="A2761" s="2" t="str">
        <f>HYPERLINK("https://rth.dk/resources/bsgatlas/details.php?id=BSGatlas-operon-1456","BSGatlas-operon-1456")</f>
        <v>BSGatlas-operon-1456</v>
      </c>
      <c r="B2761" s="2" t="str">
        <f>HYPERLINK("https://rth.dk/resources/bsgatlas/details.php?id=BSGatlas-gene-3025","BSGatlas-gene-3025")</f>
        <v>BSGatlas-gene-3025</v>
      </c>
      <c r="C2761" s="1" t="s">
        <v>2746</v>
      </c>
      <c r="D2761" s="1" t="s">
        <v>8</v>
      </c>
      <c r="E2761" s="3">
        <v>2662712</v>
      </c>
      <c r="F2761" s="3">
        <v>2663290</v>
      </c>
      <c r="G2761" s="1" t="s">
        <v>9</v>
      </c>
      <c r="H2761" s="1" t="b">
        <f t="shared" si="103"/>
        <v>0</v>
      </c>
    </row>
    <row r="2762" spans="1:8" ht="21" x14ac:dyDescent="0.25">
      <c r="A2762" s="2" t="str">
        <f>HYPERLINK("https://rth.dk/resources/bsgatlas/details.php?id=BSGatlas-operon-1457","BSGatlas-operon-1457")</f>
        <v>BSGatlas-operon-1457</v>
      </c>
      <c r="B2762" s="2" t="str">
        <f>HYPERLINK("https://rth.dk/resources/bsgatlas/details.php?id=BSGatlas-gene-3027","BSGatlas-gene-3027")</f>
        <v>BSGatlas-gene-3027</v>
      </c>
      <c r="C2762" s="1" t="s">
        <v>2747</v>
      </c>
      <c r="D2762" s="1" t="s">
        <v>8</v>
      </c>
      <c r="E2762" s="3">
        <v>2663551</v>
      </c>
      <c r="F2762" s="3">
        <v>2663913</v>
      </c>
      <c r="G2762" s="1" t="s">
        <v>13</v>
      </c>
      <c r="H2762" s="1" t="b">
        <f t="shared" si="103"/>
        <v>1</v>
      </c>
    </row>
    <row r="2763" spans="1:8" ht="21" x14ac:dyDescent="0.25">
      <c r="A2763" s="2" t="str">
        <f>HYPERLINK("https://rth.dk/resources/bsgatlas/details.php?id=BSGatlas-operon-1457","BSGatlas-operon-1457")</f>
        <v>BSGatlas-operon-1457</v>
      </c>
      <c r="B2763" s="2" t="str">
        <f>HYPERLINK("https://rth.dk/resources/bsgatlas/details.php?id=BSGatlas-gene-3028","BSGatlas-gene-3028")</f>
        <v>BSGatlas-gene-3028</v>
      </c>
      <c r="C2763" s="1" t="s">
        <v>2748</v>
      </c>
      <c r="D2763" s="1" t="s">
        <v>8</v>
      </c>
      <c r="E2763" s="3">
        <v>2663929</v>
      </c>
      <c r="F2763" s="3">
        <v>2664408</v>
      </c>
      <c r="G2763" s="1" t="s">
        <v>13</v>
      </c>
      <c r="H2763" s="1" t="b">
        <f t="shared" si="103"/>
        <v>1</v>
      </c>
    </row>
    <row r="2764" spans="1:8" ht="21" x14ac:dyDescent="0.25">
      <c r="A2764" s="2" t="str">
        <f>HYPERLINK("https://rth.dk/resources/bsgatlas/details.php?id=BSGatlas-operon-1458","BSGatlas-operon-1458")</f>
        <v>BSGatlas-operon-1458</v>
      </c>
      <c r="B2764" s="2" t="str">
        <f>HYPERLINK("https://rth.dk/resources/bsgatlas/details.php?id=BSGatlas-gene-3026","BSGatlas-gene-3026")</f>
        <v>BSGatlas-gene-3026</v>
      </c>
      <c r="C2764" s="1" t="s">
        <v>318</v>
      </c>
      <c r="D2764" s="1" t="s">
        <v>8</v>
      </c>
      <c r="E2764" s="3">
        <v>2663408</v>
      </c>
      <c r="F2764" s="3">
        <v>2663554</v>
      </c>
      <c r="G2764" s="1" t="s">
        <v>9</v>
      </c>
      <c r="H2764" s="1" t="b">
        <f t="shared" si="103"/>
        <v>0</v>
      </c>
    </row>
    <row r="2765" spans="1:8" ht="21" x14ac:dyDescent="0.25">
      <c r="A2765" s="2" t="str">
        <f>HYPERLINK("https://rth.dk/resources/bsgatlas/details.php?id=BSGatlas-operon-1459","BSGatlas-operon-1459")</f>
        <v>BSGatlas-operon-1459</v>
      </c>
      <c r="B2765" s="2" t="str">
        <f>HYPERLINK("https://rth.dk/resources/bsgatlas/details.php?id=BSGatlas-gene-3030","BSGatlas-gene-3030")</f>
        <v>BSGatlas-gene-3030</v>
      </c>
      <c r="C2765" s="1" t="s">
        <v>2749</v>
      </c>
      <c r="D2765" s="1" t="s">
        <v>12</v>
      </c>
      <c r="E2765" s="3">
        <v>2664732</v>
      </c>
      <c r="F2765" s="3">
        <v>2666054</v>
      </c>
      <c r="G2765" s="1" t="s">
        <v>9</v>
      </c>
      <c r="H2765" s="1" t="b">
        <f t="shared" si="103"/>
        <v>1</v>
      </c>
    </row>
    <row r="2766" spans="1:8" ht="21" x14ac:dyDescent="0.25">
      <c r="A2766" s="2" t="str">
        <f>HYPERLINK("https://rth.dk/resources/bsgatlas/details.php?id=BSGatlas-operon-1460","BSGatlas-operon-1460")</f>
        <v>BSGatlas-operon-1460</v>
      </c>
      <c r="B2766" s="2" t="str">
        <f>HYPERLINK("https://rth.dk/resources/bsgatlas/details.php?id=BSGatlas-gene-3042","BSGatlas-gene-3042")</f>
        <v>BSGatlas-gene-3042</v>
      </c>
      <c r="C2766" s="1" t="s">
        <v>2750</v>
      </c>
      <c r="D2766" s="1" t="s">
        <v>8</v>
      </c>
      <c r="E2766" s="3">
        <v>2672054</v>
      </c>
      <c r="F2766" s="3">
        <v>2672713</v>
      </c>
      <c r="G2766" s="1" t="s">
        <v>13</v>
      </c>
      <c r="H2766" s="1" t="b">
        <f t="shared" si="103"/>
        <v>0</v>
      </c>
    </row>
    <row r="2767" spans="1:8" ht="21" x14ac:dyDescent="0.25">
      <c r="A2767" s="2" t="str">
        <f>HYPERLINK("https://rth.dk/resources/bsgatlas/details.php?id=BSGatlas-operon-1461","BSGatlas-operon-1461")</f>
        <v>BSGatlas-operon-1461</v>
      </c>
      <c r="B2767" s="2" t="str">
        <f>HYPERLINK("https://rth.dk/resources/bsgatlas/details.php?id=BSGatlas-gene-3043","BSGatlas-gene-3043")</f>
        <v>BSGatlas-gene-3043</v>
      </c>
      <c r="C2767" s="1" t="s">
        <v>2751</v>
      </c>
      <c r="D2767" s="1" t="s">
        <v>8</v>
      </c>
      <c r="E2767" s="3">
        <v>2672706</v>
      </c>
      <c r="F2767" s="3">
        <v>2677463</v>
      </c>
      <c r="G2767" s="1" t="s">
        <v>13</v>
      </c>
      <c r="H2767" s="1" t="b">
        <f t="shared" si="103"/>
        <v>1</v>
      </c>
    </row>
    <row r="2768" spans="1:8" ht="21" x14ac:dyDescent="0.25">
      <c r="A2768" s="2" t="str">
        <f>HYPERLINK("https://rth.dk/resources/bsgatlas/details.php?id=BSGatlas-operon-1462","BSGatlas-operon-1462")</f>
        <v>BSGatlas-operon-1462</v>
      </c>
      <c r="B2768" s="2" t="str">
        <f>HYPERLINK("https://rth.dk/resources/bsgatlas/details.php?id=BSGatlas-gene-3048","BSGatlas-gene-3048")</f>
        <v>BSGatlas-gene-3048</v>
      </c>
      <c r="C2768" s="1" t="s">
        <v>2752</v>
      </c>
      <c r="D2768" s="1" t="s">
        <v>2098</v>
      </c>
      <c r="E2768" s="3">
        <v>2678343</v>
      </c>
      <c r="F2768" s="3">
        <v>2678565</v>
      </c>
      <c r="G2768" s="1" t="s">
        <v>13</v>
      </c>
      <c r="H2768" s="1" t="b">
        <f t="shared" si="103"/>
        <v>0</v>
      </c>
    </row>
    <row r="2769" spans="1:8" ht="21" x14ac:dyDescent="0.25">
      <c r="A2769" s="2" t="str">
        <f>HYPERLINK("https://rth.dk/resources/bsgatlas/details.php?id=BSGatlas-operon-1462","BSGatlas-operon-1462")</f>
        <v>BSGatlas-operon-1462</v>
      </c>
      <c r="B2769" s="2" t="str">
        <f>HYPERLINK("https://rth.dk/resources/bsgatlas/details.php?id=BSGatlas-gene-3051","BSGatlas-gene-3051")</f>
        <v>BSGatlas-gene-3051</v>
      </c>
      <c r="C2769" s="1" t="s">
        <v>2753</v>
      </c>
      <c r="D2769" s="1" t="s">
        <v>12</v>
      </c>
      <c r="E2769" s="3">
        <v>2678876</v>
      </c>
      <c r="F2769" s="3">
        <v>2679014</v>
      </c>
      <c r="G2769" s="1" t="s">
        <v>13</v>
      </c>
      <c r="H2769" s="1" t="b">
        <f t="shared" si="103"/>
        <v>0</v>
      </c>
    </row>
    <row r="2770" spans="1:8" ht="21" x14ac:dyDescent="0.25">
      <c r="A2770" s="2" t="str">
        <f>HYPERLINK("https://rth.dk/resources/bsgatlas/details.php?id=BSGatlas-operon-1462","BSGatlas-operon-1462")</f>
        <v>BSGatlas-operon-1462</v>
      </c>
      <c r="B2770" s="2" t="str">
        <f>HYPERLINK("https://rth.dk/resources/bsgatlas/details.php?id=BSGatlas-gene-3052","BSGatlas-gene-3052")</f>
        <v>BSGatlas-gene-3052</v>
      </c>
      <c r="C2770" s="1" t="s">
        <v>2754</v>
      </c>
      <c r="D2770" s="1" t="s">
        <v>12</v>
      </c>
      <c r="E2770" s="3">
        <v>2678994</v>
      </c>
      <c r="F2770" s="3">
        <v>2679076</v>
      </c>
      <c r="G2770" s="1" t="s">
        <v>13</v>
      </c>
      <c r="H2770" s="1" t="b">
        <f t="shared" si="103"/>
        <v>0</v>
      </c>
    </row>
    <row r="2771" spans="1:8" ht="21" x14ac:dyDescent="0.25">
      <c r="A2771" s="2" t="str">
        <f>HYPERLINK("https://rth.dk/resources/bsgatlas/details.php?id=BSGatlas-operon-1463","BSGatlas-operon-1463")</f>
        <v>BSGatlas-operon-1463</v>
      </c>
      <c r="B2771" s="2" t="str">
        <f>HYPERLINK("https://rth.dk/resources/bsgatlas/details.php?id=BSGatlas-gene-3046","BSGatlas-gene-3046")</f>
        <v>BSGatlas-gene-3046</v>
      </c>
      <c r="C2771" s="1" t="s">
        <v>2755</v>
      </c>
      <c r="D2771" s="1" t="s">
        <v>55</v>
      </c>
      <c r="E2771" s="3">
        <v>2678180</v>
      </c>
      <c r="F2771" s="3">
        <v>2678456</v>
      </c>
      <c r="G2771" s="1" t="s">
        <v>9</v>
      </c>
      <c r="H2771" s="1" t="b">
        <f t="shared" si="103"/>
        <v>1</v>
      </c>
    </row>
    <row r="2772" spans="1:8" ht="21" x14ac:dyDescent="0.25">
      <c r="A2772" s="2" t="str">
        <f>HYPERLINK("https://rth.dk/resources/bsgatlas/details.php?id=BSGatlas-operon-1463","BSGatlas-operon-1463")</f>
        <v>BSGatlas-operon-1463</v>
      </c>
      <c r="B2772" s="2" t="str">
        <f>HYPERLINK("https://rth.dk/resources/bsgatlas/details.php?id=BSGatlas-gene-3047","BSGatlas-gene-3047")</f>
        <v>BSGatlas-gene-3047</v>
      </c>
      <c r="C2772" s="1" t="s">
        <v>2756</v>
      </c>
      <c r="D2772" s="1" t="s">
        <v>8</v>
      </c>
      <c r="E2772" s="3">
        <v>2678240</v>
      </c>
      <c r="F2772" s="3">
        <v>2678419</v>
      </c>
      <c r="G2772" s="1" t="s">
        <v>9</v>
      </c>
      <c r="H2772" s="1" t="b">
        <f t="shared" si="103"/>
        <v>1</v>
      </c>
    </row>
    <row r="2773" spans="1:8" ht="21" x14ac:dyDescent="0.25">
      <c r="A2773" s="2" t="str">
        <f>HYPERLINK("https://rth.dk/resources/bsgatlas/details.php?id=BSGatlas-operon-1464","BSGatlas-operon-1464")</f>
        <v>BSGatlas-operon-1464</v>
      </c>
      <c r="B2773" s="2" t="str">
        <f>HYPERLINK("https://rth.dk/resources/bsgatlas/details.php?id=BSGatlas-gene-3049","BSGatlas-gene-3049")</f>
        <v>BSGatlas-gene-3049</v>
      </c>
      <c r="C2773" s="1" t="s">
        <v>2757</v>
      </c>
      <c r="D2773" s="1" t="s">
        <v>55</v>
      </c>
      <c r="E2773" s="3">
        <v>2678645</v>
      </c>
      <c r="F2773" s="3">
        <v>2679017</v>
      </c>
      <c r="G2773" s="1" t="s">
        <v>9</v>
      </c>
      <c r="H2773" s="1" t="b">
        <f t="shared" si="103"/>
        <v>0</v>
      </c>
    </row>
    <row r="2774" spans="1:8" ht="21" x14ac:dyDescent="0.25">
      <c r="A2774" s="2" t="str">
        <f>HYPERLINK("https://rth.dk/resources/bsgatlas/details.php?id=BSGatlas-operon-1465","BSGatlas-operon-1465")</f>
        <v>BSGatlas-operon-1465</v>
      </c>
      <c r="B2774" s="2" t="str">
        <f>HYPERLINK("https://rth.dk/resources/bsgatlas/details.php?id=BSGatlas-gene-3050","BSGatlas-gene-3050")</f>
        <v>BSGatlas-gene-3050</v>
      </c>
      <c r="C2774" s="1" t="s">
        <v>2758</v>
      </c>
      <c r="D2774" s="1" t="s">
        <v>8</v>
      </c>
      <c r="E2774" s="3">
        <v>2678799</v>
      </c>
      <c r="F2774" s="3">
        <v>2678888</v>
      </c>
      <c r="G2774" s="1" t="s">
        <v>9</v>
      </c>
      <c r="H2774" s="1" t="b">
        <f t="shared" si="103"/>
        <v>1</v>
      </c>
    </row>
    <row r="2775" spans="1:8" ht="21" x14ac:dyDescent="0.25">
      <c r="A2775" s="2" t="str">
        <f>HYPERLINK("https://rth.dk/resources/bsgatlas/details.php?id=BSGatlas-operon-1466","BSGatlas-operon-1466")</f>
        <v>BSGatlas-operon-1466</v>
      </c>
      <c r="B2775" s="2" t="str">
        <f>HYPERLINK("https://rth.dk/resources/bsgatlas/details.php?id=BSGatlas-gene-3053","BSGatlas-gene-3053")</f>
        <v>BSGatlas-gene-3053</v>
      </c>
      <c r="C2775" s="1" t="s">
        <v>2759</v>
      </c>
      <c r="D2775" s="1" t="s">
        <v>8</v>
      </c>
      <c r="E2775" s="3">
        <v>2679142</v>
      </c>
      <c r="F2775" s="3">
        <v>2679585</v>
      </c>
      <c r="G2775" s="1" t="s">
        <v>13</v>
      </c>
      <c r="H2775" s="1" t="b">
        <f t="shared" si="103"/>
        <v>0</v>
      </c>
    </row>
    <row r="2776" spans="1:8" ht="21" x14ac:dyDescent="0.25">
      <c r="A2776" s="2" t="str">
        <f>HYPERLINK("https://rth.dk/resources/bsgatlas/details.php?id=BSGatlas-operon-1467","BSGatlas-operon-1467")</f>
        <v>BSGatlas-operon-1467</v>
      </c>
      <c r="B2776" s="2" t="str">
        <f>HYPERLINK("https://rth.dk/resources/bsgatlas/details.php?id=BSGatlas-gene-3059","BSGatlas-gene-3059")</f>
        <v>BSGatlas-gene-3059</v>
      </c>
      <c r="C2776" s="1" t="s">
        <v>2760</v>
      </c>
      <c r="D2776" s="1" t="s">
        <v>8</v>
      </c>
      <c r="E2776" s="3">
        <v>2682486</v>
      </c>
      <c r="F2776" s="3">
        <v>2682881</v>
      </c>
      <c r="G2776" s="1" t="s">
        <v>13</v>
      </c>
      <c r="H2776" s="1" t="b">
        <f t="shared" si="103"/>
        <v>1</v>
      </c>
    </row>
    <row r="2777" spans="1:8" ht="21" x14ac:dyDescent="0.25">
      <c r="A2777" s="2" t="str">
        <f>HYPERLINK("https://rth.dk/resources/bsgatlas/details.php?id=BSGatlas-operon-1468","BSGatlas-operon-1468")</f>
        <v>BSGatlas-operon-1468</v>
      </c>
      <c r="B2777" s="2" t="str">
        <f>HYPERLINK("https://rth.dk/resources/bsgatlas/details.php?id=BSGatlas-gene-3061","BSGatlas-gene-3061")</f>
        <v>BSGatlas-gene-3061</v>
      </c>
      <c r="C2777" s="1" t="s">
        <v>2761</v>
      </c>
      <c r="D2777" s="1" t="s">
        <v>8</v>
      </c>
      <c r="E2777" s="3">
        <v>2683207</v>
      </c>
      <c r="F2777" s="3">
        <v>2684142</v>
      </c>
      <c r="G2777" s="1" t="s">
        <v>13</v>
      </c>
      <c r="H2777" s="1" t="b">
        <f t="shared" si="103"/>
        <v>0</v>
      </c>
    </row>
    <row r="2778" spans="1:8" ht="21" x14ac:dyDescent="0.25">
      <c r="A2778" s="2" t="str">
        <f>HYPERLINK("https://rth.dk/resources/bsgatlas/details.php?id=BSGatlas-operon-1469","BSGatlas-operon-1469")</f>
        <v>BSGatlas-operon-1469</v>
      </c>
      <c r="B2778" s="2" t="str">
        <f>HYPERLINK("https://rth.dk/resources/bsgatlas/details.php?id=BSGatlas-gene-3062","BSGatlas-gene-3062")</f>
        <v>BSGatlas-gene-3062</v>
      </c>
      <c r="C2778" s="1" t="s">
        <v>2762</v>
      </c>
      <c r="D2778" s="1" t="s">
        <v>8</v>
      </c>
      <c r="E2778" s="3">
        <v>2684161</v>
      </c>
      <c r="F2778" s="3">
        <v>2685129</v>
      </c>
      <c r="G2778" s="1" t="s">
        <v>13</v>
      </c>
      <c r="H2778" s="1" t="b">
        <f t="shared" si="103"/>
        <v>1</v>
      </c>
    </row>
    <row r="2779" spans="1:8" ht="21" x14ac:dyDescent="0.25">
      <c r="A2779" s="2" t="str">
        <f>HYPERLINK("https://rth.dk/resources/bsgatlas/details.php?id=BSGatlas-operon-1470","BSGatlas-operon-1470")</f>
        <v>BSGatlas-operon-1470</v>
      </c>
      <c r="B2779" s="2" t="str">
        <f>HYPERLINK("https://rth.dk/resources/bsgatlas/details.php?id=BSGatlas-gene-3063","BSGatlas-gene-3063")</f>
        <v>BSGatlas-gene-3063</v>
      </c>
      <c r="C2779" s="1" t="s">
        <v>2763</v>
      </c>
      <c r="D2779" s="1" t="s">
        <v>8</v>
      </c>
      <c r="E2779" s="3">
        <v>2685162</v>
      </c>
      <c r="F2779" s="3">
        <v>2685815</v>
      </c>
      <c r="G2779" s="1" t="s">
        <v>13</v>
      </c>
      <c r="H2779" s="1" t="b">
        <f t="shared" si="103"/>
        <v>0</v>
      </c>
    </row>
    <row r="2780" spans="1:8" ht="21" x14ac:dyDescent="0.25">
      <c r="A2780" s="2" t="str">
        <f>HYPERLINK("https://rth.dk/resources/bsgatlas/details.php?id=BSGatlas-operon-1471","BSGatlas-operon-1471")</f>
        <v>BSGatlas-operon-1471</v>
      </c>
      <c r="B2780" s="2" t="str">
        <f>HYPERLINK("https://rth.dk/resources/bsgatlas/details.php?id=BSGatlas-gene-3065","BSGatlas-gene-3065")</f>
        <v>BSGatlas-gene-3065</v>
      </c>
      <c r="C2780" s="1" t="s">
        <v>2764</v>
      </c>
      <c r="D2780" s="1" t="s">
        <v>8</v>
      </c>
      <c r="E2780" s="3">
        <v>2686770</v>
      </c>
      <c r="F2780" s="3">
        <v>2688302</v>
      </c>
      <c r="G2780" s="1" t="s">
        <v>13</v>
      </c>
      <c r="H2780" s="1" t="b">
        <f t="shared" si="103"/>
        <v>1</v>
      </c>
    </row>
    <row r="2781" spans="1:8" ht="21" x14ac:dyDescent="0.25">
      <c r="A2781" s="2" t="str">
        <f>HYPERLINK("https://rth.dk/resources/bsgatlas/details.php?id=BSGatlas-operon-1472","BSGatlas-operon-1472")</f>
        <v>BSGatlas-operon-1472</v>
      </c>
      <c r="B2781" s="2" t="str">
        <f>HYPERLINK("https://rth.dk/resources/bsgatlas/details.php?id=BSGatlas-gene-3067","BSGatlas-gene-3067")</f>
        <v>BSGatlas-gene-3067</v>
      </c>
      <c r="C2781" s="1" t="s">
        <v>2765</v>
      </c>
      <c r="D2781" s="1" t="s">
        <v>8</v>
      </c>
      <c r="E2781" s="3">
        <v>2689594</v>
      </c>
      <c r="F2781" s="3">
        <v>2690313</v>
      </c>
      <c r="G2781" s="1" t="s">
        <v>13</v>
      </c>
      <c r="H2781" s="1" t="b">
        <f t="shared" si="103"/>
        <v>0</v>
      </c>
    </row>
    <row r="2782" spans="1:8" ht="21" x14ac:dyDescent="0.25">
      <c r="A2782" s="2" t="str">
        <f>HYPERLINK("https://rth.dk/resources/bsgatlas/details.php?id=BSGatlas-operon-1473","BSGatlas-operon-1473")</f>
        <v>BSGatlas-operon-1473</v>
      </c>
      <c r="B2782" s="2" t="str">
        <f>HYPERLINK("https://rth.dk/resources/bsgatlas/details.php?id=BSGatlas-gene-3068","BSGatlas-gene-3068")</f>
        <v>BSGatlas-gene-3068</v>
      </c>
      <c r="C2782" s="1" t="s">
        <v>2766</v>
      </c>
      <c r="D2782" s="1" t="s">
        <v>8</v>
      </c>
      <c r="E2782" s="3">
        <v>2690381</v>
      </c>
      <c r="F2782" s="3">
        <v>2690845</v>
      </c>
      <c r="G2782" s="1" t="s">
        <v>13</v>
      </c>
      <c r="H2782" s="1" t="b">
        <f t="shared" si="103"/>
        <v>1</v>
      </c>
    </row>
    <row r="2783" spans="1:8" ht="21" x14ac:dyDescent="0.25">
      <c r="A2783" s="2" t="str">
        <f>HYPERLINK("https://rth.dk/resources/bsgatlas/details.php?id=BSGatlas-operon-1474","BSGatlas-operon-1474")</f>
        <v>BSGatlas-operon-1474</v>
      </c>
      <c r="B2783" s="2" t="str">
        <f>HYPERLINK("https://rth.dk/resources/bsgatlas/details.php?id=BSGatlas-gene-3070","BSGatlas-gene-3070")</f>
        <v>BSGatlas-gene-3070</v>
      </c>
      <c r="C2783" s="1" t="s">
        <v>522</v>
      </c>
      <c r="D2783" s="1" t="s">
        <v>34</v>
      </c>
      <c r="E2783" s="3">
        <v>2691468</v>
      </c>
      <c r="F2783" s="3">
        <v>2691617</v>
      </c>
      <c r="G2783" s="1" t="s">
        <v>13</v>
      </c>
      <c r="H2783" s="1" t="b">
        <f t="shared" si="103"/>
        <v>0</v>
      </c>
    </row>
    <row r="2784" spans="1:8" ht="21" x14ac:dyDescent="0.25">
      <c r="A2784" s="2" t="str">
        <f>HYPERLINK("https://rth.dk/resources/bsgatlas/details.php?id=BSGatlas-operon-1475","BSGatlas-operon-1475")</f>
        <v>BSGatlas-operon-1475</v>
      </c>
      <c r="B2784" s="2" t="str">
        <f>HYPERLINK("https://rth.dk/resources/bsgatlas/details.php?id=BSGatlas-gene-3071","BSGatlas-gene-3071")</f>
        <v>BSGatlas-gene-3071</v>
      </c>
      <c r="C2784" s="1" t="s">
        <v>2767</v>
      </c>
      <c r="D2784" s="1" t="s">
        <v>8</v>
      </c>
      <c r="E2784" s="3">
        <v>2691642</v>
      </c>
      <c r="F2784" s="3">
        <v>2692571</v>
      </c>
      <c r="G2784" s="1" t="s">
        <v>9</v>
      </c>
      <c r="H2784" s="1" t="b">
        <f t="shared" si="103"/>
        <v>1</v>
      </c>
    </row>
    <row r="2785" spans="1:8" ht="21" x14ac:dyDescent="0.25">
      <c r="A2785" s="2" t="str">
        <f t="shared" ref="A2785:A2796" si="104">HYPERLINK("https://rth.dk/resources/bsgatlas/details.php?id=BSGatlas-operon-1476","BSGatlas-operon-1476")</f>
        <v>BSGatlas-operon-1476</v>
      </c>
      <c r="B2785" s="2" t="str">
        <f>HYPERLINK("https://rth.dk/resources/bsgatlas/details.php?id=BSGatlas-gene-3074","BSGatlas-gene-3074")</f>
        <v>BSGatlas-gene-3074</v>
      </c>
      <c r="C2785" s="1" t="s">
        <v>2768</v>
      </c>
      <c r="D2785" s="1" t="s">
        <v>8</v>
      </c>
      <c r="E2785" s="3">
        <v>2692933</v>
      </c>
      <c r="F2785" s="3">
        <v>2693361</v>
      </c>
      <c r="G2785" s="1" t="s">
        <v>13</v>
      </c>
      <c r="H2785" s="1" t="b">
        <f t="shared" si="103"/>
        <v>0</v>
      </c>
    </row>
    <row r="2786" spans="1:8" ht="21" x14ac:dyDescent="0.25">
      <c r="A2786" s="2" t="str">
        <f t="shared" si="104"/>
        <v>BSGatlas-operon-1476</v>
      </c>
      <c r="B2786" s="2" t="str">
        <f>HYPERLINK("https://rth.dk/resources/bsgatlas/details.php?id=BSGatlas-gene-3075","BSGatlas-gene-3075")</f>
        <v>BSGatlas-gene-3075</v>
      </c>
      <c r="C2786" s="1" t="s">
        <v>2769</v>
      </c>
      <c r="D2786" s="1" t="s">
        <v>8</v>
      </c>
      <c r="E2786" s="3">
        <v>2693457</v>
      </c>
      <c r="F2786" s="3">
        <v>2693606</v>
      </c>
      <c r="G2786" s="1" t="s">
        <v>13</v>
      </c>
      <c r="H2786" s="1" t="b">
        <f t="shared" si="103"/>
        <v>0</v>
      </c>
    </row>
    <row r="2787" spans="1:8" ht="21" x14ac:dyDescent="0.25">
      <c r="A2787" s="2" t="str">
        <f t="shared" si="104"/>
        <v>BSGatlas-operon-1476</v>
      </c>
      <c r="B2787" s="2" t="str">
        <f>HYPERLINK("https://rth.dk/resources/bsgatlas/details.php?id=BSGatlas-gene-3076","BSGatlas-gene-3076")</f>
        <v>BSGatlas-gene-3076</v>
      </c>
      <c r="C2787" s="1" t="s">
        <v>2770</v>
      </c>
      <c r="D2787" s="1" t="s">
        <v>8</v>
      </c>
      <c r="E2787" s="3">
        <v>2693597</v>
      </c>
      <c r="F2787" s="3">
        <v>2694538</v>
      </c>
      <c r="G2787" s="1" t="s">
        <v>13</v>
      </c>
      <c r="H2787" s="1" t="b">
        <f t="shared" si="103"/>
        <v>0</v>
      </c>
    </row>
    <row r="2788" spans="1:8" ht="21" x14ac:dyDescent="0.25">
      <c r="A2788" s="2" t="str">
        <f t="shared" si="104"/>
        <v>BSGatlas-operon-1476</v>
      </c>
      <c r="B2788" s="2" t="str">
        <f>HYPERLINK("https://rth.dk/resources/bsgatlas/details.php?id=BSGatlas-gene-3077","BSGatlas-gene-3077")</f>
        <v>BSGatlas-gene-3077</v>
      </c>
      <c r="C2788" s="1" t="s">
        <v>2771</v>
      </c>
      <c r="D2788" s="1" t="s">
        <v>8</v>
      </c>
      <c r="E2788" s="3">
        <v>2694420</v>
      </c>
      <c r="F2788" s="3">
        <v>2695097</v>
      </c>
      <c r="G2788" s="1" t="s">
        <v>13</v>
      </c>
      <c r="H2788" s="1" t="b">
        <f t="shared" si="103"/>
        <v>0</v>
      </c>
    </row>
    <row r="2789" spans="1:8" ht="21" x14ac:dyDescent="0.25">
      <c r="A2789" s="2" t="str">
        <f t="shared" si="104"/>
        <v>BSGatlas-operon-1476</v>
      </c>
      <c r="B2789" s="2" t="str">
        <f>HYPERLINK("https://rth.dk/resources/bsgatlas/details.php?id=BSGatlas-gene-3078","BSGatlas-gene-3078")</f>
        <v>BSGatlas-gene-3078</v>
      </c>
      <c r="C2789" s="1" t="s">
        <v>2772</v>
      </c>
      <c r="D2789" s="1" t="s">
        <v>8</v>
      </c>
      <c r="E2789" s="3">
        <v>2695173</v>
      </c>
      <c r="F2789" s="3">
        <v>2696027</v>
      </c>
      <c r="G2789" s="1" t="s">
        <v>13</v>
      </c>
      <c r="H2789" s="1" t="b">
        <f t="shared" si="103"/>
        <v>0</v>
      </c>
    </row>
    <row r="2790" spans="1:8" ht="21" x14ac:dyDescent="0.25">
      <c r="A2790" s="2" t="str">
        <f t="shared" si="104"/>
        <v>BSGatlas-operon-1476</v>
      </c>
      <c r="B2790" s="2" t="str">
        <f>HYPERLINK("https://rth.dk/resources/bsgatlas/details.php?id=BSGatlas-gene-3079","BSGatlas-gene-3079")</f>
        <v>BSGatlas-gene-3079</v>
      </c>
      <c r="C2790" s="1" t="s">
        <v>2773</v>
      </c>
      <c r="D2790" s="1" t="s">
        <v>8</v>
      </c>
      <c r="E2790" s="3">
        <v>2696030</v>
      </c>
      <c r="F2790" s="3">
        <v>2696989</v>
      </c>
      <c r="G2790" s="1" t="s">
        <v>13</v>
      </c>
      <c r="H2790" s="1" t="b">
        <f t="shared" si="103"/>
        <v>0</v>
      </c>
    </row>
    <row r="2791" spans="1:8" ht="21" x14ac:dyDescent="0.25">
      <c r="A2791" s="2" t="str">
        <f t="shared" si="104"/>
        <v>BSGatlas-operon-1476</v>
      </c>
      <c r="B2791" s="2" t="str">
        <f>HYPERLINK("https://rth.dk/resources/bsgatlas/details.php?id=BSGatlas-gene-3080","BSGatlas-gene-3080")</f>
        <v>BSGatlas-gene-3080</v>
      </c>
      <c r="C2791" s="1" t="s">
        <v>2774</v>
      </c>
      <c r="D2791" s="1" t="s">
        <v>8</v>
      </c>
      <c r="E2791" s="3">
        <v>2697095</v>
      </c>
      <c r="F2791" s="3">
        <v>2697289</v>
      </c>
      <c r="G2791" s="1" t="s">
        <v>13</v>
      </c>
      <c r="H2791" s="1" t="b">
        <f t="shared" si="103"/>
        <v>0</v>
      </c>
    </row>
    <row r="2792" spans="1:8" ht="21" x14ac:dyDescent="0.25">
      <c r="A2792" s="2" t="str">
        <f t="shared" si="104"/>
        <v>BSGatlas-operon-1476</v>
      </c>
      <c r="B2792" s="2" t="str">
        <f>HYPERLINK("https://rth.dk/resources/bsgatlas/details.php?id=BSGatlas-gene-3081","BSGatlas-gene-3081")</f>
        <v>BSGatlas-gene-3081</v>
      </c>
      <c r="C2792" s="1" t="s">
        <v>318</v>
      </c>
      <c r="D2792" s="1" t="s">
        <v>8</v>
      </c>
      <c r="E2792" s="3">
        <v>2697249</v>
      </c>
      <c r="F2792" s="3">
        <v>2697422</v>
      </c>
      <c r="G2792" s="1" t="s">
        <v>13</v>
      </c>
      <c r="H2792" s="1" t="b">
        <f t="shared" si="103"/>
        <v>0</v>
      </c>
    </row>
    <row r="2793" spans="1:8" ht="21" x14ac:dyDescent="0.25">
      <c r="A2793" s="2" t="str">
        <f t="shared" si="104"/>
        <v>BSGatlas-operon-1476</v>
      </c>
      <c r="B2793" s="2" t="str">
        <f>HYPERLINK("https://rth.dk/resources/bsgatlas/details.php?id=BSGatlas-gene-3082","BSGatlas-gene-3082")</f>
        <v>BSGatlas-gene-3082</v>
      </c>
      <c r="C2793" s="1" t="s">
        <v>2775</v>
      </c>
      <c r="D2793" s="1" t="s">
        <v>8</v>
      </c>
      <c r="E2793" s="3">
        <v>2697419</v>
      </c>
      <c r="F2793" s="3">
        <v>2697676</v>
      </c>
      <c r="G2793" s="1" t="s">
        <v>13</v>
      </c>
      <c r="H2793" s="1" t="b">
        <f t="shared" si="103"/>
        <v>0</v>
      </c>
    </row>
    <row r="2794" spans="1:8" ht="21" x14ac:dyDescent="0.25">
      <c r="A2794" s="2" t="str">
        <f t="shared" si="104"/>
        <v>BSGatlas-operon-1476</v>
      </c>
      <c r="B2794" s="2" t="str">
        <f>HYPERLINK("https://rth.dk/resources/bsgatlas/details.php?id=BSGatlas-gene-3083","BSGatlas-gene-3083")</f>
        <v>BSGatlas-gene-3083</v>
      </c>
      <c r="C2794" s="1" t="s">
        <v>2776</v>
      </c>
      <c r="D2794" s="1" t="s">
        <v>8</v>
      </c>
      <c r="E2794" s="3">
        <v>2697673</v>
      </c>
      <c r="F2794" s="3">
        <v>2698242</v>
      </c>
      <c r="G2794" s="1" t="s">
        <v>13</v>
      </c>
      <c r="H2794" s="1" t="b">
        <f t="shared" si="103"/>
        <v>0</v>
      </c>
    </row>
    <row r="2795" spans="1:8" ht="21" x14ac:dyDescent="0.25">
      <c r="A2795" s="2" t="str">
        <f t="shared" si="104"/>
        <v>BSGatlas-operon-1476</v>
      </c>
      <c r="B2795" s="2" t="str">
        <f>HYPERLINK("https://rth.dk/resources/bsgatlas/details.php?id=BSGatlas-gene-3084","BSGatlas-gene-3084")</f>
        <v>BSGatlas-gene-3084</v>
      </c>
      <c r="C2795" s="1" t="s">
        <v>2777</v>
      </c>
      <c r="D2795" s="1" t="s">
        <v>8</v>
      </c>
      <c r="E2795" s="3">
        <v>2698316</v>
      </c>
      <c r="F2795" s="3">
        <v>2698456</v>
      </c>
      <c r="G2795" s="1" t="s">
        <v>13</v>
      </c>
      <c r="H2795" s="1" t="b">
        <f t="shared" si="103"/>
        <v>0</v>
      </c>
    </row>
    <row r="2796" spans="1:8" ht="21" x14ac:dyDescent="0.25">
      <c r="A2796" s="2" t="str">
        <f t="shared" si="104"/>
        <v>BSGatlas-operon-1476</v>
      </c>
      <c r="B2796" s="2" t="str">
        <f>HYPERLINK("https://rth.dk/resources/bsgatlas/details.php?id=BSGatlas-gene-3085","BSGatlas-gene-3085")</f>
        <v>BSGatlas-gene-3085</v>
      </c>
      <c r="C2796" s="1" t="s">
        <v>2778</v>
      </c>
      <c r="D2796" s="1" t="s">
        <v>8</v>
      </c>
      <c r="E2796" s="3">
        <v>2698486</v>
      </c>
      <c r="F2796" s="3">
        <v>2698716</v>
      </c>
      <c r="G2796" s="1" t="s">
        <v>13</v>
      </c>
      <c r="H2796" s="1" t="b">
        <f t="shared" si="103"/>
        <v>0</v>
      </c>
    </row>
    <row r="2797" spans="1:8" ht="21" x14ac:dyDescent="0.25">
      <c r="A2797" s="2" t="str">
        <f>HYPERLINK("https://rth.dk/resources/bsgatlas/details.php?id=BSGatlas-operon-1477","BSGatlas-operon-1477")</f>
        <v>BSGatlas-operon-1477</v>
      </c>
      <c r="B2797" s="2" t="str">
        <f>HYPERLINK("https://rth.dk/resources/bsgatlas/details.php?id=BSGatlas-gene-3086","BSGatlas-gene-3086")</f>
        <v>BSGatlas-gene-3086</v>
      </c>
      <c r="C2797" s="1" t="s">
        <v>2779</v>
      </c>
      <c r="D2797" s="1" t="s">
        <v>8</v>
      </c>
      <c r="E2797" s="3">
        <v>2698893</v>
      </c>
      <c r="F2797" s="3">
        <v>2699243</v>
      </c>
      <c r="G2797" s="1" t="s">
        <v>9</v>
      </c>
      <c r="H2797" s="1" t="b">
        <f t="shared" si="103"/>
        <v>1</v>
      </c>
    </row>
    <row r="2798" spans="1:8" ht="21" x14ac:dyDescent="0.25">
      <c r="A2798" s="2" t="str">
        <f>HYPERLINK("https://rth.dk/resources/bsgatlas/details.php?id=BSGatlas-operon-1478","BSGatlas-operon-1478")</f>
        <v>BSGatlas-operon-1478</v>
      </c>
      <c r="B2798" s="2" t="str">
        <f>HYPERLINK("https://rth.dk/resources/bsgatlas/details.php?id=BSGatlas-gene-3088","BSGatlas-gene-3088")</f>
        <v>BSGatlas-gene-3088</v>
      </c>
      <c r="C2798" s="1" t="s">
        <v>2780</v>
      </c>
      <c r="D2798" s="1" t="s">
        <v>8</v>
      </c>
      <c r="E2798" s="3">
        <v>2700033</v>
      </c>
      <c r="F2798" s="3">
        <v>2700569</v>
      </c>
      <c r="G2798" s="1" t="s">
        <v>13</v>
      </c>
      <c r="H2798" s="1" t="b">
        <f t="shared" si="103"/>
        <v>0</v>
      </c>
    </row>
    <row r="2799" spans="1:8" ht="21" x14ac:dyDescent="0.25">
      <c r="A2799" s="2" t="str">
        <f>HYPERLINK("https://rth.dk/resources/bsgatlas/details.php?id=BSGatlas-operon-1479","BSGatlas-operon-1479")</f>
        <v>BSGatlas-operon-1479</v>
      </c>
      <c r="B2799" s="2" t="str">
        <f>HYPERLINK("https://rth.dk/resources/bsgatlas/details.php?id=BSGatlas-gene-3089","BSGatlas-gene-3089")</f>
        <v>BSGatlas-gene-3089</v>
      </c>
      <c r="C2799" s="1" t="s">
        <v>2781</v>
      </c>
      <c r="D2799" s="1" t="s">
        <v>8</v>
      </c>
      <c r="E2799" s="3">
        <v>2700838</v>
      </c>
      <c r="F2799" s="3">
        <v>2701356</v>
      </c>
      <c r="G2799" s="1" t="s">
        <v>9</v>
      </c>
      <c r="H2799" s="1" t="b">
        <f t="shared" si="103"/>
        <v>1</v>
      </c>
    </row>
    <row r="2800" spans="1:8" ht="21" x14ac:dyDescent="0.25">
      <c r="A2800" s="2" t="str">
        <f>HYPERLINK("https://rth.dk/resources/bsgatlas/details.php?id=BSGatlas-operon-1479","BSGatlas-operon-1479")</f>
        <v>BSGatlas-operon-1479</v>
      </c>
      <c r="B2800" s="2" t="str">
        <f>HYPERLINK("https://rth.dk/resources/bsgatlas/details.php?id=BSGatlas-gene-3090","BSGatlas-gene-3090")</f>
        <v>BSGatlas-gene-3090</v>
      </c>
      <c r="C2800" s="1" t="s">
        <v>2782</v>
      </c>
      <c r="D2800" s="1" t="s">
        <v>8</v>
      </c>
      <c r="E2800" s="3">
        <v>2701338</v>
      </c>
      <c r="F2800" s="3">
        <v>2701754</v>
      </c>
      <c r="G2800" s="1" t="s">
        <v>9</v>
      </c>
      <c r="H2800" s="1" t="b">
        <f t="shared" si="103"/>
        <v>1</v>
      </c>
    </row>
    <row r="2801" spans="1:8" ht="21" x14ac:dyDescent="0.25">
      <c r="A2801" s="2" t="str">
        <f>HYPERLINK("https://rth.dk/resources/bsgatlas/details.php?id=BSGatlas-operon-1480","BSGatlas-operon-1480")</f>
        <v>BSGatlas-operon-1480</v>
      </c>
      <c r="B2801" s="2" t="str">
        <f>HYPERLINK("https://rth.dk/resources/bsgatlas/details.php?id=BSGatlas-gene-3091","BSGatlas-gene-3091")</f>
        <v>BSGatlas-gene-3091</v>
      </c>
      <c r="C2801" s="1" t="s">
        <v>318</v>
      </c>
      <c r="D2801" s="1" t="s">
        <v>8</v>
      </c>
      <c r="E2801" s="3">
        <v>2701754</v>
      </c>
      <c r="F2801" s="3">
        <v>2701870</v>
      </c>
      <c r="G2801" s="1" t="s">
        <v>9</v>
      </c>
      <c r="H2801" s="1" t="b">
        <f t="shared" si="103"/>
        <v>0</v>
      </c>
    </row>
    <row r="2802" spans="1:8" ht="21" x14ac:dyDescent="0.25">
      <c r="A2802" s="2" t="str">
        <f>HYPERLINK("https://rth.dk/resources/bsgatlas/details.php?id=BSGatlas-operon-1481","BSGatlas-operon-1481")</f>
        <v>BSGatlas-operon-1481</v>
      </c>
      <c r="B2802" s="2" t="str">
        <f>HYPERLINK("https://rth.dk/resources/bsgatlas/details.php?id=BSGatlas-gene-3092","BSGatlas-gene-3092")</f>
        <v>BSGatlas-gene-3092</v>
      </c>
      <c r="C2802" s="1" t="s">
        <v>2783</v>
      </c>
      <c r="D2802" s="1" t="s">
        <v>8</v>
      </c>
      <c r="E2802" s="3">
        <v>2701979</v>
      </c>
      <c r="F2802" s="3">
        <v>2702143</v>
      </c>
      <c r="G2802" s="1" t="s">
        <v>13</v>
      </c>
      <c r="H2802" s="1" t="b">
        <f t="shared" si="103"/>
        <v>1</v>
      </c>
    </row>
    <row r="2803" spans="1:8" ht="21" x14ac:dyDescent="0.25">
      <c r="A2803" s="2" t="str">
        <f>HYPERLINK("https://rth.dk/resources/bsgatlas/details.php?id=BSGatlas-operon-1482","BSGatlas-operon-1482")</f>
        <v>BSGatlas-operon-1482</v>
      </c>
      <c r="B2803" s="2" t="str">
        <f>HYPERLINK("https://rth.dk/resources/bsgatlas/details.php?id=BSGatlas-gene-3093","BSGatlas-gene-3093")</f>
        <v>BSGatlas-gene-3093</v>
      </c>
      <c r="C2803" s="1" t="s">
        <v>2784</v>
      </c>
      <c r="D2803" s="1" t="s">
        <v>8</v>
      </c>
      <c r="E2803" s="3">
        <v>2702688</v>
      </c>
      <c r="F2803" s="3">
        <v>2703104</v>
      </c>
      <c r="G2803" s="1" t="s">
        <v>13</v>
      </c>
      <c r="H2803" s="1" t="b">
        <f t="shared" si="103"/>
        <v>0</v>
      </c>
    </row>
    <row r="2804" spans="1:8" ht="21" x14ac:dyDescent="0.25">
      <c r="A2804" s="2" t="str">
        <f>HYPERLINK("https://rth.dk/resources/bsgatlas/details.php?id=BSGatlas-operon-1482","BSGatlas-operon-1482")</f>
        <v>BSGatlas-operon-1482</v>
      </c>
      <c r="B2804" s="2" t="str">
        <f>HYPERLINK("https://rth.dk/resources/bsgatlas/details.php?id=BSGatlas-gene-3094","BSGatlas-gene-3094")</f>
        <v>BSGatlas-gene-3094</v>
      </c>
      <c r="C2804" s="1" t="s">
        <v>2785</v>
      </c>
      <c r="D2804" s="1" t="s">
        <v>8</v>
      </c>
      <c r="E2804" s="3">
        <v>2703150</v>
      </c>
      <c r="F2804" s="3">
        <v>2704448</v>
      </c>
      <c r="G2804" s="1" t="s">
        <v>13</v>
      </c>
      <c r="H2804" s="1" t="b">
        <f t="shared" si="103"/>
        <v>0</v>
      </c>
    </row>
    <row r="2805" spans="1:8" ht="21" x14ac:dyDescent="0.25">
      <c r="A2805" s="2" t="str">
        <f>HYPERLINK("https://rth.dk/resources/bsgatlas/details.php?id=BSGatlas-operon-1482","BSGatlas-operon-1482")</f>
        <v>BSGatlas-operon-1482</v>
      </c>
      <c r="B2805" s="2" t="str">
        <f>HYPERLINK("https://rth.dk/resources/bsgatlas/details.php?id=BSGatlas-gene-3095","BSGatlas-gene-3095")</f>
        <v>BSGatlas-gene-3095</v>
      </c>
      <c r="C2805" s="1" t="s">
        <v>2786</v>
      </c>
      <c r="D2805" s="1" t="s">
        <v>8</v>
      </c>
      <c r="E2805" s="3">
        <v>2704435</v>
      </c>
      <c r="F2805" s="3">
        <v>2705130</v>
      </c>
      <c r="G2805" s="1" t="s">
        <v>13</v>
      </c>
      <c r="H2805" s="1" t="b">
        <f t="shared" si="103"/>
        <v>0</v>
      </c>
    </row>
    <row r="2806" spans="1:8" ht="21" x14ac:dyDescent="0.25">
      <c r="A2806" s="2" t="str">
        <f>HYPERLINK("https://rth.dk/resources/bsgatlas/details.php?id=BSGatlas-operon-1483","BSGatlas-operon-1483")</f>
        <v>BSGatlas-operon-1483</v>
      </c>
      <c r="B2806" s="2" t="str">
        <f>HYPERLINK("https://rth.dk/resources/bsgatlas/details.php?id=BSGatlas-gene-3096","BSGatlas-gene-3096")</f>
        <v>BSGatlas-gene-3096</v>
      </c>
      <c r="C2806" s="1" t="s">
        <v>2787</v>
      </c>
      <c r="D2806" s="1" t="s">
        <v>8</v>
      </c>
      <c r="E2806" s="3">
        <v>2705398</v>
      </c>
      <c r="F2806" s="3">
        <v>2706615</v>
      </c>
      <c r="G2806" s="1" t="s">
        <v>9</v>
      </c>
      <c r="H2806" s="1" t="b">
        <f t="shared" si="103"/>
        <v>1</v>
      </c>
    </row>
    <row r="2807" spans="1:8" ht="21" x14ac:dyDescent="0.25">
      <c r="A2807" s="2" t="str">
        <f>HYPERLINK("https://rth.dk/resources/bsgatlas/details.php?id=BSGatlas-operon-1483","BSGatlas-operon-1483")</f>
        <v>BSGatlas-operon-1483</v>
      </c>
      <c r="B2807" s="2" t="str">
        <f>HYPERLINK("https://rth.dk/resources/bsgatlas/details.php?id=BSGatlas-gene-3097","BSGatlas-gene-3097")</f>
        <v>BSGatlas-gene-3097</v>
      </c>
      <c r="C2807" s="1" t="s">
        <v>318</v>
      </c>
      <c r="D2807" s="1" t="s">
        <v>8</v>
      </c>
      <c r="E2807" s="3">
        <v>2706534</v>
      </c>
      <c r="F2807" s="3">
        <v>2706782</v>
      </c>
      <c r="G2807" s="1" t="s">
        <v>9</v>
      </c>
      <c r="H2807" s="1" t="b">
        <f t="shared" si="103"/>
        <v>1</v>
      </c>
    </row>
    <row r="2808" spans="1:8" ht="21" x14ac:dyDescent="0.25">
      <c r="A2808" s="2" t="str">
        <f>HYPERLINK("https://rth.dk/resources/bsgatlas/details.php?id=BSGatlas-operon-1483","BSGatlas-operon-1483")</f>
        <v>BSGatlas-operon-1483</v>
      </c>
      <c r="B2808" s="2" t="str">
        <f>HYPERLINK("https://rth.dk/resources/bsgatlas/details.php?id=BSGatlas-gene-3098","BSGatlas-gene-3098")</f>
        <v>BSGatlas-gene-3098</v>
      </c>
      <c r="C2808" s="1" t="s">
        <v>2788</v>
      </c>
      <c r="D2808" s="1" t="s">
        <v>8</v>
      </c>
      <c r="E2808" s="3">
        <v>2707127</v>
      </c>
      <c r="F2808" s="3">
        <v>2707684</v>
      </c>
      <c r="G2808" s="1" t="s">
        <v>9</v>
      </c>
      <c r="H2808" s="1" t="b">
        <f t="shared" si="103"/>
        <v>1</v>
      </c>
    </row>
    <row r="2809" spans="1:8" ht="21" x14ac:dyDescent="0.25">
      <c r="A2809" s="2" t="str">
        <f>HYPERLINK("https://rth.dk/resources/bsgatlas/details.php?id=BSGatlas-operon-1484","BSGatlas-operon-1484")</f>
        <v>BSGatlas-operon-1484</v>
      </c>
      <c r="B2809" s="2" t="str">
        <f>HYPERLINK("https://rth.dk/resources/bsgatlas/details.php?id=BSGatlas-gene-3099","BSGatlas-gene-3099")</f>
        <v>BSGatlas-gene-3099</v>
      </c>
      <c r="C2809" s="1" t="s">
        <v>2789</v>
      </c>
      <c r="D2809" s="1" t="s">
        <v>12</v>
      </c>
      <c r="E2809" s="3">
        <v>2707768</v>
      </c>
      <c r="F2809" s="3">
        <v>2708052</v>
      </c>
      <c r="G2809" s="1" t="s">
        <v>13</v>
      </c>
      <c r="H2809" s="1" t="b">
        <f t="shared" si="103"/>
        <v>0</v>
      </c>
    </row>
    <row r="2810" spans="1:8" ht="21" x14ac:dyDescent="0.25">
      <c r="A2810" s="2" t="str">
        <f t="shared" ref="A2810:A2818" si="105">HYPERLINK("https://rth.dk/resources/bsgatlas/details.php?id=BSGatlas-operon-1485","BSGatlas-operon-1485")</f>
        <v>BSGatlas-operon-1485</v>
      </c>
      <c r="B2810" s="2" t="str">
        <f>HYPERLINK("https://rth.dk/resources/bsgatlas/details.php?id=BSGatlas-gene-3100","BSGatlas-gene-3100")</f>
        <v>BSGatlas-gene-3100</v>
      </c>
      <c r="C2810" s="1" t="s">
        <v>2790</v>
      </c>
      <c r="D2810" s="1" t="s">
        <v>8</v>
      </c>
      <c r="E2810" s="3">
        <v>2708175</v>
      </c>
      <c r="F2810" s="3">
        <v>2708699</v>
      </c>
      <c r="G2810" s="1" t="s">
        <v>13</v>
      </c>
      <c r="H2810" s="1" t="b">
        <f t="shared" si="103"/>
        <v>1</v>
      </c>
    </row>
    <row r="2811" spans="1:8" ht="21" x14ac:dyDescent="0.25">
      <c r="A2811" s="2" t="str">
        <f t="shared" si="105"/>
        <v>BSGatlas-operon-1485</v>
      </c>
      <c r="B2811" s="2" t="str">
        <f>HYPERLINK("https://rth.dk/resources/bsgatlas/details.php?id=BSGatlas-gene-3101","BSGatlas-gene-3101")</f>
        <v>BSGatlas-gene-3101</v>
      </c>
      <c r="C2811" s="1" t="s">
        <v>2791</v>
      </c>
      <c r="D2811" s="1" t="s">
        <v>8</v>
      </c>
      <c r="E2811" s="3">
        <v>2708943</v>
      </c>
      <c r="F2811" s="3">
        <v>2709419</v>
      </c>
      <c r="G2811" s="1" t="s">
        <v>13</v>
      </c>
      <c r="H2811" s="1" t="b">
        <f t="shared" si="103"/>
        <v>1</v>
      </c>
    </row>
    <row r="2812" spans="1:8" ht="21" x14ac:dyDescent="0.25">
      <c r="A2812" s="2" t="str">
        <f t="shared" si="105"/>
        <v>BSGatlas-operon-1485</v>
      </c>
      <c r="B2812" s="2" t="str">
        <f>HYPERLINK("https://rth.dk/resources/bsgatlas/details.php?id=BSGatlas-gene-3102","BSGatlas-gene-3102")</f>
        <v>BSGatlas-gene-3102</v>
      </c>
      <c r="C2812" s="1" t="s">
        <v>2792</v>
      </c>
      <c r="D2812" s="1" t="s">
        <v>8</v>
      </c>
      <c r="E2812" s="3">
        <v>2710002</v>
      </c>
      <c r="F2812" s="3">
        <v>2710787</v>
      </c>
      <c r="G2812" s="1" t="s">
        <v>13</v>
      </c>
      <c r="H2812" s="1" t="b">
        <f t="shared" si="103"/>
        <v>1</v>
      </c>
    </row>
    <row r="2813" spans="1:8" ht="21" x14ac:dyDescent="0.25">
      <c r="A2813" s="2" t="str">
        <f t="shared" si="105"/>
        <v>BSGatlas-operon-1485</v>
      </c>
      <c r="B2813" s="2" t="str">
        <f>HYPERLINK("https://rth.dk/resources/bsgatlas/details.php?id=BSGatlas-gene-3103","BSGatlas-gene-3103")</f>
        <v>BSGatlas-gene-3103</v>
      </c>
      <c r="C2813" s="1" t="s">
        <v>2793</v>
      </c>
      <c r="D2813" s="1" t="s">
        <v>8</v>
      </c>
      <c r="E2813" s="3">
        <v>2710848</v>
      </c>
      <c r="F2813" s="3">
        <v>2711075</v>
      </c>
      <c r="G2813" s="1" t="s">
        <v>13</v>
      </c>
      <c r="H2813" s="1" t="b">
        <f t="shared" si="103"/>
        <v>1</v>
      </c>
    </row>
    <row r="2814" spans="1:8" ht="21" x14ac:dyDescent="0.25">
      <c r="A2814" s="2" t="str">
        <f t="shared" si="105"/>
        <v>BSGatlas-operon-1485</v>
      </c>
      <c r="B2814" s="2" t="str">
        <f>HYPERLINK("https://rth.dk/resources/bsgatlas/details.php?id=BSGatlas-gene-3104","BSGatlas-gene-3104")</f>
        <v>BSGatlas-gene-3104</v>
      </c>
      <c r="C2814" s="1" t="s">
        <v>2794</v>
      </c>
      <c r="D2814" s="1" t="s">
        <v>8</v>
      </c>
      <c r="E2814" s="3">
        <v>2711109</v>
      </c>
      <c r="F2814" s="3">
        <v>2712242</v>
      </c>
      <c r="G2814" s="1" t="s">
        <v>13</v>
      </c>
      <c r="H2814" s="1" t="b">
        <f t="shared" si="103"/>
        <v>1</v>
      </c>
    </row>
    <row r="2815" spans="1:8" ht="21" x14ac:dyDescent="0.25">
      <c r="A2815" s="2" t="str">
        <f t="shared" si="105"/>
        <v>BSGatlas-operon-1485</v>
      </c>
      <c r="B2815" s="2" t="str">
        <f>HYPERLINK("https://rth.dk/resources/bsgatlas/details.php?id=BSGatlas-gene-3105","BSGatlas-gene-3105")</f>
        <v>BSGatlas-gene-3105</v>
      </c>
      <c r="C2815" s="1" t="s">
        <v>2795</v>
      </c>
      <c r="D2815" s="1" t="s">
        <v>8</v>
      </c>
      <c r="E2815" s="3">
        <v>2712577</v>
      </c>
      <c r="F2815" s="3">
        <v>2713134</v>
      </c>
      <c r="G2815" s="1" t="s">
        <v>13</v>
      </c>
      <c r="H2815" s="1" t="b">
        <f t="shared" si="103"/>
        <v>1</v>
      </c>
    </row>
    <row r="2816" spans="1:8" ht="21" x14ac:dyDescent="0.25">
      <c r="A2816" s="2" t="str">
        <f t="shared" si="105"/>
        <v>BSGatlas-operon-1485</v>
      </c>
      <c r="B2816" s="2" t="str">
        <f>HYPERLINK("https://rth.dk/resources/bsgatlas/details.php?id=BSGatlas-gene-3106","BSGatlas-gene-3106")</f>
        <v>BSGatlas-gene-3106</v>
      </c>
      <c r="C2816" s="1" t="s">
        <v>2796</v>
      </c>
      <c r="D2816" s="1" t="s">
        <v>8</v>
      </c>
      <c r="E2816" s="3">
        <v>2713320</v>
      </c>
      <c r="F2816" s="3">
        <v>2713802</v>
      </c>
      <c r="G2816" s="1" t="s">
        <v>13</v>
      </c>
      <c r="H2816" s="1" t="b">
        <f t="shared" si="103"/>
        <v>1</v>
      </c>
    </row>
    <row r="2817" spans="1:8" ht="21" x14ac:dyDescent="0.25">
      <c r="A2817" s="2" t="str">
        <f t="shared" si="105"/>
        <v>BSGatlas-operon-1485</v>
      </c>
      <c r="B2817" s="2" t="str">
        <f>HYPERLINK("https://rth.dk/resources/bsgatlas/details.php?id=BSGatlas-gene-3107","BSGatlas-gene-3107")</f>
        <v>BSGatlas-gene-3107</v>
      </c>
      <c r="C2817" s="1" t="s">
        <v>2797</v>
      </c>
      <c r="D2817" s="1" t="s">
        <v>8</v>
      </c>
      <c r="E2817" s="3">
        <v>2713949</v>
      </c>
      <c r="F2817" s="3">
        <v>2714140</v>
      </c>
      <c r="G2817" s="1" t="s">
        <v>13</v>
      </c>
      <c r="H2817" s="1" t="b">
        <f t="shared" si="103"/>
        <v>1</v>
      </c>
    </row>
    <row r="2818" spans="1:8" ht="21" x14ac:dyDescent="0.25">
      <c r="A2818" s="2" t="str">
        <f t="shared" si="105"/>
        <v>BSGatlas-operon-1485</v>
      </c>
      <c r="B2818" s="2" t="str">
        <f>HYPERLINK("https://rth.dk/resources/bsgatlas/details.php?id=BSGatlas-gene-3108","BSGatlas-gene-3108")</f>
        <v>BSGatlas-gene-3108</v>
      </c>
      <c r="C2818" s="1" t="s">
        <v>2798</v>
      </c>
      <c r="D2818" s="1" t="s">
        <v>276</v>
      </c>
      <c r="E2818" s="3">
        <v>2714231</v>
      </c>
      <c r="F2818" s="3">
        <v>2714548</v>
      </c>
      <c r="G2818" s="1" t="s">
        <v>13</v>
      </c>
      <c r="H2818" s="1" t="b">
        <f t="shared" ref="H2818:H2881" si="106">_xlfn.XOR(A2817&lt;&gt;A2818,H2817)</f>
        <v>1</v>
      </c>
    </row>
    <row r="2819" spans="1:8" ht="21" x14ac:dyDescent="0.25">
      <c r="A2819" s="2" t="str">
        <f>HYPERLINK("https://rth.dk/resources/bsgatlas/details.php?id=BSGatlas-operon-1486","BSGatlas-operon-1486")</f>
        <v>BSGatlas-operon-1486</v>
      </c>
      <c r="B2819" s="2" t="str">
        <f>HYPERLINK("https://rth.dk/resources/bsgatlas/details.php?id=BSGatlas-gene-3109","BSGatlas-gene-3109")</f>
        <v>BSGatlas-gene-3109</v>
      </c>
      <c r="C2819" s="1" t="s">
        <v>2799</v>
      </c>
      <c r="D2819" s="1" t="s">
        <v>276</v>
      </c>
      <c r="E2819" s="3">
        <v>2714590</v>
      </c>
      <c r="F2819" s="3">
        <v>2714805</v>
      </c>
      <c r="G2819" s="1" t="s">
        <v>13</v>
      </c>
      <c r="H2819" s="1" t="b">
        <f t="shared" si="106"/>
        <v>0</v>
      </c>
    </row>
    <row r="2820" spans="1:8" ht="21" x14ac:dyDescent="0.25">
      <c r="A2820" s="2" t="str">
        <f>HYPERLINK("https://rth.dk/resources/bsgatlas/details.php?id=BSGatlas-operon-1486","BSGatlas-operon-1486")</f>
        <v>BSGatlas-operon-1486</v>
      </c>
      <c r="B2820" s="2" t="str">
        <f>HYPERLINK("https://rth.dk/resources/bsgatlas/details.php?id=BSGatlas-gene-3110","BSGatlas-gene-3110")</f>
        <v>BSGatlas-gene-3110</v>
      </c>
      <c r="C2820" s="1" t="s">
        <v>2800</v>
      </c>
      <c r="D2820" s="1" t="s">
        <v>8</v>
      </c>
      <c r="E2820" s="3">
        <v>2714933</v>
      </c>
      <c r="F2820" s="3">
        <v>2715493</v>
      </c>
      <c r="G2820" s="1" t="s">
        <v>13</v>
      </c>
      <c r="H2820" s="1" t="b">
        <f t="shared" si="106"/>
        <v>0</v>
      </c>
    </row>
    <row r="2821" spans="1:8" ht="21" x14ac:dyDescent="0.25">
      <c r="A2821" s="2" t="str">
        <f>HYPERLINK("https://rth.dk/resources/bsgatlas/details.php?id=BSGatlas-operon-1487","BSGatlas-operon-1487")</f>
        <v>BSGatlas-operon-1487</v>
      </c>
      <c r="B2821" s="2" t="str">
        <f>HYPERLINK("https://rth.dk/resources/bsgatlas/details.php?id=BSGatlas-gene-3113","BSGatlas-gene-3113")</f>
        <v>BSGatlas-gene-3113</v>
      </c>
      <c r="C2821" s="1" t="s">
        <v>2801</v>
      </c>
      <c r="D2821" s="1" t="s">
        <v>8</v>
      </c>
      <c r="E2821" s="3">
        <v>2716035</v>
      </c>
      <c r="F2821" s="3">
        <v>2716856</v>
      </c>
      <c r="G2821" s="1" t="s">
        <v>13</v>
      </c>
      <c r="H2821" s="1" t="b">
        <f t="shared" si="106"/>
        <v>1</v>
      </c>
    </row>
    <row r="2822" spans="1:8" ht="21" x14ac:dyDescent="0.25">
      <c r="A2822" s="2" t="str">
        <f>HYPERLINK("https://rth.dk/resources/bsgatlas/details.php?id=BSGatlas-operon-1488","BSGatlas-operon-1488")</f>
        <v>BSGatlas-operon-1488</v>
      </c>
      <c r="B2822" s="2" t="str">
        <f>HYPERLINK("https://rth.dk/resources/bsgatlas/details.php?id=BSGatlas-gene-3114","BSGatlas-gene-3114")</f>
        <v>BSGatlas-gene-3114</v>
      </c>
      <c r="C2822" s="1" t="s">
        <v>2802</v>
      </c>
      <c r="D2822" s="1" t="s">
        <v>8</v>
      </c>
      <c r="E2822" s="3">
        <v>2716973</v>
      </c>
      <c r="F2822" s="3">
        <v>2718175</v>
      </c>
      <c r="G2822" s="1" t="s">
        <v>9</v>
      </c>
      <c r="H2822" s="1" t="b">
        <f t="shared" si="106"/>
        <v>0</v>
      </c>
    </row>
    <row r="2823" spans="1:8" ht="21" x14ac:dyDescent="0.25">
      <c r="A2823" s="2" t="str">
        <f>HYPERLINK("https://rth.dk/resources/bsgatlas/details.php?id=BSGatlas-operon-1488","BSGatlas-operon-1488")</f>
        <v>BSGatlas-operon-1488</v>
      </c>
      <c r="B2823" s="2" t="str">
        <f>HYPERLINK("https://rth.dk/resources/bsgatlas/details.php?id=BSGatlas-gene-3115","BSGatlas-gene-3115")</f>
        <v>BSGatlas-gene-3115</v>
      </c>
      <c r="C2823" s="1" t="s">
        <v>2803</v>
      </c>
      <c r="D2823" s="1" t="s">
        <v>8</v>
      </c>
      <c r="E2823" s="3">
        <v>2718344</v>
      </c>
      <c r="F2823" s="3">
        <v>2718802</v>
      </c>
      <c r="G2823" s="1" t="s">
        <v>9</v>
      </c>
      <c r="H2823" s="1" t="b">
        <f t="shared" si="106"/>
        <v>0</v>
      </c>
    </row>
    <row r="2824" spans="1:8" ht="21" x14ac:dyDescent="0.25">
      <c r="A2824" s="2" t="str">
        <f>HYPERLINK("https://rth.dk/resources/bsgatlas/details.php?id=BSGatlas-operon-1489","BSGatlas-operon-1489")</f>
        <v>BSGatlas-operon-1489</v>
      </c>
      <c r="B2824" s="2" t="str">
        <f>HYPERLINK("https://rth.dk/resources/bsgatlas/details.php?id=BSGatlas-gene-3116","BSGatlas-gene-3116")</f>
        <v>BSGatlas-gene-3116</v>
      </c>
      <c r="C2824" s="1" t="s">
        <v>2804</v>
      </c>
      <c r="D2824" s="1" t="s">
        <v>8</v>
      </c>
      <c r="E2824" s="3">
        <v>2718959</v>
      </c>
      <c r="F2824" s="3">
        <v>2720263</v>
      </c>
      <c r="G2824" s="1" t="s">
        <v>13</v>
      </c>
      <c r="H2824" s="1" t="b">
        <f t="shared" si="106"/>
        <v>1</v>
      </c>
    </row>
    <row r="2825" spans="1:8" ht="21" x14ac:dyDescent="0.25">
      <c r="A2825" s="2" t="str">
        <f>HYPERLINK("https://rth.dk/resources/bsgatlas/details.php?id=BSGatlas-operon-1490","BSGatlas-operon-1490")</f>
        <v>BSGatlas-operon-1490</v>
      </c>
      <c r="B2825" s="2" t="str">
        <f>HYPERLINK("https://rth.dk/resources/bsgatlas/details.php?id=BSGatlas-gene-3117","BSGatlas-gene-3117")</f>
        <v>BSGatlas-gene-3117</v>
      </c>
      <c r="C2825" s="1" t="s">
        <v>2805</v>
      </c>
      <c r="D2825" s="1" t="s">
        <v>8</v>
      </c>
      <c r="E2825" s="3">
        <v>2720526</v>
      </c>
      <c r="F2825" s="3">
        <v>2720669</v>
      </c>
      <c r="G2825" s="1" t="s">
        <v>13</v>
      </c>
      <c r="H2825" s="1" t="b">
        <f t="shared" si="106"/>
        <v>0</v>
      </c>
    </row>
    <row r="2826" spans="1:8" ht="21" x14ac:dyDescent="0.25">
      <c r="A2826" s="2" t="str">
        <f>HYPERLINK("https://rth.dk/resources/bsgatlas/details.php?id=BSGatlas-operon-1490","BSGatlas-operon-1490")</f>
        <v>BSGatlas-operon-1490</v>
      </c>
      <c r="B2826" s="2" t="str">
        <f>HYPERLINK("https://rth.dk/resources/bsgatlas/details.php?id=BSGatlas-gene-3118","BSGatlas-gene-3118")</f>
        <v>BSGatlas-gene-3118</v>
      </c>
      <c r="C2826" s="1" t="s">
        <v>2806</v>
      </c>
      <c r="D2826" s="1" t="s">
        <v>8</v>
      </c>
      <c r="E2826" s="3">
        <v>2720687</v>
      </c>
      <c r="F2826" s="3">
        <v>2721652</v>
      </c>
      <c r="G2826" s="1" t="s">
        <v>13</v>
      </c>
      <c r="H2826" s="1" t="b">
        <f t="shared" si="106"/>
        <v>0</v>
      </c>
    </row>
    <row r="2827" spans="1:8" ht="21" x14ac:dyDescent="0.25">
      <c r="A2827" s="2" t="str">
        <f>HYPERLINK("https://rth.dk/resources/bsgatlas/details.php?id=BSGatlas-operon-1491","BSGatlas-operon-1491")</f>
        <v>BSGatlas-operon-1491</v>
      </c>
      <c r="B2827" s="2" t="str">
        <f>HYPERLINK("https://rth.dk/resources/bsgatlas/details.php?id=BSGatlas-gene-3119","BSGatlas-gene-3119")</f>
        <v>BSGatlas-gene-3119</v>
      </c>
      <c r="C2827" s="1" t="s">
        <v>2807</v>
      </c>
      <c r="D2827" s="1" t="s">
        <v>8</v>
      </c>
      <c r="E2827" s="3">
        <v>2721778</v>
      </c>
      <c r="F2827" s="3">
        <v>2722644</v>
      </c>
      <c r="G2827" s="1" t="s">
        <v>9</v>
      </c>
      <c r="H2827" s="1" t="b">
        <f t="shared" si="106"/>
        <v>1</v>
      </c>
    </row>
    <row r="2828" spans="1:8" ht="21" x14ac:dyDescent="0.25">
      <c r="A2828" s="2" t="str">
        <f>HYPERLINK("https://rth.dk/resources/bsgatlas/details.php?id=BSGatlas-operon-1492","BSGatlas-operon-1492")</f>
        <v>BSGatlas-operon-1492</v>
      </c>
      <c r="B2828" s="2" t="str">
        <f>HYPERLINK("https://rth.dk/resources/bsgatlas/details.php?id=BSGatlas-gene-3120","BSGatlas-gene-3120")</f>
        <v>BSGatlas-gene-3120</v>
      </c>
      <c r="C2828" s="1" t="s">
        <v>2808</v>
      </c>
      <c r="D2828" s="1" t="s">
        <v>8</v>
      </c>
      <c r="E2828" s="3">
        <v>2722767</v>
      </c>
      <c r="F2828" s="3">
        <v>2723804</v>
      </c>
      <c r="G2828" s="1" t="s">
        <v>13</v>
      </c>
      <c r="H2828" s="1" t="b">
        <f t="shared" si="106"/>
        <v>0</v>
      </c>
    </row>
    <row r="2829" spans="1:8" ht="21" x14ac:dyDescent="0.25">
      <c r="A2829" s="2" t="str">
        <f>HYPERLINK("https://rth.dk/resources/bsgatlas/details.php?id=BSGatlas-operon-1492","BSGatlas-operon-1492")</f>
        <v>BSGatlas-operon-1492</v>
      </c>
      <c r="B2829" s="2" t="str">
        <f>HYPERLINK("https://rth.dk/resources/bsgatlas/details.php?id=BSGatlas-gene-3121","BSGatlas-gene-3121")</f>
        <v>BSGatlas-gene-3121</v>
      </c>
      <c r="C2829" s="1" t="s">
        <v>2809</v>
      </c>
      <c r="D2829" s="1" t="s">
        <v>8</v>
      </c>
      <c r="E2829" s="3">
        <v>2723892</v>
      </c>
      <c r="F2829" s="3">
        <v>2724827</v>
      </c>
      <c r="G2829" s="1" t="s">
        <v>13</v>
      </c>
      <c r="H2829" s="1" t="b">
        <f t="shared" si="106"/>
        <v>0</v>
      </c>
    </row>
    <row r="2830" spans="1:8" ht="21" x14ac:dyDescent="0.25">
      <c r="A2830" s="2" t="str">
        <f>HYPERLINK("https://rth.dk/resources/bsgatlas/details.php?id=BSGatlas-operon-1493","BSGatlas-operon-1493")</f>
        <v>BSGatlas-operon-1493</v>
      </c>
      <c r="B2830" s="2" t="str">
        <f>HYPERLINK("https://rth.dk/resources/bsgatlas/details.php?id=BSGatlas-gene-3122","BSGatlas-gene-3122")</f>
        <v>BSGatlas-gene-3122</v>
      </c>
      <c r="C2830" s="1" t="s">
        <v>2810</v>
      </c>
      <c r="D2830" s="1" t="s">
        <v>8</v>
      </c>
      <c r="E2830" s="3">
        <v>2725114</v>
      </c>
      <c r="F2830" s="3">
        <v>2725503</v>
      </c>
      <c r="G2830" s="1" t="s">
        <v>13</v>
      </c>
      <c r="H2830" s="1" t="b">
        <f t="shared" si="106"/>
        <v>1</v>
      </c>
    </row>
    <row r="2831" spans="1:8" ht="21" x14ac:dyDescent="0.25">
      <c r="A2831" s="2" t="str">
        <f>HYPERLINK("https://rth.dk/resources/bsgatlas/details.php?id=BSGatlas-operon-1494","BSGatlas-operon-1494")</f>
        <v>BSGatlas-operon-1494</v>
      </c>
      <c r="B2831" s="2" t="str">
        <f>HYPERLINK("https://rth.dk/resources/bsgatlas/details.php?id=BSGatlas-gene-3123","BSGatlas-gene-3123")</f>
        <v>BSGatlas-gene-3123</v>
      </c>
      <c r="C2831" s="1" t="s">
        <v>2811</v>
      </c>
      <c r="D2831" s="1" t="s">
        <v>8</v>
      </c>
      <c r="E2831" s="3">
        <v>2725837</v>
      </c>
      <c r="F2831" s="3">
        <v>2726727</v>
      </c>
      <c r="G2831" s="1" t="s">
        <v>9</v>
      </c>
      <c r="H2831" s="1" t="b">
        <f t="shared" si="106"/>
        <v>0</v>
      </c>
    </row>
    <row r="2832" spans="1:8" ht="21" x14ac:dyDescent="0.25">
      <c r="A2832" s="2" t="str">
        <f>HYPERLINK("https://rth.dk/resources/bsgatlas/details.php?id=BSGatlas-operon-1495","BSGatlas-operon-1495")</f>
        <v>BSGatlas-operon-1495</v>
      </c>
      <c r="B2832" s="2" t="str">
        <f>HYPERLINK("https://rth.dk/resources/bsgatlas/details.php?id=BSGatlas-gene-3124","BSGatlas-gene-3124")</f>
        <v>BSGatlas-gene-3124</v>
      </c>
      <c r="C2832" s="1" t="s">
        <v>2812</v>
      </c>
      <c r="D2832" s="1" t="s">
        <v>8</v>
      </c>
      <c r="E2832" s="3">
        <v>2726885</v>
      </c>
      <c r="F2832" s="3">
        <v>2727202</v>
      </c>
      <c r="G2832" s="1" t="s">
        <v>13</v>
      </c>
      <c r="H2832" s="1" t="b">
        <f t="shared" si="106"/>
        <v>1</v>
      </c>
    </row>
    <row r="2833" spans="1:8" ht="21" x14ac:dyDescent="0.25">
      <c r="A2833" s="2" t="str">
        <f>HYPERLINK("https://rth.dk/resources/bsgatlas/details.php?id=BSGatlas-operon-1495","BSGatlas-operon-1495")</f>
        <v>BSGatlas-operon-1495</v>
      </c>
      <c r="B2833" s="2" t="str">
        <f>HYPERLINK("https://rth.dk/resources/bsgatlas/details.php?id=BSGatlas-gene-3125","BSGatlas-gene-3125")</f>
        <v>BSGatlas-gene-3125</v>
      </c>
      <c r="C2833" s="1" t="s">
        <v>2813</v>
      </c>
      <c r="D2833" s="1" t="s">
        <v>8</v>
      </c>
      <c r="E2833" s="3">
        <v>2727160</v>
      </c>
      <c r="F2833" s="3">
        <v>2728482</v>
      </c>
      <c r="G2833" s="1" t="s">
        <v>13</v>
      </c>
      <c r="H2833" s="1" t="b">
        <f t="shared" si="106"/>
        <v>1</v>
      </c>
    </row>
    <row r="2834" spans="1:8" ht="21" x14ac:dyDescent="0.25">
      <c r="A2834" s="2" t="str">
        <f>HYPERLINK("https://rth.dk/resources/bsgatlas/details.php?id=BSGatlas-operon-1495","BSGatlas-operon-1495")</f>
        <v>BSGatlas-operon-1495</v>
      </c>
      <c r="B2834" s="2" t="str">
        <f>HYPERLINK("https://rth.dk/resources/bsgatlas/details.php?id=BSGatlas-gene-3126","BSGatlas-gene-3126")</f>
        <v>BSGatlas-gene-3126</v>
      </c>
      <c r="C2834" s="1" t="s">
        <v>2814</v>
      </c>
      <c r="D2834" s="1" t="s">
        <v>8</v>
      </c>
      <c r="E2834" s="3">
        <v>2728647</v>
      </c>
      <c r="F2834" s="3">
        <v>2728979</v>
      </c>
      <c r="G2834" s="1" t="s">
        <v>13</v>
      </c>
      <c r="H2834" s="1" t="b">
        <f t="shared" si="106"/>
        <v>1</v>
      </c>
    </row>
    <row r="2835" spans="1:8" ht="21" x14ac:dyDescent="0.25">
      <c r="A2835" s="2" t="str">
        <f>HYPERLINK("https://rth.dk/resources/bsgatlas/details.php?id=BSGatlas-operon-1495","BSGatlas-operon-1495")</f>
        <v>BSGatlas-operon-1495</v>
      </c>
      <c r="B2835" s="2" t="str">
        <f>HYPERLINK("https://rth.dk/resources/bsgatlas/details.php?id=BSGatlas-gene-3127","BSGatlas-gene-3127")</f>
        <v>BSGatlas-gene-3127</v>
      </c>
      <c r="C2835" s="1" t="s">
        <v>2815</v>
      </c>
      <c r="D2835" s="1" t="s">
        <v>8</v>
      </c>
      <c r="E2835" s="3">
        <v>2728976</v>
      </c>
      <c r="F2835" s="3">
        <v>2729740</v>
      </c>
      <c r="G2835" s="1" t="s">
        <v>13</v>
      </c>
      <c r="H2835" s="1" t="b">
        <f t="shared" si="106"/>
        <v>1</v>
      </c>
    </row>
    <row r="2836" spans="1:8" ht="21" x14ac:dyDescent="0.25">
      <c r="A2836" s="2" t="str">
        <f>HYPERLINK("https://rth.dk/resources/bsgatlas/details.php?id=BSGatlas-operon-1495","BSGatlas-operon-1495")</f>
        <v>BSGatlas-operon-1495</v>
      </c>
      <c r="B2836" s="2" t="str">
        <f>HYPERLINK("https://rth.dk/resources/bsgatlas/details.php?id=BSGatlas-gene-3128","BSGatlas-gene-3128")</f>
        <v>BSGatlas-gene-3128</v>
      </c>
      <c r="C2836" s="1" t="s">
        <v>2816</v>
      </c>
      <c r="D2836" s="1" t="s">
        <v>8</v>
      </c>
      <c r="E2836" s="3">
        <v>2729753</v>
      </c>
      <c r="F2836" s="3">
        <v>2730226</v>
      </c>
      <c r="G2836" s="1" t="s">
        <v>13</v>
      </c>
      <c r="H2836" s="1" t="b">
        <f t="shared" si="106"/>
        <v>1</v>
      </c>
    </row>
    <row r="2837" spans="1:8" ht="21" x14ac:dyDescent="0.25">
      <c r="A2837" s="2" t="str">
        <f>HYPERLINK("https://rth.dk/resources/bsgatlas/details.php?id=BSGatlas-operon-1496","BSGatlas-operon-1496")</f>
        <v>BSGatlas-operon-1496</v>
      </c>
      <c r="B2837" s="2" t="str">
        <f>HYPERLINK("https://rth.dk/resources/bsgatlas/details.php?id=BSGatlas-gene-3129","BSGatlas-gene-3129")</f>
        <v>BSGatlas-gene-3129</v>
      </c>
      <c r="C2837" s="1" t="s">
        <v>2817</v>
      </c>
      <c r="D2837" s="1" t="s">
        <v>8</v>
      </c>
      <c r="E2837" s="3">
        <v>2730560</v>
      </c>
      <c r="F2837" s="3">
        <v>2730835</v>
      </c>
      <c r="G2837" s="1" t="s">
        <v>13</v>
      </c>
      <c r="H2837" s="1" t="b">
        <f t="shared" si="106"/>
        <v>0</v>
      </c>
    </row>
    <row r="2838" spans="1:8" ht="21" x14ac:dyDescent="0.25">
      <c r="A2838" s="2" t="str">
        <f>HYPERLINK("https://rth.dk/resources/bsgatlas/details.php?id=BSGatlas-operon-1497","BSGatlas-operon-1497")</f>
        <v>BSGatlas-operon-1497</v>
      </c>
      <c r="B2838" s="2" t="str">
        <f>HYPERLINK("https://rth.dk/resources/bsgatlas/details.php?id=BSGatlas-gene-3130","BSGatlas-gene-3130")</f>
        <v>BSGatlas-gene-3130</v>
      </c>
      <c r="C2838" s="1" t="s">
        <v>2818</v>
      </c>
      <c r="D2838" s="1" t="s">
        <v>8</v>
      </c>
      <c r="E2838" s="3">
        <v>2731107</v>
      </c>
      <c r="F2838" s="3">
        <v>2732339</v>
      </c>
      <c r="G2838" s="1" t="s">
        <v>13</v>
      </c>
      <c r="H2838" s="1" t="b">
        <f t="shared" si="106"/>
        <v>1</v>
      </c>
    </row>
    <row r="2839" spans="1:8" ht="21" x14ac:dyDescent="0.25">
      <c r="A2839" s="2" t="str">
        <f>HYPERLINK("https://rth.dk/resources/bsgatlas/details.php?id=BSGatlas-operon-1498","BSGatlas-operon-1498")</f>
        <v>BSGatlas-operon-1498</v>
      </c>
      <c r="B2839" s="2" t="str">
        <f>HYPERLINK("https://rth.dk/resources/bsgatlas/details.php?id=BSGatlas-gene-3132","BSGatlas-gene-3132")</f>
        <v>BSGatlas-gene-3132</v>
      </c>
      <c r="C2839" s="1" t="s">
        <v>2819</v>
      </c>
      <c r="D2839" s="1" t="s">
        <v>276</v>
      </c>
      <c r="E2839" s="3">
        <v>2732547</v>
      </c>
      <c r="F2839" s="3">
        <v>2732747</v>
      </c>
      <c r="G2839" s="1" t="s">
        <v>13</v>
      </c>
      <c r="H2839" s="1" t="b">
        <f t="shared" si="106"/>
        <v>0</v>
      </c>
    </row>
    <row r="2840" spans="1:8" ht="21" x14ac:dyDescent="0.25">
      <c r="A2840" s="2" t="str">
        <f>HYPERLINK("https://rth.dk/resources/bsgatlas/details.php?id=BSGatlas-operon-1499","BSGatlas-operon-1499")</f>
        <v>BSGatlas-operon-1499</v>
      </c>
      <c r="B2840" s="2" t="str">
        <f>HYPERLINK("https://rth.dk/resources/bsgatlas/details.php?id=BSGatlas-gene-3134","BSGatlas-gene-3134")</f>
        <v>BSGatlas-gene-3134</v>
      </c>
      <c r="C2840" s="1" t="s">
        <v>2820</v>
      </c>
      <c r="D2840" s="1" t="s">
        <v>8</v>
      </c>
      <c r="E2840" s="3">
        <v>2732980</v>
      </c>
      <c r="F2840" s="3">
        <v>2733543</v>
      </c>
      <c r="G2840" s="1" t="s">
        <v>13</v>
      </c>
      <c r="H2840" s="1" t="b">
        <f t="shared" si="106"/>
        <v>1</v>
      </c>
    </row>
    <row r="2841" spans="1:8" ht="21" x14ac:dyDescent="0.25">
      <c r="A2841" s="2" t="str">
        <f>HYPERLINK("https://rth.dk/resources/bsgatlas/details.php?id=BSGatlas-operon-1500","BSGatlas-operon-1500")</f>
        <v>BSGatlas-operon-1500</v>
      </c>
      <c r="B2841" s="2" t="str">
        <f>HYPERLINK("https://rth.dk/resources/bsgatlas/details.php?id=BSGatlas-gene-3135","BSGatlas-gene-3135")</f>
        <v>BSGatlas-gene-3135</v>
      </c>
      <c r="C2841" s="1" t="s">
        <v>2821</v>
      </c>
      <c r="D2841" s="1" t="s">
        <v>8</v>
      </c>
      <c r="E2841" s="3">
        <v>2733772</v>
      </c>
      <c r="F2841" s="3">
        <v>2734143</v>
      </c>
      <c r="G2841" s="1" t="s">
        <v>13</v>
      </c>
      <c r="H2841" s="1" t="b">
        <f t="shared" si="106"/>
        <v>0</v>
      </c>
    </row>
    <row r="2842" spans="1:8" ht="21" x14ac:dyDescent="0.25">
      <c r="A2842" s="2" t="str">
        <f>HYPERLINK("https://rth.dk/resources/bsgatlas/details.php?id=BSGatlas-operon-1501","BSGatlas-operon-1501")</f>
        <v>BSGatlas-operon-1501</v>
      </c>
      <c r="B2842" s="2" t="str">
        <f>HYPERLINK("https://rth.dk/resources/bsgatlas/details.php?id=BSGatlas-gene-3136","BSGatlas-gene-3136")</f>
        <v>BSGatlas-gene-3136</v>
      </c>
      <c r="C2842" s="1" t="s">
        <v>2822</v>
      </c>
      <c r="D2842" s="1" t="s">
        <v>12</v>
      </c>
      <c r="E2842" s="3">
        <v>2734262</v>
      </c>
      <c r="F2842" s="3">
        <v>2734358</v>
      </c>
      <c r="G2842" s="1" t="s">
        <v>13</v>
      </c>
      <c r="H2842" s="1" t="b">
        <f t="shared" si="106"/>
        <v>1</v>
      </c>
    </row>
    <row r="2843" spans="1:8" ht="21" x14ac:dyDescent="0.25">
      <c r="A2843" s="2" t="str">
        <f>HYPERLINK("https://rth.dk/resources/bsgatlas/details.php?id=BSGatlas-operon-1502","BSGatlas-operon-1502")</f>
        <v>BSGatlas-operon-1502</v>
      </c>
      <c r="B2843" s="2" t="str">
        <f>HYPERLINK("https://rth.dk/resources/bsgatlas/details.php?id=BSGatlas-gene-3137","BSGatlas-gene-3137")</f>
        <v>BSGatlas-gene-3137</v>
      </c>
      <c r="C2843" s="1" t="s">
        <v>2823</v>
      </c>
      <c r="D2843" s="1" t="s">
        <v>8</v>
      </c>
      <c r="E2843" s="3">
        <v>2734953</v>
      </c>
      <c r="F2843" s="3">
        <v>2735456</v>
      </c>
      <c r="G2843" s="1" t="s">
        <v>13</v>
      </c>
      <c r="H2843" s="1" t="b">
        <f t="shared" si="106"/>
        <v>0</v>
      </c>
    </row>
    <row r="2844" spans="1:8" ht="21" x14ac:dyDescent="0.25">
      <c r="A2844" s="2" t="str">
        <f>HYPERLINK("https://rth.dk/resources/bsgatlas/details.php?id=BSGatlas-operon-1502","BSGatlas-operon-1502")</f>
        <v>BSGatlas-operon-1502</v>
      </c>
      <c r="B2844" s="2" t="str">
        <f>HYPERLINK("https://rth.dk/resources/bsgatlas/details.php?id=BSGatlas-gene-3138","BSGatlas-gene-3138")</f>
        <v>BSGatlas-gene-3138</v>
      </c>
      <c r="C2844" s="1" t="s">
        <v>2824</v>
      </c>
      <c r="D2844" s="1" t="s">
        <v>8</v>
      </c>
      <c r="E2844" s="3">
        <v>2735682</v>
      </c>
      <c r="F2844" s="3">
        <v>2736536</v>
      </c>
      <c r="G2844" s="1" t="s">
        <v>13</v>
      </c>
      <c r="H2844" s="1" t="b">
        <f t="shared" si="106"/>
        <v>0</v>
      </c>
    </row>
    <row r="2845" spans="1:8" ht="21" x14ac:dyDescent="0.25">
      <c r="A2845" s="2" t="str">
        <f>HYPERLINK("https://rth.dk/resources/bsgatlas/details.php?id=BSGatlas-operon-1503","BSGatlas-operon-1503")</f>
        <v>BSGatlas-operon-1503</v>
      </c>
      <c r="B2845" s="2" t="str">
        <f>HYPERLINK("https://rth.dk/resources/bsgatlas/details.php?id=BSGatlas-gene-3139","BSGatlas-gene-3139")</f>
        <v>BSGatlas-gene-3139</v>
      </c>
      <c r="C2845" s="1" t="s">
        <v>2825</v>
      </c>
      <c r="D2845" s="1" t="s">
        <v>8</v>
      </c>
      <c r="E2845" s="3">
        <v>2736915</v>
      </c>
      <c r="F2845" s="3">
        <v>2737958</v>
      </c>
      <c r="G2845" s="1" t="s">
        <v>9</v>
      </c>
      <c r="H2845" s="1" t="b">
        <f t="shared" si="106"/>
        <v>1</v>
      </c>
    </row>
    <row r="2846" spans="1:8" ht="21" x14ac:dyDescent="0.25">
      <c r="A2846" s="2" t="str">
        <f>HYPERLINK("https://rth.dk/resources/bsgatlas/details.php?id=BSGatlas-operon-1504","BSGatlas-operon-1504")</f>
        <v>BSGatlas-operon-1504</v>
      </c>
      <c r="B2846" s="2" t="str">
        <f>HYPERLINK("https://rth.dk/resources/bsgatlas/details.php?id=BSGatlas-gene-3140","BSGatlas-gene-3140")</f>
        <v>BSGatlas-gene-3140</v>
      </c>
      <c r="C2846" s="1" t="s">
        <v>2826</v>
      </c>
      <c r="D2846" s="1" t="s">
        <v>8</v>
      </c>
      <c r="E2846" s="3">
        <v>2738308</v>
      </c>
      <c r="F2846" s="3">
        <v>2739105</v>
      </c>
      <c r="G2846" s="1" t="s">
        <v>9</v>
      </c>
      <c r="H2846" s="1" t="b">
        <f t="shared" si="106"/>
        <v>0</v>
      </c>
    </row>
    <row r="2847" spans="1:8" ht="21" x14ac:dyDescent="0.25">
      <c r="A2847" s="2" t="str">
        <f>HYPERLINK("https://rth.dk/resources/bsgatlas/details.php?id=BSGatlas-operon-1505","BSGatlas-operon-1505")</f>
        <v>BSGatlas-operon-1505</v>
      </c>
      <c r="B2847" s="2" t="str">
        <f>HYPERLINK("https://rth.dk/resources/bsgatlas/details.php?id=BSGatlas-gene-3141","BSGatlas-gene-3141")</f>
        <v>BSGatlas-gene-3141</v>
      </c>
      <c r="C2847" s="1" t="s">
        <v>2827</v>
      </c>
      <c r="D2847" s="1" t="s">
        <v>8</v>
      </c>
      <c r="E2847" s="3">
        <v>2739486</v>
      </c>
      <c r="F2847" s="3">
        <v>2740193</v>
      </c>
      <c r="G2847" s="1" t="s">
        <v>9</v>
      </c>
      <c r="H2847" s="1" t="b">
        <f t="shared" si="106"/>
        <v>1</v>
      </c>
    </row>
    <row r="2848" spans="1:8" ht="21" x14ac:dyDescent="0.25">
      <c r="A2848" s="2" t="str">
        <f>HYPERLINK("https://rth.dk/resources/bsgatlas/details.php?id=BSGatlas-operon-1506","BSGatlas-operon-1506")</f>
        <v>BSGatlas-operon-1506</v>
      </c>
      <c r="B2848" s="2" t="str">
        <f>HYPERLINK("https://rth.dk/resources/bsgatlas/details.php?id=BSGatlas-gene-3142","BSGatlas-gene-3142")</f>
        <v>BSGatlas-gene-3142</v>
      </c>
      <c r="C2848" s="1" t="s">
        <v>318</v>
      </c>
      <c r="D2848" s="1" t="s">
        <v>276</v>
      </c>
      <c r="E2848" s="3">
        <v>2740517</v>
      </c>
      <c r="F2848" s="3">
        <v>2740678</v>
      </c>
      <c r="G2848" s="1" t="s">
        <v>9</v>
      </c>
      <c r="H2848" s="1" t="b">
        <f t="shared" si="106"/>
        <v>0</v>
      </c>
    </row>
    <row r="2849" spans="1:8" ht="21" x14ac:dyDescent="0.25">
      <c r="A2849" s="2" t="str">
        <f>HYPERLINK("https://rth.dk/resources/bsgatlas/details.php?id=BSGatlas-operon-1507","BSGatlas-operon-1507")</f>
        <v>BSGatlas-operon-1507</v>
      </c>
      <c r="B2849" s="2" t="str">
        <f>HYPERLINK("https://rth.dk/resources/bsgatlas/details.php?id=BSGatlas-gene-3143","BSGatlas-gene-3143")</f>
        <v>BSGatlas-gene-3143</v>
      </c>
      <c r="C2849" s="1" t="s">
        <v>2828</v>
      </c>
      <c r="D2849" s="1" t="s">
        <v>12</v>
      </c>
      <c r="E2849" s="3">
        <v>2740743</v>
      </c>
      <c r="F2849" s="3">
        <v>2740894</v>
      </c>
      <c r="G2849" s="1" t="s">
        <v>9</v>
      </c>
      <c r="H2849" s="1" t="b">
        <f t="shared" si="106"/>
        <v>1</v>
      </c>
    </row>
    <row r="2850" spans="1:8" ht="21" x14ac:dyDescent="0.25">
      <c r="A2850" s="2" t="str">
        <f>HYPERLINK("https://rth.dk/resources/bsgatlas/details.php?id=BSGatlas-operon-1508","BSGatlas-operon-1508")</f>
        <v>BSGatlas-operon-1508</v>
      </c>
      <c r="B2850" s="2" t="str">
        <f>HYPERLINK("https://rth.dk/resources/bsgatlas/details.php?id=BSGatlas-gene-3144","BSGatlas-gene-3144")</f>
        <v>BSGatlas-gene-3144</v>
      </c>
      <c r="C2850" s="1" t="s">
        <v>2829</v>
      </c>
      <c r="D2850" s="1" t="s">
        <v>8</v>
      </c>
      <c r="E2850" s="3">
        <v>2740769</v>
      </c>
      <c r="F2850" s="3">
        <v>2740846</v>
      </c>
      <c r="G2850" s="1" t="s">
        <v>9</v>
      </c>
      <c r="H2850" s="1" t="b">
        <f t="shared" si="106"/>
        <v>0</v>
      </c>
    </row>
    <row r="2851" spans="1:8" ht="21" x14ac:dyDescent="0.25">
      <c r="A2851" s="2" t="str">
        <f>HYPERLINK("https://rth.dk/resources/bsgatlas/details.php?id=BSGatlas-operon-1509","BSGatlas-operon-1509")</f>
        <v>BSGatlas-operon-1509</v>
      </c>
      <c r="B2851" s="2" t="str">
        <f>HYPERLINK("https://rth.dk/resources/bsgatlas/details.php?id=BSGatlas-gene-3145","BSGatlas-gene-3145")</f>
        <v>BSGatlas-gene-3145</v>
      </c>
      <c r="C2851" s="1" t="s">
        <v>318</v>
      </c>
      <c r="D2851" s="1" t="s">
        <v>8</v>
      </c>
      <c r="E2851" s="3">
        <v>2741133</v>
      </c>
      <c r="F2851" s="3">
        <v>2741294</v>
      </c>
      <c r="G2851" s="1" t="s">
        <v>13</v>
      </c>
      <c r="H2851" s="1" t="b">
        <f t="shared" si="106"/>
        <v>1</v>
      </c>
    </row>
    <row r="2852" spans="1:8" ht="21" x14ac:dyDescent="0.25">
      <c r="A2852" s="2" t="str">
        <f>HYPERLINK("https://rth.dk/resources/bsgatlas/details.php?id=BSGatlas-operon-1510","BSGatlas-operon-1510")</f>
        <v>BSGatlas-operon-1510</v>
      </c>
      <c r="B2852" s="2" t="str">
        <f>HYPERLINK("https://rth.dk/resources/bsgatlas/details.php?id=BSGatlas-gene-3146","BSGatlas-gene-3146")</f>
        <v>BSGatlas-gene-3146</v>
      </c>
      <c r="C2852" s="1" t="s">
        <v>2830</v>
      </c>
      <c r="D2852" s="1" t="s">
        <v>8</v>
      </c>
      <c r="E2852" s="3">
        <v>2741357</v>
      </c>
      <c r="F2852" s="3">
        <v>2742112</v>
      </c>
      <c r="G2852" s="1" t="s">
        <v>13</v>
      </c>
      <c r="H2852" s="1" t="b">
        <f t="shared" si="106"/>
        <v>0</v>
      </c>
    </row>
    <row r="2853" spans="1:8" ht="21" x14ac:dyDescent="0.25">
      <c r="A2853" s="2" t="str">
        <f>HYPERLINK("https://rth.dk/resources/bsgatlas/details.php?id=BSGatlas-operon-1511","BSGatlas-operon-1511")</f>
        <v>BSGatlas-operon-1511</v>
      </c>
      <c r="B2853" s="2" t="str">
        <f>HYPERLINK("https://rth.dk/resources/bsgatlas/details.php?id=BSGatlas-gene-3147","BSGatlas-gene-3147")</f>
        <v>BSGatlas-gene-3147</v>
      </c>
      <c r="C2853" s="1" t="s">
        <v>2831</v>
      </c>
      <c r="D2853" s="1" t="s">
        <v>8</v>
      </c>
      <c r="E2853" s="3">
        <v>2742244</v>
      </c>
      <c r="F2853" s="3">
        <v>2742774</v>
      </c>
      <c r="G2853" s="1" t="s">
        <v>13</v>
      </c>
      <c r="H2853" s="1" t="b">
        <f t="shared" si="106"/>
        <v>1</v>
      </c>
    </row>
    <row r="2854" spans="1:8" ht="21" x14ac:dyDescent="0.25">
      <c r="A2854" s="2" t="str">
        <f>HYPERLINK("https://rth.dk/resources/bsgatlas/details.php?id=BSGatlas-operon-1512","BSGatlas-operon-1512")</f>
        <v>BSGatlas-operon-1512</v>
      </c>
      <c r="B2854" s="2" t="str">
        <f>HYPERLINK("https://rth.dk/resources/bsgatlas/details.php?id=BSGatlas-gene-3148","BSGatlas-gene-3148")</f>
        <v>BSGatlas-gene-3148</v>
      </c>
      <c r="C2854" s="1" t="s">
        <v>2832</v>
      </c>
      <c r="D2854" s="1" t="s">
        <v>8</v>
      </c>
      <c r="E2854" s="3">
        <v>2742909</v>
      </c>
      <c r="F2854" s="3">
        <v>2743889</v>
      </c>
      <c r="G2854" s="1" t="s">
        <v>9</v>
      </c>
      <c r="H2854" s="1" t="b">
        <f t="shared" si="106"/>
        <v>0</v>
      </c>
    </row>
    <row r="2855" spans="1:8" ht="21" x14ac:dyDescent="0.25">
      <c r="A2855" s="2" t="str">
        <f>HYPERLINK("https://rth.dk/resources/bsgatlas/details.php?id=BSGatlas-operon-1513","BSGatlas-operon-1513")</f>
        <v>BSGatlas-operon-1513</v>
      </c>
      <c r="B2855" s="2" t="str">
        <f>HYPERLINK("https://rth.dk/resources/bsgatlas/details.php?id=BSGatlas-gene-3149","BSGatlas-gene-3149")</f>
        <v>BSGatlas-gene-3149</v>
      </c>
      <c r="C2855" s="1" t="s">
        <v>2833</v>
      </c>
      <c r="D2855" s="1" t="s">
        <v>8</v>
      </c>
      <c r="E2855" s="3">
        <v>2744163</v>
      </c>
      <c r="F2855" s="3">
        <v>2745479</v>
      </c>
      <c r="G2855" s="1" t="s">
        <v>13</v>
      </c>
      <c r="H2855" s="1" t="b">
        <f t="shared" si="106"/>
        <v>1</v>
      </c>
    </row>
    <row r="2856" spans="1:8" ht="21" x14ac:dyDescent="0.25">
      <c r="A2856" s="2" t="str">
        <f>HYPERLINK("https://rth.dk/resources/bsgatlas/details.php?id=BSGatlas-operon-1513","BSGatlas-operon-1513")</f>
        <v>BSGatlas-operon-1513</v>
      </c>
      <c r="B2856" s="2" t="str">
        <f>HYPERLINK("https://rth.dk/resources/bsgatlas/details.php?id=BSGatlas-gene-3150","BSGatlas-gene-3150")</f>
        <v>BSGatlas-gene-3150</v>
      </c>
      <c r="C2856" s="1" t="s">
        <v>2834</v>
      </c>
      <c r="D2856" s="1" t="s">
        <v>8</v>
      </c>
      <c r="E2856" s="3">
        <v>2745594</v>
      </c>
      <c r="F2856" s="3">
        <v>2746463</v>
      </c>
      <c r="G2856" s="1" t="s">
        <v>13</v>
      </c>
      <c r="H2856" s="1" t="b">
        <f t="shared" si="106"/>
        <v>1</v>
      </c>
    </row>
    <row r="2857" spans="1:8" ht="21" x14ac:dyDescent="0.25">
      <c r="A2857" s="2" t="str">
        <f>HYPERLINK("https://rth.dk/resources/bsgatlas/details.php?id=BSGatlas-operon-1514","BSGatlas-operon-1514")</f>
        <v>BSGatlas-operon-1514</v>
      </c>
      <c r="B2857" s="2" t="str">
        <f>HYPERLINK("https://rth.dk/resources/bsgatlas/details.php?id=BSGatlas-gene-3151","BSGatlas-gene-3151")</f>
        <v>BSGatlas-gene-3151</v>
      </c>
      <c r="C2857" s="1" t="s">
        <v>2835</v>
      </c>
      <c r="D2857" s="1" t="s">
        <v>8</v>
      </c>
      <c r="E2857" s="3">
        <v>2746608</v>
      </c>
      <c r="F2857" s="3">
        <v>2747711</v>
      </c>
      <c r="G2857" s="1" t="s">
        <v>9</v>
      </c>
      <c r="H2857" s="1" t="b">
        <f t="shared" si="106"/>
        <v>0</v>
      </c>
    </row>
    <row r="2858" spans="1:8" ht="21" x14ac:dyDescent="0.25">
      <c r="A2858" s="2" t="str">
        <f>HYPERLINK("https://rth.dk/resources/bsgatlas/details.php?id=BSGatlas-operon-1515","BSGatlas-operon-1515")</f>
        <v>BSGatlas-operon-1515</v>
      </c>
      <c r="B2858" s="2" t="str">
        <f>HYPERLINK("https://rth.dk/resources/bsgatlas/details.php?id=BSGatlas-gene-3152","BSGatlas-gene-3152")</f>
        <v>BSGatlas-gene-3152</v>
      </c>
      <c r="C2858" s="1" t="s">
        <v>2836</v>
      </c>
      <c r="D2858" s="1" t="s">
        <v>8</v>
      </c>
      <c r="E2858" s="3">
        <v>2747984</v>
      </c>
      <c r="F2858" s="3">
        <v>2748817</v>
      </c>
      <c r="G2858" s="1" t="s">
        <v>13</v>
      </c>
      <c r="H2858" s="1" t="b">
        <f t="shared" si="106"/>
        <v>1</v>
      </c>
    </row>
    <row r="2859" spans="1:8" ht="21" x14ac:dyDescent="0.25">
      <c r="A2859" s="2" t="str">
        <f>HYPERLINK("https://rth.dk/resources/bsgatlas/details.php?id=BSGatlas-operon-1516","BSGatlas-operon-1516")</f>
        <v>BSGatlas-operon-1516</v>
      </c>
      <c r="B2859" s="2" t="str">
        <f>HYPERLINK("https://rth.dk/resources/bsgatlas/details.php?id=BSGatlas-gene-3153","BSGatlas-gene-3153")</f>
        <v>BSGatlas-gene-3153</v>
      </c>
      <c r="C2859" s="1" t="s">
        <v>2837</v>
      </c>
      <c r="D2859" s="1" t="s">
        <v>8</v>
      </c>
      <c r="E2859" s="3">
        <v>2749260</v>
      </c>
      <c r="F2859" s="3">
        <v>2749523</v>
      </c>
      <c r="G2859" s="1" t="s">
        <v>9</v>
      </c>
      <c r="H2859" s="1" t="b">
        <f t="shared" si="106"/>
        <v>0</v>
      </c>
    </row>
    <row r="2860" spans="1:8" ht="21" x14ac:dyDescent="0.25">
      <c r="A2860" s="2" t="str">
        <f>HYPERLINK("https://rth.dk/resources/bsgatlas/details.php?id=BSGatlas-operon-1517","BSGatlas-operon-1517")</f>
        <v>BSGatlas-operon-1517</v>
      </c>
      <c r="B2860" s="2" t="str">
        <f>HYPERLINK("https://rth.dk/resources/bsgatlas/details.php?id=BSGatlas-gene-3155","BSGatlas-gene-3155")</f>
        <v>BSGatlas-gene-3155</v>
      </c>
      <c r="C2860" s="1" t="s">
        <v>2838</v>
      </c>
      <c r="D2860" s="1" t="s">
        <v>8</v>
      </c>
      <c r="E2860" s="3">
        <v>2750883</v>
      </c>
      <c r="F2860" s="3">
        <v>2751239</v>
      </c>
      <c r="G2860" s="1" t="s">
        <v>13</v>
      </c>
      <c r="H2860" s="1" t="b">
        <f t="shared" si="106"/>
        <v>1</v>
      </c>
    </row>
    <row r="2861" spans="1:8" ht="21" x14ac:dyDescent="0.25">
      <c r="A2861" s="2" t="str">
        <f>HYPERLINK("https://rth.dk/resources/bsgatlas/details.php?id=BSGatlas-operon-1517","BSGatlas-operon-1517")</f>
        <v>BSGatlas-operon-1517</v>
      </c>
      <c r="B2861" s="2" t="str">
        <f>HYPERLINK("https://rth.dk/resources/bsgatlas/details.php?id=BSGatlas-gene-3156","BSGatlas-gene-3156")</f>
        <v>BSGatlas-gene-3156</v>
      </c>
      <c r="C2861" s="1" t="s">
        <v>2839</v>
      </c>
      <c r="D2861" s="1" t="s">
        <v>8</v>
      </c>
      <c r="E2861" s="3">
        <v>2751292</v>
      </c>
      <c r="F2861" s="3">
        <v>2751651</v>
      </c>
      <c r="G2861" s="1" t="s">
        <v>13</v>
      </c>
      <c r="H2861" s="1" t="b">
        <f t="shared" si="106"/>
        <v>1</v>
      </c>
    </row>
    <row r="2862" spans="1:8" ht="21" x14ac:dyDescent="0.25">
      <c r="A2862" s="2" t="str">
        <f>HYPERLINK("https://rth.dk/resources/bsgatlas/details.php?id=BSGatlas-operon-1518","BSGatlas-operon-1518")</f>
        <v>BSGatlas-operon-1518</v>
      </c>
      <c r="B2862" s="2" t="str">
        <f>HYPERLINK("https://rth.dk/resources/bsgatlas/details.php?id=BSGatlas-gene-3159","BSGatlas-gene-3159")</f>
        <v>BSGatlas-gene-3159</v>
      </c>
      <c r="C2862" s="1" t="s">
        <v>2840</v>
      </c>
      <c r="D2862" s="1" t="s">
        <v>8</v>
      </c>
      <c r="E2862" s="3">
        <v>2752167</v>
      </c>
      <c r="F2862" s="3">
        <v>2752553</v>
      </c>
      <c r="G2862" s="1" t="s">
        <v>13</v>
      </c>
      <c r="H2862" s="1" t="b">
        <f t="shared" si="106"/>
        <v>0</v>
      </c>
    </row>
    <row r="2863" spans="1:8" ht="21" x14ac:dyDescent="0.25">
      <c r="A2863" s="2" t="str">
        <f>HYPERLINK("https://rth.dk/resources/bsgatlas/details.php?id=BSGatlas-operon-1519","BSGatlas-operon-1519")</f>
        <v>BSGatlas-operon-1519</v>
      </c>
      <c r="B2863" s="2" t="str">
        <f>HYPERLINK("https://rth.dk/resources/bsgatlas/details.php?id=BSGatlas-gene-3160","BSGatlas-gene-3160")</f>
        <v>BSGatlas-gene-3160</v>
      </c>
      <c r="C2863" s="1" t="s">
        <v>2841</v>
      </c>
      <c r="D2863" s="1" t="s">
        <v>8</v>
      </c>
      <c r="E2863" s="3">
        <v>2752802</v>
      </c>
      <c r="F2863" s="3">
        <v>2753047</v>
      </c>
      <c r="G2863" s="1" t="s">
        <v>9</v>
      </c>
      <c r="H2863" s="1" t="b">
        <f t="shared" si="106"/>
        <v>1</v>
      </c>
    </row>
    <row r="2864" spans="1:8" ht="21" x14ac:dyDescent="0.25">
      <c r="A2864" s="2" t="str">
        <f>HYPERLINK("https://rth.dk/resources/bsgatlas/details.php?id=BSGatlas-operon-1519","BSGatlas-operon-1519")</f>
        <v>BSGatlas-operon-1519</v>
      </c>
      <c r="B2864" s="2" t="str">
        <f>HYPERLINK("https://rth.dk/resources/bsgatlas/details.php?id=BSGatlas-gene-3161","BSGatlas-gene-3161")</f>
        <v>BSGatlas-gene-3161</v>
      </c>
      <c r="C2864" s="1" t="s">
        <v>2842</v>
      </c>
      <c r="D2864" s="1" t="s">
        <v>8</v>
      </c>
      <c r="E2864" s="3">
        <v>2753065</v>
      </c>
      <c r="F2864" s="3">
        <v>2753433</v>
      </c>
      <c r="G2864" s="1" t="s">
        <v>9</v>
      </c>
      <c r="H2864" s="1" t="b">
        <f t="shared" si="106"/>
        <v>1</v>
      </c>
    </row>
    <row r="2865" spans="1:8" ht="21" x14ac:dyDescent="0.25">
      <c r="A2865" s="2" t="str">
        <f>HYPERLINK("https://rth.dk/resources/bsgatlas/details.php?id=BSGatlas-operon-1519","BSGatlas-operon-1519")</f>
        <v>BSGatlas-operon-1519</v>
      </c>
      <c r="B2865" s="2" t="str">
        <f>HYPERLINK("https://rth.dk/resources/bsgatlas/details.php?id=BSGatlas-gene-3162","BSGatlas-gene-3162")</f>
        <v>BSGatlas-gene-3162</v>
      </c>
      <c r="C2865" s="1" t="s">
        <v>2843</v>
      </c>
      <c r="D2865" s="1" t="s">
        <v>8</v>
      </c>
      <c r="E2865" s="3">
        <v>2753452</v>
      </c>
      <c r="F2865" s="3">
        <v>2754588</v>
      </c>
      <c r="G2865" s="1" t="s">
        <v>9</v>
      </c>
      <c r="H2865" s="1" t="b">
        <f t="shared" si="106"/>
        <v>1</v>
      </c>
    </row>
    <row r="2866" spans="1:8" ht="21" x14ac:dyDescent="0.25">
      <c r="A2866" s="2" t="str">
        <f>HYPERLINK("https://rth.dk/resources/bsgatlas/details.php?id=BSGatlas-operon-1519","BSGatlas-operon-1519")</f>
        <v>BSGatlas-operon-1519</v>
      </c>
      <c r="B2866" s="2" t="str">
        <f>HYPERLINK("https://rth.dk/resources/bsgatlas/details.php?id=BSGatlas-gene-3163","BSGatlas-gene-3163")</f>
        <v>BSGatlas-gene-3163</v>
      </c>
      <c r="C2866" s="1" t="s">
        <v>2844</v>
      </c>
      <c r="D2866" s="1" t="s">
        <v>8</v>
      </c>
      <c r="E2866" s="3">
        <v>2754607</v>
      </c>
      <c r="F2866" s="3">
        <v>2754804</v>
      </c>
      <c r="G2866" s="1" t="s">
        <v>9</v>
      </c>
      <c r="H2866" s="1" t="b">
        <f t="shared" si="106"/>
        <v>1</v>
      </c>
    </row>
    <row r="2867" spans="1:8" ht="21" x14ac:dyDescent="0.25">
      <c r="A2867" s="2" t="str">
        <f>HYPERLINK("https://rth.dk/resources/bsgatlas/details.php?id=BSGatlas-operon-1519","BSGatlas-operon-1519")</f>
        <v>BSGatlas-operon-1519</v>
      </c>
      <c r="B2867" s="2" t="str">
        <f>HYPERLINK("https://rth.dk/resources/bsgatlas/details.php?id=BSGatlas-gene-3164","BSGatlas-gene-3164")</f>
        <v>BSGatlas-gene-3164</v>
      </c>
      <c r="C2867" s="1" t="s">
        <v>2845</v>
      </c>
      <c r="D2867" s="1" t="s">
        <v>8</v>
      </c>
      <c r="E2867" s="3">
        <v>2754820</v>
      </c>
      <c r="F2867" s="3">
        <v>2755119</v>
      </c>
      <c r="G2867" s="1" t="s">
        <v>9</v>
      </c>
      <c r="H2867" s="1" t="b">
        <f t="shared" si="106"/>
        <v>1</v>
      </c>
    </row>
    <row r="2868" spans="1:8" ht="21" x14ac:dyDescent="0.25">
      <c r="A2868" s="2" t="str">
        <f>HYPERLINK("https://rth.dk/resources/bsgatlas/details.php?id=BSGatlas-operon-1520","BSGatlas-operon-1520")</f>
        <v>BSGatlas-operon-1520</v>
      </c>
      <c r="B2868" s="2" t="str">
        <f>HYPERLINK("https://rth.dk/resources/bsgatlas/details.php?id=BSGatlas-gene-3165","BSGatlas-gene-3165")</f>
        <v>BSGatlas-gene-3165</v>
      </c>
      <c r="C2868" s="1" t="s">
        <v>2846</v>
      </c>
      <c r="D2868" s="1" t="s">
        <v>8</v>
      </c>
      <c r="E2868" s="3">
        <v>2755382</v>
      </c>
      <c r="F2868" s="3">
        <v>2755804</v>
      </c>
      <c r="G2868" s="1" t="s">
        <v>13</v>
      </c>
      <c r="H2868" s="1" t="b">
        <f t="shared" si="106"/>
        <v>0</v>
      </c>
    </row>
    <row r="2869" spans="1:8" ht="21" x14ac:dyDescent="0.25">
      <c r="A2869" s="2" t="str">
        <f>HYPERLINK("https://rth.dk/resources/bsgatlas/details.php?id=BSGatlas-operon-1521","BSGatlas-operon-1521")</f>
        <v>BSGatlas-operon-1521</v>
      </c>
      <c r="B2869" s="2" t="str">
        <f>HYPERLINK("https://rth.dk/resources/bsgatlas/details.php?id=BSGatlas-gene-3166","BSGatlas-gene-3166")</f>
        <v>BSGatlas-gene-3166</v>
      </c>
      <c r="C2869" s="1" t="s">
        <v>2847</v>
      </c>
      <c r="D2869" s="1" t="s">
        <v>8</v>
      </c>
      <c r="E2869" s="3">
        <v>2755987</v>
      </c>
      <c r="F2869" s="3">
        <v>2756181</v>
      </c>
      <c r="G2869" s="1" t="s">
        <v>9</v>
      </c>
      <c r="H2869" s="1" t="b">
        <f t="shared" si="106"/>
        <v>1</v>
      </c>
    </row>
    <row r="2870" spans="1:8" ht="21" x14ac:dyDescent="0.25">
      <c r="A2870" s="2" t="str">
        <f>HYPERLINK("https://rth.dk/resources/bsgatlas/details.php?id=BSGatlas-operon-1521","BSGatlas-operon-1521")</f>
        <v>BSGatlas-operon-1521</v>
      </c>
      <c r="B2870" s="2" t="str">
        <f>HYPERLINK("https://rth.dk/resources/bsgatlas/details.php?id=BSGatlas-gene-3167","BSGatlas-gene-3167")</f>
        <v>BSGatlas-gene-3167</v>
      </c>
      <c r="C2870" s="1" t="s">
        <v>2848</v>
      </c>
      <c r="D2870" s="1" t="s">
        <v>8</v>
      </c>
      <c r="E2870" s="3">
        <v>2756312</v>
      </c>
      <c r="F2870" s="3">
        <v>2757361</v>
      </c>
      <c r="G2870" s="1" t="s">
        <v>9</v>
      </c>
      <c r="H2870" s="1" t="b">
        <f t="shared" si="106"/>
        <v>1</v>
      </c>
    </row>
    <row r="2871" spans="1:8" ht="21" x14ac:dyDescent="0.25">
      <c r="A2871" s="2" t="str">
        <f>HYPERLINK("https://rth.dk/resources/bsgatlas/details.php?id=BSGatlas-operon-1521","BSGatlas-operon-1521")</f>
        <v>BSGatlas-operon-1521</v>
      </c>
      <c r="B2871" s="2" t="str">
        <f>HYPERLINK("https://rth.dk/resources/bsgatlas/details.php?id=BSGatlas-gene-3168","BSGatlas-gene-3168")</f>
        <v>BSGatlas-gene-3168</v>
      </c>
      <c r="C2871" s="1" t="s">
        <v>2849</v>
      </c>
      <c r="D2871" s="1" t="s">
        <v>8</v>
      </c>
      <c r="E2871" s="3">
        <v>2757492</v>
      </c>
      <c r="F2871" s="3">
        <v>2758001</v>
      </c>
      <c r="G2871" s="1" t="s">
        <v>9</v>
      </c>
      <c r="H2871" s="1" t="b">
        <f t="shared" si="106"/>
        <v>1</v>
      </c>
    </row>
    <row r="2872" spans="1:8" ht="21" x14ac:dyDescent="0.25">
      <c r="A2872" s="2" t="str">
        <f t="shared" ref="A2872:A2877" si="107">HYPERLINK("https://rth.dk/resources/bsgatlas/details.php?id=BSGatlas-operon-1522","BSGatlas-operon-1522")</f>
        <v>BSGatlas-operon-1522</v>
      </c>
      <c r="B2872" s="2" t="str">
        <f>HYPERLINK("https://rth.dk/resources/bsgatlas/details.php?id=BSGatlas-gene-3169","BSGatlas-gene-3169")</f>
        <v>BSGatlas-gene-3169</v>
      </c>
      <c r="C2872" s="1" t="s">
        <v>2850</v>
      </c>
      <c r="D2872" s="1" t="s">
        <v>8</v>
      </c>
      <c r="E2872" s="3">
        <v>2758043</v>
      </c>
      <c r="F2872" s="3">
        <v>2760076</v>
      </c>
      <c r="G2872" s="1" t="s">
        <v>13</v>
      </c>
      <c r="H2872" s="1" t="b">
        <f t="shared" si="106"/>
        <v>0</v>
      </c>
    </row>
    <row r="2873" spans="1:8" ht="21" x14ac:dyDescent="0.25">
      <c r="A2873" s="2" t="str">
        <f t="shared" si="107"/>
        <v>BSGatlas-operon-1522</v>
      </c>
      <c r="B2873" s="2" t="str">
        <f>HYPERLINK("https://rth.dk/resources/bsgatlas/details.php?id=BSGatlas-gene-3170","BSGatlas-gene-3170")</f>
        <v>BSGatlas-gene-3170</v>
      </c>
      <c r="C2873" s="1" t="s">
        <v>318</v>
      </c>
      <c r="D2873" s="1" t="s">
        <v>8</v>
      </c>
      <c r="E2873" s="3">
        <v>2759985</v>
      </c>
      <c r="F2873" s="3">
        <v>2760152</v>
      </c>
      <c r="G2873" s="1" t="s">
        <v>13</v>
      </c>
      <c r="H2873" s="1" t="b">
        <f t="shared" si="106"/>
        <v>0</v>
      </c>
    </row>
    <row r="2874" spans="1:8" ht="21" x14ac:dyDescent="0.25">
      <c r="A2874" s="2" t="str">
        <f t="shared" si="107"/>
        <v>BSGatlas-operon-1522</v>
      </c>
      <c r="B2874" s="2" t="str">
        <f>HYPERLINK("https://rth.dk/resources/bsgatlas/details.php?id=BSGatlas-gene-3171","BSGatlas-gene-3171")</f>
        <v>BSGatlas-gene-3171</v>
      </c>
      <c r="C2874" s="1" t="s">
        <v>2851</v>
      </c>
      <c r="D2874" s="1" t="s">
        <v>8</v>
      </c>
      <c r="E2874" s="3">
        <v>2760233</v>
      </c>
      <c r="F2874" s="3">
        <v>2761060</v>
      </c>
      <c r="G2874" s="1" t="s">
        <v>13</v>
      </c>
      <c r="H2874" s="1" t="b">
        <f t="shared" si="106"/>
        <v>0</v>
      </c>
    </row>
    <row r="2875" spans="1:8" ht="21" x14ac:dyDescent="0.25">
      <c r="A2875" s="2" t="str">
        <f t="shared" si="107"/>
        <v>BSGatlas-operon-1522</v>
      </c>
      <c r="B2875" s="2" t="str">
        <f>HYPERLINK("https://rth.dk/resources/bsgatlas/details.php?id=BSGatlas-gene-3172","BSGatlas-gene-3172")</f>
        <v>BSGatlas-gene-3172</v>
      </c>
      <c r="C2875" s="1" t="s">
        <v>2852</v>
      </c>
      <c r="D2875" s="1" t="s">
        <v>8</v>
      </c>
      <c r="E2875" s="3">
        <v>2761081</v>
      </c>
      <c r="F2875" s="3">
        <v>2761890</v>
      </c>
      <c r="G2875" s="1" t="s">
        <v>13</v>
      </c>
      <c r="H2875" s="1" t="b">
        <f t="shared" si="106"/>
        <v>0</v>
      </c>
    </row>
    <row r="2876" spans="1:8" ht="21" x14ac:dyDescent="0.25">
      <c r="A2876" s="2" t="str">
        <f t="shared" si="107"/>
        <v>BSGatlas-operon-1522</v>
      </c>
      <c r="B2876" s="2" t="str">
        <f>HYPERLINK("https://rth.dk/resources/bsgatlas/details.php?id=BSGatlas-gene-3173","BSGatlas-gene-3173")</f>
        <v>BSGatlas-gene-3173</v>
      </c>
      <c r="C2876" s="1" t="s">
        <v>2853</v>
      </c>
      <c r="D2876" s="1" t="s">
        <v>8</v>
      </c>
      <c r="E2876" s="3">
        <v>2761907</v>
      </c>
      <c r="F2876" s="3">
        <v>2762395</v>
      </c>
      <c r="G2876" s="1" t="s">
        <v>13</v>
      </c>
      <c r="H2876" s="1" t="b">
        <f t="shared" si="106"/>
        <v>0</v>
      </c>
    </row>
    <row r="2877" spans="1:8" ht="21" x14ac:dyDescent="0.25">
      <c r="A2877" s="2" t="str">
        <f t="shared" si="107"/>
        <v>BSGatlas-operon-1522</v>
      </c>
      <c r="B2877" s="2" t="str">
        <f>HYPERLINK("https://rth.dk/resources/bsgatlas/details.php?id=BSGatlas-gene-3174","BSGatlas-gene-3174")</f>
        <v>BSGatlas-gene-3174</v>
      </c>
      <c r="C2877" s="1" t="s">
        <v>2854</v>
      </c>
      <c r="D2877" s="1" t="s">
        <v>8</v>
      </c>
      <c r="E2877" s="3">
        <v>2762395</v>
      </c>
      <c r="F2877" s="3">
        <v>2762835</v>
      </c>
      <c r="G2877" s="1" t="s">
        <v>13</v>
      </c>
      <c r="H2877" s="1" t="b">
        <f t="shared" si="106"/>
        <v>0</v>
      </c>
    </row>
    <row r="2878" spans="1:8" ht="21" x14ac:dyDescent="0.25">
      <c r="A2878" s="2" t="str">
        <f>HYPERLINK("https://rth.dk/resources/bsgatlas/details.php?id=BSGatlas-operon-1523","BSGatlas-operon-1523")</f>
        <v>BSGatlas-operon-1523</v>
      </c>
      <c r="B2878" s="2" t="str">
        <f>HYPERLINK("https://rth.dk/resources/bsgatlas/details.php?id=BSGatlas-gene-3175","BSGatlas-gene-3175")</f>
        <v>BSGatlas-gene-3175</v>
      </c>
      <c r="C2878" s="1" t="s">
        <v>2855</v>
      </c>
      <c r="D2878" s="1" t="s">
        <v>8</v>
      </c>
      <c r="E2878" s="3">
        <v>2763025</v>
      </c>
      <c r="F2878" s="3">
        <v>2765832</v>
      </c>
      <c r="G2878" s="1" t="s">
        <v>13</v>
      </c>
      <c r="H2878" s="1" t="b">
        <f t="shared" si="106"/>
        <v>1</v>
      </c>
    </row>
    <row r="2879" spans="1:8" ht="21" x14ac:dyDescent="0.25">
      <c r="A2879" s="2" t="str">
        <f>HYPERLINK("https://rth.dk/resources/bsgatlas/details.php?id=BSGatlas-operon-1524","BSGatlas-operon-1524")</f>
        <v>BSGatlas-operon-1524</v>
      </c>
      <c r="B2879" s="2" t="str">
        <f>HYPERLINK("https://rth.dk/resources/bsgatlas/details.php?id=BSGatlas-gene-3177","BSGatlas-gene-3177")</f>
        <v>BSGatlas-gene-3177</v>
      </c>
      <c r="C2879" s="1" t="s">
        <v>2856</v>
      </c>
      <c r="D2879" s="1" t="s">
        <v>8</v>
      </c>
      <c r="E2879" s="3">
        <v>2766558</v>
      </c>
      <c r="F2879" s="3">
        <v>2767946</v>
      </c>
      <c r="G2879" s="1" t="s">
        <v>9</v>
      </c>
      <c r="H2879" s="1" t="b">
        <f t="shared" si="106"/>
        <v>0</v>
      </c>
    </row>
    <row r="2880" spans="1:8" ht="21" x14ac:dyDescent="0.25">
      <c r="A2880" s="2" t="str">
        <f>HYPERLINK("https://rth.dk/resources/bsgatlas/details.php?id=BSGatlas-operon-1525","BSGatlas-operon-1525")</f>
        <v>BSGatlas-operon-1525</v>
      </c>
      <c r="B2880" s="2" t="str">
        <f>HYPERLINK("https://rth.dk/resources/bsgatlas/details.php?id=BSGatlas-gene-3178","BSGatlas-gene-3178")</f>
        <v>BSGatlas-gene-3178</v>
      </c>
      <c r="C2880" s="1" t="s">
        <v>2857</v>
      </c>
      <c r="D2880" s="1" t="s">
        <v>8</v>
      </c>
      <c r="E2880" s="3">
        <v>2768042</v>
      </c>
      <c r="F2880" s="3">
        <v>2768674</v>
      </c>
      <c r="G2880" s="1" t="s">
        <v>13</v>
      </c>
      <c r="H2880" s="1" t="b">
        <f t="shared" si="106"/>
        <v>1</v>
      </c>
    </row>
    <row r="2881" spans="1:8" ht="21" x14ac:dyDescent="0.25">
      <c r="A2881" s="2" t="str">
        <f>HYPERLINK("https://rth.dk/resources/bsgatlas/details.php?id=BSGatlas-operon-1526","BSGatlas-operon-1526")</f>
        <v>BSGatlas-operon-1526</v>
      </c>
      <c r="B2881" s="2" t="str">
        <f>HYPERLINK("https://rth.dk/resources/bsgatlas/details.php?id=BSGatlas-gene-3179","BSGatlas-gene-3179")</f>
        <v>BSGatlas-gene-3179</v>
      </c>
      <c r="C2881" s="1" t="s">
        <v>2858</v>
      </c>
      <c r="D2881" s="1" t="s">
        <v>8</v>
      </c>
      <c r="E2881" s="3">
        <v>2768827</v>
      </c>
      <c r="F2881" s="3">
        <v>2769654</v>
      </c>
      <c r="G2881" s="1" t="s">
        <v>9</v>
      </c>
      <c r="H2881" s="1" t="b">
        <f t="shared" si="106"/>
        <v>0</v>
      </c>
    </row>
    <row r="2882" spans="1:8" ht="21" x14ac:dyDescent="0.25">
      <c r="A2882" s="2" t="str">
        <f>HYPERLINK("https://rth.dk/resources/bsgatlas/details.php?id=BSGatlas-operon-1527","BSGatlas-operon-1527")</f>
        <v>BSGatlas-operon-1527</v>
      </c>
      <c r="B2882" s="2" t="str">
        <f>HYPERLINK("https://rth.dk/resources/bsgatlas/details.php?id=BSGatlas-gene-3180","BSGatlas-gene-3180")</f>
        <v>BSGatlas-gene-3180</v>
      </c>
      <c r="C2882" s="1" t="s">
        <v>2859</v>
      </c>
      <c r="D2882" s="1" t="s">
        <v>8</v>
      </c>
      <c r="E2882" s="3">
        <v>2769850</v>
      </c>
      <c r="F2882" s="3">
        <v>2770350</v>
      </c>
      <c r="G2882" s="1" t="s">
        <v>9</v>
      </c>
      <c r="H2882" s="1" t="b">
        <f t="shared" ref="H2882:H2945" si="108">_xlfn.XOR(A2881&lt;&gt;A2882,H2881)</f>
        <v>1</v>
      </c>
    </row>
    <row r="2883" spans="1:8" ht="21" x14ac:dyDescent="0.25">
      <c r="A2883" s="2" t="str">
        <f>HYPERLINK("https://rth.dk/resources/bsgatlas/details.php?id=BSGatlas-operon-1527","BSGatlas-operon-1527")</f>
        <v>BSGatlas-operon-1527</v>
      </c>
      <c r="B2883" s="2" t="str">
        <f>HYPERLINK("https://rth.dk/resources/bsgatlas/details.php?id=BSGatlas-gene-3181","BSGatlas-gene-3181")</f>
        <v>BSGatlas-gene-3181</v>
      </c>
      <c r="C2883" s="1" t="s">
        <v>2860</v>
      </c>
      <c r="D2883" s="1" t="s">
        <v>8</v>
      </c>
      <c r="E2883" s="3">
        <v>2770350</v>
      </c>
      <c r="F2883" s="3">
        <v>2771207</v>
      </c>
      <c r="G2883" s="1" t="s">
        <v>9</v>
      </c>
      <c r="H2883" s="1" t="b">
        <f t="shared" si="108"/>
        <v>1</v>
      </c>
    </row>
    <row r="2884" spans="1:8" ht="21" x14ac:dyDescent="0.25">
      <c r="A2884" s="2" t="str">
        <f>HYPERLINK("https://rth.dk/resources/bsgatlas/details.php?id=BSGatlas-operon-1527","BSGatlas-operon-1527")</f>
        <v>BSGatlas-operon-1527</v>
      </c>
      <c r="B2884" s="2" t="str">
        <f>HYPERLINK("https://rth.dk/resources/bsgatlas/details.php?id=BSGatlas-gene-3182","BSGatlas-gene-3182")</f>
        <v>BSGatlas-gene-3182</v>
      </c>
      <c r="C2884" s="1" t="s">
        <v>2861</v>
      </c>
      <c r="D2884" s="1" t="s">
        <v>8</v>
      </c>
      <c r="E2884" s="3">
        <v>2771318</v>
      </c>
      <c r="F2884" s="3">
        <v>2773222</v>
      </c>
      <c r="G2884" s="1" t="s">
        <v>9</v>
      </c>
      <c r="H2884" s="1" t="b">
        <f t="shared" si="108"/>
        <v>1</v>
      </c>
    </row>
    <row r="2885" spans="1:8" ht="21" x14ac:dyDescent="0.25">
      <c r="A2885" s="2" t="str">
        <f>HYPERLINK("https://rth.dk/resources/bsgatlas/details.php?id=BSGatlas-operon-1527","BSGatlas-operon-1527")</f>
        <v>BSGatlas-operon-1527</v>
      </c>
      <c r="B2885" s="2" t="str">
        <f>HYPERLINK("https://rth.dk/resources/bsgatlas/details.php?id=BSGatlas-gene-3183","BSGatlas-gene-3183")</f>
        <v>BSGatlas-gene-3183</v>
      </c>
      <c r="C2885" s="1" t="s">
        <v>2862</v>
      </c>
      <c r="D2885" s="1" t="s">
        <v>8</v>
      </c>
      <c r="E2885" s="3">
        <v>2773356</v>
      </c>
      <c r="F2885" s="3">
        <v>2773646</v>
      </c>
      <c r="G2885" s="1" t="s">
        <v>9</v>
      </c>
      <c r="H2885" s="1" t="b">
        <f t="shared" si="108"/>
        <v>1</v>
      </c>
    </row>
    <row r="2886" spans="1:8" ht="21" x14ac:dyDescent="0.25">
      <c r="A2886" s="2" t="str">
        <f>HYPERLINK("https://rth.dk/resources/bsgatlas/details.php?id=BSGatlas-operon-1528","BSGatlas-operon-1528")</f>
        <v>BSGatlas-operon-1528</v>
      </c>
      <c r="B2886" s="2" t="str">
        <f>HYPERLINK("https://rth.dk/resources/bsgatlas/details.php?id=BSGatlas-gene-3184","BSGatlas-gene-3184")</f>
        <v>BSGatlas-gene-3184</v>
      </c>
      <c r="C2886" s="1" t="s">
        <v>2863</v>
      </c>
      <c r="D2886" s="1" t="s">
        <v>55</v>
      </c>
      <c r="E2886" s="3">
        <v>2773780</v>
      </c>
      <c r="F2886" s="3">
        <v>2773886</v>
      </c>
      <c r="G2886" s="1" t="s">
        <v>9</v>
      </c>
      <c r="H2886" s="1" t="b">
        <f t="shared" si="108"/>
        <v>0</v>
      </c>
    </row>
    <row r="2887" spans="1:8" ht="21" x14ac:dyDescent="0.25">
      <c r="A2887" s="2" t="str">
        <f>HYPERLINK("https://rth.dk/resources/bsgatlas/details.php?id=BSGatlas-operon-1529","BSGatlas-operon-1529")</f>
        <v>BSGatlas-operon-1529</v>
      </c>
      <c r="B2887" s="2" t="str">
        <f>HYPERLINK("https://rth.dk/resources/bsgatlas/details.php?id=BSGatlas-gene-3185","BSGatlas-gene-3185")</f>
        <v>BSGatlas-gene-3185</v>
      </c>
      <c r="C2887" s="1" t="s">
        <v>2864</v>
      </c>
      <c r="D2887" s="1" t="s">
        <v>8</v>
      </c>
      <c r="E2887" s="3">
        <v>2773890</v>
      </c>
      <c r="F2887" s="3">
        <v>2777054</v>
      </c>
      <c r="G2887" s="1" t="s">
        <v>13</v>
      </c>
      <c r="H2887" s="1" t="b">
        <f t="shared" si="108"/>
        <v>1</v>
      </c>
    </row>
    <row r="2888" spans="1:8" ht="21" x14ac:dyDescent="0.25">
      <c r="A2888" s="2" t="str">
        <f>HYPERLINK("https://rth.dk/resources/bsgatlas/details.php?id=BSGatlas-operon-1529","BSGatlas-operon-1529")</f>
        <v>BSGatlas-operon-1529</v>
      </c>
      <c r="B2888" s="2" t="str">
        <f>HYPERLINK("https://rth.dk/resources/bsgatlas/details.php?id=BSGatlas-gene-3186","BSGatlas-gene-3186")</f>
        <v>BSGatlas-gene-3186</v>
      </c>
      <c r="C2888" s="1" t="s">
        <v>2865</v>
      </c>
      <c r="D2888" s="1" t="s">
        <v>8</v>
      </c>
      <c r="E2888" s="3">
        <v>2777070</v>
      </c>
      <c r="F2888" s="3">
        <v>2777654</v>
      </c>
      <c r="G2888" s="1" t="s">
        <v>13</v>
      </c>
      <c r="H2888" s="1" t="b">
        <f t="shared" si="108"/>
        <v>1</v>
      </c>
    </row>
    <row r="2889" spans="1:8" ht="21" x14ac:dyDescent="0.25">
      <c r="A2889" s="2" t="str">
        <f>HYPERLINK("https://rth.dk/resources/bsgatlas/details.php?id=BSGatlas-operon-1529","BSGatlas-operon-1529")</f>
        <v>BSGatlas-operon-1529</v>
      </c>
      <c r="B2889" s="2" t="str">
        <f>HYPERLINK("https://rth.dk/resources/bsgatlas/details.php?id=BSGatlas-gene-3187","BSGatlas-gene-3187")</f>
        <v>BSGatlas-gene-3187</v>
      </c>
      <c r="C2889" s="1" t="s">
        <v>2866</v>
      </c>
      <c r="D2889" s="1" t="s">
        <v>8</v>
      </c>
      <c r="E2889" s="3">
        <v>2777877</v>
      </c>
      <c r="F2889" s="3">
        <v>2778419</v>
      </c>
      <c r="G2889" s="1" t="s">
        <v>13</v>
      </c>
      <c r="H2889" s="1" t="b">
        <f t="shared" si="108"/>
        <v>1</v>
      </c>
    </row>
    <row r="2890" spans="1:8" ht="21" x14ac:dyDescent="0.25">
      <c r="A2890" s="2" t="str">
        <f>HYPERLINK("https://rth.dk/resources/bsgatlas/details.php?id=BSGatlas-operon-1530","BSGatlas-operon-1530")</f>
        <v>BSGatlas-operon-1530</v>
      </c>
      <c r="B2890" s="2" t="str">
        <f>HYPERLINK("https://rth.dk/resources/bsgatlas/details.php?id=BSGatlas-gene-3188","BSGatlas-gene-3188")</f>
        <v>BSGatlas-gene-3188</v>
      </c>
      <c r="C2890" s="1" t="s">
        <v>2867</v>
      </c>
      <c r="D2890" s="1" t="s">
        <v>12</v>
      </c>
      <c r="E2890" s="3">
        <v>2778574</v>
      </c>
      <c r="F2890" s="3">
        <v>2778790</v>
      </c>
      <c r="G2890" s="1" t="s">
        <v>13</v>
      </c>
      <c r="H2890" s="1" t="b">
        <f t="shared" si="108"/>
        <v>0</v>
      </c>
    </row>
    <row r="2891" spans="1:8" ht="21" x14ac:dyDescent="0.25">
      <c r="A2891" s="2" t="str">
        <f>HYPERLINK("https://rth.dk/resources/bsgatlas/details.php?id=BSGatlas-operon-1531","BSGatlas-operon-1531")</f>
        <v>BSGatlas-operon-1531</v>
      </c>
      <c r="B2891" s="2" t="str">
        <f>HYPERLINK("https://rth.dk/resources/bsgatlas/details.php?id=BSGatlas-gene-3189","BSGatlas-gene-3189")</f>
        <v>BSGatlas-gene-3189</v>
      </c>
      <c r="C2891" s="1" t="s">
        <v>318</v>
      </c>
      <c r="D2891" s="1" t="s">
        <v>8</v>
      </c>
      <c r="E2891" s="3">
        <v>2778608</v>
      </c>
      <c r="F2891" s="3">
        <v>2778766</v>
      </c>
      <c r="G2891" s="1" t="s">
        <v>13</v>
      </c>
      <c r="H2891" s="1" t="b">
        <f t="shared" si="108"/>
        <v>1</v>
      </c>
    </row>
    <row r="2892" spans="1:8" ht="21" x14ac:dyDescent="0.25">
      <c r="A2892" s="2" t="str">
        <f>HYPERLINK("https://rth.dk/resources/bsgatlas/details.php?id=BSGatlas-operon-1532","BSGatlas-operon-1532")</f>
        <v>BSGatlas-operon-1532</v>
      </c>
      <c r="B2892" s="2" t="str">
        <f>HYPERLINK("https://rth.dk/resources/bsgatlas/details.php?id=BSGatlas-gene-3190","BSGatlas-gene-3190")</f>
        <v>BSGatlas-gene-3190</v>
      </c>
      <c r="C2892" s="1" t="s">
        <v>2868</v>
      </c>
      <c r="D2892" s="1" t="s">
        <v>8</v>
      </c>
      <c r="E2892" s="3">
        <v>2778923</v>
      </c>
      <c r="F2892" s="3">
        <v>2779072</v>
      </c>
      <c r="G2892" s="1" t="s">
        <v>13</v>
      </c>
      <c r="H2892" s="1" t="b">
        <f t="shared" si="108"/>
        <v>0</v>
      </c>
    </row>
    <row r="2893" spans="1:8" ht="21" x14ac:dyDescent="0.25">
      <c r="A2893" s="2" t="str">
        <f>HYPERLINK("https://rth.dk/resources/bsgatlas/details.php?id=BSGatlas-operon-1533","BSGatlas-operon-1533")</f>
        <v>BSGatlas-operon-1533</v>
      </c>
      <c r="B2893" s="2" t="str">
        <f>HYPERLINK("https://rth.dk/resources/bsgatlas/details.php?id=BSGatlas-gene-3191","BSGatlas-gene-3191")</f>
        <v>BSGatlas-gene-3191</v>
      </c>
      <c r="C2893" s="1" t="s">
        <v>2869</v>
      </c>
      <c r="D2893" s="1" t="s">
        <v>12</v>
      </c>
      <c r="E2893" s="3">
        <v>2779113</v>
      </c>
      <c r="F2893" s="3">
        <v>2779375</v>
      </c>
      <c r="G2893" s="1" t="s">
        <v>13</v>
      </c>
      <c r="H2893" s="1" t="b">
        <f t="shared" si="108"/>
        <v>1</v>
      </c>
    </row>
    <row r="2894" spans="1:8" ht="21" x14ac:dyDescent="0.25">
      <c r="A2894" s="2" t="str">
        <f>HYPERLINK("https://rth.dk/resources/bsgatlas/details.php?id=BSGatlas-operon-1534","BSGatlas-operon-1534")</f>
        <v>BSGatlas-operon-1534</v>
      </c>
      <c r="B2894" s="2" t="str">
        <f>HYPERLINK("https://rth.dk/resources/bsgatlas/details.php?id=BSGatlas-gene-3192","BSGatlas-gene-3192")</f>
        <v>BSGatlas-gene-3192</v>
      </c>
      <c r="C2894" s="1" t="s">
        <v>2870</v>
      </c>
      <c r="D2894" s="1" t="s">
        <v>8</v>
      </c>
      <c r="E2894" s="3">
        <v>2779462</v>
      </c>
      <c r="F2894" s="3">
        <v>2780262</v>
      </c>
      <c r="G2894" s="1" t="s">
        <v>13</v>
      </c>
      <c r="H2894" s="1" t="b">
        <f t="shared" si="108"/>
        <v>0</v>
      </c>
    </row>
    <row r="2895" spans="1:8" ht="21" x14ac:dyDescent="0.25">
      <c r="A2895" s="2" t="str">
        <f>HYPERLINK("https://rth.dk/resources/bsgatlas/details.php?id=BSGatlas-operon-1535","BSGatlas-operon-1535")</f>
        <v>BSGatlas-operon-1535</v>
      </c>
      <c r="B2895" s="2" t="str">
        <f>HYPERLINK("https://rth.dk/resources/bsgatlas/details.php?id=BSGatlas-gene-3193","BSGatlas-gene-3193")</f>
        <v>BSGatlas-gene-3193</v>
      </c>
      <c r="C2895" s="1" t="s">
        <v>2871</v>
      </c>
      <c r="D2895" s="1" t="s">
        <v>12</v>
      </c>
      <c r="E2895" s="3">
        <v>2780319</v>
      </c>
      <c r="F2895" s="3">
        <v>2780477</v>
      </c>
      <c r="G2895" s="1" t="s">
        <v>13</v>
      </c>
      <c r="H2895" s="1" t="b">
        <f t="shared" si="108"/>
        <v>1</v>
      </c>
    </row>
    <row r="2896" spans="1:8" ht="21" x14ac:dyDescent="0.25">
      <c r="A2896" s="2" t="str">
        <f>HYPERLINK("https://rth.dk/resources/bsgatlas/details.php?id=BSGatlas-operon-1536","BSGatlas-operon-1536")</f>
        <v>BSGatlas-operon-1536</v>
      </c>
      <c r="B2896" s="2" t="str">
        <f>HYPERLINK("https://rth.dk/resources/bsgatlas/details.php?id=BSGatlas-gene-3194","BSGatlas-gene-3194")</f>
        <v>BSGatlas-gene-3194</v>
      </c>
      <c r="C2896" s="1" t="s">
        <v>2872</v>
      </c>
      <c r="D2896" s="1" t="s">
        <v>8</v>
      </c>
      <c r="E2896" s="3">
        <v>2780525</v>
      </c>
      <c r="F2896" s="3">
        <v>2780893</v>
      </c>
      <c r="G2896" s="1" t="s">
        <v>13</v>
      </c>
      <c r="H2896" s="1" t="b">
        <f t="shared" si="108"/>
        <v>0</v>
      </c>
    </row>
    <row r="2897" spans="1:8" ht="21" x14ac:dyDescent="0.25">
      <c r="A2897" s="2" t="str">
        <f>HYPERLINK("https://rth.dk/resources/bsgatlas/details.php?id=BSGatlas-operon-1537","BSGatlas-operon-1537")</f>
        <v>BSGatlas-operon-1537</v>
      </c>
      <c r="B2897" s="2" t="str">
        <f>HYPERLINK("https://rth.dk/resources/bsgatlas/details.php?id=BSGatlas-gene-3196","BSGatlas-gene-3196")</f>
        <v>BSGatlas-gene-3196</v>
      </c>
      <c r="C2897" s="1" t="s">
        <v>2873</v>
      </c>
      <c r="D2897" s="1" t="s">
        <v>8</v>
      </c>
      <c r="E2897" s="3">
        <v>2781209</v>
      </c>
      <c r="F2897" s="3">
        <v>2784151</v>
      </c>
      <c r="G2897" s="1" t="s">
        <v>9</v>
      </c>
      <c r="H2897" s="1" t="b">
        <f t="shared" si="108"/>
        <v>1</v>
      </c>
    </row>
    <row r="2898" spans="1:8" ht="21" x14ac:dyDescent="0.25">
      <c r="A2898" s="2" t="str">
        <f>HYPERLINK("https://rth.dk/resources/bsgatlas/details.php?id=BSGatlas-operon-1537","BSGatlas-operon-1537")</f>
        <v>BSGatlas-operon-1537</v>
      </c>
      <c r="B2898" s="2" t="str">
        <f>HYPERLINK("https://rth.dk/resources/bsgatlas/details.php?id=BSGatlas-gene-3197","BSGatlas-gene-3197")</f>
        <v>BSGatlas-gene-3197</v>
      </c>
      <c r="C2898" s="1" t="s">
        <v>2874</v>
      </c>
      <c r="D2898" s="1" t="s">
        <v>8</v>
      </c>
      <c r="E2898" s="3">
        <v>2784170</v>
      </c>
      <c r="F2898" s="3">
        <v>2784652</v>
      </c>
      <c r="G2898" s="1" t="s">
        <v>9</v>
      </c>
      <c r="H2898" s="1" t="b">
        <f t="shared" si="108"/>
        <v>1</v>
      </c>
    </row>
    <row r="2899" spans="1:8" ht="21" x14ac:dyDescent="0.25">
      <c r="A2899" s="2" t="str">
        <f>HYPERLINK("https://rth.dk/resources/bsgatlas/details.php?id=BSGatlas-operon-1538","BSGatlas-operon-1538")</f>
        <v>BSGatlas-operon-1538</v>
      </c>
      <c r="B2899" s="2" t="str">
        <f>HYPERLINK("https://rth.dk/resources/bsgatlas/details.php?id=BSGatlas-gene-3198","BSGatlas-gene-3198")</f>
        <v>BSGatlas-gene-3198</v>
      </c>
      <c r="C2899" s="1" t="s">
        <v>2875</v>
      </c>
      <c r="D2899" s="1" t="s">
        <v>8</v>
      </c>
      <c r="E2899" s="3">
        <v>2784688</v>
      </c>
      <c r="F2899" s="3">
        <v>2784918</v>
      </c>
      <c r="G2899" s="1" t="s">
        <v>13</v>
      </c>
      <c r="H2899" s="1" t="b">
        <f t="shared" si="108"/>
        <v>0</v>
      </c>
    </row>
    <row r="2900" spans="1:8" ht="21" x14ac:dyDescent="0.25">
      <c r="A2900" s="2" t="str">
        <f>HYPERLINK("https://rth.dk/resources/bsgatlas/details.php?id=BSGatlas-operon-1538","BSGatlas-operon-1538")</f>
        <v>BSGatlas-operon-1538</v>
      </c>
      <c r="B2900" s="2" t="str">
        <f>HYPERLINK("https://rth.dk/resources/bsgatlas/details.php?id=BSGatlas-gene-3199","BSGatlas-gene-3199")</f>
        <v>BSGatlas-gene-3199</v>
      </c>
      <c r="C2900" s="1" t="s">
        <v>2876</v>
      </c>
      <c r="D2900" s="1" t="s">
        <v>8</v>
      </c>
      <c r="E2900" s="3">
        <v>2785001</v>
      </c>
      <c r="F2900" s="3">
        <v>2786140</v>
      </c>
      <c r="G2900" s="1" t="s">
        <v>13</v>
      </c>
      <c r="H2900" s="1" t="b">
        <f t="shared" si="108"/>
        <v>0</v>
      </c>
    </row>
    <row r="2901" spans="1:8" ht="21" x14ac:dyDescent="0.25">
      <c r="A2901" s="2" t="str">
        <f>HYPERLINK("https://rth.dk/resources/bsgatlas/details.php?id=BSGatlas-operon-1538","BSGatlas-operon-1538")</f>
        <v>BSGatlas-operon-1538</v>
      </c>
      <c r="B2901" s="2" t="str">
        <f>HYPERLINK("https://rth.dk/resources/bsgatlas/details.php?id=BSGatlas-gene-3200","BSGatlas-gene-3200")</f>
        <v>BSGatlas-gene-3200</v>
      </c>
      <c r="C2901" s="1" t="s">
        <v>2877</v>
      </c>
      <c r="D2901" s="1" t="s">
        <v>8</v>
      </c>
      <c r="E2901" s="3">
        <v>2786142</v>
      </c>
      <c r="F2901" s="3">
        <v>2787065</v>
      </c>
      <c r="G2901" s="1" t="s">
        <v>13</v>
      </c>
      <c r="H2901" s="1" t="b">
        <f t="shared" si="108"/>
        <v>0</v>
      </c>
    </row>
    <row r="2902" spans="1:8" ht="21" x14ac:dyDescent="0.25">
      <c r="A2902" s="2" t="str">
        <f>HYPERLINK("https://rth.dk/resources/bsgatlas/details.php?id=BSGatlas-operon-1538","BSGatlas-operon-1538")</f>
        <v>BSGatlas-operon-1538</v>
      </c>
      <c r="B2902" s="2" t="str">
        <f>HYPERLINK("https://rth.dk/resources/bsgatlas/details.php?id=BSGatlas-gene-3201","BSGatlas-gene-3201")</f>
        <v>BSGatlas-gene-3201</v>
      </c>
      <c r="C2902" s="1" t="s">
        <v>2878</v>
      </c>
      <c r="D2902" s="1" t="s">
        <v>8</v>
      </c>
      <c r="E2902" s="3">
        <v>2787130</v>
      </c>
      <c r="F2902" s="3">
        <v>2787825</v>
      </c>
      <c r="G2902" s="1" t="s">
        <v>13</v>
      </c>
      <c r="H2902" s="1" t="b">
        <f t="shared" si="108"/>
        <v>0</v>
      </c>
    </row>
    <row r="2903" spans="1:8" ht="21" x14ac:dyDescent="0.25">
      <c r="A2903" s="2" t="str">
        <f>HYPERLINK("https://rth.dk/resources/bsgatlas/details.php?id=BSGatlas-operon-1538","BSGatlas-operon-1538")</f>
        <v>BSGatlas-operon-1538</v>
      </c>
      <c r="B2903" s="2" t="str">
        <f>HYPERLINK("https://rth.dk/resources/bsgatlas/details.php?id=BSGatlas-gene-3202","BSGatlas-gene-3202")</f>
        <v>BSGatlas-gene-3202</v>
      </c>
      <c r="C2903" s="1" t="s">
        <v>2879</v>
      </c>
      <c r="D2903" s="1" t="s">
        <v>8</v>
      </c>
      <c r="E2903" s="3">
        <v>2787846</v>
      </c>
      <c r="F2903" s="3">
        <v>2788487</v>
      </c>
      <c r="G2903" s="1" t="s">
        <v>13</v>
      </c>
      <c r="H2903" s="1" t="b">
        <f t="shared" si="108"/>
        <v>0</v>
      </c>
    </row>
    <row r="2904" spans="1:8" ht="21" x14ac:dyDescent="0.25">
      <c r="A2904" s="2" t="str">
        <f>HYPERLINK("https://rth.dk/resources/bsgatlas/details.php?id=BSGatlas-operon-1539","BSGatlas-operon-1539")</f>
        <v>BSGatlas-operon-1539</v>
      </c>
      <c r="B2904" s="2" t="str">
        <f>HYPERLINK("https://rth.dk/resources/bsgatlas/details.php?id=BSGatlas-gene-3203","BSGatlas-gene-3203")</f>
        <v>BSGatlas-gene-3203</v>
      </c>
      <c r="C2904" s="1" t="s">
        <v>2880</v>
      </c>
      <c r="D2904" s="1" t="s">
        <v>8</v>
      </c>
      <c r="E2904" s="3">
        <v>2788680</v>
      </c>
      <c r="F2904" s="3">
        <v>2788883</v>
      </c>
      <c r="G2904" s="1" t="s">
        <v>9</v>
      </c>
      <c r="H2904" s="1" t="b">
        <f t="shared" si="108"/>
        <v>1</v>
      </c>
    </row>
    <row r="2905" spans="1:8" ht="21" x14ac:dyDescent="0.25">
      <c r="A2905" s="2" t="str">
        <f>HYPERLINK("https://rth.dk/resources/bsgatlas/details.php?id=BSGatlas-operon-1540","BSGatlas-operon-1540")</f>
        <v>BSGatlas-operon-1540</v>
      </c>
      <c r="B2905" s="2" t="str">
        <f>HYPERLINK("https://rth.dk/resources/bsgatlas/details.php?id=BSGatlas-gene-3204","BSGatlas-gene-3204")</f>
        <v>BSGatlas-gene-3204</v>
      </c>
      <c r="C2905" s="1" t="s">
        <v>2881</v>
      </c>
      <c r="D2905" s="1" t="s">
        <v>8</v>
      </c>
      <c r="E2905" s="3">
        <v>2788920</v>
      </c>
      <c r="F2905" s="3">
        <v>2789621</v>
      </c>
      <c r="G2905" s="1" t="s">
        <v>13</v>
      </c>
      <c r="H2905" s="1" t="b">
        <f t="shared" si="108"/>
        <v>0</v>
      </c>
    </row>
    <row r="2906" spans="1:8" ht="21" x14ac:dyDescent="0.25">
      <c r="A2906" s="2" t="str">
        <f>HYPERLINK("https://rth.dk/resources/bsgatlas/details.php?id=BSGatlas-operon-1540","BSGatlas-operon-1540")</f>
        <v>BSGatlas-operon-1540</v>
      </c>
      <c r="B2906" s="2" t="str">
        <f>HYPERLINK("https://rth.dk/resources/bsgatlas/details.php?id=BSGatlas-gene-3205","BSGatlas-gene-3205")</f>
        <v>BSGatlas-gene-3205</v>
      </c>
      <c r="C2906" s="1" t="s">
        <v>2882</v>
      </c>
      <c r="D2906" s="1" t="s">
        <v>8</v>
      </c>
      <c r="E2906" s="3">
        <v>2789686</v>
      </c>
      <c r="F2906" s="3">
        <v>2791440</v>
      </c>
      <c r="G2906" s="1" t="s">
        <v>13</v>
      </c>
      <c r="H2906" s="1" t="b">
        <f t="shared" si="108"/>
        <v>0</v>
      </c>
    </row>
    <row r="2907" spans="1:8" ht="21" x14ac:dyDescent="0.25">
      <c r="A2907" s="2" t="str">
        <f>HYPERLINK("https://rth.dk/resources/bsgatlas/details.php?id=BSGatlas-operon-1541","BSGatlas-operon-1541")</f>
        <v>BSGatlas-operon-1541</v>
      </c>
      <c r="B2907" s="2" t="str">
        <f>HYPERLINK("https://rth.dk/resources/bsgatlas/details.php?id=BSGatlas-gene-3206","BSGatlas-gene-3206")</f>
        <v>BSGatlas-gene-3206</v>
      </c>
      <c r="C2907" s="1" t="s">
        <v>2883</v>
      </c>
      <c r="D2907" s="1" t="s">
        <v>8</v>
      </c>
      <c r="E2907" s="3">
        <v>2791494</v>
      </c>
      <c r="F2907" s="3">
        <v>2791967</v>
      </c>
      <c r="G2907" s="1" t="s">
        <v>13</v>
      </c>
      <c r="H2907" s="1" t="b">
        <f t="shared" si="108"/>
        <v>1</v>
      </c>
    </row>
    <row r="2908" spans="1:8" ht="21" x14ac:dyDescent="0.25">
      <c r="A2908" s="2" t="str">
        <f>HYPERLINK("https://rth.dk/resources/bsgatlas/details.php?id=BSGatlas-operon-1541","BSGatlas-operon-1541")</f>
        <v>BSGatlas-operon-1541</v>
      </c>
      <c r="B2908" s="2" t="str">
        <f>HYPERLINK("https://rth.dk/resources/bsgatlas/details.php?id=BSGatlas-gene-3207","BSGatlas-gene-3207")</f>
        <v>BSGatlas-gene-3207</v>
      </c>
      <c r="C2908" s="1" t="s">
        <v>2884</v>
      </c>
      <c r="D2908" s="1" t="s">
        <v>8</v>
      </c>
      <c r="E2908" s="3">
        <v>2792218</v>
      </c>
      <c r="F2908" s="3">
        <v>2792853</v>
      </c>
      <c r="G2908" s="1" t="s">
        <v>13</v>
      </c>
      <c r="H2908" s="1" t="b">
        <f t="shared" si="108"/>
        <v>1</v>
      </c>
    </row>
    <row r="2909" spans="1:8" ht="21" x14ac:dyDescent="0.25">
      <c r="A2909" s="2" t="str">
        <f>HYPERLINK("https://rth.dk/resources/bsgatlas/details.php?id=BSGatlas-operon-1541","BSGatlas-operon-1541")</f>
        <v>BSGatlas-operon-1541</v>
      </c>
      <c r="B2909" s="2" t="str">
        <f>HYPERLINK("https://rth.dk/resources/bsgatlas/details.php?id=BSGatlas-gene-3208","BSGatlas-gene-3208")</f>
        <v>BSGatlas-gene-3208</v>
      </c>
      <c r="C2909" s="1" t="s">
        <v>2885</v>
      </c>
      <c r="D2909" s="1" t="s">
        <v>8</v>
      </c>
      <c r="E2909" s="3">
        <v>2792860</v>
      </c>
      <c r="F2909" s="3">
        <v>2794128</v>
      </c>
      <c r="G2909" s="1" t="s">
        <v>13</v>
      </c>
      <c r="H2909" s="1" t="b">
        <f t="shared" si="108"/>
        <v>1</v>
      </c>
    </row>
    <row r="2910" spans="1:8" ht="21" x14ac:dyDescent="0.25">
      <c r="A2910" s="2" t="str">
        <f>HYPERLINK("https://rth.dk/resources/bsgatlas/details.php?id=BSGatlas-operon-1541","BSGatlas-operon-1541")</f>
        <v>BSGatlas-operon-1541</v>
      </c>
      <c r="B2910" s="2" t="str">
        <f>HYPERLINK("https://rth.dk/resources/bsgatlas/details.php?id=BSGatlas-gene-3209","BSGatlas-gene-3209")</f>
        <v>BSGatlas-gene-3209</v>
      </c>
      <c r="C2910" s="1" t="s">
        <v>2886</v>
      </c>
      <c r="D2910" s="1" t="s">
        <v>8</v>
      </c>
      <c r="E2910" s="3">
        <v>2794147</v>
      </c>
      <c r="F2910" s="3">
        <v>2795076</v>
      </c>
      <c r="G2910" s="1" t="s">
        <v>13</v>
      </c>
      <c r="H2910" s="1" t="b">
        <f t="shared" si="108"/>
        <v>1</v>
      </c>
    </row>
    <row r="2911" spans="1:8" ht="21" x14ac:dyDescent="0.25">
      <c r="A2911" s="2" t="str">
        <f>HYPERLINK("https://rth.dk/resources/bsgatlas/details.php?id=BSGatlas-operon-1541","BSGatlas-operon-1541")</f>
        <v>BSGatlas-operon-1541</v>
      </c>
      <c r="B2911" s="2" t="str">
        <f>HYPERLINK("https://rth.dk/resources/bsgatlas/details.php?id=BSGatlas-gene-3210","BSGatlas-gene-3210")</f>
        <v>BSGatlas-gene-3210</v>
      </c>
      <c r="C2911" s="1" t="s">
        <v>2887</v>
      </c>
      <c r="D2911" s="1" t="s">
        <v>8</v>
      </c>
      <c r="E2911" s="3">
        <v>2795082</v>
      </c>
      <c r="F2911" s="3">
        <v>2795735</v>
      </c>
      <c r="G2911" s="1" t="s">
        <v>13</v>
      </c>
      <c r="H2911" s="1" t="b">
        <f t="shared" si="108"/>
        <v>1</v>
      </c>
    </row>
    <row r="2912" spans="1:8" ht="21" x14ac:dyDescent="0.25">
      <c r="A2912" s="2" t="str">
        <f>HYPERLINK("https://rth.dk/resources/bsgatlas/details.php?id=BSGatlas-operon-1542","BSGatlas-operon-1542")</f>
        <v>BSGatlas-operon-1542</v>
      </c>
      <c r="B2912" s="2" t="str">
        <f>HYPERLINK("https://rth.dk/resources/bsgatlas/details.php?id=BSGatlas-gene-3211","BSGatlas-gene-3211")</f>
        <v>BSGatlas-gene-3211</v>
      </c>
      <c r="C2912" s="1" t="s">
        <v>2888</v>
      </c>
      <c r="D2912" s="1" t="s">
        <v>8</v>
      </c>
      <c r="E2912" s="3">
        <v>2795887</v>
      </c>
      <c r="F2912" s="3">
        <v>2796969</v>
      </c>
      <c r="G2912" s="1" t="s">
        <v>13</v>
      </c>
      <c r="H2912" s="1" t="b">
        <f t="shared" si="108"/>
        <v>0</v>
      </c>
    </row>
    <row r="2913" spans="1:8" ht="21" x14ac:dyDescent="0.25">
      <c r="A2913" s="2" t="str">
        <f>HYPERLINK("https://rth.dk/resources/bsgatlas/details.php?id=BSGatlas-operon-1543","BSGatlas-operon-1543")</f>
        <v>BSGatlas-operon-1543</v>
      </c>
      <c r="B2913" s="2" t="str">
        <f>HYPERLINK("https://rth.dk/resources/bsgatlas/details.php?id=BSGatlas-gene-3212","BSGatlas-gene-3212")</f>
        <v>BSGatlas-gene-3212</v>
      </c>
      <c r="C2913" s="1" t="s">
        <v>2889</v>
      </c>
      <c r="D2913" s="1" t="s">
        <v>8</v>
      </c>
      <c r="E2913" s="3">
        <v>2797100</v>
      </c>
      <c r="F2913" s="3">
        <v>2797381</v>
      </c>
      <c r="G2913" s="1" t="s">
        <v>13</v>
      </c>
      <c r="H2913" s="1" t="b">
        <f t="shared" si="108"/>
        <v>1</v>
      </c>
    </row>
    <row r="2914" spans="1:8" ht="21" x14ac:dyDescent="0.25">
      <c r="A2914" s="2" t="str">
        <f>HYPERLINK("https://rth.dk/resources/bsgatlas/details.php?id=BSGatlas-operon-1543","BSGatlas-operon-1543")</f>
        <v>BSGatlas-operon-1543</v>
      </c>
      <c r="B2914" s="2" t="str">
        <f>HYPERLINK("https://rth.dk/resources/bsgatlas/details.php?id=BSGatlas-gene-3213","BSGatlas-gene-3213")</f>
        <v>BSGatlas-gene-3213</v>
      </c>
      <c r="C2914" s="1" t="s">
        <v>2890</v>
      </c>
      <c r="D2914" s="1" t="s">
        <v>8</v>
      </c>
      <c r="E2914" s="3">
        <v>2797399</v>
      </c>
      <c r="F2914" s="3">
        <v>2797815</v>
      </c>
      <c r="G2914" s="1" t="s">
        <v>13</v>
      </c>
      <c r="H2914" s="1" t="b">
        <f t="shared" si="108"/>
        <v>1</v>
      </c>
    </row>
    <row r="2915" spans="1:8" ht="21" x14ac:dyDescent="0.25">
      <c r="A2915" s="2" t="str">
        <f>HYPERLINK("https://rth.dk/resources/bsgatlas/details.php?id=BSGatlas-operon-1543","BSGatlas-operon-1543")</f>
        <v>BSGatlas-operon-1543</v>
      </c>
      <c r="B2915" s="2" t="str">
        <f>HYPERLINK("https://rth.dk/resources/bsgatlas/details.php?id=BSGatlas-gene-3214","BSGatlas-gene-3214")</f>
        <v>BSGatlas-gene-3214</v>
      </c>
      <c r="C2915" s="1" t="s">
        <v>2891</v>
      </c>
      <c r="D2915" s="1" t="s">
        <v>8</v>
      </c>
      <c r="E2915" s="3">
        <v>2797823</v>
      </c>
      <c r="F2915" s="3">
        <v>2798089</v>
      </c>
      <c r="G2915" s="1" t="s">
        <v>13</v>
      </c>
      <c r="H2915" s="1" t="b">
        <f t="shared" si="108"/>
        <v>1</v>
      </c>
    </row>
    <row r="2916" spans="1:8" ht="21" x14ac:dyDescent="0.25">
      <c r="A2916" s="2" t="str">
        <f>HYPERLINK("https://rth.dk/resources/bsgatlas/details.php?id=BSGatlas-operon-1543","BSGatlas-operon-1543")</f>
        <v>BSGatlas-operon-1543</v>
      </c>
      <c r="B2916" s="2" t="str">
        <f>HYPERLINK("https://rth.dk/resources/bsgatlas/details.php?id=BSGatlas-gene-3216","BSGatlas-gene-3216")</f>
        <v>BSGatlas-gene-3216</v>
      </c>
      <c r="C2916" s="1" t="s">
        <v>2892</v>
      </c>
      <c r="D2916" s="1" t="s">
        <v>8</v>
      </c>
      <c r="E2916" s="3">
        <v>2798174</v>
      </c>
      <c r="F2916" s="3">
        <v>2800810</v>
      </c>
      <c r="G2916" s="1" t="s">
        <v>13</v>
      </c>
      <c r="H2916" s="1" t="b">
        <f t="shared" si="108"/>
        <v>1</v>
      </c>
    </row>
    <row r="2917" spans="1:8" ht="21" x14ac:dyDescent="0.25">
      <c r="A2917" s="2" t="str">
        <f>HYPERLINK("https://rth.dk/resources/bsgatlas/details.php?id=BSGatlas-operon-1544","BSGatlas-operon-1544")</f>
        <v>BSGatlas-operon-1544</v>
      </c>
      <c r="B2917" s="2" t="str">
        <f>HYPERLINK("https://rth.dk/resources/bsgatlas/details.php?id=BSGatlas-gene-3215","BSGatlas-gene-3215")</f>
        <v>BSGatlas-gene-3215</v>
      </c>
      <c r="C2917" s="1" t="s">
        <v>2893</v>
      </c>
      <c r="D2917" s="1" t="s">
        <v>12</v>
      </c>
      <c r="E2917" s="3">
        <v>2798008</v>
      </c>
      <c r="F2917" s="3">
        <v>2799197</v>
      </c>
      <c r="G2917" s="1" t="s">
        <v>9</v>
      </c>
      <c r="H2917" s="1" t="b">
        <f t="shared" si="108"/>
        <v>0</v>
      </c>
    </row>
    <row r="2918" spans="1:8" ht="21" x14ac:dyDescent="0.25">
      <c r="A2918" s="2" t="str">
        <f>HYPERLINK("https://rth.dk/resources/bsgatlas/details.php?id=BSGatlas-operon-1545","BSGatlas-operon-1545")</f>
        <v>BSGatlas-operon-1545</v>
      </c>
      <c r="B2918" s="2" t="str">
        <f>HYPERLINK("https://rth.dk/resources/bsgatlas/details.php?id=BSGatlas-gene-3218","BSGatlas-gene-3218")</f>
        <v>BSGatlas-gene-3218</v>
      </c>
      <c r="C2918" s="1" t="s">
        <v>2894</v>
      </c>
      <c r="D2918" s="1" t="s">
        <v>8</v>
      </c>
      <c r="E2918" s="3">
        <v>2801141</v>
      </c>
      <c r="F2918" s="3">
        <v>2802202</v>
      </c>
      <c r="G2918" s="1" t="s">
        <v>13</v>
      </c>
      <c r="H2918" s="1" t="b">
        <f t="shared" si="108"/>
        <v>1</v>
      </c>
    </row>
    <row r="2919" spans="1:8" ht="21" x14ac:dyDescent="0.25">
      <c r="A2919" s="2" t="str">
        <f>HYPERLINK("https://rth.dk/resources/bsgatlas/details.php?id=BSGatlas-operon-1546","BSGatlas-operon-1546")</f>
        <v>BSGatlas-operon-1546</v>
      </c>
      <c r="B2919" s="2" t="str">
        <f>HYPERLINK("https://rth.dk/resources/bsgatlas/details.php?id=BSGatlas-gene-3219","BSGatlas-gene-3219")</f>
        <v>BSGatlas-gene-3219</v>
      </c>
      <c r="C2919" s="1" t="s">
        <v>2895</v>
      </c>
      <c r="D2919" s="1" t="s">
        <v>8</v>
      </c>
      <c r="E2919" s="3">
        <v>2802358</v>
      </c>
      <c r="F2919" s="3">
        <v>2803086</v>
      </c>
      <c r="G2919" s="1" t="s">
        <v>9</v>
      </c>
      <c r="H2919" s="1" t="b">
        <f t="shared" si="108"/>
        <v>0</v>
      </c>
    </row>
    <row r="2920" spans="1:8" ht="21" x14ac:dyDescent="0.25">
      <c r="A2920" s="2" t="str">
        <f>HYPERLINK("https://rth.dk/resources/bsgatlas/details.php?id=BSGatlas-operon-1546","BSGatlas-operon-1546")</f>
        <v>BSGatlas-operon-1546</v>
      </c>
      <c r="B2920" s="2" t="str">
        <f>HYPERLINK("https://rth.dk/resources/bsgatlas/details.php?id=BSGatlas-gene-3220","BSGatlas-gene-3220")</f>
        <v>BSGatlas-gene-3220</v>
      </c>
      <c r="C2920" s="1" t="s">
        <v>2896</v>
      </c>
      <c r="D2920" s="1" t="s">
        <v>8</v>
      </c>
      <c r="E2920" s="3">
        <v>2803108</v>
      </c>
      <c r="F2920" s="3">
        <v>2803929</v>
      </c>
      <c r="G2920" s="1" t="s">
        <v>9</v>
      </c>
      <c r="H2920" s="1" t="b">
        <f t="shared" si="108"/>
        <v>0</v>
      </c>
    </row>
    <row r="2921" spans="1:8" ht="21" x14ac:dyDescent="0.25">
      <c r="A2921" s="2" t="str">
        <f>HYPERLINK("https://rth.dk/resources/bsgatlas/details.php?id=BSGatlas-operon-1546","BSGatlas-operon-1546")</f>
        <v>BSGatlas-operon-1546</v>
      </c>
      <c r="B2921" s="2" t="str">
        <f>HYPERLINK("https://rth.dk/resources/bsgatlas/details.php?id=BSGatlas-gene-3221","BSGatlas-gene-3221")</f>
        <v>BSGatlas-gene-3221</v>
      </c>
      <c r="C2921" s="1" t="s">
        <v>2897</v>
      </c>
      <c r="D2921" s="1" t="s">
        <v>8</v>
      </c>
      <c r="E2921" s="3">
        <v>2803990</v>
      </c>
      <c r="F2921" s="3">
        <v>2804640</v>
      </c>
      <c r="G2921" s="1" t="s">
        <v>9</v>
      </c>
      <c r="H2921" s="1" t="b">
        <f t="shared" si="108"/>
        <v>0</v>
      </c>
    </row>
    <row r="2922" spans="1:8" ht="21" x14ac:dyDescent="0.25">
      <c r="A2922" s="2" t="str">
        <f>HYPERLINK("https://rth.dk/resources/bsgatlas/details.php?id=BSGatlas-operon-1546","BSGatlas-operon-1546")</f>
        <v>BSGatlas-operon-1546</v>
      </c>
      <c r="B2922" s="2" t="str">
        <f>HYPERLINK("https://rth.dk/resources/bsgatlas/details.php?id=BSGatlas-gene-3222","BSGatlas-gene-3222")</f>
        <v>BSGatlas-gene-3222</v>
      </c>
      <c r="C2922" s="1" t="s">
        <v>2898</v>
      </c>
      <c r="D2922" s="1" t="s">
        <v>8</v>
      </c>
      <c r="E2922" s="3">
        <v>2804657</v>
      </c>
      <c r="F2922" s="3">
        <v>2805313</v>
      </c>
      <c r="G2922" s="1" t="s">
        <v>9</v>
      </c>
      <c r="H2922" s="1" t="b">
        <f t="shared" si="108"/>
        <v>0</v>
      </c>
    </row>
    <row r="2923" spans="1:8" ht="21" x14ac:dyDescent="0.25">
      <c r="A2923" s="2" t="str">
        <f>HYPERLINK("https://rth.dk/resources/bsgatlas/details.php?id=BSGatlas-operon-1547","BSGatlas-operon-1547")</f>
        <v>BSGatlas-operon-1547</v>
      </c>
      <c r="B2923" s="2" t="str">
        <f>HYPERLINK("https://rth.dk/resources/bsgatlas/details.php?id=BSGatlas-gene-3223","BSGatlas-gene-3223")</f>
        <v>BSGatlas-gene-3223</v>
      </c>
      <c r="C2923" s="1" t="s">
        <v>2899</v>
      </c>
      <c r="D2923" s="1" t="s">
        <v>8</v>
      </c>
      <c r="E2923" s="3">
        <v>2805348</v>
      </c>
      <c r="F2923" s="3">
        <v>2805479</v>
      </c>
      <c r="G2923" s="1" t="s">
        <v>13</v>
      </c>
      <c r="H2923" s="1" t="b">
        <f t="shared" si="108"/>
        <v>1</v>
      </c>
    </row>
    <row r="2924" spans="1:8" ht="21" x14ac:dyDescent="0.25">
      <c r="A2924" s="2" t="str">
        <f>HYPERLINK("https://rth.dk/resources/bsgatlas/details.php?id=BSGatlas-operon-1547","BSGatlas-operon-1547")</f>
        <v>BSGatlas-operon-1547</v>
      </c>
      <c r="B2924" s="2" t="str">
        <f>HYPERLINK("https://rth.dk/resources/bsgatlas/details.php?id=BSGatlas-gene-3224","BSGatlas-gene-3224")</f>
        <v>BSGatlas-gene-3224</v>
      </c>
      <c r="C2924" s="1" t="s">
        <v>2900</v>
      </c>
      <c r="D2924" s="1" t="s">
        <v>8</v>
      </c>
      <c r="E2924" s="3">
        <v>2805501</v>
      </c>
      <c r="F2924" s="3">
        <v>2805692</v>
      </c>
      <c r="G2924" s="1" t="s">
        <v>13</v>
      </c>
      <c r="H2924" s="1" t="b">
        <f t="shared" si="108"/>
        <v>1</v>
      </c>
    </row>
    <row r="2925" spans="1:8" ht="21" x14ac:dyDescent="0.25">
      <c r="A2925" s="2" t="str">
        <f>HYPERLINK("https://rth.dk/resources/bsgatlas/details.php?id=BSGatlas-operon-1547","BSGatlas-operon-1547")</f>
        <v>BSGatlas-operon-1547</v>
      </c>
      <c r="B2925" s="2" t="str">
        <f>HYPERLINK("https://rth.dk/resources/bsgatlas/details.php?id=BSGatlas-gene-3225","BSGatlas-gene-3225")</f>
        <v>BSGatlas-gene-3225</v>
      </c>
      <c r="C2925" s="1" t="s">
        <v>2901</v>
      </c>
      <c r="D2925" s="1" t="s">
        <v>8</v>
      </c>
      <c r="E2925" s="3">
        <v>2805704</v>
      </c>
      <c r="F2925" s="3">
        <v>2806228</v>
      </c>
      <c r="G2925" s="1" t="s">
        <v>13</v>
      </c>
      <c r="H2925" s="1" t="b">
        <f t="shared" si="108"/>
        <v>1</v>
      </c>
    </row>
    <row r="2926" spans="1:8" ht="21" x14ac:dyDescent="0.25">
      <c r="A2926" s="2" t="str">
        <f>HYPERLINK("https://rth.dk/resources/bsgatlas/details.php?id=BSGatlas-operon-1548","BSGatlas-operon-1548")</f>
        <v>BSGatlas-operon-1548</v>
      </c>
      <c r="B2926" s="2" t="str">
        <f>HYPERLINK("https://rth.dk/resources/bsgatlas/details.php?id=BSGatlas-gene-3226","BSGatlas-gene-3226")</f>
        <v>BSGatlas-gene-3226</v>
      </c>
      <c r="C2926" s="1" t="s">
        <v>2902</v>
      </c>
      <c r="D2926" s="1" t="s">
        <v>8</v>
      </c>
      <c r="E2926" s="3">
        <v>2806286</v>
      </c>
      <c r="F2926" s="3">
        <v>2808682</v>
      </c>
      <c r="G2926" s="1" t="s">
        <v>13</v>
      </c>
      <c r="H2926" s="1" t="b">
        <f t="shared" si="108"/>
        <v>0</v>
      </c>
    </row>
    <row r="2927" spans="1:8" ht="21" x14ac:dyDescent="0.25">
      <c r="A2927" s="2" t="str">
        <f>HYPERLINK("https://rth.dk/resources/bsgatlas/details.php?id=BSGatlas-operon-1548","BSGatlas-operon-1548")</f>
        <v>BSGatlas-operon-1548</v>
      </c>
      <c r="B2927" s="2" t="str">
        <f>HYPERLINK("https://rth.dk/resources/bsgatlas/details.php?id=BSGatlas-gene-3228","BSGatlas-gene-3228")</f>
        <v>BSGatlas-gene-3228</v>
      </c>
      <c r="C2927" s="1" t="s">
        <v>2903</v>
      </c>
      <c r="D2927" s="1" t="s">
        <v>8</v>
      </c>
      <c r="E2927" s="3">
        <v>2808707</v>
      </c>
      <c r="F2927" s="3">
        <v>2809327</v>
      </c>
      <c r="G2927" s="1" t="s">
        <v>13</v>
      </c>
      <c r="H2927" s="1" t="b">
        <f t="shared" si="108"/>
        <v>0</v>
      </c>
    </row>
    <row r="2928" spans="1:8" ht="21" x14ac:dyDescent="0.25">
      <c r="A2928" s="2" t="str">
        <f>HYPERLINK("https://rth.dk/resources/bsgatlas/details.php?id=BSGatlas-operon-1548","BSGatlas-operon-1548")</f>
        <v>BSGatlas-operon-1548</v>
      </c>
      <c r="B2928" s="2" t="str">
        <f>HYPERLINK("https://rth.dk/resources/bsgatlas/details.php?id=BSGatlas-gene-3229","BSGatlas-gene-3229")</f>
        <v>BSGatlas-gene-3229</v>
      </c>
      <c r="C2928" s="1" t="s">
        <v>2904</v>
      </c>
      <c r="D2928" s="1" t="s">
        <v>8</v>
      </c>
      <c r="E2928" s="3">
        <v>2809413</v>
      </c>
      <c r="F2928" s="3">
        <v>2810528</v>
      </c>
      <c r="G2928" s="1" t="s">
        <v>13</v>
      </c>
      <c r="H2928" s="1" t="b">
        <f t="shared" si="108"/>
        <v>0</v>
      </c>
    </row>
    <row r="2929" spans="1:8" ht="21" x14ac:dyDescent="0.25">
      <c r="A2929" s="2" t="str">
        <f>HYPERLINK("https://rth.dk/resources/bsgatlas/details.php?id=BSGatlas-operon-1548","BSGatlas-operon-1548")</f>
        <v>BSGatlas-operon-1548</v>
      </c>
      <c r="B2929" s="2" t="str">
        <f>HYPERLINK("https://rth.dk/resources/bsgatlas/details.php?id=BSGatlas-gene-3230","BSGatlas-gene-3230")</f>
        <v>BSGatlas-gene-3230</v>
      </c>
      <c r="C2929" s="1" t="s">
        <v>2905</v>
      </c>
      <c r="D2929" s="1" t="s">
        <v>8</v>
      </c>
      <c r="E2929" s="3">
        <v>2810559</v>
      </c>
      <c r="F2929" s="3">
        <v>2811698</v>
      </c>
      <c r="G2929" s="1" t="s">
        <v>13</v>
      </c>
      <c r="H2929" s="1" t="b">
        <f t="shared" si="108"/>
        <v>0</v>
      </c>
    </row>
    <row r="2930" spans="1:8" ht="21" x14ac:dyDescent="0.25">
      <c r="A2930" s="2" t="str">
        <f>HYPERLINK("https://rth.dk/resources/bsgatlas/details.php?id=BSGatlas-operon-1548","BSGatlas-operon-1548")</f>
        <v>BSGatlas-operon-1548</v>
      </c>
      <c r="B2930" s="2" t="str">
        <f>HYPERLINK("https://rth.dk/resources/bsgatlas/details.php?id=BSGatlas-gene-3231","BSGatlas-gene-3231")</f>
        <v>BSGatlas-gene-3231</v>
      </c>
      <c r="C2930" s="1" t="s">
        <v>2906</v>
      </c>
      <c r="D2930" s="1" t="s">
        <v>8</v>
      </c>
      <c r="E2930" s="3">
        <v>2811717</v>
      </c>
      <c r="F2930" s="3">
        <v>2812133</v>
      </c>
      <c r="G2930" s="1" t="s">
        <v>13</v>
      </c>
      <c r="H2930" s="1" t="b">
        <f t="shared" si="108"/>
        <v>0</v>
      </c>
    </row>
    <row r="2931" spans="1:8" ht="21" x14ac:dyDescent="0.25">
      <c r="A2931" s="2" t="str">
        <f>HYPERLINK("https://rth.dk/resources/bsgatlas/details.php?id=BSGatlas-operon-1549","BSGatlas-operon-1549")</f>
        <v>BSGatlas-operon-1549</v>
      </c>
      <c r="B2931" s="2" t="str">
        <f>HYPERLINK("https://rth.dk/resources/bsgatlas/details.php?id=BSGatlas-gene-3227","BSGatlas-gene-3227")</f>
        <v>BSGatlas-gene-3227</v>
      </c>
      <c r="C2931" s="1" t="s">
        <v>2907</v>
      </c>
      <c r="D2931" s="1" t="s">
        <v>12</v>
      </c>
      <c r="E2931" s="3">
        <v>2806566</v>
      </c>
      <c r="F2931" s="3">
        <v>2806915</v>
      </c>
      <c r="G2931" s="1" t="s">
        <v>9</v>
      </c>
      <c r="H2931" s="1" t="b">
        <f t="shared" si="108"/>
        <v>1</v>
      </c>
    </row>
    <row r="2932" spans="1:8" ht="21" x14ac:dyDescent="0.25">
      <c r="A2932" s="2" t="str">
        <f>HYPERLINK("https://rth.dk/resources/bsgatlas/details.php?id=BSGatlas-operon-1550","BSGatlas-operon-1550")</f>
        <v>BSGatlas-operon-1550</v>
      </c>
      <c r="B2932" s="2" t="str">
        <f>HYPERLINK("https://rth.dk/resources/bsgatlas/details.php?id=BSGatlas-gene-3232","BSGatlas-gene-3232")</f>
        <v>BSGatlas-gene-3232</v>
      </c>
      <c r="C2932" s="1" t="s">
        <v>2908</v>
      </c>
      <c r="D2932" s="1" t="s">
        <v>8</v>
      </c>
      <c r="E2932" s="3">
        <v>2812336</v>
      </c>
      <c r="F2932" s="3">
        <v>2813601</v>
      </c>
      <c r="G2932" s="1" t="s">
        <v>9</v>
      </c>
      <c r="H2932" s="1" t="b">
        <f t="shared" si="108"/>
        <v>0</v>
      </c>
    </row>
    <row r="2933" spans="1:8" ht="21" x14ac:dyDescent="0.25">
      <c r="A2933" s="2" t="str">
        <f>HYPERLINK("https://rth.dk/resources/bsgatlas/details.php?id=BSGatlas-operon-1551","BSGatlas-operon-1551")</f>
        <v>BSGatlas-operon-1551</v>
      </c>
      <c r="B2933" s="2" t="str">
        <f>HYPERLINK("https://rth.dk/resources/bsgatlas/details.php?id=BSGatlas-gene-3233","BSGatlas-gene-3233")</f>
        <v>BSGatlas-gene-3233</v>
      </c>
      <c r="C2933" s="1" t="s">
        <v>2909</v>
      </c>
      <c r="D2933" s="1" t="s">
        <v>8</v>
      </c>
      <c r="E2933" s="3">
        <v>2813643</v>
      </c>
      <c r="F2933" s="3">
        <v>2814407</v>
      </c>
      <c r="G2933" s="1" t="s">
        <v>13</v>
      </c>
      <c r="H2933" s="1" t="b">
        <f t="shared" si="108"/>
        <v>1</v>
      </c>
    </row>
    <row r="2934" spans="1:8" ht="21" x14ac:dyDescent="0.25">
      <c r="A2934" s="2" t="str">
        <f>HYPERLINK("https://rth.dk/resources/bsgatlas/details.php?id=BSGatlas-operon-1551","BSGatlas-operon-1551")</f>
        <v>BSGatlas-operon-1551</v>
      </c>
      <c r="B2934" s="2" t="str">
        <f>HYPERLINK("https://rth.dk/resources/bsgatlas/details.php?id=BSGatlas-gene-3234","BSGatlas-gene-3234")</f>
        <v>BSGatlas-gene-3234</v>
      </c>
      <c r="C2934" s="1" t="s">
        <v>2910</v>
      </c>
      <c r="D2934" s="1" t="s">
        <v>55</v>
      </c>
      <c r="E2934" s="3">
        <v>2814489</v>
      </c>
      <c r="F2934" s="3">
        <v>2814691</v>
      </c>
      <c r="G2934" s="1" t="s">
        <v>13</v>
      </c>
      <c r="H2934" s="1" t="b">
        <f t="shared" si="108"/>
        <v>1</v>
      </c>
    </row>
    <row r="2935" spans="1:8" ht="21" x14ac:dyDescent="0.25">
      <c r="A2935" s="2" t="str">
        <f>HYPERLINK("https://rth.dk/resources/bsgatlas/details.php?id=BSGatlas-operon-1552","BSGatlas-operon-1552")</f>
        <v>BSGatlas-operon-1552</v>
      </c>
      <c r="B2935" s="2" t="str">
        <f>HYPERLINK("https://rth.dk/resources/bsgatlas/details.php?id=BSGatlas-gene-3235","BSGatlas-gene-3235")</f>
        <v>BSGatlas-gene-3235</v>
      </c>
      <c r="C2935" s="1" t="s">
        <v>2911</v>
      </c>
      <c r="D2935" s="1" t="s">
        <v>8</v>
      </c>
      <c r="E2935" s="3">
        <v>2814743</v>
      </c>
      <c r="F2935" s="3">
        <v>2816521</v>
      </c>
      <c r="G2935" s="1" t="s">
        <v>13</v>
      </c>
      <c r="H2935" s="1" t="b">
        <f t="shared" si="108"/>
        <v>0</v>
      </c>
    </row>
    <row r="2936" spans="1:8" ht="21" x14ac:dyDescent="0.25">
      <c r="A2936" s="2" t="str">
        <f>HYPERLINK("https://rth.dk/resources/bsgatlas/details.php?id=BSGatlas-operon-1552","BSGatlas-operon-1552")</f>
        <v>BSGatlas-operon-1552</v>
      </c>
      <c r="B2936" s="2" t="str">
        <f>HYPERLINK("https://rth.dk/resources/bsgatlas/details.php?id=BSGatlas-gene-3236","BSGatlas-gene-3236")</f>
        <v>BSGatlas-gene-3236</v>
      </c>
      <c r="C2936" s="1" t="s">
        <v>2912</v>
      </c>
      <c r="D2936" s="1" t="s">
        <v>8</v>
      </c>
      <c r="E2936" s="3">
        <v>2816535</v>
      </c>
      <c r="F2936" s="3">
        <v>2817809</v>
      </c>
      <c r="G2936" s="1" t="s">
        <v>13</v>
      </c>
      <c r="H2936" s="1" t="b">
        <f t="shared" si="108"/>
        <v>0</v>
      </c>
    </row>
    <row r="2937" spans="1:8" ht="21" x14ac:dyDescent="0.25">
      <c r="A2937" s="2" t="str">
        <f>HYPERLINK("https://rth.dk/resources/bsgatlas/details.php?id=BSGatlas-operon-1553","BSGatlas-operon-1553")</f>
        <v>BSGatlas-operon-1553</v>
      </c>
      <c r="B2937" s="2" t="str">
        <f>HYPERLINK("https://rth.dk/resources/bsgatlas/details.php?id=BSGatlas-gene-3237","BSGatlas-gene-3237")</f>
        <v>BSGatlas-gene-3237</v>
      </c>
      <c r="C2937" s="1" t="s">
        <v>2913</v>
      </c>
      <c r="D2937" s="1" t="s">
        <v>34</v>
      </c>
      <c r="E2937" s="3">
        <v>2817898</v>
      </c>
      <c r="F2937" s="3">
        <v>2818131</v>
      </c>
      <c r="G2937" s="1" t="s">
        <v>13</v>
      </c>
      <c r="H2937" s="1" t="b">
        <f t="shared" si="108"/>
        <v>1</v>
      </c>
    </row>
    <row r="2938" spans="1:8" ht="21" x14ac:dyDescent="0.25">
      <c r="A2938" s="2" t="str">
        <f>HYPERLINK("https://rth.dk/resources/bsgatlas/details.php?id=BSGatlas-operon-1554","BSGatlas-operon-1554")</f>
        <v>BSGatlas-operon-1554</v>
      </c>
      <c r="B2938" s="2" t="str">
        <f>HYPERLINK("https://rth.dk/resources/bsgatlas/details.php?id=BSGatlas-gene-3239","BSGatlas-gene-3239")</f>
        <v>BSGatlas-gene-3239</v>
      </c>
      <c r="C2938" s="1" t="s">
        <v>2914</v>
      </c>
      <c r="D2938" s="1" t="s">
        <v>8</v>
      </c>
      <c r="E2938" s="3">
        <v>2818494</v>
      </c>
      <c r="F2938" s="3">
        <v>2820050</v>
      </c>
      <c r="G2938" s="1" t="s">
        <v>9</v>
      </c>
      <c r="H2938" s="1" t="b">
        <f t="shared" si="108"/>
        <v>0</v>
      </c>
    </row>
    <row r="2939" spans="1:8" ht="21" x14ac:dyDescent="0.25">
      <c r="A2939" s="2" t="str">
        <f>HYPERLINK("https://rth.dk/resources/bsgatlas/details.php?id=BSGatlas-operon-1555","BSGatlas-operon-1555")</f>
        <v>BSGatlas-operon-1555</v>
      </c>
      <c r="B2939" s="2" t="str">
        <f>HYPERLINK("https://rth.dk/resources/bsgatlas/details.php?id=BSGatlas-gene-3238","BSGatlas-gene-3238")</f>
        <v>BSGatlas-gene-3238</v>
      </c>
      <c r="C2939" s="1" t="s">
        <v>2915</v>
      </c>
      <c r="D2939" s="1" t="s">
        <v>8</v>
      </c>
      <c r="E2939" s="3">
        <v>2818191</v>
      </c>
      <c r="F2939" s="3">
        <v>2818361</v>
      </c>
      <c r="G2939" s="1" t="s">
        <v>13</v>
      </c>
      <c r="H2939" s="1" t="b">
        <f t="shared" si="108"/>
        <v>1</v>
      </c>
    </row>
    <row r="2940" spans="1:8" ht="21" x14ac:dyDescent="0.25">
      <c r="A2940" s="2" t="str">
        <f>HYPERLINK("https://rth.dk/resources/bsgatlas/details.php?id=BSGatlas-operon-1556","BSGatlas-operon-1556")</f>
        <v>BSGatlas-operon-1556</v>
      </c>
      <c r="B2940" s="2" t="str">
        <f>HYPERLINK("https://rth.dk/resources/bsgatlas/details.php?id=BSGatlas-gene-3240","BSGatlas-gene-3240")</f>
        <v>BSGatlas-gene-3240</v>
      </c>
      <c r="C2940" s="1" t="s">
        <v>2916</v>
      </c>
      <c r="D2940" s="1" t="s">
        <v>8</v>
      </c>
      <c r="E2940" s="3">
        <v>2820077</v>
      </c>
      <c r="F2940" s="3">
        <v>2820475</v>
      </c>
      <c r="G2940" s="1" t="s">
        <v>13</v>
      </c>
      <c r="H2940" s="1" t="b">
        <f t="shared" si="108"/>
        <v>0</v>
      </c>
    </row>
    <row r="2941" spans="1:8" ht="21" x14ac:dyDescent="0.25">
      <c r="A2941" s="2" t="str">
        <f>HYPERLINK("https://rth.dk/resources/bsgatlas/details.php?id=BSGatlas-operon-1556","BSGatlas-operon-1556")</f>
        <v>BSGatlas-operon-1556</v>
      </c>
      <c r="B2941" s="2" t="str">
        <f>HYPERLINK("https://rth.dk/resources/bsgatlas/details.php?id=BSGatlas-gene-3241","BSGatlas-gene-3241")</f>
        <v>BSGatlas-gene-3241</v>
      </c>
      <c r="C2941" s="1" t="s">
        <v>2917</v>
      </c>
      <c r="D2941" s="1" t="s">
        <v>8</v>
      </c>
      <c r="E2941" s="3">
        <v>2820529</v>
      </c>
      <c r="F2941" s="3">
        <v>2822733</v>
      </c>
      <c r="G2941" s="1" t="s">
        <v>13</v>
      </c>
      <c r="H2941" s="1" t="b">
        <f t="shared" si="108"/>
        <v>0</v>
      </c>
    </row>
    <row r="2942" spans="1:8" ht="21" x14ac:dyDescent="0.25">
      <c r="A2942" s="2" t="str">
        <f>HYPERLINK("https://rth.dk/resources/bsgatlas/details.php?id=BSGatlas-operon-1557","BSGatlas-operon-1557")</f>
        <v>BSGatlas-operon-1557</v>
      </c>
      <c r="B2942" s="2" t="str">
        <f>HYPERLINK("https://rth.dk/resources/bsgatlas/details.php?id=BSGatlas-gene-3242","BSGatlas-gene-3242")</f>
        <v>BSGatlas-gene-3242</v>
      </c>
      <c r="C2942" s="1" t="s">
        <v>2918</v>
      </c>
      <c r="D2942" s="1" t="s">
        <v>8</v>
      </c>
      <c r="E2942" s="3">
        <v>2822901</v>
      </c>
      <c r="F2942" s="3">
        <v>2823413</v>
      </c>
      <c r="G2942" s="1" t="s">
        <v>13</v>
      </c>
      <c r="H2942" s="1" t="b">
        <f t="shared" si="108"/>
        <v>1</v>
      </c>
    </row>
    <row r="2943" spans="1:8" ht="21" x14ac:dyDescent="0.25">
      <c r="A2943" s="2" t="str">
        <f>HYPERLINK("https://rth.dk/resources/bsgatlas/details.php?id=BSGatlas-operon-1557","BSGatlas-operon-1557")</f>
        <v>BSGatlas-operon-1557</v>
      </c>
      <c r="B2943" s="2" t="str">
        <f>HYPERLINK("https://rth.dk/resources/bsgatlas/details.php?id=BSGatlas-gene-3243","BSGatlas-gene-3243")</f>
        <v>BSGatlas-gene-3243</v>
      </c>
      <c r="C2943" s="1" t="s">
        <v>2919</v>
      </c>
      <c r="D2943" s="1" t="s">
        <v>8</v>
      </c>
      <c r="E2943" s="3">
        <v>2823419</v>
      </c>
      <c r="F2943" s="3">
        <v>2825779</v>
      </c>
      <c r="G2943" s="1" t="s">
        <v>13</v>
      </c>
      <c r="H2943" s="1" t="b">
        <f t="shared" si="108"/>
        <v>1</v>
      </c>
    </row>
    <row r="2944" spans="1:8" ht="21" x14ac:dyDescent="0.25">
      <c r="A2944" s="2" t="str">
        <f>HYPERLINK("https://rth.dk/resources/bsgatlas/details.php?id=BSGatlas-operon-1558","BSGatlas-operon-1558")</f>
        <v>BSGatlas-operon-1558</v>
      </c>
      <c r="B2944" s="2" t="str">
        <f>HYPERLINK("https://rth.dk/resources/bsgatlas/details.php?id=BSGatlas-gene-3244","BSGatlas-gene-3244")</f>
        <v>BSGatlas-gene-3244</v>
      </c>
      <c r="C2944" s="1" t="s">
        <v>2920</v>
      </c>
      <c r="D2944" s="1" t="s">
        <v>8</v>
      </c>
      <c r="E2944" s="3">
        <v>2825846</v>
      </c>
      <c r="F2944" s="3">
        <v>2826169</v>
      </c>
      <c r="G2944" s="1" t="s">
        <v>13</v>
      </c>
      <c r="H2944" s="1" t="b">
        <f t="shared" si="108"/>
        <v>0</v>
      </c>
    </row>
    <row r="2945" spans="1:8" ht="21" x14ac:dyDescent="0.25">
      <c r="A2945" s="2" t="str">
        <f>HYPERLINK("https://rth.dk/resources/bsgatlas/details.php?id=BSGatlas-operon-1558","BSGatlas-operon-1558")</f>
        <v>BSGatlas-operon-1558</v>
      </c>
      <c r="B2945" s="2" t="str">
        <f>HYPERLINK("https://rth.dk/resources/bsgatlas/details.php?id=BSGatlas-gene-3245","BSGatlas-gene-3245")</f>
        <v>BSGatlas-gene-3245</v>
      </c>
      <c r="C2945" s="1" t="s">
        <v>2921</v>
      </c>
      <c r="D2945" s="1" t="s">
        <v>8</v>
      </c>
      <c r="E2945" s="3">
        <v>2826245</v>
      </c>
      <c r="F2945" s="3">
        <v>2826742</v>
      </c>
      <c r="G2945" s="1" t="s">
        <v>13</v>
      </c>
      <c r="H2945" s="1" t="b">
        <f t="shared" si="108"/>
        <v>0</v>
      </c>
    </row>
    <row r="2946" spans="1:8" ht="21" x14ac:dyDescent="0.25">
      <c r="A2946" s="2" t="str">
        <f>HYPERLINK("https://rth.dk/resources/bsgatlas/details.php?id=BSGatlas-operon-1559","BSGatlas-operon-1559")</f>
        <v>BSGatlas-operon-1559</v>
      </c>
      <c r="B2946" s="2" t="str">
        <f>HYPERLINK("https://rth.dk/resources/bsgatlas/details.php?id=BSGatlas-gene-3246","BSGatlas-gene-3246")</f>
        <v>BSGatlas-gene-3246</v>
      </c>
      <c r="C2946" s="1" t="s">
        <v>2922</v>
      </c>
      <c r="D2946" s="1" t="s">
        <v>8</v>
      </c>
      <c r="E2946" s="3">
        <v>2826900</v>
      </c>
      <c r="F2946" s="3">
        <v>2829113</v>
      </c>
      <c r="G2946" s="1" t="s">
        <v>13</v>
      </c>
      <c r="H2946" s="1" t="b">
        <f t="shared" ref="H2946:H3009" si="109">_xlfn.XOR(A2945&lt;&gt;A2946,H2945)</f>
        <v>1</v>
      </c>
    </row>
    <row r="2947" spans="1:8" ht="21" x14ac:dyDescent="0.25">
      <c r="A2947" s="2" t="str">
        <f>HYPERLINK("https://rth.dk/resources/bsgatlas/details.php?id=BSGatlas-operon-1559","BSGatlas-operon-1559")</f>
        <v>BSGatlas-operon-1559</v>
      </c>
      <c r="B2947" s="2" t="str">
        <f>HYPERLINK("https://rth.dk/resources/bsgatlas/details.php?id=BSGatlas-gene-3247","BSGatlas-gene-3247")</f>
        <v>BSGatlas-gene-3247</v>
      </c>
      <c r="C2947" s="1" t="s">
        <v>2923</v>
      </c>
      <c r="D2947" s="1" t="s">
        <v>8</v>
      </c>
      <c r="E2947" s="3">
        <v>2829152</v>
      </c>
      <c r="F2947" s="3">
        <v>2829448</v>
      </c>
      <c r="G2947" s="1" t="s">
        <v>13</v>
      </c>
      <c r="H2947" s="1" t="b">
        <f t="shared" si="109"/>
        <v>1</v>
      </c>
    </row>
    <row r="2948" spans="1:8" ht="21" x14ac:dyDescent="0.25">
      <c r="A2948" s="2" t="str">
        <f>HYPERLINK("https://rth.dk/resources/bsgatlas/details.php?id=BSGatlas-operon-1560","BSGatlas-operon-1560")</f>
        <v>BSGatlas-operon-1560</v>
      </c>
      <c r="B2948" s="2" t="str">
        <f>HYPERLINK("https://rth.dk/resources/bsgatlas/details.php?id=BSGatlas-gene-3248","BSGatlas-gene-3248")</f>
        <v>BSGatlas-gene-3248</v>
      </c>
      <c r="C2948" s="1" t="s">
        <v>2924</v>
      </c>
      <c r="D2948" s="1" t="s">
        <v>8</v>
      </c>
      <c r="E2948" s="3">
        <v>2829564</v>
      </c>
      <c r="F2948" s="3">
        <v>2831120</v>
      </c>
      <c r="G2948" s="1" t="s">
        <v>9</v>
      </c>
      <c r="H2948" s="1" t="b">
        <f t="shared" si="109"/>
        <v>0</v>
      </c>
    </row>
    <row r="2949" spans="1:8" ht="21" x14ac:dyDescent="0.25">
      <c r="A2949" s="2" t="str">
        <f>HYPERLINK("https://rth.dk/resources/bsgatlas/details.php?id=BSGatlas-operon-1560","BSGatlas-operon-1560")</f>
        <v>BSGatlas-operon-1560</v>
      </c>
      <c r="B2949" s="2" t="str">
        <f>HYPERLINK("https://rth.dk/resources/bsgatlas/details.php?id=BSGatlas-gene-3250","BSGatlas-gene-3250")</f>
        <v>BSGatlas-gene-3250</v>
      </c>
      <c r="C2949" s="1" t="s">
        <v>2925</v>
      </c>
      <c r="D2949" s="1" t="s">
        <v>8</v>
      </c>
      <c r="E2949" s="3">
        <v>2831915</v>
      </c>
      <c r="F2949" s="3">
        <v>2832367</v>
      </c>
      <c r="G2949" s="1" t="s">
        <v>9</v>
      </c>
      <c r="H2949" s="1" t="b">
        <f t="shared" si="109"/>
        <v>0</v>
      </c>
    </row>
    <row r="2950" spans="1:8" ht="21" x14ac:dyDescent="0.25">
      <c r="A2950" s="2" t="str">
        <f>HYPERLINK("https://rth.dk/resources/bsgatlas/details.php?id=BSGatlas-operon-1561","BSGatlas-operon-1561")</f>
        <v>BSGatlas-operon-1561</v>
      </c>
      <c r="B2950" s="2" t="str">
        <f>HYPERLINK("https://rth.dk/resources/bsgatlas/details.php?id=BSGatlas-gene-3249","BSGatlas-gene-3249")</f>
        <v>BSGatlas-gene-3249</v>
      </c>
      <c r="C2950" s="1" t="s">
        <v>2926</v>
      </c>
      <c r="D2950" s="1" t="s">
        <v>8</v>
      </c>
      <c r="E2950" s="3">
        <v>2831124</v>
      </c>
      <c r="F2950" s="3">
        <v>2831780</v>
      </c>
      <c r="G2950" s="1" t="s">
        <v>13</v>
      </c>
      <c r="H2950" s="1" t="b">
        <f t="shared" si="109"/>
        <v>1</v>
      </c>
    </row>
    <row r="2951" spans="1:8" ht="21" x14ac:dyDescent="0.25">
      <c r="A2951" s="2" t="str">
        <f t="shared" ref="A2951:A2956" si="110">HYPERLINK("https://rth.dk/resources/bsgatlas/details.php?id=BSGatlas-operon-1562","BSGatlas-operon-1562")</f>
        <v>BSGatlas-operon-1562</v>
      </c>
      <c r="B2951" s="2" t="str">
        <f>HYPERLINK("https://rth.dk/resources/bsgatlas/details.php?id=BSGatlas-gene-3251","BSGatlas-gene-3251")</f>
        <v>BSGatlas-gene-3251</v>
      </c>
      <c r="C2951" s="1" t="s">
        <v>2927</v>
      </c>
      <c r="D2951" s="1" t="s">
        <v>8</v>
      </c>
      <c r="E2951" s="3">
        <v>2832424</v>
      </c>
      <c r="F2951" s="3">
        <v>2832690</v>
      </c>
      <c r="G2951" s="1" t="s">
        <v>13</v>
      </c>
      <c r="H2951" s="1" t="b">
        <f t="shared" si="109"/>
        <v>0</v>
      </c>
    </row>
    <row r="2952" spans="1:8" ht="21" x14ac:dyDescent="0.25">
      <c r="A2952" s="2" t="str">
        <f t="shared" si="110"/>
        <v>BSGatlas-operon-1562</v>
      </c>
      <c r="B2952" s="2" t="str">
        <f>HYPERLINK("https://rth.dk/resources/bsgatlas/details.php?id=BSGatlas-gene-3252","BSGatlas-gene-3252")</f>
        <v>BSGatlas-gene-3252</v>
      </c>
      <c r="C2952" s="1" t="s">
        <v>2928</v>
      </c>
      <c r="D2952" s="1" t="s">
        <v>8</v>
      </c>
      <c r="E2952" s="3">
        <v>2832727</v>
      </c>
      <c r="F2952" s="3">
        <v>2833872</v>
      </c>
      <c r="G2952" s="1" t="s">
        <v>13</v>
      </c>
      <c r="H2952" s="1" t="b">
        <f t="shared" si="109"/>
        <v>0</v>
      </c>
    </row>
    <row r="2953" spans="1:8" ht="21" x14ac:dyDescent="0.25">
      <c r="A2953" s="2" t="str">
        <f t="shared" si="110"/>
        <v>BSGatlas-operon-1562</v>
      </c>
      <c r="B2953" s="2" t="str">
        <f>HYPERLINK("https://rth.dk/resources/bsgatlas/details.php?id=BSGatlas-gene-3253","BSGatlas-gene-3253")</f>
        <v>BSGatlas-gene-3253</v>
      </c>
      <c r="C2953" s="1" t="s">
        <v>2929</v>
      </c>
      <c r="D2953" s="1" t="s">
        <v>8</v>
      </c>
      <c r="E2953" s="3">
        <v>2833899</v>
      </c>
      <c r="F2953" s="3">
        <v>2834927</v>
      </c>
      <c r="G2953" s="1" t="s">
        <v>13</v>
      </c>
      <c r="H2953" s="1" t="b">
        <f t="shared" si="109"/>
        <v>0</v>
      </c>
    </row>
    <row r="2954" spans="1:8" ht="21" x14ac:dyDescent="0.25">
      <c r="A2954" s="2" t="str">
        <f t="shared" si="110"/>
        <v>BSGatlas-operon-1562</v>
      </c>
      <c r="B2954" s="2" t="str">
        <f>HYPERLINK("https://rth.dk/resources/bsgatlas/details.php?id=BSGatlas-gene-3254","BSGatlas-gene-3254")</f>
        <v>BSGatlas-gene-3254</v>
      </c>
      <c r="C2954" s="1" t="s">
        <v>2930</v>
      </c>
      <c r="D2954" s="1" t="s">
        <v>8</v>
      </c>
      <c r="E2954" s="3">
        <v>2834957</v>
      </c>
      <c r="F2954" s="3">
        <v>2835157</v>
      </c>
      <c r="G2954" s="1" t="s">
        <v>13</v>
      </c>
      <c r="H2954" s="1" t="b">
        <f t="shared" si="109"/>
        <v>0</v>
      </c>
    </row>
    <row r="2955" spans="1:8" ht="21" x14ac:dyDescent="0.25">
      <c r="A2955" s="2" t="str">
        <f t="shared" si="110"/>
        <v>BSGatlas-operon-1562</v>
      </c>
      <c r="B2955" s="2" t="str">
        <f>HYPERLINK("https://rth.dk/resources/bsgatlas/details.php?id=BSGatlas-gene-3255","BSGatlas-gene-3255")</f>
        <v>BSGatlas-gene-3255</v>
      </c>
      <c r="C2955" s="1" t="s">
        <v>2931</v>
      </c>
      <c r="D2955" s="1" t="s">
        <v>8</v>
      </c>
      <c r="E2955" s="3">
        <v>2835150</v>
      </c>
      <c r="F2955" s="3">
        <v>2836154</v>
      </c>
      <c r="G2955" s="1" t="s">
        <v>13</v>
      </c>
      <c r="H2955" s="1" t="b">
        <f t="shared" si="109"/>
        <v>0</v>
      </c>
    </row>
    <row r="2956" spans="1:8" ht="21" x14ac:dyDescent="0.25">
      <c r="A2956" s="2" t="str">
        <f t="shared" si="110"/>
        <v>BSGatlas-operon-1562</v>
      </c>
      <c r="B2956" s="2" t="str">
        <f>HYPERLINK("https://rth.dk/resources/bsgatlas/details.php?id=BSGatlas-gene-3256","BSGatlas-gene-3256")</f>
        <v>BSGatlas-gene-3256</v>
      </c>
      <c r="C2956" s="1" t="s">
        <v>2932</v>
      </c>
      <c r="D2956" s="1" t="s">
        <v>8</v>
      </c>
      <c r="E2956" s="3">
        <v>2836165</v>
      </c>
      <c r="F2956" s="3">
        <v>2836770</v>
      </c>
      <c r="G2956" s="1" t="s">
        <v>13</v>
      </c>
      <c r="H2956" s="1" t="b">
        <f t="shared" si="109"/>
        <v>0</v>
      </c>
    </row>
    <row r="2957" spans="1:8" ht="21" x14ac:dyDescent="0.25">
      <c r="A2957" s="2" t="str">
        <f>HYPERLINK("https://rth.dk/resources/bsgatlas/details.php?id=BSGatlas-operon-1563","BSGatlas-operon-1563")</f>
        <v>BSGatlas-operon-1563</v>
      </c>
      <c r="B2957" s="2" t="str">
        <f>HYPERLINK("https://rth.dk/resources/bsgatlas/details.php?id=BSGatlas-gene-3257","BSGatlas-gene-3257")</f>
        <v>BSGatlas-gene-3257</v>
      </c>
      <c r="C2957" s="1" t="s">
        <v>2933</v>
      </c>
      <c r="D2957" s="1" t="s">
        <v>8</v>
      </c>
      <c r="E2957" s="3">
        <v>2836909</v>
      </c>
      <c r="F2957" s="3">
        <v>2837421</v>
      </c>
      <c r="G2957" s="1" t="s">
        <v>13</v>
      </c>
      <c r="H2957" s="1" t="b">
        <f t="shared" si="109"/>
        <v>1</v>
      </c>
    </row>
    <row r="2958" spans="1:8" ht="21" x14ac:dyDescent="0.25">
      <c r="A2958" s="2" t="str">
        <f>HYPERLINK("https://rth.dk/resources/bsgatlas/details.php?id=BSGatlas-operon-1563","BSGatlas-operon-1563")</f>
        <v>BSGatlas-operon-1563</v>
      </c>
      <c r="B2958" s="2" t="str">
        <f>HYPERLINK("https://rth.dk/resources/bsgatlas/details.php?id=BSGatlas-gene-3258","BSGatlas-gene-3258")</f>
        <v>BSGatlas-gene-3258</v>
      </c>
      <c r="C2958" s="1" t="s">
        <v>2934</v>
      </c>
      <c r="D2958" s="1" t="s">
        <v>8</v>
      </c>
      <c r="E2958" s="3">
        <v>2837469</v>
      </c>
      <c r="F2958" s="3">
        <v>2838776</v>
      </c>
      <c r="G2958" s="1" t="s">
        <v>13</v>
      </c>
      <c r="H2958" s="1" t="b">
        <f t="shared" si="109"/>
        <v>1</v>
      </c>
    </row>
    <row r="2959" spans="1:8" ht="21" x14ac:dyDescent="0.25">
      <c r="A2959" s="2" t="str">
        <f>HYPERLINK("https://rth.dk/resources/bsgatlas/details.php?id=BSGatlas-operon-1564","BSGatlas-operon-1564")</f>
        <v>BSGatlas-operon-1564</v>
      </c>
      <c r="B2959" s="2" t="str">
        <f>HYPERLINK("https://rth.dk/resources/bsgatlas/details.php?id=BSGatlas-gene-3259","BSGatlas-gene-3259")</f>
        <v>BSGatlas-gene-3259</v>
      </c>
      <c r="C2959" s="1" t="s">
        <v>2935</v>
      </c>
      <c r="D2959" s="1" t="s">
        <v>8</v>
      </c>
      <c r="E2959" s="3">
        <v>2838847</v>
      </c>
      <c r="F2959" s="3">
        <v>2839872</v>
      </c>
      <c r="G2959" s="1" t="s">
        <v>13</v>
      </c>
      <c r="H2959" s="1" t="b">
        <f t="shared" si="109"/>
        <v>0</v>
      </c>
    </row>
    <row r="2960" spans="1:8" ht="21" x14ac:dyDescent="0.25">
      <c r="A2960" s="2" t="str">
        <f>HYPERLINK("https://rth.dk/resources/bsgatlas/details.php?id=BSGatlas-operon-1565","BSGatlas-operon-1565")</f>
        <v>BSGatlas-operon-1565</v>
      </c>
      <c r="B2960" s="2" t="str">
        <f>HYPERLINK("https://rth.dk/resources/bsgatlas/details.php?id=BSGatlas-gene-3260","BSGatlas-gene-3260")</f>
        <v>BSGatlas-gene-3260</v>
      </c>
      <c r="C2960" s="1" t="s">
        <v>2936</v>
      </c>
      <c r="D2960" s="1" t="s">
        <v>8</v>
      </c>
      <c r="E2960" s="3">
        <v>2840110</v>
      </c>
      <c r="F2960" s="3">
        <v>2840757</v>
      </c>
      <c r="G2960" s="1" t="s">
        <v>9</v>
      </c>
      <c r="H2960" s="1" t="b">
        <f t="shared" si="109"/>
        <v>1</v>
      </c>
    </row>
    <row r="2961" spans="1:8" ht="21" x14ac:dyDescent="0.25">
      <c r="A2961" s="2" t="str">
        <f>HYPERLINK("https://rth.dk/resources/bsgatlas/details.php?id=BSGatlas-operon-1566","BSGatlas-operon-1566")</f>
        <v>BSGatlas-operon-1566</v>
      </c>
      <c r="B2961" s="2" t="str">
        <f>HYPERLINK("https://rth.dk/resources/bsgatlas/details.php?id=BSGatlas-gene-3261","BSGatlas-gene-3261")</f>
        <v>BSGatlas-gene-3261</v>
      </c>
      <c r="C2961" s="1" t="s">
        <v>2937</v>
      </c>
      <c r="D2961" s="1" t="s">
        <v>12</v>
      </c>
      <c r="E2961" s="3">
        <v>2840767</v>
      </c>
      <c r="F2961" s="3">
        <v>2840964</v>
      </c>
      <c r="G2961" s="1" t="s">
        <v>13</v>
      </c>
      <c r="H2961" s="1" t="b">
        <f t="shared" si="109"/>
        <v>0</v>
      </c>
    </row>
    <row r="2962" spans="1:8" ht="21" x14ac:dyDescent="0.25">
      <c r="A2962" s="2" t="str">
        <f>HYPERLINK("https://rth.dk/resources/bsgatlas/details.php?id=BSGatlas-operon-1567","BSGatlas-operon-1567")</f>
        <v>BSGatlas-operon-1567</v>
      </c>
      <c r="B2962" s="2" t="str">
        <f>HYPERLINK("https://rth.dk/resources/bsgatlas/details.php?id=BSGatlas-gene-3262","BSGatlas-gene-3262")</f>
        <v>BSGatlas-gene-3262</v>
      </c>
      <c r="C2962" s="1" t="s">
        <v>318</v>
      </c>
      <c r="D2962" s="1" t="s">
        <v>8</v>
      </c>
      <c r="E2962" s="3">
        <v>2840803</v>
      </c>
      <c r="F2962" s="3">
        <v>2840925</v>
      </c>
      <c r="G2962" s="1" t="s">
        <v>13</v>
      </c>
      <c r="H2962" s="1" t="b">
        <f t="shared" si="109"/>
        <v>1</v>
      </c>
    </row>
    <row r="2963" spans="1:8" ht="21" x14ac:dyDescent="0.25">
      <c r="A2963" s="2" t="str">
        <f>HYPERLINK("https://rth.dk/resources/bsgatlas/details.php?id=BSGatlas-operon-1568","BSGatlas-operon-1568")</f>
        <v>BSGatlas-operon-1568</v>
      </c>
      <c r="B2963" s="2" t="str">
        <f>HYPERLINK("https://rth.dk/resources/bsgatlas/details.php?id=BSGatlas-gene-3263","BSGatlas-gene-3263")</f>
        <v>BSGatlas-gene-3263</v>
      </c>
      <c r="C2963" s="1" t="s">
        <v>2938</v>
      </c>
      <c r="D2963" s="1" t="s">
        <v>8</v>
      </c>
      <c r="E2963" s="3">
        <v>2841010</v>
      </c>
      <c r="F2963" s="3">
        <v>2841300</v>
      </c>
      <c r="G2963" s="1" t="s">
        <v>9</v>
      </c>
      <c r="H2963" s="1" t="b">
        <f t="shared" si="109"/>
        <v>0</v>
      </c>
    </row>
    <row r="2964" spans="1:8" ht="21" x14ac:dyDescent="0.25">
      <c r="A2964" s="2" t="str">
        <f>HYPERLINK("https://rth.dk/resources/bsgatlas/details.php?id=BSGatlas-operon-1568","BSGatlas-operon-1568")</f>
        <v>BSGatlas-operon-1568</v>
      </c>
      <c r="B2964" s="2" t="str">
        <f>HYPERLINK("https://rth.dk/resources/bsgatlas/details.php?id=BSGatlas-gene-3264","BSGatlas-gene-3264")</f>
        <v>BSGatlas-gene-3264</v>
      </c>
      <c r="C2964" s="1" t="s">
        <v>2938</v>
      </c>
      <c r="D2964" s="1" t="s">
        <v>8</v>
      </c>
      <c r="E2964" s="3">
        <v>2841169</v>
      </c>
      <c r="F2964" s="3">
        <v>2841300</v>
      </c>
      <c r="G2964" s="1" t="s">
        <v>9</v>
      </c>
      <c r="H2964" s="1" t="b">
        <f t="shared" si="109"/>
        <v>0</v>
      </c>
    </row>
    <row r="2965" spans="1:8" ht="21" x14ac:dyDescent="0.25">
      <c r="A2965" s="2" t="str">
        <f>HYPERLINK("https://rth.dk/resources/bsgatlas/details.php?id=BSGatlas-operon-1568","BSGatlas-operon-1568")</f>
        <v>BSGatlas-operon-1568</v>
      </c>
      <c r="B2965" s="2" t="str">
        <f>HYPERLINK("https://rth.dk/resources/bsgatlas/details.php?id=BSGatlas-gene-3265","BSGatlas-gene-3265")</f>
        <v>BSGatlas-gene-3265</v>
      </c>
      <c r="C2965" s="1" t="s">
        <v>2939</v>
      </c>
      <c r="D2965" s="1" t="s">
        <v>8</v>
      </c>
      <c r="E2965" s="3">
        <v>2841307</v>
      </c>
      <c r="F2965" s="3">
        <v>2841447</v>
      </c>
      <c r="G2965" s="1" t="s">
        <v>9</v>
      </c>
      <c r="H2965" s="1" t="b">
        <f t="shared" si="109"/>
        <v>0</v>
      </c>
    </row>
    <row r="2966" spans="1:8" ht="21" x14ac:dyDescent="0.25">
      <c r="A2966" s="2" t="str">
        <f>HYPERLINK("https://rth.dk/resources/bsgatlas/details.php?id=BSGatlas-operon-1569","BSGatlas-operon-1569")</f>
        <v>BSGatlas-operon-1569</v>
      </c>
      <c r="B2966" s="2" t="str">
        <f>HYPERLINK("https://rth.dk/resources/bsgatlas/details.php?id=BSGatlas-gene-3266","BSGatlas-gene-3266")</f>
        <v>BSGatlas-gene-3266</v>
      </c>
      <c r="C2966" s="1" t="s">
        <v>2940</v>
      </c>
      <c r="D2966" s="1" t="s">
        <v>8</v>
      </c>
      <c r="E2966" s="3">
        <v>2841611</v>
      </c>
      <c r="F2966" s="3">
        <v>2843065</v>
      </c>
      <c r="G2966" s="1" t="s">
        <v>9</v>
      </c>
      <c r="H2966" s="1" t="b">
        <f t="shared" si="109"/>
        <v>1</v>
      </c>
    </row>
    <row r="2967" spans="1:8" ht="21" x14ac:dyDescent="0.25">
      <c r="A2967" s="2" t="str">
        <f>HYPERLINK("https://rth.dk/resources/bsgatlas/details.php?id=BSGatlas-operon-1570","BSGatlas-operon-1570")</f>
        <v>BSGatlas-operon-1570</v>
      </c>
      <c r="B2967" s="2" t="str">
        <f>HYPERLINK("https://rth.dk/resources/bsgatlas/details.php?id=BSGatlas-gene-3267","BSGatlas-gene-3267")</f>
        <v>BSGatlas-gene-3267</v>
      </c>
      <c r="C2967" s="1" t="s">
        <v>2941</v>
      </c>
      <c r="D2967" s="1" t="s">
        <v>8</v>
      </c>
      <c r="E2967" s="3">
        <v>2843106</v>
      </c>
      <c r="F2967" s="3">
        <v>2843828</v>
      </c>
      <c r="G2967" s="1" t="s">
        <v>13</v>
      </c>
      <c r="H2967" s="1" t="b">
        <f t="shared" si="109"/>
        <v>0</v>
      </c>
    </row>
    <row r="2968" spans="1:8" ht="21" x14ac:dyDescent="0.25">
      <c r="A2968" s="2" t="str">
        <f>HYPERLINK("https://rth.dk/resources/bsgatlas/details.php?id=BSGatlas-operon-1571","BSGatlas-operon-1571")</f>
        <v>BSGatlas-operon-1571</v>
      </c>
      <c r="B2968" s="2" t="str">
        <f>HYPERLINK("https://rth.dk/resources/bsgatlas/details.php?id=BSGatlas-gene-3268","BSGatlas-gene-3268")</f>
        <v>BSGatlas-gene-3268</v>
      </c>
      <c r="C2968" s="1" t="s">
        <v>2942</v>
      </c>
      <c r="D2968" s="1" t="s">
        <v>8</v>
      </c>
      <c r="E2968" s="3">
        <v>2843931</v>
      </c>
      <c r="F2968" s="3">
        <v>2844527</v>
      </c>
      <c r="G2968" s="1" t="s">
        <v>13</v>
      </c>
      <c r="H2968" s="1" t="b">
        <f t="shared" si="109"/>
        <v>1</v>
      </c>
    </row>
    <row r="2969" spans="1:8" ht="21" x14ac:dyDescent="0.25">
      <c r="A2969" s="2" t="str">
        <f>HYPERLINK("https://rth.dk/resources/bsgatlas/details.php?id=BSGatlas-operon-1571","BSGatlas-operon-1571")</f>
        <v>BSGatlas-operon-1571</v>
      </c>
      <c r="B2969" s="2" t="str">
        <f>HYPERLINK("https://rth.dk/resources/bsgatlas/details.php?id=BSGatlas-gene-3269","BSGatlas-gene-3269")</f>
        <v>BSGatlas-gene-3269</v>
      </c>
      <c r="C2969" s="1" t="s">
        <v>2943</v>
      </c>
      <c r="D2969" s="1" t="s">
        <v>8</v>
      </c>
      <c r="E2969" s="3">
        <v>2844675</v>
      </c>
      <c r="F2969" s="3">
        <v>2845838</v>
      </c>
      <c r="G2969" s="1" t="s">
        <v>13</v>
      </c>
      <c r="H2969" s="1" t="b">
        <f t="shared" si="109"/>
        <v>1</v>
      </c>
    </row>
    <row r="2970" spans="1:8" ht="21" x14ac:dyDescent="0.25">
      <c r="A2970" s="2" t="str">
        <f>HYPERLINK("https://rth.dk/resources/bsgatlas/details.php?id=BSGatlas-operon-1572","BSGatlas-operon-1572")</f>
        <v>BSGatlas-operon-1572</v>
      </c>
      <c r="B2970" s="2" t="str">
        <f>HYPERLINK("https://rth.dk/resources/bsgatlas/details.php?id=BSGatlas-gene-3270","BSGatlas-gene-3270")</f>
        <v>BSGatlas-gene-3270</v>
      </c>
      <c r="C2970" s="1" t="s">
        <v>2944</v>
      </c>
      <c r="D2970" s="1" t="s">
        <v>8</v>
      </c>
      <c r="E2970" s="3">
        <v>2845955</v>
      </c>
      <c r="F2970" s="3">
        <v>2847061</v>
      </c>
      <c r="G2970" s="1" t="s">
        <v>13</v>
      </c>
      <c r="H2970" s="1" t="b">
        <f t="shared" si="109"/>
        <v>0</v>
      </c>
    </row>
    <row r="2971" spans="1:8" ht="21" x14ac:dyDescent="0.25">
      <c r="A2971" s="2" t="str">
        <f>HYPERLINK("https://rth.dk/resources/bsgatlas/details.php?id=BSGatlas-operon-1572","BSGatlas-operon-1572")</f>
        <v>BSGatlas-operon-1572</v>
      </c>
      <c r="B2971" s="2" t="str">
        <f>HYPERLINK("https://rth.dk/resources/bsgatlas/details.php?id=BSGatlas-gene-3271","BSGatlas-gene-3271")</f>
        <v>BSGatlas-gene-3271</v>
      </c>
      <c r="C2971" s="1" t="s">
        <v>2945</v>
      </c>
      <c r="D2971" s="1" t="s">
        <v>8</v>
      </c>
      <c r="E2971" s="3">
        <v>2847048</v>
      </c>
      <c r="F2971" s="3">
        <v>2847917</v>
      </c>
      <c r="G2971" s="1" t="s">
        <v>13</v>
      </c>
      <c r="H2971" s="1" t="b">
        <f t="shared" si="109"/>
        <v>0</v>
      </c>
    </row>
    <row r="2972" spans="1:8" ht="21" x14ac:dyDescent="0.25">
      <c r="A2972" s="2" t="str">
        <f>HYPERLINK("https://rth.dk/resources/bsgatlas/details.php?id=BSGatlas-operon-1572","BSGatlas-operon-1572")</f>
        <v>BSGatlas-operon-1572</v>
      </c>
      <c r="B2972" s="2" t="str">
        <f>HYPERLINK("https://rth.dk/resources/bsgatlas/details.php?id=BSGatlas-gene-3272","BSGatlas-gene-3272")</f>
        <v>BSGatlas-gene-3272</v>
      </c>
      <c r="C2972" s="1" t="s">
        <v>2946</v>
      </c>
      <c r="D2972" s="1" t="s">
        <v>8</v>
      </c>
      <c r="E2972" s="3">
        <v>2847871</v>
      </c>
      <c r="F2972" s="3">
        <v>2849466</v>
      </c>
      <c r="G2972" s="1" t="s">
        <v>13</v>
      </c>
      <c r="H2972" s="1" t="b">
        <f t="shared" si="109"/>
        <v>0</v>
      </c>
    </row>
    <row r="2973" spans="1:8" ht="21" x14ac:dyDescent="0.25">
      <c r="A2973" s="2" t="str">
        <f>HYPERLINK("https://rth.dk/resources/bsgatlas/details.php?id=BSGatlas-operon-1573","BSGatlas-operon-1573")</f>
        <v>BSGatlas-operon-1573</v>
      </c>
      <c r="B2973" s="2" t="str">
        <f>HYPERLINK("https://rth.dk/resources/bsgatlas/details.php?id=BSGatlas-gene-3273","BSGatlas-gene-3273")</f>
        <v>BSGatlas-gene-3273</v>
      </c>
      <c r="C2973" s="1" t="s">
        <v>2947</v>
      </c>
      <c r="D2973" s="1" t="s">
        <v>8</v>
      </c>
      <c r="E2973" s="3">
        <v>2849569</v>
      </c>
      <c r="F2973" s="3">
        <v>2850756</v>
      </c>
      <c r="G2973" s="1" t="s">
        <v>9</v>
      </c>
      <c r="H2973" s="1" t="b">
        <f t="shared" si="109"/>
        <v>1</v>
      </c>
    </row>
    <row r="2974" spans="1:8" ht="21" x14ac:dyDescent="0.25">
      <c r="A2974" s="2" t="str">
        <f>HYPERLINK("https://rth.dk/resources/bsgatlas/details.php?id=BSGatlas-operon-1573","BSGatlas-operon-1573")</f>
        <v>BSGatlas-operon-1573</v>
      </c>
      <c r="B2974" s="2" t="str">
        <f>HYPERLINK("https://rth.dk/resources/bsgatlas/details.php?id=BSGatlas-gene-3274","BSGatlas-gene-3274")</f>
        <v>BSGatlas-gene-3274</v>
      </c>
      <c r="C2974" s="1" t="s">
        <v>2948</v>
      </c>
      <c r="D2974" s="1" t="s">
        <v>8</v>
      </c>
      <c r="E2974" s="3">
        <v>2850716</v>
      </c>
      <c r="F2974" s="3">
        <v>2851258</v>
      </c>
      <c r="G2974" s="1" t="s">
        <v>9</v>
      </c>
      <c r="H2974" s="1" t="b">
        <f t="shared" si="109"/>
        <v>1</v>
      </c>
    </row>
    <row r="2975" spans="1:8" ht="21" x14ac:dyDescent="0.25">
      <c r="A2975" s="2" t="str">
        <f>HYPERLINK("https://rth.dk/resources/bsgatlas/details.php?id=BSGatlas-operon-1574","BSGatlas-operon-1574")</f>
        <v>BSGatlas-operon-1574</v>
      </c>
      <c r="B2975" s="2" t="str">
        <f>HYPERLINK("https://rth.dk/resources/bsgatlas/details.php?id=BSGatlas-gene-3275","BSGatlas-gene-3275")</f>
        <v>BSGatlas-gene-3275</v>
      </c>
      <c r="C2975" s="1" t="s">
        <v>2949</v>
      </c>
      <c r="D2975" s="1" t="s">
        <v>8</v>
      </c>
      <c r="E2975" s="3">
        <v>2851283</v>
      </c>
      <c r="F2975" s="3">
        <v>2852140</v>
      </c>
      <c r="G2975" s="1" t="s">
        <v>13</v>
      </c>
      <c r="H2975" s="1" t="b">
        <f t="shared" si="109"/>
        <v>0</v>
      </c>
    </row>
    <row r="2976" spans="1:8" ht="21" x14ac:dyDescent="0.25">
      <c r="A2976" s="2" t="str">
        <f>HYPERLINK("https://rth.dk/resources/bsgatlas/details.php?id=BSGatlas-operon-1574","BSGatlas-operon-1574")</f>
        <v>BSGatlas-operon-1574</v>
      </c>
      <c r="B2976" s="2" t="str">
        <f>HYPERLINK("https://rth.dk/resources/bsgatlas/details.php?id=BSGatlas-gene-3276","BSGatlas-gene-3276")</f>
        <v>BSGatlas-gene-3276</v>
      </c>
      <c r="C2976" s="1" t="s">
        <v>2950</v>
      </c>
      <c r="D2976" s="1" t="s">
        <v>8</v>
      </c>
      <c r="E2976" s="3">
        <v>2852157</v>
      </c>
      <c r="F2976" s="3">
        <v>2852600</v>
      </c>
      <c r="G2976" s="1" t="s">
        <v>13</v>
      </c>
      <c r="H2976" s="1" t="b">
        <f t="shared" si="109"/>
        <v>0</v>
      </c>
    </row>
    <row r="2977" spans="1:8" ht="21" x14ac:dyDescent="0.25">
      <c r="A2977" s="2" t="str">
        <f>HYPERLINK("https://rth.dk/resources/bsgatlas/details.php?id=BSGatlas-operon-1574","BSGatlas-operon-1574")</f>
        <v>BSGatlas-operon-1574</v>
      </c>
      <c r="B2977" s="2" t="str">
        <f>HYPERLINK("https://rth.dk/resources/bsgatlas/details.php?id=BSGatlas-gene-3277","BSGatlas-gene-3277")</f>
        <v>BSGatlas-gene-3277</v>
      </c>
      <c r="C2977" s="1" t="s">
        <v>2951</v>
      </c>
      <c r="D2977" s="1" t="s">
        <v>8</v>
      </c>
      <c r="E2977" s="3">
        <v>2852661</v>
      </c>
      <c r="F2977" s="3">
        <v>2853947</v>
      </c>
      <c r="G2977" s="1" t="s">
        <v>13</v>
      </c>
      <c r="H2977" s="1" t="b">
        <f t="shared" si="109"/>
        <v>0</v>
      </c>
    </row>
    <row r="2978" spans="1:8" ht="21" x14ac:dyDescent="0.25">
      <c r="A2978" s="2" t="str">
        <f>HYPERLINK("https://rth.dk/resources/bsgatlas/details.php?id=BSGatlas-operon-1574","BSGatlas-operon-1574")</f>
        <v>BSGatlas-operon-1574</v>
      </c>
      <c r="B2978" s="2" t="str">
        <f>HYPERLINK("https://rth.dk/resources/bsgatlas/details.php?id=BSGatlas-gene-3278","BSGatlas-gene-3278")</f>
        <v>BSGatlas-gene-3278</v>
      </c>
      <c r="C2978" s="1" t="s">
        <v>2952</v>
      </c>
      <c r="D2978" s="1" t="s">
        <v>8</v>
      </c>
      <c r="E2978" s="3">
        <v>2853981</v>
      </c>
      <c r="F2978" s="3">
        <v>2854559</v>
      </c>
      <c r="G2978" s="1" t="s">
        <v>13</v>
      </c>
      <c r="H2978" s="1" t="b">
        <f t="shared" si="109"/>
        <v>0</v>
      </c>
    </row>
    <row r="2979" spans="1:8" ht="21" x14ac:dyDescent="0.25">
      <c r="A2979" s="2" t="str">
        <f t="shared" ref="A2979:A2984" si="111">HYPERLINK("https://rth.dk/resources/bsgatlas/details.php?id=BSGatlas-operon-1575","BSGatlas-operon-1575")</f>
        <v>BSGatlas-operon-1575</v>
      </c>
      <c r="B2979" s="2" t="str">
        <f>HYPERLINK("https://rth.dk/resources/bsgatlas/details.php?id=BSGatlas-gene-3280","BSGatlas-gene-3280")</f>
        <v>BSGatlas-gene-3280</v>
      </c>
      <c r="C2979" s="1" t="s">
        <v>2953</v>
      </c>
      <c r="D2979" s="1" t="s">
        <v>8</v>
      </c>
      <c r="E2979" s="3">
        <v>2854880</v>
      </c>
      <c r="F2979" s="3">
        <v>2855164</v>
      </c>
      <c r="G2979" s="1" t="s">
        <v>13</v>
      </c>
      <c r="H2979" s="1" t="b">
        <f t="shared" si="109"/>
        <v>1</v>
      </c>
    </row>
    <row r="2980" spans="1:8" ht="21" x14ac:dyDescent="0.25">
      <c r="A2980" s="2" t="str">
        <f t="shared" si="111"/>
        <v>BSGatlas-operon-1575</v>
      </c>
      <c r="B2980" s="2" t="str">
        <f>HYPERLINK("https://rth.dk/resources/bsgatlas/details.php?id=BSGatlas-gene-3281","BSGatlas-gene-3281")</f>
        <v>BSGatlas-gene-3281</v>
      </c>
      <c r="C2980" s="1" t="s">
        <v>2954</v>
      </c>
      <c r="D2980" s="1" t="s">
        <v>8</v>
      </c>
      <c r="E2980" s="3">
        <v>2855177</v>
      </c>
      <c r="F2980" s="3">
        <v>2855515</v>
      </c>
      <c r="G2980" s="1" t="s">
        <v>13</v>
      </c>
      <c r="H2980" s="1" t="b">
        <f t="shared" si="109"/>
        <v>1</v>
      </c>
    </row>
    <row r="2981" spans="1:8" ht="21" x14ac:dyDescent="0.25">
      <c r="A2981" s="2" t="str">
        <f t="shared" si="111"/>
        <v>BSGatlas-operon-1575</v>
      </c>
      <c r="B2981" s="2" t="str">
        <f>HYPERLINK("https://rth.dk/resources/bsgatlas/details.php?id=BSGatlas-gene-3282","BSGatlas-gene-3282")</f>
        <v>BSGatlas-gene-3282</v>
      </c>
      <c r="C2981" s="1" t="s">
        <v>2955</v>
      </c>
      <c r="D2981" s="1" t="s">
        <v>8</v>
      </c>
      <c r="E2981" s="3">
        <v>2855518</v>
      </c>
      <c r="F2981" s="3">
        <v>2855826</v>
      </c>
      <c r="G2981" s="1" t="s">
        <v>13</v>
      </c>
      <c r="H2981" s="1" t="b">
        <f t="shared" si="109"/>
        <v>1</v>
      </c>
    </row>
    <row r="2982" spans="1:8" ht="21" x14ac:dyDescent="0.25">
      <c r="A2982" s="2" t="str">
        <f t="shared" si="111"/>
        <v>BSGatlas-operon-1575</v>
      </c>
      <c r="B2982" s="2" t="str">
        <f>HYPERLINK("https://rth.dk/resources/bsgatlas/details.php?id=BSGatlas-gene-3283","BSGatlas-gene-3283")</f>
        <v>BSGatlas-gene-3283</v>
      </c>
      <c r="C2982" s="1" t="s">
        <v>2956</v>
      </c>
      <c r="D2982" s="1" t="s">
        <v>34</v>
      </c>
      <c r="E2982" s="3">
        <v>2855839</v>
      </c>
      <c r="F2982" s="3">
        <v>2855915</v>
      </c>
      <c r="G2982" s="1" t="s">
        <v>13</v>
      </c>
      <c r="H2982" s="1" t="b">
        <f t="shared" si="109"/>
        <v>1</v>
      </c>
    </row>
    <row r="2983" spans="1:8" ht="21" x14ac:dyDescent="0.25">
      <c r="A2983" s="2" t="str">
        <f t="shared" si="111"/>
        <v>BSGatlas-operon-1575</v>
      </c>
      <c r="B2983" s="2" t="str">
        <f>HYPERLINK("https://rth.dk/resources/bsgatlas/details.php?id=BSGatlas-gene-3284","BSGatlas-gene-3284")</f>
        <v>BSGatlas-gene-3284</v>
      </c>
      <c r="C2983" s="1" t="s">
        <v>2957</v>
      </c>
      <c r="D2983" s="1" t="s">
        <v>8</v>
      </c>
      <c r="E2983" s="3">
        <v>2855973</v>
      </c>
      <c r="F2983" s="3">
        <v>2856839</v>
      </c>
      <c r="G2983" s="1" t="s">
        <v>13</v>
      </c>
      <c r="H2983" s="1" t="b">
        <f t="shared" si="109"/>
        <v>1</v>
      </c>
    </row>
    <row r="2984" spans="1:8" ht="21" x14ac:dyDescent="0.25">
      <c r="A2984" s="2" t="str">
        <f t="shared" si="111"/>
        <v>BSGatlas-operon-1575</v>
      </c>
      <c r="B2984" s="2" t="str">
        <f>HYPERLINK("https://rth.dk/resources/bsgatlas/details.php?id=BSGatlas-gene-3285","BSGatlas-gene-3285")</f>
        <v>BSGatlas-gene-3285</v>
      </c>
      <c r="C2984" s="1" t="s">
        <v>2958</v>
      </c>
      <c r="D2984" s="1" t="s">
        <v>8</v>
      </c>
      <c r="E2984" s="3">
        <v>2856832</v>
      </c>
      <c r="F2984" s="3">
        <v>2857626</v>
      </c>
      <c r="G2984" s="1" t="s">
        <v>13</v>
      </c>
      <c r="H2984" s="1" t="b">
        <f t="shared" si="109"/>
        <v>1</v>
      </c>
    </row>
    <row r="2985" spans="1:8" ht="21" x14ac:dyDescent="0.25">
      <c r="A2985" s="2" t="str">
        <f t="shared" ref="A2985:A2991" si="112">HYPERLINK("https://rth.dk/resources/bsgatlas/details.php?id=BSGatlas-operon-1576","BSGatlas-operon-1576")</f>
        <v>BSGatlas-operon-1576</v>
      </c>
      <c r="B2985" s="2" t="str">
        <f>HYPERLINK("https://rth.dk/resources/bsgatlas/details.php?id=BSGatlas-gene-3286","BSGatlas-gene-3286")</f>
        <v>BSGatlas-gene-3286</v>
      </c>
      <c r="C2985" s="1" t="s">
        <v>2959</v>
      </c>
      <c r="D2985" s="1" t="s">
        <v>8</v>
      </c>
      <c r="E2985" s="3">
        <v>2857776</v>
      </c>
      <c r="F2985" s="3">
        <v>2858582</v>
      </c>
      <c r="G2985" s="1" t="s">
        <v>13</v>
      </c>
      <c r="H2985" s="1" t="b">
        <f t="shared" si="109"/>
        <v>0</v>
      </c>
    </row>
    <row r="2986" spans="1:8" ht="21" x14ac:dyDescent="0.25">
      <c r="A2986" s="2" t="str">
        <f t="shared" si="112"/>
        <v>BSGatlas-operon-1576</v>
      </c>
      <c r="B2986" s="2" t="str">
        <f>HYPERLINK("https://rth.dk/resources/bsgatlas/details.php?id=BSGatlas-gene-3287","BSGatlas-gene-3287")</f>
        <v>BSGatlas-gene-3287</v>
      </c>
      <c r="C2986" s="1" t="s">
        <v>2960</v>
      </c>
      <c r="D2986" s="1" t="s">
        <v>8</v>
      </c>
      <c r="E2986" s="3">
        <v>2858584</v>
      </c>
      <c r="F2986" s="3">
        <v>2859264</v>
      </c>
      <c r="G2986" s="1" t="s">
        <v>13</v>
      </c>
      <c r="H2986" s="1" t="b">
        <f t="shared" si="109"/>
        <v>0</v>
      </c>
    </row>
    <row r="2987" spans="1:8" ht="21" x14ac:dyDescent="0.25">
      <c r="A2987" s="2" t="str">
        <f t="shared" si="112"/>
        <v>BSGatlas-operon-1576</v>
      </c>
      <c r="B2987" s="2" t="str">
        <f>HYPERLINK("https://rth.dk/resources/bsgatlas/details.php?id=BSGatlas-gene-3288","BSGatlas-gene-3288")</f>
        <v>BSGatlas-gene-3288</v>
      </c>
      <c r="C2987" s="1" t="s">
        <v>2961</v>
      </c>
      <c r="D2987" s="1" t="s">
        <v>8</v>
      </c>
      <c r="E2987" s="3">
        <v>2859317</v>
      </c>
      <c r="F2987" s="3">
        <v>2859835</v>
      </c>
      <c r="G2987" s="1" t="s">
        <v>13</v>
      </c>
      <c r="H2987" s="1" t="b">
        <f t="shared" si="109"/>
        <v>0</v>
      </c>
    </row>
    <row r="2988" spans="1:8" ht="21" x14ac:dyDescent="0.25">
      <c r="A2988" s="2" t="str">
        <f t="shared" si="112"/>
        <v>BSGatlas-operon-1576</v>
      </c>
      <c r="B2988" s="2" t="str">
        <f>HYPERLINK("https://rth.dk/resources/bsgatlas/details.php?id=BSGatlas-gene-3289","BSGatlas-gene-3289")</f>
        <v>BSGatlas-gene-3289</v>
      </c>
      <c r="C2988" s="1" t="s">
        <v>2962</v>
      </c>
      <c r="D2988" s="1" t="s">
        <v>8</v>
      </c>
      <c r="E2988" s="3">
        <v>2859832</v>
      </c>
      <c r="F2988" s="3">
        <v>2860704</v>
      </c>
      <c r="G2988" s="1" t="s">
        <v>13</v>
      </c>
      <c r="H2988" s="1" t="b">
        <f t="shared" si="109"/>
        <v>0</v>
      </c>
    </row>
    <row r="2989" spans="1:8" ht="21" x14ac:dyDescent="0.25">
      <c r="A2989" s="2" t="str">
        <f t="shared" si="112"/>
        <v>BSGatlas-operon-1576</v>
      </c>
      <c r="B2989" s="2" t="str">
        <f>HYPERLINK("https://rth.dk/resources/bsgatlas/details.php?id=BSGatlas-gene-3290","BSGatlas-gene-3290")</f>
        <v>BSGatlas-gene-3290</v>
      </c>
      <c r="C2989" s="1" t="s">
        <v>2963</v>
      </c>
      <c r="D2989" s="1" t="s">
        <v>8</v>
      </c>
      <c r="E2989" s="3">
        <v>2860735</v>
      </c>
      <c r="F2989" s="3">
        <v>2861748</v>
      </c>
      <c r="G2989" s="1" t="s">
        <v>13</v>
      </c>
      <c r="H2989" s="1" t="b">
        <f t="shared" si="109"/>
        <v>0</v>
      </c>
    </row>
    <row r="2990" spans="1:8" ht="21" x14ac:dyDescent="0.25">
      <c r="A2990" s="2" t="str">
        <f t="shared" si="112"/>
        <v>BSGatlas-operon-1576</v>
      </c>
      <c r="B2990" s="2" t="str">
        <f>HYPERLINK("https://rth.dk/resources/bsgatlas/details.php?id=BSGatlas-gene-3291","BSGatlas-gene-3291")</f>
        <v>BSGatlas-gene-3291</v>
      </c>
      <c r="C2990" s="1" t="s">
        <v>2964</v>
      </c>
      <c r="D2990" s="1" t="s">
        <v>8</v>
      </c>
      <c r="E2990" s="3">
        <v>2861840</v>
      </c>
      <c r="F2990" s="3">
        <v>2862535</v>
      </c>
      <c r="G2990" s="1" t="s">
        <v>13</v>
      </c>
      <c r="H2990" s="1" t="b">
        <f t="shared" si="109"/>
        <v>0</v>
      </c>
    </row>
    <row r="2991" spans="1:8" ht="21" x14ac:dyDescent="0.25">
      <c r="A2991" s="2" t="str">
        <f t="shared" si="112"/>
        <v>BSGatlas-operon-1576</v>
      </c>
      <c r="B2991" s="2" t="str">
        <f>HYPERLINK("https://rth.dk/resources/bsgatlas/details.php?id=BSGatlas-gene-3292","BSGatlas-gene-3292")</f>
        <v>BSGatlas-gene-3292</v>
      </c>
      <c r="C2991" s="1" t="s">
        <v>2965</v>
      </c>
      <c r="D2991" s="1" t="s">
        <v>8</v>
      </c>
      <c r="E2991" s="3">
        <v>2862572</v>
      </c>
      <c r="F2991" s="3">
        <v>2863141</v>
      </c>
      <c r="G2991" s="1" t="s">
        <v>13</v>
      </c>
      <c r="H2991" s="1" t="b">
        <f t="shared" si="109"/>
        <v>0</v>
      </c>
    </row>
    <row r="2992" spans="1:8" ht="21" x14ac:dyDescent="0.25">
      <c r="A2992" s="2" t="str">
        <f>HYPERLINK("https://rth.dk/resources/bsgatlas/details.php?id=BSGatlas-operon-1577","BSGatlas-operon-1577")</f>
        <v>BSGatlas-operon-1577</v>
      </c>
      <c r="B2992" s="2" t="str">
        <f>HYPERLINK("https://rth.dk/resources/bsgatlas/details.php?id=BSGatlas-gene-3293","BSGatlas-gene-3293")</f>
        <v>BSGatlas-gene-3293</v>
      </c>
      <c r="C2992" s="1" t="s">
        <v>2966</v>
      </c>
      <c r="D2992" s="1" t="s">
        <v>8</v>
      </c>
      <c r="E2992" s="3">
        <v>2863294</v>
      </c>
      <c r="F2992" s="3">
        <v>2864292</v>
      </c>
      <c r="G2992" s="1" t="s">
        <v>13</v>
      </c>
      <c r="H2992" s="1" t="b">
        <f t="shared" si="109"/>
        <v>1</v>
      </c>
    </row>
    <row r="2993" spans="1:8" ht="21" x14ac:dyDescent="0.25">
      <c r="A2993" s="2" t="str">
        <f>HYPERLINK("https://rth.dk/resources/bsgatlas/details.php?id=BSGatlas-operon-1578","BSGatlas-operon-1578")</f>
        <v>BSGatlas-operon-1578</v>
      </c>
      <c r="B2993" s="2" t="str">
        <f>HYPERLINK("https://rth.dk/resources/bsgatlas/details.php?id=BSGatlas-gene-3294","BSGatlas-gene-3294")</f>
        <v>BSGatlas-gene-3294</v>
      </c>
      <c r="C2993" s="1" t="s">
        <v>2967</v>
      </c>
      <c r="D2993" s="1" t="s">
        <v>8</v>
      </c>
      <c r="E2993" s="3">
        <v>2864426</v>
      </c>
      <c r="F2993" s="3">
        <v>2865172</v>
      </c>
      <c r="G2993" s="1" t="s">
        <v>13</v>
      </c>
      <c r="H2993" s="1" t="b">
        <f t="shared" si="109"/>
        <v>0</v>
      </c>
    </row>
    <row r="2994" spans="1:8" ht="21" x14ac:dyDescent="0.25">
      <c r="A2994" s="2" t="str">
        <f>HYPERLINK("https://rth.dk/resources/bsgatlas/details.php?id=BSGatlas-operon-1579","BSGatlas-operon-1579")</f>
        <v>BSGatlas-operon-1579</v>
      </c>
      <c r="B2994" s="2" t="str">
        <f>HYPERLINK("https://rth.dk/resources/bsgatlas/details.php?id=BSGatlas-gene-3295","BSGatlas-gene-3295")</f>
        <v>BSGatlas-gene-3295</v>
      </c>
      <c r="C2994" s="1" t="s">
        <v>2968</v>
      </c>
      <c r="D2994" s="1" t="s">
        <v>8</v>
      </c>
      <c r="E2994" s="3">
        <v>2865312</v>
      </c>
      <c r="F2994" s="3">
        <v>2866604</v>
      </c>
      <c r="G2994" s="1" t="s">
        <v>13</v>
      </c>
      <c r="H2994" s="1" t="b">
        <f t="shared" si="109"/>
        <v>1</v>
      </c>
    </row>
    <row r="2995" spans="1:8" ht="21" x14ac:dyDescent="0.25">
      <c r="A2995" s="2" t="str">
        <f>HYPERLINK("https://rth.dk/resources/bsgatlas/details.php?id=BSGatlas-operon-1579","BSGatlas-operon-1579")</f>
        <v>BSGatlas-operon-1579</v>
      </c>
      <c r="B2995" s="2" t="str">
        <f>HYPERLINK("https://rth.dk/resources/bsgatlas/details.php?id=BSGatlas-gene-3296","BSGatlas-gene-3296")</f>
        <v>BSGatlas-gene-3296</v>
      </c>
      <c r="C2995" s="1" t="s">
        <v>2969</v>
      </c>
      <c r="D2995" s="1" t="s">
        <v>8</v>
      </c>
      <c r="E2995" s="3">
        <v>2866664</v>
      </c>
      <c r="F2995" s="3">
        <v>2869306</v>
      </c>
      <c r="G2995" s="1" t="s">
        <v>13</v>
      </c>
      <c r="H2995" s="1" t="b">
        <f t="shared" si="109"/>
        <v>1</v>
      </c>
    </row>
    <row r="2996" spans="1:8" ht="21" x14ac:dyDescent="0.25">
      <c r="A2996" s="2" t="str">
        <f>HYPERLINK("https://rth.dk/resources/bsgatlas/details.php?id=BSGatlas-operon-1580","BSGatlas-operon-1580")</f>
        <v>BSGatlas-operon-1580</v>
      </c>
      <c r="B2996" s="2" t="str">
        <f>HYPERLINK("https://rth.dk/resources/bsgatlas/details.php?id=BSGatlas-gene-3297","BSGatlas-gene-3297")</f>
        <v>BSGatlas-gene-3297</v>
      </c>
      <c r="C2996" s="1" t="s">
        <v>2970</v>
      </c>
      <c r="D2996" s="1" t="s">
        <v>34</v>
      </c>
      <c r="E2996" s="3">
        <v>2869365</v>
      </c>
      <c r="F2996" s="3">
        <v>2869588</v>
      </c>
      <c r="G2996" s="1" t="s">
        <v>13</v>
      </c>
      <c r="H2996" s="1" t="b">
        <f t="shared" si="109"/>
        <v>0</v>
      </c>
    </row>
    <row r="2997" spans="1:8" ht="21" x14ac:dyDescent="0.25">
      <c r="A2997" s="2" t="str">
        <f>HYPERLINK("https://rth.dk/resources/bsgatlas/details.php?id=BSGatlas-operon-1581","BSGatlas-operon-1581")</f>
        <v>BSGatlas-operon-1581</v>
      </c>
      <c r="B2997" s="2" t="str">
        <f>HYPERLINK("https://rth.dk/resources/bsgatlas/details.php?id=BSGatlas-gene-3298","BSGatlas-gene-3298")</f>
        <v>BSGatlas-gene-3298</v>
      </c>
      <c r="C2997" s="1" t="s">
        <v>2971</v>
      </c>
      <c r="D2997" s="1" t="s">
        <v>8</v>
      </c>
      <c r="E2997" s="3">
        <v>2869754</v>
      </c>
      <c r="F2997" s="3">
        <v>2869945</v>
      </c>
      <c r="G2997" s="1" t="s">
        <v>9</v>
      </c>
      <c r="H2997" s="1" t="b">
        <f t="shared" si="109"/>
        <v>1</v>
      </c>
    </row>
    <row r="2998" spans="1:8" ht="21" x14ac:dyDescent="0.25">
      <c r="A2998" s="2" t="str">
        <f>HYPERLINK("https://rth.dk/resources/bsgatlas/details.php?id=BSGatlas-operon-1582","BSGatlas-operon-1582")</f>
        <v>BSGatlas-operon-1582</v>
      </c>
      <c r="B2998" s="2" t="str">
        <f>HYPERLINK("https://rth.dk/resources/bsgatlas/details.php?id=BSGatlas-gene-3299","BSGatlas-gene-3299")</f>
        <v>BSGatlas-gene-3299</v>
      </c>
      <c r="C2998" s="1" t="s">
        <v>2972</v>
      </c>
      <c r="D2998" s="1" t="s">
        <v>8</v>
      </c>
      <c r="E2998" s="3">
        <v>2869964</v>
      </c>
      <c r="F2998" s="3">
        <v>2870989</v>
      </c>
      <c r="G2998" s="1" t="s">
        <v>13</v>
      </c>
      <c r="H2998" s="1" t="b">
        <f t="shared" si="109"/>
        <v>0</v>
      </c>
    </row>
    <row r="2999" spans="1:8" ht="21" x14ac:dyDescent="0.25">
      <c r="A2999" s="2" t="str">
        <f>HYPERLINK("https://rth.dk/resources/bsgatlas/details.php?id=BSGatlas-operon-1582","BSGatlas-operon-1582")</f>
        <v>BSGatlas-operon-1582</v>
      </c>
      <c r="B2999" s="2" t="str">
        <f>HYPERLINK("https://rth.dk/resources/bsgatlas/details.php?id=BSGatlas-gene-3300","BSGatlas-gene-3300")</f>
        <v>BSGatlas-gene-3300</v>
      </c>
      <c r="C2999" s="1" t="s">
        <v>2973</v>
      </c>
      <c r="D2999" s="1" t="s">
        <v>8</v>
      </c>
      <c r="E2999" s="3">
        <v>2871022</v>
      </c>
      <c r="F2999" s="3">
        <v>2872749</v>
      </c>
      <c r="G2999" s="1" t="s">
        <v>13</v>
      </c>
      <c r="H2999" s="1" t="b">
        <f t="shared" si="109"/>
        <v>0</v>
      </c>
    </row>
    <row r="3000" spans="1:8" ht="21" x14ac:dyDescent="0.25">
      <c r="A3000" s="2" t="str">
        <f t="shared" ref="A3000:A3005" si="113">HYPERLINK("https://rth.dk/resources/bsgatlas/details.php?id=BSGatlas-operon-1583","BSGatlas-operon-1583")</f>
        <v>BSGatlas-operon-1583</v>
      </c>
      <c r="B3000" s="2" t="str">
        <f>HYPERLINK("https://rth.dk/resources/bsgatlas/details.php?id=BSGatlas-gene-3301","BSGatlas-gene-3301")</f>
        <v>BSGatlas-gene-3301</v>
      </c>
      <c r="C3000" s="1" t="s">
        <v>2974</v>
      </c>
      <c r="D3000" s="1" t="s">
        <v>8</v>
      </c>
      <c r="E3000" s="3">
        <v>2872880</v>
      </c>
      <c r="F3000" s="3">
        <v>2874172</v>
      </c>
      <c r="G3000" s="1" t="s">
        <v>13</v>
      </c>
      <c r="H3000" s="1" t="b">
        <f t="shared" si="109"/>
        <v>1</v>
      </c>
    </row>
    <row r="3001" spans="1:8" ht="21" x14ac:dyDescent="0.25">
      <c r="A3001" s="2" t="str">
        <f t="shared" si="113"/>
        <v>BSGatlas-operon-1583</v>
      </c>
      <c r="B3001" s="2" t="str">
        <f>HYPERLINK("https://rth.dk/resources/bsgatlas/details.php?id=BSGatlas-gene-3302","BSGatlas-gene-3302")</f>
        <v>BSGatlas-gene-3302</v>
      </c>
      <c r="C3001" s="1" t="s">
        <v>2975</v>
      </c>
      <c r="D3001" s="1" t="s">
        <v>8</v>
      </c>
      <c r="E3001" s="3">
        <v>2874202</v>
      </c>
      <c r="F3001" s="3">
        <v>2875176</v>
      </c>
      <c r="G3001" s="1" t="s">
        <v>13</v>
      </c>
      <c r="H3001" s="1" t="b">
        <f t="shared" si="109"/>
        <v>1</v>
      </c>
    </row>
    <row r="3002" spans="1:8" ht="21" x14ac:dyDescent="0.25">
      <c r="A3002" s="2" t="str">
        <f t="shared" si="113"/>
        <v>BSGatlas-operon-1583</v>
      </c>
      <c r="B3002" s="2" t="str">
        <f>HYPERLINK("https://rth.dk/resources/bsgatlas/details.php?id=BSGatlas-gene-3303","BSGatlas-gene-3303")</f>
        <v>BSGatlas-gene-3303</v>
      </c>
      <c r="C3002" s="1" t="s">
        <v>2976</v>
      </c>
      <c r="D3002" s="1" t="s">
        <v>8</v>
      </c>
      <c r="E3002" s="3">
        <v>2875173</v>
      </c>
      <c r="F3002" s="3">
        <v>2875961</v>
      </c>
      <c r="G3002" s="1" t="s">
        <v>13</v>
      </c>
      <c r="H3002" s="1" t="b">
        <f t="shared" si="109"/>
        <v>1</v>
      </c>
    </row>
    <row r="3003" spans="1:8" ht="21" x14ac:dyDescent="0.25">
      <c r="A3003" s="2" t="str">
        <f t="shared" si="113"/>
        <v>BSGatlas-operon-1583</v>
      </c>
      <c r="B3003" s="2" t="str">
        <f>HYPERLINK("https://rth.dk/resources/bsgatlas/details.php?id=BSGatlas-gene-3304","BSGatlas-gene-3304")</f>
        <v>BSGatlas-gene-3304</v>
      </c>
      <c r="C3003" s="1" t="s">
        <v>2977</v>
      </c>
      <c r="D3003" s="1" t="s">
        <v>8</v>
      </c>
      <c r="E3003" s="3">
        <v>2875951</v>
      </c>
      <c r="F3003" s="3">
        <v>2876895</v>
      </c>
      <c r="G3003" s="1" t="s">
        <v>13</v>
      </c>
      <c r="H3003" s="1" t="b">
        <f t="shared" si="109"/>
        <v>1</v>
      </c>
    </row>
    <row r="3004" spans="1:8" ht="21" x14ac:dyDescent="0.25">
      <c r="A3004" s="2" t="str">
        <f t="shared" si="113"/>
        <v>BSGatlas-operon-1583</v>
      </c>
      <c r="B3004" s="2" t="str">
        <f>HYPERLINK("https://rth.dk/resources/bsgatlas/details.php?id=BSGatlas-gene-3305","BSGatlas-gene-3305")</f>
        <v>BSGatlas-gene-3305</v>
      </c>
      <c r="C3004" s="1" t="s">
        <v>2978</v>
      </c>
      <c r="D3004" s="1" t="s">
        <v>8</v>
      </c>
      <c r="E3004" s="3">
        <v>2876928</v>
      </c>
      <c r="F3004" s="3">
        <v>2877758</v>
      </c>
      <c r="G3004" s="1" t="s">
        <v>13</v>
      </c>
      <c r="H3004" s="1" t="b">
        <f t="shared" si="109"/>
        <v>1</v>
      </c>
    </row>
    <row r="3005" spans="1:8" ht="21" x14ac:dyDescent="0.25">
      <c r="A3005" s="2" t="str">
        <f t="shared" si="113"/>
        <v>BSGatlas-operon-1583</v>
      </c>
      <c r="B3005" s="2" t="str">
        <f>HYPERLINK("https://rth.dk/resources/bsgatlas/details.php?id=BSGatlas-gene-3306","BSGatlas-gene-3306")</f>
        <v>BSGatlas-gene-3306</v>
      </c>
      <c r="C3005" s="1" t="s">
        <v>2979</v>
      </c>
      <c r="D3005" s="1" t="s">
        <v>8</v>
      </c>
      <c r="E3005" s="3">
        <v>2877766</v>
      </c>
      <c r="F3005" s="3">
        <v>2879133</v>
      </c>
      <c r="G3005" s="1" t="s">
        <v>13</v>
      </c>
      <c r="H3005" s="1" t="b">
        <f t="shared" si="109"/>
        <v>1</v>
      </c>
    </row>
    <row r="3006" spans="1:8" ht="21" x14ac:dyDescent="0.25">
      <c r="A3006" s="2" t="str">
        <f>HYPERLINK("https://rth.dk/resources/bsgatlas/details.php?id=BSGatlas-operon-1584","BSGatlas-operon-1584")</f>
        <v>BSGatlas-operon-1584</v>
      </c>
      <c r="B3006" s="2" t="str">
        <f>HYPERLINK("https://rth.dk/resources/bsgatlas/details.php?id=BSGatlas-gene-3307","BSGatlas-gene-3307")</f>
        <v>BSGatlas-gene-3307</v>
      </c>
      <c r="C3006" s="1" t="s">
        <v>2980</v>
      </c>
      <c r="D3006" s="1" t="s">
        <v>8</v>
      </c>
      <c r="E3006" s="3">
        <v>2879363</v>
      </c>
      <c r="F3006" s="3">
        <v>2879860</v>
      </c>
      <c r="G3006" s="1" t="s">
        <v>9</v>
      </c>
      <c r="H3006" s="1" t="b">
        <f t="shared" si="109"/>
        <v>0</v>
      </c>
    </row>
    <row r="3007" spans="1:8" ht="21" x14ac:dyDescent="0.25">
      <c r="A3007" s="2" t="str">
        <f>HYPERLINK("https://rth.dk/resources/bsgatlas/details.php?id=BSGatlas-operon-1585","BSGatlas-operon-1585")</f>
        <v>BSGatlas-operon-1585</v>
      </c>
      <c r="B3007" s="2" t="str">
        <f>HYPERLINK("https://rth.dk/resources/bsgatlas/details.php?id=BSGatlas-gene-3308","BSGatlas-gene-3308")</f>
        <v>BSGatlas-gene-3308</v>
      </c>
      <c r="C3007" s="1" t="s">
        <v>2981</v>
      </c>
      <c r="D3007" s="1" t="s">
        <v>8</v>
      </c>
      <c r="E3007" s="3">
        <v>2879882</v>
      </c>
      <c r="F3007" s="3">
        <v>2880469</v>
      </c>
      <c r="G3007" s="1" t="s">
        <v>13</v>
      </c>
      <c r="H3007" s="1" t="b">
        <f t="shared" si="109"/>
        <v>1</v>
      </c>
    </row>
    <row r="3008" spans="1:8" ht="21" x14ac:dyDescent="0.25">
      <c r="A3008" s="2" t="str">
        <f>HYPERLINK("https://rth.dk/resources/bsgatlas/details.php?id=BSGatlas-operon-1585","BSGatlas-operon-1585")</f>
        <v>BSGatlas-operon-1585</v>
      </c>
      <c r="B3008" s="2" t="str">
        <f>HYPERLINK("https://rth.dk/resources/bsgatlas/details.php?id=BSGatlas-gene-3309","BSGatlas-gene-3309")</f>
        <v>BSGatlas-gene-3309</v>
      </c>
      <c r="C3008" s="1" t="s">
        <v>2982</v>
      </c>
      <c r="D3008" s="1" t="s">
        <v>8</v>
      </c>
      <c r="E3008" s="3">
        <v>2880466</v>
      </c>
      <c r="F3008" s="3">
        <v>2882790</v>
      </c>
      <c r="G3008" s="1" t="s">
        <v>13</v>
      </c>
      <c r="H3008" s="1" t="b">
        <f t="shared" si="109"/>
        <v>1</v>
      </c>
    </row>
    <row r="3009" spans="1:8" ht="21" x14ac:dyDescent="0.25">
      <c r="A3009" s="2" t="str">
        <f>HYPERLINK("https://rth.dk/resources/bsgatlas/details.php?id=BSGatlas-operon-1586","BSGatlas-operon-1586")</f>
        <v>BSGatlas-operon-1586</v>
      </c>
      <c r="B3009" s="2" t="str">
        <f>HYPERLINK("https://rth.dk/resources/bsgatlas/details.php?id=BSGatlas-gene-3310","BSGatlas-gene-3310")</f>
        <v>BSGatlas-gene-3310</v>
      </c>
      <c r="C3009" s="1" t="s">
        <v>2983</v>
      </c>
      <c r="D3009" s="1" t="s">
        <v>8</v>
      </c>
      <c r="E3009" s="3">
        <v>2882971</v>
      </c>
      <c r="F3009" s="3">
        <v>2884629</v>
      </c>
      <c r="G3009" s="1" t="s">
        <v>13</v>
      </c>
      <c r="H3009" s="1" t="b">
        <f t="shared" si="109"/>
        <v>0</v>
      </c>
    </row>
    <row r="3010" spans="1:8" ht="21" x14ac:dyDescent="0.25">
      <c r="A3010" s="2" t="str">
        <f>HYPERLINK("https://rth.dk/resources/bsgatlas/details.php?id=BSGatlas-operon-1587","BSGatlas-operon-1587")</f>
        <v>BSGatlas-operon-1587</v>
      </c>
      <c r="B3010" s="2" t="str">
        <f>HYPERLINK("https://rth.dk/resources/bsgatlas/details.php?id=BSGatlas-gene-3311","BSGatlas-gene-3311")</f>
        <v>BSGatlas-gene-3311</v>
      </c>
      <c r="C3010" s="1" t="s">
        <v>2984</v>
      </c>
      <c r="D3010" s="1" t="s">
        <v>8</v>
      </c>
      <c r="E3010" s="3">
        <v>2884781</v>
      </c>
      <c r="F3010" s="3">
        <v>2886043</v>
      </c>
      <c r="G3010" s="1" t="s">
        <v>13</v>
      </c>
      <c r="H3010" s="1" t="b">
        <f t="shared" ref="H3010:H3073" si="114">_xlfn.XOR(A3009&lt;&gt;A3010,H3009)</f>
        <v>1</v>
      </c>
    </row>
    <row r="3011" spans="1:8" ht="21" x14ac:dyDescent="0.25">
      <c r="A3011" s="2" t="str">
        <f>HYPERLINK("https://rth.dk/resources/bsgatlas/details.php?id=BSGatlas-operon-1588","BSGatlas-operon-1588")</f>
        <v>BSGatlas-operon-1588</v>
      </c>
      <c r="B3011" s="2" t="str">
        <f>HYPERLINK("https://rth.dk/resources/bsgatlas/details.php?id=BSGatlas-gene-3312","BSGatlas-gene-3312")</f>
        <v>BSGatlas-gene-3312</v>
      </c>
      <c r="C3011" s="1" t="s">
        <v>2985</v>
      </c>
      <c r="D3011" s="1" t="s">
        <v>8</v>
      </c>
      <c r="E3011" s="3">
        <v>2886315</v>
      </c>
      <c r="F3011" s="3">
        <v>2887589</v>
      </c>
      <c r="G3011" s="1" t="s">
        <v>13</v>
      </c>
      <c r="H3011" s="1" t="b">
        <f t="shared" si="114"/>
        <v>0</v>
      </c>
    </row>
    <row r="3012" spans="1:8" ht="21" x14ac:dyDescent="0.25">
      <c r="A3012" s="2" t="str">
        <f>HYPERLINK("https://rth.dk/resources/bsgatlas/details.php?id=BSGatlas-operon-1589","BSGatlas-operon-1589")</f>
        <v>BSGatlas-operon-1589</v>
      </c>
      <c r="B3012" s="2" t="str">
        <f>HYPERLINK("https://rth.dk/resources/bsgatlas/details.php?id=BSGatlas-gene-3313","BSGatlas-gene-3313")</f>
        <v>BSGatlas-gene-3313</v>
      </c>
      <c r="C3012" s="1" t="s">
        <v>2986</v>
      </c>
      <c r="D3012" s="1" t="s">
        <v>8</v>
      </c>
      <c r="E3012" s="3">
        <v>2887817</v>
      </c>
      <c r="F3012" s="3">
        <v>2888821</v>
      </c>
      <c r="G3012" s="1" t="s">
        <v>13</v>
      </c>
      <c r="H3012" s="1" t="b">
        <f t="shared" si="114"/>
        <v>1</v>
      </c>
    </row>
    <row r="3013" spans="1:8" ht="21" x14ac:dyDescent="0.25">
      <c r="A3013" s="2" t="str">
        <f t="shared" ref="A3013:A3019" si="115">HYPERLINK("https://rth.dk/resources/bsgatlas/details.php?id=BSGatlas-operon-1590","BSGatlas-operon-1590")</f>
        <v>BSGatlas-operon-1590</v>
      </c>
      <c r="B3013" s="2" t="str">
        <f>HYPERLINK("https://rth.dk/resources/bsgatlas/details.php?id=BSGatlas-gene-3314","BSGatlas-gene-3314")</f>
        <v>BSGatlas-gene-3314</v>
      </c>
      <c r="C3013" s="1" t="s">
        <v>2987</v>
      </c>
      <c r="D3013" s="1" t="s">
        <v>8</v>
      </c>
      <c r="E3013" s="3">
        <v>2888940</v>
      </c>
      <c r="F3013" s="3">
        <v>2889539</v>
      </c>
      <c r="G3013" s="1" t="s">
        <v>13</v>
      </c>
      <c r="H3013" s="1" t="b">
        <f t="shared" si="114"/>
        <v>0</v>
      </c>
    </row>
    <row r="3014" spans="1:8" ht="21" x14ac:dyDescent="0.25">
      <c r="A3014" s="2" t="str">
        <f t="shared" si="115"/>
        <v>BSGatlas-operon-1590</v>
      </c>
      <c r="B3014" s="2" t="str">
        <f>HYPERLINK("https://rth.dk/resources/bsgatlas/details.php?id=BSGatlas-gene-3315","BSGatlas-gene-3315")</f>
        <v>BSGatlas-gene-3315</v>
      </c>
      <c r="C3014" s="1" t="s">
        <v>2988</v>
      </c>
      <c r="D3014" s="1" t="s">
        <v>8</v>
      </c>
      <c r="E3014" s="3">
        <v>2889552</v>
      </c>
      <c r="F3014" s="3">
        <v>2890970</v>
      </c>
      <c r="G3014" s="1" t="s">
        <v>13</v>
      </c>
      <c r="H3014" s="1" t="b">
        <f t="shared" si="114"/>
        <v>0</v>
      </c>
    </row>
    <row r="3015" spans="1:8" ht="21" x14ac:dyDescent="0.25">
      <c r="A3015" s="2" t="str">
        <f t="shared" si="115"/>
        <v>BSGatlas-operon-1590</v>
      </c>
      <c r="B3015" s="2" t="str">
        <f>HYPERLINK("https://rth.dk/resources/bsgatlas/details.php?id=BSGatlas-gene-3316","BSGatlas-gene-3316")</f>
        <v>BSGatlas-gene-3316</v>
      </c>
      <c r="C3015" s="1" t="s">
        <v>2989</v>
      </c>
      <c r="D3015" s="1" t="s">
        <v>8</v>
      </c>
      <c r="E3015" s="3">
        <v>2891020</v>
      </c>
      <c r="F3015" s="3">
        <v>2892117</v>
      </c>
      <c r="G3015" s="1" t="s">
        <v>13</v>
      </c>
      <c r="H3015" s="1" t="b">
        <f t="shared" si="114"/>
        <v>0</v>
      </c>
    </row>
    <row r="3016" spans="1:8" ht="21" x14ac:dyDescent="0.25">
      <c r="A3016" s="2" t="str">
        <f t="shared" si="115"/>
        <v>BSGatlas-operon-1590</v>
      </c>
      <c r="B3016" s="2" t="str">
        <f>HYPERLINK("https://rth.dk/resources/bsgatlas/details.php?id=BSGatlas-gene-3317","BSGatlas-gene-3317")</f>
        <v>BSGatlas-gene-3317</v>
      </c>
      <c r="C3016" s="1" t="s">
        <v>2990</v>
      </c>
      <c r="D3016" s="1" t="s">
        <v>8</v>
      </c>
      <c r="E3016" s="3">
        <v>2892138</v>
      </c>
      <c r="F3016" s="3">
        <v>2893694</v>
      </c>
      <c r="G3016" s="1" t="s">
        <v>13</v>
      </c>
      <c r="H3016" s="1" t="b">
        <f t="shared" si="114"/>
        <v>0</v>
      </c>
    </row>
    <row r="3017" spans="1:8" ht="21" x14ac:dyDescent="0.25">
      <c r="A3017" s="2" t="str">
        <f t="shared" si="115"/>
        <v>BSGatlas-operon-1590</v>
      </c>
      <c r="B3017" s="2" t="str">
        <f>HYPERLINK("https://rth.dk/resources/bsgatlas/details.php?id=BSGatlas-gene-3319","BSGatlas-gene-3319")</f>
        <v>BSGatlas-gene-3319</v>
      </c>
      <c r="C3017" s="1" t="s">
        <v>2991</v>
      </c>
      <c r="D3017" s="1" t="s">
        <v>8</v>
      </c>
      <c r="E3017" s="3">
        <v>2893681</v>
      </c>
      <c r="F3017" s="3">
        <v>2894709</v>
      </c>
      <c r="G3017" s="1" t="s">
        <v>13</v>
      </c>
      <c r="H3017" s="1" t="b">
        <f t="shared" si="114"/>
        <v>0</v>
      </c>
    </row>
    <row r="3018" spans="1:8" ht="21" x14ac:dyDescent="0.25">
      <c r="A3018" s="2" t="str">
        <f t="shared" si="115"/>
        <v>BSGatlas-operon-1590</v>
      </c>
      <c r="B3018" s="2" t="str">
        <f>HYPERLINK("https://rth.dk/resources/bsgatlas/details.php?id=BSGatlas-gene-3320","BSGatlas-gene-3320")</f>
        <v>BSGatlas-gene-3320</v>
      </c>
      <c r="C3018" s="1" t="s">
        <v>2992</v>
      </c>
      <c r="D3018" s="1" t="s">
        <v>8</v>
      </c>
      <c r="E3018" s="3">
        <v>2894733</v>
      </c>
      <c r="F3018" s="3">
        <v>2895251</v>
      </c>
      <c r="G3018" s="1" t="s">
        <v>13</v>
      </c>
      <c r="H3018" s="1" t="b">
        <f t="shared" si="114"/>
        <v>0</v>
      </c>
    </row>
    <row r="3019" spans="1:8" ht="21" x14ac:dyDescent="0.25">
      <c r="A3019" s="2" t="str">
        <f t="shared" si="115"/>
        <v>BSGatlas-operon-1590</v>
      </c>
      <c r="B3019" s="2" t="str">
        <f>HYPERLINK("https://rth.dk/resources/bsgatlas/details.php?id=BSGatlas-gene-3321","BSGatlas-gene-3321")</f>
        <v>BSGatlas-gene-3321</v>
      </c>
      <c r="C3019" s="1" t="s">
        <v>2993</v>
      </c>
      <c r="D3019" s="1" t="s">
        <v>8</v>
      </c>
      <c r="E3019" s="3">
        <v>2895248</v>
      </c>
      <c r="F3019" s="3">
        <v>2896972</v>
      </c>
      <c r="G3019" s="1" t="s">
        <v>13</v>
      </c>
      <c r="H3019" s="1" t="b">
        <f t="shared" si="114"/>
        <v>0</v>
      </c>
    </row>
    <row r="3020" spans="1:8" ht="21" x14ac:dyDescent="0.25">
      <c r="A3020" s="2" t="str">
        <f>HYPERLINK("https://rth.dk/resources/bsgatlas/details.php?id=BSGatlas-operon-1591","BSGatlas-operon-1591")</f>
        <v>BSGatlas-operon-1591</v>
      </c>
      <c r="B3020" s="2" t="str">
        <f>HYPERLINK("https://rth.dk/resources/bsgatlas/details.php?id=BSGatlas-gene-3318","BSGatlas-gene-3318")</f>
        <v>BSGatlas-gene-3318</v>
      </c>
      <c r="C3020" s="1" t="s">
        <v>2994</v>
      </c>
      <c r="D3020" s="1" t="s">
        <v>12</v>
      </c>
      <c r="E3020" s="3">
        <v>2892550</v>
      </c>
      <c r="F3020" s="3">
        <v>2894991</v>
      </c>
      <c r="G3020" s="1" t="s">
        <v>9</v>
      </c>
      <c r="H3020" s="1" t="b">
        <f t="shared" si="114"/>
        <v>1</v>
      </c>
    </row>
    <row r="3021" spans="1:8" ht="21" x14ac:dyDescent="0.25">
      <c r="A3021" s="2" t="str">
        <f>HYPERLINK("https://rth.dk/resources/bsgatlas/details.php?id=BSGatlas-operon-1592","BSGatlas-operon-1592")</f>
        <v>BSGatlas-operon-1592</v>
      </c>
      <c r="B3021" s="2" t="str">
        <f>HYPERLINK("https://rth.dk/resources/bsgatlas/details.php?id=BSGatlas-gene-3322","BSGatlas-gene-3322")</f>
        <v>BSGatlas-gene-3322</v>
      </c>
      <c r="C3021" s="1" t="s">
        <v>2995</v>
      </c>
      <c r="D3021" s="1" t="s">
        <v>34</v>
      </c>
      <c r="E3021" s="3">
        <v>2897093</v>
      </c>
      <c r="F3021" s="3">
        <v>2897340</v>
      </c>
      <c r="G3021" s="1" t="s">
        <v>13</v>
      </c>
      <c r="H3021" s="1" t="b">
        <f t="shared" si="114"/>
        <v>0</v>
      </c>
    </row>
    <row r="3022" spans="1:8" ht="21" x14ac:dyDescent="0.25">
      <c r="A3022" s="2" t="str">
        <f>HYPERLINK("https://rth.dk/resources/bsgatlas/details.php?id=BSGatlas-operon-1593","BSGatlas-operon-1593")</f>
        <v>BSGatlas-operon-1593</v>
      </c>
      <c r="B3022" s="2" t="str">
        <f>HYPERLINK("https://rth.dk/resources/bsgatlas/details.php?id=BSGatlas-gene-3323","BSGatlas-gene-3323")</f>
        <v>BSGatlas-gene-3323</v>
      </c>
      <c r="C3022" s="1" t="s">
        <v>2996</v>
      </c>
      <c r="D3022" s="1" t="s">
        <v>8</v>
      </c>
      <c r="E3022" s="3">
        <v>2897788</v>
      </c>
      <c r="F3022" s="3">
        <v>2898123</v>
      </c>
      <c r="G3022" s="1" t="s">
        <v>9</v>
      </c>
      <c r="H3022" s="1" t="b">
        <f t="shared" si="114"/>
        <v>1</v>
      </c>
    </row>
    <row r="3023" spans="1:8" ht="21" x14ac:dyDescent="0.25">
      <c r="A3023" s="2" t="str">
        <f>HYPERLINK("https://rth.dk/resources/bsgatlas/details.php?id=BSGatlas-operon-1594","BSGatlas-operon-1594")</f>
        <v>BSGatlas-operon-1594</v>
      </c>
      <c r="B3023" s="2" t="str">
        <f>HYPERLINK("https://rth.dk/resources/bsgatlas/details.php?id=BSGatlas-gene-3324","BSGatlas-gene-3324")</f>
        <v>BSGatlas-gene-3324</v>
      </c>
      <c r="C3023" s="1" t="s">
        <v>2997</v>
      </c>
      <c r="D3023" s="1" t="s">
        <v>8</v>
      </c>
      <c r="E3023" s="3">
        <v>2898292</v>
      </c>
      <c r="F3023" s="3">
        <v>2898747</v>
      </c>
      <c r="G3023" s="1" t="s">
        <v>9</v>
      </c>
      <c r="H3023" s="1" t="b">
        <f t="shared" si="114"/>
        <v>0</v>
      </c>
    </row>
    <row r="3024" spans="1:8" ht="21" x14ac:dyDescent="0.25">
      <c r="A3024" s="2" t="str">
        <f>HYPERLINK("https://rth.dk/resources/bsgatlas/details.php?id=BSGatlas-operon-1595","BSGatlas-operon-1595")</f>
        <v>BSGatlas-operon-1595</v>
      </c>
      <c r="B3024" s="2" t="str">
        <f>HYPERLINK("https://rth.dk/resources/bsgatlas/details.php?id=BSGatlas-gene-3325","BSGatlas-gene-3325")</f>
        <v>BSGatlas-gene-3325</v>
      </c>
      <c r="C3024" s="1" t="s">
        <v>2998</v>
      </c>
      <c r="D3024" s="1" t="s">
        <v>8</v>
      </c>
      <c r="E3024" s="3">
        <v>2898931</v>
      </c>
      <c r="F3024" s="3">
        <v>2899752</v>
      </c>
      <c r="G3024" s="1" t="s">
        <v>9</v>
      </c>
      <c r="H3024" s="1" t="b">
        <f t="shared" si="114"/>
        <v>1</v>
      </c>
    </row>
    <row r="3025" spans="1:8" ht="21" x14ac:dyDescent="0.25">
      <c r="A3025" s="2" t="str">
        <f>HYPERLINK("https://rth.dk/resources/bsgatlas/details.php?id=BSGatlas-operon-1596","BSGatlas-operon-1596")</f>
        <v>BSGatlas-operon-1596</v>
      </c>
      <c r="B3025" s="2" t="str">
        <f>HYPERLINK("https://rth.dk/resources/bsgatlas/details.php?id=BSGatlas-gene-3326","BSGatlas-gene-3326")</f>
        <v>BSGatlas-gene-3326</v>
      </c>
      <c r="C3025" s="1" t="s">
        <v>2999</v>
      </c>
      <c r="D3025" s="1" t="s">
        <v>23</v>
      </c>
      <c r="E3025" s="3">
        <v>2899815</v>
      </c>
      <c r="F3025" s="3">
        <v>2899889</v>
      </c>
      <c r="G3025" s="1" t="s">
        <v>13</v>
      </c>
      <c r="H3025" s="1" t="b">
        <f t="shared" si="114"/>
        <v>0</v>
      </c>
    </row>
    <row r="3026" spans="1:8" ht="21" x14ac:dyDescent="0.25">
      <c r="A3026" s="2" t="str">
        <f>HYPERLINK("https://rth.dk/resources/bsgatlas/details.php?id=BSGatlas-operon-1597","BSGatlas-operon-1597")</f>
        <v>BSGatlas-operon-1597</v>
      </c>
      <c r="B3026" s="2" t="str">
        <f>HYPERLINK("https://rth.dk/resources/bsgatlas/details.php?id=BSGatlas-gene-3327","BSGatlas-gene-3327")</f>
        <v>BSGatlas-gene-3327</v>
      </c>
      <c r="C3026" s="1" t="s">
        <v>3000</v>
      </c>
      <c r="D3026" s="1" t="s">
        <v>8</v>
      </c>
      <c r="E3026" s="3">
        <v>2900020</v>
      </c>
      <c r="F3026" s="3">
        <v>2900529</v>
      </c>
      <c r="G3026" s="1" t="s">
        <v>13</v>
      </c>
      <c r="H3026" s="1" t="b">
        <f t="shared" si="114"/>
        <v>1</v>
      </c>
    </row>
    <row r="3027" spans="1:8" ht="21" x14ac:dyDescent="0.25">
      <c r="A3027" s="2" t="str">
        <f>HYPERLINK("https://rth.dk/resources/bsgatlas/details.php?id=BSGatlas-operon-1597","BSGatlas-operon-1597")</f>
        <v>BSGatlas-operon-1597</v>
      </c>
      <c r="B3027" s="2" t="str">
        <f>HYPERLINK("https://rth.dk/resources/bsgatlas/details.php?id=BSGatlas-gene-3328","BSGatlas-gene-3328")</f>
        <v>BSGatlas-gene-3328</v>
      </c>
      <c r="C3027" s="1" t="s">
        <v>3001</v>
      </c>
      <c r="D3027" s="1" t="s">
        <v>8</v>
      </c>
      <c r="E3027" s="3">
        <v>2900545</v>
      </c>
      <c r="F3027" s="3">
        <v>2901141</v>
      </c>
      <c r="G3027" s="1" t="s">
        <v>13</v>
      </c>
      <c r="H3027" s="1" t="b">
        <f t="shared" si="114"/>
        <v>1</v>
      </c>
    </row>
    <row r="3028" spans="1:8" ht="21" x14ac:dyDescent="0.25">
      <c r="A3028" s="2" t="str">
        <f>HYPERLINK("https://rth.dk/resources/bsgatlas/details.php?id=BSGatlas-operon-1597","BSGatlas-operon-1597")</f>
        <v>BSGatlas-operon-1597</v>
      </c>
      <c r="B3028" s="2" t="str">
        <f>HYPERLINK("https://rth.dk/resources/bsgatlas/details.php?id=BSGatlas-gene-3329","BSGatlas-gene-3329")</f>
        <v>BSGatlas-gene-3329</v>
      </c>
      <c r="C3028" s="1" t="s">
        <v>3002</v>
      </c>
      <c r="D3028" s="1" t="s">
        <v>8</v>
      </c>
      <c r="E3028" s="3">
        <v>2901154</v>
      </c>
      <c r="F3028" s="3">
        <v>2901891</v>
      </c>
      <c r="G3028" s="1" t="s">
        <v>13</v>
      </c>
      <c r="H3028" s="1" t="b">
        <f t="shared" si="114"/>
        <v>1</v>
      </c>
    </row>
    <row r="3029" spans="1:8" ht="21" x14ac:dyDescent="0.25">
      <c r="A3029" s="2" t="str">
        <f>HYPERLINK("https://rth.dk/resources/bsgatlas/details.php?id=BSGatlas-operon-1598","BSGatlas-operon-1598")</f>
        <v>BSGatlas-operon-1598</v>
      </c>
      <c r="B3029" s="2" t="str">
        <f>HYPERLINK("https://rth.dk/resources/bsgatlas/details.php?id=BSGatlas-gene-3330","BSGatlas-gene-3330")</f>
        <v>BSGatlas-gene-3330</v>
      </c>
      <c r="C3029" s="1" t="s">
        <v>3003</v>
      </c>
      <c r="D3029" s="1" t="s">
        <v>8</v>
      </c>
      <c r="E3029" s="3">
        <v>2902002</v>
      </c>
      <c r="F3029" s="3">
        <v>2903102</v>
      </c>
      <c r="G3029" s="1" t="s">
        <v>13</v>
      </c>
      <c r="H3029" s="1" t="b">
        <f t="shared" si="114"/>
        <v>0</v>
      </c>
    </row>
    <row r="3030" spans="1:8" ht="21" x14ac:dyDescent="0.25">
      <c r="A3030" s="2" t="str">
        <f>HYPERLINK("https://rth.dk/resources/bsgatlas/details.php?id=BSGatlas-operon-1599","BSGatlas-operon-1599")</f>
        <v>BSGatlas-operon-1599</v>
      </c>
      <c r="B3030" s="2" t="str">
        <f>HYPERLINK("https://rth.dk/resources/bsgatlas/details.php?id=BSGatlas-gene-3331","BSGatlas-gene-3331")</f>
        <v>BSGatlas-gene-3331</v>
      </c>
      <c r="C3030" s="1" t="s">
        <v>3004</v>
      </c>
      <c r="D3030" s="1" t="s">
        <v>8</v>
      </c>
      <c r="E3030" s="3">
        <v>2903217</v>
      </c>
      <c r="F3030" s="3">
        <v>2904035</v>
      </c>
      <c r="G3030" s="1" t="s">
        <v>13</v>
      </c>
      <c r="H3030" s="1" t="b">
        <f t="shared" si="114"/>
        <v>1</v>
      </c>
    </row>
    <row r="3031" spans="1:8" ht="21" x14ac:dyDescent="0.25">
      <c r="A3031" s="2" t="str">
        <f>HYPERLINK("https://rth.dk/resources/bsgatlas/details.php?id=BSGatlas-operon-1599","BSGatlas-operon-1599")</f>
        <v>BSGatlas-operon-1599</v>
      </c>
      <c r="B3031" s="2" t="str">
        <f>HYPERLINK("https://rth.dk/resources/bsgatlas/details.php?id=BSGatlas-gene-3332","BSGatlas-gene-3332")</f>
        <v>BSGatlas-gene-3332</v>
      </c>
      <c r="C3031" s="1" t="s">
        <v>3005</v>
      </c>
      <c r="D3031" s="1" t="s">
        <v>8</v>
      </c>
      <c r="E3031" s="3">
        <v>2904043</v>
      </c>
      <c r="F3031" s="3">
        <v>2904483</v>
      </c>
      <c r="G3031" s="1" t="s">
        <v>13</v>
      </c>
      <c r="H3031" s="1" t="b">
        <f t="shared" si="114"/>
        <v>1</v>
      </c>
    </row>
    <row r="3032" spans="1:8" ht="21" x14ac:dyDescent="0.25">
      <c r="A3032" s="2" t="str">
        <f>HYPERLINK("https://rth.dk/resources/bsgatlas/details.php?id=BSGatlas-operon-1600","BSGatlas-operon-1600")</f>
        <v>BSGatlas-operon-1600</v>
      </c>
      <c r="B3032" s="2" t="str">
        <f>HYPERLINK("https://rth.dk/resources/bsgatlas/details.php?id=BSGatlas-gene-3333","BSGatlas-gene-3333")</f>
        <v>BSGatlas-gene-3333</v>
      </c>
      <c r="C3032" s="1" t="s">
        <v>3006</v>
      </c>
      <c r="D3032" s="1" t="s">
        <v>8</v>
      </c>
      <c r="E3032" s="3">
        <v>2904727</v>
      </c>
      <c r="F3032" s="3">
        <v>2904951</v>
      </c>
      <c r="G3032" s="1" t="s">
        <v>13</v>
      </c>
      <c r="H3032" s="1" t="b">
        <f t="shared" si="114"/>
        <v>0</v>
      </c>
    </row>
    <row r="3033" spans="1:8" ht="21" x14ac:dyDescent="0.25">
      <c r="A3033" s="2" t="str">
        <f>HYPERLINK("https://rth.dk/resources/bsgatlas/details.php?id=BSGatlas-operon-1601","BSGatlas-operon-1601")</f>
        <v>BSGatlas-operon-1601</v>
      </c>
      <c r="B3033" s="2" t="str">
        <f>HYPERLINK("https://rth.dk/resources/bsgatlas/details.php?id=BSGatlas-gene-3335","BSGatlas-gene-3335")</f>
        <v>BSGatlas-gene-3335</v>
      </c>
      <c r="C3033" s="1" t="s">
        <v>3007</v>
      </c>
      <c r="D3033" s="1" t="s">
        <v>8</v>
      </c>
      <c r="E3033" s="3">
        <v>2905571</v>
      </c>
      <c r="F3033" s="3">
        <v>2906332</v>
      </c>
      <c r="G3033" s="1" t="s">
        <v>13</v>
      </c>
      <c r="H3033" s="1" t="b">
        <f t="shared" si="114"/>
        <v>1</v>
      </c>
    </row>
    <row r="3034" spans="1:8" ht="21" x14ac:dyDescent="0.25">
      <c r="A3034" s="2" t="str">
        <f>HYPERLINK("https://rth.dk/resources/bsgatlas/details.php?id=BSGatlas-operon-1601","BSGatlas-operon-1601")</f>
        <v>BSGatlas-operon-1601</v>
      </c>
      <c r="B3034" s="2" t="str">
        <f>HYPERLINK("https://rth.dk/resources/bsgatlas/details.php?id=BSGatlas-gene-3336","BSGatlas-gene-3336")</f>
        <v>BSGatlas-gene-3336</v>
      </c>
      <c r="C3034" s="1" t="s">
        <v>3008</v>
      </c>
      <c r="D3034" s="1" t="s">
        <v>8</v>
      </c>
      <c r="E3034" s="3">
        <v>2906335</v>
      </c>
      <c r="F3034" s="3">
        <v>2908095</v>
      </c>
      <c r="G3034" s="1" t="s">
        <v>13</v>
      </c>
      <c r="H3034" s="1" t="b">
        <f t="shared" si="114"/>
        <v>1</v>
      </c>
    </row>
    <row r="3035" spans="1:8" ht="21" x14ac:dyDescent="0.25">
      <c r="A3035" s="2" t="str">
        <f>HYPERLINK("https://rth.dk/resources/bsgatlas/details.php?id=BSGatlas-operon-1601","BSGatlas-operon-1601")</f>
        <v>BSGatlas-operon-1601</v>
      </c>
      <c r="B3035" s="2" t="str">
        <f>HYPERLINK("https://rth.dk/resources/bsgatlas/details.php?id=BSGatlas-gene-3337","BSGatlas-gene-3337")</f>
        <v>BSGatlas-gene-3337</v>
      </c>
      <c r="C3035" s="1" t="s">
        <v>3009</v>
      </c>
      <c r="D3035" s="1" t="s">
        <v>8</v>
      </c>
      <c r="E3035" s="3">
        <v>2908129</v>
      </c>
      <c r="F3035" s="3">
        <v>2908737</v>
      </c>
      <c r="G3035" s="1" t="s">
        <v>13</v>
      </c>
      <c r="H3035" s="1" t="b">
        <f t="shared" si="114"/>
        <v>1</v>
      </c>
    </row>
    <row r="3036" spans="1:8" ht="21" x14ac:dyDescent="0.25">
      <c r="A3036" s="2" t="str">
        <f>HYPERLINK("https://rth.dk/resources/bsgatlas/details.php?id=BSGatlas-operon-1602","BSGatlas-operon-1602")</f>
        <v>BSGatlas-operon-1602</v>
      </c>
      <c r="B3036" s="2" t="str">
        <f>HYPERLINK("https://rth.dk/resources/bsgatlas/details.php?id=BSGatlas-gene-3338","BSGatlas-gene-3338")</f>
        <v>BSGatlas-gene-3338</v>
      </c>
      <c r="C3036" s="1" t="s">
        <v>3010</v>
      </c>
      <c r="D3036" s="1" t="s">
        <v>8</v>
      </c>
      <c r="E3036" s="3">
        <v>2909030</v>
      </c>
      <c r="F3036" s="3">
        <v>2909476</v>
      </c>
      <c r="G3036" s="1" t="s">
        <v>9</v>
      </c>
      <c r="H3036" s="1" t="b">
        <f t="shared" si="114"/>
        <v>0</v>
      </c>
    </row>
    <row r="3037" spans="1:8" ht="21" x14ac:dyDescent="0.25">
      <c r="A3037" s="2" t="str">
        <f>HYPERLINK("https://rth.dk/resources/bsgatlas/details.php?id=BSGatlas-operon-1603","BSGatlas-operon-1603")</f>
        <v>BSGatlas-operon-1603</v>
      </c>
      <c r="B3037" s="2" t="str">
        <f>HYPERLINK("https://rth.dk/resources/bsgatlas/details.php?id=BSGatlas-gene-3340","BSGatlas-gene-3340")</f>
        <v>BSGatlas-gene-3340</v>
      </c>
      <c r="C3037" s="1" t="s">
        <v>3011</v>
      </c>
      <c r="D3037" s="1" t="s">
        <v>8</v>
      </c>
      <c r="E3037" s="3">
        <v>2909520</v>
      </c>
      <c r="F3037" s="3">
        <v>2910011</v>
      </c>
      <c r="G3037" s="1" t="s">
        <v>13</v>
      </c>
      <c r="H3037" s="1" t="b">
        <f t="shared" si="114"/>
        <v>1</v>
      </c>
    </row>
    <row r="3038" spans="1:8" ht="21" x14ac:dyDescent="0.25">
      <c r="A3038" s="2" t="str">
        <f>HYPERLINK("https://rth.dk/resources/bsgatlas/details.php?id=BSGatlas-operon-1603","BSGatlas-operon-1603")</f>
        <v>BSGatlas-operon-1603</v>
      </c>
      <c r="B3038" s="2" t="str">
        <f>HYPERLINK("https://rth.dk/resources/bsgatlas/details.php?id=BSGatlas-gene-3339","BSGatlas-gene-3339")</f>
        <v>BSGatlas-gene-3339</v>
      </c>
      <c r="C3038" s="1" t="s">
        <v>3012</v>
      </c>
      <c r="D3038" s="1" t="s">
        <v>8</v>
      </c>
      <c r="E3038" s="3">
        <v>2909520</v>
      </c>
      <c r="F3038" s="3">
        <v>2910746</v>
      </c>
      <c r="G3038" s="1" t="s">
        <v>13</v>
      </c>
      <c r="H3038" s="1" t="b">
        <f t="shared" si="114"/>
        <v>1</v>
      </c>
    </row>
    <row r="3039" spans="1:8" ht="21" x14ac:dyDescent="0.25">
      <c r="A3039" s="2" t="str">
        <f>HYPERLINK("https://rth.dk/resources/bsgatlas/details.php?id=BSGatlas-operon-1604","BSGatlas-operon-1604")</f>
        <v>BSGatlas-operon-1604</v>
      </c>
      <c r="B3039" s="2" t="str">
        <f>HYPERLINK("https://rth.dk/resources/bsgatlas/details.php?id=BSGatlas-gene-3341","BSGatlas-gene-3341")</f>
        <v>BSGatlas-gene-3341</v>
      </c>
      <c r="C3039" s="1" t="s">
        <v>3013</v>
      </c>
      <c r="D3039" s="1" t="s">
        <v>34</v>
      </c>
      <c r="E3039" s="3">
        <v>2910871</v>
      </c>
      <c r="F3039" s="3">
        <v>2911051</v>
      </c>
      <c r="G3039" s="1" t="s">
        <v>13</v>
      </c>
      <c r="H3039" s="1" t="b">
        <f t="shared" si="114"/>
        <v>0</v>
      </c>
    </row>
    <row r="3040" spans="1:8" ht="21" x14ac:dyDescent="0.25">
      <c r="A3040" s="2" t="str">
        <f>HYPERLINK("https://rth.dk/resources/bsgatlas/details.php?id=BSGatlas-operon-1605","BSGatlas-operon-1605")</f>
        <v>BSGatlas-operon-1605</v>
      </c>
      <c r="B3040" s="2" t="str">
        <f>HYPERLINK("https://rth.dk/resources/bsgatlas/details.php?id=BSGatlas-gene-3342","BSGatlas-gene-3342")</f>
        <v>BSGatlas-gene-3342</v>
      </c>
      <c r="C3040" s="1" t="s">
        <v>3014</v>
      </c>
      <c r="D3040" s="1" t="s">
        <v>8</v>
      </c>
      <c r="E3040" s="3">
        <v>2911116</v>
      </c>
      <c r="F3040" s="3">
        <v>2912888</v>
      </c>
      <c r="G3040" s="1" t="s">
        <v>13</v>
      </c>
      <c r="H3040" s="1" t="b">
        <f t="shared" si="114"/>
        <v>1</v>
      </c>
    </row>
    <row r="3041" spans="1:8" ht="21" x14ac:dyDescent="0.25">
      <c r="A3041" s="2" t="str">
        <f>HYPERLINK("https://rth.dk/resources/bsgatlas/details.php?id=BSGatlas-operon-1606","BSGatlas-operon-1606")</f>
        <v>BSGatlas-operon-1606</v>
      </c>
      <c r="B3041" s="2" t="str">
        <f>HYPERLINK("https://rth.dk/resources/bsgatlas/details.php?id=BSGatlas-gene-3343","BSGatlas-gene-3343")</f>
        <v>BSGatlas-gene-3343</v>
      </c>
      <c r="C3041" s="1" t="s">
        <v>3015</v>
      </c>
      <c r="D3041" s="1" t="s">
        <v>8</v>
      </c>
      <c r="E3041" s="3">
        <v>2913024</v>
      </c>
      <c r="F3041" s="3">
        <v>2913338</v>
      </c>
      <c r="G3041" s="1" t="s">
        <v>13</v>
      </c>
      <c r="H3041" s="1" t="b">
        <f t="shared" si="114"/>
        <v>0</v>
      </c>
    </row>
    <row r="3042" spans="1:8" ht="21" x14ac:dyDescent="0.25">
      <c r="A3042" s="2" t="str">
        <f>HYPERLINK("https://rth.dk/resources/bsgatlas/details.php?id=BSGatlas-operon-1607","BSGatlas-operon-1607")</f>
        <v>BSGatlas-operon-1607</v>
      </c>
      <c r="B3042" s="2" t="str">
        <f>HYPERLINK("https://rth.dk/resources/bsgatlas/details.php?id=BSGatlas-gene-3344","BSGatlas-gene-3344")</f>
        <v>BSGatlas-gene-3344</v>
      </c>
      <c r="C3042" s="1" t="s">
        <v>318</v>
      </c>
      <c r="D3042" s="1" t="s">
        <v>276</v>
      </c>
      <c r="E3042" s="3">
        <v>2913483</v>
      </c>
      <c r="F3042" s="3">
        <v>2913593</v>
      </c>
      <c r="G3042" s="1" t="s">
        <v>13</v>
      </c>
      <c r="H3042" s="1" t="b">
        <f t="shared" si="114"/>
        <v>1</v>
      </c>
    </row>
    <row r="3043" spans="1:8" ht="21" x14ac:dyDescent="0.25">
      <c r="A3043" s="2" t="str">
        <f>HYPERLINK("https://rth.dk/resources/bsgatlas/details.php?id=BSGatlas-operon-1608","BSGatlas-operon-1608")</f>
        <v>BSGatlas-operon-1608</v>
      </c>
      <c r="B3043" s="2" t="str">
        <f>HYPERLINK("https://rth.dk/resources/bsgatlas/details.php?id=BSGatlas-gene-3345","BSGatlas-gene-3345")</f>
        <v>BSGatlas-gene-3345</v>
      </c>
      <c r="C3043" s="1" t="s">
        <v>3016</v>
      </c>
      <c r="D3043" s="1" t="s">
        <v>8</v>
      </c>
      <c r="E3043" s="3">
        <v>2913661</v>
      </c>
      <c r="F3043" s="3">
        <v>2915148</v>
      </c>
      <c r="G3043" s="1" t="s">
        <v>13</v>
      </c>
      <c r="H3043" s="1" t="b">
        <f t="shared" si="114"/>
        <v>0</v>
      </c>
    </row>
    <row r="3044" spans="1:8" ht="21" x14ac:dyDescent="0.25">
      <c r="A3044" s="2" t="str">
        <f>HYPERLINK("https://rth.dk/resources/bsgatlas/details.php?id=BSGatlas-operon-1609","BSGatlas-operon-1609")</f>
        <v>BSGatlas-operon-1609</v>
      </c>
      <c r="B3044" s="2" t="str">
        <f>HYPERLINK("https://rth.dk/resources/bsgatlas/details.php?id=BSGatlas-gene-3346","BSGatlas-gene-3346")</f>
        <v>BSGatlas-gene-3346</v>
      </c>
      <c r="C3044" s="1" t="s">
        <v>3017</v>
      </c>
      <c r="D3044" s="1" t="s">
        <v>8</v>
      </c>
      <c r="E3044" s="3">
        <v>2915365</v>
      </c>
      <c r="F3044" s="3">
        <v>2916342</v>
      </c>
      <c r="G3044" s="1" t="s">
        <v>13</v>
      </c>
      <c r="H3044" s="1" t="b">
        <f t="shared" si="114"/>
        <v>1</v>
      </c>
    </row>
    <row r="3045" spans="1:8" ht="21" x14ac:dyDescent="0.25">
      <c r="A3045" s="2" t="str">
        <f>HYPERLINK("https://rth.dk/resources/bsgatlas/details.php?id=BSGatlas-operon-1609","BSGatlas-operon-1609")</f>
        <v>BSGatlas-operon-1609</v>
      </c>
      <c r="B3045" s="2" t="str">
        <f>HYPERLINK("https://rth.dk/resources/bsgatlas/details.php?id=BSGatlas-gene-3347","BSGatlas-gene-3347")</f>
        <v>BSGatlas-gene-3347</v>
      </c>
      <c r="C3045" s="1" t="s">
        <v>3018</v>
      </c>
      <c r="D3045" s="1" t="s">
        <v>8</v>
      </c>
      <c r="E3045" s="3">
        <v>2916378</v>
      </c>
      <c r="F3045" s="3">
        <v>2917151</v>
      </c>
      <c r="G3045" s="1" t="s">
        <v>13</v>
      </c>
      <c r="H3045" s="1" t="b">
        <f t="shared" si="114"/>
        <v>1</v>
      </c>
    </row>
    <row r="3046" spans="1:8" ht="21" x14ac:dyDescent="0.25">
      <c r="A3046" s="2" t="str">
        <f>HYPERLINK("https://rth.dk/resources/bsgatlas/details.php?id=BSGatlas-operon-1609","BSGatlas-operon-1609")</f>
        <v>BSGatlas-operon-1609</v>
      </c>
      <c r="B3046" s="2" t="str">
        <f>HYPERLINK("https://rth.dk/resources/bsgatlas/details.php?id=BSGatlas-gene-3348","BSGatlas-gene-3348")</f>
        <v>BSGatlas-gene-3348</v>
      </c>
      <c r="C3046" s="1" t="s">
        <v>3019</v>
      </c>
      <c r="D3046" s="1" t="s">
        <v>8</v>
      </c>
      <c r="E3046" s="3">
        <v>2917166</v>
      </c>
      <c r="F3046" s="3">
        <v>2917942</v>
      </c>
      <c r="G3046" s="1" t="s">
        <v>13</v>
      </c>
      <c r="H3046" s="1" t="b">
        <f t="shared" si="114"/>
        <v>1</v>
      </c>
    </row>
    <row r="3047" spans="1:8" ht="21" x14ac:dyDescent="0.25">
      <c r="A3047" s="2" t="str">
        <f>HYPERLINK("https://rth.dk/resources/bsgatlas/details.php?id=BSGatlas-operon-1609","BSGatlas-operon-1609")</f>
        <v>BSGatlas-operon-1609</v>
      </c>
      <c r="B3047" s="2" t="str">
        <f>HYPERLINK("https://rth.dk/resources/bsgatlas/details.php?id=BSGatlas-gene-3349","BSGatlas-gene-3349")</f>
        <v>BSGatlas-gene-3349</v>
      </c>
      <c r="C3047" s="1" t="s">
        <v>3020</v>
      </c>
      <c r="D3047" s="1" t="s">
        <v>8</v>
      </c>
      <c r="E3047" s="3">
        <v>2917957</v>
      </c>
      <c r="F3047" s="3">
        <v>2918541</v>
      </c>
      <c r="G3047" s="1" t="s">
        <v>13</v>
      </c>
      <c r="H3047" s="1" t="b">
        <f t="shared" si="114"/>
        <v>1</v>
      </c>
    </row>
    <row r="3048" spans="1:8" ht="21" x14ac:dyDescent="0.25">
      <c r="A3048" s="2" t="str">
        <f>HYPERLINK("https://rth.dk/resources/bsgatlas/details.php?id=BSGatlas-operon-1609","BSGatlas-operon-1609")</f>
        <v>BSGatlas-operon-1609</v>
      </c>
      <c r="B3048" s="2" t="str">
        <f>HYPERLINK("https://rth.dk/resources/bsgatlas/details.php?id=BSGatlas-gene-3350","BSGatlas-gene-3350")</f>
        <v>BSGatlas-gene-3350</v>
      </c>
      <c r="C3048" s="1" t="s">
        <v>3021</v>
      </c>
      <c r="D3048" s="1" t="s">
        <v>8</v>
      </c>
      <c r="E3048" s="3">
        <v>2918646</v>
      </c>
      <c r="F3048" s="3">
        <v>2920328</v>
      </c>
      <c r="G3048" s="1" t="s">
        <v>13</v>
      </c>
      <c r="H3048" s="1" t="b">
        <f t="shared" si="114"/>
        <v>1</v>
      </c>
    </row>
    <row r="3049" spans="1:8" ht="21" x14ac:dyDescent="0.25">
      <c r="A3049" s="2" t="str">
        <f>HYPERLINK("https://rth.dk/resources/bsgatlas/details.php?id=BSGatlas-operon-1610","BSGatlas-operon-1610")</f>
        <v>BSGatlas-operon-1610</v>
      </c>
      <c r="B3049" s="2" t="str">
        <f>HYPERLINK("https://rth.dk/resources/bsgatlas/details.php?id=BSGatlas-gene-3351","BSGatlas-gene-3351")</f>
        <v>BSGatlas-gene-3351</v>
      </c>
      <c r="C3049" s="1" t="s">
        <v>3022</v>
      </c>
      <c r="D3049" s="1" t="s">
        <v>8</v>
      </c>
      <c r="E3049" s="3">
        <v>2920517</v>
      </c>
      <c r="F3049" s="3">
        <v>2920921</v>
      </c>
      <c r="G3049" s="1" t="s">
        <v>13</v>
      </c>
      <c r="H3049" s="1" t="b">
        <f t="shared" si="114"/>
        <v>0</v>
      </c>
    </row>
    <row r="3050" spans="1:8" ht="21" x14ac:dyDescent="0.25">
      <c r="A3050" s="2" t="str">
        <f>HYPERLINK("https://rth.dk/resources/bsgatlas/details.php?id=BSGatlas-operon-1610","BSGatlas-operon-1610")</f>
        <v>BSGatlas-operon-1610</v>
      </c>
      <c r="B3050" s="2" t="str">
        <f>HYPERLINK("https://rth.dk/resources/bsgatlas/details.php?id=BSGatlas-gene-3352","BSGatlas-gene-3352")</f>
        <v>BSGatlas-gene-3352</v>
      </c>
      <c r="C3050" s="1" t="s">
        <v>3023</v>
      </c>
      <c r="D3050" s="1" t="s">
        <v>8</v>
      </c>
      <c r="E3050" s="3">
        <v>2920936</v>
      </c>
      <c r="F3050" s="3">
        <v>2923293</v>
      </c>
      <c r="G3050" s="1" t="s">
        <v>13</v>
      </c>
      <c r="H3050" s="1" t="b">
        <f t="shared" si="114"/>
        <v>0</v>
      </c>
    </row>
    <row r="3051" spans="1:8" ht="21" x14ac:dyDescent="0.25">
      <c r="A3051" s="2" t="str">
        <f>HYPERLINK("https://rth.dk/resources/bsgatlas/details.php?id=BSGatlas-operon-1610","BSGatlas-operon-1610")</f>
        <v>BSGatlas-operon-1610</v>
      </c>
      <c r="B3051" s="2" t="str">
        <f>HYPERLINK("https://rth.dk/resources/bsgatlas/details.php?id=BSGatlas-gene-3353","BSGatlas-gene-3353")</f>
        <v>BSGatlas-gene-3353</v>
      </c>
      <c r="C3051" s="1" t="s">
        <v>3024</v>
      </c>
      <c r="D3051" s="1" t="s">
        <v>8</v>
      </c>
      <c r="E3051" s="3">
        <v>2923314</v>
      </c>
      <c r="F3051" s="3">
        <v>2925026</v>
      </c>
      <c r="G3051" s="1" t="s">
        <v>13</v>
      </c>
      <c r="H3051" s="1" t="b">
        <f t="shared" si="114"/>
        <v>0</v>
      </c>
    </row>
    <row r="3052" spans="1:8" ht="21" x14ac:dyDescent="0.25">
      <c r="A3052" s="2" t="str">
        <f>HYPERLINK("https://rth.dk/resources/bsgatlas/details.php?id=BSGatlas-operon-1610","BSGatlas-operon-1610")</f>
        <v>BSGatlas-operon-1610</v>
      </c>
      <c r="B3052" s="2" t="str">
        <f>HYPERLINK("https://rth.dk/resources/bsgatlas/details.php?id=BSGatlas-gene-3354","BSGatlas-gene-3354")</f>
        <v>BSGatlas-gene-3354</v>
      </c>
      <c r="C3052" s="1" t="s">
        <v>3025</v>
      </c>
      <c r="D3052" s="1" t="s">
        <v>8</v>
      </c>
      <c r="E3052" s="3">
        <v>2925100</v>
      </c>
      <c r="F3052" s="3">
        <v>2925633</v>
      </c>
      <c r="G3052" s="1" t="s">
        <v>13</v>
      </c>
      <c r="H3052" s="1" t="b">
        <f t="shared" si="114"/>
        <v>0</v>
      </c>
    </row>
    <row r="3053" spans="1:8" ht="21" x14ac:dyDescent="0.25">
      <c r="A3053" s="2" t="str">
        <f>HYPERLINK("https://rth.dk/resources/bsgatlas/details.php?id=BSGatlas-operon-1610","BSGatlas-operon-1610")</f>
        <v>BSGatlas-operon-1610</v>
      </c>
      <c r="B3053" s="2" t="str">
        <f>HYPERLINK("https://rth.dk/resources/bsgatlas/details.php?id=BSGatlas-gene-3355","BSGatlas-gene-3355")</f>
        <v>BSGatlas-gene-3355</v>
      </c>
      <c r="C3053" s="1" t="s">
        <v>3026</v>
      </c>
      <c r="D3053" s="1" t="s">
        <v>8</v>
      </c>
      <c r="E3053" s="3">
        <v>2925640</v>
      </c>
      <c r="F3053" s="3">
        <v>2925897</v>
      </c>
      <c r="G3053" s="1" t="s">
        <v>13</v>
      </c>
      <c r="H3053" s="1" t="b">
        <f t="shared" si="114"/>
        <v>0</v>
      </c>
    </row>
    <row r="3054" spans="1:8" ht="21" x14ac:dyDescent="0.25">
      <c r="A3054" s="2" t="str">
        <f>HYPERLINK("https://rth.dk/resources/bsgatlas/details.php?id=BSGatlas-operon-1611","BSGatlas-operon-1611")</f>
        <v>BSGatlas-operon-1611</v>
      </c>
      <c r="B3054" s="2" t="str">
        <f>HYPERLINK("https://rth.dk/resources/bsgatlas/details.php?id=BSGatlas-gene-3356","BSGatlas-gene-3356")</f>
        <v>BSGatlas-gene-3356</v>
      </c>
      <c r="C3054" s="1" t="s">
        <v>3027</v>
      </c>
      <c r="D3054" s="1" t="s">
        <v>8</v>
      </c>
      <c r="E3054" s="3">
        <v>2926031</v>
      </c>
      <c r="F3054" s="3">
        <v>2926972</v>
      </c>
      <c r="G3054" s="1" t="s">
        <v>9</v>
      </c>
      <c r="H3054" s="1" t="b">
        <f t="shared" si="114"/>
        <v>1</v>
      </c>
    </row>
    <row r="3055" spans="1:8" ht="21" x14ac:dyDescent="0.25">
      <c r="A3055" s="2" t="str">
        <f>HYPERLINK("https://rth.dk/resources/bsgatlas/details.php?id=BSGatlas-operon-1612","BSGatlas-operon-1612")</f>
        <v>BSGatlas-operon-1612</v>
      </c>
      <c r="B3055" s="2" t="str">
        <f>HYPERLINK("https://rth.dk/resources/bsgatlas/details.php?id=BSGatlas-gene-3357","BSGatlas-gene-3357")</f>
        <v>BSGatlas-gene-3357</v>
      </c>
      <c r="C3055" s="1" t="s">
        <v>3028</v>
      </c>
      <c r="D3055" s="1" t="s">
        <v>8</v>
      </c>
      <c r="E3055" s="3">
        <v>2927008</v>
      </c>
      <c r="F3055" s="3">
        <v>2929422</v>
      </c>
      <c r="G3055" s="1" t="s">
        <v>13</v>
      </c>
      <c r="H3055" s="1" t="b">
        <f t="shared" si="114"/>
        <v>0</v>
      </c>
    </row>
    <row r="3056" spans="1:8" ht="21" x14ac:dyDescent="0.25">
      <c r="A3056" s="2" t="str">
        <f>HYPERLINK("https://rth.dk/resources/bsgatlas/details.php?id=BSGatlas-operon-1612","BSGatlas-operon-1612")</f>
        <v>BSGatlas-operon-1612</v>
      </c>
      <c r="B3056" s="2" t="str">
        <f>HYPERLINK("https://rth.dk/resources/bsgatlas/details.php?id=BSGatlas-gene-3358","BSGatlas-gene-3358")</f>
        <v>BSGatlas-gene-3358</v>
      </c>
      <c r="C3056" s="1" t="s">
        <v>3029</v>
      </c>
      <c r="D3056" s="1" t="s">
        <v>8</v>
      </c>
      <c r="E3056" s="3">
        <v>2929438</v>
      </c>
      <c r="F3056" s="3">
        <v>2930472</v>
      </c>
      <c r="G3056" s="1" t="s">
        <v>13</v>
      </c>
      <c r="H3056" s="1" t="b">
        <f t="shared" si="114"/>
        <v>0</v>
      </c>
    </row>
    <row r="3057" spans="1:8" ht="21" x14ac:dyDescent="0.25">
      <c r="A3057" s="2" t="str">
        <f>HYPERLINK("https://rth.dk/resources/bsgatlas/details.php?id=BSGatlas-operon-1613","BSGatlas-operon-1613")</f>
        <v>BSGatlas-operon-1613</v>
      </c>
      <c r="B3057" s="2" t="str">
        <f>HYPERLINK("https://rth.dk/resources/bsgatlas/details.php?id=BSGatlas-gene-3359","BSGatlas-gene-3359")</f>
        <v>BSGatlas-gene-3359</v>
      </c>
      <c r="C3057" s="1" t="s">
        <v>144</v>
      </c>
      <c r="D3057" s="1" t="s">
        <v>34</v>
      </c>
      <c r="E3057" s="3">
        <v>2930522</v>
      </c>
      <c r="F3057" s="3">
        <v>2930788</v>
      </c>
      <c r="G3057" s="1" t="s">
        <v>13</v>
      </c>
      <c r="H3057" s="1" t="b">
        <f t="shared" si="114"/>
        <v>1</v>
      </c>
    </row>
    <row r="3058" spans="1:8" ht="21" x14ac:dyDescent="0.25">
      <c r="A3058" s="2" t="str">
        <f>HYPERLINK("https://rth.dk/resources/bsgatlas/details.php?id=BSGatlas-operon-1614","BSGatlas-operon-1614")</f>
        <v>BSGatlas-operon-1614</v>
      </c>
      <c r="B3058" s="2" t="str">
        <f>HYPERLINK("https://rth.dk/resources/bsgatlas/details.php?id=BSGatlas-gene-3361","BSGatlas-gene-3361")</f>
        <v>BSGatlas-gene-3361</v>
      </c>
      <c r="C3058" s="1" t="s">
        <v>3030</v>
      </c>
      <c r="D3058" s="1" t="s">
        <v>12</v>
      </c>
      <c r="E3058" s="3">
        <v>2930783</v>
      </c>
      <c r="F3058" s="3">
        <v>2931047</v>
      </c>
      <c r="G3058" s="1" t="s">
        <v>9</v>
      </c>
      <c r="H3058" s="1" t="b">
        <f t="shared" si="114"/>
        <v>0</v>
      </c>
    </row>
    <row r="3059" spans="1:8" ht="21" x14ac:dyDescent="0.25">
      <c r="A3059" s="2" t="str">
        <f>HYPERLINK("https://rth.dk/resources/bsgatlas/details.php?id=BSGatlas-operon-1615","BSGatlas-operon-1615")</f>
        <v>BSGatlas-operon-1615</v>
      </c>
      <c r="B3059" s="2" t="str">
        <f>HYPERLINK("https://rth.dk/resources/bsgatlas/details.php?id=BSGatlas-gene-3362","BSGatlas-gene-3362")</f>
        <v>BSGatlas-gene-3362</v>
      </c>
      <c r="C3059" s="1" t="s">
        <v>3031</v>
      </c>
      <c r="D3059" s="1" t="s">
        <v>8</v>
      </c>
      <c r="E3059" s="3">
        <v>2930827</v>
      </c>
      <c r="F3059" s="3">
        <v>2931573</v>
      </c>
      <c r="G3059" s="1" t="s">
        <v>13</v>
      </c>
      <c r="H3059" s="1" t="b">
        <f t="shared" si="114"/>
        <v>1</v>
      </c>
    </row>
    <row r="3060" spans="1:8" ht="21" x14ac:dyDescent="0.25">
      <c r="A3060" s="2" t="str">
        <f>HYPERLINK("https://rth.dk/resources/bsgatlas/details.php?id=BSGatlas-operon-1616","BSGatlas-operon-1616")</f>
        <v>BSGatlas-operon-1616</v>
      </c>
      <c r="B3060" s="2" t="str">
        <f>HYPERLINK("https://rth.dk/resources/bsgatlas/details.php?id=BSGatlas-gene-3363","BSGatlas-gene-3363")</f>
        <v>BSGatlas-gene-3363</v>
      </c>
      <c r="C3060" s="1" t="s">
        <v>3032</v>
      </c>
      <c r="D3060" s="1" t="s">
        <v>8</v>
      </c>
      <c r="E3060" s="3">
        <v>2931692</v>
      </c>
      <c r="F3060" s="3">
        <v>2931907</v>
      </c>
      <c r="G3060" s="1" t="s">
        <v>9</v>
      </c>
      <c r="H3060" s="1" t="b">
        <f t="shared" si="114"/>
        <v>0</v>
      </c>
    </row>
    <row r="3061" spans="1:8" ht="21" x14ac:dyDescent="0.25">
      <c r="A3061" s="2" t="str">
        <f>HYPERLINK("https://rth.dk/resources/bsgatlas/details.php?id=BSGatlas-operon-1617","BSGatlas-operon-1617")</f>
        <v>BSGatlas-operon-1617</v>
      </c>
      <c r="B3061" s="2" t="str">
        <f>HYPERLINK("https://rth.dk/resources/bsgatlas/details.php?id=BSGatlas-gene-3364","BSGatlas-gene-3364")</f>
        <v>BSGatlas-gene-3364</v>
      </c>
      <c r="C3061" s="1" t="s">
        <v>3033</v>
      </c>
      <c r="D3061" s="1" t="s">
        <v>12</v>
      </c>
      <c r="E3061" s="3">
        <v>2931889</v>
      </c>
      <c r="F3061" s="3">
        <v>2933301</v>
      </c>
      <c r="G3061" s="1" t="s">
        <v>13</v>
      </c>
      <c r="H3061" s="1" t="b">
        <f t="shared" si="114"/>
        <v>1</v>
      </c>
    </row>
    <row r="3062" spans="1:8" ht="21" x14ac:dyDescent="0.25">
      <c r="A3062" s="2" t="str">
        <f>HYPERLINK("https://rth.dk/resources/bsgatlas/details.php?id=BSGatlas-operon-1618","BSGatlas-operon-1618")</f>
        <v>BSGatlas-operon-1618</v>
      </c>
      <c r="B3062" s="2" t="str">
        <f>HYPERLINK("https://rth.dk/resources/bsgatlas/details.php?id=BSGatlas-gene-3365","BSGatlas-gene-3365")</f>
        <v>BSGatlas-gene-3365</v>
      </c>
      <c r="C3062" s="1" t="s">
        <v>3034</v>
      </c>
      <c r="D3062" s="1" t="s">
        <v>8</v>
      </c>
      <c r="E3062" s="3">
        <v>2931976</v>
      </c>
      <c r="F3062" s="3">
        <v>2933082</v>
      </c>
      <c r="G3062" s="1" t="s">
        <v>9</v>
      </c>
      <c r="H3062" s="1" t="b">
        <f t="shared" si="114"/>
        <v>0</v>
      </c>
    </row>
    <row r="3063" spans="1:8" ht="21" x14ac:dyDescent="0.25">
      <c r="A3063" s="2" t="str">
        <f>HYPERLINK("https://rth.dk/resources/bsgatlas/details.php?id=BSGatlas-operon-1619","BSGatlas-operon-1619")</f>
        <v>BSGatlas-operon-1619</v>
      </c>
      <c r="B3063" s="2" t="str">
        <f>HYPERLINK("https://rth.dk/resources/bsgatlas/details.php?id=BSGatlas-gene-3366","BSGatlas-gene-3366")</f>
        <v>BSGatlas-gene-3366</v>
      </c>
      <c r="C3063" s="1" t="s">
        <v>3035</v>
      </c>
      <c r="D3063" s="1" t="s">
        <v>8</v>
      </c>
      <c r="E3063" s="3">
        <v>2933185</v>
      </c>
      <c r="F3063" s="3">
        <v>2934597</v>
      </c>
      <c r="G3063" s="1" t="s">
        <v>9</v>
      </c>
      <c r="H3063" s="1" t="b">
        <f t="shared" si="114"/>
        <v>1</v>
      </c>
    </row>
    <row r="3064" spans="1:8" ht="21" x14ac:dyDescent="0.25">
      <c r="A3064" s="2" t="str">
        <f>HYPERLINK("https://rth.dk/resources/bsgatlas/details.php?id=BSGatlas-operon-1619","BSGatlas-operon-1619")</f>
        <v>BSGatlas-operon-1619</v>
      </c>
      <c r="B3064" s="2" t="str">
        <f>HYPERLINK("https://rth.dk/resources/bsgatlas/details.php?id=BSGatlas-gene-3367","BSGatlas-gene-3367")</f>
        <v>BSGatlas-gene-3367</v>
      </c>
      <c r="C3064" s="1" t="s">
        <v>3036</v>
      </c>
      <c r="D3064" s="1" t="s">
        <v>8</v>
      </c>
      <c r="E3064" s="3">
        <v>2934594</v>
      </c>
      <c r="F3064" s="3">
        <v>2935928</v>
      </c>
      <c r="G3064" s="1" t="s">
        <v>9</v>
      </c>
      <c r="H3064" s="1" t="b">
        <f t="shared" si="114"/>
        <v>1</v>
      </c>
    </row>
    <row r="3065" spans="1:8" ht="21" x14ac:dyDescent="0.25">
      <c r="A3065" s="2" t="str">
        <f>HYPERLINK("https://rth.dk/resources/bsgatlas/details.php?id=BSGatlas-operon-1620","BSGatlas-operon-1620")</f>
        <v>BSGatlas-operon-1620</v>
      </c>
      <c r="B3065" s="2" t="str">
        <f>HYPERLINK("https://rth.dk/resources/bsgatlas/details.php?id=BSGatlas-gene-3368","BSGatlas-gene-3368")</f>
        <v>BSGatlas-gene-3368</v>
      </c>
      <c r="C3065" s="1" t="s">
        <v>3037</v>
      </c>
      <c r="D3065" s="1" t="s">
        <v>8</v>
      </c>
      <c r="E3065" s="3">
        <v>2935967</v>
      </c>
      <c r="F3065" s="3">
        <v>2936209</v>
      </c>
      <c r="G3065" s="1" t="s">
        <v>13</v>
      </c>
      <c r="H3065" s="1" t="b">
        <f t="shared" si="114"/>
        <v>0</v>
      </c>
    </row>
    <row r="3066" spans="1:8" ht="21" x14ac:dyDescent="0.25">
      <c r="A3066" s="2" t="str">
        <f>HYPERLINK("https://rth.dk/resources/bsgatlas/details.php?id=BSGatlas-operon-1620","BSGatlas-operon-1620")</f>
        <v>BSGatlas-operon-1620</v>
      </c>
      <c r="B3066" s="2" t="str">
        <f>HYPERLINK("https://rth.dk/resources/bsgatlas/details.php?id=BSGatlas-gene-3369","BSGatlas-gene-3369")</f>
        <v>BSGatlas-gene-3369</v>
      </c>
      <c r="C3066" s="1" t="s">
        <v>318</v>
      </c>
      <c r="D3066" s="1" t="s">
        <v>8</v>
      </c>
      <c r="E3066" s="3">
        <v>2936269</v>
      </c>
      <c r="F3066" s="3">
        <v>2936439</v>
      </c>
      <c r="G3066" s="1" t="s">
        <v>13</v>
      </c>
      <c r="H3066" s="1" t="b">
        <f t="shared" si="114"/>
        <v>0</v>
      </c>
    </row>
    <row r="3067" spans="1:8" ht="21" x14ac:dyDescent="0.25">
      <c r="A3067" s="2" t="str">
        <f>HYPERLINK("https://rth.dk/resources/bsgatlas/details.php?id=BSGatlas-operon-1620","BSGatlas-operon-1620")</f>
        <v>BSGatlas-operon-1620</v>
      </c>
      <c r="B3067" s="2" t="str">
        <f>HYPERLINK("https://rth.dk/resources/bsgatlas/details.php?id=BSGatlas-gene-3370","BSGatlas-gene-3370")</f>
        <v>BSGatlas-gene-3370</v>
      </c>
      <c r="C3067" s="1" t="s">
        <v>3038</v>
      </c>
      <c r="D3067" s="1" t="s">
        <v>8</v>
      </c>
      <c r="E3067" s="3">
        <v>2936382</v>
      </c>
      <c r="F3067" s="3">
        <v>2938178</v>
      </c>
      <c r="G3067" s="1" t="s">
        <v>13</v>
      </c>
      <c r="H3067" s="1" t="b">
        <f t="shared" si="114"/>
        <v>0</v>
      </c>
    </row>
    <row r="3068" spans="1:8" ht="21" x14ac:dyDescent="0.25">
      <c r="A3068" s="2" t="str">
        <f t="shared" ref="A3068:A3076" si="116">HYPERLINK("https://rth.dk/resources/bsgatlas/details.php?id=BSGatlas-operon-1621","BSGatlas-operon-1621")</f>
        <v>BSGatlas-operon-1621</v>
      </c>
      <c r="B3068" s="2" t="str">
        <f>HYPERLINK("https://rth.dk/resources/bsgatlas/details.php?id=BSGatlas-gene-3371","BSGatlas-gene-3371")</f>
        <v>BSGatlas-gene-3371</v>
      </c>
      <c r="C3068" s="1" t="s">
        <v>3039</v>
      </c>
      <c r="D3068" s="1" t="s">
        <v>8</v>
      </c>
      <c r="E3068" s="3">
        <v>2938330</v>
      </c>
      <c r="F3068" s="3">
        <v>2939832</v>
      </c>
      <c r="G3068" s="1" t="s">
        <v>13</v>
      </c>
      <c r="H3068" s="1" t="b">
        <f t="shared" si="114"/>
        <v>1</v>
      </c>
    </row>
    <row r="3069" spans="1:8" ht="21" x14ac:dyDescent="0.25">
      <c r="A3069" s="2" t="str">
        <f t="shared" si="116"/>
        <v>BSGatlas-operon-1621</v>
      </c>
      <c r="B3069" s="2" t="str">
        <f>HYPERLINK("https://rth.dk/resources/bsgatlas/details.php?id=BSGatlas-gene-3372","BSGatlas-gene-3372")</f>
        <v>BSGatlas-gene-3372</v>
      </c>
      <c r="C3069" s="1" t="s">
        <v>3040</v>
      </c>
      <c r="D3069" s="1" t="s">
        <v>8</v>
      </c>
      <c r="E3069" s="3">
        <v>2939851</v>
      </c>
      <c r="F3069" s="3">
        <v>2940696</v>
      </c>
      <c r="G3069" s="1" t="s">
        <v>13</v>
      </c>
      <c r="H3069" s="1" t="b">
        <f t="shared" si="114"/>
        <v>1</v>
      </c>
    </row>
    <row r="3070" spans="1:8" ht="21" x14ac:dyDescent="0.25">
      <c r="A3070" s="2" t="str">
        <f t="shared" si="116"/>
        <v>BSGatlas-operon-1621</v>
      </c>
      <c r="B3070" s="2" t="str">
        <f>HYPERLINK("https://rth.dk/resources/bsgatlas/details.php?id=BSGatlas-gene-3373","BSGatlas-gene-3373")</f>
        <v>BSGatlas-gene-3373</v>
      </c>
      <c r="C3070" s="1" t="s">
        <v>3041</v>
      </c>
      <c r="D3070" s="1" t="s">
        <v>8</v>
      </c>
      <c r="E3070" s="3">
        <v>2940697</v>
      </c>
      <c r="F3070" s="3">
        <v>2941638</v>
      </c>
      <c r="G3070" s="1" t="s">
        <v>13</v>
      </c>
      <c r="H3070" s="1" t="b">
        <f t="shared" si="114"/>
        <v>1</v>
      </c>
    </row>
    <row r="3071" spans="1:8" ht="21" x14ac:dyDescent="0.25">
      <c r="A3071" s="2" t="str">
        <f t="shared" si="116"/>
        <v>BSGatlas-operon-1621</v>
      </c>
      <c r="B3071" s="2" t="str">
        <f>HYPERLINK("https://rth.dk/resources/bsgatlas/details.php?id=BSGatlas-gene-3374","BSGatlas-gene-3374")</f>
        <v>BSGatlas-gene-3374</v>
      </c>
      <c r="C3071" s="1" t="s">
        <v>3042</v>
      </c>
      <c r="D3071" s="1" t="s">
        <v>8</v>
      </c>
      <c r="E3071" s="3">
        <v>2941674</v>
      </c>
      <c r="F3071" s="3">
        <v>2942975</v>
      </c>
      <c r="G3071" s="1" t="s">
        <v>13</v>
      </c>
      <c r="H3071" s="1" t="b">
        <f t="shared" si="114"/>
        <v>1</v>
      </c>
    </row>
    <row r="3072" spans="1:8" ht="21" x14ac:dyDescent="0.25">
      <c r="A3072" s="2" t="str">
        <f t="shared" si="116"/>
        <v>BSGatlas-operon-1621</v>
      </c>
      <c r="B3072" s="2" t="str">
        <f>HYPERLINK("https://rth.dk/resources/bsgatlas/details.php?id=BSGatlas-gene-3375","BSGatlas-gene-3375")</f>
        <v>BSGatlas-gene-3375</v>
      </c>
      <c r="C3072" s="1" t="s">
        <v>3043</v>
      </c>
      <c r="D3072" s="1" t="s">
        <v>8</v>
      </c>
      <c r="E3072" s="3">
        <v>2943006</v>
      </c>
      <c r="F3072" s="3">
        <v>2944190</v>
      </c>
      <c r="G3072" s="1" t="s">
        <v>13</v>
      </c>
      <c r="H3072" s="1" t="b">
        <f t="shared" si="114"/>
        <v>1</v>
      </c>
    </row>
    <row r="3073" spans="1:8" ht="21" x14ac:dyDescent="0.25">
      <c r="A3073" s="2" t="str">
        <f t="shared" si="116"/>
        <v>BSGatlas-operon-1621</v>
      </c>
      <c r="B3073" s="2" t="str">
        <f>HYPERLINK("https://rth.dk/resources/bsgatlas/details.php?id=BSGatlas-gene-3376","BSGatlas-gene-3376")</f>
        <v>BSGatlas-gene-3376</v>
      </c>
      <c r="C3073" s="1" t="s">
        <v>3044</v>
      </c>
      <c r="D3073" s="1" t="s">
        <v>8</v>
      </c>
      <c r="E3073" s="3">
        <v>2944187</v>
      </c>
      <c r="F3073" s="3">
        <v>2945005</v>
      </c>
      <c r="G3073" s="1" t="s">
        <v>13</v>
      </c>
      <c r="H3073" s="1" t="b">
        <f t="shared" si="114"/>
        <v>1</v>
      </c>
    </row>
    <row r="3074" spans="1:8" ht="21" x14ac:dyDescent="0.25">
      <c r="A3074" s="2" t="str">
        <f t="shared" si="116"/>
        <v>BSGatlas-operon-1621</v>
      </c>
      <c r="B3074" s="2" t="str">
        <f>HYPERLINK("https://rth.dk/resources/bsgatlas/details.php?id=BSGatlas-gene-3377","BSGatlas-gene-3377")</f>
        <v>BSGatlas-gene-3377</v>
      </c>
      <c r="C3074" s="1" t="s">
        <v>3045</v>
      </c>
      <c r="D3074" s="1" t="s">
        <v>8</v>
      </c>
      <c r="E3074" s="3">
        <v>2944983</v>
      </c>
      <c r="F3074" s="3">
        <v>2945672</v>
      </c>
      <c r="G3074" s="1" t="s">
        <v>13</v>
      </c>
      <c r="H3074" s="1" t="b">
        <f t="shared" ref="H3074:H3137" si="117">_xlfn.XOR(A3073&lt;&gt;A3074,H3073)</f>
        <v>1</v>
      </c>
    </row>
    <row r="3075" spans="1:8" ht="21" x14ac:dyDescent="0.25">
      <c r="A3075" s="2" t="str">
        <f t="shared" si="116"/>
        <v>BSGatlas-operon-1621</v>
      </c>
      <c r="B3075" s="2" t="str">
        <f>HYPERLINK("https://rth.dk/resources/bsgatlas/details.php?id=BSGatlas-gene-3378","BSGatlas-gene-3378")</f>
        <v>BSGatlas-gene-3378</v>
      </c>
      <c r="C3075" s="1" t="s">
        <v>3046</v>
      </c>
      <c r="D3075" s="1" t="s">
        <v>8</v>
      </c>
      <c r="E3075" s="3">
        <v>2945689</v>
      </c>
      <c r="F3075" s="3">
        <v>2947371</v>
      </c>
      <c r="G3075" s="1" t="s">
        <v>13</v>
      </c>
      <c r="H3075" s="1" t="b">
        <f t="shared" si="117"/>
        <v>1</v>
      </c>
    </row>
    <row r="3076" spans="1:8" ht="21" x14ac:dyDescent="0.25">
      <c r="A3076" s="2" t="str">
        <f t="shared" si="116"/>
        <v>BSGatlas-operon-1621</v>
      </c>
      <c r="B3076" s="2" t="str">
        <f>HYPERLINK("https://rth.dk/resources/bsgatlas/details.php?id=BSGatlas-gene-3379","BSGatlas-gene-3379")</f>
        <v>BSGatlas-gene-3379</v>
      </c>
      <c r="C3076" s="1" t="s">
        <v>3047</v>
      </c>
      <c r="D3076" s="1" t="s">
        <v>8</v>
      </c>
      <c r="E3076" s="3">
        <v>2947385</v>
      </c>
      <c r="F3076" s="3">
        <v>2948875</v>
      </c>
      <c r="G3076" s="1" t="s">
        <v>13</v>
      </c>
      <c r="H3076" s="1" t="b">
        <f t="shared" si="117"/>
        <v>1</v>
      </c>
    </row>
    <row r="3077" spans="1:8" ht="21" x14ac:dyDescent="0.25">
      <c r="A3077" s="2" t="str">
        <f>HYPERLINK("https://rth.dk/resources/bsgatlas/details.php?id=BSGatlas-operon-1622","BSGatlas-operon-1622")</f>
        <v>BSGatlas-operon-1622</v>
      </c>
      <c r="B3077" s="2" t="str">
        <f>HYPERLINK("https://rth.dk/resources/bsgatlas/details.php?id=BSGatlas-gene-3380","BSGatlas-gene-3380")</f>
        <v>BSGatlas-gene-3380</v>
      </c>
      <c r="C3077" s="1" t="s">
        <v>3048</v>
      </c>
      <c r="D3077" s="1" t="s">
        <v>8</v>
      </c>
      <c r="E3077" s="3">
        <v>2949053</v>
      </c>
      <c r="F3077" s="3">
        <v>2950024</v>
      </c>
      <c r="G3077" s="1" t="s">
        <v>13</v>
      </c>
      <c r="H3077" s="1" t="b">
        <f t="shared" si="117"/>
        <v>0</v>
      </c>
    </row>
    <row r="3078" spans="1:8" ht="21" x14ac:dyDescent="0.25">
      <c r="A3078" s="2" t="str">
        <f>HYPERLINK("https://rth.dk/resources/bsgatlas/details.php?id=BSGatlas-operon-1623","BSGatlas-operon-1623")</f>
        <v>BSGatlas-operon-1623</v>
      </c>
      <c r="B3078" s="2" t="str">
        <f>HYPERLINK("https://rth.dk/resources/bsgatlas/details.php?id=BSGatlas-gene-3381","BSGatlas-gene-3381")</f>
        <v>BSGatlas-gene-3381</v>
      </c>
      <c r="C3078" s="1" t="s">
        <v>3049</v>
      </c>
      <c r="D3078" s="1" t="s">
        <v>8</v>
      </c>
      <c r="E3078" s="3">
        <v>2950221</v>
      </c>
      <c r="F3078" s="3">
        <v>2951306</v>
      </c>
      <c r="G3078" s="1" t="s">
        <v>13</v>
      </c>
      <c r="H3078" s="1" t="b">
        <f t="shared" si="117"/>
        <v>1</v>
      </c>
    </row>
    <row r="3079" spans="1:8" ht="21" x14ac:dyDescent="0.25">
      <c r="A3079" s="2" t="str">
        <f>HYPERLINK("https://rth.dk/resources/bsgatlas/details.php?id=BSGatlas-operon-1624","BSGatlas-operon-1624")</f>
        <v>BSGatlas-operon-1624</v>
      </c>
      <c r="B3079" s="2" t="str">
        <f>HYPERLINK("https://rth.dk/resources/bsgatlas/details.php?id=BSGatlas-gene-3382","BSGatlas-gene-3382")</f>
        <v>BSGatlas-gene-3382</v>
      </c>
      <c r="C3079" s="1" t="s">
        <v>3050</v>
      </c>
      <c r="D3079" s="1" t="s">
        <v>8</v>
      </c>
      <c r="E3079" s="3">
        <v>2951490</v>
      </c>
      <c r="F3079" s="3">
        <v>2951882</v>
      </c>
      <c r="G3079" s="1" t="s">
        <v>9</v>
      </c>
      <c r="H3079" s="1" t="b">
        <f t="shared" si="117"/>
        <v>0</v>
      </c>
    </row>
    <row r="3080" spans="1:8" ht="21" x14ac:dyDescent="0.25">
      <c r="A3080" s="2" t="str">
        <f>HYPERLINK("https://rth.dk/resources/bsgatlas/details.php?id=BSGatlas-operon-1625","BSGatlas-operon-1625")</f>
        <v>BSGatlas-operon-1625</v>
      </c>
      <c r="B3080" s="2" t="str">
        <f>HYPERLINK("https://rth.dk/resources/bsgatlas/details.php?id=BSGatlas-gene-3383","BSGatlas-gene-3383")</f>
        <v>BSGatlas-gene-3383</v>
      </c>
      <c r="C3080" s="1" t="s">
        <v>3051</v>
      </c>
      <c r="D3080" s="1" t="s">
        <v>8</v>
      </c>
      <c r="E3080" s="3">
        <v>2951898</v>
      </c>
      <c r="F3080" s="3">
        <v>2952167</v>
      </c>
      <c r="G3080" s="1" t="s">
        <v>13</v>
      </c>
      <c r="H3080" s="1" t="b">
        <f t="shared" si="117"/>
        <v>1</v>
      </c>
    </row>
    <row r="3081" spans="1:8" ht="21" x14ac:dyDescent="0.25">
      <c r="A3081" s="2" t="str">
        <f>HYPERLINK("https://rth.dk/resources/bsgatlas/details.php?id=BSGatlas-operon-1625","BSGatlas-operon-1625")</f>
        <v>BSGatlas-operon-1625</v>
      </c>
      <c r="B3081" s="2" t="str">
        <f>HYPERLINK("https://rth.dk/resources/bsgatlas/details.php?id=BSGatlas-gene-3384","BSGatlas-gene-3384")</f>
        <v>BSGatlas-gene-3384</v>
      </c>
      <c r="C3081" s="1" t="s">
        <v>3052</v>
      </c>
      <c r="D3081" s="1" t="s">
        <v>8</v>
      </c>
      <c r="E3081" s="3">
        <v>2952224</v>
      </c>
      <c r="F3081" s="3">
        <v>2952583</v>
      </c>
      <c r="G3081" s="1" t="s">
        <v>13</v>
      </c>
      <c r="H3081" s="1" t="b">
        <f t="shared" si="117"/>
        <v>1</v>
      </c>
    </row>
    <row r="3082" spans="1:8" ht="21" x14ac:dyDescent="0.25">
      <c r="A3082" s="2" t="str">
        <f>HYPERLINK("https://rth.dk/resources/bsgatlas/details.php?id=BSGatlas-operon-1625","BSGatlas-operon-1625")</f>
        <v>BSGatlas-operon-1625</v>
      </c>
      <c r="B3082" s="2" t="str">
        <f>HYPERLINK("https://rth.dk/resources/bsgatlas/details.php?id=BSGatlas-gene-3385","BSGatlas-gene-3385")</f>
        <v>BSGatlas-gene-3385</v>
      </c>
      <c r="C3082" s="1" t="s">
        <v>3053</v>
      </c>
      <c r="D3082" s="1" t="s">
        <v>8</v>
      </c>
      <c r="E3082" s="3">
        <v>2952615</v>
      </c>
      <c r="F3082" s="3">
        <v>2952815</v>
      </c>
      <c r="G3082" s="1" t="s">
        <v>13</v>
      </c>
      <c r="H3082" s="1" t="b">
        <f t="shared" si="117"/>
        <v>1</v>
      </c>
    </row>
    <row r="3083" spans="1:8" ht="21" x14ac:dyDescent="0.25">
      <c r="A3083" s="2" t="str">
        <f>HYPERLINK("https://rth.dk/resources/bsgatlas/details.php?id=BSGatlas-operon-1625","BSGatlas-operon-1625")</f>
        <v>BSGatlas-operon-1625</v>
      </c>
      <c r="B3083" s="2" t="str">
        <f>HYPERLINK("https://rth.dk/resources/bsgatlas/details.php?id=BSGatlas-gene-3386","BSGatlas-gene-3386")</f>
        <v>BSGatlas-gene-3386</v>
      </c>
      <c r="C3083" s="1" t="s">
        <v>3054</v>
      </c>
      <c r="D3083" s="1" t="s">
        <v>8</v>
      </c>
      <c r="E3083" s="3">
        <v>2952828</v>
      </c>
      <c r="F3083" s="3">
        <v>2953349</v>
      </c>
      <c r="G3083" s="1" t="s">
        <v>13</v>
      </c>
      <c r="H3083" s="1" t="b">
        <f t="shared" si="117"/>
        <v>1</v>
      </c>
    </row>
    <row r="3084" spans="1:8" ht="21" x14ac:dyDescent="0.25">
      <c r="A3084" s="2" t="str">
        <f>HYPERLINK("https://rth.dk/resources/bsgatlas/details.php?id=BSGatlas-operon-1626","BSGatlas-operon-1626")</f>
        <v>BSGatlas-operon-1626</v>
      </c>
      <c r="B3084" s="2" t="str">
        <f>HYPERLINK("https://rth.dk/resources/bsgatlas/details.php?id=BSGatlas-gene-3387","BSGatlas-gene-3387")</f>
        <v>BSGatlas-gene-3387</v>
      </c>
      <c r="C3084" s="1" t="s">
        <v>318</v>
      </c>
      <c r="D3084" s="1" t="s">
        <v>34</v>
      </c>
      <c r="E3084" s="3">
        <v>2953407</v>
      </c>
      <c r="F3084" s="3">
        <v>2953550</v>
      </c>
      <c r="G3084" s="1" t="s">
        <v>13</v>
      </c>
      <c r="H3084" s="1" t="b">
        <f t="shared" si="117"/>
        <v>0</v>
      </c>
    </row>
    <row r="3085" spans="1:8" ht="21" x14ac:dyDescent="0.25">
      <c r="A3085" s="2" t="str">
        <f>HYPERLINK("https://rth.dk/resources/bsgatlas/details.php?id=BSGatlas-operon-1627","BSGatlas-operon-1627")</f>
        <v>BSGatlas-operon-1627</v>
      </c>
      <c r="B3085" s="2" t="str">
        <f>HYPERLINK("https://rth.dk/resources/bsgatlas/details.php?id=BSGatlas-gene-3388","BSGatlas-gene-3388")</f>
        <v>BSGatlas-gene-3388</v>
      </c>
      <c r="C3085" s="1" t="s">
        <v>3055</v>
      </c>
      <c r="D3085" s="1" t="s">
        <v>8</v>
      </c>
      <c r="E3085" s="3">
        <v>2953795</v>
      </c>
      <c r="F3085" s="3">
        <v>2954460</v>
      </c>
      <c r="G3085" s="1" t="s">
        <v>9</v>
      </c>
      <c r="H3085" s="1" t="b">
        <f t="shared" si="117"/>
        <v>1</v>
      </c>
    </row>
    <row r="3086" spans="1:8" ht="21" x14ac:dyDescent="0.25">
      <c r="A3086" s="2" t="str">
        <f>HYPERLINK("https://rth.dk/resources/bsgatlas/details.php?id=BSGatlas-operon-1628","BSGatlas-operon-1628")</f>
        <v>BSGatlas-operon-1628</v>
      </c>
      <c r="B3086" s="2" t="str">
        <f>HYPERLINK("https://rth.dk/resources/bsgatlas/details.php?id=BSGatlas-gene-3389","BSGatlas-gene-3389")</f>
        <v>BSGatlas-gene-3389</v>
      </c>
      <c r="C3086" s="1" t="s">
        <v>3056</v>
      </c>
      <c r="D3086" s="1" t="s">
        <v>8</v>
      </c>
      <c r="E3086" s="3">
        <v>2954492</v>
      </c>
      <c r="F3086" s="3">
        <v>2955187</v>
      </c>
      <c r="G3086" s="1" t="s">
        <v>13</v>
      </c>
      <c r="H3086" s="1" t="b">
        <f t="shared" si="117"/>
        <v>0</v>
      </c>
    </row>
    <row r="3087" spans="1:8" ht="21" x14ac:dyDescent="0.25">
      <c r="A3087" s="2" t="str">
        <f>HYPERLINK("https://rth.dk/resources/bsgatlas/details.php?id=BSGatlas-operon-1628","BSGatlas-operon-1628")</f>
        <v>BSGatlas-operon-1628</v>
      </c>
      <c r="B3087" s="2" t="str">
        <f>HYPERLINK("https://rth.dk/resources/bsgatlas/details.php?id=BSGatlas-gene-3390","BSGatlas-gene-3390")</f>
        <v>BSGatlas-gene-3390</v>
      </c>
      <c r="C3087" s="1" t="s">
        <v>3057</v>
      </c>
      <c r="D3087" s="1" t="s">
        <v>8</v>
      </c>
      <c r="E3087" s="3">
        <v>2955209</v>
      </c>
      <c r="F3087" s="3">
        <v>2955649</v>
      </c>
      <c r="G3087" s="1" t="s">
        <v>13</v>
      </c>
      <c r="H3087" s="1" t="b">
        <f t="shared" si="117"/>
        <v>0</v>
      </c>
    </row>
    <row r="3088" spans="1:8" ht="21" x14ac:dyDescent="0.25">
      <c r="A3088" s="2" t="str">
        <f>HYPERLINK("https://rth.dk/resources/bsgatlas/details.php?id=BSGatlas-operon-1629","BSGatlas-operon-1629")</f>
        <v>BSGatlas-operon-1629</v>
      </c>
      <c r="B3088" s="2" t="str">
        <f>HYPERLINK("https://rth.dk/resources/bsgatlas/details.php?id=BSGatlas-gene-3391","BSGatlas-gene-3391")</f>
        <v>BSGatlas-gene-3391</v>
      </c>
      <c r="C3088" s="1" t="s">
        <v>3058</v>
      </c>
      <c r="D3088" s="1" t="s">
        <v>8</v>
      </c>
      <c r="E3088" s="3">
        <v>2955783</v>
      </c>
      <c r="F3088" s="3">
        <v>2956508</v>
      </c>
      <c r="G3088" s="1" t="s">
        <v>13</v>
      </c>
      <c r="H3088" s="1" t="b">
        <f t="shared" si="117"/>
        <v>1</v>
      </c>
    </row>
    <row r="3089" spans="1:8" ht="21" x14ac:dyDescent="0.25">
      <c r="A3089" s="2" t="str">
        <f>HYPERLINK("https://rth.dk/resources/bsgatlas/details.php?id=BSGatlas-operon-1629","BSGatlas-operon-1629")</f>
        <v>BSGatlas-operon-1629</v>
      </c>
      <c r="B3089" s="2" t="str">
        <f>HYPERLINK("https://rth.dk/resources/bsgatlas/details.php?id=BSGatlas-gene-3392","BSGatlas-gene-3392")</f>
        <v>BSGatlas-gene-3392</v>
      </c>
      <c r="C3089" s="1" t="s">
        <v>3059</v>
      </c>
      <c r="D3089" s="1" t="s">
        <v>8</v>
      </c>
      <c r="E3089" s="3">
        <v>2956486</v>
      </c>
      <c r="F3089" s="3">
        <v>2958267</v>
      </c>
      <c r="G3089" s="1" t="s">
        <v>13</v>
      </c>
      <c r="H3089" s="1" t="b">
        <f t="shared" si="117"/>
        <v>1</v>
      </c>
    </row>
    <row r="3090" spans="1:8" ht="21" x14ac:dyDescent="0.25">
      <c r="A3090" s="2" t="str">
        <f>HYPERLINK("https://rth.dk/resources/bsgatlas/details.php?id=BSGatlas-operon-1630","BSGatlas-operon-1630")</f>
        <v>BSGatlas-operon-1630</v>
      </c>
      <c r="B3090" s="2" t="str">
        <f>HYPERLINK("https://rth.dk/resources/bsgatlas/details.php?id=BSGatlas-gene-3393","BSGatlas-gene-3393")</f>
        <v>BSGatlas-gene-3393</v>
      </c>
      <c r="C3090" s="1" t="s">
        <v>3060</v>
      </c>
      <c r="D3090" s="1" t="s">
        <v>8</v>
      </c>
      <c r="E3090" s="3">
        <v>2958434</v>
      </c>
      <c r="F3090" s="3">
        <v>2959216</v>
      </c>
      <c r="G3090" s="1" t="s">
        <v>9</v>
      </c>
      <c r="H3090" s="1" t="b">
        <f t="shared" si="117"/>
        <v>0</v>
      </c>
    </row>
    <row r="3091" spans="1:8" ht="21" x14ac:dyDescent="0.25">
      <c r="A3091" s="2" t="str">
        <f t="shared" ref="A3091:A3096" si="118">HYPERLINK("https://rth.dk/resources/bsgatlas/details.php?id=BSGatlas-operon-1631","BSGatlas-operon-1631")</f>
        <v>BSGatlas-operon-1631</v>
      </c>
      <c r="B3091" s="2" t="str">
        <f>HYPERLINK("https://rth.dk/resources/bsgatlas/details.php?id=BSGatlas-gene-3394","BSGatlas-gene-3394")</f>
        <v>BSGatlas-gene-3394</v>
      </c>
      <c r="C3091" s="1" t="s">
        <v>3061</v>
      </c>
      <c r="D3091" s="1" t="s">
        <v>8</v>
      </c>
      <c r="E3091" s="3">
        <v>2959257</v>
      </c>
      <c r="F3091" s="3">
        <v>2961188</v>
      </c>
      <c r="G3091" s="1" t="s">
        <v>13</v>
      </c>
      <c r="H3091" s="1" t="b">
        <f t="shared" si="117"/>
        <v>1</v>
      </c>
    </row>
    <row r="3092" spans="1:8" ht="21" x14ac:dyDescent="0.25">
      <c r="A3092" s="2" t="str">
        <f t="shared" si="118"/>
        <v>BSGatlas-operon-1631</v>
      </c>
      <c r="B3092" s="2" t="str">
        <f>HYPERLINK("https://rth.dk/resources/bsgatlas/details.php?id=BSGatlas-gene-3395","BSGatlas-gene-3395")</f>
        <v>BSGatlas-gene-3395</v>
      </c>
      <c r="C3092" s="1" t="s">
        <v>3062</v>
      </c>
      <c r="D3092" s="1" t="s">
        <v>34</v>
      </c>
      <c r="E3092" s="3">
        <v>2961232</v>
      </c>
      <c r="F3092" s="3">
        <v>2961479</v>
      </c>
      <c r="G3092" s="1" t="s">
        <v>13</v>
      </c>
      <c r="H3092" s="1" t="b">
        <f t="shared" si="117"/>
        <v>1</v>
      </c>
    </row>
    <row r="3093" spans="1:8" ht="21" x14ac:dyDescent="0.25">
      <c r="A3093" s="2" t="str">
        <f t="shared" si="118"/>
        <v>BSGatlas-operon-1631</v>
      </c>
      <c r="B3093" s="2" t="str">
        <f>HYPERLINK("https://rth.dk/resources/bsgatlas/details.php?id=BSGatlas-gene-3396","BSGatlas-gene-3396")</f>
        <v>BSGatlas-gene-3396</v>
      </c>
      <c r="C3093" s="1" t="s">
        <v>3063</v>
      </c>
      <c r="D3093" s="1" t="s">
        <v>8</v>
      </c>
      <c r="E3093" s="3">
        <v>2961586</v>
      </c>
      <c r="F3093" s="3">
        <v>2962431</v>
      </c>
      <c r="G3093" s="1" t="s">
        <v>13</v>
      </c>
      <c r="H3093" s="1" t="b">
        <f t="shared" si="117"/>
        <v>1</v>
      </c>
    </row>
    <row r="3094" spans="1:8" ht="21" x14ac:dyDescent="0.25">
      <c r="A3094" s="2" t="str">
        <f t="shared" si="118"/>
        <v>BSGatlas-operon-1631</v>
      </c>
      <c r="B3094" s="2" t="str">
        <f>HYPERLINK("https://rth.dk/resources/bsgatlas/details.php?id=BSGatlas-gene-3397","BSGatlas-gene-3397")</f>
        <v>BSGatlas-gene-3397</v>
      </c>
      <c r="C3094" s="1" t="s">
        <v>3064</v>
      </c>
      <c r="D3094" s="1" t="s">
        <v>8</v>
      </c>
      <c r="E3094" s="3">
        <v>2962510</v>
      </c>
      <c r="F3094" s="3">
        <v>2963151</v>
      </c>
      <c r="G3094" s="1" t="s">
        <v>13</v>
      </c>
      <c r="H3094" s="1" t="b">
        <f t="shared" si="117"/>
        <v>1</v>
      </c>
    </row>
    <row r="3095" spans="1:8" ht="21" x14ac:dyDescent="0.25">
      <c r="A3095" s="2" t="str">
        <f t="shared" si="118"/>
        <v>BSGatlas-operon-1631</v>
      </c>
      <c r="B3095" s="2" t="str">
        <f>HYPERLINK("https://rth.dk/resources/bsgatlas/details.php?id=BSGatlas-gene-3398","BSGatlas-gene-3398")</f>
        <v>BSGatlas-gene-3398</v>
      </c>
      <c r="C3095" s="1" t="s">
        <v>3065</v>
      </c>
      <c r="D3095" s="1" t="s">
        <v>8</v>
      </c>
      <c r="E3095" s="3">
        <v>2963185</v>
      </c>
      <c r="F3095" s="3">
        <v>2964120</v>
      </c>
      <c r="G3095" s="1" t="s">
        <v>13</v>
      </c>
      <c r="H3095" s="1" t="b">
        <f t="shared" si="117"/>
        <v>1</v>
      </c>
    </row>
    <row r="3096" spans="1:8" ht="21" x14ac:dyDescent="0.25">
      <c r="A3096" s="2" t="str">
        <f t="shared" si="118"/>
        <v>BSGatlas-operon-1631</v>
      </c>
      <c r="B3096" s="2" t="str">
        <f>HYPERLINK("https://rth.dk/resources/bsgatlas/details.php?id=BSGatlas-gene-3399","BSGatlas-gene-3399")</f>
        <v>BSGatlas-gene-3399</v>
      </c>
      <c r="C3096" s="1" t="s">
        <v>3066</v>
      </c>
      <c r="D3096" s="1" t="s">
        <v>8</v>
      </c>
      <c r="E3096" s="3">
        <v>2964148</v>
      </c>
      <c r="F3096" s="3">
        <v>2965566</v>
      </c>
      <c r="G3096" s="1" t="s">
        <v>13</v>
      </c>
      <c r="H3096" s="1" t="b">
        <f t="shared" si="117"/>
        <v>1</v>
      </c>
    </row>
    <row r="3097" spans="1:8" ht="21" x14ac:dyDescent="0.25">
      <c r="A3097" s="2" t="str">
        <f>HYPERLINK("https://rth.dk/resources/bsgatlas/details.php?id=BSGatlas-operon-1632","BSGatlas-operon-1632")</f>
        <v>BSGatlas-operon-1632</v>
      </c>
      <c r="B3097" s="2" t="str">
        <f>HYPERLINK("https://rth.dk/resources/bsgatlas/details.php?id=BSGatlas-gene-3400","BSGatlas-gene-3400")</f>
        <v>BSGatlas-gene-3400</v>
      </c>
      <c r="C3097" s="1" t="s">
        <v>3067</v>
      </c>
      <c r="D3097" s="1" t="s">
        <v>8</v>
      </c>
      <c r="E3097" s="3">
        <v>2965681</v>
      </c>
      <c r="F3097" s="3">
        <v>2966139</v>
      </c>
      <c r="G3097" s="1" t="s">
        <v>13</v>
      </c>
      <c r="H3097" s="1" t="b">
        <f t="shared" si="117"/>
        <v>0</v>
      </c>
    </row>
    <row r="3098" spans="1:8" ht="21" x14ac:dyDescent="0.25">
      <c r="A3098" s="2" t="str">
        <f>HYPERLINK("https://rth.dk/resources/bsgatlas/details.php?id=BSGatlas-operon-1633","BSGatlas-operon-1633")</f>
        <v>BSGatlas-operon-1633</v>
      </c>
      <c r="B3098" s="2" t="str">
        <f>HYPERLINK("https://rth.dk/resources/bsgatlas/details.php?id=BSGatlas-gene-3401","BSGatlas-gene-3401")</f>
        <v>BSGatlas-gene-3401</v>
      </c>
      <c r="C3098" s="1" t="s">
        <v>3068</v>
      </c>
      <c r="D3098" s="1" t="s">
        <v>8</v>
      </c>
      <c r="E3098" s="3">
        <v>2966413</v>
      </c>
      <c r="F3098" s="3">
        <v>2966793</v>
      </c>
      <c r="G3098" s="1" t="s">
        <v>13</v>
      </c>
      <c r="H3098" s="1" t="b">
        <f t="shared" si="117"/>
        <v>1</v>
      </c>
    </row>
    <row r="3099" spans="1:8" ht="21" x14ac:dyDescent="0.25">
      <c r="A3099" s="2" t="str">
        <f>HYPERLINK("https://rth.dk/resources/bsgatlas/details.php?id=BSGatlas-operon-1633","BSGatlas-operon-1633")</f>
        <v>BSGatlas-operon-1633</v>
      </c>
      <c r="B3099" s="2" t="str">
        <f>HYPERLINK("https://rth.dk/resources/bsgatlas/details.php?id=BSGatlas-gene-3402","BSGatlas-gene-3402")</f>
        <v>BSGatlas-gene-3402</v>
      </c>
      <c r="C3099" s="1" t="s">
        <v>3069</v>
      </c>
      <c r="D3099" s="1" t="s">
        <v>8</v>
      </c>
      <c r="E3099" s="3">
        <v>2967032</v>
      </c>
      <c r="F3099" s="3">
        <v>2968054</v>
      </c>
      <c r="G3099" s="1" t="s">
        <v>13</v>
      </c>
      <c r="H3099" s="1" t="b">
        <f t="shared" si="117"/>
        <v>1</v>
      </c>
    </row>
    <row r="3100" spans="1:8" ht="21" x14ac:dyDescent="0.25">
      <c r="A3100" s="2" t="str">
        <f>HYPERLINK("https://rth.dk/resources/bsgatlas/details.php?id=BSGatlas-operon-1634","BSGatlas-operon-1634")</f>
        <v>BSGatlas-operon-1634</v>
      </c>
      <c r="B3100" s="2" t="str">
        <f>HYPERLINK("https://rth.dk/resources/bsgatlas/details.php?id=BSGatlas-gene-3404","BSGatlas-gene-3404")</f>
        <v>BSGatlas-gene-3404</v>
      </c>
      <c r="C3100" s="1" t="s">
        <v>3070</v>
      </c>
      <c r="D3100" s="1" t="s">
        <v>8</v>
      </c>
      <c r="E3100" s="3">
        <v>2968824</v>
      </c>
      <c r="F3100" s="3">
        <v>2970014</v>
      </c>
      <c r="G3100" s="1" t="s">
        <v>9</v>
      </c>
      <c r="H3100" s="1" t="b">
        <f t="shared" si="117"/>
        <v>0</v>
      </c>
    </row>
    <row r="3101" spans="1:8" ht="21" x14ac:dyDescent="0.25">
      <c r="A3101" s="2" t="str">
        <f>HYPERLINK("https://rth.dk/resources/bsgatlas/details.php?id=BSGatlas-operon-1634","BSGatlas-operon-1634")</f>
        <v>BSGatlas-operon-1634</v>
      </c>
      <c r="B3101" s="2" t="str">
        <f>HYPERLINK("https://rth.dk/resources/bsgatlas/details.php?id=BSGatlas-gene-3405","BSGatlas-gene-3405")</f>
        <v>BSGatlas-gene-3405</v>
      </c>
      <c r="C3101" s="1" t="s">
        <v>3071</v>
      </c>
      <c r="D3101" s="1" t="s">
        <v>8</v>
      </c>
      <c r="E3101" s="3">
        <v>2970038</v>
      </c>
      <c r="F3101" s="3">
        <v>2970880</v>
      </c>
      <c r="G3101" s="1" t="s">
        <v>9</v>
      </c>
      <c r="H3101" s="1" t="b">
        <f t="shared" si="117"/>
        <v>0</v>
      </c>
    </row>
    <row r="3102" spans="1:8" ht="21" x14ac:dyDescent="0.25">
      <c r="A3102" s="2" t="str">
        <f>HYPERLINK("https://rth.dk/resources/bsgatlas/details.php?id=BSGatlas-operon-1635","BSGatlas-operon-1635")</f>
        <v>BSGatlas-operon-1635</v>
      </c>
      <c r="B3102" s="2" t="str">
        <f>HYPERLINK("https://rth.dk/resources/bsgatlas/details.php?id=BSGatlas-gene-3403","BSGatlas-gene-3403")</f>
        <v>BSGatlas-gene-3403</v>
      </c>
      <c r="C3102" s="1" t="s">
        <v>3072</v>
      </c>
      <c r="D3102" s="1" t="s">
        <v>8</v>
      </c>
      <c r="E3102" s="3">
        <v>2968260</v>
      </c>
      <c r="F3102" s="3">
        <v>2968640</v>
      </c>
      <c r="G3102" s="1" t="s">
        <v>13</v>
      </c>
      <c r="H3102" s="1" t="b">
        <f t="shared" si="117"/>
        <v>1</v>
      </c>
    </row>
    <row r="3103" spans="1:8" ht="21" x14ac:dyDescent="0.25">
      <c r="A3103" s="2" t="str">
        <f>HYPERLINK("https://rth.dk/resources/bsgatlas/details.php?id=BSGatlas-operon-1636","BSGatlas-operon-1636")</f>
        <v>BSGatlas-operon-1636</v>
      </c>
      <c r="B3103" s="2" t="str">
        <f>HYPERLINK("https://rth.dk/resources/bsgatlas/details.php?id=BSGatlas-gene-3406","BSGatlas-gene-3406")</f>
        <v>BSGatlas-gene-3406</v>
      </c>
      <c r="C3103" s="1" t="s">
        <v>3073</v>
      </c>
      <c r="D3103" s="1" t="s">
        <v>8</v>
      </c>
      <c r="E3103" s="3">
        <v>2970922</v>
      </c>
      <c r="F3103" s="3">
        <v>2971515</v>
      </c>
      <c r="G3103" s="1" t="s">
        <v>13</v>
      </c>
      <c r="H3103" s="1" t="b">
        <f t="shared" si="117"/>
        <v>0</v>
      </c>
    </row>
    <row r="3104" spans="1:8" ht="21" x14ac:dyDescent="0.25">
      <c r="A3104" s="2" t="str">
        <f>HYPERLINK("https://rth.dk/resources/bsgatlas/details.php?id=BSGatlas-operon-1636","BSGatlas-operon-1636")</f>
        <v>BSGatlas-operon-1636</v>
      </c>
      <c r="B3104" s="2" t="str">
        <f>HYPERLINK("https://rth.dk/resources/bsgatlas/details.php?id=BSGatlas-gene-3407","BSGatlas-gene-3407")</f>
        <v>BSGatlas-gene-3407</v>
      </c>
      <c r="C3104" s="1" t="s">
        <v>3074</v>
      </c>
      <c r="D3104" s="1" t="s">
        <v>8</v>
      </c>
      <c r="E3104" s="3">
        <v>2971531</v>
      </c>
      <c r="F3104" s="3">
        <v>2972163</v>
      </c>
      <c r="G3104" s="1" t="s">
        <v>13</v>
      </c>
      <c r="H3104" s="1" t="b">
        <f t="shared" si="117"/>
        <v>0</v>
      </c>
    </row>
    <row r="3105" spans="1:8" ht="21" x14ac:dyDescent="0.25">
      <c r="A3105" s="2" t="str">
        <f>HYPERLINK("https://rth.dk/resources/bsgatlas/details.php?id=BSGatlas-operon-1636","BSGatlas-operon-1636")</f>
        <v>BSGatlas-operon-1636</v>
      </c>
      <c r="B3105" s="2" t="str">
        <f>HYPERLINK("https://rth.dk/resources/bsgatlas/details.php?id=BSGatlas-gene-3408","BSGatlas-gene-3408")</f>
        <v>BSGatlas-gene-3408</v>
      </c>
      <c r="C3105" s="1" t="s">
        <v>3075</v>
      </c>
      <c r="D3105" s="1" t="s">
        <v>8</v>
      </c>
      <c r="E3105" s="3">
        <v>2972329</v>
      </c>
      <c r="F3105" s="3">
        <v>2973159</v>
      </c>
      <c r="G3105" s="1" t="s">
        <v>13</v>
      </c>
      <c r="H3105" s="1" t="b">
        <f t="shared" si="117"/>
        <v>0</v>
      </c>
    </row>
    <row r="3106" spans="1:8" ht="21" x14ac:dyDescent="0.25">
      <c r="A3106" s="2" t="str">
        <f>HYPERLINK("https://rth.dk/resources/bsgatlas/details.php?id=BSGatlas-operon-1636","BSGatlas-operon-1636")</f>
        <v>BSGatlas-operon-1636</v>
      </c>
      <c r="B3106" s="2" t="str">
        <f>HYPERLINK("https://rth.dk/resources/bsgatlas/details.php?id=BSGatlas-gene-3409","BSGatlas-gene-3409")</f>
        <v>BSGatlas-gene-3409</v>
      </c>
      <c r="C3106" s="1" t="s">
        <v>3076</v>
      </c>
      <c r="D3106" s="1" t="s">
        <v>8</v>
      </c>
      <c r="E3106" s="3">
        <v>2973182</v>
      </c>
      <c r="F3106" s="3">
        <v>2975824</v>
      </c>
      <c r="G3106" s="1" t="s">
        <v>13</v>
      </c>
      <c r="H3106" s="1" t="b">
        <f t="shared" si="117"/>
        <v>0</v>
      </c>
    </row>
    <row r="3107" spans="1:8" ht="21" x14ac:dyDescent="0.25">
      <c r="A3107" s="2" t="str">
        <f>HYPERLINK("https://rth.dk/resources/bsgatlas/details.php?id=BSGatlas-operon-1637","BSGatlas-operon-1637")</f>
        <v>BSGatlas-operon-1637</v>
      </c>
      <c r="B3107" s="2" t="str">
        <f>HYPERLINK("https://rth.dk/resources/bsgatlas/details.php?id=BSGatlas-gene-3410","BSGatlas-gene-3410")</f>
        <v>BSGatlas-gene-3410</v>
      </c>
      <c r="C3107" s="1" t="s">
        <v>3077</v>
      </c>
      <c r="D3107" s="1" t="s">
        <v>8</v>
      </c>
      <c r="E3107" s="3">
        <v>2976068</v>
      </c>
      <c r="F3107" s="3">
        <v>2977807</v>
      </c>
      <c r="G3107" s="1" t="s">
        <v>13</v>
      </c>
      <c r="H3107" s="1" t="b">
        <f t="shared" si="117"/>
        <v>1</v>
      </c>
    </row>
    <row r="3108" spans="1:8" ht="21" x14ac:dyDescent="0.25">
      <c r="A3108" s="2" t="str">
        <f>HYPERLINK("https://rth.dk/resources/bsgatlas/details.php?id=BSGatlas-operon-1637","BSGatlas-operon-1637")</f>
        <v>BSGatlas-operon-1637</v>
      </c>
      <c r="B3108" s="2" t="str">
        <f>HYPERLINK("https://rth.dk/resources/bsgatlas/details.php?id=BSGatlas-gene-3411","BSGatlas-gene-3411")</f>
        <v>BSGatlas-gene-3411</v>
      </c>
      <c r="C3108" s="1" t="s">
        <v>3078</v>
      </c>
      <c r="D3108" s="1" t="s">
        <v>8</v>
      </c>
      <c r="E3108" s="3">
        <v>2977800</v>
      </c>
      <c r="F3108" s="3">
        <v>2978522</v>
      </c>
      <c r="G3108" s="1" t="s">
        <v>13</v>
      </c>
      <c r="H3108" s="1" t="b">
        <f t="shared" si="117"/>
        <v>1</v>
      </c>
    </row>
    <row r="3109" spans="1:8" ht="21" x14ac:dyDescent="0.25">
      <c r="A3109" s="2" t="str">
        <f>HYPERLINK("https://rth.dk/resources/bsgatlas/details.php?id=BSGatlas-operon-1638","BSGatlas-operon-1638")</f>
        <v>BSGatlas-operon-1638</v>
      </c>
      <c r="B3109" s="2" t="str">
        <f>HYPERLINK("https://rth.dk/resources/bsgatlas/details.php?id=BSGatlas-gene-3412","BSGatlas-gene-3412")</f>
        <v>BSGatlas-gene-3412</v>
      </c>
      <c r="C3109" s="1" t="s">
        <v>3079</v>
      </c>
      <c r="D3109" s="1" t="s">
        <v>8</v>
      </c>
      <c r="E3109" s="3">
        <v>2978734</v>
      </c>
      <c r="F3109" s="3">
        <v>2979672</v>
      </c>
      <c r="G3109" s="1" t="s">
        <v>13</v>
      </c>
      <c r="H3109" s="1" t="b">
        <f t="shared" si="117"/>
        <v>0</v>
      </c>
    </row>
    <row r="3110" spans="1:8" ht="21" x14ac:dyDescent="0.25">
      <c r="A3110" s="2" t="str">
        <f>HYPERLINK("https://rth.dk/resources/bsgatlas/details.php?id=BSGatlas-operon-1638","BSGatlas-operon-1638")</f>
        <v>BSGatlas-operon-1638</v>
      </c>
      <c r="B3110" s="2" t="str">
        <f>HYPERLINK("https://rth.dk/resources/bsgatlas/details.php?id=BSGatlas-gene-3413","BSGatlas-gene-3413")</f>
        <v>BSGatlas-gene-3413</v>
      </c>
      <c r="C3110" s="1" t="s">
        <v>3080</v>
      </c>
      <c r="D3110" s="1" t="s">
        <v>8</v>
      </c>
      <c r="E3110" s="3">
        <v>2979716</v>
      </c>
      <c r="F3110" s="3">
        <v>2980987</v>
      </c>
      <c r="G3110" s="1" t="s">
        <v>13</v>
      </c>
      <c r="H3110" s="1" t="b">
        <f t="shared" si="117"/>
        <v>0</v>
      </c>
    </row>
    <row r="3111" spans="1:8" ht="21" x14ac:dyDescent="0.25">
      <c r="A3111" s="2" t="str">
        <f>HYPERLINK("https://rth.dk/resources/bsgatlas/details.php?id=BSGatlas-operon-1638","BSGatlas-operon-1638")</f>
        <v>BSGatlas-operon-1638</v>
      </c>
      <c r="B3111" s="2" t="str">
        <f>HYPERLINK("https://rth.dk/resources/bsgatlas/details.php?id=BSGatlas-gene-3414","BSGatlas-gene-3414")</f>
        <v>BSGatlas-gene-3414</v>
      </c>
      <c r="C3111" s="1" t="s">
        <v>3081</v>
      </c>
      <c r="D3111" s="1" t="s">
        <v>8</v>
      </c>
      <c r="E3111" s="3">
        <v>2981151</v>
      </c>
      <c r="F3111" s="3">
        <v>2982269</v>
      </c>
      <c r="G3111" s="1" t="s">
        <v>13</v>
      </c>
      <c r="H3111" s="1" t="b">
        <f t="shared" si="117"/>
        <v>0</v>
      </c>
    </row>
    <row r="3112" spans="1:8" ht="21" x14ac:dyDescent="0.25">
      <c r="A3112" s="2" t="str">
        <f>HYPERLINK("https://rth.dk/resources/bsgatlas/details.php?id=BSGatlas-operon-1639","BSGatlas-operon-1639")</f>
        <v>BSGatlas-operon-1639</v>
      </c>
      <c r="B3112" s="2" t="str">
        <f>HYPERLINK("https://rth.dk/resources/bsgatlas/details.php?id=BSGatlas-gene-3416","BSGatlas-gene-3416")</f>
        <v>BSGatlas-gene-3416</v>
      </c>
      <c r="C3112" s="1" t="s">
        <v>3082</v>
      </c>
      <c r="D3112" s="1" t="s">
        <v>8</v>
      </c>
      <c r="E3112" s="3">
        <v>2983164</v>
      </c>
      <c r="F3112" s="3">
        <v>2984279</v>
      </c>
      <c r="G3112" s="1" t="s">
        <v>9</v>
      </c>
      <c r="H3112" s="1" t="b">
        <f t="shared" si="117"/>
        <v>1</v>
      </c>
    </row>
    <row r="3113" spans="1:8" ht="21" x14ac:dyDescent="0.25">
      <c r="A3113" s="2" t="str">
        <f>HYPERLINK("https://rth.dk/resources/bsgatlas/details.php?id=BSGatlas-operon-1640","BSGatlas-operon-1640")</f>
        <v>BSGatlas-operon-1640</v>
      </c>
      <c r="B3113" s="2" t="str">
        <f>HYPERLINK("https://rth.dk/resources/bsgatlas/details.php?id=BSGatlas-gene-3415","BSGatlas-gene-3415")</f>
        <v>BSGatlas-gene-3415</v>
      </c>
      <c r="C3113" s="1" t="s">
        <v>3083</v>
      </c>
      <c r="D3113" s="1" t="s">
        <v>8</v>
      </c>
      <c r="E3113" s="3">
        <v>2982603</v>
      </c>
      <c r="F3113" s="3">
        <v>2983067</v>
      </c>
      <c r="G3113" s="1" t="s">
        <v>13</v>
      </c>
      <c r="H3113" s="1" t="b">
        <f t="shared" si="117"/>
        <v>0</v>
      </c>
    </row>
    <row r="3114" spans="1:8" ht="21" x14ac:dyDescent="0.25">
      <c r="A3114" s="2" t="str">
        <f>HYPERLINK("https://rth.dk/resources/bsgatlas/details.php?id=BSGatlas-operon-1641","BSGatlas-operon-1641")</f>
        <v>BSGatlas-operon-1641</v>
      </c>
      <c r="B3114" s="2" t="str">
        <f>HYPERLINK("https://rth.dk/resources/bsgatlas/details.php?id=BSGatlas-gene-3417","BSGatlas-gene-3417")</f>
        <v>BSGatlas-gene-3417</v>
      </c>
      <c r="C3114" s="1" t="s">
        <v>3084</v>
      </c>
      <c r="D3114" s="1" t="s">
        <v>8</v>
      </c>
      <c r="E3114" s="3">
        <v>2984312</v>
      </c>
      <c r="F3114" s="3">
        <v>2984695</v>
      </c>
      <c r="G3114" s="1" t="s">
        <v>13</v>
      </c>
      <c r="H3114" s="1" t="b">
        <f t="shared" si="117"/>
        <v>1</v>
      </c>
    </row>
    <row r="3115" spans="1:8" ht="21" x14ac:dyDescent="0.25">
      <c r="A3115" s="2" t="str">
        <f>HYPERLINK("https://rth.dk/resources/bsgatlas/details.php?id=BSGatlas-operon-1641","BSGatlas-operon-1641")</f>
        <v>BSGatlas-operon-1641</v>
      </c>
      <c r="B3115" s="2" t="str">
        <f>HYPERLINK("https://rth.dk/resources/bsgatlas/details.php?id=BSGatlas-gene-3418","BSGatlas-gene-3418")</f>
        <v>BSGatlas-gene-3418</v>
      </c>
      <c r="C3115" s="1" t="s">
        <v>3085</v>
      </c>
      <c r="D3115" s="1" t="s">
        <v>8</v>
      </c>
      <c r="E3115" s="3">
        <v>2984788</v>
      </c>
      <c r="F3115" s="3">
        <v>2986545</v>
      </c>
      <c r="G3115" s="1" t="s">
        <v>13</v>
      </c>
      <c r="H3115" s="1" t="b">
        <f t="shared" si="117"/>
        <v>1</v>
      </c>
    </row>
    <row r="3116" spans="1:8" ht="21" x14ac:dyDescent="0.25">
      <c r="A3116" s="2" t="str">
        <f>HYPERLINK("https://rth.dk/resources/bsgatlas/details.php?id=BSGatlas-operon-1641","BSGatlas-operon-1641")</f>
        <v>BSGatlas-operon-1641</v>
      </c>
      <c r="B3116" s="2" t="str">
        <f>HYPERLINK("https://rth.dk/resources/bsgatlas/details.php?id=BSGatlas-gene-3419","BSGatlas-gene-3419")</f>
        <v>BSGatlas-gene-3419</v>
      </c>
      <c r="C3116" s="1" t="s">
        <v>3086</v>
      </c>
      <c r="D3116" s="1" t="s">
        <v>8</v>
      </c>
      <c r="E3116" s="3">
        <v>2986588</v>
      </c>
      <c r="F3116" s="3">
        <v>2987547</v>
      </c>
      <c r="G3116" s="1" t="s">
        <v>13</v>
      </c>
      <c r="H3116" s="1" t="b">
        <f t="shared" si="117"/>
        <v>1</v>
      </c>
    </row>
    <row r="3117" spans="1:8" ht="21" x14ac:dyDescent="0.25">
      <c r="A3117" s="2" t="str">
        <f>HYPERLINK("https://rth.dk/resources/bsgatlas/details.php?id=BSGatlas-operon-1642","BSGatlas-operon-1642")</f>
        <v>BSGatlas-operon-1642</v>
      </c>
      <c r="B3117" s="2" t="str">
        <f>HYPERLINK("https://rth.dk/resources/bsgatlas/details.php?id=BSGatlas-gene-3420","BSGatlas-gene-3420")</f>
        <v>BSGatlas-gene-3420</v>
      </c>
      <c r="C3117" s="1" t="s">
        <v>3087</v>
      </c>
      <c r="D3117" s="1" t="s">
        <v>8</v>
      </c>
      <c r="E3117" s="3">
        <v>2987731</v>
      </c>
      <c r="F3117" s="3">
        <v>2988708</v>
      </c>
      <c r="G3117" s="1" t="s">
        <v>13</v>
      </c>
      <c r="H3117" s="1" t="b">
        <f t="shared" si="117"/>
        <v>0</v>
      </c>
    </row>
    <row r="3118" spans="1:8" ht="21" x14ac:dyDescent="0.25">
      <c r="A3118" s="2" t="str">
        <f>HYPERLINK("https://rth.dk/resources/bsgatlas/details.php?id=BSGatlas-operon-1642","BSGatlas-operon-1642")</f>
        <v>BSGatlas-operon-1642</v>
      </c>
      <c r="B3118" s="2" t="str">
        <f>HYPERLINK("https://rth.dk/resources/bsgatlas/details.php?id=BSGatlas-gene-3421","BSGatlas-gene-3421")</f>
        <v>BSGatlas-gene-3421</v>
      </c>
      <c r="C3118" s="1" t="s">
        <v>3088</v>
      </c>
      <c r="D3118" s="1" t="s">
        <v>8</v>
      </c>
      <c r="E3118" s="3">
        <v>2988693</v>
      </c>
      <c r="F3118" s="3">
        <v>2989565</v>
      </c>
      <c r="G3118" s="1" t="s">
        <v>13</v>
      </c>
      <c r="H3118" s="1" t="b">
        <f t="shared" si="117"/>
        <v>0</v>
      </c>
    </row>
    <row r="3119" spans="1:8" ht="21" x14ac:dyDescent="0.25">
      <c r="A3119" s="2" t="str">
        <f>HYPERLINK("https://rth.dk/resources/bsgatlas/details.php?id=BSGatlas-operon-1643","BSGatlas-operon-1643")</f>
        <v>BSGatlas-operon-1643</v>
      </c>
      <c r="B3119" s="2" t="str">
        <f>HYPERLINK("https://rth.dk/resources/bsgatlas/details.php?id=BSGatlas-gene-3422","BSGatlas-gene-3422")</f>
        <v>BSGatlas-gene-3422</v>
      </c>
      <c r="C3119" s="1" t="s">
        <v>3089</v>
      </c>
      <c r="D3119" s="1" t="s">
        <v>12</v>
      </c>
      <c r="E3119" s="3">
        <v>2989649</v>
      </c>
      <c r="F3119" s="3">
        <v>2989801</v>
      </c>
      <c r="G3119" s="1" t="s">
        <v>9</v>
      </c>
      <c r="H3119" s="1" t="b">
        <f t="shared" si="117"/>
        <v>1</v>
      </c>
    </row>
    <row r="3120" spans="1:8" ht="21" x14ac:dyDescent="0.25">
      <c r="A3120" s="2" t="str">
        <f>HYPERLINK("https://rth.dk/resources/bsgatlas/details.php?id=BSGatlas-operon-1644","BSGatlas-operon-1644")</f>
        <v>BSGatlas-operon-1644</v>
      </c>
      <c r="B3120" s="2" t="str">
        <f>HYPERLINK("https://rth.dk/resources/bsgatlas/details.php?id=BSGatlas-gene-3423","BSGatlas-gene-3423")</f>
        <v>BSGatlas-gene-3423</v>
      </c>
      <c r="C3120" s="1" t="s">
        <v>3090</v>
      </c>
      <c r="D3120" s="1" t="s">
        <v>8</v>
      </c>
      <c r="E3120" s="3">
        <v>2989900</v>
      </c>
      <c r="F3120" s="3">
        <v>2991132</v>
      </c>
      <c r="G3120" s="1" t="s">
        <v>13</v>
      </c>
      <c r="H3120" s="1" t="b">
        <f t="shared" si="117"/>
        <v>0</v>
      </c>
    </row>
    <row r="3121" spans="1:8" ht="21" x14ac:dyDescent="0.25">
      <c r="A3121" s="2" t="str">
        <f>HYPERLINK("https://rth.dk/resources/bsgatlas/details.php?id=BSGatlas-operon-1644","BSGatlas-operon-1644")</f>
        <v>BSGatlas-operon-1644</v>
      </c>
      <c r="B3121" s="2" t="str">
        <f>HYPERLINK("https://rth.dk/resources/bsgatlas/details.php?id=BSGatlas-gene-3424","BSGatlas-gene-3424")</f>
        <v>BSGatlas-gene-3424</v>
      </c>
      <c r="C3121" s="1" t="s">
        <v>3091</v>
      </c>
      <c r="D3121" s="1" t="s">
        <v>12</v>
      </c>
      <c r="E3121" s="3">
        <v>2991183</v>
      </c>
      <c r="F3121" s="3">
        <v>2991239</v>
      </c>
      <c r="G3121" s="1" t="s">
        <v>13</v>
      </c>
      <c r="H3121" s="1" t="b">
        <f t="shared" si="117"/>
        <v>0</v>
      </c>
    </row>
    <row r="3122" spans="1:8" ht="21" x14ac:dyDescent="0.25">
      <c r="A3122" s="2" t="str">
        <f>HYPERLINK("https://rth.dk/resources/bsgatlas/details.php?id=BSGatlas-operon-1644","BSGatlas-operon-1644")</f>
        <v>BSGatlas-operon-1644</v>
      </c>
      <c r="B3122" s="2" t="str">
        <f>HYPERLINK("https://rth.dk/resources/bsgatlas/details.php?id=BSGatlas-gene-3425","BSGatlas-gene-3425")</f>
        <v>BSGatlas-gene-3425</v>
      </c>
      <c r="C3122" s="1" t="s">
        <v>3092</v>
      </c>
      <c r="D3122" s="1" t="s">
        <v>8</v>
      </c>
      <c r="E3122" s="3">
        <v>2991269</v>
      </c>
      <c r="F3122" s="3">
        <v>2994616</v>
      </c>
      <c r="G3122" s="1" t="s">
        <v>13</v>
      </c>
      <c r="H3122" s="1" t="b">
        <f t="shared" si="117"/>
        <v>0</v>
      </c>
    </row>
    <row r="3123" spans="1:8" ht="21" x14ac:dyDescent="0.25">
      <c r="A3123" s="2" t="str">
        <f>HYPERLINK("https://rth.dk/resources/bsgatlas/details.php?id=BSGatlas-operon-1645","BSGatlas-operon-1645")</f>
        <v>BSGatlas-operon-1645</v>
      </c>
      <c r="B3123" s="2" t="str">
        <f>HYPERLINK("https://rth.dk/resources/bsgatlas/details.php?id=BSGatlas-gene-3426","BSGatlas-gene-3426")</f>
        <v>BSGatlas-gene-3426</v>
      </c>
      <c r="C3123" s="1" t="s">
        <v>3093</v>
      </c>
      <c r="D3123" s="1" t="s">
        <v>8</v>
      </c>
      <c r="E3123" s="3">
        <v>2994756</v>
      </c>
      <c r="F3123" s="3">
        <v>2995097</v>
      </c>
      <c r="G3123" s="1" t="s">
        <v>9</v>
      </c>
      <c r="H3123" s="1" t="b">
        <f t="shared" si="117"/>
        <v>1</v>
      </c>
    </row>
    <row r="3124" spans="1:8" ht="21" x14ac:dyDescent="0.25">
      <c r="A3124" s="2" t="str">
        <f>HYPERLINK("https://rth.dk/resources/bsgatlas/details.php?id=BSGatlas-operon-1645","BSGatlas-operon-1645")</f>
        <v>BSGatlas-operon-1645</v>
      </c>
      <c r="B3124" s="2" t="str">
        <f>HYPERLINK("https://rth.dk/resources/bsgatlas/details.php?id=BSGatlas-gene-3427","BSGatlas-gene-3427")</f>
        <v>BSGatlas-gene-3427</v>
      </c>
      <c r="C3124" s="1" t="s">
        <v>3094</v>
      </c>
      <c r="D3124" s="1" t="s">
        <v>8</v>
      </c>
      <c r="E3124" s="3">
        <v>2995094</v>
      </c>
      <c r="F3124" s="3">
        <v>2995597</v>
      </c>
      <c r="G3124" s="1" t="s">
        <v>9</v>
      </c>
      <c r="H3124" s="1" t="b">
        <f t="shared" si="117"/>
        <v>1</v>
      </c>
    </row>
    <row r="3125" spans="1:8" ht="21" x14ac:dyDescent="0.25">
      <c r="A3125" s="2" t="str">
        <f>HYPERLINK("https://rth.dk/resources/bsgatlas/details.php?id=BSGatlas-operon-1646","BSGatlas-operon-1646")</f>
        <v>BSGatlas-operon-1646</v>
      </c>
      <c r="B3125" s="2" t="str">
        <f>HYPERLINK("https://rth.dk/resources/bsgatlas/details.php?id=BSGatlas-gene-3428","BSGatlas-gene-3428")</f>
        <v>BSGatlas-gene-3428</v>
      </c>
      <c r="C3125" s="1" t="s">
        <v>3095</v>
      </c>
      <c r="D3125" s="1" t="s">
        <v>8</v>
      </c>
      <c r="E3125" s="3">
        <v>2995699</v>
      </c>
      <c r="F3125" s="3">
        <v>2995890</v>
      </c>
      <c r="G3125" s="1" t="s">
        <v>9</v>
      </c>
      <c r="H3125" s="1" t="b">
        <f t="shared" si="117"/>
        <v>0</v>
      </c>
    </row>
    <row r="3126" spans="1:8" ht="21" x14ac:dyDescent="0.25">
      <c r="A3126" s="2" t="str">
        <f>HYPERLINK("https://rth.dk/resources/bsgatlas/details.php?id=BSGatlas-operon-1647","BSGatlas-operon-1647")</f>
        <v>BSGatlas-operon-1647</v>
      </c>
      <c r="B3126" s="2" t="str">
        <f>HYPERLINK("https://rth.dk/resources/bsgatlas/details.php?id=BSGatlas-gene-3429","BSGatlas-gene-3429")</f>
        <v>BSGatlas-gene-3429</v>
      </c>
      <c r="C3126" s="1" t="s">
        <v>3096</v>
      </c>
      <c r="D3126" s="1" t="s">
        <v>8</v>
      </c>
      <c r="E3126" s="3">
        <v>2995908</v>
      </c>
      <c r="F3126" s="3">
        <v>2996849</v>
      </c>
      <c r="G3126" s="1" t="s">
        <v>13</v>
      </c>
      <c r="H3126" s="1" t="b">
        <f t="shared" si="117"/>
        <v>1</v>
      </c>
    </row>
    <row r="3127" spans="1:8" ht="21" x14ac:dyDescent="0.25">
      <c r="A3127" s="2" t="str">
        <f>HYPERLINK("https://rth.dk/resources/bsgatlas/details.php?id=BSGatlas-operon-1648","BSGatlas-operon-1648")</f>
        <v>BSGatlas-operon-1648</v>
      </c>
      <c r="B3127" s="2" t="str">
        <f>HYPERLINK("https://rth.dk/resources/bsgatlas/details.php?id=BSGatlas-gene-3430","BSGatlas-gene-3430")</f>
        <v>BSGatlas-gene-3430</v>
      </c>
      <c r="C3127" s="1" t="s">
        <v>3097</v>
      </c>
      <c r="D3127" s="1" t="s">
        <v>8</v>
      </c>
      <c r="E3127" s="3">
        <v>2996980</v>
      </c>
      <c r="F3127" s="3">
        <v>2997282</v>
      </c>
      <c r="G3127" s="1" t="s">
        <v>9</v>
      </c>
      <c r="H3127" s="1" t="b">
        <f t="shared" si="117"/>
        <v>0</v>
      </c>
    </row>
    <row r="3128" spans="1:8" ht="21" x14ac:dyDescent="0.25">
      <c r="A3128" s="2" t="str">
        <f>HYPERLINK("https://rth.dk/resources/bsgatlas/details.php?id=BSGatlas-operon-1649","BSGatlas-operon-1649")</f>
        <v>BSGatlas-operon-1649</v>
      </c>
      <c r="B3128" s="2" t="str">
        <f>HYPERLINK("https://rth.dk/resources/bsgatlas/details.php?id=BSGatlas-gene-3431","BSGatlas-gene-3431")</f>
        <v>BSGatlas-gene-3431</v>
      </c>
      <c r="C3128" s="1" t="s">
        <v>3098</v>
      </c>
      <c r="D3128" s="1" t="s">
        <v>8</v>
      </c>
      <c r="E3128" s="3">
        <v>2997301</v>
      </c>
      <c r="F3128" s="3">
        <v>2998620</v>
      </c>
      <c r="G3128" s="1" t="s">
        <v>13</v>
      </c>
      <c r="H3128" s="1" t="b">
        <f t="shared" si="117"/>
        <v>1</v>
      </c>
    </row>
    <row r="3129" spans="1:8" ht="21" x14ac:dyDescent="0.25">
      <c r="A3129" s="2" t="str">
        <f t="shared" ref="A3129:A3140" si="119">HYPERLINK("https://rth.dk/resources/bsgatlas/details.php?id=BSGatlas-operon-1650","BSGatlas-operon-1650")</f>
        <v>BSGatlas-operon-1650</v>
      </c>
      <c r="B3129" s="2" t="str">
        <f>HYPERLINK("https://rth.dk/resources/bsgatlas/details.php?id=BSGatlas-gene-3432","BSGatlas-gene-3432")</f>
        <v>BSGatlas-gene-3432</v>
      </c>
      <c r="C3129" s="1" t="s">
        <v>3099</v>
      </c>
      <c r="D3129" s="1" t="s">
        <v>8</v>
      </c>
      <c r="E3129" s="3">
        <v>2998796</v>
      </c>
      <c r="F3129" s="3">
        <v>2999698</v>
      </c>
      <c r="G3129" s="1" t="s">
        <v>13</v>
      </c>
      <c r="H3129" s="1" t="b">
        <f t="shared" si="117"/>
        <v>0</v>
      </c>
    </row>
    <row r="3130" spans="1:8" ht="21" x14ac:dyDescent="0.25">
      <c r="A3130" s="2" t="str">
        <f t="shared" si="119"/>
        <v>BSGatlas-operon-1650</v>
      </c>
      <c r="B3130" s="2" t="str">
        <f>HYPERLINK("https://rth.dk/resources/bsgatlas/details.php?id=BSGatlas-gene-3433","BSGatlas-gene-3433")</f>
        <v>BSGatlas-gene-3433</v>
      </c>
      <c r="C3130" s="1" t="s">
        <v>3100</v>
      </c>
      <c r="D3130" s="1" t="s">
        <v>8</v>
      </c>
      <c r="E3130" s="3">
        <v>2999717</v>
      </c>
      <c r="F3130" s="3">
        <v>3000967</v>
      </c>
      <c r="G3130" s="1" t="s">
        <v>13</v>
      </c>
      <c r="H3130" s="1" t="b">
        <f t="shared" si="117"/>
        <v>0</v>
      </c>
    </row>
    <row r="3131" spans="1:8" ht="21" x14ac:dyDescent="0.25">
      <c r="A3131" s="2" t="str">
        <f t="shared" si="119"/>
        <v>BSGatlas-operon-1650</v>
      </c>
      <c r="B3131" s="2" t="str">
        <f>HYPERLINK("https://rth.dk/resources/bsgatlas/details.php?id=BSGatlas-gene-3434","BSGatlas-gene-3434")</f>
        <v>BSGatlas-gene-3434</v>
      </c>
      <c r="C3131" s="1" t="s">
        <v>3101</v>
      </c>
      <c r="D3131" s="1" t="s">
        <v>8</v>
      </c>
      <c r="E3131" s="3">
        <v>3000985</v>
      </c>
      <c r="F3131" s="3">
        <v>3001677</v>
      </c>
      <c r="G3131" s="1" t="s">
        <v>13</v>
      </c>
      <c r="H3131" s="1" t="b">
        <f t="shared" si="117"/>
        <v>0</v>
      </c>
    </row>
    <row r="3132" spans="1:8" ht="21" x14ac:dyDescent="0.25">
      <c r="A3132" s="2" t="str">
        <f t="shared" si="119"/>
        <v>BSGatlas-operon-1650</v>
      </c>
      <c r="B3132" s="2" t="str">
        <f>HYPERLINK("https://rth.dk/resources/bsgatlas/details.php?id=BSGatlas-gene-3435","BSGatlas-gene-3435")</f>
        <v>BSGatlas-gene-3435</v>
      </c>
      <c r="C3132" s="1" t="s">
        <v>3102</v>
      </c>
      <c r="D3132" s="1" t="s">
        <v>8</v>
      </c>
      <c r="E3132" s="3">
        <v>3001724</v>
      </c>
      <c r="F3132" s="3">
        <v>3003052</v>
      </c>
      <c r="G3132" s="1" t="s">
        <v>13</v>
      </c>
      <c r="H3132" s="1" t="b">
        <f t="shared" si="117"/>
        <v>0</v>
      </c>
    </row>
    <row r="3133" spans="1:8" ht="21" x14ac:dyDescent="0.25">
      <c r="A3133" s="2" t="str">
        <f t="shared" si="119"/>
        <v>BSGatlas-operon-1650</v>
      </c>
      <c r="B3133" s="2" t="str">
        <f>HYPERLINK("https://rth.dk/resources/bsgatlas/details.php?id=BSGatlas-gene-3436","BSGatlas-gene-3436")</f>
        <v>BSGatlas-gene-3436</v>
      </c>
      <c r="C3133" s="1" t="s">
        <v>3103</v>
      </c>
      <c r="D3133" s="1" t="s">
        <v>8</v>
      </c>
      <c r="E3133" s="3">
        <v>3003049</v>
      </c>
      <c r="F3133" s="3">
        <v>3003330</v>
      </c>
      <c r="G3133" s="1" t="s">
        <v>13</v>
      </c>
      <c r="H3133" s="1" t="b">
        <f t="shared" si="117"/>
        <v>0</v>
      </c>
    </row>
    <row r="3134" spans="1:8" ht="21" x14ac:dyDescent="0.25">
      <c r="A3134" s="2" t="str">
        <f t="shared" si="119"/>
        <v>BSGatlas-operon-1650</v>
      </c>
      <c r="B3134" s="2" t="str">
        <f>HYPERLINK("https://rth.dk/resources/bsgatlas/details.php?id=BSGatlas-gene-3437","BSGatlas-gene-3437")</f>
        <v>BSGatlas-gene-3437</v>
      </c>
      <c r="C3134" s="1" t="s">
        <v>3104</v>
      </c>
      <c r="D3134" s="1" t="s">
        <v>8</v>
      </c>
      <c r="E3134" s="3">
        <v>3003345</v>
      </c>
      <c r="F3134" s="3">
        <v>3004349</v>
      </c>
      <c r="G3134" s="1" t="s">
        <v>13</v>
      </c>
      <c r="H3134" s="1" t="b">
        <f t="shared" si="117"/>
        <v>0</v>
      </c>
    </row>
    <row r="3135" spans="1:8" ht="21" x14ac:dyDescent="0.25">
      <c r="A3135" s="2" t="str">
        <f t="shared" si="119"/>
        <v>BSGatlas-operon-1650</v>
      </c>
      <c r="B3135" s="2" t="str">
        <f>HYPERLINK("https://rth.dk/resources/bsgatlas/details.php?id=BSGatlas-gene-3438","BSGatlas-gene-3438")</f>
        <v>BSGatlas-gene-3438</v>
      </c>
      <c r="C3135" s="1" t="s">
        <v>3105</v>
      </c>
      <c r="D3135" s="1" t="s">
        <v>8</v>
      </c>
      <c r="E3135" s="3">
        <v>3004346</v>
      </c>
      <c r="F3135" s="3">
        <v>3005125</v>
      </c>
      <c r="G3135" s="1" t="s">
        <v>13</v>
      </c>
      <c r="H3135" s="1" t="b">
        <f t="shared" si="117"/>
        <v>0</v>
      </c>
    </row>
    <row r="3136" spans="1:8" ht="21" x14ac:dyDescent="0.25">
      <c r="A3136" s="2" t="str">
        <f t="shared" si="119"/>
        <v>BSGatlas-operon-1650</v>
      </c>
      <c r="B3136" s="2" t="str">
        <f>HYPERLINK("https://rth.dk/resources/bsgatlas/details.php?id=BSGatlas-gene-3439","BSGatlas-gene-3439")</f>
        <v>BSGatlas-gene-3439</v>
      </c>
      <c r="C3136" s="1" t="s">
        <v>3106</v>
      </c>
      <c r="D3136" s="1" t="s">
        <v>8</v>
      </c>
      <c r="E3136" s="3">
        <v>3005122</v>
      </c>
      <c r="F3136" s="3">
        <v>3005829</v>
      </c>
      <c r="G3136" s="1" t="s">
        <v>13</v>
      </c>
      <c r="H3136" s="1" t="b">
        <f t="shared" si="117"/>
        <v>0</v>
      </c>
    </row>
    <row r="3137" spans="1:8" ht="21" x14ac:dyDescent="0.25">
      <c r="A3137" s="2" t="str">
        <f t="shared" si="119"/>
        <v>BSGatlas-operon-1650</v>
      </c>
      <c r="B3137" s="2" t="str">
        <f>HYPERLINK("https://rth.dk/resources/bsgatlas/details.php?id=BSGatlas-gene-3440","BSGatlas-gene-3440")</f>
        <v>BSGatlas-gene-3440</v>
      </c>
      <c r="C3137" s="1" t="s">
        <v>3107</v>
      </c>
      <c r="D3137" s="1" t="s">
        <v>8</v>
      </c>
      <c r="E3137" s="3">
        <v>3005859</v>
      </c>
      <c r="F3137" s="3">
        <v>3006578</v>
      </c>
      <c r="G3137" s="1" t="s">
        <v>13</v>
      </c>
      <c r="H3137" s="1" t="b">
        <f t="shared" si="117"/>
        <v>0</v>
      </c>
    </row>
    <row r="3138" spans="1:8" ht="21" x14ac:dyDescent="0.25">
      <c r="A3138" s="2" t="str">
        <f t="shared" si="119"/>
        <v>BSGatlas-operon-1650</v>
      </c>
      <c r="B3138" s="2" t="str">
        <f>HYPERLINK("https://rth.dk/resources/bsgatlas/details.php?id=BSGatlas-gene-3441","BSGatlas-gene-3441")</f>
        <v>BSGatlas-gene-3441</v>
      </c>
      <c r="C3138" s="1" t="s">
        <v>3108</v>
      </c>
      <c r="D3138" s="1" t="s">
        <v>8</v>
      </c>
      <c r="E3138" s="3">
        <v>3006600</v>
      </c>
      <c r="F3138" s="3">
        <v>3007412</v>
      </c>
      <c r="G3138" s="1" t="s">
        <v>13</v>
      </c>
      <c r="H3138" s="1" t="b">
        <f t="shared" ref="H3138:H3201" si="120">_xlfn.XOR(A3137&lt;&gt;A3138,H3137)</f>
        <v>0</v>
      </c>
    </row>
    <row r="3139" spans="1:8" ht="21" x14ac:dyDescent="0.25">
      <c r="A3139" s="2" t="str">
        <f t="shared" si="119"/>
        <v>BSGatlas-operon-1650</v>
      </c>
      <c r="B3139" s="2" t="str">
        <f>HYPERLINK("https://rth.dk/resources/bsgatlas/details.php?id=BSGatlas-gene-3442","BSGatlas-gene-3442")</f>
        <v>BSGatlas-gene-3442</v>
      </c>
      <c r="C3139" s="1" t="s">
        <v>3109</v>
      </c>
      <c r="D3139" s="1" t="s">
        <v>8</v>
      </c>
      <c r="E3139" s="3">
        <v>3007426</v>
      </c>
      <c r="F3139" s="3">
        <v>3008235</v>
      </c>
      <c r="G3139" s="1" t="s">
        <v>13</v>
      </c>
      <c r="H3139" s="1" t="b">
        <f t="shared" si="120"/>
        <v>0</v>
      </c>
    </row>
    <row r="3140" spans="1:8" ht="21" x14ac:dyDescent="0.25">
      <c r="A3140" s="2" t="str">
        <f t="shared" si="119"/>
        <v>BSGatlas-operon-1650</v>
      </c>
      <c r="B3140" s="2" t="str">
        <f>HYPERLINK("https://rth.dk/resources/bsgatlas/details.php?id=BSGatlas-gene-3443","BSGatlas-gene-3443")</f>
        <v>BSGatlas-gene-3443</v>
      </c>
      <c r="C3140" s="1" t="s">
        <v>3110</v>
      </c>
      <c r="D3140" s="1" t="s">
        <v>8</v>
      </c>
      <c r="E3140" s="3">
        <v>3008249</v>
      </c>
      <c r="F3140" s="3">
        <v>3008785</v>
      </c>
      <c r="G3140" s="1" t="s">
        <v>13</v>
      </c>
      <c r="H3140" s="1" t="b">
        <f t="shared" si="120"/>
        <v>0</v>
      </c>
    </row>
    <row r="3141" spans="1:8" ht="21" x14ac:dyDescent="0.25">
      <c r="A3141" s="2" t="str">
        <f>HYPERLINK("https://rth.dk/resources/bsgatlas/details.php?id=BSGatlas-operon-1651","BSGatlas-operon-1651")</f>
        <v>BSGatlas-operon-1651</v>
      </c>
      <c r="B3141" s="2" t="str">
        <f>HYPERLINK("https://rth.dk/resources/bsgatlas/details.php?id=BSGatlas-gene-3444","BSGatlas-gene-3444")</f>
        <v>BSGatlas-gene-3444</v>
      </c>
      <c r="C3141" s="1" t="s">
        <v>3111</v>
      </c>
      <c r="D3141" s="1" t="s">
        <v>8</v>
      </c>
      <c r="E3141" s="3">
        <v>3008938</v>
      </c>
      <c r="F3141" s="3">
        <v>3009864</v>
      </c>
      <c r="G3141" s="1" t="s">
        <v>9</v>
      </c>
      <c r="H3141" s="1" t="b">
        <f t="shared" si="120"/>
        <v>1</v>
      </c>
    </row>
    <row r="3142" spans="1:8" ht="21" x14ac:dyDescent="0.25">
      <c r="A3142" s="2" t="str">
        <f>HYPERLINK("https://rth.dk/resources/bsgatlas/details.php?id=BSGatlas-operon-1652","BSGatlas-operon-1652")</f>
        <v>BSGatlas-operon-1652</v>
      </c>
      <c r="B3142" s="2" t="str">
        <f>HYPERLINK("https://rth.dk/resources/bsgatlas/details.php?id=BSGatlas-gene-3445","BSGatlas-gene-3445")</f>
        <v>BSGatlas-gene-3445</v>
      </c>
      <c r="C3142" s="1" t="s">
        <v>3112</v>
      </c>
      <c r="D3142" s="1" t="s">
        <v>8</v>
      </c>
      <c r="E3142" s="3">
        <v>3009915</v>
      </c>
      <c r="F3142" s="3">
        <v>3010598</v>
      </c>
      <c r="G3142" s="1" t="s">
        <v>13</v>
      </c>
      <c r="H3142" s="1" t="b">
        <f t="shared" si="120"/>
        <v>0</v>
      </c>
    </row>
    <row r="3143" spans="1:8" ht="21" x14ac:dyDescent="0.25">
      <c r="A3143" s="2" t="str">
        <f>HYPERLINK("https://rth.dk/resources/bsgatlas/details.php?id=BSGatlas-operon-1652","BSGatlas-operon-1652")</f>
        <v>BSGatlas-operon-1652</v>
      </c>
      <c r="B3143" s="2" t="str">
        <f>HYPERLINK("https://rth.dk/resources/bsgatlas/details.php?id=BSGatlas-gene-3446","BSGatlas-gene-3446")</f>
        <v>BSGatlas-gene-3446</v>
      </c>
      <c r="C3143" s="1" t="s">
        <v>3113</v>
      </c>
      <c r="D3143" s="1" t="s">
        <v>8</v>
      </c>
      <c r="E3143" s="3">
        <v>3010661</v>
      </c>
      <c r="F3143" s="3">
        <v>3011428</v>
      </c>
      <c r="G3143" s="1" t="s">
        <v>13</v>
      </c>
      <c r="H3143" s="1" t="b">
        <f t="shared" si="120"/>
        <v>0</v>
      </c>
    </row>
    <row r="3144" spans="1:8" ht="21" x14ac:dyDescent="0.25">
      <c r="A3144" s="2" t="str">
        <f>HYPERLINK("https://rth.dk/resources/bsgatlas/details.php?id=BSGatlas-operon-1653","BSGatlas-operon-1653")</f>
        <v>BSGatlas-operon-1653</v>
      </c>
      <c r="B3144" s="2" t="str">
        <f>HYPERLINK("https://rth.dk/resources/bsgatlas/details.php?id=BSGatlas-gene-3449","BSGatlas-gene-3449")</f>
        <v>BSGatlas-gene-3449</v>
      </c>
      <c r="C3144" s="1" t="s">
        <v>3114</v>
      </c>
      <c r="D3144" s="1" t="s">
        <v>8</v>
      </c>
      <c r="E3144" s="3">
        <v>3011751</v>
      </c>
      <c r="F3144" s="3">
        <v>3013136</v>
      </c>
      <c r="G3144" s="1" t="s">
        <v>13</v>
      </c>
      <c r="H3144" s="1" t="b">
        <f t="shared" si="120"/>
        <v>1</v>
      </c>
    </row>
    <row r="3145" spans="1:8" ht="21" x14ac:dyDescent="0.25">
      <c r="A3145" s="2" t="str">
        <f>HYPERLINK("https://rth.dk/resources/bsgatlas/details.php?id=BSGatlas-operon-1653","BSGatlas-operon-1653")</f>
        <v>BSGatlas-operon-1653</v>
      </c>
      <c r="B3145" s="2" t="str">
        <f>HYPERLINK("https://rth.dk/resources/bsgatlas/details.php?id=BSGatlas-gene-3450","BSGatlas-gene-3450")</f>
        <v>BSGatlas-gene-3450</v>
      </c>
      <c r="C3145" s="1" t="s">
        <v>3115</v>
      </c>
      <c r="D3145" s="1" t="s">
        <v>8</v>
      </c>
      <c r="E3145" s="3">
        <v>3013133</v>
      </c>
      <c r="F3145" s="3">
        <v>3014344</v>
      </c>
      <c r="G3145" s="1" t="s">
        <v>13</v>
      </c>
      <c r="H3145" s="1" t="b">
        <f t="shared" si="120"/>
        <v>1</v>
      </c>
    </row>
    <row r="3146" spans="1:8" ht="21" x14ac:dyDescent="0.25">
      <c r="A3146" s="2" t="str">
        <f>HYPERLINK("https://rth.dk/resources/bsgatlas/details.php?id=BSGatlas-operon-1654","BSGatlas-operon-1654")</f>
        <v>BSGatlas-operon-1654</v>
      </c>
      <c r="B3146" s="2" t="str">
        <f>HYPERLINK("https://rth.dk/resources/bsgatlas/details.php?id=BSGatlas-gene-3451","BSGatlas-gene-3451")</f>
        <v>BSGatlas-gene-3451</v>
      </c>
      <c r="C3146" s="1" t="s">
        <v>3116</v>
      </c>
      <c r="D3146" s="1" t="s">
        <v>8</v>
      </c>
      <c r="E3146" s="3">
        <v>3014514</v>
      </c>
      <c r="F3146" s="3">
        <v>3015026</v>
      </c>
      <c r="G3146" s="1" t="s">
        <v>13</v>
      </c>
      <c r="H3146" s="1" t="b">
        <f t="shared" si="120"/>
        <v>0</v>
      </c>
    </row>
    <row r="3147" spans="1:8" ht="21" x14ac:dyDescent="0.25">
      <c r="A3147" s="2" t="str">
        <f>HYPERLINK("https://rth.dk/resources/bsgatlas/details.php?id=BSGatlas-operon-1655","BSGatlas-operon-1655")</f>
        <v>BSGatlas-operon-1655</v>
      </c>
      <c r="B3147" s="2" t="str">
        <f>HYPERLINK("https://rth.dk/resources/bsgatlas/details.php?id=BSGatlas-gene-3452","BSGatlas-gene-3452")</f>
        <v>BSGatlas-gene-3452</v>
      </c>
      <c r="C3147" s="1" t="s">
        <v>3117</v>
      </c>
      <c r="D3147" s="1" t="s">
        <v>8</v>
      </c>
      <c r="E3147" s="3">
        <v>3015111</v>
      </c>
      <c r="F3147" s="3">
        <v>3016298</v>
      </c>
      <c r="G3147" s="1" t="s">
        <v>13</v>
      </c>
      <c r="H3147" s="1" t="b">
        <f t="shared" si="120"/>
        <v>1</v>
      </c>
    </row>
    <row r="3148" spans="1:8" ht="21" x14ac:dyDescent="0.25">
      <c r="A3148" s="2" t="str">
        <f>HYPERLINK("https://rth.dk/resources/bsgatlas/details.php?id=BSGatlas-operon-1656","BSGatlas-operon-1656")</f>
        <v>BSGatlas-operon-1656</v>
      </c>
      <c r="B3148" s="2" t="str">
        <f>HYPERLINK("https://rth.dk/resources/bsgatlas/details.php?id=BSGatlas-gene-3453","BSGatlas-gene-3453")</f>
        <v>BSGatlas-gene-3453</v>
      </c>
      <c r="C3148" s="1" t="s">
        <v>318</v>
      </c>
      <c r="D3148" s="1" t="s">
        <v>8</v>
      </c>
      <c r="E3148" s="3">
        <v>3016471</v>
      </c>
      <c r="F3148" s="3">
        <v>3016674</v>
      </c>
      <c r="G3148" s="1" t="s">
        <v>13</v>
      </c>
      <c r="H3148" s="1" t="b">
        <f t="shared" si="120"/>
        <v>0</v>
      </c>
    </row>
    <row r="3149" spans="1:8" ht="21" x14ac:dyDescent="0.25">
      <c r="A3149" s="2" t="str">
        <f>HYPERLINK("https://rth.dk/resources/bsgatlas/details.php?id=BSGatlas-operon-1657","BSGatlas-operon-1657")</f>
        <v>BSGatlas-operon-1657</v>
      </c>
      <c r="B3149" s="2" t="str">
        <f>HYPERLINK("https://rth.dk/resources/bsgatlas/details.php?id=BSGatlas-gene-3454","BSGatlas-gene-3454")</f>
        <v>BSGatlas-gene-3454</v>
      </c>
      <c r="C3149" s="1" t="s">
        <v>3118</v>
      </c>
      <c r="D3149" s="1" t="s">
        <v>8</v>
      </c>
      <c r="E3149" s="3">
        <v>3016646</v>
      </c>
      <c r="F3149" s="3">
        <v>3017635</v>
      </c>
      <c r="G3149" s="1" t="s">
        <v>13</v>
      </c>
      <c r="H3149" s="1" t="b">
        <f t="shared" si="120"/>
        <v>1</v>
      </c>
    </row>
    <row r="3150" spans="1:8" ht="21" x14ac:dyDescent="0.25">
      <c r="A3150" s="2" t="str">
        <f>HYPERLINK("https://rth.dk/resources/bsgatlas/details.php?id=BSGatlas-operon-1657","BSGatlas-operon-1657")</f>
        <v>BSGatlas-operon-1657</v>
      </c>
      <c r="B3150" s="2" t="str">
        <f>HYPERLINK("https://rth.dk/resources/bsgatlas/details.php?id=BSGatlas-gene-3455","BSGatlas-gene-3455")</f>
        <v>BSGatlas-gene-3455</v>
      </c>
      <c r="C3150" s="1" t="s">
        <v>3119</v>
      </c>
      <c r="D3150" s="1" t="s">
        <v>8</v>
      </c>
      <c r="E3150" s="3">
        <v>3017696</v>
      </c>
      <c r="F3150" s="3">
        <v>3018199</v>
      </c>
      <c r="G3150" s="1" t="s">
        <v>13</v>
      </c>
      <c r="H3150" s="1" t="b">
        <f t="shared" si="120"/>
        <v>1</v>
      </c>
    </row>
    <row r="3151" spans="1:8" ht="21" x14ac:dyDescent="0.25">
      <c r="A3151" s="2" t="str">
        <f>HYPERLINK("https://rth.dk/resources/bsgatlas/details.php?id=BSGatlas-operon-1658","BSGatlas-operon-1658")</f>
        <v>BSGatlas-operon-1658</v>
      </c>
      <c r="B3151" s="2" t="str">
        <f>HYPERLINK("https://rth.dk/resources/bsgatlas/details.php?id=BSGatlas-gene-3456","BSGatlas-gene-3456")</f>
        <v>BSGatlas-gene-3456</v>
      </c>
      <c r="C3151" s="1" t="s">
        <v>3120</v>
      </c>
      <c r="D3151" s="1" t="s">
        <v>8</v>
      </c>
      <c r="E3151" s="3">
        <v>3018309</v>
      </c>
      <c r="F3151" s="3">
        <v>3018764</v>
      </c>
      <c r="G3151" s="1" t="s">
        <v>13</v>
      </c>
      <c r="H3151" s="1" t="b">
        <f t="shared" si="120"/>
        <v>0</v>
      </c>
    </row>
    <row r="3152" spans="1:8" ht="21" x14ac:dyDescent="0.25">
      <c r="A3152" s="2" t="str">
        <f>HYPERLINK("https://rth.dk/resources/bsgatlas/details.php?id=BSGatlas-operon-1658","BSGatlas-operon-1658")</f>
        <v>BSGatlas-operon-1658</v>
      </c>
      <c r="B3152" s="2" t="str">
        <f>HYPERLINK("https://rth.dk/resources/bsgatlas/details.php?id=BSGatlas-gene-3457","BSGatlas-gene-3457")</f>
        <v>BSGatlas-gene-3457</v>
      </c>
      <c r="C3152" s="1" t="s">
        <v>3121</v>
      </c>
      <c r="D3152" s="1" t="s">
        <v>8</v>
      </c>
      <c r="E3152" s="3">
        <v>3018778</v>
      </c>
      <c r="F3152" s="3">
        <v>3019458</v>
      </c>
      <c r="G3152" s="1" t="s">
        <v>13</v>
      </c>
      <c r="H3152" s="1" t="b">
        <f t="shared" si="120"/>
        <v>0</v>
      </c>
    </row>
    <row r="3153" spans="1:8" ht="21" x14ac:dyDescent="0.25">
      <c r="A3153" s="2" t="str">
        <f>HYPERLINK("https://rth.dk/resources/bsgatlas/details.php?id=BSGatlas-operon-1659","BSGatlas-operon-1659")</f>
        <v>BSGatlas-operon-1659</v>
      </c>
      <c r="B3153" s="2" t="str">
        <f>HYPERLINK("https://rth.dk/resources/bsgatlas/details.php?id=BSGatlas-gene-3458","BSGatlas-gene-3458")</f>
        <v>BSGatlas-gene-3458</v>
      </c>
      <c r="C3153" s="1" t="s">
        <v>3122</v>
      </c>
      <c r="D3153" s="1" t="s">
        <v>8</v>
      </c>
      <c r="E3153" s="3">
        <v>3019533</v>
      </c>
      <c r="F3153" s="3">
        <v>3020027</v>
      </c>
      <c r="G3153" s="1" t="s">
        <v>13</v>
      </c>
      <c r="H3153" s="1" t="b">
        <f t="shared" si="120"/>
        <v>1</v>
      </c>
    </row>
    <row r="3154" spans="1:8" ht="21" x14ac:dyDescent="0.25">
      <c r="A3154" s="2" t="str">
        <f>HYPERLINK("https://rth.dk/resources/bsgatlas/details.php?id=BSGatlas-operon-1659","BSGatlas-operon-1659")</f>
        <v>BSGatlas-operon-1659</v>
      </c>
      <c r="B3154" s="2" t="str">
        <f>HYPERLINK("https://rth.dk/resources/bsgatlas/details.php?id=BSGatlas-gene-3459","BSGatlas-gene-3459")</f>
        <v>BSGatlas-gene-3459</v>
      </c>
      <c r="C3154" s="1" t="s">
        <v>3123</v>
      </c>
      <c r="D3154" s="1" t="s">
        <v>8</v>
      </c>
      <c r="E3154" s="3">
        <v>3020040</v>
      </c>
      <c r="F3154" s="3">
        <v>3021047</v>
      </c>
      <c r="G3154" s="1" t="s">
        <v>13</v>
      </c>
      <c r="H3154" s="1" t="b">
        <f t="shared" si="120"/>
        <v>1</v>
      </c>
    </row>
    <row r="3155" spans="1:8" ht="21" x14ac:dyDescent="0.25">
      <c r="A3155" s="2" t="str">
        <f>HYPERLINK("https://rth.dk/resources/bsgatlas/details.php?id=BSGatlas-operon-1660","BSGatlas-operon-1660")</f>
        <v>BSGatlas-operon-1660</v>
      </c>
      <c r="B3155" s="2" t="str">
        <f>HYPERLINK("https://rth.dk/resources/bsgatlas/details.php?id=BSGatlas-gene-3460","BSGatlas-gene-3460")</f>
        <v>BSGatlas-gene-3460</v>
      </c>
      <c r="C3155" s="1" t="s">
        <v>3124</v>
      </c>
      <c r="D3155" s="1" t="s">
        <v>8</v>
      </c>
      <c r="E3155" s="3">
        <v>3021233</v>
      </c>
      <c r="F3155" s="3">
        <v>3022036</v>
      </c>
      <c r="G3155" s="1" t="s">
        <v>9</v>
      </c>
      <c r="H3155" s="1" t="b">
        <f t="shared" si="120"/>
        <v>0</v>
      </c>
    </row>
    <row r="3156" spans="1:8" ht="21" x14ac:dyDescent="0.25">
      <c r="A3156" s="2" t="str">
        <f>HYPERLINK("https://rth.dk/resources/bsgatlas/details.php?id=BSGatlas-operon-1661","BSGatlas-operon-1661")</f>
        <v>BSGatlas-operon-1661</v>
      </c>
      <c r="B3156" s="2" t="str">
        <f>HYPERLINK("https://rth.dk/resources/bsgatlas/details.php?id=BSGatlas-gene-3461","BSGatlas-gene-3461")</f>
        <v>BSGatlas-gene-3461</v>
      </c>
      <c r="C3156" s="1" t="s">
        <v>3125</v>
      </c>
      <c r="D3156" s="1" t="s">
        <v>8</v>
      </c>
      <c r="E3156" s="3">
        <v>3022068</v>
      </c>
      <c r="F3156" s="3">
        <v>3023657</v>
      </c>
      <c r="G3156" s="1" t="s">
        <v>13</v>
      </c>
      <c r="H3156" s="1" t="b">
        <f t="shared" si="120"/>
        <v>1</v>
      </c>
    </row>
    <row r="3157" spans="1:8" ht="21" x14ac:dyDescent="0.25">
      <c r="A3157" s="2" t="str">
        <f>HYPERLINK("https://rth.dk/resources/bsgatlas/details.php?id=BSGatlas-operon-1661","BSGatlas-operon-1661")</f>
        <v>BSGatlas-operon-1661</v>
      </c>
      <c r="B3157" s="2" t="str">
        <f>HYPERLINK("https://rth.dk/resources/bsgatlas/details.php?id=BSGatlas-gene-3462","BSGatlas-gene-3462")</f>
        <v>BSGatlas-gene-3462</v>
      </c>
      <c r="C3157" s="1" t="s">
        <v>3126</v>
      </c>
      <c r="D3157" s="1" t="s">
        <v>8</v>
      </c>
      <c r="E3157" s="3">
        <v>3023677</v>
      </c>
      <c r="F3157" s="3">
        <v>3025266</v>
      </c>
      <c r="G3157" s="1" t="s">
        <v>13</v>
      </c>
      <c r="H3157" s="1" t="b">
        <f t="shared" si="120"/>
        <v>1</v>
      </c>
    </row>
    <row r="3158" spans="1:8" ht="21" x14ac:dyDescent="0.25">
      <c r="A3158" s="2" t="str">
        <f>HYPERLINK("https://rth.dk/resources/bsgatlas/details.php?id=BSGatlas-operon-1662","BSGatlas-operon-1662")</f>
        <v>BSGatlas-operon-1662</v>
      </c>
      <c r="B3158" s="2" t="str">
        <f>HYPERLINK("https://rth.dk/resources/bsgatlas/details.php?id=BSGatlas-gene-3463","BSGatlas-gene-3463")</f>
        <v>BSGatlas-gene-3463</v>
      </c>
      <c r="C3158" s="1" t="s">
        <v>3127</v>
      </c>
      <c r="D3158" s="1" t="s">
        <v>8</v>
      </c>
      <c r="E3158" s="3">
        <v>3025445</v>
      </c>
      <c r="F3158" s="3">
        <v>3025654</v>
      </c>
      <c r="G3158" s="1" t="s">
        <v>13</v>
      </c>
      <c r="H3158" s="1" t="b">
        <f t="shared" si="120"/>
        <v>0</v>
      </c>
    </row>
    <row r="3159" spans="1:8" ht="21" x14ac:dyDescent="0.25">
      <c r="A3159" s="2" t="str">
        <f>HYPERLINK("https://rth.dk/resources/bsgatlas/details.php?id=BSGatlas-operon-1662","BSGatlas-operon-1662")</f>
        <v>BSGatlas-operon-1662</v>
      </c>
      <c r="B3159" s="2" t="str">
        <f>HYPERLINK("https://rth.dk/resources/bsgatlas/details.php?id=BSGatlas-gene-3464","BSGatlas-gene-3464")</f>
        <v>BSGatlas-gene-3464</v>
      </c>
      <c r="C3159" s="1" t="s">
        <v>3128</v>
      </c>
      <c r="D3159" s="1" t="s">
        <v>8</v>
      </c>
      <c r="E3159" s="3">
        <v>3025748</v>
      </c>
      <c r="F3159" s="3">
        <v>3026953</v>
      </c>
      <c r="G3159" s="1" t="s">
        <v>13</v>
      </c>
      <c r="H3159" s="1" t="b">
        <f t="shared" si="120"/>
        <v>0</v>
      </c>
    </row>
    <row r="3160" spans="1:8" ht="21" x14ac:dyDescent="0.25">
      <c r="A3160" s="2" t="str">
        <f>HYPERLINK("https://rth.dk/resources/bsgatlas/details.php?id=BSGatlas-operon-1662","BSGatlas-operon-1662")</f>
        <v>BSGatlas-operon-1662</v>
      </c>
      <c r="B3160" s="2" t="str">
        <f>HYPERLINK("https://rth.dk/resources/bsgatlas/details.php?id=BSGatlas-gene-3465","BSGatlas-gene-3465")</f>
        <v>BSGatlas-gene-3465</v>
      </c>
      <c r="C3160" s="1" t="s">
        <v>3129</v>
      </c>
      <c r="D3160" s="1" t="s">
        <v>8</v>
      </c>
      <c r="E3160" s="3">
        <v>3026957</v>
      </c>
      <c r="F3160" s="3">
        <v>3028102</v>
      </c>
      <c r="G3160" s="1" t="s">
        <v>13</v>
      </c>
      <c r="H3160" s="1" t="b">
        <f t="shared" si="120"/>
        <v>0</v>
      </c>
    </row>
    <row r="3161" spans="1:8" ht="21" x14ac:dyDescent="0.25">
      <c r="A3161" s="2" t="str">
        <f>HYPERLINK("https://rth.dk/resources/bsgatlas/details.php?id=BSGatlas-operon-1663","BSGatlas-operon-1663")</f>
        <v>BSGatlas-operon-1663</v>
      </c>
      <c r="B3161" s="2" t="str">
        <f>HYPERLINK("https://rth.dk/resources/bsgatlas/details.php?id=BSGatlas-gene-3466","BSGatlas-gene-3466")</f>
        <v>BSGatlas-gene-3466</v>
      </c>
      <c r="C3161" s="1" t="s">
        <v>3130</v>
      </c>
      <c r="D3161" s="1" t="s">
        <v>8</v>
      </c>
      <c r="E3161" s="3">
        <v>3028297</v>
      </c>
      <c r="F3161" s="3">
        <v>3029634</v>
      </c>
      <c r="G3161" s="1" t="s">
        <v>9</v>
      </c>
      <c r="H3161" s="1" t="b">
        <f t="shared" si="120"/>
        <v>1</v>
      </c>
    </row>
    <row r="3162" spans="1:8" ht="21" x14ac:dyDescent="0.25">
      <c r="A3162" s="2" t="str">
        <f>HYPERLINK("https://rth.dk/resources/bsgatlas/details.php?id=BSGatlas-operon-1664","BSGatlas-operon-1664")</f>
        <v>BSGatlas-operon-1664</v>
      </c>
      <c r="B3162" s="2" t="str">
        <f>HYPERLINK("https://rth.dk/resources/bsgatlas/details.php?id=BSGatlas-gene-3467","BSGatlas-gene-3467")</f>
        <v>BSGatlas-gene-3467</v>
      </c>
      <c r="C3162" s="1" t="s">
        <v>3131</v>
      </c>
      <c r="D3162" s="1" t="s">
        <v>8</v>
      </c>
      <c r="E3162" s="3">
        <v>3029729</v>
      </c>
      <c r="F3162" s="3">
        <v>3031417</v>
      </c>
      <c r="G3162" s="1" t="s">
        <v>13</v>
      </c>
      <c r="H3162" s="1" t="b">
        <f t="shared" si="120"/>
        <v>0</v>
      </c>
    </row>
    <row r="3163" spans="1:8" ht="21" x14ac:dyDescent="0.25">
      <c r="A3163" s="2" t="str">
        <f>HYPERLINK("https://rth.dk/resources/bsgatlas/details.php?id=BSGatlas-operon-1665","BSGatlas-operon-1665")</f>
        <v>BSGatlas-operon-1665</v>
      </c>
      <c r="B3163" s="2" t="str">
        <f>HYPERLINK("https://rth.dk/resources/bsgatlas/details.php?id=BSGatlas-gene-3468","BSGatlas-gene-3468")</f>
        <v>BSGatlas-gene-3468</v>
      </c>
      <c r="C3163" s="1" t="s">
        <v>3132</v>
      </c>
      <c r="D3163" s="1" t="s">
        <v>8</v>
      </c>
      <c r="E3163" s="3">
        <v>3031614</v>
      </c>
      <c r="F3163" s="3">
        <v>3032420</v>
      </c>
      <c r="G3163" s="1" t="s">
        <v>9</v>
      </c>
      <c r="H3163" s="1" t="b">
        <f t="shared" si="120"/>
        <v>1</v>
      </c>
    </row>
    <row r="3164" spans="1:8" ht="21" x14ac:dyDescent="0.25">
      <c r="A3164" s="2" t="str">
        <f>HYPERLINK("https://rth.dk/resources/bsgatlas/details.php?id=BSGatlas-operon-1665","BSGatlas-operon-1665")</f>
        <v>BSGatlas-operon-1665</v>
      </c>
      <c r="B3164" s="2" t="str">
        <f>HYPERLINK("https://rth.dk/resources/bsgatlas/details.php?id=BSGatlas-gene-3470","BSGatlas-gene-3470")</f>
        <v>BSGatlas-gene-3470</v>
      </c>
      <c r="C3164" s="1" t="s">
        <v>3133</v>
      </c>
      <c r="D3164" s="1" t="s">
        <v>8</v>
      </c>
      <c r="E3164" s="3">
        <v>3033167</v>
      </c>
      <c r="F3164" s="3">
        <v>3033658</v>
      </c>
      <c r="G3164" s="1" t="s">
        <v>9</v>
      </c>
      <c r="H3164" s="1" t="b">
        <f t="shared" si="120"/>
        <v>1</v>
      </c>
    </row>
    <row r="3165" spans="1:8" ht="21" x14ac:dyDescent="0.25">
      <c r="A3165" s="2" t="str">
        <f>HYPERLINK("https://rth.dk/resources/bsgatlas/details.php?id=BSGatlas-operon-1666","BSGatlas-operon-1666")</f>
        <v>BSGatlas-operon-1666</v>
      </c>
      <c r="B3165" s="2" t="str">
        <f>HYPERLINK("https://rth.dk/resources/bsgatlas/details.php?id=BSGatlas-gene-3469","BSGatlas-gene-3469")</f>
        <v>BSGatlas-gene-3469</v>
      </c>
      <c r="C3165" s="1" t="s">
        <v>3134</v>
      </c>
      <c r="D3165" s="1" t="s">
        <v>8</v>
      </c>
      <c r="E3165" s="3">
        <v>3032417</v>
      </c>
      <c r="F3165" s="3">
        <v>3033040</v>
      </c>
      <c r="G3165" s="1" t="s">
        <v>13</v>
      </c>
      <c r="H3165" s="1" t="b">
        <f t="shared" si="120"/>
        <v>0</v>
      </c>
    </row>
    <row r="3166" spans="1:8" ht="21" x14ac:dyDescent="0.25">
      <c r="A3166" s="2" t="str">
        <f>HYPERLINK("https://rth.dk/resources/bsgatlas/details.php?id=BSGatlas-operon-1667","BSGatlas-operon-1667")</f>
        <v>BSGatlas-operon-1667</v>
      </c>
      <c r="B3166" s="2" t="str">
        <f>HYPERLINK("https://rth.dk/resources/bsgatlas/details.php?id=BSGatlas-gene-3471","BSGatlas-gene-3471")</f>
        <v>BSGatlas-gene-3471</v>
      </c>
      <c r="C3166" s="1" t="s">
        <v>3135</v>
      </c>
      <c r="D3166" s="1" t="s">
        <v>8</v>
      </c>
      <c r="E3166" s="3">
        <v>3033696</v>
      </c>
      <c r="F3166" s="3">
        <v>3035435</v>
      </c>
      <c r="G3166" s="1" t="s">
        <v>13</v>
      </c>
      <c r="H3166" s="1" t="b">
        <f t="shared" si="120"/>
        <v>1</v>
      </c>
    </row>
    <row r="3167" spans="1:8" ht="21" x14ac:dyDescent="0.25">
      <c r="A3167" s="2" t="str">
        <f>HYPERLINK("https://rth.dk/resources/bsgatlas/details.php?id=BSGatlas-operon-1668","BSGatlas-operon-1668")</f>
        <v>BSGatlas-operon-1668</v>
      </c>
      <c r="B3167" s="2" t="str">
        <f>HYPERLINK("https://rth.dk/resources/bsgatlas/details.php?id=BSGatlas-gene-3473","BSGatlas-gene-3473")</f>
        <v>BSGatlas-gene-3473</v>
      </c>
      <c r="C3167" s="1" t="s">
        <v>3136</v>
      </c>
      <c r="D3167" s="1" t="s">
        <v>8</v>
      </c>
      <c r="E3167" s="3">
        <v>3035730</v>
      </c>
      <c r="F3167" s="3">
        <v>3036332</v>
      </c>
      <c r="G3167" s="1" t="s">
        <v>9</v>
      </c>
      <c r="H3167" s="1" t="b">
        <f t="shared" si="120"/>
        <v>0</v>
      </c>
    </row>
    <row r="3168" spans="1:8" ht="21" x14ac:dyDescent="0.25">
      <c r="A3168" s="2" t="str">
        <f>HYPERLINK("https://rth.dk/resources/bsgatlas/details.php?id=BSGatlas-operon-1669","BSGatlas-operon-1669")</f>
        <v>BSGatlas-operon-1669</v>
      </c>
      <c r="B3168" s="2" t="str">
        <f>HYPERLINK("https://rth.dk/resources/bsgatlas/details.php?id=BSGatlas-gene-3474","BSGatlas-gene-3474")</f>
        <v>BSGatlas-gene-3474</v>
      </c>
      <c r="C3168" s="1" t="s">
        <v>3137</v>
      </c>
      <c r="D3168" s="1" t="s">
        <v>12</v>
      </c>
      <c r="E3168" s="3">
        <v>3036340</v>
      </c>
      <c r="F3168" s="3">
        <v>3036527</v>
      </c>
      <c r="G3168" s="1" t="s">
        <v>13</v>
      </c>
      <c r="H3168" s="1" t="b">
        <f t="shared" si="120"/>
        <v>1</v>
      </c>
    </row>
    <row r="3169" spans="1:8" ht="21" x14ac:dyDescent="0.25">
      <c r="A3169" s="2" t="str">
        <f>HYPERLINK("https://rth.dk/resources/bsgatlas/details.php?id=BSGatlas-operon-1670","BSGatlas-operon-1670")</f>
        <v>BSGatlas-operon-1670</v>
      </c>
      <c r="B3169" s="2" t="str">
        <f>HYPERLINK("https://rth.dk/resources/bsgatlas/details.php?id=BSGatlas-gene-3475","BSGatlas-gene-3475")</f>
        <v>BSGatlas-gene-3475</v>
      </c>
      <c r="C3169" s="1" t="s">
        <v>3138</v>
      </c>
      <c r="D3169" s="1" t="s">
        <v>12</v>
      </c>
      <c r="E3169" s="3">
        <v>3036396</v>
      </c>
      <c r="F3169" s="3">
        <v>3036570</v>
      </c>
      <c r="G3169" s="1" t="s">
        <v>9</v>
      </c>
      <c r="H3169" s="1" t="b">
        <f t="shared" si="120"/>
        <v>0</v>
      </c>
    </row>
    <row r="3170" spans="1:8" ht="21" x14ac:dyDescent="0.25">
      <c r="A3170" s="2" t="str">
        <f>HYPERLINK("https://rth.dk/resources/bsgatlas/details.php?id=BSGatlas-operon-1671","BSGatlas-operon-1671")</f>
        <v>BSGatlas-operon-1671</v>
      </c>
      <c r="B3170" s="2" t="str">
        <f>HYPERLINK("https://rth.dk/resources/bsgatlas/details.php?id=BSGatlas-gene-3476","BSGatlas-gene-3476")</f>
        <v>BSGatlas-gene-3476</v>
      </c>
      <c r="C3170" s="1" t="s">
        <v>3139</v>
      </c>
      <c r="D3170" s="1" t="s">
        <v>8</v>
      </c>
      <c r="E3170" s="3">
        <v>3036603</v>
      </c>
      <c r="F3170" s="3">
        <v>3037871</v>
      </c>
      <c r="G3170" s="1" t="s">
        <v>13</v>
      </c>
      <c r="H3170" s="1" t="b">
        <f t="shared" si="120"/>
        <v>1</v>
      </c>
    </row>
    <row r="3171" spans="1:8" ht="21" x14ac:dyDescent="0.25">
      <c r="A3171" s="2" t="str">
        <f>HYPERLINK("https://rth.dk/resources/bsgatlas/details.php?id=BSGatlas-operon-1671","BSGatlas-operon-1671")</f>
        <v>BSGatlas-operon-1671</v>
      </c>
      <c r="B3171" s="2" t="str">
        <f>HYPERLINK("https://rth.dk/resources/bsgatlas/details.php?id=BSGatlas-gene-3477","BSGatlas-gene-3477")</f>
        <v>BSGatlas-gene-3477</v>
      </c>
      <c r="C3171" s="1" t="s">
        <v>3140</v>
      </c>
      <c r="D3171" s="1" t="s">
        <v>34</v>
      </c>
      <c r="E3171" s="3">
        <v>3037895</v>
      </c>
      <c r="F3171" s="3">
        <v>3038168</v>
      </c>
      <c r="G3171" s="1" t="s">
        <v>13</v>
      </c>
      <c r="H3171" s="1" t="b">
        <f t="shared" si="120"/>
        <v>1</v>
      </c>
    </row>
    <row r="3172" spans="1:8" ht="21" x14ac:dyDescent="0.25">
      <c r="A3172" s="2" t="str">
        <f>HYPERLINK("https://rth.dk/resources/bsgatlas/details.php?id=BSGatlas-operon-1671","BSGatlas-operon-1671")</f>
        <v>BSGatlas-operon-1671</v>
      </c>
      <c r="B3172" s="2" t="str">
        <f>HYPERLINK("https://rth.dk/resources/bsgatlas/details.php?id=BSGatlas-gene-3478","BSGatlas-gene-3478")</f>
        <v>BSGatlas-gene-3478</v>
      </c>
      <c r="C3172" s="1" t="s">
        <v>3141</v>
      </c>
      <c r="D3172" s="1" t="s">
        <v>8</v>
      </c>
      <c r="E3172" s="3">
        <v>3038060</v>
      </c>
      <c r="F3172" s="3">
        <v>3038203</v>
      </c>
      <c r="G3172" s="1" t="s">
        <v>13</v>
      </c>
      <c r="H3172" s="1" t="b">
        <f t="shared" si="120"/>
        <v>1</v>
      </c>
    </row>
    <row r="3173" spans="1:8" ht="21" x14ac:dyDescent="0.25">
      <c r="A3173" s="2" t="str">
        <f>HYPERLINK("https://rth.dk/resources/bsgatlas/details.php?id=BSGatlas-operon-1671","BSGatlas-operon-1671")</f>
        <v>BSGatlas-operon-1671</v>
      </c>
      <c r="B3173" s="2" t="str">
        <f>HYPERLINK("https://rth.dk/resources/bsgatlas/details.php?id=BSGatlas-gene-3479","BSGatlas-gene-3479")</f>
        <v>BSGatlas-gene-3479</v>
      </c>
      <c r="C3173" s="1" t="s">
        <v>3142</v>
      </c>
      <c r="D3173" s="1" t="s">
        <v>8</v>
      </c>
      <c r="E3173" s="3">
        <v>3038213</v>
      </c>
      <c r="F3173" s="3">
        <v>3039931</v>
      </c>
      <c r="G3173" s="1" t="s">
        <v>13</v>
      </c>
      <c r="H3173" s="1" t="b">
        <f t="shared" si="120"/>
        <v>1</v>
      </c>
    </row>
    <row r="3174" spans="1:8" ht="21" x14ac:dyDescent="0.25">
      <c r="A3174" s="2" t="str">
        <f>HYPERLINK("https://rth.dk/resources/bsgatlas/details.php?id=BSGatlas-operon-1672","BSGatlas-operon-1672")</f>
        <v>BSGatlas-operon-1672</v>
      </c>
      <c r="B3174" s="2" t="str">
        <f>HYPERLINK("https://rth.dk/resources/bsgatlas/details.php?id=BSGatlas-gene-3480","BSGatlas-gene-3480")</f>
        <v>BSGatlas-gene-3480</v>
      </c>
      <c r="C3174" s="1" t="s">
        <v>3143</v>
      </c>
      <c r="D3174" s="1" t="s">
        <v>8</v>
      </c>
      <c r="E3174" s="3">
        <v>3040092</v>
      </c>
      <c r="F3174" s="3">
        <v>3040724</v>
      </c>
      <c r="G3174" s="1" t="s">
        <v>9</v>
      </c>
      <c r="H3174" s="1" t="b">
        <f t="shared" si="120"/>
        <v>0</v>
      </c>
    </row>
    <row r="3175" spans="1:8" ht="21" x14ac:dyDescent="0.25">
      <c r="A3175" s="2" t="str">
        <f>HYPERLINK("https://rth.dk/resources/bsgatlas/details.php?id=BSGatlas-operon-1672","BSGatlas-operon-1672")</f>
        <v>BSGatlas-operon-1672</v>
      </c>
      <c r="B3175" s="2" t="str">
        <f>HYPERLINK("https://rth.dk/resources/bsgatlas/details.php?id=BSGatlas-gene-3481","BSGatlas-gene-3481")</f>
        <v>BSGatlas-gene-3481</v>
      </c>
      <c r="C3175" s="1" t="s">
        <v>3144</v>
      </c>
      <c r="D3175" s="1" t="s">
        <v>8</v>
      </c>
      <c r="E3175" s="3">
        <v>3040751</v>
      </c>
      <c r="F3175" s="3">
        <v>3041395</v>
      </c>
      <c r="G3175" s="1" t="s">
        <v>9</v>
      </c>
      <c r="H3175" s="1" t="b">
        <f t="shared" si="120"/>
        <v>0</v>
      </c>
    </row>
    <row r="3176" spans="1:8" ht="21" x14ac:dyDescent="0.25">
      <c r="A3176" s="2" t="str">
        <f>HYPERLINK("https://rth.dk/resources/bsgatlas/details.php?id=BSGatlas-operon-1672","BSGatlas-operon-1672")</f>
        <v>BSGatlas-operon-1672</v>
      </c>
      <c r="B3176" s="2" t="str">
        <f>HYPERLINK("https://rth.dk/resources/bsgatlas/details.php?id=BSGatlas-gene-3482","BSGatlas-gene-3482")</f>
        <v>BSGatlas-gene-3482</v>
      </c>
      <c r="C3176" s="1" t="s">
        <v>3145</v>
      </c>
      <c r="D3176" s="1" t="s">
        <v>8</v>
      </c>
      <c r="E3176" s="3">
        <v>3041392</v>
      </c>
      <c r="F3176" s="3">
        <v>3042555</v>
      </c>
      <c r="G3176" s="1" t="s">
        <v>9</v>
      </c>
      <c r="H3176" s="1" t="b">
        <f t="shared" si="120"/>
        <v>0</v>
      </c>
    </row>
    <row r="3177" spans="1:8" ht="21" x14ac:dyDescent="0.25">
      <c r="A3177" s="2" t="str">
        <f>HYPERLINK("https://rth.dk/resources/bsgatlas/details.php?id=BSGatlas-operon-1673","BSGatlas-operon-1673")</f>
        <v>BSGatlas-operon-1673</v>
      </c>
      <c r="B3177" s="2" t="str">
        <f>HYPERLINK("https://rth.dk/resources/bsgatlas/details.php?id=BSGatlas-gene-3483","BSGatlas-gene-3483")</f>
        <v>BSGatlas-gene-3483</v>
      </c>
      <c r="C3177" s="1" t="s">
        <v>3146</v>
      </c>
      <c r="D3177" s="1" t="s">
        <v>8</v>
      </c>
      <c r="E3177" s="3">
        <v>3042566</v>
      </c>
      <c r="F3177" s="3">
        <v>3043294</v>
      </c>
      <c r="G3177" s="1" t="s">
        <v>13</v>
      </c>
      <c r="H3177" s="1" t="b">
        <f t="shared" si="120"/>
        <v>1</v>
      </c>
    </row>
    <row r="3178" spans="1:8" ht="21" x14ac:dyDescent="0.25">
      <c r="A3178" s="2" t="str">
        <f>HYPERLINK("https://rth.dk/resources/bsgatlas/details.php?id=BSGatlas-operon-1673","BSGatlas-operon-1673")</f>
        <v>BSGatlas-operon-1673</v>
      </c>
      <c r="B3178" s="2" t="str">
        <f>HYPERLINK("https://rth.dk/resources/bsgatlas/details.php?id=BSGatlas-gene-3484","BSGatlas-gene-3484")</f>
        <v>BSGatlas-gene-3484</v>
      </c>
      <c r="C3178" s="1" t="s">
        <v>3147</v>
      </c>
      <c r="D3178" s="1" t="s">
        <v>8</v>
      </c>
      <c r="E3178" s="3">
        <v>3043284</v>
      </c>
      <c r="F3178" s="3">
        <v>3044102</v>
      </c>
      <c r="G3178" s="1" t="s">
        <v>13</v>
      </c>
      <c r="H3178" s="1" t="b">
        <f t="shared" si="120"/>
        <v>1</v>
      </c>
    </row>
    <row r="3179" spans="1:8" ht="21" x14ac:dyDescent="0.25">
      <c r="A3179" s="2" t="str">
        <f>HYPERLINK("https://rth.dk/resources/bsgatlas/details.php?id=BSGatlas-operon-1673","BSGatlas-operon-1673")</f>
        <v>BSGatlas-operon-1673</v>
      </c>
      <c r="B3179" s="2" t="str">
        <f>HYPERLINK("https://rth.dk/resources/bsgatlas/details.php?id=BSGatlas-gene-3485","BSGatlas-gene-3485")</f>
        <v>BSGatlas-gene-3485</v>
      </c>
      <c r="C3179" s="1" t="s">
        <v>3148</v>
      </c>
      <c r="D3179" s="1" t="s">
        <v>8</v>
      </c>
      <c r="E3179" s="3">
        <v>3044165</v>
      </c>
      <c r="F3179" s="3">
        <v>3045169</v>
      </c>
      <c r="G3179" s="1" t="s">
        <v>13</v>
      </c>
      <c r="H3179" s="1" t="b">
        <f t="shared" si="120"/>
        <v>1</v>
      </c>
    </row>
    <row r="3180" spans="1:8" ht="21" x14ac:dyDescent="0.25">
      <c r="A3180" s="2" t="str">
        <f>HYPERLINK("https://rth.dk/resources/bsgatlas/details.php?id=BSGatlas-operon-1674","BSGatlas-operon-1674")</f>
        <v>BSGatlas-operon-1674</v>
      </c>
      <c r="B3180" s="2" t="str">
        <f>HYPERLINK("https://rth.dk/resources/bsgatlas/details.php?id=BSGatlas-gene-3486","BSGatlas-gene-3486")</f>
        <v>BSGatlas-gene-3486</v>
      </c>
      <c r="C3180" s="1" t="s">
        <v>3149</v>
      </c>
      <c r="D3180" s="1" t="s">
        <v>8</v>
      </c>
      <c r="E3180" s="3">
        <v>3045445</v>
      </c>
      <c r="F3180" s="3">
        <v>3046521</v>
      </c>
      <c r="G3180" s="1" t="s">
        <v>13</v>
      </c>
      <c r="H3180" s="1" t="b">
        <f t="shared" si="120"/>
        <v>0</v>
      </c>
    </row>
    <row r="3181" spans="1:8" ht="21" x14ac:dyDescent="0.25">
      <c r="A3181" s="2" t="str">
        <f>HYPERLINK("https://rth.dk/resources/bsgatlas/details.php?id=BSGatlas-operon-1675","BSGatlas-operon-1675")</f>
        <v>BSGatlas-operon-1675</v>
      </c>
      <c r="B3181" s="2" t="str">
        <f>HYPERLINK("https://rth.dk/resources/bsgatlas/details.php?id=BSGatlas-gene-3487","BSGatlas-gene-3487")</f>
        <v>BSGatlas-gene-3487</v>
      </c>
      <c r="C3181" s="1" t="s">
        <v>3150</v>
      </c>
      <c r="D3181" s="1" t="s">
        <v>8</v>
      </c>
      <c r="E3181" s="3">
        <v>3046757</v>
      </c>
      <c r="F3181" s="3">
        <v>3047083</v>
      </c>
      <c r="G3181" s="1" t="s">
        <v>13</v>
      </c>
      <c r="H3181" s="1" t="b">
        <f t="shared" si="120"/>
        <v>1</v>
      </c>
    </row>
    <row r="3182" spans="1:8" ht="21" x14ac:dyDescent="0.25">
      <c r="A3182" s="2" t="str">
        <f>HYPERLINK("https://rth.dk/resources/bsgatlas/details.php?id=BSGatlas-operon-1675","BSGatlas-operon-1675")</f>
        <v>BSGatlas-operon-1675</v>
      </c>
      <c r="B3182" s="2" t="str">
        <f>HYPERLINK("https://rth.dk/resources/bsgatlas/details.php?id=BSGatlas-gene-3488","BSGatlas-gene-3488")</f>
        <v>BSGatlas-gene-3488</v>
      </c>
      <c r="C3182" s="1" t="s">
        <v>3151</v>
      </c>
      <c r="D3182" s="1" t="s">
        <v>8</v>
      </c>
      <c r="E3182" s="3">
        <v>3047107</v>
      </c>
      <c r="F3182" s="3">
        <v>3047562</v>
      </c>
      <c r="G3182" s="1" t="s">
        <v>13</v>
      </c>
      <c r="H3182" s="1" t="b">
        <f t="shared" si="120"/>
        <v>1</v>
      </c>
    </row>
    <row r="3183" spans="1:8" ht="21" x14ac:dyDescent="0.25">
      <c r="A3183" s="2" t="str">
        <f>HYPERLINK("https://rth.dk/resources/bsgatlas/details.php?id=BSGatlas-operon-1675","BSGatlas-operon-1675")</f>
        <v>BSGatlas-operon-1675</v>
      </c>
      <c r="B3183" s="2" t="str">
        <f>HYPERLINK("https://rth.dk/resources/bsgatlas/details.php?id=BSGatlas-gene-3489","BSGatlas-gene-3489")</f>
        <v>BSGatlas-gene-3489</v>
      </c>
      <c r="C3183" s="1" t="s">
        <v>3152</v>
      </c>
      <c r="D3183" s="1" t="s">
        <v>8</v>
      </c>
      <c r="E3183" s="3">
        <v>3047593</v>
      </c>
      <c r="F3183" s="3">
        <v>3048015</v>
      </c>
      <c r="G3183" s="1" t="s">
        <v>13</v>
      </c>
      <c r="H3183" s="1" t="b">
        <f t="shared" si="120"/>
        <v>1</v>
      </c>
    </row>
    <row r="3184" spans="1:8" ht="21" x14ac:dyDescent="0.25">
      <c r="A3184" s="2" t="str">
        <f>HYPERLINK("https://rth.dk/resources/bsgatlas/details.php?id=BSGatlas-operon-1676","BSGatlas-operon-1676")</f>
        <v>BSGatlas-operon-1676</v>
      </c>
      <c r="B3184" s="2" t="str">
        <f>HYPERLINK("https://rth.dk/resources/bsgatlas/details.php?id=BSGatlas-gene-3490","BSGatlas-gene-3490")</f>
        <v>BSGatlas-gene-3490</v>
      </c>
      <c r="C3184" s="1" t="s">
        <v>3153</v>
      </c>
      <c r="D3184" s="1" t="s">
        <v>8</v>
      </c>
      <c r="E3184" s="3">
        <v>3048177</v>
      </c>
      <c r="F3184" s="3">
        <v>3049475</v>
      </c>
      <c r="G3184" s="1" t="s">
        <v>13</v>
      </c>
      <c r="H3184" s="1" t="b">
        <f t="shared" si="120"/>
        <v>0</v>
      </c>
    </row>
    <row r="3185" spans="1:8" ht="21" x14ac:dyDescent="0.25">
      <c r="A3185" s="2" t="str">
        <f>HYPERLINK("https://rth.dk/resources/bsgatlas/details.php?id=BSGatlas-operon-1676","BSGatlas-operon-1676")</f>
        <v>BSGatlas-operon-1676</v>
      </c>
      <c r="B3185" s="2" t="str">
        <f>HYPERLINK("https://rth.dk/resources/bsgatlas/details.php?id=BSGatlas-gene-3491","BSGatlas-gene-3491")</f>
        <v>BSGatlas-gene-3491</v>
      </c>
      <c r="C3185" s="1" t="s">
        <v>3154</v>
      </c>
      <c r="D3185" s="1" t="s">
        <v>8</v>
      </c>
      <c r="E3185" s="3">
        <v>3049725</v>
      </c>
      <c r="F3185" s="3">
        <v>3052583</v>
      </c>
      <c r="G3185" s="1" t="s">
        <v>13</v>
      </c>
      <c r="H3185" s="1" t="b">
        <f t="shared" si="120"/>
        <v>0</v>
      </c>
    </row>
    <row r="3186" spans="1:8" ht="21" x14ac:dyDescent="0.25">
      <c r="A3186" s="2" t="str">
        <f>HYPERLINK("https://rth.dk/resources/bsgatlas/details.php?id=BSGatlas-operon-1677","BSGatlas-operon-1677")</f>
        <v>BSGatlas-operon-1677</v>
      </c>
      <c r="B3186" s="2" t="str">
        <f>HYPERLINK("https://rth.dk/resources/bsgatlas/details.php?id=BSGatlas-gene-3492","BSGatlas-gene-3492")</f>
        <v>BSGatlas-gene-3492</v>
      </c>
      <c r="C3186" s="1" t="s">
        <v>3155</v>
      </c>
      <c r="D3186" s="1" t="s">
        <v>8</v>
      </c>
      <c r="E3186" s="3">
        <v>3052743</v>
      </c>
      <c r="F3186" s="3">
        <v>3053348</v>
      </c>
      <c r="G3186" s="1" t="s">
        <v>13</v>
      </c>
      <c r="H3186" s="1" t="b">
        <f t="shared" si="120"/>
        <v>1</v>
      </c>
    </row>
    <row r="3187" spans="1:8" ht="21" x14ac:dyDescent="0.25">
      <c r="A3187" s="2" t="str">
        <f>HYPERLINK("https://rth.dk/resources/bsgatlas/details.php?id=BSGatlas-operon-1677","BSGatlas-operon-1677")</f>
        <v>BSGatlas-operon-1677</v>
      </c>
      <c r="B3187" s="2" t="str">
        <f>HYPERLINK("https://rth.dk/resources/bsgatlas/details.php?id=BSGatlas-gene-3493","BSGatlas-gene-3493")</f>
        <v>BSGatlas-gene-3493</v>
      </c>
      <c r="C3187" s="1" t="s">
        <v>3156</v>
      </c>
      <c r="D3187" s="1" t="s">
        <v>8</v>
      </c>
      <c r="E3187" s="3">
        <v>3053364</v>
      </c>
      <c r="F3187" s="3">
        <v>3054173</v>
      </c>
      <c r="G3187" s="1" t="s">
        <v>13</v>
      </c>
      <c r="H3187" s="1" t="b">
        <f t="shared" si="120"/>
        <v>1</v>
      </c>
    </row>
    <row r="3188" spans="1:8" ht="21" x14ac:dyDescent="0.25">
      <c r="A3188" s="2" t="str">
        <f>HYPERLINK("https://rth.dk/resources/bsgatlas/details.php?id=BSGatlas-operon-1677","BSGatlas-operon-1677")</f>
        <v>BSGatlas-operon-1677</v>
      </c>
      <c r="B3188" s="2" t="str">
        <f>HYPERLINK("https://rth.dk/resources/bsgatlas/details.php?id=BSGatlas-gene-3494","BSGatlas-gene-3494")</f>
        <v>BSGatlas-gene-3494</v>
      </c>
      <c r="C3188" s="1" t="s">
        <v>3157</v>
      </c>
      <c r="D3188" s="1" t="s">
        <v>8</v>
      </c>
      <c r="E3188" s="3">
        <v>3054188</v>
      </c>
      <c r="F3188" s="3">
        <v>3054511</v>
      </c>
      <c r="G3188" s="1" t="s">
        <v>13</v>
      </c>
      <c r="H3188" s="1" t="b">
        <f t="shared" si="120"/>
        <v>1</v>
      </c>
    </row>
    <row r="3189" spans="1:8" ht="21" x14ac:dyDescent="0.25">
      <c r="A3189" s="2" t="str">
        <f>HYPERLINK("https://rth.dk/resources/bsgatlas/details.php?id=BSGatlas-operon-1678","BSGatlas-operon-1678")</f>
        <v>BSGatlas-operon-1678</v>
      </c>
      <c r="B3189" s="2" t="str">
        <f>HYPERLINK("https://rth.dk/resources/bsgatlas/details.php?id=BSGatlas-gene-3495","BSGatlas-gene-3495")</f>
        <v>BSGatlas-gene-3495</v>
      </c>
      <c r="C3189" s="1" t="s">
        <v>318</v>
      </c>
      <c r="D3189" s="1" t="s">
        <v>8</v>
      </c>
      <c r="E3189" s="3">
        <v>3054550</v>
      </c>
      <c r="F3189" s="3">
        <v>3054666</v>
      </c>
      <c r="G3189" s="1" t="s">
        <v>13</v>
      </c>
      <c r="H3189" s="1" t="b">
        <f t="shared" si="120"/>
        <v>0</v>
      </c>
    </row>
    <row r="3190" spans="1:8" ht="21" x14ac:dyDescent="0.25">
      <c r="A3190" s="2" t="str">
        <f>HYPERLINK("https://rth.dk/resources/bsgatlas/details.php?id=BSGatlas-operon-1679","BSGatlas-operon-1679")</f>
        <v>BSGatlas-operon-1679</v>
      </c>
      <c r="B3190" s="2" t="str">
        <f>HYPERLINK("https://rth.dk/resources/bsgatlas/details.php?id=BSGatlas-gene-3496","BSGatlas-gene-3496")</f>
        <v>BSGatlas-gene-3496</v>
      </c>
      <c r="C3190" s="1" t="s">
        <v>3158</v>
      </c>
      <c r="D3190" s="1" t="s">
        <v>8</v>
      </c>
      <c r="E3190" s="3">
        <v>3054746</v>
      </c>
      <c r="F3190" s="3">
        <v>3055192</v>
      </c>
      <c r="G3190" s="1" t="s">
        <v>9</v>
      </c>
      <c r="H3190" s="1" t="b">
        <f t="shared" si="120"/>
        <v>1</v>
      </c>
    </row>
    <row r="3191" spans="1:8" ht="21" x14ac:dyDescent="0.25">
      <c r="A3191" s="2" t="str">
        <f>HYPERLINK("https://rth.dk/resources/bsgatlas/details.php?id=BSGatlas-operon-1680","BSGatlas-operon-1680")</f>
        <v>BSGatlas-operon-1680</v>
      </c>
      <c r="B3191" s="2" t="str">
        <f>HYPERLINK("https://rth.dk/resources/bsgatlas/details.php?id=BSGatlas-gene-3497","BSGatlas-gene-3497")</f>
        <v>BSGatlas-gene-3497</v>
      </c>
      <c r="C3191" s="1" t="s">
        <v>3159</v>
      </c>
      <c r="D3191" s="1" t="s">
        <v>8</v>
      </c>
      <c r="E3191" s="3">
        <v>3055247</v>
      </c>
      <c r="F3191" s="3">
        <v>3056320</v>
      </c>
      <c r="G3191" s="1" t="s">
        <v>13</v>
      </c>
      <c r="H3191" s="1" t="b">
        <f t="shared" si="120"/>
        <v>0</v>
      </c>
    </row>
    <row r="3192" spans="1:8" ht="21" x14ac:dyDescent="0.25">
      <c r="A3192" s="2" t="str">
        <f>HYPERLINK("https://rth.dk/resources/bsgatlas/details.php?id=BSGatlas-operon-1681","BSGatlas-operon-1681")</f>
        <v>BSGatlas-operon-1681</v>
      </c>
      <c r="B3192" s="2" t="str">
        <f>HYPERLINK("https://rth.dk/resources/bsgatlas/details.php?id=BSGatlas-gene-3498","BSGatlas-gene-3498")</f>
        <v>BSGatlas-gene-3498</v>
      </c>
      <c r="C3192" s="1" t="s">
        <v>3160</v>
      </c>
      <c r="D3192" s="1" t="s">
        <v>8</v>
      </c>
      <c r="E3192" s="3">
        <v>3056479</v>
      </c>
      <c r="F3192" s="3">
        <v>3056796</v>
      </c>
      <c r="G3192" s="1" t="s">
        <v>9</v>
      </c>
      <c r="H3192" s="1" t="b">
        <f t="shared" si="120"/>
        <v>1</v>
      </c>
    </row>
    <row r="3193" spans="1:8" ht="21" x14ac:dyDescent="0.25">
      <c r="A3193" s="2" t="str">
        <f>HYPERLINK("https://rth.dk/resources/bsgatlas/details.php?id=BSGatlas-operon-1682","BSGatlas-operon-1682")</f>
        <v>BSGatlas-operon-1682</v>
      </c>
      <c r="B3193" s="2" t="str">
        <f>HYPERLINK("https://rth.dk/resources/bsgatlas/details.php?id=BSGatlas-gene-3499","BSGatlas-gene-3499")</f>
        <v>BSGatlas-gene-3499</v>
      </c>
      <c r="C3193" s="1" t="s">
        <v>3161</v>
      </c>
      <c r="D3193" s="1" t="s">
        <v>8</v>
      </c>
      <c r="E3193" s="3">
        <v>3056849</v>
      </c>
      <c r="F3193" s="3">
        <v>3058549</v>
      </c>
      <c r="G3193" s="1" t="s">
        <v>13</v>
      </c>
      <c r="H3193" s="1" t="b">
        <f t="shared" si="120"/>
        <v>0</v>
      </c>
    </row>
    <row r="3194" spans="1:8" ht="21" x14ac:dyDescent="0.25">
      <c r="A3194" s="2" t="str">
        <f>HYPERLINK("https://rth.dk/resources/bsgatlas/details.php?id=BSGatlas-operon-1682","BSGatlas-operon-1682")</f>
        <v>BSGatlas-operon-1682</v>
      </c>
      <c r="B3194" s="2" t="str">
        <f>HYPERLINK("https://rth.dk/resources/bsgatlas/details.php?id=BSGatlas-gene-3500","BSGatlas-gene-3500")</f>
        <v>BSGatlas-gene-3500</v>
      </c>
      <c r="C3194" s="1" t="s">
        <v>3162</v>
      </c>
      <c r="D3194" s="1" t="s">
        <v>8</v>
      </c>
      <c r="E3194" s="3">
        <v>3058631</v>
      </c>
      <c r="F3194" s="3">
        <v>3059401</v>
      </c>
      <c r="G3194" s="1" t="s">
        <v>13</v>
      </c>
      <c r="H3194" s="1" t="b">
        <f t="shared" si="120"/>
        <v>0</v>
      </c>
    </row>
    <row r="3195" spans="1:8" ht="21" x14ac:dyDescent="0.25">
      <c r="A3195" s="2" t="str">
        <f>HYPERLINK("https://rth.dk/resources/bsgatlas/details.php?id=BSGatlas-operon-1683","BSGatlas-operon-1683")</f>
        <v>BSGatlas-operon-1683</v>
      </c>
      <c r="B3195" s="2" t="str">
        <f>HYPERLINK("https://rth.dk/resources/bsgatlas/details.php?id=BSGatlas-gene-3501","BSGatlas-gene-3501")</f>
        <v>BSGatlas-gene-3501</v>
      </c>
      <c r="C3195" s="1" t="s">
        <v>3163</v>
      </c>
      <c r="D3195" s="1" t="s">
        <v>8</v>
      </c>
      <c r="E3195" s="3">
        <v>3059547</v>
      </c>
      <c r="F3195" s="3">
        <v>3060188</v>
      </c>
      <c r="G3195" s="1" t="s">
        <v>13</v>
      </c>
      <c r="H3195" s="1" t="b">
        <f t="shared" si="120"/>
        <v>1</v>
      </c>
    </row>
    <row r="3196" spans="1:8" ht="21" x14ac:dyDescent="0.25">
      <c r="A3196" s="2" t="str">
        <f>HYPERLINK("https://rth.dk/resources/bsgatlas/details.php?id=BSGatlas-operon-1684","BSGatlas-operon-1684")</f>
        <v>BSGatlas-operon-1684</v>
      </c>
      <c r="B3196" s="2" t="str">
        <f>HYPERLINK("https://rth.dk/resources/bsgatlas/details.php?id=BSGatlas-gene-3502","BSGatlas-gene-3502")</f>
        <v>BSGatlas-gene-3502</v>
      </c>
      <c r="C3196" s="1" t="s">
        <v>3164</v>
      </c>
      <c r="D3196" s="1" t="s">
        <v>8</v>
      </c>
      <c r="E3196" s="3">
        <v>3060395</v>
      </c>
      <c r="F3196" s="3">
        <v>3060673</v>
      </c>
      <c r="G3196" s="1" t="s">
        <v>9</v>
      </c>
      <c r="H3196" s="1" t="b">
        <f t="shared" si="120"/>
        <v>0</v>
      </c>
    </row>
    <row r="3197" spans="1:8" ht="21" x14ac:dyDescent="0.25">
      <c r="A3197" s="2" t="str">
        <f>HYPERLINK("https://rth.dk/resources/bsgatlas/details.php?id=BSGatlas-operon-1685","BSGatlas-operon-1685")</f>
        <v>BSGatlas-operon-1685</v>
      </c>
      <c r="B3197" s="2" t="str">
        <f>HYPERLINK("https://rth.dk/resources/bsgatlas/details.php?id=BSGatlas-gene-3503","BSGatlas-gene-3503")</f>
        <v>BSGatlas-gene-3503</v>
      </c>
      <c r="C3197" s="1" t="s">
        <v>3165</v>
      </c>
      <c r="D3197" s="1" t="s">
        <v>8</v>
      </c>
      <c r="E3197" s="3">
        <v>3060674</v>
      </c>
      <c r="F3197" s="3">
        <v>3061288</v>
      </c>
      <c r="G3197" s="1" t="s">
        <v>13</v>
      </c>
      <c r="H3197" s="1" t="b">
        <f t="shared" si="120"/>
        <v>1</v>
      </c>
    </row>
    <row r="3198" spans="1:8" ht="21" x14ac:dyDescent="0.25">
      <c r="A3198" s="2" t="str">
        <f>HYPERLINK("https://rth.dk/resources/bsgatlas/details.php?id=BSGatlas-operon-1686","BSGatlas-operon-1686")</f>
        <v>BSGatlas-operon-1686</v>
      </c>
      <c r="B3198" s="2" t="str">
        <f>HYPERLINK("https://rth.dk/resources/bsgatlas/details.php?id=BSGatlas-gene-3504","BSGatlas-gene-3504")</f>
        <v>BSGatlas-gene-3504</v>
      </c>
      <c r="C3198" s="1" t="s">
        <v>3166</v>
      </c>
      <c r="D3198" s="1" t="s">
        <v>8</v>
      </c>
      <c r="E3198" s="3">
        <v>3061651</v>
      </c>
      <c r="F3198" s="3">
        <v>3063807</v>
      </c>
      <c r="G3198" s="1" t="s">
        <v>13</v>
      </c>
      <c r="H3198" s="1" t="b">
        <f t="shared" si="120"/>
        <v>0</v>
      </c>
    </row>
    <row r="3199" spans="1:8" ht="21" x14ac:dyDescent="0.25">
      <c r="A3199" s="2" t="str">
        <f>HYPERLINK("https://rth.dk/resources/bsgatlas/details.php?id=BSGatlas-operon-1686","BSGatlas-operon-1686")</f>
        <v>BSGatlas-operon-1686</v>
      </c>
      <c r="B3199" s="2" t="str">
        <f>HYPERLINK("https://rth.dk/resources/bsgatlas/details.php?id=BSGatlas-gene-3505","BSGatlas-gene-3505")</f>
        <v>BSGatlas-gene-3505</v>
      </c>
      <c r="C3199" s="1" t="s">
        <v>3167</v>
      </c>
      <c r="D3199" s="1" t="s">
        <v>8</v>
      </c>
      <c r="E3199" s="3">
        <v>3063833</v>
      </c>
      <c r="F3199" s="3">
        <v>3064762</v>
      </c>
      <c r="G3199" s="1" t="s">
        <v>13</v>
      </c>
      <c r="H3199" s="1" t="b">
        <f t="shared" si="120"/>
        <v>0</v>
      </c>
    </row>
    <row r="3200" spans="1:8" ht="21" x14ac:dyDescent="0.25">
      <c r="A3200" s="2" t="str">
        <f>HYPERLINK("https://rth.dk/resources/bsgatlas/details.php?id=BSGatlas-operon-1686","BSGatlas-operon-1686")</f>
        <v>BSGatlas-operon-1686</v>
      </c>
      <c r="B3200" s="2" t="str">
        <f>HYPERLINK("https://rth.dk/resources/bsgatlas/details.php?id=BSGatlas-gene-3506","BSGatlas-gene-3506")</f>
        <v>BSGatlas-gene-3506</v>
      </c>
      <c r="C3200" s="1" t="s">
        <v>3168</v>
      </c>
      <c r="D3200" s="1" t="s">
        <v>8</v>
      </c>
      <c r="E3200" s="3">
        <v>3064811</v>
      </c>
      <c r="F3200" s="3">
        <v>3065725</v>
      </c>
      <c r="G3200" s="1" t="s">
        <v>13</v>
      </c>
      <c r="H3200" s="1" t="b">
        <f t="shared" si="120"/>
        <v>0</v>
      </c>
    </row>
    <row r="3201" spans="1:8" ht="21" x14ac:dyDescent="0.25">
      <c r="A3201" s="2" t="str">
        <f>HYPERLINK("https://rth.dk/resources/bsgatlas/details.php?id=BSGatlas-operon-1686","BSGatlas-operon-1686")</f>
        <v>BSGatlas-operon-1686</v>
      </c>
      <c r="B3201" s="2" t="str">
        <f>HYPERLINK("https://rth.dk/resources/bsgatlas/details.php?id=BSGatlas-gene-3507","BSGatlas-gene-3507")</f>
        <v>BSGatlas-gene-3507</v>
      </c>
      <c r="C3201" s="1" t="s">
        <v>3169</v>
      </c>
      <c r="D3201" s="1" t="s">
        <v>8</v>
      </c>
      <c r="E3201" s="3">
        <v>3065751</v>
      </c>
      <c r="F3201" s="3">
        <v>3066302</v>
      </c>
      <c r="G3201" s="1" t="s">
        <v>13</v>
      </c>
      <c r="H3201" s="1" t="b">
        <f t="shared" si="120"/>
        <v>0</v>
      </c>
    </row>
    <row r="3202" spans="1:8" ht="21" x14ac:dyDescent="0.25">
      <c r="A3202" s="2" t="str">
        <f>HYPERLINK("https://rth.dk/resources/bsgatlas/details.php?id=BSGatlas-operon-1687","BSGatlas-operon-1687")</f>
        <v>BSGatlas-operon-1687</v>
      </c>
      <c r="B3202" s="2" t="str">
        <f>HYPERLINK("https://rth.dk/resources/bsgatlas/details.php?id=BSGatlas-gene-3508","BSGatlas-gene-3508")</f>
        <v>BSGatlas-gene-3508</v>
      </c>
      <c r="C3202" s="1" t="s">
        <v>3170</v>
      </c>
      <c r="D3202" s="1" t="s">
        <v>8</v>
      </c>
      <c r="E3202" s="3">
        <v>3066451</v>
      </c>
      <c r="F3202" s="3">
        <v>3067386</v>
      </c>
      <c r="G3202" s="1" t="s">
        <v>9</v>
      </c>
      <c r="H3202" s="1" t="b">
        <f t="shared" ref="H3202:H3265" si="121">_xlfn.XOR(A3201&lt;&gt;A3202,H3201)</f>
        <v>1</v>
      </c>
    </row>
    <row r="3203" spans="1:8" ht="21" x14ac:dyDescent="0.25">
      <c r="A3203" s="2" t="str">
        <f>HYPERLINK("https://rth.dk/resources/bsgatlas/details.php?id=BSGatlas-operon-1688","BSGatlas-operon-1688")</f>
        <v>BSGatlas-operon-1688</v>
      </c>
      <c r="B3203" s="2" t="str">
        <f>HYPERLINK("https://rth.dk/resources/bsgatlas/details.php?id=BSGatlas-gene-3509","BSGatlas-gene-3509")</f>
        <v>BSGatlas-gene-3509</v>
      </c>
      <c r="C3203" s="1" t="s">
        <v>3171</v>
      </c>
      <c r="D3203" s="1" t="s">
        <v>8</v>
      </c>
      <c r="E3203" s="3">
        <v>3067420</v>
      </c>
      <c r="F3203" s="3">
        <v>3068811</v>
      </c>
      <c r="G3203" s="1" t="s">
        <v>13</v>
      </c>
      <c r="H3203" s="1" t="b">
        <f t="shared" si="121"/>
        <v>0</v>
      </c>
    </row>
    <row r="3204" spans="1:8" ht="21" x14ac:dyDescent="0.25">
      <c r="A3204" s="2" t="str">
        <f>HYPERLINK("https://rth.dk/resources/bsgatlas/details.php?id=BSGatlas-operon-1689","BSGatlas-operon-1689")</f>
        <v>BSGatlas-operon-1689</v>
      </c>
      <c r="B3204" s="2" t="str">
        <f>HYPERLINK("https://rth.dk/resources/bsgatlas/details.php?id=BSGatlas-gene-3510","BSGatlas-gene-3510")</f>
        <v>BSGatlas-gene-3510</v>
      </c>
      <c r="C3204" s="1" t="s">
        <v>3172</v>
      </c>
      <c r="D3204" s="1" t="s">
        <v>8</v>
      </c>
      <c r="E3204" s="3">
        <v>3068908</v>
      </c>
      <c r="F3204" s="3">
        <v>3070206</v>
      </c>
      <c r="G3204" s="1" t="s">
        <v>9</v>
      </c>
      <c r="H3204" s="1" t="b">
        <f t="shared" si="121"/>
        <v>1</v>
      </c>
    </row>
    <row r="3205" spans="1:8" ht="21" x14ac:dyDescent="0.25">
      <c r="A3205" s="2" t="str">
        <f>HYPERLINK("https://rth.dk/resources/bsgatlas/details.php?id=BSGatlas-operon-1690","BSGatlas-operon-1690")</f>
        <v>BSGatlas-operon-1690</v>
      </c>
      <c r="B3205" s="2" t="str">
        <f>HYPERLINK("https://rth.dk/resources/bsgatlas/details.php?id=BSGatlas-gene-3511","BSGatlas-gene-3511")</f>
        <v>BSGatlas-gene-3511</v>
      </c>
      <c r="C3205" s="1" t="s">
        <v>3173</v>
      </c>
      <c r="D3205" s="1" t="s">
        <v>8</v>
      </c>
      <c r="E3205" s="3">
        <v>3070246</v>
      </c>
      <c r="F3205" s="3">
        <v>3071403</v>
      </c>
      <c r="G3205" s="1" t="s">
        <v>13</v>
      </c>
      <c r="H3205" s="1" t="b">
        <f t="shared" si="121"/>
        <v>0</v>
      </c>
    </row>
    <row r="3206" spans="1:8" ht="21" x14ac:dyDescent="0.25">
      <c r="A3206" s="2" t="str">
        <f>HYPERLINK("https://rth.dk/resources/bsgatlas/details.php?id=BSGatlas-operon-1690","BSGatlas-operon-1690")</f>
        <v>BSGatlas-operon-1690</v>
      </c>
      <c r="B3206" s="2" t="str">
        <f>HYPERLINK("https://rth.dk/resources/bsgatlas/details.php?id=BSGatlas-gene-3512","BSGatlas-gene-3512")</f>
        <v>BSGatlas-gene-3512</v>
      </c>
      <c r="C3206" s="1" t="s">
        <v>3174</v>
      </c>
      <c r="D3206" s="1" t="s">
        <v>8</v>
      </c>
      <c r="E3206" s="3">
        <v>3071400</v>
      </c>
      <c r="F3206" s="3">
        <v>3072110</v>
      </c>
      <c r="G3206" s="1" t="s">
        <v>13</v>
      </c>
      <c r="H3206" s="1" t="b">
        <f t="shared" si="121"/>
        <v>0</v>
      </c>
    </row>
    <row r="3207" spans="1:8" ht="21" x14ac:dyDescent="0.25">
      <c r="A3207" s="2" t="str">
        <f>HYPERLINK("https://rth.dk/resources/bsgatlas/details.php?id=BSGatlas-operon-1691","BSGatlas-operon-1691")</f>
        <v>BSGatlas-operon-1691</v>
      </c>
      <c r="B3207" s="2" t="str">
        <f>HYPERLINK("https://rth.dk/resources/bsgatlas/details.php?id=BSGatlas-gene-3513","BSGatlas-gene-3513")</f>
        <v>BSGatlas-gene-3513</v>
      </c>
      <c r="C3207" s="1" t="s">
        <v>3175</v>
      </c>
      <c r="D3207" s="1" t="s">
        <v>12</v>
      </c>
      <c r="E3207" s="3">
        <v>3072289</v>
      </c>
      <c r="F3207" s="3">
        <v>3072361</v>
      </c>
      <c r="G3207" s="1" t="s">
        <v>9</v>
      </c>
      <c r="H3207" s="1" t="b">
        <f t="shared" si="121"/>
        <v>1</v>
      </c>
    </row>
    <row r="3208" spans="1:8" ht="21" x14ac:dyDescent="0.25">
      <c r="A3208" s="2" t="str">
        <f>HYPERLINK("https://rth.dk/resources/bsgatlas/details.php?id=BSGatlas-operon-1692","BSGatlas-operon-1692")</f>
        <v>BSGatlas-operon-1692</v>
      </c>
      <c r="B3208" s="2" t="str">
        <f>HYPERLINK("https://rth.dk/resources/bsgatlas/details.php?id=BSGatlas-gene-3514","BSGatlas-gene-3514")</f>
        <v>BSGatlas-gene-3514</v>
      </c>
      <c r="C3208" s="1" t="s">
        <v>3176</v>
      </c>
      <c r="D3208" s="1" t="s">
        <v>8</v>
      </c>
      <c r="E3208" s="3">
        <v>3072401</v>
      </c>
      <c r="F3208" s="3">
        <v>3072622</v>
      </c>
      <c r="G3208" s="1" t="s">
        <v>9</v>
      </c>
      <c r="H3208" s="1" t="b">
        <f t="shared" si="121"/>
        <v>0</v>
      </c>
    </row>
    <row r="3209" spans="1:8" ht="21" x14ac:dyDescent="0.25">
      <c r="A3209" s="2" t="str">
        <f>HYPERLINK("https://rth.dk/resources/bsgatlas/details.php?id=BSGatlas-operon-1693","BSGatlas-operon-1693")</f>
        <v>BSGatlas-operon-1693</v>
      </c>
      <c r="B3209" s="2" t="str">
        <f>HYPERLINK("https://rth.dk/resources/bsgatlas/details.php?id=BSGatlas-gene-3515","BSGatlas-gene-3515")</f>
        <v>BSGatlas-gene-3515</v>
      </c>
      <c r="C3209" s="1" t="s">
        <v>3177</v>
      </c>
      <c r="D3209" s="1" t="s">
        <v>8</v>
      </c>
      <c r="E3209" s="3">
        <v>3072743</v>
      </c>
      <c r="F3209" s="3">
        <v>3073462</v>
      </c>
      <c r="G3209" s="1" t="s">
        <v>13</v>
      </c>
      <c r="H3209" s="1" t="b">
        <f t="shared" si="121"/>
        <v>1</v>
      </c>
    </row>
    <row r="3210" spans="1:8" ht="21" x14ac:dyDescent="0.25">
      <c r="A3210" s="2" t="str">
        <f>HYPERLINK("https://rth.dk/resources/bsgatlas/details.php?id=BSGatlas-operon-1693","BSGatlas-operon-1693")</f>
        <v>BSGatlas-operon-1693</v>
      </c>
      <c r="B3210" s="2" t="str">
        <f>HYPERLINK("https://rth.dk/resources/bsgatlas/details.php?id=BSGatlas-gene-3516","BSGatlas-gene-3516")</f>
        <v>BSGatlas-gene-3516</v>
      </c>
      <c r="C3210" s="1" t="s">
        <v>3178</v>
      </c>
      <c r="D3210" s="1" t="s">
        <v>8</v>
      </c>
      <c r="E3210" s="3">
        <v>3073531</v>
      </c>
      <c r="F3210" s="3">
        <v>3075165</v>
      </c>
      <c r="G3210" s="1" t="s">
        <v>13</v>
      </c>
      <c r="H3210" s="1" t="b">
        <f t="shared" si="121"/>
        <v>1</v>
      </c>
    </row>
    <row r="3211" spans="1:8" ht="21" x14ac:dyDescent="0.25">
      <c r="A3211" s="2" t="str">
        <f>HYPERLINK("https://rth.dk/resources/bsgatlas/details.php?id=BSGatlas-operon-1694","BSGatlas-operon-1694")</f>
        <v>BSGatlas-operon-1694</v>
      </c>
      <c r="B3211" s="2" t="str">
        <f>HYPERLINK("https://rth.dk/resources/bsgatlas/details.php?id=BSGatlas-gene-3517","BSGatlas-gene-3517")</f>
        <v>BSGatlas-gene-3517</v>
      </c>
      <c r="C3211" s="1" t="s">
        <v>3179</v>
      </c>
      <c r="D3211" s="1" t="s">
        <v>8</v>
      </c>
      <c r="E3211" s="3">
        <v>3075367</v>
      </c>
      <c r="F3211" s="3">
        <v>3076629</v>
      </c>
      <c r="G3211" s="1" t="s">
        <v>9</v>
      </c>
      <c r="H3211" s="1" t="b">
        <f t="shared" si="121"/>
        <v>0</v>
      </c>
    </row>
    <row r="3212" spans="1:8" ht="21" x14ac:dyDescent="0.25">
      <c r="A3212" s="2" t="str">
        <f>HYPERLINK("https://rth.dk/resources/bsgatlas/details.php?id=BSGatlas-operon-1694","BSGatlas-operon-1694")</f>
        <v>BSGatlas-operon-1694</v>
      </c>
      <c r="B3212" s="2" t="str">
        <f>HYPERLINK("https://rth.dk/resources/bsgatlas/details.php?id=BSGatlas-gene-3518","BSGatlas-gene-3518")</f>
        <v>BSGatlas-gene-3518</v>
      </c>
      <c r="C3212" s="1" t="s">
        <v>3180</v>
      </c>
      <c r="D3212" s="1" t="s">
        <v>8</v>
      </c>
      <c r="E3212" s="3">
        <v>3076818</v>
      </c>
      <c r="F3212" s="3">
        <v>3078356</v>
      </c>
      <c r="G3212" s="1" t="s">
        <v>9</v>
      </c>
      <c r="H3212" s="1" t="b">
        <f t="shared" si="121"/>
        <v>0</v>
      </c>
    </row>
    <row r="3213" spans="1:8" ht="21" x14ac:dyDescent="0.25">
      <c r="A3213" s="2" t="str">
        <f t="shared" ref="A3213:A3218" si="122">HYPERLINK("https://rth.dk/resources/bsgatlas/details.php?id=BSGatlas-operon-1695","BSGatlas-operon-1695")</f>
        <v>BSGatlas-operon-1695</v>
      </c>
      <c r="B3213" s="2" t="str">
        <f>HYPERLINK("https://rth.dk/resources/bsgatlas/details.php?id=BSGatlas-gene-3519","BSGatlas-gene-3519")</f>
        <v>BSGatlas-gene-3519</v>
      </c>
      <c r="C3213" s="1" t="s">
        <v>3181</v>
      </c>
      <c r="D3213" s="1" t="s">
        <v>8</v>
      </c>
      <c r="E3213" s="3">
        <v>3078393</v>
      </c>
      <c r="F3213" s="3">
        <v>3078575</v>
      </c>
      <c r="G3213" s="1" t="s">
        <v>13</v>
      </c>
      <c r="H3213" s="1" t="b">
        <f t="shared" si="121"/>
        <v>1</v>
      </c>
    </row>
    <row r="3214" spans="1:8" ht="21" x14ac:dyDescent="0.25">
      <c r="A3214" s="2" t="str">
        <f t="shared" si="122"/>
        <v>BSGatlas-operon-1695</v>
      </c>
      <c r="B3214" s="2" t="str">
        <f>HYPERLINK("https://rth.dk/resources/bsgatlas/details.php?id=BSGatlas-gene-3520","BSGatlas-gene-3520")</f>
        <v>BSGatlas-gene-3520</v>
      </c>
      <c r="C3214" s="1" t="s">
        <v>3182</v>
      </c>
      <c r="D3214" s="1" t="s">
        <v>8</v>
      </c>
      <c r="E3214" s="3">
        <v>3078643</v>
      </c>
      <c r="F3214" s="3">
        <v>3079311</v>
      </c>
      <c r="G3214" s="1" t="s">
        <v>13</v>
      </c>
      <c r="H3214" s="1" t="b">
        <f t="shared" si="121"/>
        <v>1</v>
      </c>
    </row>
    <row r="3215" spans="1:8" ht="21" x14ac:dyDescent="0.25">
      <c r="A3215" s="2" t="str">
        <f t="shared" si="122"/>
        <v>BSGatlas-operon-1695</v>
      </c>
      <c r="B3215" s="2" t="str">
        <f>HYPERLINK("https://rth.dk/resources/bsgatlas/details.php?id=BSGatlas-gene-3521","BSGatlas-gene-3521")</f>
        <v>BSGatlas-gene-3521</v>
      </c>
      <c r="C3215" s="1" t="s">
        <v>3183</v>
      </c>
      <c r="D3215" s="1" t="s">
        <v>8</v>
      </c>
      <c r="E3215" s="3">
        <v>3079333</v>
      </c>
      <c r="F3215" s="3">
        <v>3080619</v>
      </c>
      <c r="G3215" s="1" t="s">
        <v>13</v>
      </c>
      <c r="H3215" s="1" t="b">
        <f t="shared" si="121"/>
        <v>1</v>
      </c>
    </row>
    <row r="3216" spans="1:8" ht="21" x14ac:dyDescent="0.25">
      <c r="A3216" s="2" t="str">
        <f t="shared" si="122"/>
        <v>BSGatlas-operon-1695</v>
      </c>
      <c r="B3216" s="2" t="str">
        <f>HYPERLINK("https://rth.dk/resources/bsgatlas/details.php?id=BSGatlas-gene-3522","BSGatlas-gene-3522")</f>
        <v>BSGatlas-gene-3522</v>
      </c>
      <c r="C3216" s="1" t="s">
        <v>3184</v>
      </c>
      <c r="D3216" s="1" t="s">
        <v>8</v>
      </c>
      <c r="E3216" s="3">
        <v>3080631</v>
      </c>
      <c r="F3216" s="3">
        <v>3081134</v>
      </c>
      <c r="G3216" s="1" t="s">
        <v>13</v>
      </c>
      <c r="H3216" s="1" t="b">
        <f t="shared" si="121"/>
        <v>1</v>
      </c>
    </row>
    <row r="3217" spans="1:8" ht="21" x14ac:dyDescent="0.25">
      <c r="A3217" s="2" t="str">
        <f t="shared" si="122"/>
        <v>BSGatlas-operon-1695</v>
      </c>
      <c r="B3217" s="2" t="str">
        <f>HYPERLINK("https://rth.dk/resources/bsgatlas/details.php?id=BSGatlas-gene-3523","BSGatlas-gene-3523")</f>
        <v>BSGatlas-gene-3523</v>
      </c>
      <c r="C3217" s="1" t="s">
        <v>3185</v>
      </c>
      <c r="D3217" s="1" t="s">
        <v>8</v>
      </c>
      <c r="E3217" s="3">
        <v>3081131</v>
      </c>
      <c r="F3217" s="3">
        <v>3082252</v>
      </c>
      <c r="G3217" s="1" t="s">
        <v>13</v>
      </c>
      <c r="H3217" s="1" t="b">
        <f t="shared" si="121"/>
        <v>1</v>
      </c>
    </row>
    <row r="3218" spans="1:8" ht="21" x14ac:dyDescent="0.25">
      <c r="A3218" s="2" t="str">
        <f t="shared" si="122"/>
        <v>BSGatlas-operon-1695</v>
      </c>
      <c r="B3218" s="2" t="str">
        <f>HYPERLINK("https://rth.dk/resources/bsgatlas/details.php?id=BSGatlas-gene-3524","BSGatlas-gene-3524")</f>
        <v>BSGatlas-gene-3524</v>
      </c>
      <c r="C3218" s="1" t="s">
        <v>3186</v>
      </c>
      <c r="D3218" s="1" t="s">
        <v>8</v>
      </c>
      <c r="E3218" s="3">
        <v>3082260</v>
      </c>
      <c r="F3218" s="3">
        <v>3083225</v>
      </c>
      <c r="G3218" s="1" t="s">
        <v>13</v>
      </c>
      <c r="H3218" s="1" t="b">
        <f t="shared" si="121"/>
        <v>1</v>
      </c>
    </row>
    <row r="3219" spans="1:8" ht="21" x14ac:dyDescent="0.25">
      <c r="A3219" s="2" t="str">
        <f>HYPERLINK("https://rth.dk/resources/bsgatlas/details.php?id=BSGatlas-operon-1696","BSGatlas-operon-1696")</f>
        <v>BSGatlas-operon-1696</v>
      </c>
      <c r="B3219" s="2" t="str">
        <f>HYPERLINK("https://rth.dk/resources/bsgatlas/details.php?id=BSGatlas-gene-3525","BSGatlas-gene-3525")</f>
        <v>BSGatlas-gene-3525</v>
      </c>
      <c r="C3219" s="1" t="s">
        <v>3187</v>
      </c>
      <c r="D3219" s="1" t="s">
        <v>8</v>
      </c>
      <c r="E3219" s="3">
        <v>3083441</v>
      </c>
      <c r="F3219" s="3">
        <v>3085759</v>
      </c>
      <c r="G3219" s="1" t="s">
        <v>9</v>
      </c>
      <c r="H3219" s="1" t="b">
        <f t="shared" si="121"/>
        <v>0</v>
      </c>
    </row>
    <row r="3220" spans="1:8" ht="21" x14ac:dyDescent="0.25">
      <c r="A3220" s="2" t="str">
        <f>HYPERLINK("https://rth.dk/resources/bsgatlas/details.php?id=BSGatlas-operon-1697","BSGatlas-operon-1697")</f>
        <v>BSGatlas-operon-1697</v>
      </c>
      <c r="B3220" s="2" t="str">
        <f>HYPERLINK("https://rth.dk/resources/bsgatlas/details.php?id=BSGatlas-gene-3526","BSGatlas-gene-3526")</f>
        <v>BSGatlas-gene-3526</v>
      </c>
      <c r="C3220" s="1" t="s">
        <v>3188</v>
      </c>
      <c r="D3220" s="1" t="s">
        <v>8</v>
      </c>
      <c r="E3220" s="3">
        <v>3085800</v>
      </c>
      <c r="F3220" s="3">
        <v>3087296</v>
      </c>
      <c r="G3220" s="1" t="s">
        <v>13</v>
      </c>
      <c r="H3220" s="1" t="b">
        <f t="shared" si="121"/>
        <v>1</v>
      </c>
    </row>
    <row r="3221" spans="1:8" ht="21" x14ac:dyDescent="0.25">
      <c r="A3221" s="2" t="str">
        <f>HYPERLINK("https://rth.dk/resources/bsgatlas/details.php?id=BSGatlas-operon-1697","BSGatlas-operon-1697")</f>
        <v>BSGatlas-operon-1697</v>
      </c>
      <c r="B3221" s="2" t="str">
        <f>HYPERLINK("https://rth.dk/resources/bsgatlas/details.php?id=BSGatlas-gene-3527","BSGatlas-gene-3527")</f>
        <v>BSGatlas-gene-3527</v>
      </c>
      <c r="C3221" s="1" t="s">
        <v>3189</v>
      </c>
      <c r="D3221" s="1" t="s">
        <v>8</v>
      </c>
      <c r="E3221" s="3">
        <v>3087321</v>
      </c>
      <c r="F3221" s="3">
        <v>3088181</v>
      </c>
      <c r="G3221" s="1" t="s">
        <v>13</v>
      </c>
      <c r="H3221" s="1" t="b">
        <f t="shared" si="121"/>
        <v>1</v>
      </c>
    </row>
    <row r="3222" spans="1:8" ht="21" x14ac:dyDescent="0.25">
      <c r="A3222" s="2" t="str">
        <f t="shared" ref="A3222:A3228" si="123">HYPERLINK("https://rth.dk/resources/bsgatlas/details.php?id=BSGatlas-operon-1698","BSGatlas-operon-1698")</f>
        <v>BSGatlas-operon-1698</v>
      </c>
      <c r="B3222" s="2" t="str">
        <f>HYPERLINK("https://rth.dk/resources/bsgatlas/details.php?id=BSGatlas-gene-3528","BSGatlas-gene-3528")</f>
        <v>BSGatlas-gene-3528</v>
      </c>
      <c r="C3222" s="1" t="s">
        <v>3190</v>
      </c>
      <c r="D3222" s="1" t="s">
        <v>8</v>
      </c>
      <c r="E3222" s="3">
        <v>3088388</v>
      </c>
      <c r="F3222" s="3">
        <v>3089149</v>
      </c>
      <c r="G3222" s="1" t="s">
        <v>13</v>
      </c>
      <c r="H3222" s="1" t="b">
        <f t="shared" si="121"/>
        <v>0</v>
      </c>
    </row>
    <row r="3223" spans="1:8" ht="21" x14ac:dyDescent="0.25">
      <c r="A3223" s="2" t="str">
        <f t="shared" si="123"/>
        <v>BSGatlas-operon-1698</v>
      </c>
      <c r="B3223" s="2" t="str">
        <f>HYPERLINK("https://rth.dk/resources/bsgatlas/details.php?id=BSGatlas-gene-3529","BSGatlas-gene-3529")</f>
        <v>BSGatlas-gene-3529</v>
      </c>
      <c r="C3223" s="1" t="s">
        <v>3191</v>
      </c>
      <c r="D3223" s="1" t="s">
        <v>8</v>
      </c>
      <c r="E3223" s="3">
        <v>3089226</v>
      </c>
      <c r="F3223" s="3">
        <v>3090413</v>
      </c>
      <c r="G3223" s="1" t="s">
        <v>13</v>
      </c>
      <c r="H3223" s="1" t="b">
        <f t="shared" si="121"/>
        <v>0</v>
      </c>
    </row>
    <row r="3224" spans="1:8" ht="21" x14ac:dyDescent="0.25">
      <c r="A3224" s="2" t="str">
        <f t="shared" si="123"/>
        <v>BSGatlas-operon-1698</v>
      </c>
      <c r="B3224" s="2" t="str">
        <f>HYPERLINK("https://rth.dk/resources/bsgatlas/details.php?id=BSGatlas-gene-3530","BSGatlas-gene-3530")</f>
        <v>BSGatlas-gene-3530</v>
      </c>
      <c r="C3224" s="1" t="s">
        <v>3192</v>
      </c>
      <c r="D3224" s="1" t="s">
        <v>8</v>
      </c>
      <c r="E3224" s="3">
        <v>3090482</v>
      </c>
      <c r="F3224" s="3">
        <v>3091489</v>
      </c>
      <c r="G3224" s="1" t="s">
        <v>13</v>
      </c>
      <c r="H3224" s="1" t="b">
        <f t="shared" si="121"/>
        <v>0</v>
      </c>
    </row>
    <row r="3225" spans="1:8" ht="21" x14ac:dyDescent="0.25">
      <c r="A3225" s="2" t="str">
        <f t="shared" si="123"/>
        <v>BSGatlas-operon-1698</v>
      </c>
      <c r="B3225" s="2" t="str">
        <f>HYPERLINK("https://rth.dk/resources/bsgatlas/details.php?id=BSGatlas-gene-3531","BSGatlas-gene-3531")</f>
        <v>BSGatlas-gene-3531</v>
      </c>
      <c r="C3225" s="1" t="s">
        <v>3193</v>
      </c>
      <c r="D3225" s="1" t="s">
        <v>8</v>
      </c>
      <c r="E3225" s="3">
        <v>3091492</v>
      </c>
      <c r="F3225" s="3">
        <v>3092187</v>
      </c>
      <c r="G3225" s="1" t="s">
        <v>13</v>
      </c>
      <c r="H3225" s="1" t="b">
        <f t="shared" si="121"/>
        <v>0</v>
      </c>
    </row>
    <row r="3226" spans="1:8" ht="21" x14ac:dyDescent="0.25">
      <c r="A3226" s="2" t="str">
        <f t="shared" si="123"/>
        <v>BSGatlas-operon-1698</v>
      </c>
      <c r="B3226" s="2" t="str">
        <f>HYPERLINK("https://rth.dk/resources/bsgatlas/details.php?id=BSGatlas-gene-3532","BSGatlas-gene-3532")</f>
        <v>BSGatlas-gene-3532</v>
      </c>
      <c r="C3226" s="1" t="s">
        <v>3194</v>
      </c>
      <c r="D3226" s="1" t="s">
        <v>8</v>
      </c>
      <c r="E3226" s="3">
        <v>3092184</v>
      </c>
      <c r="F3226" s="3">
        <v>3093353</v>
      </c>
      <c r="G3226" s="1" t="s">
        <v>13</v>
      </c>
      <c r="H3226" s="1" t="b">
        <f t="shared" si="121"/>
        <v>0</v>
      </c>
    </row>
    <row r="3227" spans="1:8" ht="21" x14ac:dyDescent="0.25">
      <c r="A3227" s="2" t="str">
        <f t="shared" si="123"/>
        <v>BSGatlas-operon-1698</v>
      </c>
      <c r="B3227" s="2" t="str">
        <f>HYPERLINK("https://rth.dk/resources/bsgatlas/details.php?id=BSGatlas-gene-3533","BSGatlas-gene-3533")</f>
        <v>BSGatlas-gene-3533</v>
      </c>
      <c r="C3227" s="1" t="s">
        <v>3195</v>
      </c>
      <c r="D3227" s="1" t="s">
        <v>8</v>
      </c>
      <c r="E3227" s="3">
        <v>3093343</v>
      </c>
      <c r="F3227" s="3">
        <v>3094689</v>
      </c>
      <c r="G3227" s="1" t="s">
        <v>13</v>
      </c>
      <c r="H3227" s="1" t="b">
        <f t="shared" si="121"/>
        <v>0</v>
      </c>
    </row>
    <row r="3228" spans="1:8" ht="21" x14ac:dyDescent="0.25">
      <c r="A3228" s="2" t="str">
        <f t="shared" si="123"/>
        <v>BSGatlas-operon-1698</v>
      </c>
      <c r="B3228" s="2" t="str">
        <f>HYPERLINK("https://rth.dk/resources/bsgatlas/details.php?id=BSGatlas-gene-3534","BSGatlas-gene-3534")</f>
        <v>BSGatlas-gene-3534</v>
      </c>
      <c r="C3228" s="1" t="s">
        <v>3196</v>
      </c>
      <c r="D3228" s="1" t="s">
        <v>8</v>
      </c>
      <c r="E3228" s="3">
        <v>3094679</v>
      </c>
      <c r="F3228" s="3">
        <v>3095455</v>
      </c>
      <c r="G3228" s="1" t="s">
        <v>13</v>
      </c>
      <c r="H3228" s="1" t="b">
        <f t="shared" si="121"/>
        <v>0</v>
      </c>
    </row>
    <row r="3229" spans="1:8" ht="21" x14ac:dyDescent="0.25">
      <c r="A3229" s="2" t="str">
        <f>HYPERLINK("https://rth.dk/resources/bsgatlas/details.php?id=BSGatlas-operon-1699","BSGatlas-operon-1699")</f>
        <v>BSGatlas-operon-1699</v>
      </c>
      <c r="B3229" s="2" t="str">
        <f>HYPERLINK("https://rth.dk/resources/bsgatlas/details.php?id=BSGatlas-gene-3535","BSGatlas-gene-3535")</f>
        <v>BSGatlas-gene-3535</v>
      </c>
      <c r="C3229" s="1" t="s">
        <v>3197</v>
      </c>
      <c r="D3229" s="1" t="s">
        <v>8</v>
      </c>
      <c r="E3229" s="3">
        <v>3095665</v>
      </c>
      <c r="F3229" s="3">
        <v>3096564</v>
      </c>
      <c r="G3229" s="1" t="s">
        <v>13</v>
      </c>
      <c r="H3229" s="1" t="b">
        <f t="shared" si="121"/>
        <v>1</v>
      </c>
    </row>
    <row r="3230" spans="1:8" ht="21" x14ac:dyDescent="0.25">
      <c r="A3230" s="2" t="str">
        <f>HYPERLINK("https://rth.dk/resources/bsgatlas/details.php?id=BSGatlas-operon-1700","BSGatlas-operon-1700")</f>
        <v>BSGatlas-operon-1700</v>
      </c>
      <c r="B3230" s="2" t="str">
        <f>HYPERLINK("https://rth.dk/resources/bsgatlas/details.php?id=BSGatlas-gene-3536","BSGatlas-gene-3536")</f>
        <v>BSGatlas-gene-3536</v>
      </c>
      <c r="C3230" s="1" t="s">
        <v>3198</v>
      </c>
      <c r="D3230" s="1" t="s">
        <v>8</v>
      </c>
      <c r="E3230" s="3">
        <v>3096782</v>
      </c>
      <c r="F3230" s="3">
        <v>3097816</v>
      </c>
      <c r="G3230" s="1" t="s">
        <v>9</v>
      </c>
      <c r="H3230" s="1" t="b">
        <f t="shared" si="121"/>
        <v>0</v>
      </c>
    </row>
    <row r="3231" spans="1:8" ht="21" x14ac:dyDescent="0.25">
      <c r="A3231" s="2" t="str">
        <f>HYPERLINK("https://rth.dk/resources/bsgatlas/details.php?id=BSGatlas-operon-1700","BSGatlas-operon-1700")</f>
        <v>BSGatlas-operon-1700</v>
      </c>
      <c r="B3231" s="2" t="str">
        <f>HYPERLINK("https://rth.dk/resources/bsgatlas/details.php?id=BSGatlas-gene-3537","BSGatlas-gene-3537")</f>
        <v>BSGatlas-gene-3537</v>
      </c>
      <c r="C3231" s="1" t="s">
        <v>3199</v>
      </c>
      <c r="D3231" s="1" t="s">
        <v>8</v>
      </c>
      <c r="E3231" s="3">
        <v>3097850</v>
      </c>
      <c r="F3231" s="3">
        <v>3099130</v>
      </c>
      <c r="G3231" s="1" t="s">
        <v>9</v>
      </c>
      <c r="H3231" s="1" t="b">
        <f t="shared" si="121"/>
        <v>0</v>
      </c>
    </row>
    <row r="3232" spans="1:8" ht="21" x14ac:dyDescent="0.25">
      <c r="A3232" s="2" t="str">
        <f>HYPERLINK("https://rth.dk/resources/bsgatlas/details.php?id=BSGatlas-operon-1700","BSGatlas-operon-1700")</f>
        <v>BSGatlas-operon-1700</v>
      </c>
      <c r="B3232" s="2" t="str">
        <f>HYPERLINK("https://rth.dk/resources/bsgatlas/details.php?id=BSGatlas-gene-3538","BSGatlas-gene-3538")</f>
        <v>BSGatlas-gene-3538</v>
      </c>
      <c r="C3232" s="1" t="s">
        <v>3200</v>
      </c>
      <c r="D3232" s="1" t="s">
        <v>8</v>
      </c>
      <c r="E3232" s="3">
        <v>3099123</v>
      </c>
      <c r="F3232" s="3">
        <v>3100034</v>
      </c>
      <c r="G3232" s="1" t="s">
        <v>9</v>
      </c>
      <c r="H3232" s="1" t="b">
        <f t="shared" si="121"/>
        <v>0</v>
      </c>
    </row>
    <row r="3233" spans="1:8" ht="21" x14ac:dyDescent="0.25">
      <c r="A3233" s="2" t="str">
        <f>HYPERLINK("https://rth.dk/resources/bsgatlas/details.php?id=BSGatlas-operon-1700","BSGatlas-operon-1700")</f>
        <v>BSGatlas-operon-1700</v>
      </c>
      <c r="B3233" s="2" t="str">
        <f>HYPERLINK("https://rth.dk/resources/bsgatlas/details.php?id=BSGatlas-gene-3539","BSGatlas-gene-3539")</f>
        <v>BSGatlas-gene-3539</v>
      </c>
      <c r="C3233" s="1" t="s">
        <v>3201</v>
      </c>
      <c r="D3233" s="1" t="s">
        <v>8</v>
      </c>
      <c r="E3233" s="3">
        <v>3100031</v>
      </c>
      <c r="F3233" s="3">
        <v>3100861</v>
      </c>
      <c r="G3233" s="1" t="s">
        <v>9</v>
      </c>
      <c r="H3233" s="1" t="b">
        <f t="shared" si="121"/>
        <v>0</v>
      </c>
    </row>
    <row r="3234" spans="1:8" ht="21" x14ac:dyDescent="0.25">
      <c r="A3234" s="2" t="str">
        <f>HYPERLINK("https://rth.dk/resources/bsgatlas/details.php?id=BSGatlas-operon-1700","BSGatlas-operon-1700")</f>
        <v>BSGatlas-operon-1700</v>
      </c>
      <c r="B3234" s="2" t="str">
        <f>HYPERLINK("https://rth.dk/resources/bsgatlas/details.php?id=BSGatlas-gene-3540","BSGatlas-gene-3540")</f>
        <v>BSGatlas-gene-3540</v>
      </c>
      <c r="C3234" s="1" t="s">
        <v>3202</v>
      </c>
      <c r="D3234" s="1" t="s">
        <v>8</v>
      </c>
      <c r="E3234" s="3">
        <v>3100881</v>
      </c>
      <c r="F3234" s="3">
        <v>3102179</v>
      </c>
      <c r="G3234" s="1" t="s">
        <v>9</v>
      </c>
      <c r="H3234" s="1" t="b">
        <f t="shared" si="121"/>
        <v>0</v>
      </c>
    </row>
    <row r="3235" spans="1:8" ht="21" x14ac:dyDescent="0.25">
      <c r="A3235" s="2" t="str">
        <f>HYPERLINK("https://rth.dk/resources/bsgatlas/details.php?id=BSGatlas-operon-1701","BSGatlas-operon-1701")</f>
        <v>BSGatlas-operon-1701</v>
      </c>
      <c r="B3235" s="2" t="str">
        <f>HYPERLINK("https://rth.dk/resources/bsgatlas/details.php?id=BSGatlas-gene-3541","BSGatlas-gene-3541")</f>
        <v>BSGatlas-gene-3541</v>
      </c>
      <c r="C3235" s="1" t="s">
        <v>3203</v>
      </c>
      <c r="D3235" s="1" t="s">
        <v>8</v>
      </c>
      <c r="E3235" s="3">
        <v>3102201</v>
      </c>
      <c r="F3235" s="3">
        <v>3102512</v>
      </c>
      <c r="G3235" s="1" t="s">
        <v>13</v>
      </c>
      <c r="H3235" s="1" t="b">
        <f t="shared" si="121"/>
        <v>1</v>
      </c>
    </row>
    <row r="3236" spans="1:8" ht="21" x14ac:dyDescent="0.25">
      <c r="A3236" s="2" t="str">
        <f>HYPERLINK("https://rth.dk/resources/bsgatlas/details.php?id=BSGatlas-operon-1702","BSGatlas-operon-1702")</f>
        <v>BSGatlas-operon-1702</v>
      </c>
      <c r="B3236" s="2" t="str">
        <f>HYPERLINK("https://rth.dk/resources/bsgatlas/details.php?id=BSGatlas-gene-3542","BSGatlas-gene-3542")</f>
        <v>BSGatlas-gene-3542</v>
      </c>
      <c r="C3236" s="1" t="s">
        <v>3204</v>
      </c>
      <c r="D3236" s="1" t="s">
        <v>8</v>
      </c>
      <c r="E3236" s="3">
        <v>3102629</v>
      </c>
      <c r="F3236" s="3">
        <v>3105043</v>
      </c>
      <c r="G3236" s="1" t="s">
        <v>13</v>
      </c>
      <c r="H3236" s="1" t="b">
        <f t="shared" si="121"/>
        <v>0</v>
      </c>
    </row>
    <row r="3237" spans="1:8" ht="21" x14ac:dyDescent="0.25">
      <c r="A3237" s="2" t="str">
        <f>HYPERLINK("https://rth.dk/resources/bsgatlas/details.php?id=BSGatlas-operon-1703","BSGatlas-operon-1703")</f>
        <v>BSGatlas-operon-1703</v>
      </c>
      <c r="B3237" s="2" t="str">
        <f>HYPERLINK("https://rth.dk/resources/bsgatlas/details.php?id=BSGatlas-gene-3543","BSGatlas-gene-3543")</f>
        <v>BSGatlas-gene-3543</v>
      </c>
      <c r="C3237" s="1" t="s">
        <v>3205</v>
      </c>
      <c r="D3237" s="1" t="s">
        <v>34</v>
      </c>
      <c r="E3237" s="3">
        <v>3105152</v>
      </c>
      <c r="F3237" s="3">
        <v>3105367</v>
      </c>
      <c r="G3237" s="1" t="s">
        <v>13</v>
      </c>
      <c r="H3237" s="1" t="b">
        <f t="shared" si="121"/>
        <v>1</v>
      </c>
    </row>
    <row r="3238" spans="1:8" ht="21" x14ac:dyDescent="0.25">
      <c r="A3238" s="2" t="str">
        <f>HYPERLINK("https://rth.dk/resources/bsgatlas/details.php?id=BSGatlas-operon-1704","BSGatlas-operon-1704")</f>
        <v>BSGatlas-operon-1704</v>
      </c>
      <c r="B3238" s="2" t="str">
        <f>HYPERLINK("https://rth.dk/resources/bsgatlas/details.php?id=BSGatlas-gene-3544","BSGatlas-gene-3544")</f>
        <v>BSGatlas-gene-3544</v>
      </c>
      <c r="C3238" s="1" t="s">
        <v>3206</v>
      </c>
      <c r="D3238" s="1" t="s">
        <v>12</v>
      </c>
      <c r="E3238" s="3">
        <v>3105438</v>
      </c>
      <c r="F3238" s="3">
        <v>3105878</v>
      </c>
      <c r="G3238" s="1" t="s">
        <v>9</v>
      </c>
      <c r="H3238" s="1" t="b">
        <f t="shared" si="121"/>
        <v>0</v>
      </c>
    </row>
    <row r="3239" spans="1:8" ht="21" x14ac:dyDescent="0.25">
      <c r="A3239" s="2" t="str">
        <f>HYPERLINK("https://rth.dk/resources/bsgatlas/details.php?id=BSGatlas-operon-1705","BSGatlas-operon-1705")</f>
        <v>BSGatlas-operon-1705</v>
      </c>
      <c r="B3239" s="2" t="str">
        <f>HYPERLINK("https://rth.dk/resources/bsgatlas/details.php?id=BSGatlas-gene-3545","BSGatlas-gene-3545")</f>
        <v>BSGatlas-gene-3545</v>
      </c>
      <c r="C3239" s="1" t="s">
        <v>3207</v>
      </c>
      <c r="D3239" s="1" t="s">
        <v>8</v>
      </c>
      <c r="E3239" s="3">
        <v>3105470</v>
      </c>
      <c r="F3239" s="3">
        <v>3105805</v>
      </c>
      <c r="G3239" s="1" t="s">
        <v>13</v>
      </c>
      <c r="H3239" s="1" t="b">
        <f t="shared" si="121"/>
        <v>1</v>
      </c>
    </row>
    <row r="3240" spans="1:8" ht="21" x14ac:dyDescent="0.25">
      <c r="A3240" s="2" t="str">
        <f>HYPERLINK("https://rth.dk/resources/bsgatlas/details.php?id=BSGatlas-operon-1706","BSGatlas-operon-1706")</f>
        <v>BSGatlas-operon-1706</v>
      </c>
      <c r="B3240" s="2" t="str">
        <f>HYPERLINK("https://rth.dk/resources/bsgatlas/details.php?id=BSGatlas-gene-3546","BSGatlas-gene-3546")</f>
        <v>BSGatlas-gene-3546</v>
      </c>
      <c r="C3240" s="1" t="s">
        <v>3208</v>
      </c>
      <c r="D3240" s="1" t="s">
        <v>8</v>
      </c>
      <c r="E3240" s="3">
        <v>3106210</v>
      </c>
      <c r="F3240" s="3">
        <v>3106995</v>
      </c>
      <c r="G3240" s="1" t="s">
        <v>9</v>
      </c>
      <c r="H3240" s="1" t="b">
        <f t="shared" si="121"/>
        <v>0</v>
      </c>
    </row>
    <row r="3241" spans="1:8" ht="21" x14ac:dyDescent="0.25">
      <c r="A3241" s="2" t="str">
        <f>HYPERLINK("https://rth.dk/resources/bsgatlas/details.php?id=BSGatlas-operon-1707","BSGatlas-operon-1707")</f>
        <v>BSGatlas-operon-1707</v>
      </c>
      <c r="B3241" s="2" t="str">
        <f>HYPERLINK("https://rth.dk/resources/bsgatlas/details.php?id=BSGatlas-gene-3547","BSGatlas-gene-3547")</f>
        <v>BSGatlas-gene-3547</v>
      </c>
      <c r="C3241" s="1" t="s">
        <v>3209</v>
      </c>
      <c r="D3241" s="1" t="s">
        <v>8</v>
      </c>
      <c r="E3241" s="3">
        <v>3107232</v>
      </c>
      <c r="F3241" s="3">
        <v>3108425</v>
      </c>
      <c r="G3241" s="1" t="s">
        <v>13</v>
      </c>
      <c r="H3241" s="1" t="b">
        <f t="shared" si="121"/>
        <v>1</v>
      </c>
    </row>
    <row r="3242" spans="1:8" ht="21" x14ac:dyDescent="0.25">
      <c r="A3242" s="2" t="str">
        <f>HYPERLINK("https://rth.dk/resources/bsgatlas/details.php?id=BSGatlas-operon-1708","BSGatlas-operon-1708")</f>
        <v>BSGatlas-operon-1708</v>
      </c>
      <c r="B3242" s="2" t="str">
        <f>HYPERLINK("https://rth.dk/resources/bsgatlas/details.php?id=BSGatlas-gene-3548","BSGatlas-gene-3548")</f>
        <v>BSGatlas-gene-3548</v>
      </c>
      <c r="C3242" s="1" t="s">
        <v>3210</v>
      </c>
      <c r="D3242" s="1" t="s">
        <v>8</v>
      </c>
      <c r="E3242" s="3">
        <v>3108614</v>
      </c>
      <c r="F3242" s="3">
        <v>3109360</v>
      </c>
      <c r="G3242" s="1" t="s">
        <v>9</v>
      </c>
      <c r="H3242" s="1" t="b">
        <f t="shared" si="121"/>
        <v>0</v>
      </c>
    </row>
    <row r="3243" spans="1:8" ht="21" x14ac:dyDescent="0.25">
      <c r="A3243" s="2" t="str">
        <f>HYPERLINK("https://rth.dk/resources/bsgatlas/details.php?id=BSGatlas-operon-1709","BSGatlas-operon-1709")</f>
        <v>BSGatlas-operon-1709</v>
      </c>
      <c r="B3243" s="2" t="str">
        <f>HYPERLINK("https://rth.dk/resources/bsgatlas/details.php?id=BSGatlas-gene-3549","BSGatlas-gene-3549")</f>
        <v>BSGatlas-gene-3549</v>
      </c>
      <c r="C3243" s="1" t="s">
        <v>3211</v>
      </c>
      <c r="D3243" s="1" t="s">
        <v>8</v>
      </c>
      <c r="E3243" s="3">
        <v>3109397</v>
      </c>
      <c r="F3243" s="3">
        <v>3111337</v>
      </c>
      <c r="G3243" s="1" t="s">
        <v>13</v>
      </c>
      <c r="H3243" s="1" t="b">
        <f t="shared" si="121"/>
        <v>1</v>
      </c>
    </row>
    <row r="3244" spans="1:8" ht="21" x14ac:dyDescent="0.25">
      <c r="A3244" s="2" t="str">
        <f>HYPERLINK("https://rth.dk/resources/bsgatlas/details.php?id=BSGatlas-operon-1709","BSGatlas-operon-1709")</f>
        <v>BSGatlas-operon-1709</v>
      </c>
      <c r="B3244" s="2" t="str">
        <f>HYPERLINK("https://rth.dk/resources/bsgatlas/details.php?id=BSGatlas-gene-3550","BSGatlas-gene-3550")</f>
        <v>BSGatlas-gene-3550</v>
      </c>
      <c r="C3244" s="1" t="s">
        <v>3212</v>
      </c>
      <c r="D3244" s="1" t="s">
        <v>8</v>
      </c>
      <c r="E3244" s="3">
        <v>3111327</v>
      </c>
      <c r="F3244" s="3">
        <v>3112088</v>
      </c>
      <c r="G3244" s="1" t="s">
        <v>13</v>
      </c>
      <c r="H3244" s="1" t="b">
        <f t="shared" si="121"/>
        <v>1</v>
      </c>
    </row>
    <row r="3245" spans="1:8" ht="21" x14ac:dyDescent="0.25">
      <c r="A3245" s="2" t="str">
        <f>HYPERLINK("https://rth.dk/resources/bsgatlas/details.php?id=BSGatlas-operon-1710","BSGatlas-operon-1710")</f>
        <v>BSGatlas-operon-1710</v>
      </c>
      <c r="B3245" s="2" t="str">
        <f>HYPERLINK("https://rth.dk/resources/bsgatlas/details.php?id=BSGatlas-gene-3551","BSGatlas-gene-3551")</f>
        <v>BSGatlas-gene-3551</v>
      </c>
      <c r="C3245" s="1" t="s">
        <v>3213</v>
      </c>
      <c r="D3245" s="1" t="s">
        <v>8</v>
      </c>
      <c r="E3245" s="3">
        <v>3112190</v>
      </c>
      <c r="F3245" s="3">
        <v>3113194</v>
      </c>
      <c r="G3245" s="1" t="s">
        <v>13</v>
      </c>
      <c r="H3245" s="1" t="b">
        <f t="shared" si="121"/>
        <v>0</v>
      </c>
    </row>
    <row r="3246" spans="1:8" ht="21" x14ac:dyDescent="0.25">
      <c r="A3246" s="2" t="str">
        <f>HYPERLINK("https://rth.dk/resources/bsgatlas/details.php?id=BSGatlas-operon-1710","BSGatlas-operon-1710")</f>
        <v>BSGatlas-operon-1710</v>
      </c>
      <c r="B3246" s="2" t="str">
        <f>HYPERLINK("https://rth.dk/resources/bsgatlas/details.php?id=BSGatlas-gene-3552","BSGatlas-gene-3552")</f>
        <v>BSGatlas-gene-3552</v>
      </c>
      <c r="C3246" s="1" t="s">
        <v>3214</v>
      </c>
      <c r="D3246" s="1" t="s">
        <v>8</v>
      </c>
      <c r="E3246" s="3">
        <v>3113187</v>
      </c>
      <c r="F3246" s="3">
        <v>3113882</v>
      </c>
      <c r="G3246" s="1" t="s">
        <v>13</v>
      </c>
      <c r="H3246" s="1" t="b">
        <f t="shared" si="121"/>
        <v>0</v>
      </c>
    </row>
    <row r="3247" spans="1:8" ht="21" x14ac:dyDescent="0.25">
      <c r="A3247" s="2" t="str">
        <f t="shared" ref="A3247:A3253" si="124">HYPERLINK("https://rth.dk/resources/bsgatlas/details.php?id=BSGatlas-operon-1711","BSGatlas-operon-1711")</f>
        <v>BSGatlas-operon-1711</v>
      </c>
      <c r="B3247" s="2" t="str">
        <f>HYPERLINK("https://rth.dk/resources/bsgatlas/details.php?id=BSGatlas-gene-3553","BSGatlas-gene-3553")</f>
        <v>BSGatlas-gene-3553</v>
      </c>
      <c r="C3247" s="1" t="s">
        <v>3215</v>
      </c>
      <c r="D3247" s="1" t="s">
        <v>8</v>
      </c>
      <c r="E3247" s="3">
        <v>3113979</v>
      </c>
      <c r="F3247" s="3">
        <v>3115289</v>
      </c>
      <c r="G3247" s="1" t="s">
        <v>13</v>
      </c>
      <c r="H3247" s="1" t="b">
        <f t="shared" si="121"/>
        <v>1</v>
      </c>
    </row>
    <row r="3248" spans="1:8" ht="21" x14ac:dyDescent="0.25">
      <c r="A3248" s="2" t="str">
        <f t="shared" si="124"/>
        <v>BSGatlas-operon-1711</v>
      </c>
      <c r="B3248" s="2" t="str">
        <f>HYPERLINK("https://rth.dk/resources/bsgatlas/details.php?id=BSGatlas-gene-3554","BSGatlas-gene-3554")</f>
        <v>BSGatlas-gene-3554</v>
      </c>
      <c r="C3248" s="1" t="s">
        <v>3216</v>
      </c>
      <c r="D3248" s="1" t="s">
        <v>8</v>
      </c>
      <c r="E3248" s="3">
        <v>3115279</v>
      </c>
      <c r="F3248" s="3">
        <v>3115974</v>
      </c>
      <c r="G3248" s="1" t="s">
        <v>13</v>
      </c>
      <c r="H3248" s="1" t="b">
        <f t="shared" si="121"/>
        <v>1</v>
      </c>
    </row>
    <row r="3249" spans="1:8" ht="21" x14ac:dyDescent="0.25">
      <c r="A3249" s="2" t="str">
        <f t="shared" si="124"/>
        <v>BSGatlas-operon-1711</v>
      </c>
      <c r="B3249" s="2" t="str">
        <f>HYPERLINK("https://rth.dk/resources/bsgatlas/details.php?id=BSGatlas-gene-3555","BSGatlas-gene-3555")</f>
        <v>BSGatlas-gene-3555</v>
      </c>
      <c r="C3249" s="1" t="s">
        <v>3217</v>
      </c>
      <c r="D3249" s="1" t="s">
        <v>8</v>
      </c>
      <c r="E3249" s="3">
        <v>3115989</v>
      </c>
      <c r="F3249" s="3">
        <v>3116966</v>
      </c>
      <c r="G3249" s="1" t="s">
        <v>13</v>
      </c>
      <c r="H3249" s="1" t="b">
        <f t="shared" si="121"/>
        <v>1</v>
      </c>
    </row>
    <row r="3250" spans="1:8" ht="21" x14ac:dyDescent="0.25">
      <c r="A3250" s="2" t="str">
        <f t="shared" si="124"/>
        <v>BSGatlas-operon-1711</v>
      </c>
      <c r="B3250" s="2" t="str">
        <f>HYPERLINK("https://rth.dk/resources/bsgatlas/details.php?id=BSGatlas-gene-3556","BSGatlas-gene-3556")</f>
        <v>BSGatlas-gene-3556</v>
      </c>
      <c r="C3250" s="1" t="s">
        <v>3218</v>
      </c>
      <c r="D3250" s="1" t="s">
        <v>8</v>
      </c>
      <c r="E3250" s="3">
        <v>3116996</v>
      </c>
      <c r="F3250" s="3">
        <v>3117982</v>
      </c>
      <c r="G3250" s="1" t="s">
        <v>13</v>
      </c>
      <c r="H3250" s="1" t="b">
        <f t="shared" si="121"/>
        <v>1</v>
      </c>
    </row>
    <row r="3251" spans="1:8" ht="21" x14ac:dyDescent="0.25">
      <c r="A3251" s="2" t="str">
        <f t="shared" si="124"/>
        <v>BSGatlas-operon-1711</v>
      </c>
      <c r="B3251" s="2" t="str">
        <f>HYPERLINK("https://rth.dk/resources/bsgatlas/details.php?id=BSGatlas-gene-3557","BSGatlas-gene-3557")</f>
        <v>BSGatlas-gene-3557</v>
      </c>
      <c r="C3251" s="1" t="s">
        <v>3219</v>
      </c>
      <c r="D3251" s="1" t="s">
        <v>8</v>
      </c>
      <c r="E3251" s="3">
        <v>3117976</v>
      </c>
      <c r="F3251" s="3">
        <v>3118854</v>
      </c>
      <c r="G3251" s="1" t="s">
        <v>13</v>
      </c>
      <c r="H3251" s="1" t="b">
        <f t="shared" si="121"/>
        <v>1</v>
      </c>
    </row>
    <row r="3252" spans="1:8" ht="21" x14ac:dyDescent="0.25">
      <c r="A3252" s="2" t="str">
        <f t="shared" si="124"/>
        <v>BSGatlas-operon-1711</v>
      </c>
      <c r="B3252" s="2" t="str">
        <f>HYPERLINK("https://rth.dk/resources/bsgatlas/details.php?id=BSGatlas-gene-3558","BSGatlas-gene-3558")</f>
        <v>BSGatlas-gene-3558</v>
      </c>
      <c r="C3252" s="1" t="s">
        <v>3220</v>
      </c>
      <c r="D3252" s="1" t="s">
        <v>8</v>
      </c>
      <c r="E3252" s="3">
        <v>3118847</v>
      </c>
      <c r="F3252" s="3">
        <v>3119239</v>
      </c>
      <c r="G3252" s="1" t="s">
        <v>13</v>
      </c>
      <c r="H3252" s="1" t="b">
        <f t="shared" si="121"/>
        <v>1</v>
      </c>
    </row>
    <row r="3253" spans="1:8" ht="21" x14ac:dyDescent="0.25">
      <c r="A3253" s="2" t="str">
        <f t="shared" si="124"/>
        <v>BSGatlas-operon-1711</v>
      </c>
      <c r="B3253" s="2" t="str">
        <f>HYPERLINK("https://rth.dk/resources/bsgatlas/details.php?id=BSGatlas-gene-3559","BSGatlas-gene-3559")</f>
        <v>BSGatlas-gene-3559</v>
      </c>
      <c r="C3253" s="1" t="s">
        <v>318</v>
      </c>
      <c r="D3253" s="1" t="s">
        <v>8</v>
      </c>
      <c r="E3253" s="3">
        <v>3119273</v>
      </c>
      <c r="F3253" s="3">
        <v>3119410</v>
      </c>
      <c r="G3253" s="1" t="s">
        <v>13</v>
      </c>
      <c r="H3253" s="1" t="b">
        <f t="shared" si="121"/>
        <v>1</v>
      </c>
    </row>
    <row r="3254" spans="1:8" ht="21" x14ac:dyDescent="0.25">
      <c r="A3254" s="2" t="str">
        <f>HYPERLINK("https://rth.dk/resources/bsgatlas/details.php?id=BSGatlas-operon-1712","BSGatlas-operon-1712")</f>
        <v>BSGatlas-operon-1712</v>
      </c>
      <c r="B3254" s="2" t="str">
        <f>HYPERLINK("https://rth.dk/resources/bsgatlas/details.php?id=BSGatlas-gene-3560","BSGatlas-gene-3560")</f>
        <v>BSGatlas-gene-3560</v>
      </c>
      <c r="C3254" s="1" t="s">
        <v>3221</v>
      </c>
      <c r="D3254" s="1" t="s">
        <v>8</v>
      </c>
      <c r="E3254" s="3">
        <v>3119565</v>
      </c>
      <c r="F3254" s="3">
        <v>3119837</v>
      </c>
      <c r="G3254" s="1" t="s">
        <v>13</v>
      </c>
      <c r="H3254" s="1" t="b">
        <f t="shared" si="121"/>
        <v>0</v>
      </c>
    </row>
    <row r="3255" spans="1:8" ht="21" x14ac:dyDescent="0.25">
      <c r="A3255" s="2" t="str">
        <f>HYPERLINK("https://rth.dk/resources/bsgatlas/details.php?id=BSGatlas-operon-1713","BSGatlas-operon-1713")</f>
        <v>BSGatlas-operon-1713</v>
      </c>
      <c r="B3255" s="2" t="str">
        <f>HYPERLINK("https://rth.dk/resources/bsgatlas/details.php?id=BSGatlas-gene-3561","BSGatlas-gene-3561")</f>
        <v>BSGatlas-gene-3561</v>
      </c>
      <c r="C3255" s="1" t="s">
        <v>3222</v>
      </c>
      <c r="D3255" s="1" t="s">
        <v>8</v>
      </c>
      <c r="E3255" s="3">
        <v>3119999</v>
      </c>
      <c r="F3255" s="3">
        <v>3120967</v>
      </c>
      <c r="G3255" s="1" t="s">
        <v>9</v>
      </c>
      <c r="H3255" s="1" t="b">
        <f t="shared" si="121"/>
        <v>1</v>
      </c>
    </row>
    <row r="3256" spans="1:8" ht="21" x14ac:dyDescent="0.25">
      <c r="A3256" s="2" t="str">
        <f>HYPERLINK("https://rth.dk/resources/bsgatlas/details.php?id=BSGatlas-operon-1713","BSGatlas-operon-1713")</f>
        <v>BSGatlas-operon-1713</v>
      </c>
      <c r="B3256" s="2" t="str">
        <f>HYPERLINK("https://rth.dk/resources/bsgatlas/details.php?id=BSGatlas-gene-3562","BSGatlas-gene-3562")</f>
        <v>BSGatlas-gene-3562</v>
      </c>
      <c r="C3256" s="1" t="s">
        <v>3223</v>
      </c>
      <c r="D3256" s="1" t="s">
        <v>8</v>
      </c>
      <c r="E3256" s="3">
        <v>3120964</v>
      </c>
      <c r="F3256" s="3">
        <v>3121548</v>
      </c>
      <c r="G3256" s="1" t="s">
        <v>9</v>
      </c>
      <c r="H3256" s="1" t="b">
        <f t="shared" si="121"/>
        <v>1</v>
      </c>
    </row>
    <row r="3257" spans="1:8" ht="21" x14ac:dyDescent="0.25">
      <c r="A3257" s="2" t="str">
        <f>HYPERLINK("https://rth.dk/resources/bsgatlas/details.php?id=BSGatlas-operon-1714","BSGatlas-operon-1714")</f>
        <v>BSGatlas-operon-1714</v>
      </c>
      <c r="B3257" s="2" t="str">
        <f>HYPERLINK("https://rth.dk/resources/bsgatlas/details.php?id=BSGatlas-gene-3563","BSGatlas-gene-3563")</f>
        <v>BSGatlas-gene-3563</v>
      </c>
      <c r="C3257" s="1" t="s">
        <v>3224</v>
      </c>
      <c r="D3257" s="1" t="s">
        <v>8</v>
      </c>
      <c r="E3257" s="3">
        <v>3121538</v>
      </c>
      <c r="F3257" s="3">
        <v>3122641</v>
      </c>
      <c r="G3257" s="1" t="s">
        <v>13</v>
      </c>
      <c r="H3257" s="1" t="b">
        <f t="shared" si="121"/>
        <v>0</v>
      </c>
    </row>
    <row r="3258" spans="1:8" ht="21" x14ac:dyDescent="0.25">
      <c r="A3258" s="2" t="str">
        <f>HYPERLINK("https://rth.dk/resources/bsgatlas/details.php?id=BSGatlas-operon-1714","BSGatlas-operon-1714")</f>
        <v>BSGatlas-operon-1714</v>
      </c>
      <c r="B3258" s="2" t="str">
        <f>HYPERLINK("https://rth.dk/resources/bsgatlas/details.php?id=BSGatlas-gene-3564","BSGatlas-gene-3564")</f>
        <v>BSGatlas-gene-3564</v>
      </c>
      <c r="C3258" s="1" t="s">
        <v>3225</v>
      </c>
      <c r="D3258" s="1" t="s">
        <v>8</v>
      </c>
      <c r="E3258" s="3">
        <v>3122662</v>
      </c>
      <c r="F3258" s="3">
        <v>3123441</v>
      </c>
      <c r="G3258" s="1" t="s">
        <v>13</v>
      </c>
      <c r="H3258" s="1" t="b">
        <f t="shared" si="121"/>
        <v>0</v>
      </c>
    </row>
    <row r="3259" spans="1:8" ht="21" x14ac:dyDescent="0.25">
      <c r="A3259" s="2" t="str">
        <f>HYPERLINK("https://rth.dk/resources/bsgatlas/details.php?id=BSGatlas-operon-1715","BSGatlas-operon-1715")</f>
        <v>BSGatlas-operon-1715</v>
      </c>
      <c r="B3259" s="2" t="str">
        <f>HYPERLINK("https://rth.dk/resources/bsgatlas/details.php?id=BSGatlas-gene-3565","BSGatlas-gene-3565")</f>
        <v>BSGatlas-gene-3565</v>
      </c>
      <c r="C3259" s="1" t="s">
        <v>3226</v>
      </c>
      <c r="D3259" s="1" t="s">
        <v>8</v>
      </c>
      <c r="E3259" s="3">
        <v>3123490</v>
      </c>
      <c r="F3259" s="3">
        <v>3124005</v>
      </c>
      <c r="G3259" s="1" t="s">
        <v>9</v>
      </c>
      <c r="H3259" s="1" t="b">
        <f t="shared" si="121"/>
        <v>1</v>
      </c>
    </row>
    <row r="3260" spans="1:8" ht="21" x14ac:dyDescent="0.25">
      <c r="A3260" s="2" t="str">
        <f>HYPERLINK("https://rth.dk/resources/bsgatlas/details.php?id=BSGatlas-operon-1716","BSGatlas-operon-1716")</f>
        <v>BSGatlas-operon-1716</v>
      </c>
      <c r="B3260" s="2" t="str">
        <f>HYPERLINK("https://rth.dk/resources/bsgatlas/details.php?id=BSGatlas-gene-3566","BSGatlas-gene-3566")</f>
        <v>BSGatlas-gene-3566</v>
      </c>
      <c r="C3260" s="1" t="s">
        <v>3227</v>
      </c>
      <c r="D3260" s="1" t="s">
        <v>8</v>
      </c>
      <c r="E3260" s="3">
        <v>3124250</v>
      </c>
      <c r="F3260" s="3">
        <v>3125641</v>
      </c>
      <c r="G3260" s="1" t="s">
        <v>13</v>
      </c>
      <c r="H3260" s="1" t="b">
        <f t="shared" si="121"/>
        <v>0</v>
      </c>
    </row>
    <row r="3261" spans="1:8" ht="21" x14ac:dyDescent="0.25">
      <c r="A3261" s="2" t="str">
        <f>HYPERLINK("https://rth.dk/resources/bsgatlas/details.php?id=BSGatlas-operon-1716","BSGatlas-operon-1716")</f>
        <v>BSGatlas-operon-1716</v>
      </c>
      <c r="B3261" s="2" t="str">
        <f>HYPERLINK("https://rth.dk/resources/bsgatlas/details.php?id=BSGatlas-gene-3567","BSGatlas-gene-3567")</f>
        <v>BSGatlas-gene-3567</v>
      </c>
      <c r="C3261" s="1" t="s">
        <v>3228</v>
      </c>
      <c r="D3261" s="1" t="s">
        <v>8</v>
      </c>
      <c r="E3261" s="3">
        <v>3125777</v>
      </c>
      <c r="F3261" s="3">
        <v>3127675</v>
      </c>
      <c r="G3261" s="1" t="s">
        <v>13</v>
      </c>
      <c r="H3261" s="1" t="b">
        <f t="shared" si="121"/>
        <v>0</v>
      </c>
    </row>
    <row r="3262" spans="1:8" ht="21" x14ac:dyDescent="0.25">
      <c r="A3262" s="2" t="str">
        <f>HYPERLINK("https://rth.dk/resources/bsgatlas/details.php?id=BSGatlas-operon-1717","BSGatlas-operon-1717")</f>
        <v>BSGatlas-operon-1717</v>
      </c>
      <c r="B3262" s="2" t="str">
        <f>HYPERLINK("https://rth.dk/resources/bsgatlas/details.php?id=BSGatlas-gene-3568","BSGatlas-gene-3568")</f>
        <v>BSGatlas-gene-3568</v>
      </c>
      <c r="C3262" s="1" t="s">
        <v>3229</v>
      </c>
      <c r="D3262" s="1" t="s">
        <v>8</v>
      </c>
      <c r="E3262" s="3">
        <v>3127825</v>
      </c>
      <c r="F3262" s="3">
        <v>3129027</v>
      </c>
      <c r="G3262" s="1" t="s">
        <v>13</v>
      </c>
      <c r="H3262" s="1" t="b">
        <f t="shared" si="121"/>
        <v>1</v>
      </c>
    </row>
    <row r="3263" spans="1:8" ht="21" x14ac:dyDescent="0.25">
      <c r="A3263" s="2" t="str">
        <f>HYPERLINK("https://rth.dk/resources/bsgatlas/details.php?id=BSGatlas-operon-1718","BSGatlas-operon-1718")</f>
        <v>BSGatlas-operon-1718</v>
      </c>
      <c r="B3263" s="2" t="str">
        <f>HYPERLINK("https://rth.dk/resources/bsgatlas/details.php?id=BSGatlas-gene-3570","BSGatlas-gene-3570")</f>
        <v>BSGatlas-gene-3570</v>
      </c>
      <c r="C3263" s="1" t="s">
        <v>3230</v>
      </c>
      <c r="D3263" s="1" t="s">
        <v>8</v>
      </c>
      <c r="E3263" s="3">
        <v>3129530</v>
      </c>
      <c r="F3263" s="3">
        <v>3131113</v>
      </c>
      <c r="G3263" s="1" t="s">
        <v>9</v>
      </c>
      <c r="H3263" s="1" t="b">
        <f t="shared" si="121"/>
        <v>0</v>
      </c>
    </row>
    <row r="3264" spans="1:8" ht="21" x14ac:dyDescent="0.25">
      <c r="A3264" s="2" t="str">
        <f>HYPERLINK("https://rth.dk/resources/bsgatlas/details.php?id=BSGatlas-operon-1719","BSGatlas-operon-1719")</f>
        <v>BSGatlas-operon-1719</v>
      </c>
      <c r="B3264" s="2" t="str">
        <f>HYPERLINK("https://rth.dk/resources/bsgatlas/details.php?id=BSGatlas-gene-3571","BSGatlas-gene-3571")</f>
        <v>BSGatlas-gene-3571</v>
      </c>
      <c r="C3264" s="1" t="s">
        <v>3231</v>
      </c>
      <c r="D3264" s="1" t="s">
        <v>8</v>
      </c>
      <c r="E3264" s="3">
        <v>3131152</v>
      </c>
      <c r="F3264" s="3">
        <v>3131394</v>
      </c>
      <c r="G3264" s="1" t="s">
        <v>13</v>
      </c>
      <c r="H3264" s="1" t="b">
        <f t="shared" si="121"/>
        <v>1</v>
      </c>
    </row>
    <row r="3265" spans="1:8" ht="21" x14ac:dyDescent="0.25">
      <c r="A3265" s="2" t="str">
        <f>HYPERLINK("https://rth.dk/resources/bsgatlas/details.php?id=BSGatlas-operon-1720","BSGatlas-operon-1720")</f>
        <v>BSGatlas-operon-1720</v>
      </c>
      <c r="B3265" s="2" t="str">
        <f>HYPERLINK("https://rth.dk/resources/bsgatlas/details.php?id=BSGatlas-gene-3572","BSGatlas-gene-3572")</f>
        <v>BSGatlas-gene-3572</v>
      </c>
      <c r="C3265" s="1" t="s">
        <v>3232</v>
      </c>
      <c r="D3265" s="1" t="s">
        <v>8</v>
      </c>
      <c r="E3265" s="3">
        <v>3131446</v>
      </c>
      <c r="F3265" s="3">
        <v>3132219</v>
      </c>
      <c r="G3265" s="1" t="s">
        <v>13</v>
      </c>
      <c r="H3265" s="1" t="b">
        <f t="shared" si="121"/>
        <v>0</v>
      </c>
    </row>
    <row r="3266" spans="1:8" ht="21" x14ac:dyDescent="0.25">
      <c r="A3266" s="2" t="str">
        <f>HYPERLINK("https://rth.dk/resources/bsgatlas/details.php?id=BSGatlas-operon-1721","BSGatlas-operon-1721")</f>
        <v>BSGatlas-operon-1721</v>
      </c>
      <c r="B3266" s="2" t="str">
        <f>HYPERLINK("https://rth.dk/resources/bsgatlas/details.php?id=BSGatlas-gene-3573","BSGatlas-gene-3573")</f>
        <v>BSGatlas-gene-3573</v>
      </c>
      <c r="C3266" s="1" t="s">
        <v>3233</v>
      </c>
      <c r="D3266" s="1" t="s">
        <v>8</v>
      </c>
      <c r="E3266" s="3">
        <v>3132370</v>
      </c>
      <c r="F3266" s="3">
        <v>3133374</v>
      </c>
      <c r="G3266" s="1" t="s">
        <v>9</v>
      </c>
      <c r="H3266" s="1" t="b">
        <f t="shared" ref="H3266:H3329" si="125">_xlfn.XOR(A3265&lt;&gt;A3266,H3265)</f>
        <v>1</v>
      </c>
    </row>
    <row r="3267" spans="1:8" ht="21" x14ac:dyDescent="0.25">
      <c r="A3267" s="2" t="str">
        <f>HYPERLINK("https://rth.dk/resources/bsgatlas/details.php?id=BSGatlas-operon-1721","BSGatlas-operon-1721")</f>
        <v>BSGatlas-operon-1721</v>
      </c>
      <c r="B3267" s="2" t="str">
        <f>HYPERLINK("https://rth.dk/resources/bsgatlas/details.php?id=BSGatlas-gene-3574","BSGatlas-gene-3574")</f>
        <v>BSGatlas-gene-3574</v>
      </c>
      <c r="C3267" s="1" t="s">
        <v>3234</v>
      </c>
      <c r="D3267" s="1" t="s">
        <v>8</v>
      </c>
      <c r="E3267" s="3">
        <v>3133387</v>
      </c>
      <c r="F3267" s="3">
        <v>3134169</v>
      </c>
      <c r="G3267" s="1" t="s">
        <v>9</v>
      </c>
      <c r="H3267" s="1" t="b">
        <f t="shared" si="125"/>
        <v>1</v>
      </c>
    </row>
    <row r="3268" spans="1:8" ht="21" x14ac:dyDescent="0.25">
      <c r="A3268" s="2" t="str">
        <f>HYPERLINK("https://rth.dk/resources/bsgatlas/details.php?id=BSGatlas-operon-1721","BSGatlas-operon-1721")</f>
        <v>BSGatlas-operon-1721</v>
      </c>
      <c r="B3268" s="2" t="str">
        <f>HYPERLINK("https://rth.dk/resources/bsgatlas/details.php?id=BSGatlas-gene-3575","BSGatlas-gene-3575")</f>
        <v>BSGatlas-gene-3575</v>
      </c>
      <c r="C3268" s="1" t="s">
        <v>3235</v>
      </c>
      <c r="D3268" s="1" t="s">
        <v>8</v>
      </c>
      <c r="E3268" s="3">
        <v>3134144</v>
      </c>
      <c r="F3268" s="3">
        <v>3134956</v>
      </c>
      <c r="G3268" s="1" t="s">
        <v>9</v>
      </c>
      <c r="H3268" s="1" t="b">
        <f t="shared" si="125"/>
        <v>1</v>
      </c>
    </row>
    <row r="3269" spans="1:8" ht="21" x14ac:dyDescent="0.25">
      <c r="A3269" s="2" t="str">
        <f>HYPERLINK("https://rth.dk/resources/bsgatlas/details.php?id=BSGatlas-operon-1722","BSGatlas-operon-1722")</f>
        <v>BSGatlas-operon-1722</v>
      </c>
      <c r="B3269" s="2" t="str">
        <f>HYPERLINK("https://rth.dk/resources/bsgatlas/details.php?id=BSGatlas-gene-3576","BSGatlas-gene-3576")</f>
        <v>BSGatlas-gene-3576</v>
      </c>
      <c r="C3269" s="1" t="s">
        <v>3236</v>
      </c>
      <c r="D3269" s="1" t="s">
        <v>8</v>
      </c>
      <c r="E3269" s="3">
        <v>3134983</v>
      </c>
      <c r="F3269" s="3">
        <v>3135459</v>
      </c>
      <c r="G3269" s="1" t="s">
        <v>13</v>
      </c>
      <c r="H3269" s="1" t="b">
        <f t="shared" si="125"/>
        <v>0</v>
      </c>
    </row>
    <row r="3270" spans="1:8" ht="21" x14ac:dyDescent="0.25">
      <c r="A3270" s="2" t="str">
        <f>HYPERLINK("https://rth.dk/resources/bsgatlas/details.php?id=BSGatlas-operon-1723","BSGatlas-operon-1723")</f>
        <v>BSGatlas-operon-1723</v>
      </c>
      <c r="B3270" s="2" t="str">
        <f>HYPERLINK("https://rth.dk/resources/bsgatlas/details.php?id=BSGatlas-gene-3577","BSGatlas-gene-3577")</f>
        <v>BSGatlas-gene-3577</v>
      </c>
      <c r="C3270" s="1" t="s">
        <v>3237</v>
      </c>
      <c r="D3270" s="1" t="s">
        <v>8</v>
      </c>
      <c r="E3270" s="3">
        <v>3135668</v>
      </c>
      <c r="F3270" s="3">
        <v>3136072</v>
      </c>
      <c r="G3270" s="1" t="s">
        <v>13</v>
      </c>
      <c r="H3270" s="1" t="b">
        <f t="shared" si="125"/>
        <v>1</v>
      </c>
    </row>
    <row r="3271" spans="1:8" ht="21" x14ac:dyDescent="0.25">
      <c r="A3271" s="2" t="str">
        <f>HYPERLINK("https://rth.dk/resources/bsgatlas/details.php?id=BSGatlas-operon-1724","BSGatlas-operon-1724")</f>
        <v>BSGatlas-operon-1724</v>
      </c>
      <c r="B3271" s="2" t="str">
        <f>HYPERLINK("https://rth.dk/resources/bsgatlas/details.php?id=BSGatlas-gene-3578","BSGatlas-gene-3578")</f>
        <v>BSGatlas-gene-3578</v>
      </c>
      <c r="C3271" s="1" t="s">
        <v>3238</v>
      </c>
      <c r="D3271" s="1" t="s">
        <v>8</v>
      </c>
      <c r="E3271" s="3">
        <v>3136238</v>
      </c>
      <c r="F3271" s="3">
        <v>3136675</v>
      </c>
      <c r="G3271" s="1" t="s">
        <v>13</v>
      </c>
      <c r="H3271" s="1" t="b">
        <f t="shared" si="125"/>
        <v>0</v>
      </c>
    </row>
    <row r="3272" spans="1:8" ht="21" x14ac:dyDescent="0.25">
      <c r="A3272" s="2" t="str">
        <f>HYPERLINK("https://rth.dk/resources/bsgatlas/details.php?id=BSGatlas-operon-1724","BSGatlas-operon-1724")</f>
        <v>BSGatlas-operon-1724</v>
      </c>
      <c r="B3272" s="2" t="str">
        <f>HYPERLINK("https://rth.dk/resources/bsgatlas/details.php?id=BSGatlas-gene-3580","BSGatlas-gene-3580")</f>
        <v>BSGatlas-gene-3580</v>
      </c>
      <c r="C3272" s="1" t="s">
        <v>3239</v>
      </c>
      <c r="D3272" s="1" t="s">
        <v>8</v>
      </c>
      <c r="E3272" s="3">
        <v>3136938</v>
      </c>
      <c r="F3272" s="3">
        <v>3137375</v>
      </c>
      <c r="G3272" s="1" t="s">
        <v>13</v>
      </c>
      <c r="H3272" s="1" t="b">
        <f t="shared" si="125"/>
        <v>0</v>
      </c>
    </row>
    <row r="3273" spans="1:8" ht="21" x14ac:dyDescent="0.25">
      <c r="A3273" s="2" t="str">
        <f>HYPERLINK("https://rth.dk/resources/bsgatlas/details.php?id=BSGatlas-operon-1725","BSGatlas-operon-1725")</f>
        <v>BSGatlas-operon-1725</v>
      </c>
      <c r="B3273" s="2" t="str">
        <f>HYPERLINK("https://rth.dk/resources/bsgatlas/details.php?id=BSGatlas-gene-3579","BSGatlas-gene-3579")</f>
        <v>BSGatlas-gene-3579</v>
      </c>
      <c r="C3273" s="1" t="s">
        <v>3240</v>
      </c>
      <c r="D3273" s="1" t="s">
        <v>8</v>
      </c>
      <c r="E3273" s="3">
        <v>3136768</v>
      </c>
      <c r="F3273" s="3">
        <v>3136944</v>
      </c>
      <c r="G3273" s="1" t="s">
        <v>9</v>
      </c>
      <c r="H3273" s="1" t="b">
        <f t="shared" si="125"/>
        <v>1</v>
      </c>
    </row>
    <row r="3274" spans="1:8" ht="21" x14ac:dyDescent="0.25">
      <c r="A3274" s="2" t="str">
        <f>HYPERLINK("https://rth.dk/resources/bsgatlas/details.php?id=BSGatlas-operon-1726","BSGatlas-operon-1726")</f>
        <v>BSGatlas-operon-1726</v>
      </c>
      <c r="B3274" s="2" t="str">
        <f>HYPERLINK("https://rth.dk/resources/bsgatlas/details.php?id=BSGatlas-gene-3581","BSGatlas-gene-3581")</f>
        <v>BSGatlas-gene-3581</v>
      </c>
      <c r="C3274" s="1" t="s">
        <v>3241</v>
      </c>
      <c r="D3274" s="1" t="s">
        <v>8</v>
      </c>
      <c r="E3274" s="3">
        <v>3137495</v>
      </c>
      <c r="F3274" s="3">
        <v>3137968</v>
      </c>
      <c r="G3274" s="1" t="s">
        <v>13</v>
      </c>
      <c r="H3274" s="1" t="b">
        <f t="shared" si="125"/>
        <v>0</v>
      </c>
    </row>
    <row r="3275" spans="1:8" ht="21" x14ac:dyDescent="0.25">
      <c r="A3275" s="2" t="str">
        <f>HYPERLINK("https://rth.dk/resources/bsgatlas/details.php?id=BSGatlas-operon-1726","BSGatlas-operon-1726")</f>
        <v>BSGatlas-operon-1726</v>
      </c>
      <c r="B3275" s="2" t="str">
        <f>HYPERLINK("https://rth.dk/resources/bsgatlas/details.php?id=BSGatlas-gene-3583","BSGatlas-gene-3583")</f>
        <v>BSGatlas-gene-3583</v>
      </c>
      <c r="C3275" s="1" t="s">
        <v>3242</v>
      </c>
      <c r="D3275" s="1" t="s">
        <v>8</v>
      </c>
      <c r="E3275" s="3">
        <v>3138321</v>
      </c>
      <c r="F3275" s="3">
        <v>3138884</v>
      </c>
      <c r="G3275" s="1" t="s">
        <v>13</v>
      </c>
      <c r="H3275" s="1" t="b">
        <f t="shared" si="125"/>
        <v>0</v>
      </c>
    </row>
    <row r="3276" spans="1:8" ht="21" x14ac:dyDescent="0.25">
      <c r="A3276" s="2" t="str">
        <f>HYPERLINK("https://rth.dk/resources/bsgatlas/details.php?id=BSGatlas-operon-1727","BSGatlas-operon-1727")</f>
        <v>BSGatlas-operon-1727</v>
      </c>
      <c r="B3276" s="2" t="str">
        <f>HYPERLINK("https://rth.dk/resources/bsgatlas/details.php?id=BSGatlas-gene-3582","BSGatlas-gene-3582")</f>
        <v>BSGatlas-gene-3582</v>
      </c>
      <c r="C3276" s="1" t="s">
        <v>3243</v>
      </c>
      <c r="D3276" s="1" t="s">
        <v>8</v>
      </c>
      <c r="E3276" s="3">
        <v>3138097</v>
      </c>
      <c r="F3276" s="3">
        <v>3138324</v>
      </c>
      <c r="G3276" s="1" t="s">
        <v>9</v>
      </c>
      <c r="H3276" s="1" t="b">
        <f t="shared" si="125"/>
        <v>1</v>
      </c>
    </row>
    <row r="3277" spans="1:8" ht="21" x14ac:dyDescent="0.25">
      <c r="A3277" s="2" t="str">
        <f>HYPERLINK("https://rth.dk/resources/bsgatlas/details.php?id=BSGatlas-operon-1728","BSGatlas-operon-1728")</f>
        <v>BSGatlas-operon-1728</v>
      </c>
      <c r="B3277" s="2" t="str">
        <f>HYPERLINK("https://rth.dk/resources/bsgatlas/details.php?id=BSGatlas-gene-3584","BSGatlas-gene-3584")</f>
        <v>BSGatlas-gene-3584</v>
      </c>
      <c r="C3277" s="1" t="s">
        <v>3244</v>
      </c>
      <c r="D3277" s="1" t="s">
        <v>8</v>
      </c>
      <c r="E3277" s="3">
        <v>3138978</v>
      </c>
      <c r="F3277" s="3">
        <v>3139226</v>
      </c>
      <c r="G3277" s="1" t="s">
        <v>13</v>
      </c>
      <c r="H3277" s="1" t="b">
        <f t="shared" si="125"/>
        <v>0</v>
      </c>
    </row>
    <row r="3278" spans="1:8" ht="21" x14ac:dyDescent="0.25">
      <c r="A3278" s="2" t="str">
        <f>HYPERLINK("https://rth.dk/resources/bsgatlas/details.php?id=BSGatlas-operon-1729","BSGatlas-operon-1729")</f>
        <v>BSGatlas-operon-1729</v>
      </c>
      <c r="B3278" s="2" t="str">
        <f>HYPERLINK("https://rth.dk/resources/bsgatlas/details.php?id=BSGatlas-gene-3585","BSGatlas-gene-3585")</f>
        <v>BSGatlas-gene-3585</v>
      </c>
      <c r="C3278" s="1" t="s">
        <v>3245</v>
      </c>
      <c r="D3278" s="1" t="s">
        <v>8</v>
      </c>
      <c r="E3278" s="3">
        <v>3139431</v>
      </c>
      <c r="F3278" s="3">
        <v>3140762</v>
      </c>
      <c r="G3278" s="1" t="s">
        <v>9</v>
      </c>
      <c r="H3278" s="1" t="b">
        <f t="shared" si="125"/>
        <v>1</v>
      </c>
    </row>
    <row r="3279" spans="1:8" ht="21" x14ac:dyDescent="0.25">
      <c r="A3279" s="2" t="str">
        <f>HYPERLINK("https://rth.dk/resources/bsgatlas/details.php?id=BSGatlas-operon-1729","BSGatlas-operon-1729")</f>
        <v>BSGatlas-operon-1729</v>
      </c>
      <c r="B3279" s="2" t="str">
        <f>HYPERLINK("https://rth.dk/resources/bsgatlas/details.php?id=BSGatlas-gene-3586","BSGatlas-gene-3586")</f>
        <v>BSGatlas-gene-3586</v>
      </c>
      <c r="C3279" s="1" t="s">
        <v>3246</v>
      </c>
      <c r="D3279" s="1" t="s">
        <v>8</v>
      </c>
      <c r="E3279" s="3">
        <v>3140806</v>
      </c>
      <c r="F3279" s="3">
        <v>3141846</v>
      </c>
      <c r="G3279" s="1" t="s">
        <v>9</v>
      </c>
      <c r="H3279" s="1" t="b">
        <f t="shared" si="125"/>
        <v>1</v>
      </c>
    </row>
    <row r="3280" spans="1:8" ht="21" x14ac:dyDescent="0.25">
      <c r="A3280" s="2" t="str">
        <f>HYPERLINK("https://rth.dk/resources/bsgatlas/details.php?id=BSGatlas-operon-1729","BSGatlas-operon-1729")</f>
        <v>BSGatlas-operon-1729</v>
      </c>
      <c r="B3280" s="2" t="str">
        <f>HYPERLINK("https://rth.dk/resources/bsgatlas/details.php?id=BSGatlas-gene-3587","BSGatlas-gene-3587")</f>
        <v>BSGatlas-gene-3587</v>
      </c>
      <c r="C3280" s="1" t="s">
        <v>3247</v>
      </c>
      <c r="D3280" s="1" t="s">
        <v>8</v>
      </c>
      <c r="E3280" s="3">
        <v>3141900</v>
      </c>
      <c r="F3280" s="3">
        <v>3142058</v>
      </c>
      <c r="G3280" s="1" t="s">
        <v>9</v>
      </c>
      <c r="H3280" s="1" t="b">
        <f t="shared" si="125"/>
        <v>1</v>
      </c>
    </row>
    <row r="3281" spans="1:8" ht="21" x14ac:dyDescent="0.25">
      <c r="A3281" s="2" t="str">
        <f>HYPERLINK("https://rth.dk/resources/bsgatlas/details.php?id=BSGatlas-operon-1730","BSGatlas-operon-1730")</f>
        <v>BSGatlas-operon-1730</v>
      </c>
      <c r="B3281" s="2" t="str">
        <f>HYPERLINK("https://rth.dk/resources/bsgatlas/details.php?id=BSGatlas-gene-3588","BSGatlas-gene-3588")</f>
        <v>BSGatlas-gene-3588</v>
      </c>
      <c r="C3281" s="1" t="s">
        <v>3248</v>
      </c>
      <c r="D3281" s="1" t="s">
        <v>8</v>
      </c>
      <c r="E3281" s="3">
        <v>3142077</v>
      </c>
      <c r="F3281" s="3">
        <v>3142964</v>
      </c>
      <c r="G3281" s="1" t="s">
        <v>13</v>
      </c>
      <c r="H3281" s="1" t="b">
        <f t="shared" si="125"/>
        <v>0</v>
      </c>
    </row>
    <row r="3282" spans="1:8" ht="21" x14ac:dyDescent="0.25">
      <c r="A3282" s="2" t="str">
        <f>HYPERLINK("https://rth.dk/resources/bsgatlas/details.php?id=BSGatlas-operon-1730","BSGatlas-operon-1730")</f>
        <v>BSGatlas-operon-1730</v>
      </c>
      <c r="B3282" s="2" t="str">
        <f>HYPERLINK("https://rth.dk/resources/bsgatlas/details.php?id=BSGatlas-gene-3589","BSGatlas-gene-3589")</f>
        <v>BSGatlas-gene-3589</v>
      </c>
      <c r="C3282" s="1" t="s">
        <v>3249</v>
      </c>
      <c r="D3282" s="1" t="s">
        <v>8</v>
      </c>
      <c r="E3282" s="3">
        <v>3142954</v>
      </c>
      <c r="F3282" s="3">
        <v>3144261</v>
      </c>
      <c r="G3282" s="1" t="s">
        <v>13</v>
      </c>
      <c r="H3282" s="1" t="b">
        <f t="shared" si="125"/>
        <v>0</v>
      </c>
    </row>
    <row r="3283" spans="1:8" ht="21" x14ac:dyDescent="0.25">
      <c r="A3283" s="2" t="str">
        <f>HYPERLINK("https://rth.dk/resources/bsgatlas/details.php?id=BSGatlas-operon-1730","BSGatlas-operon-1730")</f>
        <v>BSGatlas-operon-1730</v>
      </c>
      <c r="B3283" s="2" t="str">
        <f>HYPERLINK("https://rth.dk/resources/bsgatlas/details.php?id=BSGatlas-gene-3590","BSGatlas-gene-3590")</f>
        <v>BSGatlas-gene-3590</v>
      </c>
      <c r="C3283" s="1" t="s">
        <v>3250</v>
      </c>
      <c r="D3283" s="1" t="s">
        <v>8</v>
      </c>
      <c r="E3283" s="3">
        <v>3144267</v>
      </c>
      <c r="F3283" s="3">
        <v>3145019</v>
      </c>
      <c r="G3283" s="1" t="s">
        <v>13</v>
      </c>
      <c r="H3283" s="1" t="b">
        <f t="shared" si="125"/>
        <v>0</v>
      </c>
    </row>
    <row r="3284" spans="1:8" ht="21" x14ac:dyDescent="0.25">
      <c r="A3284" s="2" t="str">
        <f>HYPERLINK("https://rth.dk/resources/bsgatlas/details.php?id=BSGatlas-operon-1730","BSGatlas-operon-1730")</f>
        <v>BSGatlas-operon-1730</v>
      </c>
      <c r="B3284" s="2" t="str">
        <f>HYPERLINK("https://rth.dk/resources/bsgatlas/details.php?id=BSGatlas-gene-3591","BSGatlas-gene-3591")</f>
        <v>BSGatlas-gene-3591</v>
      </c>
      <c r="C3284" s="1" t="s">
        <v>3251</v>
      </c>
      <c r="D3284" s="1" t="s">
        <v>8</v>
      </c>
      <c r="E3284" s="3">
        <v>3145038</v>
      </c>
      <c r="F3284" s="3">
        <v>3145958</v>
      </c>
      <c r="G3284" s="1" t="s">
        <v>13</v>
      </c>
      <c r="H3284" s="1" t="b">
        <f t="shared" si="125"/>
        <v>0</v>
      </c>
    </row>
    <row r="3285" spans="1:8" ht="21" x14ac:dyDescent="0.25">
      <c r="A3285" s="2" t="str">
        <f>HYPERLINK("https://rth.dk/resources/bsgatlas/details.php?id=BSGatlas-operon-1731","BSGatlas-operon-1731")</f>
        <v>BSGatlas-operon-1731</v>
      </c>
      <c r="B3285" s="2" t="str">
        <f>HYPERLINK("https://rth.dk/resources/bsgatlas/details.php?id=BSGatlas-gene-3592","BSGatlas-gene-3592")</f>
        <v>BSGatlas-gene-3592</v>
      </c>
      <c r="C3285" s="1" t="s">
        <v>3252</v>
      </c>
      <c r="D3285" s="1" t="s">
        <v>12</v>
      </c>
      <c r="E3285" s="3">
        <v>3146126</v>
      </c>
      <c r="F3285" s="3">
        <v>3146183</v>
      </c>
      <c r="G3285" s="1" t="s">
        <v>13</v>
      </c>
      <c r="H3285" s="1" t="b">
        <f t="shared" si="125"/>
        <v>1</v>
      </c>
    </row>
    <row r="3286" spans="1:8" ht="21" x14ac:dyDescent="0.25">
      <c r="A3286" s="2" t="str">
        <f t="shared" ref="A3286:A3291" si="126">HYPERLINK("https://rth.dk/resources/bsgatlas/details.php?id=BSGatlas-operon-1732","BSGatlas-operon-1732")</f>
        <v>BSGatlas-operon-1732</v>
      </c>
      <c r="B3286" s="2" t="str">
        <f>HYPERLINK("https://rth.dk/resources/bsgatlas/details.php?id=BSGatlas-gene-3593","BSGatlas-gene-3593")</f>
        <v>BSGatlas-gene-3593</v>
      </c>
      <c r="C3286" s="1" t="s">
        <v>3253</v>
      </c>
      <c r="D3286" s="1" t="s">
        <v>8</v>
      </c>
      <c r="E3286" s="3">
        <v>3146238</v>
      </c>
      <c r="F3286" s="3">
        <v>3147353</v>
      </c>
      <c r="G3286" s="1" t="s">
        <v>13</v>
      </c>
      <c r="H3286" s="1" t="b">
        <f t="shared" si="125"/>
        <v>0</v>
      </c>
    </row>
    <row r="3287" spans="1:8" ht="21" x14ac:dyDescent="0.25">
      <c r="A3287" s="2" t="str">
        <f t="shared" si="126"/>
        <v>BSGatlas-operon-1732</v>
      </c>
      <c r="B3287" s="2" t="str">
        <f>HYPERLINK("https://rth.dk/resources/bsgatlas/details.php?id=BSGatlas-gene-3594","BSGatlas-gene-3594")</f>
        <v>BSGatlas-gene-3594</v>
      </c>
      <c r="C3287" s="1" t="s">
        <v>3254</v>
      </c>
      <c r="D3287" s="1" t="s">
        <v>8</v>
      </c>
      <c r="E3287" s="3">
        <v>3147350</v>
      </c>
      <c r="F3287" s="3">
        <v>3148810</v>
      </c>
      <c r="G3287" s="1" t="s">
        <v>13</v>
      </c>
      <c r="H3287" s="1" t="b">
        <f t="shared" si="125"/>
        <v>0</v>
      </c>
    </row>
    <row r="3288" spans="1:8" ht="21" x14ac:dyDescent="0.25">
      <c r="A3288" s="2" t="str">
        <f t="shared" si="126"/>
        <v>BSGatlas-operon-1732</v>
      </c>
      <c r="B3288" s="2" t="str">
        <f>HYPERLINK("https://rth.dk/resources/bsgatlas/details.php?id=BSGatlas-gene-3595","BSGatlas-gene-3595")</f>
        <v>BSGatlas-gene-3595</v>
      </c>
      <c r="C3288" s="1" t="s">
        <v>3255</v>
      </c>
      <c r="D3288" s="1" t="s">
        <v>8</v>
      </c>
      <c r="E3288" s="3">
        <v>3148901</v>
      </c>
      <c r="F3288" s="3">
        <v>3149716</v>
      </c>
      <c r="G3288" s="1" t="s">
        <v>13</v>
      </c>
      <c r="H3288" s="1" t="b">
        <f t="shared" si="125"/>
        <v>0</v>
      </c>
    </row>
    <row r="3289" spans="1:8" ht="21" x14ac:dyDescent="0.25">
      <c r="A3289" s="2" t="str">
        <f t="shared" si="126"/>
        <v>BSGatlas-operon-1732</v>
      </c>
      <c r="B3289" s="2" t="str">
        <f>HYPERLINK("https://rth.dk/resources/bsgatlas/details.php?id=BSGatlas-gene-3596","BSGatlas-gene-3596")</f>
        <v>BSGatlas-gene-3596</v>
      </c>
      <c r="C3289" s="1" t="s">
        <v>3256</v>
      </c>
      <c r="D3289" s="1" t="s">
        <v>8</v>
      </c>
      <c r="E3289" s="3">
        <v>3149751</v>
      </c>
      <c r="F3289" s="3">
        <v>3150575</v>
      </c>
      <c r="G3289" s="1" t="s">
        <v>13</v>
      </c>
      <c r="H3289" s="1" t="b">
        <f t="shared" si="125"/>
        <v>0</v>
      </c>
    </row>
    <row r="3290" spans="1:8" ht="21" x14ac:dyDescent="0.25">
      <c r="A3290" s="2" t="str">
        <f t="shared" si="126"/>
        <v>BSGatlas-operon-1732</v>
      </c>
      <c r="B3290" s="2" t="str">
        <f>HYPERLINK("https://rth.dk/resources/bsgatlas/details.php?id=BSGatlas-gene-3597","BSGatlas-gene-3597")</f>
        <v>BSGatlas-gene-3597</v>
      </c>
      <c r="C3290" s="1" t="s">
        <v>3257</v>
      </c>
      <c r="D3290" s="1" t="s">
        <v>8</v>
      </c>
      <c r="E3290" s="3">
        <v>3150563</v>
      </c>
      <c r="F3290" s="3">
        <v>3152305</v>
      </c>
      <c r="G3290" s="1" t="s">
        <v>13</v>
      </c>
      <c r="H3290" s="1" t="b">
        <f t="shared" si="125"/>
        <v>0</v>
      </c>
    </row>
    <row r="3291" spans="1:8" ht="21" x14ac:dyDescent="0.25">
      <c r="A3291" s="2" t="str">
        <f t="shared" si="126"/>
        <v>BSGatlas-operon-1732</v>
      </c>
      <c r="B3291" s="2" t="str">
        <f>HYPERLINK("https://rth.dk/resources/bsgatlas/details.php?id=BSGatlas-gene-3598","BSGatlas-gene-3598")</f>
        <v>BSGatlas-gene-3598</v>
      </c>
      <c r="C3291" s="1" t="s">
        <v>3258</v>
      </c>
      <c r="D3291" s="1" t="s">
        <v>8</v>
      </c>
      <c r="E3291" s="3">
        <v>3152302</v>
      </c>
      <c r="F3291" s="3">
        <v>3153717</v>
      </c>
      <c r="G3291" s="1" t="s">
        <v>13</v>
      </c>
      <c r="H3291" s="1" t="b">
        <f t="shared" si="125"/>
        <v>0</v>
      </c>
    </row>
    <row r="3292" spans="1:8" ht="21" x14ac:dyDescent="0.25">
      <c r="A3292" s="2" t="str">
        <f>HYPERLINK("https://rth.dk/resources/bsgatlas/details.php?id=BSGatlas-operon-1733","BSGatlas-operon-1733")</f>
        <v>BSGatlas-operon-1733</v>
      </c>
      <c r="B3292" s="2" t="str">
        <f>HYPERLINK("https://rth.dk/resources/bsgatlas/details.php?id=BSGatlas-gene-3599","BSGatlas-gene-3599")</f>
        <v>BSGatlas-gene-3599</v>
      </c>
      <c r="C3292" s="1" t="s">
        <v>3259</v>
      </c>
      <c r="D3292" s="1" t="s">
        <v>8</v>
      </c>
      <c r="E3292" s="3">
        <v>3154007</v>
      </c>
      <c r="F3292" s="3">
        <v>3154726</v>
      </c>
      <c r="G3292" s="1" t="s">
        <v>9</v>
      </c>
      <c r="H3292" s="1" t="b">
        <f t="shared" si="125"/>
        <v>1</v>
      </c>
    </row>
    <row r="3293" spans="1:8" ht="21" x14ac:dyDescent="0.25">
      <c r="A3293" s="2" t="str">
        <f>HYPERLINK("https://rth.dk/resources/bsgatlas/details.php?id=BSGatlas-operon-1734","BSGatlas-operon-1734")</f>
        <v>BSGatlas-operon-1734</v>
      </c>
      <c r="B3293" s="2" t="str">
        <f>HYPERLINK("https://rth.dk/resources/bsgatlas/details.php?id=BSGatlas-gene-3600","BSGatlas-gene-3600")</f>
        <v>BSGatlas-gene-3600</v>
      </c>
      <c r="C3293" s="1" t="s">
        <v>3260</v>
      </c>
      <c r="D3293" s="1" t="s">
        <v>8</v>
      </c>
      <c r="E3293" s="3">
        <v>3154735</v>
      </c>
      <c r="F3293" s="3">
        <v>3155553</v>
      </c>
      <c r="G3293" s="1" t="s">
        <v>13</v>
      </c>
      <c r="H3293" s="1" t="b">
        <f t="shared" si="125"/>
        <v>0</v>
      </c>
    </row>
    <row r="3294" spans="1:8" ht="21" x14ac:dyDescent="0.25">
      <c r="A3294" s="2" t="str">
        <f>HYPERLINK("https://rth.dk/resources/bsgatlas/details.php?id=BSGatlas-operon-1735","BSGatlas-operon-1735")</f>
        <v>BSGatlas-operon-1735</v>
      </c>
      <c r="B3294" s="2" t="str">
        <f>HYPERLINK("https://rth.dk/resources/bsgatlas/details.php?id=BSGatlas-gene-3601","BSGatlas-gene-3601")</f>
        <v>BSGatlas-gene-3601</v>
      </c>
      <c r="C3294" s="1" t="s">
        <v>3261</v>
      </c>
      <c r="D3294" s="1" t="s">
        <v>8</v>
      </c>
      <c r="E3294" s="3">
        <v>3155725</v>
      </c>
      <c r="F3294" s="3">
        <v>3157011</v>
      </c>
      <c r="G3294" s="1" t="s">
        <v>9</v>
      </c>
      <c r="H3294" s="1" t="b">
        <f t="shared" si="125"/>
        <v>1</v>
      </c>
    </row>
    <row r="3295" spans="1:8" ht="21" x14ac:dyDescent="0.25">
      <c r="A3295" s="2" t="str">
        <f>HYPERLINK("https://rth.dk/resources/bsgatlas/details.php?id=BSGatlas-operon-1735","BSGatlas-operon-1735")</f>
        <v>BSGatlas-operon-1735</v>
      </c>
      <c r="B3295" s="2" t="str">
        <f>HYPERLINK("https://rth.dk/resources/bsgatlas/details.php?id=BSGatlas-gene-3602","BSGatlas-gene-3602")</f>
        <v>BSGatlas-gene-3602</v>
      </c>
      <c r="C3295" s="1" t="s">
        <v>3262</v>
      </c>
      <c r="D3295" s="1" t="s">
        <v>8</v>
      </c>
      <c r="E3295" s="3">
        <v>3157008</v>
      </c>
      <c r="F3295" s="3">
        <v>3157958</v>
      </c>
      <c r="G3295" s="1" t="s">
        <v>9</v>
      </c>
      <c r="H3295" s="1" t="b">
        <f t="shared" si="125"/>
        <v>1</v>
      </c>
    </row>
    <row r="3296" spans="1:8" ht="21" x14ac:dyDescent="0.25">
      <c r="A3296" s="2" t="str">
        <f>HYPERLINK("https://rth.dk/resources/bsgatlas/details.php?id=BSGatlas-operon-1735","BSGatlas-operon-1735")</f>
        <v>BSGatlas-operon-1735</v>
      </c>
      <c r="B3296" s="2" t="str">
        <f>HYPERLINK("https://rth.dk/resources/bsgatlas/details.php?id=BSGatlas-gene-3603","BSGatlas-gene-3603")</f>
        <v>BSGatlas-gene-3603</v>
      </c>
      <c r="C3296" s="1" t="s">
        <v>3263</v>
      </c>
      <c r="D3296" s="1" t="s">
        <v>8</v>
      </c>
      <c r="E3296" s="3">
        <v>3157961</v>
      </c>
      <c r="F3296" s="3">
        <v>3159184</v>
      </c>
      <c r="G3296" s="1" t="s">
        <v>9</v>
      </c>
      <c r="H3296" s="1" t="b">
        <f t="shared" si="125"/>
        <v>1</v>
      </c>
    </row>
    <row r="3297" spans="1:8" ht="21" x14ac:dyDescent="0.25">
      <c r="A3297" s="2" t="str">
        <f>HYPERLINK("https://rth.dk/resources/bsgatlas/details.php?id=BSGatlas-operon-1736","BSGatlas-operon-1736")</f>
        <v>BSGatlas-operon-1736</v>
      </c>
      <c r="B3297" s="2" t="str">
        <f>HYPERLINK("https://rth.dk/resources/bsgatlas/details.php?id=BSGatlas-gene-3604","BSGatlas-gene-3604")</f>
        <v>BSGatlas-gene-3604</v>
      </c>
      <c r="C3297" s="1" t="s">
        <v>3264</v>
      </c>
      <c r="D3297" s="1" t="s">
        <v>8</v>
      </c>
      <c r="E3297" s="3">
        <v>3159258</v>
      </c>
      <c r="F3297" s="3">
        <v>3159689</v>
      </c>
      <c r="G3297" s="1" t="s">
        <v>13</v>
      </c>
      <c r="H3297" s="1" t="b">
        <f t="shared" si="125"/>
        <v>0</v>
      </c>
    </row>
    <row r="3298" spans="1:8" ht="21" x14ac:dyDescent="0.25">
      <c r="A3298" s="2" t="str">
        <f>HYPERLINK("https://rth.dk/resources/bsgatlas/details.php?id=BSGatlas-operon-1736","BSGatlas-operon-1736")</f>
        <v>BSGatlas-operon-1736</v>
      </c>
      <c r="B3298" s="2" t="str">
        <f>HYPERLINK("https://rth.dk/resources/bsgatlas/details.php?id=BSGatlas-gene-3605","BSGatlas-gene-3605")</f>
        <v>BSGatlas-gene-3605</v>
      </c>
      <c r="C3298" s="1" t="s">
        <v>3265</v>
      </c>
      <c r="D3298" s="1" t="s">
        <v>8</v>
      </c>
      <c r="E3298" s="3">
        <v>3159691</v>
      </c>
      <c r="F3298" s="3">
        <v>3160746</v>
      </c>
      <c r="G3298" s="1" t="s">
        <v>13</v>
      </c>
      <c r="H3298" s="1" t="b">
        <f t="shared" si="125"/>
        <v>0</v>
      </c>
    </row>
    <row r="3299" spans="1:8" ht="21" x14ac:dyDescent="0.25">
      <c r="A3299" s="2" t="str">
        <f>HYPERLINK("https://rth.dk/resources/bsgatlas/details.php?id=BSGatlas-operon-1736","BSGatlas-operon-1736")</f>
        <v>BSGatlas-operon-1736</v>
      </c>
      <c r="B3299" s="2" t="str">
        <f>HYPERLINK("https://rth.dk/resources/bsgatlas/details.php?id=BSGatlas-gene-3606","BSGatlas-gene-3606")</f>
        <v>BSGatlas-gene-3606</v>
      </c>
      <c r="C3299" s="1" t="s">
        <v>3266</v>
      </c>
      <c r="D3299" s="1" t="s">
        <v>8</v>
      </c>
      <c r="E3299" s="3">
        <v>3160761</v>
      </c>
      <c r="F3299" s="3">
        <v>3161894</v>
      </c>
      <c r="G3299" s="1" t="s">
        <v>13</v>
      </c>
      <c r="H3299" s="1" t="b">
        <f t="shared" si="125"/>
        <v>0</v>
      </c>
    </row>
    <row r="3300" spans="1:8" ht="21" x14ac:dyDescent="0.25">
      <c r="A3300" s="2" t="str">
        <f>HYPERLINK("https://rth.dk/resources/bsgatlas/details.php?id=BSGatlas-operon-1737","BSGatlas-operon-1737")</f>
        <v>BSGatlas-operon-1737</v>
      </c>
      <c r="B3300" s="2" t="str">
        <f>HYPERLINK("https://rth.dk/resources/bsgatlas/details.php?id=BSGatlas-gene-3607","BSGatlas-gene-3607")</f>
        <v>BSGatlas-gene-3607</v>
      </c>
      <c r="C3300" s="1" t="s">
        <v>3267</v>
      </c>
      <c r="D3300" s="1" t="s">
        <v>8</v>
      </c>
      <c r="E3300" s="3">
        <v>3162084</v>
      </c>
      <c r="F3300" s="3">
        <v>3163157</v>
      </c>
      <c r="G3300" s="1" t="s">
        <v>9</v>
      </c>
      <c r="H3300" s="1" t="b">
        <f t="shared" si="125"/>
        <v>1</v>
      </c>
    </row>
    <row r="3301" spans="1:8" ht="21" x14ac:dyDescent="0.25">
      <c r="A3301" s="2" t="str">
        <f>HYPERLINK("https://rth.dk/resources/bsgatlas/details.php?id=BSGatlas-operon-1738","BSGatlas-operon-1738")</f>
        <v>BSGatlas-operon-1738</v>
      </c>
      <c r="B3301" s="2" t="str">
        <f>HYPERLINK("https://rth.dk/resources/bsgatlas/details.php?id=BSGatlas-gene-3608","BSGatlas-gene-3608")</f>
        <v>BSGatlas-gene-3608</v>
      </c>
      <c r="C3301" s="1" t="s">
        <v>3268</v>
      </c>
      <c r="D3301" s="1" t="s">
        <v>8</v>
      </c>
      <c r="E3301" s="3">
        <v>3163237</v>
      </c>
      <c r="F3301" s="3">
        <v>3163704</v>
      </c>
      <c r="G3301" s="1" t="s">
        <v>9</v>
      </c>
      <c r="H3301" s="1" t="b">
        <f t="shared" si="125"/>
        <v>0</v>
      </c>
    </row>
    <row r="3302" spans="1:8" ht="21" x14ac:dyDescent="0.25">
      <c r="A3302" s="2" t="str">
        <f>HYPERLINK("https://rth.dk/resources/bsgatlas/details.php?id=BSGatlas-operon-1739","BSGatlas-operon-1739")</f>
        <v>BSGatlas-operon-1739</v>
      </c>
      <c r="B3302" s="2" t="str">
        <f>HYPERLINK("https://rth.dk/resources/bsgatlas/details.php?id=BSGatlas-gene-3609","BSGatlas-gene-3609")</f>
        <v>BSGatlas-gene-3609</v>
      </c>
      <c r="C3302" s="1" t="s">
        <v>3269</v>
      </c>
      <c r="D3302" s="1" t="s">
        <v>8</v>
      </c>
      <c r="E3302" s="3">
        <v>3163735</v>
      </c>
      <c r="F3302" s="3">
        <v>3166131</v>
      </c>
      <c r="G3302" s="1" t="s">
        <v>13</v>
      </c>
      <c r="H3302" s="1" t="b">
        <f t="shared" si="125"/>
        <v>1</v>
      </c>
    </row>
    <row r="3303" spans="1:8" ht="21" x14ac:dyDescent="0.25">
      <c r="A3303" s="2" t="str">
        <f>HYPERLINK("https://rth.dk/resources/bsgatlas/details.php?id=BSGatlas-operon-1739","BSGatlas-operon-1739")</f>
        <v>BSGatlas-operon-1739</v>
      </c>
      <c r="B3303" s="2" t="str">
        <f>HYPERLINK("https://rth.dk/resources/bsgatlas/details.php?id=BSGatlas-gene-3610","BSGatlas-gene-3610")</f>
        <v>BSGatlas-gene-3610</v>
      </c>
      <c r="C3303" s="1" t="s">
        <v>3270</v>
      </c>
      <c r="D3303" s="1" t="s">
        <v>8</v>
      </c>
      <c r="E3303" s="3">
        <v>3166118</v>
      </c>
      <c r="F3303" s="3">
        <v>3167572</v>
      </c>
      <c r="G3303" s="1" t="s">
        <v>13</v>
      </c>
      <c r="H3303" s="1" t="b">
        <f t="shared" si="125"/>
        <v>1</v>
      </c>
    </row>
    <row r="3304" spans="1:8" ht="21" x14ac:dyDescent="0.25">
      <c r="A3304" s="2" t="str">
        <f>HYPERLINK("https://rth.dk/resources/bsgatlas/details.php?id=BSGatlas-operon-1739","BSGatlas-operon-1739")</f>
        <v>BSGatlas-operon-1739</v>
      </c>
      <c r="B3304" s="2" t="str">
        <f>HYPERLINK("https://rth.dk/resources/bsgatlas/details.php?id=BSGatlas-gene-3611","BSGatlas-gene-3611")</f>
        <v>BSGatlas-gene-3611</v>
      </c>
      <c r="C3304" s="1" t="s">
        <v>3271</v>
      </c>
      <c r="D3304" s="1" t="s">
        <v>8</v>
      </c>
      <c r="E3304" s="3">
        <v>3167569</v>
      </c>
      <c r="F3304" s="3">
        <v>3168600</v>
      </c>
      <c r="G3304" s="1" t="s">
        <v>13</v>
      </c>
      <c r="H3304" s="1" t="b">
        <f t="shared" si="125"/>
        <v>1</v>
      </c>
    </row>
    <row r="3305" spans="1:8" ht="21" x14ac:dyDescent="0.25">
      <c r="A3305" s="2" t="str">
        <f>HYPERLINK("https://rth.dk/resources/bsgatlas/details.php?id=BSGatlas-operon-1739","BSGatlas-operon-1739")</f>
        <v>BSGatlas-operon-1739</v>
      </c>
      <c r="B3305" s="2" t="str">
        <f>HYPERLINK("https://rth.dk/resources/bsgatlas/details.php?id=BSGatlas-gene-3612","BSGatlas-gene-3612")</f>
        <v>BSGatlas-gene-3612</v>
      </c>
      <c r="C3305" s="1" t="s">
        <v>3272</v>
      </c>
      <c r="D3305" s="1" t="s">
        <v>8</v>
      </c>
      <c r="E3305" s="3">
        <v>3168624</v>
      </c>
      <c r="F3305" s="3">
        <v>3169766</v>
      </c>
      <c r="G3305" s="1" t="s">
        <v>13</v>
      </c>
      <c r="H3305" s="1" t="b">
        <f t="shared" si="125"/>
        <v>1</v>
      </c>
    </row>
    <row r="3306" spans="1:8" ht="21" x14ac:dyDescent="0.25">
      <c r="A3306" s="2" t="str">
        <f>HYPERLINK("https://rth.dk/resources/bsgatlas/details.php?id=BSGatlas-operon-1739","BSGatlas-operon-1739")</f>
        <v>BSGatlas-operon-1739</v>
      </c>
      <c r="B3306" s="2" t="str">
        <f>HYPERLINK("https://rth.dk/resources/bsgatlas/details.php?id=BSGatlas-gene-3613","BSGatlas-gene-3613")</f>
        <v>BSGatlas-gene-3613</v>
      </c>
      <c r="C3306" s="1" t="s">
        <v>3273</v>
      </c>
      <c r="D3306" s="1" t="s">
        <v>8</v>
      </c>
      <c r="E3306" s="3">
        <v>3169763</v>
      </c>
      <c r="F3306" s="3">
        <v>3171646</v>
      </c>
      <c r="G3306" s="1" t="s">
        <v>13</v>
      </c>
      <c r="H3306" s="1" t="b">
        <f t="shared" si="125"/>
        <v>1</v>
      </c>
    </row>
    <row r="3307" spans="1:8" ht="21" x14ac:dyDescent="0.25">
      <c r="A3307" s="2" t="str">
        <f t="shared" ref="A3307:A3330" si="127">HYPERLINK("https://rth.dk/resources/bsgatlas/details.php?id=BSGatlas-operon-1740","BSGatlas-operon-1740")</f>
        <v>BSGatlas-operon-1740</v>
      </c>
      <c r="B3307" s="2" t="str">
        <f>HYPERLINK("https://rth.dk/resources/bsgatlas/details.php?id=BSGatlas-gene-3615","BSGatlas-gene-3615")</f>
        <v>BSGatlas-gene-3615</v>
      </c>
      <c r="C3307" s="1" t="s">
        <v>3274</v>
      </c>
      <c r="D3307" s="1" t="s">
        <v>23</v>
      </c>
      <c r="E3307" s="3">
        <v>3171878</v>
      </c>
      <c r="F3307" s="3">
        <v>3171950</v>
      </c>
      <c r="G3307" s="1" t="s">
        <v>13</v>
      </c>
      <c r="H3307" s="1" t="b">
        <f t="shared" si="125"/>
        <v>0</v>
      </c>
    </row>
    <row r="3308" spans="1:8" ht="21" x14ac:dyDescent="0.25">
      <c r="A3308" s="2" t="str">
        <f t="shared" si="127"/>
        <v>BSGatlas-operon-1740</v>
      </c>
      <c r="B3308" s="2" t="str">
        <f>HYPERLINK("https://rth.dk/resources/bsgatlas/details.php?id=BSGatlas-gene-3616","BSGatlas-gene-3616")</f>
        <v>BSGatlas-gene-3616</v>
      </c>
      <c r="C3308" s="1" t="s">
        <v>3275</v>
      </c>
      <c r="D3308" s="1" t="s">
        <v>23</v>
      </c>
      <c r="E3308" s="3">
        <v>3171976</v>
      </c>
      <c r="F3308" s="3">
        <v>3172066</v>
      </c>
      <c r="G3308" s="1" t="s">
        <v>13</v>
      </c>
      <c r="H3308" s="1" t="b">
        <f t="shared" si="125"/>
        <v>0</v>
      </c>
    </row>
    <row r="3309" spans="1:8" ht="21" x14ac:dyDescent="0.25">
      <c r="A3309" s="2" t="str">
        <f t="shared" si="127"/>
        <v>BSGatlas-operon-1740</v>
      </c>
      <c r="B3309" s="2" t="str">
        <f>HYPERLINK("https://rth.dk/resources/bsgatlas/details.php?id=BSGatlas-gene-3617","BSGatlas-gene-3617")</f>
        <v>BSGatlas-gene-3617</v>
      </c>
      <c r="C3309" s="1" t="s">
        <v>3276</v>
      </c>
      <c r="D3309" s="1" t="s">
        <v>23</v>
      </c>
      <c r="E3309" s="3">
        <v>3172070</v>
      </c>
      <c r="F3309" s="3">
        <v>3172144</v>
      </c>
      <c r="G3309" s="1" t="s">
        <v>13</v>
      </c>
      <c r="H3309" s="1" t="b">
        <f t="shared" si="125"/>
        <v>0</v>
      </c>
    </row>
    <row r="3310" spans="1:8" ht="21" x14ac:dyDescent="0.25">
      <c r="A3310" s="2" t="str">
        <f t="shared" si="127"/>
        <v>BSGatlas-operon-1740</v>
      </c>
      <c r="B3310" s="2" t="str">
        <f>HYPERLINK("https://rth.dk/resources/bsgatlas/details.php?id=BSGatlas-gene-3618","BSGatlas-gene-3618")</f>
        <v>BSGatlas-gene-3618</v>
      </c>
      <c r="C3310" s="1" t="s">
        <v>3277</v>
      </c>
      <c r="D3310" s="1" t="s">
        <v>23</v>
      </c>
      <c r="E3310" s="3">
        <v>3172155</v>
      </c>
      <c r="F3310" s="3">
        <v>3172231</v>
      </c>
      <c r="G3310" s="1" t="s">
        <v>13</v>
      </c>
      <c r="H3310" s="1" t="b">
        <f t="shared" si="125"/>
        <v>0</v>
      </c>
    </row>
    <row r="3311" spans="1:8" ht="21" x14ac:dyDescent="0.25">
      <c r="A3311" s="2" t="str">
        <f t="shared" si="127"/>
        <v>BSGatlas-operon-1740</v>
      </c>
      <c r="B3311" s="2" t="str">
        <f>HYPERLINK("https://rth.dk/resources/bsgatlas/details.php?id=BSGatlas-gene-3619","BSGatlas-gene-3619")</f>
        <v>BSGatlas-gene-3619</v>
      </c>
      <c r="C3311" s="1" t="s">
        <v>3278</v>
      </c>
      <c r="D3311" s="1" t="s">
        <v>23</v>
      </c>
      <c r="E3311" s="3">
        <v>3172247</v>
      </c>
      <c r="F3311" s="3">
        <v>3172320</v>
      </c>
      <c r="G3311" s="1" t="s">
        <v>13</v>
      </c>
      <c r="H3311" s="1" t="b">
        <f t="shared" si="125"/>
        <v>0</v>
      </c>
    </row>
    <row r="3312" spans="1:8" ht="21" x14ac:dyDescent="0.25">
      <c r="A3312" s="2" t="str">
        <f t="shared" si="127"/>
        <v>BSGatlas-operon-1740</v>
      </c>
      <c r="B3312" s="2" t="str">
        <f>HYPERLINK("https://rth.dk/resources/bsgatlas/details.php?id=BSGatlas-gene-3620","BSGatlas-gene-3620")</f>
        <v>BSGatlas-gene-3620</v>
      </c>
      <c r="C3312" s="1" t="s">
        <v>3279</v>
      </c>
      <c r="D3312" s="1" t="s">
        <v>23</v>
      </c>
      <c r="E3312" s="3">
        <v>3172331</v>
      </c>
      <c r="F3312" s="3">
        <v>3172406</v>
      </c>
      <c r="G3312" s="1" t="s">
        <v>13</v>
      </c>
      <c r="H3312" s="1" t="b">
        <f t="shared" si="125"/>
        <v>0</v>
      </c>
    </row>
    <row r="3313" spans="1:8" ht="21" x14ac:dyDescent="0.25">
      <c r="A3313" s="2" t="str">
        <f t="shared" si="127"/>
        <v>BSGatlas-operon-1740</v>
      </c>
      <c r="B3313" s="2" t="str">
        <f>HYPERLINK("https://rth.dk/resources/bsgatlas/details.php?id=BSGatlas-gene-3621","BSGatlas-gene-3621")</f>
        <v>BSGatlas-gene-3621</v>
      </c>
      <c r="C3313" s="1" t="s">
        <v>3280</v>
      </c>
      <c r="D3313" s="1" t="s">
        <v>23</v>
      </c>
      <c r="E3313" s="3">
        <v>3172424</v>
      </c>
      <c r="F3313" s="3">
        <v>3172499</v>
      </c>
      <c r="G3313" s="1" t="s">
        <v>13</v>
      </c>
      <c r="H3313" s="1" t="b">
        <f t="shared" si="125"/>
        <v>0</v>
      </c>
    </row>
    <row r="3314" spans="1:8" ht="21" x14ac:dyDescent="0.25">
      <c r="A3314" s="2" t="str">
        <f t="shared" si="127"/>
        <v>BSGatlas-operon-1740</v>
      </c>
      <c r="B3314" s="2" t="str">
        <f>HYPERLINK("https://rth.dk/resources/bsgatlas/details.php?id=BSGatlas-gene-3622","BSGatlas-gene-3622")</f>
        <v>BSGatlas-gene-3622</v>
      </c>
      <c r="C3314" s="1" t="s">
        <v>3281</v>
      </c>
      <c r="D3314" s="1" t="s">
        <v>23</v>
      </c>
      <c r="E3314" s="3">
        <v>3172512</v>
      </c>
      <c r="F3314" s="3">
        <v>3172588</v>
      </c>
      <c r="G3314" s="1" t="s">
        <v>13</v>
      </c>
      <c r="H3314" s="1" t="b">
        <f t="shared" si="125"/>
        <v>0</v>
      </c>
    </row>
    <row r="3315" spans="1:8" ht="21" x14ac:dyDescent="0.25">
      <c r="A3315" s="2" t="str">
        <f t="shared" si="127"/>
        <v>BSGatlas-operon-1740</v>
      </c>
      <c r="B3315" s="2" t="str">
        <f>HYPERLINK("https://rth.dk/resources/bsgatlas/details.php?id=BSGatlas-gene-3623","BSGatlas-gene-3623")</f>
        <v>BSGatlas-gene-3623</v>
      </c>
      <c r="C3315" s="1" t="s">
        <v>3282</v>
      </c>
      <c r="D3315" s="1" t="s">
        <v>23</v>
      </c>
      <c r="E3315" s="3">
        <v>3172600</v>
      </c>
      <c r="F3315" s="3">
        <v>3172676</v>
      </c>
      <c r="G3315" s="1" t="s">
        <v>13</v>
      </c>
      <c r="H3315" s="1" t="b">
        <f t="shared" si="125"/>
        <v>0</v>
      </c>
    </row>
    <row r="3316" spans="1:8" ht="21" x14ac:dyDescent="0.25">
      <c r="A3316" s="2" t="str">
        <f t="shared" si="127"/>
        <v>BSGatlas-operon-1740</v>
      </c>
      <c r="B3316" s="2" t="str">
        <f>HYPERLINK("https://rth.dk/resources/bsgatlas/details.php?id=BSGatlas-gene-3624","BSGatlas-gene-3624")</f>
        <v>BSGatlas-gene-3624</v>
      </c>
      <c r="C3316" s="1" t="s">
        <v>3283</v>
      </c>
      <c r="D3316" s="1" t="s">
        <v>23</v>
      </c>
      <c r="E3316" s="3">
        <v>3172694</v>
      </c>
      <c r="F3316" s="3">
        <v>3172786</v>
      </c>
      <c r="G3316" s="1" t="s">
        <v>13</v>
      </c>
      <c r="H3316" s="1" t="b">
        <f t="shared" si="125"/>
        <v>0</v>
      </c>
    </row>
    <row r="3317" spans="1:8" ht="21" x14ac:dyDescent="0.25">
      <c r="A3317" s="2" t="str">
        <f t="shared" si="127"/>
        <v>BSGatlas-operon-1740</v>
      </c>
      <c r="B3317" s="2" t="str">
        <f>HYPERLINK("https://rth.dk/resources/bsgatlas/details.php?id=BSGatlas-gene-3625","BSGatlas-gene-3625")</f>
        <v>BSGatlas-gene-3625</v>
      </c>
      <c r="C3317" s="1" t="s">
        <v>3284</v>
      </c>
      <c r="D3317" s="1" t="s">
        <v>23</v>
      </c>
      <c r="E3317" s="3">
        <v>3172793</v>
      </c>
      <c r="F3317" s="3">
        <v>3172869</v>
      </c>
      <c r="G3317" s="1" t="s">
        <v>13</v>
      </c>
      <c r="H3317" s="1" t="b">
        <f t="shared" si="125"/>
        <v>0</v>
      </c>
    </row>
    <row r="3318" spans="1:8" ht="21" x14ac:dyDescent="0.25">
      <c r="A3318" s="2" t="str">
        <f t="shared" si="127"/>
        <v>BSGatlas-operon-1740</v>
      </c>
      <c r="B3318" s="2" t="str">
        <f>HYPERLINK("https://rth.dk/resources/bsgatlas/details.php?id=BSGatlas-gene-3626","BSGatlas-gene-3626")</f>
        <v>BSGatlas-gene-3626</v>
      </c>
      <c r="C3318" s="1" t="s">
        <v>3285</v>
      </c>
      <c r="D3318" s="1" t="s">
        <v>23</v>
      </c>
      <c r="E3318" s="3">
        <v>3172872</v>
      </c>
      <c r="F3318" s="3">
        <v>3172948</v>
      </c>
      <c r="G3318" s="1" t="s">
        <v>13</v>
      </c>
      <c r="H3318" s="1" t="b">
        <f t="shared" si="125"/>
        <v>0</v>
      </c>
    </row>
    <row r="3319" spans="1:8" ht="21" x14ac:dyDescent="0.25">
      <c r="A3319" s="2" t="str">
        <f t="shared" si="127"/>
        <v>BSGatlas-operon-1740</v>
      </c>
      <c r="B3319" s="2" t="str">
        <f>HYPERLINK("https://rth.dk/resources/bsgatlas/details.php?id=BSGatlas-gene-3627","BSGatlas-gene-3627")</f>
        <v>BSGatlas-gene-3627</v>
      </c>
      <c r="C3319" s="1" t="s">
        <v>3286</v>
      </c>
      <c r="D3319" s="1" t="s">
        <v>23</v>
      </c>
      <c r="E3319" s="3">
        <v>3172967</v>
      </c>
      <c r="F3319" s="3">
        <v>3173040</v>
      </c>
      <c r="G3319" s="1" t="s">
        <v>13</v>
      </c>
      <c r="H3319" s="1" t="b">
        <f t="shared" si="125"/>
        <v>0</v>
      </c>
    </row>
    <row r="3320" spans="1:8" ht="21" x14ac:dyDescent="0.25">
      <c r="A3320" s="2" t="str">
        <f t="shared" si="127"/>
        <v>BSGatlas-operon-1740</v>
      </c>
      <c r="B3320" s="2" t="str">
        <f>HYPERLINK("https://rth.dk/resources/bsgatlas/details.php?id=BSGatlas-gene-3628","BSGatlas-gene-3628")</f>
        <v>BSGatlas-gene-3628</v>
      </c>
      <c r="C3320" s="1" t="s">
        <v>3287</v>
      </c>
      <c r="D3320" s="1" t="s">
        <v>23</v>
      </c>
      <c r="E3320" s="3">
        <v>3173046</v>
      </c>
      <c r="F3320" s="3">
        <v>3173122</v>
      </c>
      <c r="G3320" s="1" t="s">
        <v>13</v>
      </c>
      <c r="H3320" s="1" t="b">
        <f t="shared" si="125"/>
        <v>0</v>
      </c>
    </row>
    <row r="3321" spans="1:8" ht="21" x14ac:dyDescent="0.25">
      <c r="A3321" s="2" t="str">
        <f t="shared" si="127"/>
        <v>BSGatlas-operon-1740</v>
      </c>
      <c r="B3321" s="2" t="str">
        <f>HYPERLINK("https://rth.dk/resources/bsgatlas/details.php?id=BSGatlas-gene-3629","BSGatlas-gene-3629")</f>
        <v>BSGatlas-gene-3629</v>
      </c>
      <c r="C3321" s="1" t="s">
        <v>3288</v>
      </c>
      <c r="D3321" s="1" t="s">
        <v>23</v>
      </c>
      <c r="E3321" s="3">
        <v>3173138</v>
      </c>
      <c r="F3321" s="3">
        <v>3173214</v>
      </c>
      <c r="G3321" s="1" t="s">
        <v>13</v>
      </c>
      <c r="H3321" s="1" t="b">
        <f t="shared" si="125"/>
        <v>0</v>
      </c>
    </row>
    <row r="3322" spans="1:8" ht="21" x14ac:dyDescent="0.25">
      <c r="A3322" s="2" t="str">
        <f t="shared" si="127"/>
        <v>BSGatlas-operon-1740</v>
      </c>
      <c r="B3322" s="2" t="str">
        <f>HYPERLINK("https://rth.dk/resources/bsgatlas/details.php?id=BSGatlas-gene-3630","BSGatlas-gene-3630")</f>
        <v>BSGatlas-gene-3630</v>
      </c>
      <c r="C3322" s="1" t="s">
        <v>3289</v>
      </c>
      <c r="D3322" s="1" t="s">
        <v>23</v>
      </c>
      <c r="E3322" s="3">
        <v>3173223</v>
      </c>
      <c r="F3322" s="3">
        <v>3173309</v>
      </c>
      <c r="G3322" s="1" t="s">
        <v>13</v>
      </c>
      <c r="H3322" s="1" t="b">
        <f t="shared" si="125"/>
        <v>0</v>
      </c>
    </row>
    <row r="3323" spans="1:8" ht="21" x14ac:dyDescent="0.25">
      <c r="A3323" s="2" t="str">
        <f t="shared" si="127"/>
        <v>BSGatlas-operon-1740</v>
      </c>
      <c r="B3323" s="2" t="str">
        <f>HYPERLINK("https://rth.dk/resources/bsgatlas/details.php?id=BSGatlas-gene-3631","BSGatlas-gene-3631")</f>
        <v>BSGatlas-gene-3631</v>
      </c>
      <c r="C3323" s="1" t="s">
        <v>3290</v>
      </c>
      <c r="D3323" s="1" t="s">
        <v>23</v>
      </c>
      <c r="E3323" s="3">
        <v>3173324</v>
      </c>
      <c r="F3323" s="3">
        <v>3173398</v>
      </c>
      <c r="G3323" s="1" t="s">
        <v>13</v>
      </c>
      <c r="H3323" s="1" t="b">
        <f t="shared" si="125"/>
        <v>0</v>
      </c>
    </row>
    <row r="3324" spans="1:8" ht="21" x14ac:dyDescent="0.25">
      <c r="A3324" s="2" t="str">
        <f t="shared" si="127"/>
        <v>BSGatlas-operon-1740</v>
      </c>
      <c r="B3324" s="2" t="str">
        <f>HYPERLINK("https://rth.dk/resources/bsgatlas/details.php?id=BSGatlas-gene-3632","BSGatlas-gene-3632")</f>
        <v>BSGatlas-gene-3632</v>
      </c>
      <c r="C3324" s="1" t="s">
        <v>3291</v>
      </c>
      <c r="D3324" s="1" t="s">
        <v>23</v>
      </c>
      <c r="E3324" s="3">
        <v>3173404</v>
      </c>
      <c r="F3324" s="3">
        <v>3173490</v>
      </c>
      <c r="G3324" s="1" t="s">
        <v>13</v>
      </c>
      <c r="H3324" s="1" t="b">
        <f t="shared" si="125"/>
        <v>0</v>
      </c>
    </row>
    <row r="3325" spans="1:8" ht="21" x14ac:dyDescent="0.25">
      <c r="A3325" s="2" t="str">
        <f t="shared" si="127"/>
        <v>BSGatlas-operon-1740</v>
      </c>
      <c r="B3325" s="2" t="str">
        <f>HYPERLINK("https://rth.dk/resources/bsgatlas/details.php?id=BSGatlas-gene-3633","BSGatlas-gene-3633")</f>
        <v>BSGatlas-gene-3633</v>
      </c>
      <c r="C3325" s="1" t="s">
        <v>3292</v>
      </c>
      <c r="D3325" s="1" t="s">
        <v>23</v>
      </c>
      <c r="E3325" s="3">
        <v>3173501</v>
      </c>
      <c r="F3325" s="3">
        <v>3173576</v>
      </c>
      <c r="G3325" s="1" t="s">
        <v>13</v>
      </c>
      <c r="H3325" s="1" t="b">
        <f t="shared" si="125"/>
        <v>0</v>
      </c>
    </row>
    <row r="3326" spans="1:8" ht="21" x14ac:dyDescent="0.25">
      <c r="A3326" s="2" t="str">
        <f t="shared" si="127"/>
        <v>BSGatlas-operon-1740</v>
      </c>
      <c r="B3326" s="2" t="str">
        <f>HYPERLINK("https://rth.dk/resources/bsgatlas/details.php?id=BSGatlas-gene-3634","BSGatlas-gene-3634")</f>
        <v>BSGatlas-gene-3634</v>
      </c>
      <c r="C3326" s="1" t="s">
        <v>3293</v>
      </c>
      <c r="D3326" s="1" t="s">
        <v>23</v>
      </c>
      <c r="E3326" s="3">
        <v>3173614</v>
      </c>
      <c r="F3326" s="3">
        <v>3173689</v>
      </c>
      <c r="G3326" s="1" t="s">
        <v>13</v>
      </c>
      <c r="H3326" s="1" t="b">
        <f t="shared" si="125"/>
        <v>0</v>
      </c>
    </row>
    <row r="3327" spans="1:8" ht="21" x14ac:dyDescent="0.25">
      <c r="A3327" s="2" t="str">
        <f t="shared" si="127"/>
        <v>BSGatlas-operon-1740</v>
      </c>
      <c r="B3327" s="2" t="str">
        <f>HYPERLINK("https://rth.dk/resources/bsgatlas/details.php?id=BSGatlas-gene-3635","BSGatlas-gene-3635")</f>
        <v>BSGatlas-gene-3635</v>
      </c>
      <c r="C3327" s="1" t="s">
        <v>3294</v>
      </c>
      <c r="D3327" s="1" t="s">
        <v>23</v>
      </c>
      <c r="E3327" s="3">
        <v>3173722</v>
      </c>
      <c r="F3327" s="3">
        <v>3173797</v>
      </c>
      <c r="G3327" s="1" t="s">
        <v>13</v>
      </c>
      <c r="H3327" s="1" t="b">
        <f t="shared" si="125"/>
        <v>0</v>
      </c>
    </row>
    <row r="3328" spans="1:8" ht="21" x14ac:dyDescent="0.25">
      <c r="A3328" s="2" t="str">
        <f t="shared" si="127"/>
        <v>BSGatlas-operon-1740</v>
      </c>
      <c r="B3328" s="2" t="str">
        <f>HYPERLINK("https://rth.dk/resources/bsgatlas/details.php?id=BSGatlas-gene-3636","BSGatlas-gene-3636")</f>
        <v>BSGatlas-gene-3636</v>
      </c>
      <c r="C3328" s="1" t="s">
        <v>3295</v>
      </c>
      <c r="D3328" s="1" t="s">
        <v>21</v>
      </c>
      <c r="E3328" s="3">
        <v>3173818</v>
      </c>
      <c r="F3328" s="3">
        <v>3173935</v>
      </c>
      <c r="G3328" s="1" t="s">
        <v>13</v>
      </c>
      <c r="H3328" s="1" t="b">
        <f t="shared" si="125"/>
        <v>0</v>
      </c>
    </row>
    <row r="3329" spans="1:8" ht="21" x14ac:dyDescent="0.25">
      <c r="A3329" s="2" t="str">
        <f t="shared" si="127"/>
        <v>BSGatlas-operon-1740</v>
      </c>
      <c r="B3329" s="2" t="str">
        <f>HYPERLINK("https://rth.dk/resources/bsgatlas/details.php?id=BSGatlas-gene-3637","BSGatlas-gene-3637")</f>
        <v>BSGatlas-gene-3637</v>
      </c>
      <c r="C3329" s="1" t="s">
        <v>3296</v>
      </c>
      <c r="D3329" s="1" t="s">
        <v>21</v>
      </c>
      <c r="E3329" s="3">
        <v>3173984</v>
      </c>
      <c r="F3329" s="3">
        <v>3176918</v>
      </c>
      <c r="G3329" s="1" t="s">
        <v>13</v>
      </c>
      <c r="H3329" s="1" t="b">
        <f t="shared" si="125"/>
        <v>0</v>
      </c>
    </row>
    <row r="3330" spans="1:8" ht="21" x14ac:dyDescent="0.25">
      <c r="A3330" s="2" t="str">
        <f t="shared" si="127"/>
        <v>BSGatlas-operon-1740</v>
      </c>
      <c r="B3330" s="2" t="str">
        <f>HYPERLINK("https://rth.dk/resources/bsgatlas/details.php?id=BSGatlas-gene-3638","BSGatlas-gene-3638")</f>
        <v>BSGatlas-gene-3638</v>
      </c>
      <c r="C3330" s="1" t="s">
        <v>3297</v>
      </c>
      <c r="D3330" s="1" t="s">
        <v>21</v>
      </c>
      <c r="E3330" s="3">
        <v>3177086</v>
      </c>
      <c r="F3330" s="3">
        <v>3178640</v>
      </c>
      <c r="G3330" s="1" t="s">
        <v>13</v>
      </c>
      <c r="H3330" s="1" t="b">
        <f t="shared" ref="H3330:H3393" si="128">_xlfn.XOR(A3329&lt;&gt;A3330,H3329)</f>
        <v>0</v>
      </c>
    </row>
    <row r="3331" spans="1:8" ht="21" x14ac:dyDescent="0.25">
      <c r="A3331" s="2" t="str">
        <f>HYPERLINK("https://rth.dk/resources/bsgatlas/details.php?id=BSGatlas-operon-1741","BSGatlas-operon-1741")</f>
        <v>BSGatlas-operon-1741</v>
      </c>
      <c r="B3331" s="2" t="str">
        <f>HYPERLINK("https://rth.dk/resources/bsgatlas/details.php?id=BSGatlas-gene-3639","BSGatlas-gene-3639")</f>
        <v>BSGatlas-gene-3639</v>
      </c>
      <c r="C3331" s="1" t="s">
        <v>54</v>
      </c>
      <c r="D3331" s="1" t="s">
        <v>55</v>
      </c>
      <c r="E3331" s="3">
        <v>3178634</v>
      </c>
      <c r="F3331" s="3">
        <v>3178701</v>
      </c>
      <c r="G3331" s="1" t="s">
        <v>9</v>
      </c>
      <c r="H3331" s="1" t="b">
        <f t="shared" si="128"/>
        <v>1</v>
      </c>
    </row>
    <row r="3332" spans="1:8" ht="21" x14ac:dyDescent="0.25">
      <c r="A3332" s="2" t="str">
        <f>HYPERLINK("https://rth.dk/resources/bsgatlas/details.php?id=BSGatlas-operon-1742","BSGatlas-operon-1742")</f>
        <v>BSGatlas-operon-1742</v>
      </c>
      <c r="B3332" s="2" t="str">
        <f>HYPERLINK("https://rth.dk/resources/bsgatlas/details.php?id=BSGatlas-gene-3641","BSGatlas-gene-3641")</f>
        <v>BSGatlas-gene-3641</v>
      </c>
      <c r="C3332" s="1" t="s">
        <v>3298</v>
      </c>
      <c r="D3332" s="1" t="s">
        <v>8</v>
      </c>
      <c r="E3332" s="3">
        <v>3179306</v>
      </c>
      <c r="F3332" s="3">
        <v>3179884</v>
      </c>
      <c r="G3332" s="1" t="s">
        <v>9</v>
      </c>
      <c r="H3332" s="1" t="b">
        <f t="shared" si="128"/>
        <v>0</v>
      </c>
    </row>
    <row r="3333" spans="1:8" ht="21" x14ac:dyDescent="0.25">
      <c r="A3333" s="2" t="str">
        <f>HYPERLINK("https://rth.dk/resources/bsgatlas/details.php?id=BSGatlas-operon-1743","BSGatlas-operon-1743")</f>
        <v>BSGatlas-operon-1743</v>
      </c>
      <c r="B3333" s="2" t="str">
        <f>HYPERLINK("https://rth.dk/resources/bsgatlas/details.php?id=BSGatlas-gene-3640","BSGatlas-gene-3640")</f>
        <v>BSGatlas-gene-3640</v>
      </c>
      <c r="C3333" s="1" t="s">
        <v>3299</v>
      </c>
      <c r="D3333" s="1" t="s">
        <v>34</v>
      </c>
      <c r="E3333" s="3">
        <v>3179104</v>
      </c>
      <c r="F3333" s="3">
        <v>3179206</v>
      </c>
      <c r="G3333" s="1" t="s">
        <v>9</v>
      </c>
      <c r="H3333" s="1" t="b">
        <f t="shared" si="128"/>
        <v>1</v>
      </c>
    </row>
    <row r="3334" spans="1:8" ht="21" x14ac:dyDescent="0.25">
      <c r="A3334" s="2" t="str">
        <f>HYPERLINK("https://rth.dk/resources/bsgatlas/details.php?id=BSGatlas-operon-1744","BSGatlas-operon-1744")</f>
        <v>BSGatlas-operon-1744</v>
      </c>
      <c r="B3334" s="2" t="str">
        <f>HYPERLINK("https://rth.dk/resources/bsgatlas/details.php?id=BSGatlas-gene-3642","BSGatlas-gene-3642")</f>
        <v>BSGatlas-gene-3642</v>
      </c>
      <c r="C3334" s="1" t="s">
        <v>3300</v>
      </c>
      <c r="D3334" s="1" t="s">
        <v>8</v>
      </c>
      <c r="E3334" s="3">
        <v>3179926</v>
      </c>
      <c r="F3334" s="3">
        <v>3180447</v>
      </c>
      <c r="G3334" s="1" t="s">
        <v>13</v>
      </c>
      <c r="H3334" s="1" t="b">
        <f t="shared" si="128"/>
        <v>0</v>
      </c>
    </row>
    <row r="3335" spans="1:8" ht="21" x14ac:dyDescent="0.25">
      <c r="A3335" s="2" t="str">
        <f>HYPERLINK("https://rth.dk/resources/bsgatlas/details.php?id=BSGatlas-operon-1744","BSGatlas-operon-1744")</f>
        <v>BSGatlas-operon-1744</v>
      </c>
      <c r="B3335" s="2" t="str">
        <f>HYPERLINK("https://rth.dk/resources/bsgatlas/details.php?id=BSGatlas-gene-3643","BSGatlas-gene-3643")</f>
        <v>BSGatlas-gene-3643</v>
      </c>
      <c r="C3335" s="1" t="s">
        <v>3301</v>
      </c>
      <c r="D3335" s="1" t="s">
        <v>8</v>
      </c>
      <c r="E3335" s="3">
        <v>3180465</v>
      </c>
      <c r="F3335" s="3">
        <v>3181994</v>
      </c>
      <c r="G3335" s="1" t="s">
        <v>13</v>
      </c>
      <c r="H3335" s="1" t="b">
        <f t="shared" si="128"/>
        <v>0</v>
      </c>
    </row>
    <row r="3336" spans="1:8" ht="21" x14ac:dyDescent="0.25">
      <c r="A3336" s="2" t="str">
        <f>HYPERLINK("https://rth.dk/resources/bsgatlas/details.php?id=BSGatlas-operon-1744","BSGatlas-operon-1744")</f>
        <v>BSGatlas-operon-1744</v>
      </c>
      <c r="B3336" s="2" t="str">
        <f>HYPERLINK("https://rth.dk/resources/bsgatlas/details.php?id=BSGatlas-gene-3644","BSGatlas-gene-3644")</f>
        <v>BSGatlas-gene-3644</v>
      </c>
      <c r="C3336" s="1" t="s">
        <v>3302</v>
      </c>
      <c r="D3336" s="1" t="s">
        <v>8</v>
      </c>
      <c r="E3336" s="3">
        <v>3182015</v>
      </c>
      <c r="F3336" s="3">
        <v>3182539</v>
      </c>
      <c r="G3336" s="1" t="s">
        <v>13</v>
      </c>
      <c r="H3336" s="1" t="b">
        <f t="shared" si="128"/>
        <v>0</v>
      </c>
    </row>
    <row r="3337" spans="1:8" ht="21" x14ac:dyDescent="0.25">
      <c r="A3337" s="2" t="str">
        <f>HYPERLINK("https://rth.dk/resources/bsgatlas/details.php?id=BSGatlas-operon-1745","BSGatlas-operon-1745")</f>
        <v>BSGatlas-operon-1745</v>
      </c>
      <c r="B3337" s="2" t="str">
        <f>HYPERLINK("https://rth.dk/resources/bsgatlas/details.php?id=BSGatlas-gene-3645","BSGatlas-gene-3645")</f>
        <v>BSGatlas-gene-3645</v>
      </c>
      <c r="C3337" s="1" t="s">
        <v>3303</v>
      </c>
      <c r="D3337" s="1" t="s">
        <v>8</v>
      </c>
      <c r="E3337" s="3">
        <v>3182707</v>
      </c>
      <c r="F3337" s="3">
        <v>3183195</v>
      </c>
      <c r="G3337" s="1" t="s">
        <v>9</v>
      </c>
      <c r="H3337" s="1" t="b">
        <f t="shared" si="128"/>
        <v>1</v>
      </c>
    </row>
    <row r="3338" spans="1:8" ht="21" x14ac:dyDescent="0.25">
      <c r="A3338" s="2" t="str">
        <f>HYPERLINK("https://rth.dk/resources/bsgatlas/details.php?id=BSGatlas-operon-1746","BSGatlas-operon-1746")</f>
        <v>BSGatlas-operon-1746</v>
      </c>
      <c r="B3338" s="2" t="str">
        <f>HYPERLINK("https://rth.dk/resources/bsgatlas/details.php?id=BSGatlas-gene-3646","BSGatlas-gene-3646")</f>
        <v>BSGatlas-gene-3646</v>
      </c>
      <c r="C3338" s="1" t="s">
        <v>3304</v>
      </c>
      <c r="D3338" s="1" t="s">
        <v>8</v>
      </c>
      <c r="E3338" s="3">
        <v>3183201</v>
      </c>
      <c r="F3338" s="3">
        <v>3183779</v>
      </c>
      <c r="G3338" s="1" t="s">
        <v>13</v>
      </c>
      <c r="H3338" s="1" t="b">
        <f t="shared" si="128"/>
        <v>0</v>
      </c>
    </row>
    <row r="3339" spans="1:8" ht="21" x14ac:dyDescent="0.25">
      <c r="A3339" s="2" t="str">
        <f>HYPERLINK("https://rth.dk/resources/bsgatlas/details.php?id=BSGatlas-operon-1747","BSGatlas-operon-1747")</f>
        <v>BSGatlas-operon-1747</v>
      </c>
      <c r="B3339" s="2" t="str">
        <f>HYPERLINK("https://rth.dk/resources/bsgatlas/details.php?id=BSGatlas-gene-3647","BSGatlas-gene-3647")</f>
        <v>BSGatlas-gene-3647</v>
      </c>
      <c r="C3339" s="1" t="s">
        <v>3305</v>
      </c>
      <c r="D3339" s="1" t="s">
        <v>8</v>
      </c>
      <c r="E3339" s="3">
        <v>3183867</v>
      </c>
      <c r="F3339" s="3">
        <v>3185075</v>
      </c>
      <c r="G3339" s="1" t="s">
        <v>13</v>
      </c>
      <c r="H3339" s="1" t="b">
        <f t="shared" si="128"/>
        <v>1</v>
      </c>
    </row>
    <row r="3340" spans="1:8" ht="21" x14ac:dyDescent="0.25">
      <c r="A3340" s="2" t="str">
        <f>HYPERLINK("https://rth.dk/resources/bsgatlas/details.php?id=BSGatlas-operon-1747","BSGatlas-operon-1747")</f>
        <v>BSGatlas-operon-1747</v>
      </c>
      <c r="B3340" s="2" t="str">
        <f>HYPERLINK("https://rth.dk/resources/bsgatlas/details.php?id=BSGatlas-gene-3648","BSGatlas-gene-3648")</f>
        <v>BSGatlas-gene-3648</v>
      </c>
      <c r="C3340" s="1" t="s">
        <v>3306</v>
      </c>
      <c r="D3340" s="1" t="s">
        <v>8</v>
      </c>
      <c r="E3340" s="3">
        <v>3185092</v>
      </c>
      <c r="F3340" s="3">
        <v>3186564</v>
      </c>
      <c r="G3340" s="1" t="s">
        <v>13</v>
      </c>
      <c r="H3340" s="1" t="b">
        <f t="shared" si="128"/>
        <v>1</v>
      </c>
    </row>
    <row r="3341" spans="1:8" ht="21" x14ac:dyDescent="0.25">
      <c r="A3341" s="2" t="str">
        <f>HYPERLINK("https://rth.dk/resources/bsgatlas/details.php?id=BSGatlas-operon-1748","BSGatlas-operon-1748")</f>
        <v>BSGatlas-operon-1748</v>
      </c>
      <c r="B3341" s="2" t="str">
        <f>HYPERLINK("https://rth.dk/resources/bsgatlas/details.php?id=BSGatlas-gene-3649","BSGatlas-gene-3649")</f>
        <v>BSGatlas-gene-3649</v>
      </c>
      <c r="C3341" s="1" t="s">
        <v>3307</v>
      </c>
      <c r="D3341" s="1" t="s">
        <v>8</v>
      </c>
      <c r="E3341" s="3">
        <v>3186763</v>
      </c>
      <c r="F3341" s="3">
        <v>3187305</v>
      </c>
      <c r="G3341" s="1" t="s">
        <v>9</v>
      </c>
      <c r="H3341" s="1" t="b">
        <f t="shared" si="128"/>
        <v>0</v>
      </c>
    </row>
    <row r="3342" spans="1:8" ht="21" x14ac:dyDescent="0.25">
      <c r="A3342" s="2" t="str">
        <f>HYPERLINK("https://rth.dk/resources/bsgatlas/details.php?id=BSGatlas-operon-1749","BSGatlas-operon-1749")</f>
        <v>BSGatlas-operon-1749</v>
      </c>
      <c r="B3342" s="2" t="str">
        <f>HYPERLINK("https://rth.dk/resources/bsgatlas/details.php?id=BSGatlas-gene-3650","BSGatlas-gene-3650")</f>
        <v>BSGatlas-gene-3650</v>
      </c>
      <c r="C3342" s="1" t="s">
        <v>3308</v>
      </c>
      <c r="D3342" s="1" t="s">
        <v>8</v>
      </c>
      <c r="E3342" s="3">
        <v>3187503</v>
      </c>
      <c r="F3342" s="3">
        <v>3188048</v>
      </c>
      <c r="G3342" s="1" t="s">
        <v>9</v>
      </c>
      <c r="H3342" s="1" t="b">
        <f t="shared" si="128"/>
        <v>1</v>
      </c>
    </row>
    <row r="3343" spans="1:8" ht="21" x14ac:dyDescent="0.25">
      <c r="A3343" s="2" t="str">
        <f>HYPERLINK("https://rth.dk/resources/bsgatlas/details.php?id=BSGatlas-operon-1750","BSGatlas-operon-1750")</f>
        <v>BSGatlas-operon-1750</v>
      </c>
      <c r="B3343" s="2" t="str">
        <f>HYPERLINK("https://rth.dk/resources/bsgatlas/details.php?id=BSGatlas-gene-3652","BSGatlas-gene-3652")</f>
        <v>BSGatlas-gene-3652</v>
      </c>
      <c r="C3343" s="1" t="s">
        <v>3309</v>
      </c>
      <c r="D3343" s="1" t="s">
        <v>8</v>
      </c>
      <c r="E3343" s="3">
        <v>3188414</v>
      </c>
      <c r="F3343" s="3">
        <v>3189082</v>
      </c>
      <c r="G3343" s="1" t="s">
        <v>9</v>
      </c>
      <c r="H3343" s="1" t="b">
        <f t="shared" si="128"/>
        <v>0</v>
      </c>
    </row>
    <row r="3344" spans="1:8" ht="21" x14ac:dyDescent="0.25">
      <c r="A3344" s="2" t="str">
        <f>HYPERLINK("https://rth.dk/resources/bsgatlas/details.php?id=BSGatlas-operon-1750","BSGatlas-operon-1750")</f>
        <v>BSGatlas-operon-1750</v>
      </c>
      <c r="B3344" s="2" t="str">
        <f>HYPERLINK("https://rth.dk/resources/bsgatlas/details.php?id=BSGatlas-gene-3653","BSGatlas-gene-3653")</f>
        <v>BSGatlas-gene-3653</v>
      </c>
      <c r="C3344" s="1" t="s">
        <v>3310</v>
      </c>
      <c r="D3344" s="1" t="s">
        <v>8</v>
      </c>
      <c r="E3344" s="3">
        <v>3189089</v>
      </c>
      <c r="F3344" s="3">
        <v>3190426</v>
      </c>
      <c r="G3344" s="1" t="s">
        <v>9</v>
      </c>
      <c r="H3344" s="1" t="b">
        <f t="shared" si="128"/>
        <v>0</v>
      </c>
    </row>
    <row r="3345" spans="1:8" ht="21" x14ac:dyDescent="0.25">
      <c r="A3345" s="2" t="str">
        <f>HYPERLINK("https://rth.dk/resources/bsgatlas/details.php?id=BSGatlas-operon-1751","BSGatlas-operon-1751")</f>
        <v>BSGatlas-operon-1751</v>
      </c>
      <c r="B3345" s="2" t="str">
        <f>HYPERLINK("https://rth.dk/resources/bsgatlas/details.php?id=BSGatlas-gene-3651","BSGatlas-gene-3651")</f>
        <v>BSGatlas-gene-3651</v>
      </c>
      <c r="C3345" s="1" t="s">
        <v>3311</v>
      </c>
      <c r="D3345" s="1" t="s">
        <v>34</v>
      </c>
      <c r="E3345" s="3">
        <v>3188173</v>
      </c>
      <c r="F3345" s="3">
        <v>3188341</v>
      </c>
      <c r="G3345" s="1" t="s">
        <v>9</v>
      </c>
      <c r="H3345" s="1" t="b">
        <f t="shared" si="128"/>
        <v>1</v>
      </c>
    </row>
    <row r="3346" spans="1:8" ht="21" x14ac:dyDescent="0.25">
      <c r="A3346" s="2" t="str">
        <f>HYPERLINK("https://rth.dk/resources/bsgatlas/details.php?id=BSGatlas-operon-1752","BSGatlas-operon-1752")</f>
        <v>BSGatlas-operon-1752</v>
      </c>
      <c r="B3346" s="2" t="str">
        <f>HYPERLINK("https://rth.dk/resources/bsgatlas/details.php?id=BSGatlas-gene-3654","BSGatlas-gene-3654")</f>
        <v>BSGatlas-gene-3654</v>
      </c>
      <c r="C3346" s="1" t="s">
        <v>3312</v>
      </c>
      <c r="D3346" s="1" t="s">
        <v>8</v>
      </c>
      <c r="E3346" s="3">
        <v>3190462</v>
      </c>
      <c r="F3346" s="3">
        <v>3190725</v>
      </c>
      <c r="G3346" s="1" t="s">
        <v>13</v>
      </c>
      <c r="H3346" s="1" t="b">
        <f t="shared" si="128"/>
        <v>0</v>
      </c>
    </row>
    <row r="3347" spans="1:8" ht="21" x14ac:dyDescent="0.25">
      <c r="A3347" s="2" t="str">
        <f>HYPERLINK("https://rth.dk/resources/bsgatlas/details.php?id=BSGatlas-operon-1752","BSGatlas-operon-1752")</f>
        <v>BSGatlas-operon-1752</v>
      </c>
      <c r="B3347" s="2" t="str">
        <f>HYPERLINK("https://rth.dk/resources/bsgatlas/details.php?id=BSGatlas-gene-3655","BSGatlas-gene-3655")</f>
        <v>BSGatlas-gene-3655</v>
      </c>
      <c r="C3347" s="1" t="s">
        <v>3313</v>
      </c>
      <c r="D3347" s="1" t="s">
        <v>8</v>
      </c>
      <c r="E3347" s="3">
        <v>3190834</v>
      </c>
      <c r="F3347" s="3">
        <v>3191682</v>
      </c>
      <c r="G3347" s="1" t="s">
        <v>13</v>
      </c>
      <c r="H3347" s="1" t="b">
        <f t="shared" si="128"/>
        <v>0</v>
      </c>
    </row>
    <row r="3348" spans="1:8" ht="21" x14ac:dyDescent="0.25">
      <c r="A3348" s="2" t="str">
        <f>HYPERLINK("https://rth.dk/resources/bsgatlas/details.php?id=BSGatlas-operon-1753","BSGatlas-operon-1753")</f>
        <v>BSGatlas-operon-1753</v>
      </c>
      <c r="B3348" s="2" t="str">
        <f>HYPERLINK("https://rth.dk/resources/bsgatlas/details.php?id=BSGatlas-gene-3656","BSGatlas-gene-3656")</f>
        <v>BSGatlas-gene-3656</v>
      </c>
      <c r="C3348" s="1" t="s">
        <v>3314</v>
      </c>
      <c r="D3348" s="1" t="s">
        <v>8</v>
      </c>
      <c r="E3348" s="3">
        <v>3191843</v>
      </c>
      <c r="F3348" s="3">
        <v>3193378</v>
      </c>
      <c r="G3348" s="1" t="s">
        <v>13</v>
      </c>
      <c r="H3348" s="1" t="b">
        <f t="shared" si="128"/>
        <v>1</v>
      </c>
    </row>
    <row r="3349" spans="1:8" ht="21" x14ac:dyDescent="0.25">
      <c r="A3349" s="2" t="str">
        <f>HYPERLINK("https://rth.dk/resources/bsgatlas/details.php?id=BSGatlas-operon-1754","BSGatlas-operon-1754")</f>
        <v>BSGatlas-operon-1754</v>
      </c>
      <c r="B3349" s="2" t="str">
        <f>HYPERLINK("https://rth.dk/resources/bsgatlas/details.php?id=BSGatlas-gene-3658","BSGatlas-gene-3658")</f>
        <v>BSGatlas-gene-3658</v>
      </c>
      <c r="C3349" s="1" t="s">
        <v>3315</v>
      </c>
      <c r="D3349" s="1" t="s">
        <v>8</v>
      </c>
      <c r="E3349" s="3">
        <v>3193863</v>
      </c>
      <c r="F3349" s="3">
        <v>3194348</v>
      </c>
      <c r="G3349" s="1" t="s">
        <v>9</v>
      </c>
      <c r="H3349" s="1" t="b">
        <f t="shared" si="128"/>
        <v>0</v>
      </c>
    </row>
    <row r="3350" spans="1:8" ht="21" x14ac:dyDescent="0.25">
      <c r="A3350" s="2" t="str">
        <f>HYPERLINK("https://rth.dk/resources/bsgatlas/details.php?id=BSGatlas-operon-1755","BSGatlas-operon-1755")</f>
        <v>BSGatlas-operon-1755</v>
      </c>
      <c r="B3350" s="2" t="str">
        <f>HYPERLINK("https://rth.dk/resources/bsgatlas/details.php?id=BSGatlas-gene-3660","BSGatlas-gene-3660")</f>
        <v>BSGatlas-gene-3660</v>
      </c>
      <c r="C3350" s="1" t="s">
        <v>3316</v>
      </c>
      <c r="D3350" s="1" t="s">
        <v>8</v>
      </c>
      <c r="E3350" s="3">
        <v>3194635</v>
      </c>
      <c r="F3350" s="3">
        <v>3195465</v>
      </c>
      <c r="G3350" s="1" t="s">
        <v>13</v>
      </c>
      <c r="H3350" s="1" t="b">
        <f t="shared" si="128"/>
        <v>1</v>
      </c>
    </row>
    <row r="3351" spans="1:8" ht="21" x14ac:dyDescent="0.25">
      <c r="A3351" s="2" t="str">
        <f>HYPERLINK("https://rth.dk/resources/bsgatlas/details.php?id=BSGatlas-operon-1755","BSGatlas-operon-1755")</f>
        <v>BSGatlas-operon-1755</v>
      </c>
      <c r="B3351" s="2" t="str">
        <f>HYPERLINK("https://rth.dk/resources/bsgatlas/details.php?id=BSGatlas-gene-3661","BSGatlas-gene-3661")</f>
        <v>BSGatlas-gene-3661</v>
      </c>
      <c r="C3351" s="1" t="s">
        <v>3317</v>
      </c>
      <c r="D3351" s="1" t="s">
        <v>8</v>
      </c>
      <c r="E3351" s="3">
        <v>3195558</v>
      </c>
      <c r="F3351" s="3">
        <v>3196724</v>
      </c>
      <c r="G3351" s="1" t="s">
        <v>13</v>
      </c>
      <c r="H3351" s="1" t="b">
        <f t="shared" si="128"/>
        <v>1</v>
      </c>
    </row>
    <row r="3352" spans="1:8" ht="21" x14ac:dyDescent="0.25">
      <c r="A3352" s="2" t="str">
        <f>HYPERLINK("https://rth.dk/resources/bsgatlas/details.php?id=BSGatlas-operon-1756","BSGatlas-operon-1756")</f>
        <v>BSGatlas-operon-1756</v>
      </c>
      <c r="B3352" s="2" t="str">
        <f>HYPERLINK("https://rth.dk/resources/bsgatlas/details.php?id=BSGatlas-gene-3659","BSGatlas-gene-3659")</f>
        <v>BSGatlas-gene-3659</v>
      </c>
      <c r="C3352" s="1" t="s">
        <v>3318</v>
      </c>
      <c r="D3352" s="1" t="s">
        <v>23</v>
      </c>
      <c r="E3352" s="3">
        <v>3194454</v>
      </c>
      <c r="F3352" s="3">
        <v>3194527</v>
      </c>
      <c r="G3352" s="1" t="s">
        <v>13</v>
      </c>
      <c r="H3352" s="1" t="b">
        <f t="shared" si="128"/>
        <v>0</v>
      </c>
    </row>
    <row r="3353" spans="1:8" ht="21" x14ac:dyDescent="0.25">
      <c r="A3353" s="2" t="str">
        <f>HYPERLINK("https://rth.dk/resources/bsgatlas/details.php?id=BSGatlas-operon-1757","BSGatlas-operon-1757")</f>
        <v>BSGatlas-operon-1757</v>
      </c>
      <c r="B3353" s="2" t="str">
        <f>HYPERLINK("https://rth.dk/resources/bsgatlas/details.php?id=BSGatlas-gene-3662","BSGatlas-gene-3662")</f>
        <v>BSGatlas-gene-3662</v>
      </c>
      <c r="C3353" s="1" t="s">
        <v>3319</v>
      </c>
      <c r="D3353" s="1" t="s">
        <v>8</v>
      </c>
      <c r="E3353" s="3">
        <v>3196906</v>
      </c>
      <c r="F3353" s="3">
        <v>3197892</v>
      </c>
      <c r="G3353" s="1" t="s">
        <v>9</v>
      </c>
      <c r="H3353" s="1" t="b">
        <f t="shared" si="128"/>
        <v>1</v>
      </c>
    </row>
    <row r="3354" spans="1:8" ht="21" x14ac:dyDescent="0.25">
      <c r="A3354" s="2" t="str">
        <f>HYPERLINK("https://rth.dk/resources/bsgatlas/details.php?id=BSGatlas-operon-1758","BSGatlas-operon-1758")</f>
        <v>BSGatlas-operon-1758</v>
      </c>
      <c r="B3354" s="2" t="str">
        <f>HYPERLINK("https://rth.dk/resources/bsgatlas/details.php?id=BSGatlas-gene-3663","BSGatlas-gene-3663")</f>
        <v>BSGatlas-gene-3663</v>
      </c>
      <c r="C3354" s="1" t="s">
        <v>3320</v>
      </c>
      <c r="D3354" s="1" t="s">
        <v>8</v>
      </c>
      <c r="E3354" s="3">
        <v>3197933</v>
      </c>
      <c r="F3354" s="3">
        <v>3199207</v>
      </c>
      <c r="G3354" s="1" t="s">
        <v>13</v>
      </c>
      <c r="H3354" s="1" t="b">
        <f t="shared" si="128"/>
        <v>0</v>
      </c>
    </row>
    <row r="3355" spans="1:8" ht="21" x14ac:dyDescent="0.25">
      <c r="A3355" s="2" t="str">
        <f>HYPERLINK("https://rth.dk/resources/bsgatlas/details.php?id=BSGatlas-operon-1758","BSGatlas-operon-1758")</f>
        <v>BSGatlas-operon-1758</v>
      </c>
      <c r="B3355" s="2" t="str">
        <f>HYPERLINK("https://rth.dk/resources/bsgatlas/details.php?id=BSGatlas-gene-3664","BSGatlas-gene-3664")</f>
        <v>BSGatlas-gene-3664</v>
      </c>
      <c r="C3355" s="1" t="s">
        <v>3321</v>
      </c>
      <c r="D3355" s="1" t="s">
        <v>8</v>
      </c>
      <c r="E3355" s="3">
        <v>3199233</v>
      </c>
      <c r="F3355" s="3">
        <v>3199547</v>
      </c>
      <c r="G3355" s="1" t="s">
        <v>13</v>
      </c>
      <c r="H3355" s="1" t="b">
        <f t="shared" si="128"/>
        <v>0</v>
      </c>
    </row>
    <row r="3356" spans="1:8" ht="21" x14ac:dyDescent="0.25">
      <c r="A3356" s="2" t="str">
        <f>HYPERLINK("https://rth.dk/resources/bsgatlas/details.php?id=BSGatlas-operon-1758","BSGatlas-operon-1758")</f>
        <v>BSGatlas-operon-1758</v>
      </c>
      <c r="B3356" s="2" t="str">
        <f>HYPERLINK("https://rth.dk/resources/bsgatlas/details.php?id=BSGatlas-gene-3665","BSGatlas-gene-3665")</f>
        <v>BSGatlas-gene-3665</v>
      </c>
      <c r="C3356" s="1" t="s">
        <v>3322</v>
      </c>
      <c r="D3356" s="1" t="s">
        <v>8</v>
      </c>
      <c r="E3356" s="3">
        <v>3199565</v>
      </c>
      <c r="F3356" s="3">
        <v>3201022</v>
      </c>
      <c r="G3356" s="1" t="s">
        <v>13</v>
      </c>
      <c r="H3356" s="1" t="b">
        <f t="shared" si="128"/>
        <v>0</v>
      </c>
    </row>
    <row r="3357" spans="1:8" ht="21" x14ac:dyDescent="0.25">
      <c r="A3357" s="2" t="str">
        <f>HYPERLINK("https://rth.dk/resources/bsgatlas/details.php?id=BSGatlas-operon-1758","BSGatlas-operon-1758")</f>
        <v>BSGatlas-operon-1758</v>
      </c>
      <c r="B3357" s="2" t="str">
        <f>HYPERLINK("https://rth.dk/resources/bsgatlas/details.php?id=BSGatlas-gene-3666","BSGatlas-gene-3666")</f>
        <v>BSGatlas-gene-3666</v>
      </c>
      <c r="C3357" s="1" t="s">
        <v>3323</v>
      </c>
      <c r="D3357" s="1" t="s">
        <v>8</v>
      </c>
      <c r="E3357" s="3">
        <v>3201027</v>
      </c>
      <c r="F3357" s="3">
        <v>3201803</v>
      </c>
      <c r="G3357" s="1" t="s">
        <v>13</v>
      </c>
      <c r="H3357" s="1" t="b">
        <f t="shared" si="128"/>
        <v>0</v>
      </c>
    </row>
    <row r="3358" spans="1:8" ht="21" x14ac:dyDescent="0.25">
      <c r="A3358" s="2" t="str">
        <f>HYPERLINK("https://rth.dk/resources/bsgatlas/details.php?id=BSGatlas-operon-1758","BSGatlas-operon-1758")</f>
        <v>BSGatlas-operon-1758</v>
      </c>
      <c r="B3358" s="2" t="str">
        <f>HYPERLINK("https://rth.dk/resources/bsgatlas/details.php?id=BSGatlas-gene-3667","BSGatlas-gene-3667")</f>
        <v>BSGatlas-gene-3667</v>
      </c>
      <c r="C3358" s="1" t="s">
        <v>3324</v>
      </c>
      <c r="D3358" s="1" t="s">
        <v>8</v>
      </c>
      <c r="E3358" s="3">
        <v>3201860</v>
      </c>
      <c r="F3358" s="3">
        <v>3203929</v>
      </c>
      <c r="G3358" s="1" t="s">
        <v>13</v>
      </c>
      <c r="H3358" s="1" t="b">
        <f t="shared" si="128"/>
        <v>0</v>
      </c>
    </row>
    <row r="3359" spans="1:8" ht="21" x14ac:dyDescent="0.25">
      <c r="A3359" s="2" t="str">
        <f>HYPERLINK("https://rth.dk/resources/bsgatlas/details.php?id=BSGatlas-operon-1759","BSGatlas-operon-1759")</f>
        <v>BSGatlas-operon-1759</v>
      </c>
      <c r="B3359" s="2" t="str">
        <f>HYPERLINK("https://rth.dk/resources/bsgatlas/details.php?id=BSGatlas-gene-3668","BSGatlas-gene-3668")</f>
        <v>BSGatlas-gene-3668</v>
      </c>
      <c r="C3359" s="1" t="s">
        <v>3325</v>
      </c>
      <c r="D3359" s="1" t="s">
        <v>8</v>
      </c>
      <c r="E3359" s="3">
        <v>3204067</v>
      </c>
      <c r="F3359" s="3">
        <v>3206055</v>
      </c>
      <c r="G3359" s="1" t="s">
        <v>13</v>
      </c>
      <c r="H3359" s="1" t="b">
        <f t="shared" si="128"/>
        <v>1</v>
      </c>
    </row>
    <row r="3360" spans="1:8" ht="21" x14ac:dyDescent="0.25">
      <c r="A3360" s="2" t="str">
        <f>HYPERLINK("https://rth.dk/resources/bsgatlas/details.php?id=BSGatlas-operon-1760","BSGatlas-operon-1760")</f>
        <v>BSGatlas-operon-1760</v>
      </c>
      <c r="B3360" s="2" t="str">
        <f>HYPERLINK("https://rth.dk/resources/bsgatlas/details.php?id=BSGatlas-gene-3669","BSGatlas-gene-3669")</f>
        <v>BSGatlas-gene-3669</v>
      </c>
      <c r="C3360" s="1" t="s">
        <v>3326</v>
      </c>
      <c r="D3360" s="1" t="s">
        <v>8</v>
      </c>
      <c r="E3360" s="3">
        <v>3206169</v>
      </c>
      <c r="F3360" s="3">
        <v>3208154</v>
      </c>
      <c r="G3360" s="1" t="s">
        <v>13</v>
      </c>
      <c r="H3360" s="1" t="b">
        <f t="shared" si="128"/>
        <v>0</v>
      </c>
    </row>
    <row r="3361" spans="1:8" ht="21" x14ac:dyDescent="0.25">
      <c r="A3361" s="2" t="str">
        <f>HYPERLINK("https://rth.dk/resources/bsgatlas/details.php?id=BSGatlas-operon-1760","BSGatlas-operon-1760")</f>
        <v>BSGatlas-operon-1760</v>
      </c>
      <c r="B3361" s="2" t="str">
        <f>HYPERLINK("https://rth.dk/resources/bsgatlas/details.php?id=BSGatlas-gene-3670","BSGatlas-gene-3670")</f>
        <v>BSGatlas-gene-3670</v>
      </c>
      <c r="C3361" s="1" t="s">
        <v>3327</v>
      </c>
      <c r="D3361" s="1" t="s">
        <v>8</v>
      </c>
      <c r="E3361" s="3">
        <v>3208280</v>
      </c>
      <c r="F3361" s="3">
        <v>3210268</v>
      </c>
      <c r="G3361" s="1" t="s">
        <v>13</v>
      </c>
      <c r="H3361" s="1" t="b">
        <f t="shared" si="128"/>
        <v>0</v>
      </c>
    </row>
    <row r="3362" spans="1:8" ht="21" x14ac:dyDescent="0.25">
      <c r="A3362" s="2" t="str">
        <f>HYPERLINK("https://rth.dk/resources/bsgatlas/details.php?id=BSGatlas-operon-1761","BSGatlas-operon-1761")</f>
        <v>BSGatlas-operon-1761</v>
      </c>
      <c r="B3362" s="2" t="str">
        <f>HYPERLINK("https://rth.dk/resources/bsgatlas/details.php?id=BSGatlas-gene-3671","BSGatlas-gene-3671")</f>
        <v>BSGatlas-gene-3671</v>
      </c>
      <c r="C3362" s="1" t="s">
        <v>3328</v>
      </c>
      <c r="D3362" s="1" t="s">
        <v>8</v>
      </c>
      <c r="E3362" s="3">
        <v>3210445</v>
      </c>
      <c r="F3362" s="3">
        <v>3212433</v>
      </c>
      <c r="G3362" s="1" t="s">
        <v>13</v>
      </c>
      <c r="H3362" s="1" t="b">
        <f t="shared" si="128"/>
        <v>1</v>
      </c>
    </row>
    <row r="3363" spans="1:8" ht="21" x14ac:dyDescent="0.25">
      <c r="A3363" s="2" t="str">
        <f>HYPERLINK("https://rth.dk/resources/bsgatlas/details.php?id=BSGatlas-operon-1762","BSGatlas-operon-1762")</f>
        <v>BSGatlas-operon-1762</v>
      </c>
      <c r="B3363" s="2" t="str">
        <f>HYPERLINK("https://rth.dk/resources/bsgatlas/details.php?id=BSGatlas-gene-3672","BSGatlas-gene-3672")</f>
        <v>BSGatlas-gene-3672</v>
      </c>
      <c r="C3363" s="1" t="s">
        <v>3329</v>
      </c>
      <c r="D3363" s="1" t="s">
        <v>8</v>
      </c>
      <c r="E3363" s="3">
        <v>3212591</v>
      </c>
      <c r="F3363" s="3">
        <v>3213328</v>
      </c>
      <c r="G3363" s="1" t="s">
        <v>9</v>
      </c>
      <c r="H3363" s="1" t="b">
        <f t="shared" si="128"/>
        <v>0</v>
      </c>
    </row>
    <row r="3364" spans="1:8" ht="21" x14ac:dyDescent="0.25">
      <c r="A3364" s="2" t="str">
        <f>HYPERLINK("https://rth.dk/resources/bsgatlas/details.php?id=BSGatlas-operon-1763","BSGatlas-operon-1763")</f>
        <v>BSGatlas-operon-1763</v>
      </c>
      <c r="B3364" s="2" t="str">
        <f>HYPERLINK("https://rth.dk/resources/bsgatlas/details.php?id=BSGatlas-gene-3673","BSGatlas-gene-3673")</f>
        <v>BSGatlas-gene-3673</v>
      </c>
      <c r="C3364" s="1" t="s">
        <v>3330</v>
      </c>
      <c r="D3364" s="1" t="s">
        <v>8</v>
      </c>
      <c r="E3364" s="3">
        <v>3213342</v>
      </c>
      <c r="F3364" s="3">
        <v>3213596</v>
      </c>
      <c r="G3364" s="1" t="s">
        <v>13</v>
      </c>
      <c r="H3364" s="1" t="b">
        <f t="shared" si="128"/>
        <v>1</v>
      </c>
    </row>
    <row r="3365" spans="1:8" ht="21" x14ac:dyDescent="0.25">
      <c r="A3365" s="2" t="str">
        <f>HYPERLINK("https://rth.dk/resources/bsgatlas/details.php?id=BSGatlas-operon-1763","BSGatlas-operon-1763")</f>
        <v>BSGatlas-operon-1763</v>
      </c>
      <c r="B3365" s="2" t="str">
        <f>HYPERLINK("https://rth.dk/resources/bsgatlas/details.php?id=BSGatlas-gene-3674","BSGatlas-gene-3674")</f>
        <v>BSGatlas-gene-3674</v>
      </c>
      <c r="C3365" s="1" t="s">
        <v>3331</v>
      </c>
      <c r="D3365" s="1" t="s">
        <v>8</v>
      </c>
      <c r="E3365" s="3">
        <v>3213854</v>
      </c>
      <c r="F3365" s="3">
        <v>3214252</v>
      </c>
      <c r="G3365" s="1" t="s">
        <v>13</v>
      </c>
      <c r="H3365" s="1" t="b">
        <f t="shared" si="128"/>
        <v>1</v>
      </c>
    </row>
    <row r="3366" spans="1:8" ht="21" x14ac:dyDescent="0.25">
      <c r="A3366" s="2" t="str">
        <f>HYPERLINK("https://rth.dk/resources/bsgatlas/details.php?id=BSGatlas-operon-1764","BSGatlas-operon-1764")</f>
        <v>BSGatlas-operon-1764</v>
      </c>
      <c r="B3366" s="2" t="str">
        <f>HYPERLINK("https://rth.dk/resources/bsgatlas/details.php?id=BSGatlas-gene-3675","BSGatlas-gene-3675")</f>
        <v>BSGatlas-gene-3675</v>
      </c>
      <c r="C3366" s="1" t="s">
        <v>318</v>
      </c>
      <c r="D3366" s="1" t="s">
        <v>8</v>
      </c>
      <c r="E3366" s="3">
        <v>3214212</v>
      </c>
      <c r="F3366" s="3">
        <v>3214346</v>
      </c>
      <c r="G3366" s="1" t="s">
        <v>13</v>
      </c>
      <c r="H3366" s="1" t="b">
        <f t="shared" si="128"/>
        <v>0</v>
      </c>
    </row>
    <row r="3367" spans="1:8" ht="21" x14ac:dyDescent="0.25">
      <c r="A3367" s="2" t="str">
        <f>HYPERLINK("https://rth.dk/resources/bsgatlas/details.php?id=BSGatlas-operon-1765","BSGatlas-operon-1765")</f>
        <v>BSGatlas-operon-1765</v>
      </c>
      <c r="B3367" s="2" t="str">
        <f>HYPERLINK("https://rth.dk/resources/bsgatlas/details.php?id=BSGatlas-gene-3676","BSGatlas-gene-3676")</f>
        <v>BSGatlas-gene-3676</v>
      </c>
      <c r="C3367" s="1" t="s">
        <v>3332</v>
      </c>
      <c r="D3367" s="1" t="s">
        <v>8</v>
      </c>
      <c r="E3367" s="3">
        <v>3214372</v>
      </c>
      <c r="F3367" s="3">
        <v>3216036</v>
      </c>
      <c r="G3367" s="1" t="s">
        <v>13</v>
      </c>
      <c r="H3367" s="1" t="b">
        <f t="shared" si="128"/>
        <v>1</v>
      </c>
    </row>
    <row r="3368" spans="1:8" ht="21" x14ac:dyDescent="0.25">
      <c r="A3368" s="2" t="str">
        <f>HYPERLINK("https://rth.dk/resources/bsgatlas/details.php?id=BSGatlas-operon-1766","BSGatlas-operon-1766")</f>
        <v>BSGatlas-operon-1766</v>
      </c>
      <c r="B3368" s="2" t="str">
        <f>HYPERLINK("https://rth.dk/resources/bsgatlas/details.php?id=BSGatlas-gene-3677","BSGatlas-gene-3677")</f>
        <v>BSGatlas-gene-3677</v>
      </c>
      <c r="C3368" s="1" t="s">
        <v>3333</v>
      </c>
      <c r="D3368" s="1" t="s">
        <v>8</v>
      </c>
      <c r="E3368" s="3">
        <v>3216163</v>
      </c>
      <c r="F3368" s="3">
        <v>3217452</v>
      </c>
      <c r="G3368" s="1" t="s">
        <v>13</v>
      </c>
      <c r="H3368" s="1" t="b">
        <f t="shared" si="128"/>
        <v>0</v>
      </c>
    </row>
    <row r="3369" spans="1:8" ht="21" x14ac:dyDescent="0.25">
      <c r="A3369" s="2" t="str">
        <f>HYPERLINK("https://rth.dk/resources/bsgatlas/details.php?id=BSGatlas-operon-1767","BSGatlas-operon-1767")</f>
        <v>BSGatlas-operon-1767</v>
      </c>
      <c r="B3369" s="2" t="str">
        <f>HYPERLINK("https://rth.dk/resources/bsgatlas/details.php?id=BSGatlas-gene-3678","BSGatlas-gene-3678")</f>
        <v>BSGatlas-gene-3678</v>
      </c>
      <c r="C3369" s="1" t="s">
        <v>3334</v>
      </c>
      <c r="D3369" s="1" t="s">
        <v>12</v>
      </c>
      <c r="E3369" s="3">
        <v>3217011</v>
      </c>
      <c r="F3369" s="3">
        <v>3217663</v>
      </c>
      <c r="G3369" s="1" t="s">
        <v>9</v>
      </c>
      <c r="H3369" s="1" t="b">
        <f t="shared" si="128"/>
        <v>1</v>
      </c>
    </row>
    <row r="3370" spans="1:8" ht="21" x14ac:dyDescent="0.25">
      <c r="A3370" s="2" t="str">
        <f>HYPERLINK("https://rth.dk/resources/bsgatlas/details.php?id=BSGatlas-operon-1768","BSGatlas-operon-1768")</f>
        <v>BSGatlas-operon-1768</v>
      </c>
      <c r="B3370" s="2" t="str">
        <f>HYPERLINK("https://rth.dk/resources/bsgatlas/details.php?id=BSGatlas-gene-3679","BSGatlas-gene-3679")</f>
        <v>BSGatlas-gene-3679</v>
      </c>
      <c r="C3370" s="1" t="s">
        <v>3335</v>
      </c>
      <c r="D3370" s="1" t="s">
        <v>8</v>
      </c>
      <c r="E3370" s="3">
        <v>3217496</v>
      </c>
      <c r="F3370" s="3">
        <v>3218173</v>
      </c>
      <c r="G3370" s="1" t="s">
        <v>13</v>
      </c>
      <c r="H3370" s="1" t="b">
        <f t="shared" si="128"/>
        <v>0</v>
      </c>
    </row>
    <row r="3371" spans="1:8" ht="21" x14ac:dyDescent="0.25">
      <c r="A3371" s="2" t="str">
        <f>HYPERLINK("https://rth.dk/resources/bsgatlas/details.php?id=BSGatlas-operon-1768","BSGatlas-operon-1768")</f>
        <v>BSGatlas-operon-1768</v>
      </c>
      <c r="B3371" s="2" t="str">
        <f>HYPERLINK("https://rth.dk/resources/bsgatlas/details.php?id=BSGatlas-gene-3680","BSGatlas-gene-3680")</f>
        <v>BSGatlas-gene-3680</v>
      </c>
      <c r="C3371" s="1" t="s">
        <v>3336</v>
      </c>
      <c r="D3371" s="1" t="s">
        <v>8</v>
      </c>
      <c r="E3371" s="3">
        <v>3218215</v>
      </c>
      <c r="F3371" s="3">
        <v>3218478</v>
      </c>
      <c r="G3371" s="1" t="s">
        <v>13</v>
      </c>
      <c r="H3371" s="1" t="b">
        <f t="shared" si="128"/>
        <v>0</v>
      </c>
    </row>
    <row r="3372" spans="1:8" ht="21" x14ac:dyDescent="0.25">
      <c r="A3372" s="2" t="str">
        <f>HYPERLINK("https://rth.dk/resources/bsgatlas/details.php?id=BSGatlas-operon-1769","BSGatlas-operon-1769")</f>
        <v>BSGatlas-operon-1769</v>
      </c>
      <c r="B3372" s="2" t="str">
        <f>HYPERLINK("https://rth.dk/resources/bsgatlas/details.php?id=BSGatlas-gene-3681","BSGatlas-gene-3681")</f>
        <v>BSGatlas-gene-3681</v>
      </c>
      <c r="C3372" s="1" t="s">
        <v>3337</v>
      </c>
      <c r="D3372" s="1" t="s">
        <v>8</v>
      </c>
      <c r="E3372" s="3">
        <v>3218525</v>
      </c>
      <c r="F3372" s="3">
        <v>3218857</v>
      </c>
      <c r="G3372" s="1" t="s">
        <v>9</v>
      </c>
      <c r="H3372" s="1" t="b">
        <f t="shared" si="128"/>
        <v>1</v>
      </c>
    </row>
    <row r="3373" spans="1:8" ht="21" x14ac:dyDescent="0.25">
      <c r="A3373" s="2" t="str">
        <f>HYPERLINK("https://rth.dk/resources/bsgatlas/details.php?id=BSGatlas-operon-1769","BSGatlas-operon-1769")</f>
        <v>BSGatlas-operon-1769</v>
      </c>
      <c r="B3373" s="2" t="str">
        <f>HYPERLINK("https://rth.dk/resources/bsgatlas/details.php?id=BSGatlas-gene-3682","BSGatlas-gene-3682")</f>
        <v>BSGatlas-gene-3682</v>
      </c>
      <c r="C3373" s="1" t="s">
        <v>3338</v>
      </c>
      <c r="D3373" s="1" t="s">
        <v>8</v>
      </c>
      <c r="E3373" s="3">
        <v>3218854</v>
      </c>
      <c r="F3373" s="3">
        <v>3219840</v>
      </c>
      <c r="G3373" s="1" t="s">
        <v>9</v>
      </c>
      <c r="H3373" s="1" t="b">
        <f t="shared" si="128"/>
        <v>1</v>
      </c>
    </row>
    <row r="3374" spans="1:8" ht="21" x14ac:dyDescent="0.25">
      <c r="A3374" s="2" t="str">
        <f>HYPERLINK("https://rth.dk/resources/bsgatlas/details.php?id=BSGatlas-operon-1770","BSGatlas-operon-1770")</f>
        <v>BSGatlas-operon-1770</v>
      </c>
      <c r="B3374" s="2" t="str">
        <f>HYPERLINK("https://rth.dk/resources/bsgatlas/details.php?id=BSGatlas-gene-3683","BSGatlas-gene-3683")</f>
        <v>BSGatlas-gene-3683</v>
      </c>
      <c r="C3374" s="1" t="s">
        <v>3339</v>
      </c>
      <c r="D3374" s="1" t="s">
        <v>8</v>
      </c>
      <c r="E3374" s="3">
        <v>3219837</v>
      </c>
      <c r="F3374" s="3">
        <v>3220241</v>
      </c>
      <c r="G3374" s="1" t="s">
        <v>13</v>
      </c>
      <c r="H3374" s="1" t="b">
        <f t="shared" si="128"/>
        <v>0</v>
      </c>
    </row>
    <row r="3375" spans="1:8" ht="21" x14ac:dyDescent="0.25">
      <c r="A3375" s="2" t="str">
        <f>HYPERLINK("https://rth.dk/resources/bsgatlas/details.php?id=BSGatlas-operon-1770","BSGatlas-operon-1770")</f>
        <v>BSGatlas-operon-1770</v>
      </c>
      <c r="B3375" s="2" t="str">
        <f>HYPERLINK("https://rth.dk/resources/bsgatlas/details.php?id=BSGatlas-gene-3684","BSGatlas-gene-3684")</f>
        <v>BSGatlas-gene-3684</v>
      </c>
      <c r="C3375" s="1" t="s">
        <v>3340</v>
      </c>
      <c r="D3375" s="1" t="s">
        <v>8</v>
      </c>
      <c r="E3375" s="3">
        <v>3220301</v>
      </c>
      <c r="F3375" s="3">
        <v>3220672</v>
      </c>
      <c r="G3375" s="1" t="s">
        <v>13</v>
      </c>
      <c r="H3375" s="1" t="b">
        <f t="shared" si="128"/>
        <v>0</v>
      </c>
    </row>
    <row r="3376" spans="1:8" ht="21" x14ac:dyDescent="0.25">
      <c r="A3376" s="2" t="str">
        <f>HYPERLINK("https://rth.dk/resources/bsgatlas/details.php?id=BSGatlas-operon-1770","BSGatlas-operon-1770")</f>
        <v>BSGatlas-operon-1770</v>
      </c>
      <c r="B3376" s="2" t="str">
        <f>HYPERLINK("https://rth.dk/resources/bsgatlas/details.php?id=BSGatlas-gene-3685","BSGatlas-gene-3685")</f>
        <v>BSGatlas-gene-3685</v>
      </c>
      <c r="C3376" s="1" t="s">
        <v>3341</v>
      </c>
      <c r="D3376" s="1" t="s">
        <v>8</v>
      </c>
      <c r="E3376" s="3">
        <v>3220731</v>
      </c>
      <c r="F3376" s="3">
        <v>3222083</v>
      </c>
      <c r="G3376" s="1" t="s">
        <v>13</v>
      </c>
      <c r="H3376" s="1" t="b">
        <f t="shared" si="128"/>
        <v>0</v>
      </c>
    </row>
    <row r="3377" spans="1:8" ht="21" x14ac:dyDescent="0.25">
      <c r="A3377" s="2" t="str">
        <f>HYPERLINK("https://rth.dk/resources/bsgatlas/details.php?id=BSGatlas-operon-1771","BSGatlas-operon-1771")</f>
        <v>BSGatlas-operon-1771</v>
      </c>
      <c r="B3377" s="2" t="str">
        <f>HYPERLINK("https://rth.dk/resources/bsgatlas/details.php?id=BSGatlas-gene-3686","BSGatlas-gene-3686")</f>
        <v>BSGatlas-gene-3686</v>
      </c>
      <c r="C3377" s="1" t="s">
        <v>3342</v>
      </c>
      <c r="D3377" s="1" t="s">
        <v>8</v>
      </c>
      <c r="E3377" s="3">
        <v>3222195</v>
      </c>
      <c r="F3377" s="3">
        <v>3223367</v>
      </c>
      <c r="G3377" s="1" t="s">
        <v>13</v>
      </c>
      <c r="H3377" s="1" t="b">
        <f t="shared" si="128"/>
        <v>1</v>
      </c>
    </row>
    <row r="3378" spans="1:8" ht="21" x14ac:dyDescent="0.25">
      <c r="A3378" s="2" t="str">
        <f>HYPERLINK("https://rth.dk/resources/bsgatlas/details.php?id=BSGatlas-operon-1772","BSGatlas-operon-1772")</f>
        <v>BSGatlas-operon-1772</v>
      </c>
      <c r="B3378" s="2" t="str">
        <f>HYPERLINK("https://rth.dk/resources/bsgatlas/details.php?id=BSGatlas-gene-3688","BSGatlas-gene-3688")</f>
        <v>BSGatlas-gene-3688</v>
      </c>
      <c r="C3378" s="1" t="s">
        <v>3343</v>
      </c>
      <c r="D3378" s="1" t="s">
        <v>8</v>
      </c>
      <c r="E3378" s="3">
        <v>3223471</v>
      </c>
      <c r="F3378" s="3">
        <v>3224634</v>
      </c>
      <c r="G3378" s="1" t="s">
        <v>13</v>
      </c>
      <c r="H3378" s="1" t="b">
        <f t="shared" si="128"/>
        <v>0</v>
      </c>
    </row>
    <row r="3379" spans="1:8" ht="21" x14ac:dyDescent="0.25">
      <c r="A3379" s="2" t="str">
        <f>HYPERLINK("https://rth.dk/resources/bsgatlas/details.php?id=BSGatlas-operon-1773","BSGatlas-operon-1773")</f>
        <v>BSGatlas-operon-1773</v>
      </c>
      <c r="B3379" s="2" t="str">
        <f>HYPERLINK("https://rth.dk/resources/bsgatlas/details.php?id=BSGatlas-gene-3689","BSGatlas-gene-3689")</f>
        <v>BSGatlas-gene-3689</v>
      </c>
      <c r="C3379" s="1" t="s">
        <v>3344</v>
      </c>
      <c r="D3379" s="1" t="s">
        <v>8</v>
      </c>
      <c r="E3379" s="3">
        <v>3224864</v>
      </c>
      <c r="F3379" s="3">
        <v>3225100</v>
      </c>
      <c r="G3379" s="1" t="s">
        <v>9</v>
      </c>
      <c r="H3379" s="1" t="b">
        <f t="shared" si="128"/>
        <v>1</v>
      </c>
    </row>
    <row r="3380" spans="1:8" ht="21" x14ac:dyDescent="0.25">
      <c r="A3380" s="2" t="str">
        <f>HYPERLINK("https://rth.dk/resources/bsgatlas/details.php?id=BSGatlas-operon-1774","BSGatlas-operon-1774")</f>
        <v>BSGatlas-operon-1774</v>
      </c>
      <c r="B3380" s="2" t="str">
        <f>HYPERLINK("https://rth.dk/resources/bsgatlas/details.php?id=BSGatlas-gene-3690","BSGatlas-gene-3690")</f>
        <v>BSGatlas-gene-3690</v>
      </c>
      <c r="C3380" s="1" t="s">
        <v>3345</v>
      </c>
      <c r="D3380" s="1" t="s">
        <v>8</v>
      </c>
      <c r="E3380" s="3">
        <v>3225178</v>
      </c>
      <c r="F3380" s="3">
        <v>3225570</v>
      </c>
      <c r="G3380" s="1" t="s">
        <v>13</v>
      </c>
      <c r="H3380" s="1" t="b">
        <f t="shared" si="128"/>
        <v>0</v>
      </c>
    </row>
    <row r="3381" spans="1:8" ht="21" x14ac:dyDescent="0.25">
      <c r="A3381" s="2" t="str">
        <f>HYPERLINK("https://rth.dk/resources/bsgatlas/details.php?id=BSGatlas-operon-1775","BSGatlas-operon-1775")</f>
        <v>BSGatlas-operon-1775</v>
      </c>
      <c r="B3381" s="2" t="str">
        <f>HYPERLINK("https://rth.dk/resources/bsgatlas/details.php?id=BSGatlas-gene-3691","BSGatlas-gene-3691")</f>
        <v>BSGatlas-gene-3691</v>
      </c>
      <c r="C3381" s="1" t="s">
        <v>3346</v>
      </c>
      <c r="D3381" s="1" t="s">
        <v>55</v>
      </c>
      <c r="E3381" s="3">
        <v>3225697</v>
      </c>
      <c r="F3381" s="3">
        <v>3225824</v>
      </c>
      <c r="G3381" s="1" t="s">
        <v>9</v>
      </c>
      <c r="H3381" s="1" t="b">
        <f t="shared" si="128"/>
        <v>1</v>
      </c>
    </row>
    <row r="3382" spans="1:8" ht="21" x14ac:dyDescent="0.25">
      <c r="A3382" s="2" t="str">
        <f>HYPERLINK("https://rth.dk/resources/bsgatlas/details.php?id=BSGatlas-operon-1776","BSGatlas-operon-1776")</f>
        <v>BSGatlas-operon-1776</v>
      </c>
      <c r="B3382" s="2" t="str">
        <f>HYPERLINK("https://rth.dk/resources/bsgatlas/details.php?id=BSGatlas-gene-3692","BSGatlas-gene-3692")</f>
        <v>BSGatlas-gene-3692</v>
      </c>
      <c r="C3382" s="1" t="s">
        <v>3347</v>
      </c>
      <c r="D3382" s="1" t="s">
        <v>8</v>
      </c>
      <c r="E3382" s="3">
        <v>3225772</v>
      </c>
      <c r="F3382" s="3">
        <v>3226932</v>
      </c>
      <c r="G3382" s="1" t="s">
        <v>13</v>
      </c>
      <c r="H3382" s="1" t="b">
        <f t="shared" si="128"/>
        <v>0</v>
      </c>
    </row>
    <row r="3383" spans="1:8" ht="21" x14ac:dyDescent="0.25">
      <c r="A3383" s="2" t="str">
        <f>HYPERLINK("https://rth.dk/resources/bsgatlas/details.php?id=BSGatlas-operon-1776","BSGatlas-operon-1776")</f>
        <v>BSGatlas-operon-1776</v>
      </c>
      <c r="B3383" s="2" t="str">
        <f>HYPERLINK("https://rth.dk/resources/bsgatlas/details.php?id=BSGatlas-gene-3693","BSGatlas-gene-3693")</f>
        <v>BSGatlas-gene-3693</v>
      </c>
      <c r="C3383" s="1" t="s">
        <v>3348</v>
      </c>
      <c r="D3383" s="1" t="s">
        <v>8</v>
      </c>
      <c r="E3383" s="3">
        <v>3226933</v>
      </c>
      <c r="F3383" s="3">
        <v>3227433</v>
      </c>
      <c r="G3383" s="1" t="s">
        <v>13</v>
      </c>
      <c r="H3383" s="1" t="b">
        <f t="shared" si="128"/>
        <v>0</v>
      </c>
    </row>
    <row r="3384" spans="1:8" ht="21" x14ac:dyDescent="0.25">
      <c r="A3384" s="2" t="str">
        <f>HYPERLINK("https://rth.dk/resources/bsgatlas/details.php?id=BSGatlas-operon-1777","BSGatlas-operon-1777")</f>
        <v>BSGatlas-operon-1777</v>
      </c>
      <c r="B3384" s="2" t="str">
        <f>HYPERLINK("https://rth.dk/resources/bsgatlas/details.php?id=BSGatlas-gene-3694","BSGatlas-gene-3694")</f>
        <v>BSGatlas-gene-3694</v>
      </c>
      <c r="C3384" s="1" t="s">
        <v>3349</v>
      </c>
      <c r="D3384" s="1" t="s">
        <v>8</v>
      </c>
      <c r="E3384" s="3">
        <v>3227581</v>
      </c>
      <c r="F3384" s="3">
        <v>3228402</v>
      </c>
      <c r="G3384" s="1" t="s">
        <v>9</v>
      </c>
      <c r="H3384" s="1" t="b">
        <f t="shared" si="128"/>
        <v>1</v>
      </c>
    </row>
    <row r="3385" spans="1:8" ht="21" x14ac:dyDescent="0.25">
      <c r="A3385" s="2" t="str">
        <f>HYPERLINK("https://rth.dk/resources/bsgatlas/details.php?id=BSGatlas-operon-1778","BSGatlas-operon-1778")</f>
        <v>BSGatlas-operon-1778</v>
      </c>
      <c r="B3385" s="2" t="str">
        <f>HYPERLINK("https://rth.dk/resources/bsgatlas/details.php?id=BSGatlas-gene-3695","BSGatlas-gene-3695")</f>
        <v>BSGatlas-gene-3695</v>
      </c>
      <c r="C3385" s="1" t="s">
        <v>3350</v>
      </c>
      <c r="D3385" s="1" t="s">
        <v>8</v>
      </c>
      <c r="E3385" s="3">
        <v>3228431</v>
      </c>
      <c r="F3385" s="3">
        <v>3228691</v>
      </c>
      <c r="G3385" s="1" t="s">
        <v>13</v>
      </c>
      <c r="H3385" s="1" t="b">
        <f t="shared" si="128"/>
        <v>0</v>
      </c>
    </row>
    <row r="3386" spans="1:8" ht="21" x14ac:dyDescent="0.25">
      <c r="A3386" s="2" t="str">
        <f>HYPERLINK("https://rth.dk/resources/bsgatlas/details.php?id=BSGatlas-operon-1779","BSGatlas-operon-1779")</f>
        <v>BSGatlas-operon-1779</v>
      </c>
      <c r="B3386" s="2" t="str">
        <f>HYPERLINK("https://rth.dk/resources/bsgatlas/details.php?id=BSGatlas-gene-3696","BSGatlas-gene-3696")</f>
        <v>BSGatlas-gene-3696</v>
      </c>
      <c r="C3386" s="1" t="s">
        <v>3351</v>
      </c>
      <c r="D3386" s="1" t="s">
        <v>8</v>
      </c>
      <c r="E3386" s="3">
        <v>3228778</v>
      </c>
      <c r="F3386" s="3">
        <v>3229941</v>
      </c>
      <c r="G3386" s="1" t="s">
        <v>9</v>
      </c>
      <c r="H3386" s="1" t="b">
        <f t="shared" si="128"/>
        <v>1</v>
      </c>
    </row>
    <row r="3387" spans="1:8" ht="21" x14ac:dyDescent="0.25">
      <c r="A3387" s="2" t="str">
        <f>HYPERLINK("https://rth.dk/resources/bsgatlas/details.php?id=BSGatlas-operon-1780","BSGatlas-operon-1780")</f>
        <v>BSGatlas-operon-1780</v>
      </c>
      <c r="B3387" s="2" t="str">
        <f>HYPERLINK("https://rth.dk/resources/bsgatlas/details.php?id=BSGatlas-gene-3697","BSGatlas-gene-3697")</f>
        <v>BSGatlas-gene-3697</v>
      </c>
      <c r="C3387" s="1" t="s">
        <v>3352</v>
      </c>
      <c r="D3387" s="1" t="s">
        <v>8</v>
      </c>
      <c r="E3387" s="3">
        <v>3230067</v>
      </c>
      <c r="F3387" s="3">
        <v>3231353</v>
      </c>
      <c r="G3387" s="1" t="s">
        <v>9</v>
      </c>
      <c r="H3387" s="1" t="b">
        <f t="shared" si="128"/>
        <v>0</v>
      </c>
    </row>
    <row r="3388" spans="1:8" ht="21" x14ac:dyDescent="0.25">
      <c r="A3388" s="2" t="str">
        <f>HYPERLINK("https://rth.dk/resources/bsgatlas/details.php?id=BSGatlas-operon-1780","BSGatlas-operon-1780")</f>
        <v>BSGatlas-operon-1780</v>
      </c>
      <c r="B3388" s="2" t="str">
        <f>HYPERLINK("https://rth.dk/resources/bsgatlas/details.php?id=BSGatlas-gene-3698","BSGatlas-gene-3698")</f>
        <v>BSGatlas-gene-3698</v>
      </c>
      <c r="C3388" s="1" t="s">
        <v>3353</v>
      </c>
      <c r="D3388" s="1" t="s">
        <v>8</v>
      </c>
      <c r="E3388" s="3">
        <v>3231399</v>
      </c>
      <c r="F3388" s="3">
        <v>3231785</v>
      </c>
      <c r="G3388" s="1" t="s">
        <v>9</v>
      </c>
      <c r="H3388" s="1" t="b">
        <f t="shared" si="128"/>
        <v>0</v>
      </c>
    </row>
    <row r="3389" spans="1:8" ht="21" x14ac:dyDescent="0.25">
      <c r="A3389" s="2" t="str">
        <f>HYPERLINK("https://rth.dk/resources/bsgatlas/details.php?id=BSGatlas-operon-1781","BSGatlas-operon-1781")</f>
        <v>BSGatlas-operon-1781</v>
      </c>
      <c r="B3389" s="2" t="str">
        <f>HYPERLINK("https://rth.dk/resources/bsgatlas/details.php?id=BSGatlas-gene-3699","BSGatlas-gene-3699")</f>
        <v>BSGatlas-gene-3699</v>
      </c>
      <c r="C3389" s="1" t="s">
        <v>3354</v>
      </c>
      <c r="D3389" s="1" t="s">
        <v>8</v>
      </c>
      <c r="E3389" s="3">
        <v>3231812</v>
      </c>
      <c r="F3389" s="3">
        <v>3232429</v>
      </c>
      <c r="G3389" s="1" t="s">
        <v>13</v>
      </c>
      <c r="H3389" s="1" t="b">
        <f t="shared" si="128"/>
        <v>1</v>
      </c>
    </row>
    <row r="3390" spans="1:8" ht="21" x14ac:dyDescent="0.25">
      <c r="A3390" s="2" t="str">
        <f>HYPERLINK("https://rth.dk/resources/bsgatlas/details.php?id=BSGatlas-operon-1782","BSGatlas-operon-1782")</f>
        <v>BSGatlas-operon-1782</v>
      </c>
      <c r="B3390" s="2" t="str">
        <f>HYPERLINK("https://rth.dk/resources/bsgatlas/details.php?id=BSGatlas-gene-3700","BSGatlas-gene-3700")</f>
        <v>BSGatlas-gene-3700</v>
      </c>
      <c r="C3390" s="1" t="s">
        <v>3355</v>
      </c>
      <c r="D3390" s="1" t="s">
        <v>8</v>
      </c>
      <c r="E3390" s="3">
        <v>3232640</v>
      </c>
      <c r="F3390" s="3">
        <v>3233818</v>
      </c>
      <c r="G3390" s="1" t="s">
        <v>9</v>
      </c>
      <c r="H3390" s="1" t="b">
        <f t="shared" si="128"/>
        <v>0</v>
      </c>
    </row>
    <row r="3391" spans="1:8" ht="21" x14ac:dyDescent="0.25">
      <c r="A3391" s="2" t="str">
        <f>HYPERLINK("https://rth.dk/resources/bsgatlas/details.php?id=BSGatlas-operon-1783","BSGatlas-operon-1783")</f>
        <v>BSGatlas-operon-1783</v>
      </c>
      <c r="B3391" s="2" t="str">
        <f>HYPERLINK("https://rth.dk/resources/bsgatlas/details.php?id=BSGatlas-gene-3701","BSGatlas-gene-3701")</f>
        <v>BSGatlas-gene-3701</v>
      </c>
      <c r="C3391" s="1" t="s">
        <v>3356</v>
      </c>
      <c r="D3391" s="1" t="s">
        <v>8</v>
      </c>
      <c r="E3391" s="3">
        <v>3233911</v>
      </c>
      <c r="F3391" s="3">
        <v>3235785</v>
      </c>
      <c r="G3391" s="1" t="s">
        <v>9</v>
      </c>
      <c r="H3391" s="1" t="b">
        <f t="shared" si="128"/>
        <v>1</v>
      </c>
    </row>
    <row r="3392" spans="1:8" ht="21" x14ac:dyDescent="0.25">
      <c r="A3392" s="2" t="str">
        <f>HYPERLINK("https://rth.dk/resources/bsgatlas/details.php?id=BSGatlas-operon-1783","BSGatlas-operon-1783")</f>
        <v>BSGatlas-operon-1783</v>
      </c>
      <c r="B3392" s="2" t="str">
        <f>HYPERLINK("https://rth.dk/resources/bsgatlas/details.php?id=BSGatlas-gene-3702","BSGatlas-gene-3702")</f>
        <v>BSGatlas-gene-3702</v>
      </c>
      <c r="C3392" s="1" t="s">
        <v>3357</v>
      </c>
      <c r="D3392" s="1" t="s">
        <v>8</v>
      </c>
      <c r="E3392" s="3">
        <v>3235806</v>
      </c>
      <c r="F3392" s="3">
        <v>3236219</v>
      </c>
      <c r="G3392" s="1" t="s">
        <v>9</v>
      </c>
      <c r="H3392" s="1" t="b">
        <f t="shared" si="128"/>
        <v>1</v>
      </c>
    </row>
    <row r="3393" spans="1:8" ht="21" x14ac:dyDescent="0.25">
      <c r="A3393" s="2" t="str">
        <f>HYPERLINK("https://rth.dk/resources/bsgatlas/details.php?id=BSGatlas-operon-1784","BSGatlas-operon-1784")</f>
        <v>BSGatlas-operon-1784</v>
      </c>
      <c r="B3393" s="2" t="str">
        <f>HYPERLINK("https://rth.dk/resources/bsgatlas/details.php?id=BSGatlas-gene-3703","BSGatlas-gene-3703")</f>
        <v>BSGatlas-gene-3703</v>
      </c>
      <c r="C3393" s="1" t="s">
        <v>3358</v>
      </c>
      <c r="D3393" s="1" t="s">
        <v>8</v>
      </c>
      <c r="E3393" s="3">
        <v>3236422</v>
      </c>
      <c r="F3393" s="3">
        <v>3236979</v>
      </c>
      <c r="G3393" s="1" t="s">
        <v>13</v>
      </c>
      <c r="H3393" s="1" t="b">
        <f t="shared" si="128"/>
        <v>0</v>
      </c>
    </row>
    <row r="3394" spans="1:8" ht="21" x14ac:dyDescent="0.25">
      <c r="A3394" s="2" t="str">
        <f>HYPERLINK("https://rth.dk/resources/bsgatlas/details.php?id=BSGatlas-operon-1785","BSGatlas-operon-1785")</f>
        <v>BSGatlas-operon-1785</v>
      </c>
      <c r="B3394" s="2" t="str">
        <f>HYPERLINK("https://rth.dk/resources/bsgatlas/details.php?id=BSGatlas-gene-3704","BSGatlas-gene-3704")</f>
        <v>BSGatlas-gene-3704</v>
      </c>
      <c r="C3394" s="1" t="s">
        <v>3359</v>
      </c>
      <c r="D3394" s="1" t="s">
        <v>8</v>
      </c>
      <c r="E3394" s="3">
        <v>3237157</v>
      </c>
      <c r="F3394" s="3">
        <v>3238758</v>
      </c>
      <c r="G3394" s="1" t="s">
        <v>9</v>
      </c>
      <c r="H3394" s="1" t="b">
        <f t="shared" ref="H3394:H3457" si="129">_xlfn.XOR(A3393&lt;&gt;A3394,H3393)</f>
        <v>1</v>
      </c>
    </row>
    <row r="3395" spans="1:8" ht="21" x14ac:dyDescent="0.25">
      <c r="A3395" s="2" t="str">
        <f>HYPERLINK("https://rth.dk/resources/bsgatlas/details.php?id=BSGatlas-operon-1785","BSGatlas-operon-1785")</f>
        <v>BSGatlas-operon-1785</v>
      </c>
      <c r="B3395" s="2" t="str">
        <f>HYPERLINK("https://rth.dk/resources/bsgatlas/details.php?id=BSGatlas-gene-3705","BSGatlas-gene-3705")</f>
        <v>BSGatlas-gene-3705</v>
      </c>
      <c r="C3395" s="1" t="s">
        <v>3360</v>
      </c>
      <c r="D3395" s="1" t="s">
        <v>8</v>
      </c>
      <c r="E3395" s="3">
        <v>3238751</v>
      </c>
      <c r="F3395" s="3">
        <v>3239458</v>
      </c>
      <c r="G3395" s="1" t="s">
        <v>9</v>
      </c>
      <c r="H3395" s="1" t="b">
        <f t="shared" si="129"/>
        <v>1</v>
      </c>
    </row>
    <row r="3396" spans="1:8" ht="21" x14ac:dyDescent="0.25">
      <c r="A3396" s="2" t="str">
        <f>HYPERLINK("https://rth.dk/resources/bsgatlas/details.php?id=BSGatlas-operon-1786","BSGatlas-operon-1786")</f>
        <v>BSGatlas-operon-1786</v>
      </c>
      <c r="B3396" s="2" t="str">
        <f>HYPERLINK("https://rth.dk/resources/bsgatlas/details.php?id=BSGatlas-gene-3706","BSGatlas-gene-3706")</f>
        <v>BSGatlas-gene-3706</v>
      </c>
      <c r="C3396" s="1" t="s">
        <v>3361</v>
      </c>
      <c r="D3396" s="1" t="s">
        <v>8</v>
      </c>
      <c r="E3396" s="3">
        <v>3239930</v>
      </c>
      <c r="F3396" s="3">
        <v>3241009</v>
      </c>
      <c r="G3396" s="1" t="s">
        <v>9</v>
      </c>
      <c r="H3396" s="1" t="b">
        <f t="shared" si="129"/>
        <v>0</v>
      </c>
    </row>
    <row r="3397" spans="1:8" ht="21" x14ac:dyDescent="0.25">
      <c r="A3397" s="2" t="str">
        <f>HYPERLINK("https://rth.dk/resources/bsgatlas/details.php?id=BSGatlas-operon-1786","BSGatlas-operon-1786")</f>
        <v>BSGatlas-operon-1786</v>
      </c>
      <c r="B3397" s="2" t="str">
        <f>HYPERLINK("https://rth.dk/resources/bsgatlas/details.php?id=BSGatlas-gene-3707","BSGatlas-gene-3707")</f>
        <v>BSGatlas-gene-3707</v>
      </c>
      <c r="C3397" s="1" t="s">
        <v>3362</v>
      </c>
      <c r="D3397" s="1" t="s">
        <v>8</v>
      </c>
      <c r="E3397" s="3">
        <v>3241085</v>
      </c>
      <c r="F3397" s="3">
        <v>3242617</v>
      </c>
      <c r="G3397" s="1" t="s">
        <v>9</v>
      </c>
      <c r="H3397" s="1" t="b">
        <f t="shared" si="129"/>
        <v>0</v>
      </c>
    </row>
    <row r="3398" spans="1:8" ht="21" x14ac:dyDescent="0.25">
      <c r="A3398" s="2" t="str">
        <f>HYPERLINK("https://rth.dk/resources/bsgatlas/details.php?id=BSGatlas-operon-1786","BSGatlas-operon-1786")</f>
        <v>BSGatlas-operon-1786</v>
      </c>
      <c r="B3398" s="2" t="str">
        <f>HYPERLINK("https://rth.dk/resources/bsgatlas/details.php?id=BSGatlas-gene-3708","BSGatlas-gene-3708")</f>
        <v>BSGatlas-gene-3708</v>
      </c>
      <c r="C3398" s="1" t="s">
        <v>3363</v>
      </c>
      <c r="D3398" s="1" t="s">
        <v>8</v>
      </c>
      <c r="E3398" s="3">
        <v>3242610</v>
      </c>
      <c r="F3398" s="3">
        <v>3243656</v>
      </c>
      <c r="G3398" s="1" t="s">
        <v>9</v>
      </c>
      <c r="H3398" s="1" t="b">
        <f t="shared" si="129"/>
        <v>0</v>
      </c>
    </row>
    <row r="3399" spans="1:8" ht="21" x14ac:dyDescent="0.25">
      <c r="A3399" s="2" t="str">
        <f>HYPERLINK("https://rth.dk/resources/bsgatlas/details.php?id=BSGatlas-operon-1786","BSGatlas-operon-1786")</f>
        <v>BSGatlas-operon-1786</v>
      </c>
      <c r="B3399" s="2" t="str">
        <f>HYPERLINK("https://rth.dk/resources/bsgatlas/details.php?id=BSGatlas-gene-3709","BSGatlas-gene-3709")</f>
        <v>BSGatlas-gene-3709</v>
      </c>
      <c r="C3399" s="1" t="s">
        <v>3364</v>
      </c>
      <c r="D3399" s="1" t="s">
        <v>8</v>
      </c>
      <c r="E3399" s="3">
        <v>3243657</v>
      </c>
      <c r="F3399" s="3">
        <v>3244616</v>
      </c>
      <c r="G3399" s="1" t="s">
        <v>9</v>
      </c>
      <c r="H3399" s="1" t="b">
        <f t="shared" si="129"/>
        <v>0</v>
      </c>
    </row>
    <row r="3400" spans="1:8" ht="21" x14ac:dyDescent="0.25">
      <c r="A3400" s="2" t="str">
        <f>HYPERLINK("https://rth.dk/resources/bsgatlas/details.php?id=BSGatlas-operon-1787","BSGatlas-operon-1787")</f>
        <v>BSGatlas-operon-1787</v>
      </c>
      <c r="B3400" s="2" t="str">
        <f>HYPERLINK("https://rth.dk/resources/bsgatlas/details.php?id=BSGatlas-gene-3710","BSGatlas-gene-3710")</f>
        <v>BSGatlas-gene-3710</v>
      </c>
      <c r="C3400" s="1" t="s">
        <v>3365</v>
      </c>
      <c r="D3400" s="1" t="s">
        <v>8</v>
      </c>
      <c r="E3400" s="3">
        <v>3244770</v>
      </c>
      <c r="F3400" s="3">
        <v>3246116</v>
      </c>
      <c r="G3400" s="1" t="s">
        <v>9</v>
      </c>
      <c r="H3400" s="1" t="b">
        <f t="shared" si="129"/>
        <v>1</v>
      </c>
    </row>
    <row r="3401" spans="1:8" ht="21" x14ac:dyDescent="0.25">
      <c r="A3401" s="2" t="str">
        <f>HYPERLINK("https://rth.dk/resources/bsgatlas/details.php?id=BSGatlas-operon-1788","BSGatlas-operon-1788")</f>
        <v>BSGatlas-operon-1788</v>
      </c>
      <c r="B3401" s="2" t="str">
        <f>HYPERLINK("https://rth.dk/resources/bsgatlas/details.php?id=BSGatlas-gene-3711","BSGatlas-gene-3711")</f>
        <v>BSGatlas-gene-3711</v>
      </c>
      <c r="C3401" s="1" t="s">
        <v>3366</v>
      </c>
      <c r="D3401" s="1" t="s">
        <v>8</v>
      </c>
      <c r="E3401" s="3">
        <v>3246152</v>
      </c>
      <c r="F3401" s="3">
        <v>3246367</v>
      </c>
      <c r="G3401" s="1" t="s">
        <v>13</v>
      </c>
      <c r="H3401" s="1" t="b">
        <f t="shared" si="129"/>
        <v>0</v>
      </c>
    </row>
    <row r="3402" spans="1:8" ht="21" x14ac:dyDescent="0.25">
      <c r="A3402" s="2" t="str">
        <f t="shared" ref="A3402:A3408" si="130">HYPERLINK("https://rth.dk/resources/bsgatlas/details.php?id=BSGatlas-operon-1789","BSGatlas-operon-1789")</f>
        <v>BSGatlas-operon-1789</v>
      </c>
      <c r="B3402" s="2" t="str">
        <f>HYPERLINK("https://rth.dk/resources/bsgatlas/details.php?id=BSGatlas-gene-3712","BSGatlas-gene-3712")</f>
        <v>BSGatlas-gene-3712</v>
      </c>
      <c r="C3402" s="1" t="s">
        <v>3367</v>
      </c>
      <c r="D3402" s="1" t="s">
        <v>8</v>
      </c>
      <c r="E3402" s="3">
        <v>3246598</v>
      </c>
      <c r="F3402" s="3">
        <v>3249003</v>
      </c>
      <c r="G3402" s="1" t="s">
        <v>9</v>
      </c>
      <c r="H3402" s="1" t="b">
        <f t="shared" si="129"/>
        <v>1</v>
      </c>
    </row>
    <row r="3403" spans="1:8" ht="21" x14ac:dyDescent="0.25">
      <c r="A3403" s="2" t="str">
        <f t="shared" si="130"/>
        <v>BSGatlas-operon-1789</v>
      </c>
      <c r="B3403" s="2" t="str">
        <f>HYPERLINK("https://rth.dk/resources/bsgatlas/details.php?id=BSGatlas-gene-3713","BSGatlas-gene-3713")</f>
        <v>BSGatlas-gene-3713</v>
      </c>
      <c r="C3403" s="1" t="s">
        <v>3368</v>
      </c>
      <c r="D3403" s="1" t="s">
        <v>8</v>
      </c>
      <c r="E3403" s="3">
        <v>3248996</v>
      </c>
      <c r="F3403" s="3">
        <v>3249427</v>
      </c>
      <c r="G3403" s="1" t="s">
        <v>9</v>
      </c>
      <c r="H3403" s="1" t="b">
        <f t="shared" si="129"/>
        <v>1</v>
      </c>
    </row>
    <row r="3404" spans="1:8" ht="21" x14ac:dyDescent="0.25">
      <c r="A3404" s="2" t="str">
        <f t="shared" si="130"/>
        <v>BSGatlas-operon-1789</v>
      </c>
      <c r="B3404" s="2" t="str">
        <f>HYPERLINK("https://rth.dk/resources/bsgatlas/details.php?id=BSGatlas-gene-3714","BSGatlas-gene-3714")</f>
        <v>BSGatlas-gene-3714</v>
      </c>
      <c r="C3404" s="1" t="s">
        <v>3369</v>
      </c>
      <c r="D3404" s="1" t="s">
        <v>8</v>
      </c>
      <c r="E3404" s="3">
        <v>3249427</v>
      </c>
      <c r="F3404" s="3">
        <v>3249768</v>
      </c>
      <c r="G3404" s="1" t="s">
        <v>9</v>
      </c>
      <c r="H3404" s="1" t="b">
        <f t="shared" si="129"/>
        <v>1</v>
      </c>
    </row>
    <row r="3405" spans="1:8" ht="21" x14ac:dyDescent="0.25">
      <c r="A3405" s="2" t="str">
        <f t="shared" si="130"/>
        <v>BSGatlas-operon-1789</v>
      </c>
      <c r="B3405" s="2" t="str">
        <f>HYPERLINK("https://rth.dk/resources/bsgatlas/details.php?id=BSGatlas-gene-3715","BSGatlas-gene-3715")</f>
        <v>BSGatlas-gene-3715</v>
      </c>
      <c r="C3405" s="1" t="s">
        <v>3370</v>
      </c>
      <c r="D3405" s="1" t="s">
        <v>8</v>
      </c>
      <c r="E3405" s="3">
        <v>3249761</v>
      </c>
      <c r="F3405" s="3">
        <v>3251242</v>
      </c>
      <c r="G3405" s="1" t="s">
        <v>9</v>
      </c>
      <c r="H3405" s="1" t="b">
        <f t="shared" si="129"/>
        <v>1</v>
      </c>
    </row>
    <row r="3406" spans="1:8" ht="21" x14ac:dyDescent="0.25">
      <c r="A3406" s="2" t="str">
        <f t="shared" si="130"/>
        <v>BSGatlas-operon-1789</v>
      </c>
      <c r="B3406" s="2" t="str">
        <f>HYPERLINK("https://rth.dk/resources/bsgatlas/details.php?id=BSGatlas-gene-3716","BSGatlas-gene-3716")</f>
        <v>BSGatlas-gene-3716</v>
      </c>
      <c r="C3406" s="1" t="s">
        <v>3371</v>
      </c>
      <c r="D3406" s="1" t="s">
        <v>8</v>
      </c>
      <c r="E3406" s="3">
        <v>3251248</v>
      </c>
      <c r="F3406" s="3">
        <v>3251724</v>
      </c>
      <c r="G3406" s="1" t="s">
        <v>9</v>
      </c>
      <c r="H3406" s="1" t="b">
        <f t="shared" si="129"/>
        <v>1</v>
      </c>
    </row>
    <row r="3407" spans="1:8" ht="21" x14ac:dyDescent="0.25">
      <c r="A3407" s="2" t="str">
        <f t="shared" si="130"/>
        <v>BSGatlas-operon-1789</v>
      </c>
      <c r="B3407" s="2" t="str">
        <f>HYPERLINK("https://rth.dk/resources/bsgatlas/details.php?id=BSGatlas-gene-3717","BSGatlas-gene-3717")</f>
        <v>BSGatlas-gene-3717</v>
      </c>
      <c r="C3407" s="1" t="s">
        <v>3372</v>
      </c>
      <c r="D3407" s="1" t="s">
        <v>8</v>
      </c>
      <c r="E3407" s="3">
        <v>3251724</v>
      </c>
      <c r="F3407" s="3">
        <v>3252008</v>
      </c>
      <c r="G3407" s="1" t="s">
        <v>9</v>
      </c>
      <c r="H3407" s="1" t="b">
        <f t="shared" si="129"/>
        <v>1</v>
      </c>
    </row>
    <row r="3408" spans="1:8" ht="21" x14ac:dyDescent="0.25">
      <c r="A3408" s="2" t="str">
        <f t="shared" si="130"/>
        <v>BSGatlas-operon-1789</v>
      </c>
      <c r="B3408" s="2" t="str">
        <f>HYPERLINK("https://rth.dk/resources/bsgatlas/details.php?id=BSGatlas-gene-3718","BSGatlas-gene-3718")</f>
        <v>BSGatlas-gene-3718</v>
      </c>
      <c r="C3408" s="1" t="s">
        <v>3373</v>
      </c>
      <c r="D3408" s="1" t="s">
        <v>8</v>
      </c>
      <c r="E3408" s="3">
        <v>3251992</v>
      </c>
      <c r="F3408" s="3">
        <v>3252366</v>
      </c>
      <c r="G3408" s="1" t="s">
        <v>9</v>
      </c>
      <c r="H3408" s="1" t="b">
        <f t="shared" si="129"/>
        <v>1</v>
      </c>
    </row>
    <row r="3409" spans="1:8" ht="21" x14ac:dyDescent="0.25">
      <c r="A3409" s="2" t="str">
        <f>HYPERLINK("https://rth.dk/resources/bsgatlas/details.php?id=BSGatlas-operon-1790","BSGatlas-operon-1790")</f>
        <v>BSGatlas-operon-1790</v>
      </c>
      <c r="B3409" s="2" t="str">
        <f>HYPERLINK("https://rth.dk/resources/bsgatlas/details.php?id=BSGatlas-gene-3719","BSGatlas-gene-3719")</f>
        <v>BSGatlas-gene-3719</v>
      </c>
      <c r="C3409" s="1" t="s">
        <v>3374</v>
      </c>
      <c r="D3409" s="1" t="s">
        <v>8</v>
      </c>
      <c r="E3409" s="3">
        <v>3252405</v>
      </c>
      <c r="F3409" s="3">
        <v>3252785</v>
      </c>
      <c r="G3409" s="1" t="s">
        <v>13</v>
      </c>
      <c r="H3409" s="1" t="b">
        <f t="shared" si="129"/>
        <v>0</v>
      </c>
    </row>
    <row r="3410" spans="1:8" ht="21" x14ac:dyDescent="0.25">
      <c r="A3410" s="2" t="str">
        <f>HYPERLINK("https://rth.dk/resources/bsgatlas/details.php?id=BSGatlas-operon-1790","BSGatlas-operon-1790")</f>
        <v>BSGatlas-operon-1790</v>
      </c>
      <c r="B3410" s="2" t="str">
        <f>HYPERLINK("https://rth.dk/resources/bsgatlas/details.php?id=BSGatlas-gene-3720","BSGatlas-gene-3720")</f>
        <v>BSGatlas-gene-3720</v>
      </c>
      <c r="C3410" s="1" t="s">
        <v>3375</v>
      </c>
      <c r="D3410" s="1" t="s">
        <v>8</v>
      </c>
      <c r="E3410" s="3">
        <v>3252804</v>
      </c>
      <c r="F3410" s="3">
        <v>3253448</v>
      </c>
      <c r="G3410" s="1" t="s">
        <v>13</v>
      </c>
      <c r="H3410" s="1" t="b">
        <f t="shared" si="129"/>
        <v>0</v>
      </c>
    </row>
    <row r="3411" spans="1:8" ht="21" x14ac:dyDescent="0.25">
      <c r="A3411" s="2" t="str">
        <f>HYPERLINK("https://rth.dk/resources/bsgatlas/details.php?id=BSGatlas-operon-1790","BSGatlas-operon-1790")</f>
        <v>BSGatlas-operon-1790</v>
      </c>
      <c r="B3411" s="2" t="str">
        <f>HYPERLINK("https://rth.dk/resources/bsgatlas/details.php?id=BSGatlas-gene-3721","BSGatlas-gene-3721")</f>
        <v>BSGatlas-gene-3721</v>
      </c>
      <c r="C3411" s="1" t="s">
        <v>3376</v>
      </c>
      <c r="D3411" s="1" t="s">
        <v>8</v>
      </c>
      <c r="E3411" s="3">
        <v>3253529</v>
      </c>
      <c r="F3411" s="3">
        <v>3255838</v>
      </c>
      <c r="G3411" s="1" t="s">
        <v>13</v>
      </c>
      <c r="H3411" s="1" t="b">
        <f t="shared" si="129"/>
        <v>0</v>
      </c>
    </row>
    <row r="3412" spans="1:8" ht="21" x14ac:dyDescent="0.25">
      <c r="A3412" s="2" t="str">
        <f>HYPERLINK("https://rth.dk/resources/bsgatlas/details.php?id=BSGatlas-operon-1790","BSGatlas-operon-1790")</f>
        <v>BSGatlas-operon-1790</v>
      </c>
      <c r="B3412" s="2" t="str">
        <f>HYPERLINK("https://rth.dk/resources/bsgatlas/details.php?id=BSGatlas-gene-3723","BSGatlas-gene-3723")</f>
        <v>BSGatlas-gene-3723</v>
      </c>
      <c r="C3412" s="1" t="s">
        <v>3377</v>
      </c>
      <c r="D3412" s="1" t="s">
        <v>8</v>
      </c>
      <c r="E3412" s="3">
        <v>3255853</v>
      </c>
      <c r="F3412" s="3">
        <v>3256020</v>
      </c>
      <c r="G3412" s="1" t="s">
        <v>13</v>
      </c>
      <c r="H3412" s="1" t="b">
        <f t="shared" si="129"/>
        <v>0</v>
      </c>
    </row>
    <row r="3413" spans="1:8" ht="21" x14ac:dyDescent="0.25">
      <c r="A3413" s="2" t="str">
        <f>HYPERLINK("https://rth.dk/resources/bsgatlas/details.php?id=BSGatlas-operon-1790","BSGatlas-operon-1790")</f>
        <v>BSGatlas-operon-1790</v>
      </c>
      <c r="B3413" s="2" t="str">
        <f>HYPERLINK("https://rth.dk/resources/bsgatlas/details.php?id=BSGatlas-gene-3724","BSGatlas-gene-3724")</f>
        <v>BSGatlas-gene-3724</v>
      </c>
      <c r="C3413" s="1" t="s">
        <v>3378</v>
      </c>
      <c r="D3413" s="1" t="s">
        <v>8</v>
      </c>
      <c r="E3413" s="3">
        <v>3256008</v>
      </c>
      <c r="F3413" s="3">
        <v>3256907</v>
      </c>
      <c r="G3413" s="1" t="s">
        <v>13</v>
      </c>
      <c r="H3413" s="1" t="b">
        <f t="shared" si="129"/>
        <v>0</v>
      </c>
    </row>
    <row r="3414" spans="1:8" ht="21" x14ac:dyDescent="0.25">
      <c r="A3414" s="2" t="str">
        <f>HYPERLINK("https://rth.dk/resources/bsgatlas/details.php?id=BSGatlas-operon-1791","BSGatlas-operon-1791")</f>
        <v>BSGatlas-operon-1791</v>
      </c>
      <c r="B3414" s="2" t="str">
        <f>HYPERLINK("https://rth.dk/resources/bsgatlas/details.php?id=BSGatlas-gene-3722","BSGatlas-gene-3722")</f>
        <v>BSGatlas-gene-3722</v>
      </c>
      <c r="C3414" s="1" t="s">
        <v>3379</v>
      </c>
      <c r="D3414" s="1" t="s">
        <v>12</v>
      </c>
      <c r="E3414" s="3">
        <v>3255432</v>
      </c>
      <c r="F3414" s="3">
        <v>3256404</v>
      </c>
      <c r="G3414" s="1" t="s">
        <v>9</v>
      </c>
      <c r="H3414" s="1" t="b">
        <f t="shared" si="129"/>
        <v>1</v>
      </c>
    </row>
    <row r="3415" spans="1:8" ht="21" x14ac:dyDescent="0.25">
      <c r="A3415" s="2" t="str">
        <f>HYPERLINK("https://rth.dk/resources/bsgatlas/details.php?id=BSGatlas-operon-1792","BSGatlas-operon-1792")</f>
        <v>BSGatlas-operon-1792</v>
      </c>
      <c r="B3415" s="2" t="str">
        <f>HYPERLINK("https://rth.dk/resources/bsgatlas/details.php?id=BSGatlas-gene-3725","BSGatlas-gene-3725")</f>
        <v>BSGatlas-gene-3725</v>
      </c>
      <c r="C3415" s="1" t="s">
        <v>3380</v>
      </c>
      <c r="D3415" s="1" t="s">
        <v>8</v>
      </c>
      <c r="E3415" s="3">
        <v>3257092</v>
      </c>
      <c r="F3415" s="3">
        <v>3257232</v>
      </c>
      <c r="G3415" s="1" t="s">
        <v>13</v>
      </c>
      <c r="H3415" s="1" t="b">
        <f t="shared" si="129"/>
        <v>0</v>
      </c>
    </row>
    <row r="3416" spans="1:8" ht="21" x14ac:dyDescent="0.25">
      <c r="A3416" s="2" t="str">
        <f>HYPERLINK("https://rth.dk/resources/bsgatlas/details.php?id=BSGatlas-operon-1793","BSGatlas-operon-1793")</f>
        <v>BSGatlas-operon-1793</v>
      </c>
      <c r="B3416" s="2" t="str">
        <f>HYPERLINK("https://rth.dk/resources/bsgatlas/details.php?id=BSGatlas-gene-3728","BSGatlas-gene-3728")</f>
        <v>BSGatlas-gene-3728</v>
      </c>
      <c r="C3416" s="1" t="s">
        <v>3381</v>
      </c>
      <c r="D3416" s="1" t="s">
        <v>8</v>
      </c>
      <c r="E3416" s="3">
        <v>3258037</v>
      </c>
      <c r="F3416" s="3">
        <v>3259266</v>
      </c>
      <c r="G3416" s="1" t="s">
        <v>13</v>
      </c>
      <c r="H3416" s="1" t="b">
        <f t="shared" si="129"/>
        <v>1</v>
      </c>
    </row>
    <row r="3417" spans="1:8" ht="21" x14ac:dyDescent="0.25">
      <c r="A3417" s="2" t="str">
        <f>HYPERLINK("https://rth.dk/resources/bsgatlas/details.php?id=BSGatlas-operon-1794","BSGatlas-operon-1794")</f>
        <v>BSGatlas-operon-1794</v>
      </c>
      <c r="B3417" s="2" t="str">
        <f>HYPERLINK("https://rth.dk/resources/bsgatlas/details.php?id=BSGatlas-gene-3727","BSGatlas-gene-3727")</f>
        <v>BSGatlas-gene-3727</v>
      </c>
      <c r="C3417" s="1" t="s">
        <v>3382</v>
      </c>
      <c r="D3417" s="1" t="s">
        <v>8</v>
      </c>
      <c r="E3417" s="3">
        <v>3257693</v>
      </c>
      <c r="F3417" s="3">
        <v>3258061</v>
      </c>
      <c r="G3417" s="1" t="s">
        <v>9</v>
      </c>
      <c r="H3417" s="1" t="b">
        <f t="shared" si="129"/>
        <v>0</v>
      </c>
    </row>
    <row r="3418" spans="1:8" ht="21" x14ac:dyDescent="0.25">
      <c r="A3418" s="2" t="str">
        <f>HYPERLINK("https://rth.dk/resources/bsgatlas/details.php?id=BSGatlas-operon-1795","BSGatlas-operon-1795")</f>
        <v>BSGatlas-operon-1795</v>
      </c>
      <c r="B3418" s="2" t="str">
        <f>HYPERLINK("https://rth.dk/resources/bsgatlas/details.php?id=BSGatlas-gene-3729","BSGatlas-gene-3729")</f>
        <v>BSGatlas-gene-3729</v>
      </c>
      <c r="C3418" s="1" t="s">
        <v>3383</v>
      </c>
      <c r="D3418" s="1" t="s">
        <v>8</v>
      </c>
      <c r="E3418" s="3">
        <v>3259403</v>
      </c>
      <c r="F3418" s="3">
        <v>3260875</v>
      </c>
      <c r="G3418" s="1" t="s">
        <v>13</v>
      </c>
      <c r="H3418" s="1" t="b">
        <f t="shared" si="129"/>
        <v>1</v>
      </c>
    </row>
    <row r="3419" spans="1:8" ht="21" x14ac:dyDescent="0.25">
      <c r="A3419" s="2" t="str">
        <f>HYPERLINK("https://rth.dk/resources/bsgatlas/details.php?id=BSGatlas-operon-1795","BSGatlas-operon-1795")</f>
        <v>BSGatlas-operon-1795</v>
      </c>
      <c r="B3419" s="2" t="str">
        <f>HYPERLINK("https://rth.dk/resources/bsgatlas/details.php?id=BSGatlas-gene-3730","BSGatlas-gene-3730")</f>
        <v>BSGatlas-gene-3730</v>
      </c>
      <c r="C3419" s="1" t="s">
        <v>3384</v>
      </c>
      <c r="D3419" s="1" t="s">
        <v>8</v>
      </c>
      <c r="E3419" s="3">
        <v>3260891</v>
      </c>
      <c r="F3419" s="3">
        <v>3261442</v>
      </c>
      <c r="G3419" s="1" t="s">
        <v>13</v>
      </c>
      <c r="H3419" s="1" t="b">
        <f t="shared" si="129"/>
        <v>1</v>
      </c>
    </row>
    <row r="3420" spans="1:8" ht="21" x14ac:dyDescent="0.25">
      <c r="A3420" s="2" t="str">
        <f>HYPERLINK("https://rth.dk/resources/bsgatlas/details.php?id=BSGatlas-operon-1795","BSGatlas-operon-1795")</f>
        <v>BSGatlas-operon-1795</v>
      </c>
      <c r="B3420" s="2" t="str">
        <f>HYPERLINK("https://rth.dk/resources/bsgatlas/details.php?id=BSGatlas-gene-3731","BSGatlas-gene-3731")</f>
        <v>BSGatlas-gene-3731</v>
      </c>
      <c r="C3420" s="1" t="s">
        <v>3385</v>
      </c>
      <c r="D3420" s="1" t="s">
        <v>8</v>
      </c>
      <c r="E3420" s="3">
        <v>3261539</v>
      </c>
      <c r="F3420" s="3">
        <v>3261937</v>
      </c>
      <c r="G3420" s="1" t="s">
        <v>13</v>
      </c>
      <c r="H3420" s="1" t="b">
        <f t="shared" si="129"/>
        <v>1</v>
      </c>
    </row>
    <row r="3421" spans="1:8" ht="21" x14ac:dyDescent="0.25">
      <c r="A3421" s="2" t="str">
        <f>HYPERLINK("https://rth.dk/resources/bsgatlas/details.php?id=BSGatlas-operon-1795","BSGatlas-operon-1795")</f>
        <v>BSGatlas-operon-1795</v>
      </c>
      <c r="B3421" s="2" t="str">
        <f>HYPERLINK("https://rth.dk/resources/bsgatlas/details.php?id=BSGatlas-gene-3732","BSGatlas-gene-3732")</f>
        <v>BSGatlas-gene-3732</v>
      </c>
      <c r="C3421" s="1" t="s">
        <v>3386</v>
      </c>
      <c r="D3421" s="1" t="s">
        <v>8</v>
      </c>
      <c r="E3421" s="3">
        <v>3262009</v>
      </c>
      <c r="F3421" s="3">
        <v>3262257</v>
      </c>
      <c r="G3421" s="1" t="s">
        <v>13</v>
      </c>
      <c r="H3421" s="1" t="b">
        <f t="shared" si="129"/>
        <v>1</v>
      </c>
    </row>
    <row r="3422" spans="1:8" ht="21" x14ac:dyDescent="0.25">
      <c r="A3422" s="2" t="str">
        <f>HYPERLINK("https://rth.dk/resources/bsgatlas/details.php?id=BSGatlas-operon-1796","BSGatlas-operon-1796")</f>
        <v>BSGatlas-operon-1796</v>
      </c>
      <c r="B3422" s="2" t="str">
        <f>HYPERLINK("https://rth.dk/resources/bsgatlas/details.php?id=BSGatlas-gene-3733","BSGatlas-gene-3733")</f>
        <v>BSGatlas-gene-3733</v>
      </c>
      <c r="C3422" s="1" t="s">
        <v>3387</v>
      </c>
      <c r="D3422" s="1" t="s">
        <v>8</v>
      </c>
      <c r="E3422" s="3">
        <v>3262330</v>
      </c>
      <c r="F3422" s="3">
        <v>3262551</v>
      </c>
      <c r="G3422" s="1" t="s">
        <v>13</v>
      </c>
      <c r="H3422" s="1" t="b">
        <f t="shared" si="129"/>
        <v>0</v>
      </c>
    </row>
    <row r="3423" spans="1:8" ht="21" x14ac:dyDescent="0.25">
      <c r="A3423" s="2" t="str">
        <f>HYPERLINK("https://rth.dk/resources/bsgatlas/details.php?id=BSGatlas-operon-1797","BSGatlas-operon-1797")</f>
        <v>BSGatlas-operon-1797</v>
      </c>
      <c r="B3423" s="2" t="str">
        <f>HYPERLINK("https://rth.dk/resources/bsgatlas/details.php?id=BSGatlas-gene-3734","BSGatlas-gene-3734")</f>
        <v>BSGatlas-gene-3734</v>
      </c>
      <c r="C3423" s="1" t="s">
        <v>3388</v>
      </c>
      <c r="D3423" s="1" t="s">
        <v>8</v>
      </c>
      <c r="E3423" s="3">
        <v>3262611</v>
      </c>
      <c r="F3423" s="3">
        <v>3263720</v>
      </c>
      <c r="G3423" s="1" t="s">
        <v>13</v>
      </c>
      <c r="H3423" s="1" t="b">
        <f t="shared" si="129"/>
        <v>1</v>
      </c>
    </row>
    <row r="3424" spans="1:8" ht="21" x14ac:dyDescent="0.25">
      <c r="A3424" s="2" t="str">
        <f>HYPERLINK("https://rth.dk/resources/bsgatlas/details.php?id=BSGatlas-operon-1798","BSGatlas-operon-1798")</f>
        <v>BSGatlas-operon-1798</v>
      </c>
      <c r="B3424" s="2" t="str">
        <f>HYPERLINK("https://rth.dk/resources/bsgatlas/details.php?id=BSGatlas-gene-3735","BSGatlas-gene-3735")</f>
        <v>BSGatlas-gene-3735</v>
      </c>
      <c r="C3424" s="1" t="s">
        <v>3389</v>
      </c>
      <c r="D3424" s="1" t="s">
        <v>8</v>
      </c>
      <c r="E3424" s="3">
        <v>3263835</v>
      </c>
      <c r="F3424" s="3">
        <v>3264224</v>
      </c>
      <c r="G3424" s="1" t="s">
        <v>9</v>
      </c>
      <c r="H3424" s="1" t="b">
        <f t="shared" si="129"/>
        <v>0</v>
      </c>
    </row>
    <row r="3425" spans="1:8" ht="21" x14ac:dyDescent="0.25">
      <c r="A3425" s="2" t="str">
        <f>HYPERLINK("https://rth.dk/resources/bsgatlas/details.php?id=BSGatlas-operon-1799","BSGatlas-operon-1799")</f>
        <v>BSGatlas-operon-1799</v>
      </c>
      <c r="B3425" s="2" t="str">
        <f>HYPERLINK("https://rth.dk/resources/bsgatlas/details.php?id=BSGatlas-gene-3736","BSGatlas-gene-3736")</f>
        <v>BSGatlas-gene-3736</v>
      </c>
      <c r="C3425" s="1" t="s">
        <v>3390</v>
      </c>
      <c r="D3425" s="1" t="s">
        <v>8</v>
      </c>
      <c r="E3425" s="3">
        <v>3264265</v>
      </c>
      <c r="F3425" s="3">
        <v>3264501</v>
      </c>
      <c r="G3425" s="1" t="s">
        <v>13</v>
      </c>
      <c r="H3425" s="1" t="b">
        <f t="shared" si="129"/>
        <v>1</v>
      </c>
    </row>
    <row r="3426" spans="1:8" ht="21" x14ac:dyDescent="0.25">
      <c r="A3426" s="2" t="str">
        <f>HYPERLINK("https://rth.dk/resources/bsgatlas/details.php?id=BSGatlas-operon-1800","BSGatlas-operon-1800")</f>
        <v>BSGatlas-operon-1800</v>
      </c>
      <c r="B3426" s="2" t="str">
        <f>HYPERLINK("https://rth.dk/resources/bsgatlas/details.php?id=BSGatlas-gene-3737","BSGatlas-gene-3737")</f>
        <v>BSGatlas-gene-3737</v>
      </c>
      <c r="C3426" s="1" t="s">
        <v>3391</v>
      </c>
      <c r="D3426" s="1" t="s">
        <v>8</v>
      </c>
      <c r="E3426" s="3">
        <v>3264678</v>
      </c>
      <c r="F3426" s="3">
        <v>3265208</v>
      </c>
      <c r="G3426" s="1" t="s">
        <v>13</v>
      </c>
      <c r="H3426" s="1" t="b">
        <f t="shared" si="129"/>
        <v>0</v>
      </c>
    </row>
    <row r="3427" spans="1:8" ht="21" x14ac:dyDescent="0.25">
      <c r="A3427" s="2" t="str">
        <f t="shared" ref="A3427:A3433" si="131">HYPERLINK("https://rth.dk/resources/bsgatlas/details.php?id=BSGatlas-operon-1801","BSGatlas-operon-1801")</f>
        <v>BSGatlas-operon-1801</v>
      </c>
      <c r="B3427" s="2" t="str">
        <f>HYPERLINK("https://rth.dk/resources/bsgatlas/details.php?id=BSGatlas-gene-3738","BSGatlas-gene-3738")</f>
        <v>BSGatlas-gene-3738</v>
      </c>
      <c r="C3427" s="1" t="s">
        <v>3392</v>
      </c>
      <c r="D3427" s="1" t="s">
        <v>8</v>
      </c>
      <c r="E3427" s="3">
        <v>3265406</v>
      </c>
      <c r="F3427" s="3">
        <v>3266137</v>
      </c>
      <c r="G3427" s="1" t="s">
        <v>13</v>
      </c>
      <c r="H3427" s="1" t="b">
        <f t="shared" si="129"/>
        <v>1</v>
      </c>
    </row>
    <row r="3428" spans="1:8" ht="21" x14ac:dyDescent="0.25">
      <c r="A3428" s="2" t="str">
        <f t="shared" si="131"/>
        <v>BSGatlas-operon-1801</v>
      </c>
      <c r="B3428" s="2" t="str">
        <f>HYPERLINK("https://rth.dk/resources/bsgatlas/details.php?id=BSGatlas-gene-3739","BSGatlas-gene-3739")</f>
        <v>BSGatlas-gene-3739</v>
      </c>
      <c r="C3428" s="1" t="s">
        <v>3393</v>
      </c>
      <c r="D3428" s="1" t="s">
        <v>8</v>
      </c>
      <c r="E3428" s="3">
        <v>3266200</v>
      </c>
      <c r="F3428" s="3">
        <v>3266655</v>
      </c>
      <c r="G3428" s="1" t="s">
        <v>13</v>
      </c>
      <c r="H3428" s="1" t="b">
        <f t="shared" si="129"/>
        <v>1</v>
      </c>
    </row>
    <row r="3429" spans="1:8" ht="21" x14ac:dyDescent="0.25">
      <c r="A3429" s="2" t="str">
        <f t="shared" si="131"/>
        <v>BSGatlas-operon-1801</v>
      </c>
      <c r="B3429" s="2" t="str">
        <f>HYPERLINK("https://rth.dk/resources/bsgatlas/details.php?id=BSGatlas-gene-3741","BSGatlas-gene-3741")</f>
        <v>BSGatlas-gene-3741</v>
      </c>
      <c r="C3429" s="1" t="s">
        <v>3394</v>
      </c>
      <c r="D3429" s="1" t="s">
        <v>8</v>
      </c>
      <c r="E3429" s="3">
        <v>3266687</v>
      </c>
      <c r="F3429" s="3">
        <v>3269917</v>
      </c>
      <c r="G3429" s="1" t="s">
        <v>13</v>
      </c>
      <c r="H3429" s="1" t="b">
        <f t="shared" si="129"/>
        <v>1</v>
      </c>
    </row>
    <row r="3430" spans="1:8" ht="21" x14ac:dyDescent="0.25">
      <c r="A3430" s="2" t="str">
        <f t="shared" si="131"/>
        <v>BSGatlas-operon-1801</v>
      </c>
      <c r="B3430" s="2" t="str">
        <f>HYPERLINK("https://rth.dk/resources/bsgatlas/details.php?id=BSGatlas-gene-3742","BSGatlas-gene-3742")</f>
        <v>BSGatlas-gene-3742</v>
      </c>
      <c r="C3430" s="1" t="s">
        <v>3395</v>
      </c>
      <c r="D3430" s="1" t="s">
        <v>8</v>
      </c>
      <c r="E3430" s="3">
        <v>3269914</v>
      </c>
      <c r="F3430" s="3">
        <v>3274401</v>
      </c>
      <c r="G3430" s="1" t="s">
        <v>13</v>
      </c>
      <c r="H3430" s="1" t="b">
        <f t="shared" si="129"/>
        <v>1</v>
      </c>
    </row>
    <row r="3431" spans="1:8" ht="21" x14ac:dyDescent="0.25">
      <c r="A3431" s="2" t="str">
        <f t="shared" si="131"/>
        <v>BSGatlas-operon-1801</v>
      </c>
      <c r="B3431" s="2" t="str">
        <f>HYPERLINK("https://rth.dk/resources/bsgatlas/details.php?id=BSGatlas-gene-3744","BSGatlas-gene-3744")</f>
        <v>BSGatlas-gene-3744</v>
      </c>
      <c r="C3431" s="1" t="s">
        <v>3396</v>
      </c>
      <c r="D3431" s="1" t="s">
        <v>8</v>
      </c>
      <c r="E3431" s="3">
        <v>3274462</v>
      </c>
      <c r="F3431" s="3">
        <v>3275817</v>
      </c>
      <c r="G3431" s="1" t="s">
        <v>13</v>
      </c>
      <c r="H3431" s="1" t="b">
        <f t="shared" si="129"/>
        <v>1</v>
      </c>
    </row>
    <row r="3432" spans="1:8" ht="21" x14ac:dyDescent="0.25">
      <c r="A3432" s="2" t="str">
        <f t="shared" si="131"/>
        <v>BSGatlas-operon-1801</v>
      </c>
      <c r="B3432" s="2" t="str">
        <f>HYPERLINK("https://rth.dk/resources/bsgatlas/details.php?id=BSGatlas-gene-3745","BSGatlas-gene-3745")</f>
        <v>BSGatlas-gene-3745</v>
      </c>
      <c r="C3432" s="1" t="s">
        <v>3397</v>
      </c>
      <c r="D3432" s="1" t="s">
        <v>8</v>
      </c>
      <c r="E3432" s="3">
        <v>3275832</v>
      </c>
      <c r="F3432" s="3">
        <v>3276071</v>
      </c>
      <c r="G3432" s="1" t="s">
        <v>13</v>
      </c>
      <c r="H3432" s="1" t="b">
        <f t="shared" si="129"/>
        <v>1</v>
      </c>
    </row>
    <row r="3433" spans="1:8" ht="21" x14ac:dyDescent="0.25">
      <c r="A3433" s="2" t="str">
        <f t="shared" si="131"/>
        <v>BSGatlas-operon-1801</v>
      </c>
      <c r="B3433" s="2" t="str">
        <f>HYPERLINK("https://rth.dk/resources/bsgatlas/details.php?id=BSGatlas-gene-3746","BSGatlas-gene-3746")</f>
        <v>BSGatlas-gene-3746</v>
      </c>
      <c r="C3433" s="1" t="s">
        <v>3398</v>
      </c>
      <c r="D3433" s="1" t="s">
        <v>8</v>
      </c>
      <c r="E3433" s="3">
        <v>3276141</v>
      </c>
      <c r="F3433" s="3">
        <v>3276434</v>
      </c>
      <c r="G3433" s="1" t="s">
        <v>13</v>
      </c>
      <c r="H3433" s="1" t="b">
        <f t="shared" si="129"/>
        <v>1</v>
      </c>
    </row>
    <row r="3434" spans="1:8" ht="21" x14ac:dyDescent="0.25">
      <c r="A3434" s="2" t="str">
        <f>HYPERLINK("https://rth.dk/resources/bsgatlas/details.php?id=BSGatlas-operon-1802","BSGatlas-operon-1802")</f>
        <v>BSGatlas-operon-1802</v>
      </c>
      <c r="B3434" s="2" t="str">
        <f>HYPERLINK("https://rth.dk/resources/bsgatlas/details.php?id=BSGatlas-gene-3740","BSGatlas-gene-3740")</f>
        <v>BSGatlas-gene-3740</v>
      </c>
      <c r="C3434" s="1" t="s">
        <v>3399</v>
      </c>
      <c r="D3434" s="1" t="s">
        <v>12</v>
      </c>
      <c r="E3434" s="3">
        <v>3266637</v>
      </c>
      <c r="F3434" s="3">
        <v>3269004</v>
      </c>
      <c r="G3434" s="1" t="s">
        <v>9</v>
      </c>
      <c r="H3434" s="1" t="b">
        <f t="shared" si="129"/>
        <v>0</v>
      </c>
    </row>
    <row r="3435" spans="1:8" ht="21" x14ac:dyDescent="0.25">
      <c r="A3435" s="2" t="str">
        <f>HYPERLINK("https://rth.dk/resources/bsgatlas/details.php?id=BSGatlas-operon-1803","BSGatlas-operon-1803")</f>
        <v>BSGatlas-operon-1803</v>
      </c>
      <c r="B3435" s="2" t="str">
        <f>HYPERLINK("https://rth.dk/resources/bsgatlas/details.php?id=BSGatlas-gene-3743","BSGatlas-gene-3743")</f>
        <v>BSGatlas-gene-3743</v>
      </c>
      <c r="C3435" s="1" t="s">
        <v>3400</v>
      </c>
      <c r="D3435" s="1" t="s">
        <v>12</v>
      </c>
      <c r="E3435" s="3">
        <v>3273703</v>
      </c>
      <c r="F3435" s="3">
        <v>3274665</v>
      </c>
      <c r="G3435" s="1" t="s">
        <v>9</v>
      </c>
      <c r="H3435" s="1" t="b">
        <f t="shared" si="129"/>
        <v>1</v>
      </c>
    </row>
    <row r="3436" spans="1:8" ht="21" x14ac:dyDescent="0.25">
      <c r="A3436" s="2" t="str">
        <f>HYPERLINK("https://rth.dk/resources/bsgatlas/details.php?id=BSGatlas-operon-1804","BSGatlas-operon-1804")</f>
        <v>BSGatlas-operon-1804</v>
      </c>
      <c r="B3436" s="2" t="str">
        <f>HYPERLINK("https://rth.dk/resources/bsgatlas/details.php?id=BSGatlas-gene-3747","BSGatlas-gene-3747")</f>
        <v>BSGatlas-gene-3747</v>
      </c>
      <c r="C3436" s="1" t="s">
        <v>3401</v>
      </c>
      <c r="D3436" s="1" t="s">
        <v>12</v>
      </c>
      <c r="E3436" s="3">
        <v>3276604</v>
      </c>
      <c r="F3436" s="3">
        <v>3276710</v>
      </c>
      <c r="G3436" s="1" t="s">
        <v>9</v>
      </c>
      <c r="H3436" s="1" t="b">
        <f t="shared" si="129"/>
        <v>0</v>
      </c>
    </row>
    <row r="3437" spans="1:8" ht="21" x14ac:dyDescent="0.25">
      <c r="A3437" s="2" t="str">
        <f>HYPERLINK("https://rth.dk/resources/bsgatlas/details.php?id=BSGatlas-operon-1805","BSGatlas-operon-1805")</f>
        <v>BSGatlas-operon-1805</v>
      </c>
      <c r="B3437" s="2" t="str">
        <f>HYPERLINK("https://rth.dk/resources/bsgatlas/details.php?id=BSGatlas-gene-3748","BSGatlas-gene-3748")</f>
        <v>BSGatlas-gene-3748</v>
      </c>
      <c r="C3437" s="1" t="s">
        <v>3402</v>
      </c>
      <c r="D3437" s="1" t="s">
        <v>8</v>
      </c>
      <c r="E3437" s="3">
        <v>3276955</v>
      </c>
      <c r="F3437" s="3">
        <v>3278223</v>
      </c>
      <c r="G3437" s="1" t="s">
        <v>9</v>
      </c>
      <c r="H3437" s="1" t="b">
        <f t="shared" si="129"/>
        <v>1</v>
      </c>
    </row>
    <row r="3438" spans="1:8" ht="21" x14ac:dyDescent="0.25">
      <c r="A3438" s="2" t="str">
        <f>HYPERLINK("https://rth.dk/resources/bsgatlas/details.php?id=BSGatlas-operon-1806","BSGatlas-operon-1806")</f>
        <v>BSGatlas-operon-1806</v>
      </c>
      <c r="B3438" s="2" t="str">
        <f>HYPERLINK("https://rth.dk/resources/bsgatlas/details.php?id=BSGatlas-gene-3749","BSGatlas-gene-3749")</f>
        <v>BSGatlas-gene-3749</v>
      </c>
      <c r="C3438" s="1" t="s">
        <v>3403</v>
      </c>
      <c r="D3438" s="1" t="s">
        <v>8</v>
      </c>
      <c r="E3438" s="3">
        <v>3278325</v>
      </c>
      <c r="F3438" s="3">
        <v>3279461</v>
      </c>
      <c r="G3438" s="1" t="s">
        <v>9</v>
      </c>
      <c r="H3438" s="1" t="b">
        <f t="shared" si="129"/>
        <v>0</v>
      </c>
    </row>
    <row r="3439" spans="1:8" ht="21" x14ac:dyDescent="0.25">
      <c r="A3439" s="2" t="str">
        <f>HYPERLINK("https://rth.dk/resources/bsgatlas/details.php?id=BSGatlas-operon-1806","BSGatlas-operon-1806")</f>
        <v>BSGatlas-operon-1806</v>
      </c>
      <c r="B3439" s="2" t="str">
        <f>HYPERLINK("https://rth.dk/resources/bsgatlas/details.php?id=BSGatlas-gene-3750","BSGatlas-gene-3750")</f>
        <v>BSGatlas-gene-3750</v>
      </c>
      <c r="C3439" s="1" t="s">
        <v>3404</v>
      </c>
      <c r="D3439" s="1" t="s">
        <v>8</v>
      </c>
      <c r="E3439" s="3">
        <v>3279573</v>
      </c>
      <c r="F3439" s="3">
        <v>3280250</v>
      </c>
      <c r="G3439" s="1" t="s">
        <v>9</v>
      </c>
      <c r="H3439" s="1" t="b">
        <f t="shared" si="129"/>
        <v>0</v>
      </c>
    </row>
    <row r="3440" spans="1:8" ht="21" x14ac:dyDescent="0.25">
      <c r="A3440" s="2" t="str">
        <f t="shared" ref="A3440:A3445" si="132">HYPERLINK("https://rth.dk/resources/bsgatlas/details.php?id=BSGatlas-operon-1807","BSGatlas-operon-1807")</f>
        <v>BSGatlas-operon-1807</v>
      </c>
      <c r="B3440" s="2" t="str">
        <f>HYPERLINK("https://rth.dk/resources/bsgatlas/details.php?id=BSGatlas-gene-3751","BSGatlas-gene-3751")</f>
        <v>BSGatlas-gene-3751</v>
      </c>
      <c r="C3440" s="1" t="s">
        <v>3405</v>
      </c>
      <c r="D3440" s="1" t="s">
        <v>8</v>
      </c>
      <c r="E3440" s="3">
        <v>3280294</v>
      </c>
      <c r="F3440" s="3">
        <v>3280503</v>
      </c>
      <c r="G3440" s="1" t="s">
        <v>13</v>
      </c>
      <c r="H3440" s="1" t="b">
        <f t="shared" si="129"/>
        <v>1</v>
      </c>
    </row>
    <row r="3441" spans="1:8" ht="21" x14ac:dyDescent="0.25">
      <c r="A3441" s="2" t="str">
        <f t="shared" si="132"/>
        <v>BSGatlas-operon-1807</v>
      </c>
      <c r="B3441" s="2" t="str">
        <f>HYPERLINK("https://rth.dk/resources/bsgatlas/details.php?id=BSGatlas-gene-3752","BSGatlas-gene-3752")</f>
        <v>BSGatlas-gene-3752</v>
      </c>
      <c r="C3441" s="1" t="s">
        <v>3406</v>
      </c>
      <c r="D3441" s="1" t="s">
        <v>8</v>
      </c>
      <c r="E3441" s="3">
        <v>3280519</v>
      </c>
      <c r="F3441" s="3">
        <v>3287655</v>
      </c>
      <c r="G3441" s="1" t="s">
        <v>13</v>
      </c>
      <c r="H3441" s="1" t="b">
        <f t="shared" si="129"/>
        <v>1</v>
      </c>
    </row>
    <row r="3442" spans="1:8" ht="21" x14ac:dyDescent="0.25">
      <c r="A3442" s="2" t="str">
        <f t="shared" si="132"/>
        <v>BSGatlas-operon-1807</v>
      </c>
      <c r="B3442" s="2" t="str">
        <f>HYPERLINK("https://rth.dk/resources/bsgatlas/details.php?id=BSGatlas-gene-3753","BSGatlas-gene-3753")</f>
        <v>BSGatlas-gene-3753</v>
      </c>
      <c r="C3442" s="1" t="s">
        <v>3407</v>
      </c>
      <c r="D3442" s="1" t="s">
        <v>8</v>
      </c>
      <c r="E3442" s="3">
        <v>3287675</v>
      </c>
      <c r="F3442" s="3">
        <v>3288613</v>
      </c>
      <c r="G3442" s="1" t="s">
        <v>13</v>
      </c>
      <c r="H3442" s="1" t="b">
        <f t="shared" si="129"/>
        <v>1</v>
      </c>
    </row>
    <row r="3443" spans="1:8" ht="21" x14ac:dyDescent="0.25">
      <c r="A3443" s="2" t="str">
        <f t="shared" si="132"/>
        <v>BSGatlas-operon-1807</v>
      </c>
      <c r="B3443" s="2" t="str">
        <f>HYPERLINK("https://rth.dk/resources/bsgatlas/details.php?id=BSGatlas-gene-3754","BSGatlas-gene-3754")</f>
        <v>BSGatlas-gene-3754</v>
      </c>
      <c r="C3443" s="1" t="s">
        <v>3408</v>
      </c>
      <c r="D3443" s="1" t="s">
        <v>8</v>
      </c>
      <c r="E3443" s="3">
        <v>3288641</v>
      </c>
      <c r="F3443" s="3">
        <v>3290260</v>
      </c>
      <c r="G3443" s="1" t="s">
        <v>13</v>
      </c>
      <c r="H3443" s="1" t="b">
        <f t="shared" si="129"/>
        <v>1</v>
      </c>
    </row>
    <row r="3444" spans="1:8" ht="21" x14ac:dyDescent="0.25">
      <c r="A3444" s="2" t="str">
        <f t="shared" si="132"/>
        <v>BSGatlas-operon-1807</v>
      </c>
      <c r="B3444" s="2" t="str">
        <f>HYPERLINK("https://rth.dk/resources/bsgatlas/details.php?id=BSGatlas-gene-3755","BSGatlas-gene-3755")</f>
        <v>BSGatlas-gene-3755</v>
      </c>
      <c r="C3444" s="1" t="s">
        <v>3409</v>
      </c>
      <c r="D3444" s="1" t="s">
        <v>8</v>
      </c>
      <c r="E3444" s="3">
        <v>3290289</v>
      </c>
      <c r="F3444" s="3">
        <v>3291485</v>
      </c>
      <c r="G3444" s="1" t="s">
        <v>13</v>
      </c>
      <c r="H3444" s="1" t="b">
        <f t="shared" si="129"/>
        <v>1</v>
      </c>
    </row>
    <row r="3445" spans="1:8" ht="21" x14ac:dyDescent="0.25">
      <c r="A3445" s="2" t="str">
        <f t="shared" si="132"/>
        <v>BSGatlas-operon-1807</v>
      </c>
      <c r="B3445" s="2" t="str">
        <f>HYPERLINK("https://rth.dk/resources/bsgatlas/details.php?id=BSGatlas-gene-3756","BSGatlas-gene-3756")</f>
        <v>BSGatlas-gene-3756</v>
      </c>
      <c r="C3445" s="1" t="s">
        <v>3410</v>
      </c>
      <c r="D3445" s="1" t="s">
        <v>8</v>
      </c>
      <c r="E3445" s="3">
        <v>3291511</v>
      </c>
      <c r="F3445" s="3">
        <v>3292296</v>
      </c>
      <c r="G3445" s="1" t="s">
        <v>13</v>
      </c>
      <c r="H3445" s="1" t="b">
        <f t="shared" si="129"/>
        <v>1</v>
      </c>
    </row>
    <row r="3446" spans="1:8" ht="21" x14ac:dyDescent="0.25">
      <c r="A3446" s="2" t="str">
        <f>HYPERLINK("https://rth.dk/resources/bsgatlas/details.php?id=BSGatlas-operon-1808","BSGatlas-operon-1808")</f>
        <v>BSGatlas-operon-1808</v>
      </c>
      <c r="B3446" s="2" t="str">
        <f>HYPERLINK("https://rth.dk/resources/bsgatlas/details.php?id=BSGatlas-gene-3757","BSGatlas-gene-3757")</f>
        <v>BSGatlas-gene-3757</v>
      </c>
      <c r="C3446" s="1" t="s">
        <v>3411</v>
      </c>
      <c r="D3446" s="1" t="s">
        <v>8</v>
      </c>
      <c r="E3446" s="3">
        <v>3292490</v>
      </c>
      <c r="F3446" s="3">
        <v>3293359</v>
      </c>
      <c r="G3446" s="1" t="s">
        <v>13</v>
      </c>
      <c r="H3446" s="1" t="b">
        <f t="shared" si="129"/>
        <v>0</v>
      </c>
    </row>
    <row r="3447" spans="1:8" ht="21" x14ac:dyDescent="0.25">
      <c r="A3447" s="2" t="str">
        <f>HYPERLINK("https://rth.dk/resources/bsgatlas/details.php?id=BSGatlas-operon-1809","BSGatlas-operon-1809")</f>
        <v>BSGatlas-operon-1809</v>
      </c>
      <c r="B3447" s="2" t="str">
        <f>HYPERLINK("https://rth.dk/resources/bsgatlas/details.php?id=BSGatlas-gene-3758","BSGatlas-gene-3758")</f>
        <v>BSGatlas-gene-3758</v>
      </c>
      <c r="C3447" s="1" t="s">
        <v>3412</v>
      </c>
      <c r="D3447" s="1" t="s">
        <v>8</v>
      </c>
      <c r="E3447" s="3">
        <v>3293573</v>
      </c>
      <c r="F3447" s="3">
        <v>3294169</v>
      </c>
      <c r="G3447" s="1" t="s">
        <v>13</v>
      </c>
      <c r="H3447" s="1" t="b">
        <f t="shared" si="129"/>
        <v>1</v>
      </c>
    </row>
    <row r="3448" spans="1:8" ht="21" x14ac:dyDescent="0.25">
      <c r="A3448" s="2" t="str">
        <f>HYPERLINK("https://rth.dk/resources/bsgatlas/details.php?id=BSGatlas-operon-1810","BSGatlas-operon-1810")</f>
        <v>BSGatlas-operon-1810</v>
      </c>
      <c r="B3448" s="2" t="str">
        <f>HYPERLINK("https://rth.dk/resources/bsgatlas/details.php?id=BSGatlas-gene-3759","BSGatlas-gene-3759")</f>
        <v>BSGatlas-gene-3759</v>
      </c>
      <c r="C3448" s="1" t="s">
        <v>3413</v>
      </c>
      <c r="D3448" s="1" t="s">
        <v>8</v>
      </c>
      <c r="E3448" s="3">
        <v>3294270</v>
      </c>
      <c r="F3448" s="3">
        <v>3294872</v>
      </c>
      <c r="G3448" s="1" t="s">
        <v>9</v>
      </c>
      <c r="H3448" s="1" t="b">
        <f t="shared" si="129"/>
        <v>0</v>
      </c>
    </row>
    <row r="3449" spans="1:8" ht="21" x14ac:dyDescent="0.25">
      <c r="A3449" s="2" t="str">
        <f>HYPERLINK("https://rth.dk/resources/bsgatlas/details.php?id=BSGatlas-operon-1811","BSGatlas-operon-1811")</f>
        <v>BSGatlas-operon-1811</v>
      </c>
      <c r="B3449" s="2" t="str">
        <f>HYPERLINK("https://rth.dk/resources/bsgatlas/details.php?id=BSGatlas-gene-3760","BSGatlas-gene-3760")</f>
        <v>BSGatlas-gene-3760</v>
      </c>
      <c r="C3449" s="1" t="s">
        <v>3414</v>
      </c>
      <c r="D3449" s="1" t="s">
        <v>8</v>
      </c>
      <c r="E3449" s="3">
        <v>3294942</v>
      </c>
      <c r="F3449" s="3">
        <v>3296270</v>
      </c>
      <c r="G3449" s="1" t="s">
        <v>13</v>
      </c>
      <c r="H3449" s="1" t="b">
        <f t="shared" si="129"/>
        <v>1</v>
      </c>
    </row>
    <row r="3450" spans="1:8" ht="21" x14ac:dyDescent="0.25">
      <c r="A3450" s="2" t="str">
        <f>HYPERLINK("https://rth.dk/resources/bsgatlas/details.php?id=BSGatlas-operon-1812","BSGatlas-operon-1812")</f>
        <v>BSGatlas-operon-1812</v>
      </c>
      <c r="B3450" s="2" t="str">
        <f>HYPERLINK("https://rth.dk/resources/bsgatlas/details.php?id=BSGatlas-gene-3761","BSGatlas-gene-3761")</f>
        <v>BSGatlas-gene-3761</v>
      </c>
      <c r="C3450" s="1" t="s">
        <v>3415</v>
      </c>
      <c r="D3450" s="1" t="s">
        <v>8</v>
      </c>
      <c r="E3450" s="3">
        <v>3296417</v>
      </c>
      <c r="F3450" s="3">
        <v>3297919</v>
      </c>
      <c r="G3450" s="1" t="s">
        <v>13</v>
      </c>
      <c r="H3450" s="1" t="b">
        <f t="shared" si="129"/>
        <v>0</v>
      </c>
    </row>
    <row r="3451" spans="1:8" ht="21" x14ac:dyDescent="0.25">
      <c r="A3451" s="2" t="str">
        <f>HYPERLINK("https://rth.dk/resources/bsgatlas/details.php?id=BSGatlas-operon-1813","BSGatlas-operon-1813")</f>
        <v>BSGatlas-operon-1813</v>
      </c>
      <c r="B3451" s="2" t="str">
        <f>HYPERLINK("https://rth.dk/resources/bsgatlas/details.php?id=BSGatlas-gene-3762","BSGatlas-gene-3762")</f>
        <v>BSGatlas-gene-3762</v>
      </c>
      <c r="C3451" s="1" t="s">
        <v>3416</v>
      </c>
      <c r="D3451" s="1" t="s">
        <v>8</v>
      </c>
      <c r="E3451" s="3">
        <v>3298077</v>
      </c>
      <c r="F3451" s="3">
        <v>3298553</v>
      </c>
      <c r="G3451" s="1" t="s">
        <v>9</v>
      </c>
      <c r="H3451" s="1" t="b">
        <f t="shared" si="129"/>
        <v>1</v>
      </c>
    </row>
    <row r="3452" spans="1:8" ht="21" x14ac:dyDescent="0.25">
      <c r="A3452" s="2" t="str">
        <f>HYPERLINK("https://rth.dk/resources/bsgatlas/details.php?id=BSGatlas-operon-1814","BSGatlas-operon-1814")</f>
        <v>BSGatlas-operon-1814</v>
      </c>
      <c r="B3452" s="2" t="str">
        <f>HYPERLINK("https://rth.dk/resources/bsgatlas/details.php?id=BSGatlas-gene-3763","BSGatlas-gene-3763")</f>
        <v>BSGatlas-gene-3763</v>
      </c>
      <c r="C3452" s="1" t="s">
        <v>3417</v>
      </c>
      <c r="D3452" s="1" t="s">
        <v>8</v>
      </c>
      <c r="E3452" s="3">
        <v>3298584</v>
      </c>
      <c r="F3452" s="3">
        <v>3299240</v>
      </c>
      <c r="G3452" s="1" t="s">
        <v>13</v>
      </c>
      <c r="H3452" s="1" t="b">
        <f t="shared" si="129"/>
        <v>0</v>
      </c>
    </row>
    <row r="3453" spans="1:8" ht="21" x14ac:dyDescent="0.25">
      <c r="A3453" s="2" t="str">
        <f>HYPERLINK("https://rth.dk/resources/bsgatlas/details.php?id=BSGatlas-operon-1815","BSGatlas-operon-1815")</f>
        <v>BSGatlas-operon-1815</v>
      </c>
      <c r="B3453" s="2" t="str">
        <f>HYPERLINK("https://rth.dk/resources/bsgatlas/details.php?id=BSGatlas-gene-3764","BSGatlas-gene-3764")</f>
        <v>BSGatlas-gene-3764</v>
      </c>
      <c r="C3453" s="1" t="s">
        <v>3418</v>
      </c>
      <c r="D3453" s="1" t="s">
        <v>12</v>
      </c>
      <c r="E3453" s="3">
        <v>3298930</v>
      </c>
      <c r="F3453" s="3">
        <v>3299376</v>
      </c>
      <c r="G3453" s="1" t="s">
        <v>9</v>
      </c>
      <c r="H3453" s="1" t="b">
        <f t="shared" si="129"/>
        <v>1</v>
      </c>
    </row>
    <row r="3454" spans="1:8" ht="21" x14ac:dyDescent="0.25">
      <c r="A3454" s="2" t="str">
        <f>HYPERLINK("https://rth.dk/resources/bsgatlas/details.php?id=BSGatlas-operon-1816","BSGatlas-operon-1816")</f>
        <v>BSGatlas-operon-1816</v>
      </c>
      <c r="B3454" s="2" t="str">
        <f>HYPERLINK("https://rth.dk/resources/bsgatlas/details.php?id=BSGatlas-gene-3765","BSGatlas-gene-3765")</f>
        <v>BSGatlas-gene-3765</v>
      </c>
      <c r="C3454" s="1" t="s">
        <v>3419</v>
      </c>
      <c r="D3454" s="1" t="s">
        <v>8</v>
      </c>
      <c r="E3454" s="3">
        <v>3299344</v>
      </c>
      <c r="F3454" s="3">
        <v>3299664</v>
      </c>
      <c r="G3454" s="1" t="s">
        <v>13</v>
      </c>
      <c r="H3454" s="1" t="b">
        <f t="shared" si="129"/>
        <v>0</v>
      </c>
    </row>
    <row r="3455" spans="1:8" ht="21" x14ac:dyDescent="0.25">
      <c r="A3455" s="2" t="str">
        <f>HYPERLINK("https://rth.dk/resources/bsgatlas/details.php?id=BSGatlas-operon-1816","BSGatlas-operon-1816")</f>
        <v>BSGatlas-operon-1816</v>
      </c>
      <c r="B3455" s="2" t="str">
        <f>HYPERLINK("https://rth.dk/resources/bsgatlas/details.php?id=BSGatlas-gene-3767","BSGatlas-gene-3767")</f>
        <v>BSGatlas-gene-3767</v>
      </c>
      <c r="C3455" s="1" t="s">
        <v>3420</v>
      </c>
      <c r="D3455" s="1" t="s">
        <v>8</v>
      </c>
      <c r="E3455" s="3">
        <v>3299718</v>
      </c>
      <c r="F3455" s="3">
        <v>3299861</v>
      </c>
      <c r="G3455" s="1" t="s">
        <v>13</v>
      </c>
      <c r="H3455" s="1" t="b">
        <f t="shared" si="129"/>
        <v>0</v>
      </c>
    </row>
    <row r="3456" spans="1:8" ht="21" x14ac:dyDescent="0.25">
      <c r="A3456" s="2" t="str">
        <f>HYPERLINK("https://rth.dk/resources/bsgatlas/details.php?id=BSGatlas-operon-1817","BSGatlas-operon-1817")</f>
        <v>BSGatlas-operon-1817</v>
      </c>
      <c r="B3456" s="2" t="str">
        <f>HYPERLINK("https://rth.dk/resources/bsgatlas/details.php?id=BSGatlas-gene-3766","BSGatlas-gene-3766")</f>
        <v>BSGatlas-gene-3766</v>
      </c>
      <c r="C3456" s="1" t="s">
        <v>3421</v>
      </c>
      <c r="D3456" s="1" t="s">
        <v>12</v>
      </c>
      <c r="E3456" s="3">
        <v>3299590</v>
      </c>
      <c r="F3456" s="3">
        <v>3299699</v>
      </c>
      <c r="G3456" s="1" t="s">
        <v>9</v>
      </c>
      <c r="H3456" s="1" t="b">
        <f t="shared" si="129"/>
        <v>1</v>
      </c>
    </row>
    <row r="3457" spans="1:8" ht="21" x14ac:dyDescent="0.25">
      <c r="A3457" s="2" t="str">
        <f>HYPERLINK("https://rth.dk/resources/bsgatlas/details.php?id=BSGatlas-operon-1818","BSGatlas-operon-1818")</f>
        <v>BSGatlas-operon-1818</v>
      </c>
      <c r="B3457" s="2" t="str">
        <f>HYPERLINK("https://rth.dk/resources/bsgatlas/details.php?id=BSGatlas-gene-3768","BSGatlas-gene-3768")</f>
        <v>BSGatlas-gene-3768</v>
      </c>
      <c r="C3457" s="1" t="s">
        <v>3422</v>
      </c>
      <c r="D3457" s="1" t="s">
        <v>8</v>
      </c>
      <c r="E3457" s="3">
        <v>3300034</v>
      </c>
      <c r="F3457" s="3">
        <v>3301254</v>
      </c>
      <c r="G3457" s="1" t="s">
        <v>13</v>
      </c>
      <c r="H3457" s="1" t="b">
        <f t="shared" si="129"/>
        <v>0</v>
      </c>
    </row>
    <row r="3458" spans="1:8" ht="21" x14ac:dyDescent="0.25">
      <c r="A3458" s="2" t="str">
        <f>HYPERLINK("https://rth.dk/resources/bsgatlas/details.php?id=BSGatlas-operon-1819","BSGatlas-operon-1819")</f>
        <v>BSGatlas-operon-1819</v>
      </c>
      <c r="B3458" s="2" t="str">
        <f>HYPERLINK("https://rth.dk/resources/bsgatlas/details.php?id=BSGatlas-gene-3769","BSGatlas-gene-3769")</f>
        <v>BSGatlas-gene-3769</v>
      </c>
      <c r="C3458" s="1" t="s">
        <v>3423</v>
      </c>
      <c r="D3458" s="1" t="s">
        <v>8</v>
      </c>
      <c r="E3458" s="3">
        <v>3301586</v>
      </c>
      <c r="F3458" s="3">
        <v>3302584</v>
      </c>
      <c r="G3458" s="1" t="s">
        <v>9</v>
      </c>
      <c r="H3458" s="1" t="b">
        <f t="shared" ref="H3458:H3521" si="133">_xlfn.XOR(A3457&lt;&gt;A3458,H3457)</f>
        <v>1</v>
      </c>
    </row>
    <row r="3459" spans="1:8" ht="21" x14ac:dyDescent="0.25">
      <c r="A3459" s="2" t="str">
        <f>HYPERLINK("https://rth.dk/resources/bsgatlas/details.php?id=BSGatlas-operon-1820","BSGatlas-operon-1820")</f>
        <v>BSGatlas-operon-1820</v>
      </c>
      <c r="B3459" s="2" t="str">
        <f>HYPERLINK("https://rth.dk/resources/bsgatlas/details.php?id=BSGatlas-gene-3770","BSGatlas-gene-3770")</f>
        <v>BSGatlas-gene-3770</v>
      </c>
      <c r="C3459" s="1" t="s">
        <v>3424</v>
      </c>
      <c r="D3459" s="1" t="s">
        <v>8</v>
      </c>
      <c r="E3459" s="3">
        <v>3302623</v>
      </c>
      <c r="F3459" s="3">
        <v>3302763</v>
      </c>
      <c r="G3459" s="1" t="s">
        <v>13</v>
      </c>
      <c r="H3459" s="1" t="b">
        <f t="shared" si="133"/>
        <v>0</v>
      </c>
    </row>
    <row r="3460" spans="1:8" ht="21" x14ac:dyDescent="0.25">
      <c r="A3460" s="2" t="str">
        <f>HYPERLINK("https://rth.dk/resources/bsgatlas/details.php?id=BSGatlas-operon-1821","BSGatlas-operon-1821")</f>
        <v>BSGatlas-operon-1821</v>
      </c>
      <c r="B3460" s="2" t="str">
        <f>HYPERLINK("https://rth.dk/resources/bsgatlas/details.php?id=BSGatlas-gene-3772","BSGatlas-gene-3772")</f>
        <v>BSGatlas-gene-3772</v>
      </c>
      <c r="C3460" s="1" t="s">
        <v>3425</v>
      </c>
      <c r="D3460" s="1" t="s">
        <v>8</v>
      </c>
      <c r="E3460" s="3">
        <v>3303042</v>
      </c>
      <c r="F3460" s="3">
        <v>3304022</v>
      </c>
      <c r="G3460" s="1" t="s">
        <v>9</v>
      </c>
      <c r="H3460" s="1" t="b">
        <f t="shared" si="133"/>
        <v>1</v>
      </c>
    </row>
    <row r="3461" spans="1:8" ht="21" x14ac:dyDescent="0.25">
      <c r="A3461" s="2" t="str">
        <f>HYPERLINK("https://rth.dk/resources/bsgatlas/details.php?id=BSGatlas-operon-1822","BSGatlas-operon-1822")</f>
        <v>BSGatlas-operon-1822</v>
      </c>
      <c r="B3461" s="2" t="str">
        <f>HYPERLINK("https://rth.dk/resources/bsgatlas/details.php?id=BSGatlas-gene-3773","BSGatlas-gene-3773")</f>
        <v>BSGatlas-gene-3773</v>
      </c>
      <c r="C3461" s="1" t="s">
        <v>3426</v>
      </c>
      <c r="D3461" s="1" t="s">
        <v>8</v>
      </c>
      <c r="E3461" s="3">
        <v>3304096</v>
      </c>
      <c r="F3461" s="3">
        <v>3304719</v>
      </c>
      <c r="G3461" s="1" t="s">
        <v>13</v>
      </c>
      <c r="H3461" s="1" t="b">
        <f t="shared" si="133"/>
        <v>0</v>
      </c>
    </row>
    <row r="3462" spans="1:8" ht="21" x14ac:dyDescent="0.25">
      <c r="A3462" s="2" t="str">
        <f>HYPERLINK("https://rth.dk/resources/bsgatlas/details.php?id=BSGatlas-operon-1822","BSGatlas-operon-1822")</f>
        <v>BSGatlas-operon-1822</v>
      </c>
      <c r="B3462" s="2" t="str">
        <f>HYPERLINK("https://rth.dk/resources/bsgatlas/details.php?id=BSGatlas-gene-3774","BSGatlas-gene-3774")</f>
        <v>BSGatlas-gene-3774</v>
      </c>
      <c r="C3462" s="1" t="s">
        <v>3427</v>
      </c>
      <c r="D3462" s="1" t="s">
        <v>8</v>
      </c>
      <c r="E3462" s="3">
        <v>3304743</v>
      </c>
      <c r="F3462" s="3">
        <v>3305261</v>
      </c>
      <c r="G3462" s="1" t="s">
        <v>13</v>
      </c>
      <c r="H3462" s="1" t="b">
        <f t="shared" si="133"/>
        <v>0</v>
      </c>
    </row>
    <row r="3463" spans="1:8" ht="21" x14ac:dyDescent="0.25">
      <c r="A3463" s="2" t="str">
        <f>HYPERLINK("https://rth.dk/resources/bsgatlas/details.php?id=BSGatlas-operon-1823","BSGatlas-operon-1823")</f>
        <v>BSGatlas-operon-1823</v>
      </c>
      <c r="B3463" s="2" t="str">
        <f>HYPERLINK("https://rth.dk/resources/bsgatlas/details.php?id=BSGatlas-gene-3775","BSGatlas-gene-3775")</f>
        <v>BSGatlas-gene-3775</v>
      </c>
      <c r="C3463" s="1" t="s">
        <v>3428</v>
      </c>
      <c r="D3463" s="1" t="s">
        <v>8</v>
      </c>
      <c r="E3463" s="3">
        <v>3305599</v>
      </c>
      <c r="F3463" s="3">
        <v>3305961</v>
      </c>
      <c r="G3463" s="1" t="s">
        <v>13</v>
      </c>
      <c r="H3463" s="1" t="b">
        <f t="shared" si="133"/>
        <v>1</v>
      </c>
    </row>
    <row r="3464" spans="1:8" ht="21" x14ac:dyDescent="0.25">
      <c r="A3464" s="2" t="str">
        <f>HYPERLINK("https://rth.dk/resources/bsgatlas/details.php?id=BSGatlas-operon-1823","BSGatlas-operon-1823")</f>
        <v>BSGatlas-operon-1823</v>
      </c>
      <c r="B3464" s="2" t="str">
        <f>HYPERLINK("https://rth.dk/resources/bsgatlas/details.php?id=BSGatlas-gene-3776","BSGatlas-gene-3776")</f>
        <v>BSGatlas-gene-3776</v>
      </c>
      <c r="C3464" s="1" t="s">
        <v>3429</v>
      </c>
      <c r="D3464" s="1" t="s">
        <v>8</v>
      </c>
      <c r="E3464" s="3">
        <v>3306040</v>
      </c>
      <c r="F3464" s="3">
        <v>3306894</v>
      </c>
      <c r="G3464" s="1" t="s">
        <v>13</v>
      </c>
      <c r="H3464" s="1" t="b">
        <f t="shared" si="133"/>
        <v>1</v>
      </c>
    </row>
    <row r="3465" spans="1:8" ht="21" x14ac:dyDescent="0.25">
      <c r="A3465" s="2" t="str">
        <f>HYPERLINK("https://rth.dk/resources/bsgatlas/details.php?id=BSGatlas-operon-1824","BSGatlas-operon-1824")</f>
        <v>BSGatlas-operon-1824</v>
      </c>
      <c r="B3465" s="2" t="str">
        <f>HYPERLINK("https://rth.dk/resources/bsgatlas/details.php?id=BSGatlas-gene-3777","BSGatlas-gene-3777")</f>
        <v>BSGatlas-gene-3777</v>
      </c>
      <c r="C3465" s="1" t="s">
        <v>3430</v>
      </c>
      <c r="D3465" s="1" t="s">
        <v>8</v>
      </c>
      <c r="E3465" s="3">
        <v>3307017</v>
      </c>
      <c r="F3465" s="3">
        <v>3308231</v>
      </c>
      <c r="G3465" s="1" t="s">
        <v>13</v>
      </c>
      <c r="H3465" s="1" t="b">
        <f t="shared" si="133"/>
        <v>0</v>
      </c>
    </row>
    <row r="3466" spans="1:8" ht="21" x14ac:dyDescent="0.25">
      <c r="A3466" s="2" t="str">
        <f>HYPERLINK("https://rth.dk/resources/bsgatlas/details.php?id=BSGatlas-operon-1825","BSGatlas-operon-1825")</f>
        <v>BSGatlas-operon-1825</v>
      </c>
      <c r="B3466" s="2" t="str">
        <f>HYPERLINK("https://rth.dk/resources/bsgatlas/details.php?id=BSGatlas-gene-3778","BSGatlas-gene-3778")</f>
        <v>BSGatlas-gene-3778</v>
      </c>
      <c r="C3466" s="1" t="s">
        <v>3431</v>
      </c>
      <c r="D3466" s="1" t="s">
        <v>12</v>
      </c>
      <c r="E3466" s="3">
        <v>3307598</v>
      </c>
      <c r="F3466" s="3">
        <v>3308367</v>
      </c>
      <c r="G3466" s="1" t="s">
        <v>9</v>
      </c>
      <c r="H3466" s="1" t="b">
        <f t="shared" si="133"/>
        <v>1</v>
      </c>
    </row>
    <row r="3467" spans="1:8" ht="21" x14ac:dyDescent="0.25">
      <c r="A3467" s="2" t="str">
        <f>HYPERLINK("https://rth.dk/resources/bsgatlas/details.php?id=BSGatlas-operon-1826","BSGatlas-operon-1826")</f>
        <v>BSGatlas-operon-1826</v>
      </c>
      <c r="B3467" s="2" t="str">
        <f>HYPERLINK("https://rth.dk/resources/bsgatlas/details.php?id=BSGatlas-gene-3779","BSGatlas-gene-3779")</f>
        <v>BSGatlas-gene-3779</v>
      </c>
      <c r="C3467" s="1" t="s">
        <v>3432</v>
      </c>
      <c r="D3467" s="1" t="s">
        <v>8</v>
      </c>
      <c r="E3467" s="3">
        <v>3308368</v>
      </c>
      <c r="F3467" s="3">
        <v>3308604</v>
      </c>
      <c r="G3467" s="1" t="s">
        <v>13</v>
      </c>
      <c r="H3467" s="1" t="b">
        <f t="shared" si="133"/>
        <v>0</v>
      </c>
    </row>
    <row r="3468" spans="1:8" ht="21" x14ac:dyDescent="0.25">
      <c r="A3468" s="2" t="str">
        <f>HYPERLINK("https://rth.dk/resources/bsgatlas/details.php?id=BSGatlas-operon-1827","BSGatlas-operon-1827")</f>
        <v>BSGatlas-operon-1827</v>
      </c>
      <c r="B3468" s="2" t="str">
        <f>HYPERLINK("https://rth.dk/resources/bsgatlas/details.php?id=BSGatlas-gene-3780","BSGatlas-gene-3780")</f>
        <v>BSGatlas-gene-3780</v>
      </c>
      <c r="C3468" s="1" t="s">
        <v>3433</v>
      </c>
      <c r="D3468" s="1" t="s">
        <v>8</v>
      </c>
      <c r="E3468" s="3">
        <v>3308867</v>
      </c>
      <c r="F3468" s="3">
        <v>3309934</v>
      </c>
      <c r="G3468" s="1" t="s">
        <v>9</v>
      </c>
      <c r="H3468" s="1" t="b">
        <f t="shared" si="133"/>
        <v>1</v>
      </c>
    </row>
    <row r="3469" spans="1:8" ht="21" x14ac:dyDescent="0.25">
      <c r="A3469" s="2" t="str">
        <f>HYPERLINK("https://rth.dk/resources/bsgatlas/details.php?id=BSGatlas-operon-1828","BSGatlas-operon-1828")</f>
        <v>BSGatlas-operon-1828</v>
      </c>
      <c r="B3469" s="2" t="str">
        <f>HYPERLINK("https://rth.dk/resources/bsgatlas/details.php?id=BSGatlas-gene-3781","BSGatlas-gene-3781")</f>
        <v>BSGatlas-gene-3781</v>
      </c>
      <c r="C3469" s="1" t="s">
        <v>3434</v>
      </c>
      <c r="D3469" s="1" t="s">
        <v>8</v>
      </c>
      <c r="E3469" s="3">
        <v>3309960</v>
      </c>
      <c r="F3469" s="3">
        <v>3310286</v>
      </c>
      <c r="G3469" s="1" t="s">
        <v>13</v>
      </c>
      <c r="H3469" s="1" t="b">
        <f t="shared" si="133"/>
        <v>0</v>
      </c>
    </row>
    <row r="3470" spans="1:8" ht="21" x14ac:dyDescent="0.25">
      <c r="A3470" s="2" t="str">
        <f>HYPERLINK("https://rth.dk/resources/bsgatlas/details.php?id=BSGatlas-operon-1829","BSGatlas-operon-1829")</f>
        <v>BSGatlas-operon-1829</v>
      </c>
      <c r="B3470" s="2" t="str">
        <f>HYPERLINK("https://rth.dk/resources/bsgatlas/details.php?id=BSGatlas-gene-3782","BSGatlas-gene-3782")</f>
        <v>BSGatlas-gene-3782</v>
      </c>
      <c r="C3470" s="1" t="s">
        <v>3435</v>
      </c>
      <c r="D3470" s="1" t="s">
        <v>8</v>
      </c>
      <c r="E3470" s="3">
        <v>3310386</v>
      </c>
      <c r="F3470" s="3">
        <v>3310721</v>
      </c>
      <c r="G3470" s="1" t="s">
        <v>9</v>
      </c>
      <c r="H3470" s="1" t="b">
        <f t="shared" si="133"/>
        <v>1</v>
      </c>
    </row>
    <row r="3471" spans="1:8" ht="21" x14ac:dyDescent="0.25">
      <c r="A3471" s="2" t="str">
        <f>HYPERLINK("https://rth.dk/resources/bsgatlas/details.php?id=BSGatlas-operon-1830","BSGatlas-operon-1830")</f>
        <v>BSGatlas-operon-1830</v>
      </c>
      <c r="B3471" s="2" t="str">
        <f>HYPERLINK("https://rth.dk/resources/bsgatlas/details.php?id=BSGatlas-gene-3783","BSGatlas-gene-3783")</f>
        <v>BSGatlas-gene-3783</v>
      </c>
      <c r="C3471" s="1" t="s">
        <v>3436</v>
      </c>
      <c r="D3471" s="1" t="s">
        <v>8</v>
      </c>
      <c r="E3471" s="3">
        <v>3310763</v>
      </c>
      <c r="F3471" s="3">
        <v>3312736</v>
      </c>
      <c r="G3471" s="1" t="s">
        <v>13</v>
      </c>
      <c r="H3471" s="1" t="b">
        <f t="shared" si="133"/>
        <v>0</v>
      </c>
    </row>
    <row r="3472" spans="1:8" ht="21" x14ac:dyDescent="0.25">
      <c r="A3472" s="2" t="str">
        <f>HYPERLINK("https://rth.dk/resources/bsgatlas/details.php?id=BSGatlas-operon-1831","BSGatlas-operon-1831")</f>
        <v>BSGatlas-operon-1831</v>
      </c>
      <c r="B3472" s="2" t="str">
        <f>HYPERLINK("https://rth.dk/resources/bsgatlas/details.php?id=BSGatlas-gene-3784","BSGatlas-gene-3784")</f>
        <v>BSGatlas-gene-3784</v>
      </c>
      <c r="C3472" s="1" t="s">
        <v>3437</v>
      </c>
      <c r="D3472" s="1" t="s">
        <v>8</v>
      </c>
      <c r="E3472" s="3">
        <v>3312844</v>
      </c>
      <c r="F3472" s="3">
        <v>3313773</v>
      </c>
      <c r="G3472" s="1" t="s">
        <v>13</v>
      </c>
      <c r="H3472" s="1" t="b">
        <f t="shared" si="133"/>
        <v>1</v>
      </c>
    </row>
    <row r="3473" spans="1:8" ht="21" x14ac:dyDescent="0.25">
      <c r="A3473" s="2" t="str">
        <f>HYPERLINK("https://rth.dk/resources/bsgatlas/details.php?id=BSGatlas-operon-1831","BSGatlas-operon-1831")</f>
        <v>BSGatlas-operon-1831</v>
      </c>
      <c r="B3473" s="2" t="str">
        <f>HYPERLINK("https://rth.dk/resources/bsgatlas/details.php?id=BSGatlas-gene-3785","BSGatlas-gene-3785")</f>
        <v>BSGatlas-gene-3785</v>
      </c>
      <c r="C3473" s="1" t="s">
        <v>3438</v>
      </c>
      <c r="D3473" s="1" t="s">
        <v>8</v>
      </c>
      <c r="E3473" s="3">
        <v>3313770</v>
      </c>
      <c r="F3473" s="3">
        <v>3314828</v>
      </c>
      <c r="G3473" s="1" t="s">
        <v>13</v>
      </c>
      <c r="H3473" s="1" t="b">
        <f t="shared" si="133"/>
        <v>1</v>
      </c>
    </row>
    <row r="3474" spans="1:8" ht="21" x14ac:dyDescent="0.25">
      <c r="A3474" s="2" t="str">
        <f>HYPERLINK("https://rth.dk/resources/bsgatlas/details.php?id=BSGatlas-operon-1831","BSGatlas-operon-1831")</f>
        <v>BSGatlas-operon-1831</v>
      </c>
      <c r="B3474" s="2" t="str">
        <f>HYPERLINK("https://rth.dk/resources/bsgatlas/details.php?id=BSGatlas-gene-3786","BSGatlas-gene-3786")</f>
        <v>BSGatlas-gene-3786</v>
      </c>
      <c r="C3474" s="1" t="s">
        <v>3439</v>
      </c>
      <c r="D3474" s="1" t="s">
        <v>8</v>
      </c>
      <c r="E3474" s="3">
        <v>3314828</v>
      </c>
      <c r="F3474" s="3">
        <v>3316129</v>
      </c>
      <c r="G3474" s="1" t="s">
        <v>13</v>
      </c>
      <c r="H3474" s="1" t="b">
        <f t="shared" si="133"/>
        <v>1</v>
      </c>
    </row>
    <row r="3475" spans="1:8" ht="21" x14ac:dyDescent="0.25">
      <c r="A3475" s="2" t="str">
        <f>HYPERLINK("https://rth.dk/resources/bsgatlas/details.php?id=BSGatlas-operon-1831","BSGatlas-operon-1831")</f>
        <v>BSGatlas-operon-1831</v>
      </c>
      <c r="B3475" s="2" t="str">
        <f>HYPERLINK("https://rth.dk/resources/bsgatlas/details.php?id=BSGatlas-gene-3787","BSGatlas-gene-3787")</f>
        <v>BSGatlas-gene-3787</v>
      </c>
      <c r="C3475" s="1" t="s">
        <v>3440</v>
      </c>
      <c r="D3475" s="1" t="s">
        <v>8</v>
      </c>
      <c r="E3475" s="3">
        <v>3316330</v>
      </c>
      <c r="F3475" s="3">
        <v>3317349</v>
      </c>
      <c r="G3475" s="1" t="s">
        <v>13</v>
      </c>
      <c r="H3475" s="1" t="b">
        <f t="shared" si="133"/>
        <v>1</v>
      </c>
    </row>
    <row r="3476" spans="1:8" ht="21" x14ac:dyDescent="0.25">
      <c r="A3476" s="2" t="str">
        <f>HYPERLINK("https://rth.dk/resources/bsgatlas/details.php?id=BSGatlas-operon-1832","BSGatlas-operon-1832")</f>
        <v>BSGatlas-operon-1832</v>
      </c>
      <c r="B3476" s="2" t="str">
        <f>HYPERLINK("https://rth.dk/resources/bsgatlas/details.php?id=BSGatlas-gene-3788","BSGatlas-gene-3788")</f>
        <v>BSGatlas-gene-3788</v>
      </c>
      <c r="C3476" s="1" t="s">
        <v>3441</v>
      </c>
      <c r="D3476" s="1" t="s">
        <v>8</v>
      </c>
      <c r="E3476" s="3">
        <v>3317502</v>
      </c>
      <c r="F3476" s="3">
        <v>3318002</v>
      </c>
      <c r="G3476" s="1" t="s">
        <v>9</v>
      </c>
      <c r="H3476" s="1" t="b">
        <f t="shared" si="133"/>
        <v>0</v>
      </c>
    </row>
    <row r="3477" spans="1:8" ht="21" x14ac:dyDescent="0.25">
      <c r="A3477" s="2" t="str">
        <f>HYPERLINK("https://rth.dk/resources/bsgatlas/details.php?id=BSGatlas-operon-1833","BSGatlas-operon-1833")</f>
        <v>BSGatlas-operon-1833</v>
      </c>
      <c r="B3477" s="2" t="str">
        <f>HYPERLINK("https://rth.dk/resources/bsgatlas/details.php?id=BSGatlas-gene-3789","BSGatlas-gene-3789")</f>
        <v>BSGatlas-gene-3789</v>
      </c>
      <c r="C3477" s="1" t="s">
        <v>3442</v>
      </c>
      <c r="D3477" s="1" t="s">
        <v>8</v>
      </c>
      <c r="E3477" s="3">
        <v>3318029</v>
      </c>
      <c r="F3477" s="3">
        <v>3318799</v>
      </c>
      <c r="G3477" s="1" t="s">
        <v>13</v>
      </c>
      <c r="H3477" s="1" t="b">
        <f t="shared" si="133"/>
        <v>1</v>
      </c>
    </row>
    <row r="3478" spans="1:8" ht="21" x14ac:dyDescent="0.25">
      <c r="A3478" s="2" t="str">
        <f>HYPERLINK("https://rth.dk/resources/bsgatlas/details.php?id=BSGatlas-operon-1833","BSGatlas-operon-1833")</f>
        <v>BSGatlas-operon-1833</v>
      </c>
      <c r="B3478" s="2" t="str">
        <f>HYPERLINK("https://rth.dk/resources/bsgatlas/details.php?id=BSGatlas-gene-3790","BSGatlas-gene-3790")</f>
        <v>BSGatlas-gene-3790</v>
      </c>
      <c r="C3478" s="1" t="s">
        <v>3443</v>
      </c>
      <c r="D3478" s="1" t="s">
        <v>8</v>
      </c>
      <c r="E3478" s="3">
        <v>3318828</v>
      </c>
      <c r="F3478" s="3">
        <v>3319262</v>
      </c>
      <c r="G3478" s="1" t="s">
        <v>13</v>
      </c>
      <c r="H3478" s="1" t="b">
        <f t="shared" si="133"/>
        <v>1</v>
      </c>
    </row>
    <row r="3479" spans="1:8" ht="21" x14ac:dyDescent="0.25">
      <c r="A3479" s="2" t="str">
        <f>HYPERLINK("https://rth.dk/resources/bsgatlas/details.php?id=BSGatlas-operon-1833","BSGatlas-operon-1833")</f>
        <v>BSGatlas-operon-1833</v>
      </c>
      <c r="B3479" s="2" t="str">
        <f>HYPERLINK("https://rth.dk/resources/bsgatlas/details.php?id=BSGatlas-gene-3791","BSGatlas-gene-3791")</f>
        <v>BSGatlas-gene-3791</v>
      </c>
      <c r="C3479" s="1" t="s">
        <v>3444</v>
      </c>
      <c r="D3479" s="1" t="s">
        <v>8</v>
      </c>
      <c r="E3479" s="3">
        <v>3319286</v>
      </c>
      <c r="F3479" s="3">
        <v>3319561</v>
      </c>
      <c r="G3479" s="1" t="s">
        <v>13</v>
      </c>
      <c r="H3479" s="1" t="b">
        <f t="shared" si="133"/>
        <v>1</v>
      </c>
    </row>
    <row r="3480" spans="1:8" ht="21" x14ac:dyDescent="0.25">
      <c r="A3480" s="2" t="str">
        <f>HYPERLINK("https://rth.dk/resources/bsgatlas/details.php?id=BSGatlas-operon-1834","BSGatlas-operon-1834")</f>
        <v>BSGatlas-operon-1834</v>
      </c>
      <c r="B3480" s="2" t="str">
        <f>HYPERLINK("https://rth.dk/resources/bsgatlas/details.php?id=BSGatlas-gene-3792","BSGatlas-gene-3792")</f>
        <v>BSGatlas-gene-3792</v>
      </c>
      <c r="C3480" s="1" t="s">
        <v>3445</v>
      </c>
      <c r="D3480" s="1" t="s">
        <v>8</v>
      </c>
      <c r="E3480" s="3">
        <v>3319676</v>
      </c>
      <c r="F3480" s="3">
        <v>3320308</v>
      </c>
      <c r="G3480" s="1" t="s">
        <v>9</v>
      </c>
      <c r="H3480" s="1" t="b">
        <f t="shared" si="133"/>
        <v>0</v>
      </c>
    </row>
    <row r="3481" spans="1:8" ht="21" x14ac:dyDescent="0.25">
      <c r="A3481" s="2" t="str">
        <f>HYPERLINK("https://rth.dk/resources/bsgatlas/details.php?id=BSGatlas-operon-1835","BSGatlas-operon-1835")</f>
        <v>BSGatlas-operon-1835</v>
      </c>
      <c r="B3481" s="2" t="str">
        <f>HYPERLINK("https://rth.dk/resources/bsgatlas/details.php?id=BSGatlas-gene-3793","BSGatlas-gene-3793")</f>
        <v>BSGatlas-gene-3793</v>
      </c>
      <c r="C3481" s="1" t="s">
        <v>3446</v>
      </c>
      <c r="D3481" s="1" t="s">
        <v>8</v>
      </c>
      <c r="E3481" s="3">
        <v>3320324</v>
      </c>
      <c r="F3481" s="3">
        <v>3321220</v>
      </c>
      <c r="G3481" s="1" t="s">
        <v>13</v>
      </c>
      <c r="H3481" s="1" t="b">
        <f t="shared" si="133"/>
        <v>1</v>
      </c>
    </row>
    <row r="3482" spans="1:8" ht="21" x14ac:dyDescent="0.25">
      <c r="A3482" s="2" t="str">
        <f>HYPERLINK("https://rth.dk/resources/bsgatlas/details.php?id=BSGatlas-operon-1836","BSGatlas-operon-1836")</f>
        <v>BSGatlas-operon-1836</v>
      </c>
      <c r="B3482" s="2" t="str">
        <f>HYPERLINK("https://rth.dk/resources/bsgatlas/details.php?id=BSGatlas-gene-3794","BSGatlas-gene-3794")</f>
        <v>BSGatlas-gene-3794</v>
      </c>
      <c r="C3482" s="1" t="s">
        <v>3447</v>
      </c>
      <c r="D3482" s="1" t="s">
        <v>8</v>
      </c>
      <c r="E3482" s="3">
        <v>3321455</v>
      </c>
      <c r="F3482" s="3">
        <v>3322435</v>
      </c>
      <c r="G3482" s="1" t="s">
        <v>9</v>
      </c>
      <c r="H3482" s="1" t="b">
        <f t="shared" si="133"/>
        <v>0</v>
      </c>
    </row>
    <row r="3483" spans="1:8" ht="21" x14ac:dyDescent="0.25">
      <c r="A3483" s="2" t="str">
        <f>HYPERLINK("https://rth.dk/resources/bsgatlas/details.php?id=BSGatlas-operon-1837","BSGatlas-operon-1837")</f>
        <v>BSGatlas-operon-1837</v>
      </c>
      <c r="B3483" s="2" t="str">
        <f>HYPERLINK("https://rth.dk/resources/bsgatlas/details.php?id=BSGatlas-gene-3795","BSGatlas-gene-3795")</f>
        <v>BSGatlas-gene-3795</v>
      </c>
      <c r="C3483" s="1" t="s">
        <v>3448</v>
      </c>
      <c r="D3483" s="1" t="s">
        <v>8</v>
      </c>
      <c r="E3483" s="3">
        <v>3322463</v>
      </c>
      <c r="F3483" s="3">
        <v>3323227</v>
      </c>
      <c r="G3483" s="1" t="s">
        <v>13</v>
      </c>
      <c r="H3483" s="1" t="b">
        <f t="shared" si="133"/>
        <v>1</v>
      </c>
    </row>
    <row r="3484" spans="1:8" ht="21" x14ac:dyDescent="0.25">
      <c r="A3484" s="2" t="str">
        <f>HYPERLINK("https://rth.dk/resources/bsgatlas/details.php?id=BSGatlas-operon-1838","BSGatlas-operon-1838")</f>
        <v>BSGatlas-operon-1838</v>
      </c>
      <c r="B3484" s="2" t="str">
        <f>HYPERLINK("https://rth.dk/resources/bsgatlas/details.php?id=BSGatlas-gene-3796","BSGatlas-gene-3796")</f>
        <v>BSGatlas-gene-3796</v>
      </c>
      <c r="C3484" s="1" t="s">
        <v>3449</v>
      </c>
      <c r="D3484" s="1" t="s">
        <v>8</v>
      </c>
      <c r="E3484" s="3">
        <v>3323300</v>
      </c>
      <c r="F3484" s="3">
        <v>3323605</v>
      </c>
      <c r="G3484" s="1" t="s">
        <v>13</v>
      </c>
      <c r="H3484" s="1" t="b">
        <f t="shared" si="133"/>
        <v>0</v>
      </c>
    </row>
    <row r="3485" spans="1:8" ht="21" x14ac:dyDescent="0.25">
      <c r="A3485" s="2" t="str">
        <f>HYPERLINK("https://rth.dk/resources/bsgatlas/details.php?id=BSGatlas-operon-1838","BSGatlas-operon-1838")</f>
        <v>BSGatlas-operon-1838</v>
      </c>
      <c r="B3485" s="2" t="str">
        <f>HYPERLINK("https://rth.dk/resources/bsgatlas/details.php?id=BSGatlas-gene-3797","BSGatlas-gene-3797")</f>
        <v>BSGatlas-gene-3797</v>
      </c>
      <c r="C3485" s="1" t="s">
        <v>3450</v>
      </c>
      <c r="D3485" s="1" t="s">
        <v>8</v>
      </c>
      <c r="E3485" s="3">
        <v>3323670</v>
      </c>
      <c r="F3485" s="3">
        <v>3325058</v>
      </c>
      <c r="G3485" s="1" t="s">
        <v>13</v>
      </c>
      <c r="H3485" s="1" t="b">
        <f t="shared" si="133"/>
        <v>0</v>
      </c>
    </row>
    <row r="3486" spans="1:8" ht="21" x14ac:dyDescent="0.25">
      <c r="A3486" s="2" t="str">
        <f>HYPERLINK("https://rth.dk/resources/bsgatlas/details.php?id=BSGatlas-operon-1838","BSGatlas-operon-1838")</f>
        <v>BSGatlas-operon-1838</v>
      </c>
      <c r="B3486" s="2" t="str">
        <f>HYPERLINK("https://rth.dk/resources/bsgatlas/details.php?id=BSGatlas-gene-3798","BSGatlas-gene-3798")</f>
        <v>BSGatlas-gene-3798</v>
      </c>
      <c r="C3486" s="1" t="s">
        <v>3451</v>
      </c>
      <c r="D3486" s="1" t="s">
        <v>8</v>
      </c>
      <c r="E3486" s="3">
        <v>3325078</v>
      </c>
      <c r="F3486" s="3">
        <v>3325899</v>
      </c>
      <c r="G3486" s="1" t="s">
        <v>13</v>
      </c>
      <c r="H3486" s="1" t="b">
        <f t="shared" si="133"/>
        <v>0</v>
      </c>
    </row>
    <row r="3487" spans="1:8" ht="21" x14ac:dyDescent="0.25">
      <c r="A3487" s="2" t="str">
        <f>HYPERLINK("https://rth.dk/resources/bsgatlas/details.php?id=BSGatlas-operon-1838","BSGatlas-operon-1838")</f>
        <v>BSGatlas-operon-1838</v>
      </c>
      <c r="B3487" s="2" t="str">
        <f>HYPERLINK("https://rth.dk/resources/bsgatlas/details.php?id=BSGatlas-gene-3799","BSGatlas-gene-3799")</f>
        <v>BSGatlas-gene-3799</v>
      </c>
      <c r="C3487" s="1" t="s">
        <v>3452</v>
      </c>
      <c r="D3487" s="1" t="s">
        <v>8</v>
      </c>
      <c r="E3487" s="3">
        <v>3325917</v>
      </c>
      <c r="F3487" s="3">
        <v>3326765</v>
      </c>
      <c r="G3487" s="1" t="s">
        <v>13</v>
      </c>
      <c r="H3487" s="1" t="b">
        <f t="shared" si="133"/>
        <v>0</v>
      </c>
    </row>
    <row r="3488" spans="1:8" ht="21" x14ac:dyDescent="0.25">
      <c r="A3488" s="2" t="str">
        <f>HYPERLINK("https://rth.dk/resources/bsgatlas/details.php?id=BSGatlas-operon-1838","BSGatlas-operon-1838")</f>
        <v>BSGatlas-operon-1838</v>
      </c>
      <c r="B3488" s="2" t="str">
        <f>HYPERLINK("https://rth.dk/resources/bsgatlas/details.php?id=BSGatlas-gene-3800","BSGatlas-gene-3800")</f>
        <v>BSGatlas-gene-3800</v>
      </c>
      <c r="C3488" s="1" t="s">
        <v>3453</v>
      </c>
      <c r="D3488" s="1" t="s">
        <v>8</v>
      </c>
      <c r="E3488" s="3">
        <v>3326803</v>
      </c>
      <c r="F3488" s="3">
        <v>3327150</v>
      </c>
      <c r="G3488" s="1" t="s">
        <v>13</v>
      </c>
      <c r="H3488" s="1" t="b">
        <f t="shared" si="133"/>
        <v>0</v>
      </c>
    </row>
    <row r="3489" spans="1:8" ht="21" x14ac:dyDescent="0.25">
      <c r="A3489" s="2" t="str">
        <f>HYPERLINK("https://rth.dk/resources/bsgatlas/details.php?id=BSGatlas-operon-1839","BSGatlas-operon-1839")</f>
        <v>BSGatlas-operon-1839</v>
      </c>
      <c r="B3489" s="2" t="str">
        <f>HYPERLINK("https://rth.dk/resources/bsgatlas/details.php?id=BSGatlas-gene-3801","BSGatlas-gene-3801")</f>
        <v>BSGatlas-gene-3801</v>
      </c>
      <c r="C3489" s="1" t="s">
        <v>3454</v>
      </c>
      <c r="D3489" s="1" t="s">
        <v>8</v>
      </c>
      <c r="E3489" s="3">
        <v>3327247</v>
      </c>
      <c r="F3489" s="3">
        <v>3328587</v>
      </c>
      <c r="G3489" s="1" t="s">
        <v>13</v>
      </c>
      <c r="H3489" s="1" t="b">
        <f t="shared" si="133"/>
        <v>1</v>
      </c>
    </row>
    <row r="3490" spans="1:8" ht="21" x14ac:dyDescent="0.25">
      <c r="A3490" s="2" t="str">
        <f>HYPERLINK("https://rth.dk/resources/bsgatlas/details.php?id=BSGatlas-operon-1840","BSGatlas-operon-1840")</f>
        <v>BSGatlas-operon-1840</v>
      </c>
      <c r="B3490" s="2" t="str">
        <f>HYPERLINK("https://rth.dk/resources/bsgatlas/details.php?id=BSGatlas-gene-3802","BSGatlas-gene-3802")</f>
        <v>BSGatlas-gene-3802</v>
      </c>
      <c r="C3490" s="1" t="s">
        <v>3455</v>
      </c>
      <c r="D3490" s="1" t="s">
        <v>8</v>
      </c>
      <c r="E3490" s="3">
        <v>3328762</v>
      </c>
      <c r="F3490" s="3">
        <v>3330357</v>
      </c>
      <c r="G3490" s="1" t="s">
        <v>9</v>
      </c>
      <c r="H3490" s="1" t="b">
        <f t="shared" si="133"/>
        <v>0</v>
      </c>
    </row>
    <row r="3491" spans="1:8" ht="21" x14ac:dyDescent="0.25">
      <c r="A3491" s="2" t="str">
        <f>HYPERLINK("https://rth.dk/resources/bsgatlas/details.php?id=BSGatlas-operon-1840","BSGatlas-operon-1840")</f>
        <v>BSGatlas-operon-1840</v>
      </c>
      <c r="B3491" s="2" t="str">
        <f>HYPERLINK("https://rth.dk/resources/bsgatlas/details.php?id=BSGatlas-gene-3803","BSGatlas-gene-3803")</f>
        <v>BSGatlas-gene-3803</v>
      </c>
      <c r="C3491" s="1" t="s">
        <v>3456</v>
      </c>
      <c r="D3491" s="1" t="s">
        <v>8</v>
      </c>
      <c r="E3491" s="3">
        <v>3330502</v>
      </c>
      <c r="F3491" s="3">
        <v>3331851</v>
      </c>
      <c r="G3491" s="1" t="s">
        <v>9</v>
      </c>
      <c r="H3491" s="1" t="b">
        <f t="shared" si="133"/>
        <v>0</v>
      </c>
    </row>
    <row r="3492" spans="1:8" ht="21" x14ac:dyDescent="0.25">
      <c r="A3492" s="2" t="str">
        <f>HYPERLINK("https://rth.dk/resources/bsgatlas/details.php?id=BSGatlas-operon-1840","BSGatlas-operon-1840")</f>
        <v>BSGatlas-operon-1840</v>
      </c>
      <c r="B3492" s="2" t="str">
        <f>HYPERLINK("https://rth.dk/resources/bsgatlas/details.php?id=BSGatlas-gene-3804","BSGatlas-gene-3804")</f>
        <v>BSGatlas-gene-3804</v>
      </c>
      <c r="C3492" s="1" t="s">
        <v>3457</v>
      </c>
      <c r="D3492" s="1" t="s">
        <v>8</v>
      </c>
      <c r="E3492" s="3">
        <v>3331857</v>
      </c>
      <c r="F3492" s="3">
        <v>3333149</v>
      </c>
      <c r="G3492" s="1" t="s">
        <v>9</v>
      </c>
      <c r="H3492" s="1" t="b">
        <f t="shared" si="133"/>
        <v>0</v>
      </c>
    </row>
    <row r="3493" spans="1:8" ht="21" x14ac:dyDescent="0.25">
      <c r="A3493" s="2" t="str">
        <f>HYPERLINK("https://rth.dk/resources/bsgatlas/details.php?id=BSGatlas-operon-1840","BSGatlas-operon-1840")</f>
        <v>BSGatlas-operon-1840</v>
      </c>
      <c r="B3493" s="2" t="str">
        <f>HYPERLINK("https://rth.dk/resources/bsgatlas/details.php?id=BSGatlas-gene-3805","BSGatlas-gene-3805")</f>
        <v>BSGatlas-gene-3805</v>
      </c>
      <c r="C3493" s="1" t="s">
        <v>3458</v>
      </c>
      <c r="D3493" s="1" t="s">
        <v>8</v>
      </c>
      <c r="E3493" s="3">
        <v>3333162</v>
      </c>
      <c r="F3493" s="3">
        <v>3334646</v>
      </c>
      <c r="G3493" s="1" t="s">
        <v>9</v>
      </c>
      <c r="H3493" s="1" t="b">
        <f t="shared" si="133"/>
        <v>0</v>
      </c>
    </row>
    <row r="3494" spans="1:8" ht="21" x14ac:dyDescent="0.25">
      <c r="A3494" s="2" t="str">
        <f>HYPERLINK("https://rth.dk/resources/bsgatlas/details.php?id=BSGatlas-operon-1840","BSGatlas-operon-1840")</f>
        <v>BSGatlas-operon-1840</v>
      </c>
      <c r="B3494" s="2" t="str">
        <f>HYPERLINK("https://rth.dk/resources/bsgatlas/details.php?id=BSGatlas-gene-3806","BSGatlas-gene-3806")</f>
        <v>BSGatlas-gene-3806</v>
      </c>
      <c r="C3494" s="1" t="s">
        <v>3459</v>
      </c>
      <c r="D3494" s="1" t="s">
        <v>8</v>
      </c>
      <c r="E3494" s="3">
        <v>3334646</v>
      </c>
      <c r="F3494" s="3">
        <v>3334990</v>
      </c>
      <c r="G3494" s="1" t="s">
        <v>9</v>
      </c>
      <c r="H3494" s="1" t="b">
        <f t="shared" si="133"/>
        <v>0</v>
      </c>
    </row>
    <row r="3495" spans="1:8" ht="21" x14ac:dyDescent="0.25">
      <c r="A3495" s="2" t="str">
        <f>HYPERLINK("https://rth.dk/resources/bsgatlas/details.php?id=BSGatlas-operon-1841","BSGatlas-operon-1841")</f>
        <v>BSGatlas-operon-1841</v>
      </c>
      <c r="B3495" s="2" t="str">
        <f>HYPERLINK("https://rth.dk/resources/bsgatlas/details.php?id=BSGatlas-gene-3808","BSGatlas-gene-3808")</f>
        <v>BSGatlas-gene-3808</v>
      </c>
      <c r="C3495" s="1" t="s">
        <v>3460</v>
      </c>
      <c r="D3495" s="1" t="s">
        <v>8</v>
      </c>
      <c r="E3495" s="3">
        <v>3335414</v>
      </c>
      <c r="F3495" s="3">
        <v>3335545</v>
      </c>
      <c r="G3495" s="1" t="s">
        <v>9</v>
      </c>
      <c r="H3495" s="1" t="b">
        <f t="shared" si="133"/>
        <v>1</v>
      </c>
    </row>
    <row r="3496" spans="1:8" ht="21" x14ac:dyDescent="0.25">
      <c r="A3496" s="2" t="str">
        <f>HYPERLINK("https://rth.dk/resources/bsgatlas/details.php?id=BSGatlas-operon-1842","BSGatlas-operon-1842")</f>
        <v>BSGatlas-operon-1842</v>
      </c>
      <c r="B3496" s="2" t="str">
        <f>HYPERLINK("https://rth.dk/resources/bsgatlas/details.php?id=BSGatlas-gene-3810","BSGatlas-gene-3810")</f>
        <v>BSGatlas-gene-3810</v>
      </c>
      <c r="C3496" s="1" t="s">
        <v>3461</v>
      </c>
      <c r="D3496" s="1" t="s">
        <v>8</v>
      </c>
      <c r="E3496" s="3">
        <v>3335751</v>
      </c>
      <c r="F3496" s="3">
        <v>3336272</v>
      </c>
      <c r="G3496" s="1" t="s">
        <v>13</v>
      </c>
      <c r="H3496" s="1" t="b">
        <f t="shared" si="133"/>
        <v>0</v>
      </c>
    </row>
    <row r="3497" spans="1:8" ht="21" x14ac:dyDescent="0.25">
      <c r="A3497" s="2" t="str">
        <f>HYPERLINK("https://rth.dk/resources/bsgatlas/details.php?id=BSGatlas-operon-1842","BSGatlas-operon-1842")</f>
        <v>BSGatlas-operon-1842</v>
      </c>
      <c r="B3497" s="2" t="str">
        <f>HYPERLINK("https://rth.dk/resources/bsgatlas/details.php?id=BSGatlas-gene-3811","BSGatlas-gene-3811")</f>
        <v>BSGatlas-gene-3811</v>
      </c>
      <c r="C3497" s="1" t="s">
        <v>3462</v>
      </c>
      <c r="D3497" s="1" t="s">
        <v>8</v>
      </c>
      <c r="E3497" s="3">
        <v>3336263</v>
      </c>
      <c r="F3497" s="3">
        <v>3338500</v>
      </c>
      <c r="G3497" s="1" t="s">
        <v>13</v>
      </c>
      <c r="H3497" s="1" t="b">
        <f t="shared" si="133"/>
        <v>0</v>
      </c>
    </row>
    <row r="3498" spans="1:8" ht="21" x14ac:dyDescent="0.25">
      <c r="A3498" s="2" t="str">
        <f>HYPERLINK("https://rth.dk/resources/bsgatlas/details.php?id=BSGatlas-operon-1842","BSGatlas-operon-1842")</f>
        <v>BSGatlas-operon-1842</v>
      </c>
      <c r="B3498" s="2" t="str">
        <f>HYPERLINK("https://rth.dk/resources/bsgatlas/details.php?id=BSGatlas-gene-3812","BSGatlas-gene-3812")</f>
        <v>BSGatlas-gene-3812</v>
      </c>
      <c r="C3498" s="1" t="s">
        <v>3463</v>
      </c>
      <c r="D3498" s="1" t="s">
        <v>8</v>
      </c>
      <c r="E3498" s="3">
        <v>3338501</v>
      </c>
      <c r="F3498" s="3">
        <v>3339334</v>
      </c>
      <c r="G3498" s="1" t="s">
        <v>13</v>
      </c>
      <c r="H3498" s="1" t="b">
        <f t="shared" si="133"/>
        <v>0</v>
      </c>
    </row>
    <row r="3499" spans="1:8" ht="21" x14ac:dyDescent="0.25">
      <c r="A3499" s="2" t="str">
        <f>HYPERLINK("https://rth.dk/resources/bsgatlas/details.php?id=BSGatlas-operon-1842","BSGatlas-operon-1842")</f>
        <v>BSGatlas-operon-1842</v>
      </c>
      <c r="B3499" s="2" t="str">
        <f>HYPERLINK("https://rth.dk/resources/bsgatlas/details.php?id=BSGatlas-gene-3813","BSGatlas-gene-3813")</f>
        <v>BSGatlas-gene-3813</v>
      </c>
      <c r="C3499" s="1" t="s">
        <v>3464</v>
      </c>
      <c r="D3499" s="1" t="s">
        <v>8</v>
      </c>
      <c r="E3499" s="3">
        <v>3339331</v>
      </c>
      <c r="F3499" s="3">
        <v>3339948</v>
      </c>
      <c r="G3499" s="1" t="s">
        <v>13</v>
      </c>
      <c r="H3499" s="1" t="b">
        <f t="shared" si="133"/>
        <v>0</v>
      </c>
    </row>
    <row r="3500" spans="1:8" ht="21" x14ac:dyDescent="0.25">
      <c r="A3500" s="2" t="str">
        <f>HYPERLINK("https://rth.dk/resources/bsgatlas/details.php?id=BSGatlas-operon-1842","BSGatlas-operon-1842")</f>
        <v>BSGatlas-operon-1842</v>
      </c>
      <c r="B3500" s="2" t="str">
        <f>HYPERLINK("https://rth.dk/resources/bsgatlas/details.php?id=BSGatlas-gene-3814","BSGatlas-gene-3814")</f>
        <v>BSGatlas-gene-3814</v>
      </c>
      <c r="C3500" s="1" t="s">
        <v>3465</v>
      </c>
      <c r="D3500" s="1" t="s">
        <v>8</v>
      </c>
      <c r="E3500" s="3">
        <v>3339945</v>
      </c>
      <c r="F3500" s="3">
        <v>3340937</v>
      </c>
      <c r="G3500" s="1" t="s">
        <v>13</v>
      </c>
      <c r="H3500" s="1" t="b">
        <f t="shared" si="133"/>
        <v>0</v>
      </c>
    </row>
    <row r="3501" spans="1:8" ht="21" x14ac:dyDescent="0.25">
      <c r="A3501" s="2" t="str">
        <f>HYPERLINK("https://rth.dk/resources/bsgatlas/details.php?id=BSGatlas-operon-1843","BSGatlas-operon-1843")</f>
        <v>BSGatlas-operon-1843</v>
      </c>
      <c r="B3501" s="2" t="str">
        <f>HYPERLINK("https://rth.dk/resources/bsgatlas/details.php?id=BSGatlas-gene-3815","BSGatlas-gene-3815")</f>
        <v>BSGatlas-gene-3815</v>
      </c>
      <c r="C3501" s="1" t="s">
        <v>3466</v>
      </c>
      <c r="D3501" s="1" t="s">
        <v>8</v>
      </c>
      <c r="E3501" s="3">
        <v>3341166</v>
      </c>
      <c r="F3501" s="3">
        <v>3342416</v>
      </c>
      <c r="G3501" s="1" t="s">
        <v>13</v>
      </c>
      <c r="H3501" s="1" t="b">
        <f t="shared" si="133"/>
        <v>1</v>
      </c>
    </row>
    <row r="3502" spans="1:8" ht="21" x14ac:dyDescent="0.25">
      <c r="A3502" s="2" t="str">
        <f>HYPERLINK("https://rth.dk/resources/bsgatlas/details.php?id=BSGatlas-operon-1843","BSGatlas-operon-1843")</f>
        <v>BSGatlas-operon-1843</v>
      </c>
      <c r="B3502" s="2" t="str">
        <f>HYPERLINK("https://rth.dk/resources/bsgatlas/details.php?id=BSGatlas-gene-3816","BSGatlas-gene-3816")</f>
        <v>BSGatlas-gene-3816</v>
      </c>
      <c r="C3502" s="1" t="s">
        <v>3467</v>
      </c>
      <c r="D3502" s="1" t="s">
        <v>8</v>
      </c>
      <c r="E3502" s="3">
        <v>3342433</v>
      </c>
      <c r="F3502" s="3">
        <v>3343671</v>
      </c>
      <c r="G3502" s="1" t="s">
        <v>13</v>
      </c>
      <c r="H3502" s="1" t="b">
        <f t="shared" si="133"/>
        <v>1</v>
      </c>
    </row>
    <row r="3503" spans="1:8" ht="21" x14ac:dyDescent="0.25">
      <c r="A3503" s="2" t="str">
        <f>HYPERLINK("https://rth.dk/resources/bsgatlas/details.php?id=BSGatlas-operon-1844","BSGatlas-operon-1844")</f>
        <v>BSGatlas-operon-1844</v>
      </c>
      <c r="B3503" s="2" t="str">
        <f>HYPERLINK("https://rth.dk/resources/bsgatlas/details.php?id=BSGatlas-gene-3818","BSGatlas-gene-3818")</f>
        <v>BSGatlas-gene-3818</v>
      </c>
      <c r="C3503" s="1" t="s">
        <v>3468</v>
      </c>
      <c r="D3503" s="1" t="s">
        <v>8</v>
      </c>
      <c r="E3503" s="3">
        <v>3344113</v>
      </c>
      <c r="F3503" s="3">
        <v>3344979</v>
      </c>
      <c r="G3503" s="1" t="s">
        <v>9</v>
      </c>
      <c r="H3503" s="1" t="b">
        <f t="shared" si="133"/>
        <v>0</v>
      </c>
    </row>
    <row r="3504" spans="1:8" ht="21" x14ac:dyDescent="0.25">
      <c r="A3504" s="2" t="str">
        <f t="shared" ref="A3504:A3511" si="134">HYPERLINK("https://rth.dk/resources/bsgatlas/details.php?id=BSGatlas-operon-1845","BSGatlas-operon-1845")</f>
        <v>BSGatlas-operon-1845</v>
      </c>
      <c r="B3504" s="2" t="str">
        <f>HYPERLINK("https://rth.dk/resources/bsgatlas/details.php?id=BSGatlas-gene-3819","BSGatlas-gene-3819")</f>
        <v>BSGatlas-gene-3819</v>
      </c>
      <c r="C3504" s="1" t="s">
        <v>3469</v>
      </c>
      <c r="D3504" s="1" t="s">
        <v>8</v>
      </c>
      <c r="E3504" s="3">
        <v>3345013</v>
      </c>
      <c r="F3504" s="3">
        <v>3346116</v>
      </c>
      <c r="G3504" s="1" t="s">
        <v>13</v>
      </c>
      <c r="H3504" s="1" t="b">
        <f t="shared" si="133"/>
        <v>1</v>
      </c>
    </row>
    <row r="3505" spans="1:8" ht="21" x14ac:dyDescent="0.25">
      <c r="A3505" s="2" t="str">
        <f t="shared" si="134"/>
        <v>BSGatlas-operon-1845</v>
      </c>
      <c r="B3505" s="2" t="str">
        <f>HYPERLINK("https://rth.dk/resources/bsgatlas/details.php?id=BSGatlas-gene-3821","BSGatlas-gene-3821")</f>
        <v>BSGatlas-gene-3821</v>
      </c>
      <c r="C3505" s="1" t="s">
        <v>3470</v>
      </c>
      <c r="D3505" s="1" t="s">
        <v>8</v>
      </c>
      <c r="E3505" s="3">
        <v>3347051</v>
      </c>
      <c r="F3505" s="3">
        <v>3347905</v>
      </c>
      <c r="G3505" s="1" t="s">
        <v>13</v>
      </c>
      <c r="H3505" s="1" t="b">
        <f t="shared" si="133"/>
        <v>1</v>
      </c>
    </row>
    <row r="3506" spans="1:8" ht="21" x14ac:dyDescent="0.25">
      <c r="A3506" s="2" t="str">
        <f t="shared" si="134"/>
        <v>BSGatlas-operon-1845</v>
      </c>
      <c r="B3506" s="2" t="str">
        <f>HYPERLINK("https://rth.dk/resources/bsgatlas/details.php?id=BSGatlas-gene-3822","BSGatlas-gene-3822")</f>
        <v>BSGatlas-gene-3822</v>
      </c>
      <c r="C3506" s="1" t="s">
        <v>3471</v>
      </c>
      <c r="D3506" s="1" t="s">
        <v>8</v>
      </c>
      <c r="E3506" s="3">
        <v>3347919</v>
      </c>
      <c r="F3506" s="3">
        <v>3348821</v>
      </c>
      <c r="G3506" s="1" t="s">
        <v>13</v>
      </c>
      <c r="H3506" s="1" t="b">
        <f t="shared" si="133"/>
        <v>1</v>
      </c>
    </row>
    <row r="3507" spans="1:8" ht="21" x14ac:dyDescent="0.25">
      <c r="A3507" s="2" t="str">
        <f t="shared" si="134"/>
        <v>BSGatlas-operon-1845</v>
      </c>
      <c r="B3507" s="2" t="str">
        <f>HYPERLINK("https://rth.dk/resources/bsgatlas/details.php?id=BSGatlas-gene-3823","BSGatlas-gene-3823")</f>
        <v>BSGatlas-gene-3823</v>
      </c>
      <c r="C3507" s="1" t="s">
        <v>3472</v>
      </c>
      <c r="D3507" s="1" t="s">
        <v>8</v>
      </c>
      <c r="E3507" s="3">
        <v>3348825</v>
      </c>
      <c r="F3507" s="3">
        <v>3349703</v>
      </c>
      <c r="G3507" s="1" t="s">
        <v>13</v>
      </c>
      <c r="H3507" s="1" t="b">
        <f t="shared" si="133"/>
        <v>1</v>
      </c>
    </row>
    <row r="3508" spans="1:8" ht="21" x14ac:dyDescent="0.25">
      <c r="A3508" s="2" t="str">
        <f t="shared" si="134"/>
        <v>BSGatlas-operon-1845</v>
      </c>
      <c r="B3508" s="2" t="str">
        <f>HYPERLINK("https://rth.dk/resources/bsgatlas/details.php?id=BSGatlas-gene-3824","BSGatlas-gene-3824")</f>
        <v>BSGatlas-gene-3824</v>
      </c>
      <c r="C3508" s="1" t="s">
        <v>3473</v>
      </c>
      <c r="D3508" s="1" t="s">
        <v>8</v>
      </c>
      <c r="E3508" s="3">
        <v>3349761</v>
      </c>
      <c r="F3508" s="3">
        <v>3351029</v>
      </c>
      <c r="G3508" s="1" t="s">
        <v>13</v>
      </c>
      <c r="H3508" s="1" t="b">
        <f t="shared" si="133"/>
        <v>1</v>
      </c>
    </row>
    <row r="3509" spans="1:8" ht="21" x14ac:dyDescent="0.25">
      <c r="A3509" s="2" t="str">
        <f t="shared" si="134"/>
        <v>BSGatlas-operon-1845</v>
      </c>
      <c r="B3509" s="2" t="str">
        <f>HYPERLINK("https://rth.dk/resources/bsgatlas/details.php?id=BSGatlas-gene-3825","BSGatlas-gene-3825")</f>
        <v>BSGatlas-gene-3825</v>
      </c>
      <c r="C3509" s="1" t="s">
        <v>3474</v>
      </c>
      <c r="D3509" s="1" t="s">
        <v>8</v>
      </c>
      <c r="E3509" s="3">
        <v>3351110</v>
      </c>
      <c r="F3509" s="3">
        <v>3352096</v>
      </c>
      <c r="G3509" s="1" t="s">
        <v>13</v>
      </c>
      <c r="H3509" s="1" t="b">
        <f t="shared" si="133"/>
        <v>1</v>
      </c>
    </row>
    <row r="3510" spans="1:8" ht="21" x14ac:dyDescent="0.25">
      <c r="A3510" s="2" t="str">
        <f t="shared" si="134"/>
        <v>BSGatlas-operon-1845</v>
      </c>
      <c r="B3510" s="2" t="str">
        <f>HYPERLINK("https://rth.dk/resources/bsgatlas/details.php?id=BSGatlas-gene-3826","BSGatlas-gene-3826")</f>
        <v>BSGatlas-gene-3826</v>
      </c>
      <c r="C3510" s="1" t="s">
        <v>3475</v>
      </c>
      <c r="D3510" s="1" t="s">
        <v>8</v>
      </c>
      <c r="E3510" s="3">
        <v>3352312</v>
      </c>
      <c r="F3510" s="3">
        <v>3352686</v>
      </c>
      <c r="G3510" s="1" t="s">
        <v>13</v>
      </c>
      <c r="H3510" s="1" t="b">
        <f t="shared" si="133"/>
        <v>1</v>
      </c>
    </row>
    <row r="3511" spans="1:8" ht="21" x14ac:dyDescent="0.25">
      <c r="A3511" s="2" t="str">
        <f t="shared" si="134"/>
        <v>BSGatlas-operon-1845</v>
      </c>
      <c r="B3511" s="2" t="str">
        <f>HYPERLINK("https://rth.dk/resources/bsgatlas/details.php?id=BSGatlas-gene-3827","BSGatlas-gene-3827")</f>
        <v>BSGatlas-gene-3827</v>
      </c>
      <c r="C3511" s="1" t="s">
        <v>3476</v>
      </c>
      <c r="D3511" s="1" t="s">
        <v>8</v>
      </c>
      <c r="E3511" s="3">
        <v>3352789</v>
      </c>
      <c r="F3511" s="3">
        <v>3353907</v>
      </c>
      <c r="G3511" s="1" t="s">
        <v>13</v>
      </c>
      <c r="H3511" s="1" t="b">
        <f t="shared" si="133"/>
        <v>1</v>
      </c>
    </row>
    <row r="3512" spans="1:8" ht="21" x14ac:dyDescent="0.25">
      <c r="A3512" s="2" t="str">
        <f>HYPERLINK("https://rth.dk/resources/bsgatlas/details.php?id=BSGatlas-operon-1846","BSGatlas-operon-1846")</f>
        <v>BSGatlas-operon-1846</v>
      </c>
      <c r="B3512" s="2" t="str">
        <f>HYPERLINK("https://rth.dk/resources/bsgatlas/details.php?id=BSGatlas-gene-3820","BSGatlas-gene-3820")</f>
        <v>BSGatlas-gene-3820</v>
      </c>
      <c r="C3512" s="1" t="s">
        <v>3477</v>
      </c>
      <c r="D3512" s="1" t="s">
        <v>8</v>
      </c>
      <c r="E3512" s="3">
        <v>3346298</v>
      </c>
      <c r="F3512" s="3">
        <v>3347026</v>
      </c>
      <c r="G3512" s="1" t="s">
        <v>9</v>
      </c>
      <c r="H3512" s="1" t="b">
        <f t="shared" si="133"/>
        <v>0</v>
      </c>
    </row>
    <row r="3513" spans="1:8" ht="21" x14ac:dyDescent="0.25">
      <c r="A3513" s="2" t="str">
        <f>HYPERLINK("https://rth.dk/resources/bsgatlas/details.php?id=BSGatlas-operon-1847","BSGatlas-operon-1847")</f>
        <v>BSGatlas-operon-1847</v>
      </c>
      <c r="B3513" s="2" t="str">
        <f>HYPERLINK("https://rth.dk/resources/bsgatlas/details.php?id=BSGatlas-gene-3828","BSGatlas-gene-3828")</f>
        <v>BSGatlas-gene-3828</v>
      </c>
      <c r="C3513" s="1" t="s">
        <v>3478</v>
      </c>
      <c r="D3513" s="1" t="s">
        <v>8</v>
      </c>
      <c r="E3513" s="3">
        <v>3354066</v>
      </c>
      <c r="F3513" s="3">
        <v>3354212</v>
      </c>
      <c r="G3513" s="1" t="s">
        <v>9</v>
      </c>
      <c r="H3513" s="1" t="b">
        <f t="shared" si="133"/>
        <v>1</v>
      </c>
    </row>
    <row r="3514" spans="1:8" ht="21" x14ac:dyDescent="0.25">
      <c r="A3514" s="2" t="str">
        <f>HYPERLINK("https://rth.dk/resources/bsgatlas/details.php?id=BSGatlas-operon-1847","BSGatlas-operon-1847")</f>
        <v>BSGatlas-operon-1847</v>
      </c>
      <c r="B3514" s="2" t="str">
        <f>HYPERLINK("https://rth.dk/resources/bsgatlas/details.php?id=BSGatlas-gene-3829","BSGatlas-gene-3829")</f>
        <v>BSGatlas-gene-3829</v>
      </c>
      <c r="C3514" s="1" t="s">
        <v>3479</v>
      </c>
      <c r="D3514" s="1" t="s">
        <v>8</v>
      </c>
      <c r="E3514" s="3">
        <v>3354212</v>
      </c>
      <c r="F3514" s="3">
        <v>3354487</v>
      </c>
      <c r="G3514" s="1" t="s">
        <v>9</v>
      </c>
      <c r="H3514" s="1" t="b">
        <f t="shared" si="133"/>
        <v>1</v>
      </c>
    </row>
    <row r="3515" spans="1:8" ht="21" x14ac:dyDescent="0.25">
      <c r="A3515" s="2" t="str">
        <f>HYPERLINK("https://rth.dk/resources/bsgatlas/details.php?id=BSGatlas-operon-1848","BSGatlas-operon-1848")</f>
        <v>BSGatlas-operon-1848</v>
      </c>
      <c r="B3515" s="2" t="str">
        <f>HYPERLINK("https://rth.dk/resources/bsgatlas/details.php?id=BSGatlas-gene-3830","BSGatlas-gene-3830")</f>
        <v>BSGatlas-gene-3830</v>
      </c>
      <c r="C3515" s="1" t="s">
        <v>3480</v>
      </c>
      <c r="D3515" s="1" t="s">
        <v>8</v>
      </c>
      <c r="E3515" s="3">
        <v>3354551</v>
      </c>
      <c r="F3515" s="3">
        <v>3354934</v>
      </c>
      <c r="G3515" s="1" t="s">
        <v>13</v>
      </c>
      <c r="H3515" s="1" t="b">
        <f t="shared" si="133"/>
        <v>0</v>
      </c>
    </row>
    <row r="3516" spans="1:8" ht="21" x14ac:dyDescent="0.25">
      <c r="A3516" s="2" t="str">
        <f>HYPERLINK("https://rth.dk/resources/bsgatlas/details.php?id=BSGatlas-operon-1848","BSGatlas-operon-1848")</f>
        <v>BSGatlas-operon-1848</v>
      </c>
      <c r="B3516" s="2" t="str">
        <f>HYPERLINK("https://rth.dk/resources/bsgatlas/details.php?id=BSGatlas-gene-3831","BSGatlas-gene-3831")</f>
        <v>BSGatlas-gene-3831</v>
      </c>
      <c r="C3516" s="1" t="s">
        <v>3481</v>
      </c>
      <c r="D3516" s="1" t="s">
        <v>8</v>
      </c>
      <c r="E3516" s="3">
        <v>3355045</v>
      </c>
      <c r="F3516" s="3">
        <v>3355323</v>
      </c>
      <c r="G3516" s="1" t="s">
        <v>13</v>
      </c>
      <c r="H3516" s="1" t="b">
        <f t="shared" si="133"/>
        <v>0</v>
      </c>
    </row>
    <row r="3517" spans="1:8" ht="21" x14ac:dyDescent="0.25">
      <c r="A3517" s="2" t="str">
        <f>HYPERLINK("https://rth.dk/resources/bsgatlas/details.php?id=BSGatlas-operon-1849","BSGatlas-operon-1849")</f>
        <v>BSGatlas-operon-1849</v>
      </c>
      <c r="B3517" s="2" t="str">
        <f>HYPERLINK("https://rth.dk/resources/bsgatlas/details.php?id=BSGatlas-gene-3832","BSGatlas-gene-3832")</f>
        <v>BSGatlas-gene-3832</v>
      </c>
      <c r="C3517" s="1" t="s">
        <v>3482</v>
      </c>
      <c r="D3517" s="1" t="s">
        <v>8</v>
      </c>
      <c r="E3517" s="3">
        <v>3355593</v>
      </c>
      <c r="F3517" s="3">
        <v>3356990</v>
      </c>
      <c r="G3517" s="1" t="s">
        <v>13</v>
      </c>
      <c r="H3517" s="1" t="b">
        <f t="shared" si="133"/>
        <v>1</v>
      </c>
    </row>
    <row r="3518" spans="1:8" ht="21" x14ac:dyDescent="0.25">
      <c r="A3518" s="2" t="str">
        <f>HYPERLINK("https://rth.dk/resources/bsgatlas/details.php?id=BSGatlas-operon-1849","BSGatlas-operon-1849")</f>
        <v>BSGatlas-operon-1849</v>
      </c>
      <c r="B3518" s="2" t="str">
        <f>HYPERLINK("https://rth.dk/resources/bsgatlas/details.php?id=BSGatlas-gene-3833","BSGatlas-gene-3833")</f>
        <v>BSGatlas-gene-3833</v>
      </c>
      <c r="C3518" s="1" t="s">
        <v>3483</v>
      </c>
      <c r="D3518" s="1" t="s">
        <v>8</v>
      </c>
      <c r="E3518" s="3">
        <v>3357011</v>
      </c>
      <c r="F3518" s="3">
        <v>3357454</v>
      </c>
      <c r="G3518" s="1" t="s">
        <v>13</v>
      </c>
      <c r="H3518" s="1" t="b">
        <f t="shared" si="133"/>
        <v>1</v>
      </c>
    </row>
    <row r="3519" spans="1:8" ht="21" x14ac:dyDescent="0.25">
      <c r="A3519" s="2" t="str">
        <f>HYPERLINK("https://rth.dk/resources/bsgatlas/details.php?id=BSGatlas-operon-1849","BSGatlas-operon-1849")</f>
        <v>BSGatlas-operon-1849</v>
      </c>
      <c r="B3519" s="2" t="str">
        <f>HYPERLINK("https://rth.dk/resources/bsgatlas/details.php?id=BSGatlas-gene-3834","BSGatlas-gene-3834")</f>
        <v>BSGatlas-gene-3834</v>
      </c>
      <c r="C3519" s="1" t="s">
        <v>3484</v>
      </c>
      <c r="D3519" s="1" t="s">
        <v>8</v>
      </c>
      <c r="E3519" s="3">
        <v>3357444</v>
      </c>
      <c r="F3519" s="3">
        <v>3358664</v>
      </c>
      <c r="G3519" s="1" t="s">
        <v>13</v>
      </c>
      <c r="H3519" s="1" t="b">
        <f t="shared" si="133"/>
        <v>1</v>
      </c>
    </row>
    <row r="3520" spans="1:8" ht="21" x14ac:dyDescent="0.25">
      <c r="A3520" s="2" t="str">
        <f>HYPERLINK("https://rth.dk/resources/bsgatlas/details.php?id=BSGatlas-operon-1849","BSGatlas-operon-1849")</f>
        <v>BSGatlas-operon-1849</v>
      </c>
      <c r="B3520" s="2" t="str">
        <f>HYPERLINK("https://rth.dk/resources/bsgatlas/details.php?id=BSGatlas-gene-3835","BSGatlas-gene-3835")</f>
        <v>BSGatlas-gene-3835</v>
      </c>
      <c r="C3520" s="1" t="s">
        <v>3485</v>
      </c>
      <c r="D3520" s="1" t="s">
        <v>8</v>
      </c>
      <c r="E3520" s="3">
        <v>3358664</v>
      </c>
      <c r="F3520" s="3">
        <v>3359977</v>
      </c>
      <c r="G3520" s="1" t="s">
        <v>13</v>
      </c>
      <c r="H3520" s="1" t="b">
        <f t="shared" si="133"/>
        <v>1</v>
      </c>
    </row>
    <row r="3521" spans="1:8" ht="21" x14ac:dyDescent="0.25">
      <c r="A3521" s="2" t="str">
        <f>HYPERLINK("https://rth.dk/resources/bsgatlas/details.php?id=BSGatlas-operon-1849","BSGatlas-operon-1849")</f>
        <v>BSGatlas-operon-1849</v>
      </c>
      <c r="B3521" s="2" t="str">
        <f>HYPERLINK("https://rth.dk/resources/bsgatlas/details.php?id=BSGatlas-gene-3836","BSGatlas-gene-3836")</f>
        <v>BSGatlas-gene-3836</v>
      </c>
      <c r="C3521" s="1" t="s">
        <v>3486</v>
      </c>
      <c r="D3521" s="1" t="s">
        <v>8</v>
      </c>
      <c r="E3521" s="3">
        <v>3359995</v>
      </c>
      <c r="F3521" s="3">
        <v>3360780</v>
      </c>
      <c r="G3521" s="1" t="s">
        <v>13</v>
      </c>
      <c r="H3521" s="1" t="b">
        <f t="shared" si="133"/>
        <v>1</v>
      </c>
    </row>
    <row r="3522" spans="1:8" ht="21" x14ac:dyDescent="0.25">
      <c r="A3522" s="2" t="str">
        <f>HYPERLINK("https://rth.dk/resources/bsgatlas/details.php?id=BSGatlas-operon-1850","BSGatlas-operon-1850")</f>
        <v>BSGatlas-operon-1850</v>
      </c>
      <c r="B3522" s="2" t="str">
        <f>HYPERLINK("https://rth.dk/resources/bsgatlas/details.php?id=BSGatlas-gene-3837","BSGatlas-gene-3837")</f>
        <v>BSGatlas-gene-3837</v>
      </c>
      <c r="C3522" s="1" t="s">
        <v>3487</v>
      </c>
      <c r="D3522" s="1" t="s">
        <v>55</v>
      </c>
      <c r="E3522" s="3">
        <v>3360937</v>
      </c>
      <c r="F3522" s="3">
        <v>3361184</v>
      </c>
      <c r="G3522" s="1" t="s">
        <v>13</v>
      </c>
      <c r="H3522" s="1" t="b">
        <f t="shared" ref="H3522:H3585" si="135">_xlfn.XOR(A3521&lt;&gt;A3522,H3521)</f>
        <v>0</v>
      </c>
    </row>
    <row r="3523" spans="1:8" ht="21" x14ac:dyDescent="0.25">
      <c r="A3523" s="2" t="str">
        <f>HYPERLINK("https://rth.dk/resources/bsgatlas/details.php?id=BSGatlas-operon-1850","BSGatlas-operon-1850")</f>
        <v>BSGatlas-operon-1850</v>
      </c>
      <c r="B3523" s="2" t="str">
        <f>HYPERLINK("https://rth.dk/resources/bsgatlas/details.php?id=BSGatlas-gene-3838","BSGatlas-gene-3838")</f>
        <v>BSGatlas-gene-3838</v>
      </c>
      <c r="C3523" s="1" t="s">
        <v>3488</v>
      </c>
      <c r="D3523" s="1" t="s">
        <v>8</v>
      </c>
      <c r="E3523" s="3">
        <v>3360974</v>
      </c>
      <c r="F3523" s="3">
        <v>3361111</v>
      </c>
      <c r="G3523" s="1" t="s">
        <v>13</v>
      </c>
      <c r="H3523" s="1" t="b">
        <f t="shared" si="135"/>
        <v>0</v>
      </c>
    </row>
    <row r="3524" spans="1:8" ht="21" x14ac:dyDescent="0.25">
      <c r="A3524" s="2" t="str">
        <f>HYPERLINK("https://rth.dk/resources/bsgatlas/details.php?id=BSGatlas-operon-1850","BSGatlas-operon-1850")</f>
        <v>BSGatlas-operon-1850</v>
      </c>
      <c r="B3524" s="2" t="str">
        <f>HYPERLINK("https://rth.dk/resources/bsgatlas/details.php?id=BSGatlas-gene-3839","BSGatlas-gene-3839")</f>
        <v>BSGatlas-gene-3839</v>
      </c>
      <c r="C3524" s="1" t="s">
        <v>3489</v>
      </c>
      <c r="D3524" s="1" t="s">
        <v>8</v>
      </c>
      <c r="E3524" s="3">
        <v>3361305</v>
      </c>
      <c r="F3524" s="3">
        <v>3361682</v>
      </c>
      <c r="G3524" s="1" t="s">
        <v>13</v>
      </c>
      <c r="H3524" s="1" t="b">
        <f t="shared" si="135"/>
        <v>0</v>
      </c>
    </row>
    <row r="3525" spans="1:8" ht="21" x14ac:dyDescent="0.25">
      <c r="A3525" s="2" t="str">
        <f>HYPERLINK("https://rth.dk/resources/bsgatlas/details.php?id=BSGatlas-operon-1851","BSGatlas-operon-1851")</f>
        <v>BSGatlas-operon-1851</v>
      </c>
      <c r="B3525" s="2" t="str">
        <f>HYPERLINK("https://rth.dk/resources/bsgatlas/details.php?id=BSGatlas-gene-3840","BSGatlas-gene-3840")</f>
        <v>BSGatlas-gene-3840</v>
      </c>
      <c r="C3525" s="1" t="s">
        <v>3490</v>
      </c>
      <c r="D3525" s="1" t="s">
        <v>8</v>
      </c>
      <c r="E3525" s="3">
        <v>3361767</v>
      </c>
      <c r="F3525" s="3">
        <v>3362591</v>
      </c>
      <c r="G3525" s="1" t="s">
        <v>13</v>
      </c>
      <c r="H3525" s="1" t="b">
        <f t="shared" si="135"/>
        <v>1</v>
      </c>
    </row>
    <row r="3526" spans="1:8" ht="21" x14ac:dyDescent="0.25">
      <c r="A3526" s="2" t="str">
        <f>HYPERLINK("https://rth.dk/resources/bsgatlas/details.php?id=BSGatlas-operon-1851","BSGatlas-operon-1851")</f>
        <v>BSGatlas-operon-1851</v>
      </c>
      <c r="B3526" s="2" t="str">
        <f>HYPERLINK("https://rth.dk/resources/bsgatlas/details.php?id=BSGatlas-gene-3841","BSGatlas-gene-3841")</f>
        <v>BSGatlas-gene-3841</v>
      </c>
      <c r="C3526" s="1" t="s">
        <v>3491</v>
      </c>
      <c r="D3526" s="1" t="s">
        <v>8</v>
      </c>
      <c r="E3526" s="3">
        <v>3362605</v>
      </c>
      <c r="F3526" s="3">
        <v>3363273</v>
      </c>
      <c r="G3526" s="1" t="s">
        <v>13</v>
      </c>
      <c r="H3526" s="1" t="b">
        <f t="shared" si="135"/>
        <v>1</v>
      </c>
    </row>
    <row r="3527" spans="1:8" ht="21" x14ac:dyDescent="0.25">
      <c r="A3527" s="2" t="str">
        <f>HYPERLINK("https://rth.dk/resources/bsgatlas/details.php?id=BSGatlas-operon-1851","BSGatlas-operon-1851")</f>
        <v>BSGatlas-operon-1851</v>
      </c>
      <c r="B3527" s="2" t="str">
        <f>HYPERLINK("https://rth.dk/resources/bsgatlas/details.php?id=BSGatlas-gene-3842","BSGatlas-gene-3842")</f>
        <v>BSGatlas-gene-3842</v>
      </c>
      <c r="C3527" s="1" t="s">
        <v>3492</v>
      </c>
      <c r="D3527" s="1" t="s">
        <v>8</v>
      </c>
      <c r="E3527" s="3">
        <v>3363266</v>
      </c>
      <c r="F3527" s="3">
        <v>3364291</v>
      </c>
      <c r="G3527" s="1" t="s">
        <v>13</v>
      </c>
      <c r="H3527" s="1" t="b">
        <f t="shared" si="135"/>
        <v>1</v>
      </c>
    </row>
    <row r="3528" spans="1:8" ht="21" x14ac:dyDescent="0.25">
      <c r="A3528" s="2" t="str">
        <f>HYPERLINK("https://rth.dk/resources/bsgatlas/details.php?id=BSGatlas-operon-1852","BSGatlas-operon-1852")</f>
        <v>BSGatlas-operon-1852</v>
      </c>
      <c r="B3528" s="2" t="str">
        <f>HYPERLINK("https://rth.dk/resources/bsgatlas/details.php?id=BSGatlas-gene-3843","BSGatlas-gene-3843")</f>
        <v>BSGatlas-gene-3843</v>
      </c>
      <c r="C3528" s="1" t="s">
        <v>3493</v>
      </c>
      <c r="D3528" s="1" t="s">
        <v>34</v>
      </c>
      <c r="E3528" s="3">
        <v>3364396</v>
      </c>
      <c r="F3528" s="3">
        <v>3364503</v>
      </c>
      <c r="G3528" s="1" t="s">
        <v>13</v>
      </c>
      <c r="H3528" s="1" t="b">
        <f t="shared" si="135"/>
        <v>0</v>
      </c>
    </row>
    <row r="3529" spans="1:8" ht="21" x14ac:dyDescent="0.25">
      <c r="A3529" s="2" t="str">
        <f>HYPERLINK("https://rth.dk/resources/bsgatlas/details.php?id=BSGatlas-operon-1853","BSGatlas-operon-1853")</f>
        <v>BSGatlas-operon-1853</v>
      </c>
      <c r="B3529" s="2" t="str">
        <f>HYPERLINK("https://rth.dk/resources/bsgatlas/details.php?id=BSGatlas-gene-3844","BSGatlas-gene-3844")</f>
        <v>BSGatlas-gene-3844</v>
      </c>
      <c r="C3529" s="1" t="s">
        <v>3494</v>
      </c>
      <c r="D3529" s="1" t="s">
        <v>8</v>
      </c>
      <c r="E3529" s="3">
        <v>3364618</v>
      </c>
      <c r="F3529" s="3">
        <v>3364962</v>
      </c>
      <c r="G3529" s="1" t="s">
        <v>13</v>
      </c>
      <c r="H3529" s="1" t="b">
        <f t="shared" si="135"/>
        <v>1</v>
      </c>
    </row>
    <row r="3530" spans="1:8" ht="21" x14ac:dyDescent="0.25">
      <c r="A3530" s="2" t="str">
        <f>HYPERLINK("https://rth.dk/resources/bsgatlas/details.php?id=BSGatlas-operon-1853","BSGatlas-operon-1853")</f>
        <v>BSGatlas-operon-1853</v>
      </c>
      <c r="B3530" s="2" t="str">
        <f>HYPERLINK("https://rth.dk/resources/bsgatlas/details.php?id=BSGatlas-gene-3845","BSGatlas-gene-3845")</f>
        <v>BSGatlas-gene-3845</v>
      </c>
      <c r="C3530" s="1" t="s">
        <v>3495</v>
      </c>
      <c r="D3530" s="1" t="s">
        <v>8</v>
      </c>
      <c r="E3530" s="3">
        <v>3365069</v>
      </c>
      <c r="F3530" s="3">
        <v>3365389</v>
      </c>
      <c r="G3530" s="1" t="s">
        <v>13</v>
      </c>
      <c r="H3530" s="1" t="b">
        <f t="shared" si="135"/>
        <v>1</v>
      </c>
    </row>
    <row r="3531" spans="1:8" ht="21" x14ac:dyDescent="0.25">
      <c r="A3531" s="2" t="str">
        <f>HYPERLINK("https://rth.dk/resources/bsgatlas/details.php?id=BSGatlas-operon-1854","BSGatlas-operon-1854")</f>
        <v>BSGatlas-operon-1854</v>
      </c>
      <c r="B3531" s="2" t="str">
        <f>HYPERLINK("https://rth.dk/resources/bsgatlas/details.php?id=BSGatlas-gene-3847","BSGatlas-gene-3847")</f>
        <v>BSGatlas-gene-3847</v>
      </c>
      <c r="C3531" s="1" t="s">
        <v>3496</v>
      </c>
      <c r="D3531" s="1" t="s">
        <v>8</v>
      </c>
      <c r="E3531" s="3">
        <v>3365831</v>
      </c>
      <c r="F3531" s="3">
        <v>3366067</v>
      </c>
      <c r="G3531" s="1" t="s">
        <v>13</v>
      </c>
      <c r="H3531" s="1" t="b">
        <f t="shared" si="135"/>
        <v>0</v>
      </c>
    </row>
    <row r="3532" spans="1:8" ht="21" x14ac:dyDescent="0.25">
      <c r="A3532" s="2" t="str">
        <f>HYPERLINK("https://rth.dk/resources/bsgatlas/details.php?id=BSGatlas-operon-1854","BSGatlas-operon-1854")</f>
        <v>BSGatlas-operon-1854</v>
      </c>
      <c r="B3532" s="2" t="str">
        <f>HYPERLINK("https://rth.dk/resources/bsgatlas/details.php?id=BSGatlas-gene-3848","BSGatlas-gene-3848")</f>
        <v>BSGatlas-gene-3848</v>
      </c>
      <c r="C3532" s="1" t="s">
        <v>3497</v>
      </c>
      <c r="D3532" s="1" t="s">
        <v>8</v>
      </c>
      <c r="E3532" s="3">
        <v>3366123</v>
      </c>
      <c r="F3532" s="3">
        <v>3366506</v>
      </c>
      <c r="G3532" s="1" t="s">
        <v>13</v>
      </c>
      <c r="H3532" s="1" t="b">
        <f t="shared" si="135"/>
        <v>0</v>
      </c>
    </row>
    <row r="3533" spans="1:8" ht="21" x14ac:dyDescent="0.25">
      <c r="A3533" s="2" t="str">
        <f>HYPERLINK("https://rth.dk/resources/bsgatlas/details.php?id=BSGatlas-operon-1854","BSGatlas-operon-1854")</f>
        <v>BSGatlas-operon-1854</v>
      </c>
      <c r="B3533" s="2" t="str">
        <f>HYPERLINK("https://rth.dk/resources/bsgatlas/details.php?id=BSGatlas-gene-3849","BSGatlas-gene-3849")</f>
        <v>BSGatlas-gene-3849</v>
      </c>
      <c r="C3533" s="1" t="s">
        <v>3498</v>
      </c>
      <c r="D3533" s="1" t="s">
        <v>8</v>
      </c>
      <c r="E3533" s="3">
        <v>3366573</v>
      </c>
      <c r="F3533" s="3">
        <v>3366929</v>
      </c>
      <c r="G3533" s="1" t="s">
        <v>13</v>
      </c>
      <c r="H3533" s="1" t="b">
        <f t="shared" si="135"/>
        <v>0</v>
      </c>
    </row>
    <row r="3534" spans="1:8" ht="21" x14ac:dyDescent="0.25">
      <c r="A3534" s="2" t="str">
        <f>HYPERLINK("https://rth.dk/resources/bsgatlas/details.php?id=BSGatlas-operon-1855","BSGatlas-operon-1855")</f>
        <v>BSGatlas-operon-1855</v>
      </c>
      <c r="B3534" s="2" t="str">
        <f>HYPERLINK("https://rth.dk/resources/bsgatlas/details.php?id=BSGatlas-gene-3850","BSGatlas-gene-3850")</f>
        <v>BSGatlas-gene-3850</v>
      </c>
      <c r="C3534" s="1" t="s">
        <v>3499</v>
      </c>
      <c r="D3534" s="1" t="s">
        <v>8</v>
      </c>
      <c r="E3534" s="3">
        <v>3367040</v>
      </c>
      <c r="F3534" s="3">
        <v>3368824</v>
      </c>
      <c r="G3534" s="1" t="s">
        <v>13</v>
      </c>
      <c r="H3534" s="1" t="b">
        <f t="shared" si="135"/>
        <v>1</v>
      </c>
    </row>
    <row r="3535" spans="1:8" ht="21" x14ac:dyDescent="0.25">
      <c r="A3535" s="2" t="str">
        <f>HYPERLINK("https://rth.dk/resources/bsgatlas/details.php?id=BSGatlas-operon-1855","BSGatlas-operon-1855")</f>
        <v>BSGatlas-operon-1855</v>
      </c>
      <c r="B3535" s="2" t="str">
        <f>HYPERLINK("https://rth.dk/resources/bsgatlas/details.php?id=BSGatlas-gene-3851","BSGatlas-gene-3851")</f>
        <v>BSGatlas-gene-3851</v>
      </c>
      <c r="C3535" s="1" t="s">
        <v>3500</v>
      </c>
      <c r="D3535" s="1" t="s">
        <v>8</v>
      </c>
      <c r="E3535" s="3">
        <v>3368839</v>
      </c>
      <c r="F3535" s="3">
        <v>3370014</v>
      </c>
      <c r="G3535" s="1" t="s">
        <v>13</v>
      </c>
      <c r="H3535" s="1" t="b">
        <f t="shared" si="135"/>
        <v>1</v>
      </c>
    </row>
    <row r="3536" spans="1:8" ht="21" x14ac:dyDescent="0.25">
      <c r="A3536" s="2" t="str">
        <f>HYPERLINK("https://rth.dk/resources/bsgatlas/details.php?id=BSGatlas-operon-1855","BSGatlas-operon-1855")</f>
        <v>BSGatlas-operon-1855</v>
      </c>
      <c r="B3536" s="2" t="str">
        <f>HYPERLINK("https://rth.dk/resources/bsgatlas/details.php?id=BSGatlas-gene-3852","BSGatlas-gene-3852")</f>
        <v>BSGatlas-gene-3852</v>
      </c>
      <c r="C3536" s="1" t="s">
        <v>3501</v>
      </c>
      <c r="D3536" s="1" t="s">
        <v>8</v>
      </c>
      <c r="E3536" s="3">
        <v>3370025</v>
      </c>
      <c r="F3536" s="3">
        <v>3372394</v>
      </c>
      <c r="G3536" s="1" t="s">
        <v>13</v>
      </c>
      <c r="H3536" s="1" t="b">
        <f t="shared" si="135"/>
        <v>1</v>
      </c>
    </row>
    <row r="3537" spans="1:8" ht="21" x14ac:dyDescent="0.25">
      <c r="A3537" s="2" t="str">
        <f>HYPERLINK("https://rth.dk/resources/bsgatlas/details.php?id=BSGatlas-operon-1855","BSGatlas-operon-1855")</f>
        <v>BSGatlas-operon-1855</v>
      </c>
      <c r="B3537" s="2" t="str">
        <f>HYPERLINK("https://rth.dk/resources/bsgatlas/details.php?id=BSGatlas-gene-3854","BSGatlas-gene-3854")</f>
        <v>BSGatlas-gene-3854</v>
      </c>
      <c r="C3537" s="1" t="s">
        <v>3502</v>
      </c>
      <c r="D3537" s="1" t="s">
        <v>8</v>
      </c>
      <c r="E3537" s="3">
        <v>3372740</v>
      </c>
      <c r="F3537" s="3">
        <v>3373648</v>
      </c>
      <c r="G3537" s="1" t="s">
        <v>13</v>
      </c>
      <c r="H3537" s="1" t="b">
        <f t="shared" si="135"/>
        <v>1</v>
      </c>
    </row>
    <row r="3538" spans="1:8" ht="21" x14ac:dyDescent="0.25">
      <c r="A3538" s="2" t="str">
        <f>HYPERLINK("https://rth.dk/resources/bsgatlas/details.php?id=BSGatlas-operon-1856","BSGatlas-operon-1856")</f>
        <v>BSGatlas-operon-1856</v>
      </c>
      <c r="B3538" s="2" t="str">
        <f>HYPERLINK("https://rth.dk/resources/bsgatlas/details.php?id=BSGatlas-gene-3853","BSGatlas-gene-3853")</f>
        <v>BSGatlas-gene-3853</v>
      </c>
      <c r="C3538" s="1" t="s">
        <v>3503</v>
      </c>
      <c r="D3538" s="1" t="s">
        <v>8</v>
      </c>
      <c r="E3538" s="3">
        <v>3372569</v>
      </c>
      <c r="F3538" s="3">
        <v>3372715</v>
      </c>
      <c r="G3538" s="1" t="s">
        <v>9</v>
      </c>
      <c r="H3538" s="1" t="b">
        <f t="shared" si="135"/>
        <v>0</v>
      </c>
    </row>
    <row r="3539" spans="1:8" ht="21" x14ac:dyDescent="0.25">
      <c r="A3539" s="2" t="str">
        <f>HYPERLINK("https://rth.dk/resources/bsgatlas/details.php?id=BSGatlas-operon-1857","BSGatlas-operon-1857")</f>
        <v>BSGatlas-operon-1857</v>
      </c>
      <c r="B3539" s="2" t="str">
        <f>HYPERLINK("https://rth.dk/resources/bsgatlas/details.php?id=BSGatlas-gene-3855","BSGatlas-gene-3855")</f>
        <v>BSGatlas-gene-3855</v>
      </c>
      <c r="C3539" s="1" t="s">
        <v>3504</v>
      </c>
      <c r="D3539" s="1" t="s">
        <v>8</v>
      </c>
      <c r="E3539" s="3">
        <v>3373743</v>
      </c>
      <c r="F3539" s="3">
        <v>3373988</v>
      </c>
      <c r="G3539" s="1" t="s">
        <v>9</v>
      </c>
      <c r="H3539" s="1" t="b">
        <f t="shared" si="135"/>
        <v>1</v>
      </c>
    </row>
    <row r="3540" spans="1:8" ht="21" x14ac:dyDescent="0.25">
      <c r="A3540" s="2" t="str">
        <f>HYPERLINK("https://rth.dk/resources/bsgatlas/details.php?id=BSGatlas-operon-1857","BSGatlas-operon-1857")</f>
        <v>BSGatlas-operon-1857</v>
      </c>
      <c r="B3540" s="2" t="str">
        <f>HYPERLINK("https://rth.dk/resources/bsgatlas/details.php?id=BSGatlas-gene-3856","BSGatlas-gene-3856")</f>
        <v>BSGatlas-gene-3856</v>
      </c>
      <c r="C3540" s="1" t="s">
        <v>3505</v>
      </c>
      <c r="D3540" s="1" t="s">
        <v>8</v>
      </c>
      <c r="E3540" s="3">
        <v>3374001</v>
      </c>
      <c r="F3540" s="3">
        <v>3374333</v>
      </c>
      <c r="G3540" s="1" t="s">
        <v>9</v>
      </c>
      <c r="H3540" s="1" t="b">
        <f t="shared" si="135"/>
        <v>1</v>
      </c>
    </row>
    <row r="3541" spans="1:8" ht="21" x14ac:dyDescent="0.25">
      <c r="A3541" s="2" t="str">
        <f>HYPERLINK("https://rth.dk/resources/bsgatlas/details.php?id=BSGatlas-operon-1858","BSGatlas-operon-1858")</f>
        <v>BSGatlas-operon-1858</v>
      </c>
      <c r="B3541" s="2" t="str">
        <f>HYPERLINK("https://rth.dk/resources/bsgatlas/details.php?id=BSGatlas-gene-3857","BSGatlas-gene-3857")</f>
        <v>BSGatlas-gene-3857</v>
      </c>
      <c r="C3541" s="1" t="s">
        <v>3506</v>
      </c>
      <c r="D3541" s="1" t="s">
        <v>8</v>
      </c>
      <c r="E3541" s="3">
        <v>3374492</v>
      </c>
      <c r="F3541" s="3">
        <v>3374959</v>
      </c>
      <c r="G3541" s="1" t="s">
        <v>9</v>
      </c>
      <c r="H3541" s="1" t="b">
        <f t="shared" si="135"/>
        <v>0</v>
      </c>
    </row>
    <row r="3542" spans="1:8" ht="21" x14ac:dyDescent="0.25">
      <c r="A3542" s="2" t="str">
        <f>HYPERLINK("https://rth.dk/resources/bsgatlas/details.php?id=BSGatlas-operon-1858","BSGatlas-operon-1858")</f>
        <v>BSGatlas-operon-1858</v>
      </c>
      <c r="B3542" s="2" t="str">
        <f>HYPERLINK("https://rth.dk/resources/bsgatlas/details.php?id=BSGatlas-gene-3858","BSGatlas-gene-3858")</f>
        <v>BSGatlas-gene-3858</v>
      </c>
      <c r="C3542" s="1" t="s">
        <v>3507</v>
      </c>
      <c r="D3542" s="1" t="s">
        <v>8</v>
      </c>
      <c r="E3542" s="3">
        <v>3374956</v>
      </c>
      <c r="F3542" s="3">
        <v>3376581</v>
      </c>
      <c r="G3542" s="1" t="s">
        <v>9</v>
      </c>
      <c r="H3542" s="1" t="b">
        <f t="shared" si="135"/>
        <v>0</v>
      </c>
    </row>
    <row r="3543" spans="1:8" ht="21" x14ac:dyDescent="0.25">
      <c r="A3543" s="2" t="str">
        <f>HYPERLINK("https://rth.dk/resources/bsgatlas/details.php?id=BSGatlas-operon-1859","BSGatlas-operon-1859")</f>
        <v>BSGatlas-operon-1859</v>
      </c>
      <c r="B3543" s="2" t="str">
        <f>HYPERLINK("https://rth.dk/resources/bsgatlas/details.php?id=BSGatlas-gene-3859","BSGatlas-gene-3859")</f>
        <v>BSGatlas-gene-3859</v>
      </c>
      <c r="C3543" s="1" t="s">
        <v>3508</v>
      </c>
      <c r="D3543" s="1" t="s">
        <v>8</v>
      </c>
      <c r="E3543" s="3">
        <v>3376617</v>
      </c>
      <c r="F3543" s="3">
        <v>3377000</v>
      </c>
      <c r="G3543" s="1" t="s">
        <v>13</v>
      </c>
      <c r="H3543" s="1" t="b">
        <f t="shared" si="135"/>
        <v>1</v>
      </c>
    </row>
    <row r="3544" spans="1:8" ht="21" x14ac:dyDescent="0.25">
      <c r="A3544" s="2" t="str">
        <f>HYPERLINK("https://rth.dk/resources/bsgatlas/details.php?id=BSGatlas-operon-1859","BSGatlas-operon-1859")</f>
        <v>BSGatlas-operon-1859</v>
      </c>
      <c r="B3544" s="2" t="str">
        <f>HYPERLINK("https://rth.dk/resources/bsgatlas/details.php?id=BSGatlas-gene-3860","BSGatlas-gene-3860")</f>
        <v>BSGatlas-gene-3860</v>
      </c>
      <c r="C3544" s="1" t="s">
        <v>3509</v>
      </c>
      <c r="D3544" s="1" t="s">
        <v>8</v>
      </c>
      <c r="E3544" s="3">
        <v>3377019</v>
      </c>
      <c r="F3544" s="3">
        <v>3377408</v>
      </c>
      <c r="G3544" s="1" t="s">
        <v>13</v>
      </c>
      <c r="H3544" s="1" t="b">
        <f t="shared" si="135"/>
        <v>1</v>
      </c>
    </row>
    <row r="3545" spans="1:8" ht="21" x14ac:dyDescent="0.25">
      <c r="A3545" s="2" t="str">
        <f>HYPERLINK("https://rth.dk/resources/bsgatlas/details.php?id=BSGatlas-operon-1859","BSGatlas-operon-1859")</f>
        <v>BSGatlas-operon-1859</v>
      </c>
      <c r="B3545" s="2" t="str">
        <f>HYPERLINK("https://rth.dk/resources/bsgatlas/details.php?id=BSGatlas-gene-3861","BSGatlas-gene-3861")</f>
        <v>BSGatlas-gene-3861</v>
      </c>
      <c r="C3545" s="1" t="s">
        <v>3510</v>
      </c>
      <c r="D3545" s="1" t="s">
        <v>8</v>
      </c>
      <c r="E3545" s="3">
        <v>3377430</v>
      </c>
      <c r="F3545" s="3">
        <v>3377759</v>
      </c>
      <c r="G3545" s="1" t="s">
        <v>13</v>
      </c>
      <c r="H3545" s="1" t="b">
        <f t="shared" si="135"/>
        <v>1</v>
      </c>
    </row>
    <row r="3546" spans="1:8" ht="21" x14ac:dyDescent="0.25">
      <c r="A3546" s="2" t="str">
        <f>HYPERLINK("https://rth.dk/resources/bsgatlas/details.php?id=BSGatlas-operon-1860","BSGatlas-operon-1860")</f>
        <v>BSGatlas-operon-1860</v>
      </c>
      <c r="B3546" s="2" t="str">
        <f>HYPERLINK("https://rth.dk/resources/bsgatlas/details.php?id=BSGatlas-gene-3862","BSGatlas-gene-3862")</f>
        <v>BSGatlas-gene-3862</v>
      </c>
      <c r="C3546" s="1" t="s">
        <v>3511</v>
      </c>
      <c r="D3546" s="1" t="s">
        <v>8</v>
      </c>
      <c r="E3546" s="3">
        <v>3377893</v>
      </c>
      <c r="F3546" s="3">
        <v>3378780</v>
      </c>
      <c r="G3546" s="1" t="s">
        <v>9</v>
      </c>
      <c r="H3546" s="1" t="b">
        <f t="shared" si="135"/>
        <v>0</v>
      </c>
    </row>
    <row r="3547" spans="1:8" ht="21" x14ac:dyDescent="0.25">
      <c r="A3547" s="2" t="str">
        <f>HYPERLINK("https://rth.dk/resources/bsgatlas/details.php?id=BSGatlas-operon-1861","BSGatlas-operon-1861")</f>
        <v>BSGatlas-operon-1861</v>
      </c>
      <c r="B3547" s="2" t="str">
        <f>HYPERLINK("https://rth.dk/resources/bsgatlas/details.php?id=BSGatlas-gene-3863","BSGatlas-gene-3863")</f>
        <v>BSGatlas-gene-3863</v>
      </c>
      <c r="C3547" s="1" t="s">
        <v>3512</v>
      </c>
      <c r="D3547" s="1" t="s">
        <v>8</v>
      </c>
      <c r="E3547" s="3">
        <v>3378800</v>
      </c>
      <c r="F3547" s="3">
        <v>3379087</v>
      </c>
      <c r="G3547" s="1" t="s">
        <v>13</v>
      </c>
      <c r="H3547" s="1" t="b">
        <f t="shared" si="135"/>
        <v>1</v>
      </c>
    </row>
    <row r="3548" spans="1:8" ht="21" x14ac:dyDescent="0.25">
      <c r="A3548" s="2" t="str">
        <f>HYPERLINK("https://rth.dk/resources/bsgatlas/details.php?id=BSGatlas-operon-1861","BSGatlas-operon-1861")</f>
        <v>BSGatlas-operon-1861</v>
      </c>
      <c r="B3548" s="2" t="str">
        <f>HYPERLINK("https://rth.dk/resources/bsgatlas/details.php?id=BSGatlas-gene-3864","BSGatlas-gene-3864")</f>
        <v>BSGatlas-gene-3864</v>
      </c>
      <c r="C3548" s="1" t="s">
        <v>3513</v>
      </c>
      <c r="D3548" s="1" t="s">
        <v>8</v>
      </c>
      <c r="E3548" s="3">
        <v>3379112</v>
      </c>
      <c r="F3548" s="3">
        <v>3379939</v>
      </c>
      <c r="G3548" s="1" t="s">
        <v>13</v>
      </c>
      <c r="H3548" s="1" t="b">
        <f t="shared" si="135"/>
        <v>1</v>
      </c>
    </row>
    <row r="3549" spans="1:8" ht="21" x14ac:dyDescent="0.25">
      <c r="A3549" s="2" t="str">
        <f>HYPERLINK("https://rth.dk/resources/bsgatlas/details.php?id=BSGatlas-operon-1862","BSGatlas-operon-1862")</f>
        <v>BSGatlas-operon-1862</v>
      </c>
      <c r="B3549" s="2" t="str">
        <f>HYPERLINK("https://rth.dk/resources/bsgatlas/details.php?id=BSGatlas-gene-3865","BSGatlas-gene-3865")</f>
        <v>BSGatlas-gene-3865</v>
      </c>
      <c r="C3549" s="1" t="s">
        <v>3514</v>
      </c>
      <c r="D3549" s="1" t="s">
        <v>8</v>
      </c>
      <c r="E3549" s="3">
        <v>3380157</v>
      </c>
      <c r="F3549" s="3">
        <v>3380594</v>
      </c>
      <c r="G3549" s="1" t="s">
        <v>13</v>
      </c>
      <c r="H3549" s="1" t="b">
        <f t="shared" si="135"/>
        <v>0</v>
      </c>
    </row>
    <row r="3550" spans="1:8" ht="21" x14ac:dyDescent="0.25">
      <c r="A3550" s="2" t="str">
        <f>HYPERLINK("https://rth.dk/resources/bsgatlas/details.php?id=BSGatlas-operon-1863","BSGatlas-operon-1863")</f>
        <v>BSGatlas-operon-1863</v>
      </c>
      <c r="B3550" s="2" t="str">
        <f>HYPERLINK("https://rth.dk/resources/bsgatlas/details.php?id=BSGatlas-gene-3866","BSGatlas-gene-3866")</f>
        <v>BSGatlas-gene-3866</v>
      </c>
      <c r="C3550" s="1" t="s">
        <v>3515</v>
      </c>
      <c r="D3550" s="1" t="s">
        <v>276</v>
      </c>
      <c r="E3550" s="3">
        <v>3380704</v>
      </c>
      <c r="F3550" s="3">
        <v>3382212</v>
      </c>
      <c r="G3550" s="1" t="s">
        <v>13</v>
      </c>
      <c r="H3550" s="1" t="b">
        <f t="shared" si="135"/>
        <v>1</v>
      </c>
    </row>
    <row r="3551" spans="1:8" ht="21" x14ac:dyDescent="0.25">
      <c r="A3551" s="2" t="str">
        <f>HYPERLINK("https://rth.dk/resources/bsgatlas/details.php?id=BSGatlas-operon-1863","BSGatlas-operon-1863")</f>
        <v>BSGatlas-operon-1863</v>
      </c>
      <c r="B3551" s="2" t="str">
        <f>HYPERLINK("https://rth.dk/resources/bsgatlas/details.php?id=BSGatlas-gene-3867","BSGatlas-gene-3867")</f>
        <v>BSGatlas-gene-3867</v>
      </c>
      <c r="C3551" s="1" t="s">
        <v>3516</v>
      </c>
      <c r="D3551" s="1" t="s">
        <v>276</v>
      </c>
      <c r="E3551" s="3">
        <v>3382209</v>
      </c>
      <c r="F3551" s="3">
        <v>3382499</v>
      </c>
      <c r="G3551" s="1" t="s">
        <v>13</v>
      </c>
      <c r="H3551" s="1" t="b">
        <f t="shared" si="135"/>
        <v>1</v>
      </c>
    </row>
    <row r="3552" spans="1:8" ht="21" x14ac:dyDescent="0.25">
      <c r="A3552" s="2" t="str">
        <f>HYPERLINK("https://rth.dk/resources/bsgatlas/details.php?id=BSGatlas-operon-1864","BSGatlas-operon-1864")</f>
        <v>BSGatlas-operon-1864</v>
      </c>
      <c r="B3552" s="2" t="str">
        <f>HYPERLINK("https://rth.dk/resources/bsgatlas/details.php?id=BSGatlas-gene-3868","BSGatlas-gene-3868")</f>
        <v>BSGatlas-gene-3868</v>
      </c>
      <c r="C3552" s="1" t="s">
        <v>3517</v>
      </c>
      <c r="D3552" s="1" t="s">
        <v>8</v>
      </c>
      <c r="E3552" s="3">
        <v>3382633</v>
      </c>
      <c r="F3552" s="3">
        <v>3383475</v>
      </c>
      <c r="G3552" s="1" t="s">
        <v>9</v>
      </c>
      <c r="H3552" s="1" t="b">
        <f t="shared" si="135"/>
        <v>0</v>
      </c>
    </row>
    <row r="3553" spans="1:8" ht="21" x14ac:dyDescent="0.25">
      <c r="A3553" s="2" t="str">
        <f>HYPERLINK("https://rth.dk/resources/bsgatlas/details.php?id=BSGatlas-operon-1864","BSGatlas-operon-1864")</f>
        <v>BSGatlas-operon-1864</v>
      </c>
      <c r="B3553" s="2" t="str">
        <f>HYPERLINK("https://rth.dk/resources/bsgatlas/details.php?id=BSGatlas-gene-3869","BSGatlas-gene-3869")</f>
        <v>BSGatlas-gene-3869</v>
      </c>
      <c r="C3553" s="1" t="s">
        <v>3518</v>
      </c>
      <c r="D3553" s="1" t="s">
        <v>8</v>
      </c>
      <c r="E3553" s="3">
        <v>3383565</v>
      </c>
      <c r="F3553" s="3">
        <v>3384026</v>
      </c>
      <c r="G3553" s="1" t="s">
        <v>9</v>
      </c>
      <c r="H3553" s="1" t="b">
        <f t="shared" si="135"/>
        <v>0</v>
      </c>
    </row>
    <row r="3554" spans="1:8" ht="21" x14ac:dyDescent="0.25">
      <c r="A3554" s="2" t="str">
        <f>HYPERLINK("https://rth.dk/resources/bsgatlas/details.php?id=BSGatlas-operon-1865","BSGatlas-operon-1865")</f>
        <v>BSGatlas-operon-1865</v>
      </c>
      <c r="B3554" s="2" t="str">
        <f>HYPERLINK("https://rth.dk/resources/bsgatlas/details.php?id=BSGatlas-gene-3870","BSGatlas-gene-3870")</f>
        <v>BSGatlas-gene-3870</v>
      </c>
      <c r="C3554" s="1" t="s">
        <v>3519</v>
      </c>
      <c r="D3554" s="1" t="s">
        <v>8</v>
      </c>
      <c r="E3554" s="3">
        <v>3384070</v>
      </c>
      <c r="F3554" s="3">
        <v>3385446</v>
      </c>
      <c r="G3554" s="1" t="s">
        <v>13</v>
      </c>
      <c r="H3554" s="1" t="b">
        <f t="shared" si="135"/>
        <v>1</v>
      </c>
    </row>
    <row r="3555" spans="1:8" ht="21" x14ac:dyDescent="0.25">
      <c r="A3555" s="2" t="str">
        <f>HYPERLINK("https://rth.dk/resources/bsgatlas/details.php?id=BSGatlas-operon-1866","BSGatlas-operon-1866")</f>
        <v>BSGatlas-operon-1866</v>
      </c>
      <c r="B3555" s="2" t="str">
        <f>HYPERLINK("https://rth.dk/resources/bsgatlas/details.php?id=BSGatlas-gene-3871","BSGatlas-gene-3871")</f>
        <v>BSGatlas-gene-3871</v>
      </c>
      <c r="C3555" s="1" t="s">
        <v>3520</v>
      </c>
      <c r="D3555" s="1" t="s">
        <v>8</v>
      </c>
      <c r="E3555" s="3">
        <v>3385724</v>
      </c>
      <c r="F3555" s="3">
        <v>3386401</v>
      </c>
      <c r="G3555" s="1" t="s">
        <v>9</v>
      </c>
      <c r="H3555" s="1" t="b">
        <f t="shared" si="135"/>
        <v>0</v>
      </c>
    </row>
    <row r="3556" spans="1:8" ht="21" x14ac:dyDescent="0.25">
      <c r="A3556" s="2" t="str">
        <f>HYPERLINK("https://rth.dk/resources/bsgatlas/details.php?id=BSGatlas-operon-1866","BSGatlas-operon-1866")</f>
        <v>BSGatlas-operon-1866</v>
      </c>
      <c r="B3556" s="2" t="str">
        <f>HYPERLINK("https://rth.dk/resources/bsgatlas/details.php?id=BSGatlas-gene-3872","BSGatlas-gene-3872")</f>
        <v>BSGatlas-gene-3872</v>
      </c>
      <c r="C3556" s="1" t="s">
        <v>3521</v>
      </c>
      <c r="D3556" s="1" t="s">
        <v>8</v>
      </c>
      <c r="E3556" s="3">
        <v>3386398</v>
      </c>
      <c r="F3556" s="3">
        <v>3387753</v>
      </c>
      <c r="G3556" s="1" t="s">
        <v>9</v>
      </c>
      <c r="H3556" s="1" t="b">
        <f t="shared" si="135"/>
        <v>0</v>
      </c>
    </row>
    <row r="3557" spans="1:8" ht="21" x14ac:dyDescent="0.25">
      <c r="A3557" s="2" t="str">
        <f>HYPERLINK("https://rth.dk/resources/bsgatlas/details.php?id=BSGatlas-operon-1867","BSGatlas-operon-1867")</f>
        <v>BSGatlas-operon-1867</v>
      </c>
      <c r="B3557" s="2" t="str">
        <f>HYPERLINK("https://rth.dk/resources/bsgatlas/details.php?id=BSGatlas-gene-3873","BSGatlas-gene-3873")</f>
        <v>BSGatlas-gene-3873</v>
      </c>
      <c r="C3557" s="1" t="s">
        <v>3522</v>
      </c>
      <c r="D3557" s="1" t="s">
        <v>8</v>
      </c>
      <c r="E3557" s="3">
        <v>3387781</v>
      </c>
      <c r="F3557" s="3">
        <v>3387945</v>
      </c>
      <c r="G3557" s="1" t="s">
        <v>13</v>
      </c>
      <c r="H3557" s="1" t="b">
        <f t="shared" si="135"/>
        <v>1</v>
      </c>
    </row>
    <row r="3558" spans="1:8" ht="21" x14ac:dyDescent="0.25">
      <c r="A3558" s="2" t="str">
        <f>HYPERLINK("https://rth.dk/resources/bsgatlas/details.php?id=BSGatlas-operon-1868","BSGatlas-operon-1868")</f>
        <v>BSGatlas-operon-1868</v>
      </c>
      <c r="B3558" s="2" t="str">
        <f>HYPERLINK("https://rth.dk/resources/bsgatlas/details.php?id=BSGatlas-gene-3874","BSGatlas-gene-3874")</f>
        <v>BSGatlas-gene-3874</v>
      </c>
      <c r="C3558" s="1" t="s">
        <v>3523</v>
      </c>
      <c r="D3558" s="1" t="s">
        <v>8</v>
      </c>
      <c r="E3558" s="3">
        <v>3388113</v>
      </c>
      <c r="F3558" s="3">
        <v>3388988</v>
      </c>
      <c r="G3558" s="1" t="s">
        <v>9</v>
      </c>
      <c r="H3558" s="1" t="b">
        <f t="shared" si="135"/>
        <v>0</v>
      </c>
    </row>
    <row r="3559" spans="1:8" ht="21" x14ac:dyDescent="0.25">
      <c r="A3559" s="2" t="str">
        <f>HYPERLINK("https://rth.dk/resources/bsgatlas/details.php?id=BSGatlas-operon-1869","BSGatlas-operon-1869")</f>
        <v>BSGatlas-operon-1869</v>
      </c>
      <c r="B3559" s="2" t="str">
        <f>HYPERLINK("https://rth.dk/resources/bsgatlas/details.php?id=BSGatlas-gene-3875","BSGatlas-gene-3875")</f>
        <v>BSGatlas-gene-3875</v>
      </c>
      <c r="C3559" s="1" t="s">
        <v>3524</v>
      </c>
      <c r="D3559" s="1" t="s">
        <v>8</v>
      </c>
      <c r="E3559" s="3">
        <v>3389024</v>
      </c>
      <c r="F3559" s="3">
        <v>3390412</v>
      </c>
      <c r="G3559" s="1" t="s">
        <v>13</v>
      </c>
      <c r="H3559" s="1" t="b">
        <f t="shared" si="135"/>
        <v>1</v>
      </c>
    </row>
    <row r="3560" spans="1:8" ht="21" x14ac:dyDescent="0.25">
      <c r="A3560" s="2" t="str">
        <f>HYPERLINK("https://rth.dk/resources/bsgatlas/details.php?id=BSGatlas-operon-1869","BSGatlas-operon-1869")</f>
        <v>BSGatlas-operon-1869</v>
      </c>
      <c r="B3560" s="2" t="str">
        <f>HYPERLINK("https://rth.dk/resources/bsgatlas/details.php?id=BSGatlas-gene-3876","BSGatlas-gene-3876")</f>
        <v>BSGatlas-gene-3876</v>
      </c>
      <c r="C3560" s="1" t="s">
        <v>3525</v>
      </c>
      <c r="D3560" s="1" t="s">
        <v>8</v>
      </c>
      <c r="E3560" s="3">
        <v>3390479</v>
      </c>
      <c r="F3560" s="3">
        <v>3390664</v>
      </c>
      <c r="G3560" s="1" t="s">
        <v>13</v>
      </c>
      <c r="H3560" s="1" t="b">
        <f t="shared" si="135"/>
        <v>1</v>
      </c>
    </row>
    <row r="3561" spans="1:8" ht="21" x14ac:dyDescent="0.25">
      <c r="A3561" s="2" t="str">
        <f>HYPERLINK("https://rth.dk/resources/bsgatlas/details.php?id=BSGatlas-operon-1870","BSGatlas-operon-1870")</f>
        <v>BSGatlas-operon-1870</v>
      </c>
      <c r="B3561" s="2" t="str">
        <f>HYPERLINK("https://rth.dk/resources/bsgatlas/details.php?id=BSGatlas-gene-3877","BSGatlas-gene-3877")</f>
        <v>BSGatlas-gene-3877</v>
      </c>
      <c r="C3561" s="1" t="s">
        <v>3526</v>
      </c>
      <c r="D3561" s="1" t="s">
        <v>8</v>
      </c>
      <c r="E3561" s="3">
        <v>3390782</v>
      </c>
      <c r="F3561" s="3">
        <v>3392230</v>
      </c>
      <c r="G3561" s="1" t="s">
        <v>9</v>
      </c>
      <c r="H3561" s="1" t="b">
        <f t="shared" si="135"/>
        <v>0</v>
      </c>
    </row>
    <row r="3562" spans="1:8" ht="21" x14ac:dyDescent="0.25">
      <c r="A3562" s="2" t="str">
        <f>HYPERLINK("https://rth.dk/resources/bsgatlas/details.php?id=BSGatlas-operon-1870","BSGatlas-operon-1870")</f>
        <v>BSGatlas-operon-1870</v>
      </c>
      <c r="B3562" s="2" t="str">
        <f>HYPERLINK("https://rth.dk/resources/bsgatlas/details.php?id=BSGatlas-gene-3878","BSGatlas-gene-3878")</f>
        <v>BSGatlas-gene-3878</v>
      </c>
      <c r="C3562" s="1" t="s">
        <v>3527</v>
      </c>
      <c r="D3562" s="1" t="s">
        <v>8</v>
      </c>
      <c r="E3562" s="3">
        <v>3392199</v>
      </c>
      <c r="F3562" s="3">
        <v>3393296</v>
      </c>
      <c r="G3562" s="1" t="s">
        <v>9</v>
      </c>
      <c r="H3562" s="1" t="b">
        <f t="shared" si="135"/>
        <v>0</v>
      </c>
    </row>
    <row r="3563" spans="1:8" ht="21" x14ac:dyDescent="0.25">
      <c r="A3563" s="2" t="str">
        <f>HYPERLINK("https://rth.dk/resources/bsgatlas/details.php?id=BSGatlas-operon-1870","BSGatlas-operon-1870")</f>
        <v>BSGatlas-operon-1870</v>
      </c>
      <c r="B3563" s="2" t="str">
        <f>HYPERLINK("https://rth.dk/resources/bsgatlas/details.php?id=BSGatlas-gene-3879","BSGatlas-gene-3879")</f>
        <v>BSGatlas-gene-3879</v>
      </c>
      <c r="C3563" s="1" t="s">
        <v>3528</v>
      </c>
      <c r="D3563" s="1" t="s">
        <v>8</v>
      </c>
      <c r="E3563" s="3">
        <v>3393293</v>
      </c>
      <c r="F3563" s="3">
        <v>3394414</v>
      </c>
      <c r="G3563" s="1" t="s">
        <v>9</v>
      </c>
      <c r="H3563" s="1" t="b">
        <f t="shared" si="135"/>
        <v>0</v>
      </c>
    </row>
    <row r="3564" spans="1:8" ht="21" x14ac:dyDescent="0.25">
      <c r="A3564" s="2" t="str">
        <f t="shared" ref="A3564:A3569" si="136">HYPERLINK("https://rth.dk/resources/bsgatlas/details.php?id=BSGatlas-operon-1871","BSGatlas-operon-1871")</f>
        <v>BSGatlas-operon-1871</v>
      </c>
      <c r="B3564" s="2" t="str">
        <f>HYPERLINK("https://rth.dk/resources/bsgatlas/details.php?id=BSGatlas-gene-3880","BSGatlas-gene-3880")</f>
        <v>BSGatlas-gene-3880</v>
      </c>
      <c r="C3564" s="1" t="s">
        <v>3529</v>
      </c>
      <c r="D3564" s="1" t="s">
        <v>8</v>
      </c>
      <c r="E3564" s="3">
        <v>3394422</v>
      </c>
      <c r="F3564" s="3">
        <v>3395057</v>
      </c>
      <c r="G3564" s="1" t="s">
        <v>13</v>
      </c>
      <c r="H3564" s="1" t="b">
        <f t="shared" si="135"/>
        <v>1</v>
      </c>
    </row>
    <row r="3565" spans="1:8" ht="21" x14ac:dyDescent="0.25">
      <c r="A3565" s="2" t="str">
        <f t="shared" si="136"/>
        <v>BSGatlas-operon-1871</v>
      </c>
      <c r="B3565" s="2" t="str">
        <f>HYPERLINK("https://rth.dk/resources/bsgatlas/details.php?id=BSGatlas-gene-3881","BSGatlas-gene-3881")</f>
        <v>BSGatlas-gene-3881</v>
      </c>
      <c r="C3565" s="1" t="s">
        <v>3530</v>
      </c>
      <c r="D3565" s="1" t="s">
        <v>8</v>
      </c>
      <c r="E3565" s="3">
        <v>3395035</v>
      </c>
      <c r="F3565" s="3">
        <v>3396117</v>
      </c>
      <c r="G3565" s="1" t="s">
        <v>13</v>
      </c>
      <c r="H3565" s="1" t="b">
        <f t="shared" si="135"/>
        <v>1</v>
      </c>
    </row>
    <row r="3566" spans="1:8" ht="21" x14ac:dyDescent="0.25">
      <c r="A3566" s="2" t="str">
        <f t="shared" si="136"/>
        <v>BSGatlas-operon-1871</v>
      </c>
      <c r="B3566" s="2" t="str">
        <f>HYPERLINK("https://rth.dk/resources/bsgatlas/details.php?id=BSGatlas-gene-3882","BSGatlas-gene-3882")</f>
        <v>BSGatlas-gene-3882</v>
      </c>
      <c r="C3566" s="1" t="s">
        <v>3531</v>
      </c>
      <c r="D3566" s="1" t="s">
        <v>8</v>
      </c>
      <c r="E3566" s="3">
        <v>3396114</v>
      </c>
      <c r="F3566" s="3">
        <v>3396839</v>
      </c>
      <c r="G3566" s="1" t="s">
        <v>13</v>
      </c>
      <c r="H3566" s="1" t="b">
        <f t="shared" si="135"/>
        <v>1</v>
      </c>
    </row>
    <row r="3567" spans="1:8" ht="21" x14ac:dyDescent="0.25">
      <c r="A3567" s="2" t="str">
        <f t="shared" si="136"/>
        <v>BSGatlas-operon-1871</v>
      </c>
      <c r="B3567" s="2" t="str">
        <f>HYPERLINK("https://rth.dk/resources/bsgatlas/details.php?id=BSGatlas-gene-3883","BSGatlas-gene-3883")</f>
        <v>BSGatlas-gene-3883</v>
      </c>
      <c r="C3567" s="1" t="s">
        <v>3532</v>
      </c>
      <c r="D3567" s="1" t="s">
        <v>8</v>
      </c>
      <c r="E3567" s="3">
        <v>3396873</v>
      </c>
      <c r="F3567" s="3">
        <v>3397745</v>
      </c>
      <c r="G3567" s="1" t="s">
        <v>13</v>
      </c>
      <c r="H3567" s="1" t="b">
        <f t="shared" si="135"/>
        <v>1</v>
      </c>
    </row>
    <row r="3568" spans="1:8" ht="21" x14ac:dyDescent="0.25">
      <c r="A3568" s="2" t="str">
        <f t="shared" si="136"/>
        <v>BSGatlas-operon-1871</v>
      </c>
      <c r="B3568" s="2" t="str">
        <f>HYPERLINK("https://rth.dk/resources/bsgatlas/details.php?id=BSGatlas-gene-3884","BSGatlas-gene-3884")</f>
        <v>BSGatlas-gene-3884</v>
      </c>
      <c r="C3568" s="1" t="s">
        <v>3533</v>
      </c>
      <c r="D3568" s="1" t="s">
        <v>8</v>
      </c>
      <c r="E3568" s="3">
        <v>3397846</v>
      </c>
      <c r="F3568" s="3">
        <v>3398523</v>
      </c>
      <c r="G3568" s="1" t="s">
        <v>13</v>
      </c>
      <c r="H3568" s="1" t="b">
        <f t="shared" si="135"/>
        <v>1</v>
      </c>
    </row>
    <row r="3569" spans="1:8" ht="21" x14ac:dyDescent="0.25">
      <c r="A3569" s="2" t="str">
        <f t="shared" si="136"/>
        <v>BSGatlas-operon-1871</v>
      </c>
      <c r="B3569" s="2" t="str">
        <f>HYPERLINK("https://rth.dk/resources/bsgatlas/details.php?id=BSGatlas-gene-3885","BSGatlas-gene-3885")</f>
        <v>BSGatlas-gene-3885</v>
      </c>
      <c r="C3569" s="1" t="s">
        <v>3534</v>
      </c>
      <c r="D3569" s="1" t="s">
        <v>8</v>
      </c>
      <c r="E3569" s="3">
        <v>3398550</v>
      </c>
      <c r="F3569" s="3">
        <v>3398930</v>
      </c>
      <c r="G3569" s="1" t="s">
        <v>13</v>
      </c>
      <c r="H3569" s="1" t="b">
        <f t="shared" si="135"/>
        <v>1</v>
      </c>
    </row>
    <row r="3570" spans="1:8" ht="21" x14ac:dyDescent="0.25">
      <c r="A3570" s="2" t="str">
        <f>HYPERLINK("https://rth.dk/resources/bsgatlas/details.php?id=BSGatlas-operon-1872","BSGatlas-operon-1872")</f>
        <v>BSGatlas-operon-1872</v>
      </c>
      <c r="B3570" s="2" t="str">
        <f>HYPERLINK("https://rth.dk/resources/bsgatlas/details.php?id=BSGatlas-gene-3886","BSGatlas-gene-3886")</f>
        <v>BSGatlas-gene-3886</v>
      </c>
      <c r="C3570" s="1" t="s">
        <v>3535</v>
      </c>
      <c r="D3570" s="1" t="s">
        <v>8</v>
      </c>
      <c r="E3570" s="3">
        <v>3399092</v>
      </c>
      <c r="F3570" s="3">
        <v>3400360</v>
      </c>
      <c r="G3570" s="1" t="s">
        <v>13</v>
      </c>
      <c r="H3570" s="1" t="b">
        <f t="shared" si="135"/>
        <v>0</v>
      </c>
    </row>
    <row r="3571" spans="1:8" ht="21" x14ac:dyDescent="0.25">
      <c r="A3571" s="2" t="str">
        <f>HYPERLINK("https://rth.dk/resources/bsgatlas/details.php?id=BSGatlas-operon-1873","BSGatlas-operon-1873")</f>
        <v>BSGatlas-operon-1873</v>
      </c>
      <c r="B3571" s="2" t="str">
        <f>HYPERLINK("https://rth.dk/resources/bsgatlas/details.php?id=BSGatlas-gene-3887","BSGatlas-gene-3887")</f>
        <v>BSGatlas-gene-3887</v>
      </c>
      <c r="C3571" s="1" t="s">
        <v>3536</v>
      </c>
      <c r="D3571" s="1" t="s">
        <v>8</v>
      </c>
      <c r="E3571" s="3">
        <v>3400537</v>
      </c>
      <c r="F3571" s="3">
        <v>3401118</v>
      </c>
      <c r="G3571" s="1" t="s">
        <v>13</v>
      </c>
      <c r="H3571" s="1" t="b">
        <f t="shared" si="135"/>
        <v>1</v>
      </c>
    </row>
    <row r="3572" spans="1:8" ht="21" x14ac:dyDescent="0.25">
      <c r="A3572" s="2" t="str">
        <f>HYPERLINK("https://rth.dk/resources/bsgatlas/details.php?id=BSGatlas-operon-1873","BSGatlas-operon-1873")</f>
        <v>BSGatlas-operon-1873</v>
      </c>
      <c r="B3572" s="2" t="str">
        <f>HYPERLINK("https://rth.dk/resources/bsgatlas/details.php?id=BSGatlas-gene-3888","BSGatlas-gene-3888")</f>
        <v>BSGatlas-gene-3888</v>
      </c>
      <c r="C3572" s="1" t="s">
        <v>3537</v>
      </c>
      <c r="D3572" s="1" t="s">
        <v>8</v>
      </c>
      <c r="E3572" s="3">
        <v>3401141</v>
      </c>
      <c r="F3572" s="3">
        <v>3402469</v>
      </c>
      <c r="G3572" s="1" t="s">
        <v>13</v>
      </c>
      <c r="H3572" s="1" t="b">
        <f t="shared" si="135"/>
        <v>1</v>
      </c>
    </row>
    <row r="3573" spans="1:8" ht="21" x14ac:dyDescent="0.25">
      <c r="A3573" s="2" t="str">
        <f>HYPERLINK("https://rth.dk/resources/bsgatlas/details.php?id=BSGatlas-operon-1873","BSGatlas-operon-1873")</f>
        <v>BSGatlas-operon-1873</v>
      </c>
      <c r="B3573" s="2" t="str">
        <f>HYPERLINK("https://rth.dk/resources/bsgatlas/details.php?id=BSGatlas-gene-3889","BSGatlas-gene-3889")</f>
        <v>BSGatlas-gene-3889</v>
      </c>
      <c r="C3573" s="1" t="s">
        <v>3538</v>
      </c>
      <c r="D3573" s="1" t="s">
        <v>8</v>
      </c>
      <c r="E3573" s="3">
        <v>3402469</v>
      </c>
      <c r="F3573" s="3">
        <v>3403530</v>
      </c>
      <c r="G3573" s="1" t="s">
        <v>13</v>
      </c>
      <c r="H3573" s="1" t="b">
        <f t="shared" si="135"/>
        <v>1</v>
      </c>
    </row>
    <row r="3574" spans="1:8" ht="21" x14ac:dyDescent="0.25">
      <c r="A3574" s="2" t="str">
        <f>HYPERLINK("https://rth.dk/resources/bsgatlas/details.php?id=BSGatlas-operon-1873","BSGatlas-operon-1873")</f>
        <v>BSGatlas-operon-1873</v>
      </c>
      <c r="B3574" s="2" t="str">
        <f>HYPERLINK("https://rth.dk/resources/bsgatlas/details.php?id=BSGatlas-gene-3890","BSGatlas-gene-3890")</f>
        <v>BSGatlas-gene-3890</v>
      </c>
      <c r="C3574" s="1" t="s">
        <v>3539</v>
      </c>
      <c r="D3574" s="1" t="s">
        <v>8</v>
      </c>
      <c r="E3574" s="3">
        <v>3403493</v>
      </c>
      <c r="F3574" s="3">
        <v>3404437</v>
      </c>
      <c r="G3574" s="1" t="s">
        <v>13</v>
      </c>
      <c r="H3574" s="1" t="b">
        <f t="shared" si="135"/>
        <v>1</v>
      </c>
    </row>
    <row r="3575" spans="1:8" ht="21" x14ac:dyDescent="0.25">
      <c r="A3575" s="2" t="str">
        <f>HYPERLINK("https://rth.dk/resources/bsgatlas/details.php?id=BSGatlas-operon-1874","BSGatlas-operon-1874")</f>
        <v>BSGatlas-operon-1874</v>
      </c>
      <c r="B3575" s="2" t="str">
        <f>HYPERLINK("https://rth.dk/resources/bsgatlas/details.php?id=BSGatlas-gene-3892","BSGatlas-gene-3892")</f>
        <v>BSGatlas-gene-3892</v>
      </c>
      <c r="C3575" s="1" t="s">
        <v>3540</v>
      </c>
      <c r="D3575" s="1" t="s">
        <v>8</v>
      </c>
      <c r="E3575" s="3">
        <v>3404835</v>
      </c>
      <c r="F3575" s="3">
        <v>3405626</v>
      </c>
      <c r="G3575" s="1" t="s">
        <v>9</v>
      </c>
      <c r="H3575" s="1" t="b">
        <f t="shared" si="135"/>
        <v>0</v>
      </c>
    </row>
    <row r="3576" spans="1:8" ht="21" x14ac:dyDescent="0.25">
      <c r="A3576" s="2" t="str">
        <f>HYPERLINK("https://rth.dk/resources/bsgatlas/details.php?id=BSGatlas-operon-1875","BSGatlas-operon-1875")</f>
        <v>BSGatlas-operon-1875</v>
      </c>
      <c r="B3576" s="2" t="str">
        <f>HYPERLINK("https://rth.dk/resources/bsgatlas/details.php?id=BSGatlas-gene-3893","BSGatlas-gene-3893")</f>
        <v>BSGatlas-gene-3893</v>
      </c>
      <c r="C3576" s="1" t="s">
        <v>3541</v>
      </c>
      <c r="D3576" s="1" t="s">
        <v>8</v>
      </c>
      <c r="E3576" s="3">
        <v>3405664</v>
      </c>
      <c r="F3576" s="3">
        <v>3406542</v>
      </c>
      <c r="G3576" s="1" t="s">
        <v>13</v>
      </c>
      <c r="H3576" s="1" t="b">
        <f t="shared" si="135"/>
        <v>1</v>
      </c>
    </row>
    <row r="3577" spans="1:8" ht="21" x14ac:dyDescent="0.25">
      <c r="A3577" s="2" t="str">
        <f>HYPERLINK("https://rth.dk/resources/bsgatlas/details.php?id=BSGatlas-operon-1875","BSGatlas-operon-1875")</f>
        <v>BSGatlas-operon-1875</v>
      </c>
      <c r="B3577" s="2" t="str">
        <f>HYPERLINK("https://rth.dk/resources/bsgatlas/details.php?id=BSGatlas-gene-3894","BSGatlas-gene-3894")</f>
        <v>BSGatlas-gene-3894</v>
      </c>
      <c r="C3577" s="1" t="s">
        <v>3542</v>
      </c>
      <c r="D3577" s="1" t="s">
        <v>8</v>
      </c>
      <c r="E3577" s="3">
        <v>3406614</v>
      </c>
      <c r="F3577" s="3">
        <v>3408356</v>
      </c>
      <c r="G3577" s="1" t="s">
        <v>13</v>
      </c>
      <c r="H3577" s="1" t="b">
        <f t="shared" si="135"/>
        <v>1</v>
      </c>
    </row>
    <row r="3578" spans="1:8" ht="21" x14ac:dyDescent="0.25">
      <c r="A3578" s="2" t="str">
        <f>HYPERLINK("https://rth.dk/resources/bsgatlas/details.php?id=BSGatlas-operon-1875","BSGatlas-operon-1875")</f>
        <v>BSGatlas-operon-1875</v>
      </c>
      <c r="B3578" s="2" t="str">
        <f>HYPERLINK("https://rth.dk/resources/bsgatlas/details.php?id=BSGatlas-gene-3895","BSGatlas-gene-3895")</f>
        <v>BSGatlas-gene-3895</v>
      </c>
      <c r="C3578" s="1" t="s">
        <v>3543</v>
      </c>
      <c r="D3578" s="1" t="s">
        <v>8</v>
      </c>
      <c r="E3578" s="3">
        <v>3408353</v>
      </c>
      <c r="F3578" s="3">
        <v>3409066</v>
      </c>
      <c r="G3578" s="1" t="s">
        <v>13</v>
      </c>
      <c r="H3578" s="1" t="b">
        <f t="shared" si="135"/>
        <v>1</v>
      </c>
    </row>
    <row r="3579" spans="1:8" ht="21" x14ac:dyDescent="0.25">
      <c r="A3579" s="2" t="str">
        <f>HYPERLINK("https://rth.dk/resources/bsgatlas/details.php?id=BSGatlas-operon-1875","BSGatlas-operon-1875")</f>
        <v>BSGatlas-operon-1875</v>
      </c>
      <c r="B3579" s="2" t="str">
        <f>HYPERLINK("https://rth.dk/resources/bsgatlas/details.php?id=BSGatlas-gene-3896","BSGatlas-gene-3896")</f>
        <v>BSGatlas-gene-3896</v>
      </c>
      <c r="C3579" s="1" t="s">
        <v>3544</v>
      </c>
      <c r="D3579" s="1" t="s">
        <v>8</v>
      </c>
      <c r="E3579" s="3">
        <v>3409219</v>
      </c>
      <c r="F3579" s="3">
        <v>3409458</v>
      </c>
      <c r="G3579" s="1" t="s">
        <v>13</v>
      </c>
      <c r="H3579" s="1" t="b">
        <f t="shared" si="135"/>
        <v>1</v>
      </c>
    </row>
    <row r="3580" spans="1:8" ht="21" x14ac:dyDescent="0.25">
      <c r="A3580" s="2" t="str">
        <f>HYPERLINK("https://rth.dk/resources/bsgatlas/details.php?id=BSGatlas-operon-1875","BSGatlas-operon-1875")</f>
        <v>BSGatlas-operon-1875</v>
      </c>
      <c r="B3580" s="2" t="str">
        <f>HYPERLINK("https://rth.dk/resources/bsgatlas/details.php?id=BSGatlas-gene-3897","BSGatlas-gene-3897")</f>
        <v>BSGatlas-gene-3897</v>
      </c>
      <c r="C3580" s="1" t="s">
        <v>3545</v>
      </c>
      <c r="D3580" s="1" t="s">
        <v>8</v>
      </c>
      <c r="E3580" s="3">
        <v>3409462</v>
      </c>
      <c r="F3580" s="3">
        <v>3409992</v>
      </c>
      <c r="G3580" s="1" t="s">
        <v>13</v>
      </c>
      <c r="H3580" s="1" t="b">
        <f t="shared" si="135"/>
        <v>1</v>
      </c>
    </row>
    <row r="3581" spans="1:8" ht="21" x14ac:dyDescent="0.25">
      <c r="A3581" s="2" t="str">
        <f>HYPERLINK("https://rth.dk/resources/bsgatlas/details.php?id=BSGatlas-operon-1876","BSGatlas-operon-1876")</f>
        <v>BSGatlas-operon-1876</v>
      </c>
      <c r="B3581" s="2" t="str">
        <f>HYPERLINK("https://rth.dk/resources/bsgatlas/details.php?id=BSGatlas-gene-3898","BSGatlas-gene-3898")</f>
        <v>BSGatlas-gene-3898</v>
      </c>
      <c r="C3581" s="1" t="s">
        <v>3546</v>
      </c>
      <c r="D3581" s="1" t="s">
        <v>8</v>
      </c>
      <c r="E3581" s="3">
        <v>3410007</v>
      </c>
      <c r="F3581" s="3">
        <v>3410345</v>
      </c>
      <c r="G3581" s="1" t="s">
        <v>9</v>
      </c>
      <c r="H3581" s="1" t="b">
        <f t="shared" si="135"/>
        <v>0</v>
      </c>
    </row>
    <row r="3582" spans="1:8" ht="21" x14ac:dyDescent="0.25">
      <c r="A3582" s="2" t="str">
        <f>HYPERLINK("https://rth.dk/resources/bsgatlas/details.php?id=BSGatlas-operon-1877","BSGatlas-operon-1877")</f>
        <v>BSGatlas-operon-1877</v>
      </c>
      <c r="B3582" s="2" t="str">
        <f>HYPERLINK("https://rth.dk/resources/bsgatlas/details.php?id=BSGatlas-gene-3899","BSGatlas-gene-3899")</f>
        <v>BSGatlas-gene-3899</v>
      </c>
      <c r="C3582" s="1" t="s">
        <v>3547</v>
      </c>
      <c r="D3582" s="1" t="s">
        <v>8</v>
      </c>
      <c r="E3582" s="3">
        <v>3410466</v>
      </c>
      <c r="F3582" s="3">
        <v>3411623</v>
      </c>
      <c r="G3582" s="1" t="s">
        <v>9</v>
      </c>
      <c r="H3582" s="1" t="b">
        <f t="shared" si="135"/>
        <v>1</v>
      </c>
    </row>
    <row r="3583" spans="1:8" ht="21" x14ac:dyDescent="0.25">
      <c r="A3583" s="2" t="str">
        <f>HYPERLINK("https://rth.dk/resources/bsgatlas/details.php?id=BSGatlas-operon-1877","BSGatlas-operon-1877")</f>
        <v>BSGatlas-operon-1877</v>
      </c>
      <c r="B3583" s="2" t="str">
        <f>HYPERLINK("https://rth.dk/resources/bsgatlas/details.php?id=BSGatlas-gene-3900","BSGatlas-gene-3900")</f>
        <v>BSGatlas-gene-3900</v>
      </c>
      <c r="C3583" s="1" t="s">
        <v>3548</v>
      </c>
      <c r="D3583" s="1" t="s">
        <v>8</v>
      </c>
      <c r="E3583" s="3">
        <v>3411684</v>
      </c>
      <c r="F3583" s="3">
        <v>3412094</v>
      </c>
      <c r="G3583" s="1" t="s">
        <v>9</v>
      </c>
      <c r="H3583" s="1" t="b">
        <f t="shared" si="135"/>
        <v>1</v>
      </c>
    </row>
    <row r="3584" spans="1:8" ht="21" x14ac:dyDescent="0.25">
      <c r="A3584" s="2" t="str">
        <f>HYPERLINK("https://rth.dk/resources/bsgatlas/details.php?id=BSGatlas-operon-1878","BSGatlas-operon-1878")</f>
        <v>BSGatlas-operon-1878</v>
      </c>
      <c r="B3584" s="2" t="str">
        <f>HYPERLINK("https://rth.dk/resources/bsgatlas/details.php?id=BSGatlas-gene-3901","BSGatlas-gene-3901")</f>
        <v>BSGatlas-gene-3901</v>
      </c>
      <c r="C3584" s="1" t="s">
        <v>3549</v>
      </c>
      <c r="D3584" s="1" t="s">
        <v>8</v>
      </c>
      <c r="E3584" s="3">
        <v>3412128</v>
      </c>
      <c r="F3584" s="3">
        <v>3413357</v>
      </c>
      <c r="G3584" s="1" t="s">
        <v>13</v>
      </c>
      <c r="H3584" s="1" t="b">
        <f t="shared" si="135"/>
        <v>0</v>
      </c>
    </row>
    <row r="3585" spans="1:8" ht="21" x14ac:dyDescent="0.25">
      <c r="A3585" s="2" t="str">
        <f>HYPERLINK("https://rth.dk/resources/bsgatlas/details.php?id=BSGatlas-operon-1878","BSGatlas-operon-1878")</f>
        <v>BSGatlas-operon-1878</v>
      </c>
      <c r="B3585" s="2" t="str">
        <f>HYPERLINK("https://rth.dk/resources/bsgatlas/details.php?id=BSGatlas-gene-3902","BSGatlas-gene-3902")</f>
        <v>BSGatlas-gene-3902</v>
      </c>
      <c r="C3585" s="1" t="s">
        <v>3550</v>
      </c>
      <c r="D3585" s="1" t="s">
        <v>8</v>
      </c>
      <c r="E3585" s="3">
        <v>3413350</v>
      </c>
      <c r="F3585" s="3">
        <v>3414039</v>
      </c>
      <c r="G3585" s="1" t="s">
        <v>13</v>
      </c>
      <c r="H3585" s="1" t="b">
        <f t="shared" si="135"/>
        <v>0</v>
      </c>
    </row>
    <row r="3586" spans="1:8" ht="21" x14ac:dyDescent="0.25">
      <c r="A3586" s="2" t="str">
        <f>HYPERLINK("https://rth.dk/resources/bsgatlas/details.php?id=BSGatlas-operon-1878","BSGatlas-operon-1878")</f>
        <v>BSGatlas-operon-1878</v>
      </c>
      <c r="B3586" s="2" t="str">
        <f>HYPERLINK("https://rth.dk/resources/bsgatlas/details.php?id=BSGatlas-gene-3903","BSGatlas-gene-3903")</f>
        <v>BSGatlas-gene-3903</v>
      </c>
      <c r="C3586" s="1" t="s">
        <v>3551</v>
      </c>
      <c r="D3586" s="1" t="s">
        <v>8</v>
      </c>
      <c r="E3586" s="3">
        <v>3414023</v>
      </c>
      <c r="F3586" s="3">
        <v>3415216</v>
      </c>
      <c r="G3586" s="1" t="s">
        <v>13</v>
      </c>
      <c r="H3586" s="1" t="b">
        <f t="shared" ref="H3586:H3649" si="137">_xlfn.XOR(A3585&lt;&gt;A3586,H3585)</f>
        <v>0</v>
      </c>
    </row>
    <row r="3587" spans="1:8" ht="21" x14ac:dyDescent="0.25">
      <c r="A3587" s="2" t="str">
        <f>HYPERLINK("https://rth.dk/resources/bsgatlas/details.php?id=BSGatlas-operon-1879","BSGatlas-operon-1879")</f>
        <v>BSGatlas-operon-1879</v>
      </c>
      <c r="B3587" s="2" t="str">
        <f>HYPERLINK("https://rth.dk/resources/bsgatlas/details.php?id=BSGatlas-gene-3904","BSGatlas-gene-3904")</f>
        <v>BSGatlas-gene-3904</v>
      </c>
      <c r="C3587" s="1" t="s">
        <v>3552</v>
      </c>
      <c r="D3587" s="1" t="s">
        <v>8</v>
      </c>
      <c r="E3587" s="3">
        <v>3415387</v>
      </c>
      <c r="F3587" s="3">
        <v>3416196</v>
      </c>
      <c r="G3587" s="1" t="s">
        <v>13</v>
      </c>
      <c r="H3587" s="1" t="b">
        <f t="shared" si="137"/>
        <v>1</v>
      </c>
    </row>
    <row r="3588" spans="1:8" ht="21" x14ac:dyDescent="0.25">
      <c r="A3588" s="2" t="str">
        <f>HYPERLINK("https://rth.dk/resources/bsgatlas/details.php?id=BSGatlas-operon-1879","BSGatlas-operon-1879")</f>
        <v>BSGatlas-operon-1879</v>
      </c>
      <c r="B3588" s="2" t="str">
        <f>HYPERLINK("https://rth.dk/resources/bsgatlas/details.php?id=BSGatlas-gene-3905","BSGatlas-gene-3905")</f>
        <v>BSGatlas-gene-3905</v>
      </c>
      <c r="C3588" s="1" t="s">
        <v>3553</v>
      </c>
      <c r="D3588" s="1" t="s">
        <v>8</v>
      </c>
      <c r="E3588" s="3">
        <v>3416212</v>
      </c>
      <c r="F3588" s="3">
        <v>3417222</v>
      </c>
      <c r="G3588" s="1" t="s">
        <v>13</v>
      </c>
      <c r="H3588" s="1" t="b">
        <f t="shared" si="137"/>
        <v>1</v>
      </c>
    </row>
    <row r="3589" spans="1:8" ht="21" x14ac:dyDescent="0.25">
      <c r="A3589" s="2" t="str">
        <f>HYPERLINK("https://rth.dk/resources/bsgatlas/details.php?id=BSGatlas-operon-1879","BSGatlas-operon-1879")</f>
        <v>BSGatlas-operon-1879</v>
      </c>
      <c r="B3589" s="2" t="str">
        <f>HYPERLINK("https://rth.dk/resources/bsgatlas/details.php?id=BSGatlas-gene-3906","BSGatlas-gene-3906")</f>
        <v>BSGatlas-gene-3906</v>
      </c>
      <c r="C3589" s="1" t="s">
        <v>3554</v>
      </c>
      <c r="D3589" s="1" t="s">
        <v>8</v>
      </c>
      <c r="E3589" s="3">
        <v>3417222</v>
      </c>
      <c r="F3589" s="3">
        <v>3418376</v>
      </c>
      <c r="G3589" s="1" t="s">
        <v>13</v>
      </c>
      <c r="H3589" s="1" t="b">
        <f t="shared" si="137"/>
        <v>1</v>
      </c>
    </row>
    <row r="3590" spans="1:8" ht="21" x14ac:dyDescent="0.25">
      <c r="A3590" s="2" t="str">
        <f>HYPERLINK("https://rth.dk/resources/bsgatlas/details.php?id=BSGatlas-operon-1880","BSGatlas-operon-1880")</f>
        <v>BSGatlas-operon-1880</v>
      </c>
      <c r="B3590" s="2" t="str">
        <f>HYPERLINK("https://rth.dk/resources/bsgatlas/details.php?id=BSGatlas-gene-3907","BSGatlas-gene-3907")</f>
        <v>BSGatlas-gene-3907</v>
      </c>
      <c r="C3590" s="1" t="s">
        <v>3555</v>
      </c>
      <c r="D3590" s="1" t="s">
        <v>8</v>
      </c>
      <c r="E3590" s="3">
        <v>3418474</v>
      </c>
      <c r="F3590" s="3">
        <v>3419421</v>
      </c>
      <c r="G3590" s="1" t="s">
        <v>9</v>
      </c>
      <c r="H3590" s="1" t="b">
        <f t="shared" si="137"/>
        <v>0</v>
      </c>
    </row>
    <row r="3591" spans="1:8" ht="21" x14ac:dyDescent="0.25">
      <c r="A3591" s="2" t="str">
        <f>HYPERLINK("https://rth.dk/resources/bsgatlas/details.php?id=BSGatlas-operon-1881","BSGatlas-operon-1881")</f>
        <v>BSGatlas-operon-1881</v>
      </c>
      <c r="B3591" s="2" t="str">
        <f>HYPERLINK("https://rth.dk/resources/bsgatlas/details.php?id=BSGatlas-gene-3908","BSGatlas-gene-3908")</f>
        <v>BSGatlas-gene-3908</v>
      </c>
      <c r="C3591" s="1" t="s">
        <v>3556</v>
      </c>
      <c r="D3591" s="1" t="s">
        <v>8</v>
      </c>
      <c r="E3591" s="3">
        <v>3419656</v>
      </c>
      <c r="F3591" s="3">
        <v>3421065</v>
      </c>
      <c r="G3591" s="1" t="s">
        <v>13</v>
      </c>
      <c r="H3591" s="1" t="b">
        <f t="shared" si="137"/>
        <v>1</v>
      </c>
    </row>
    <row r="3592" spans="1:8" ht="21" x14ac:dyDescent="0.25">
      <c r="A3592" s="2" t="str">
        <f>HYPERLINK("https://rth.dk/resources/bsgatlas/details.php?id=BSGatlas-operon-1882","BSGatlas-operon-1882")</f>
        <v>BSGatlas-operon-1882</v>
      </c>
      <c r="B3592" s="2" t="str">
        <f>HYPERLINK("https://rth.dk/resources/bsgatlas/details.php?id=BSGatlas-gene-3909","BSGatlas-gene-3909")</f>
        <v>BSGatlas-gene-3909</v>
      </c>
      <c r="C3592" s="1" t="s">
        <v>3557</v>
      </c>
      <c r="D3592" s="1" t="s">
        <v>12</v>
      </c>
      <c r="E3592" s="3">
        <v>3420519</v>
      </c>
      <c r="F3592" s="3">
        <v>3421486</v>
      </c>
      <c r="G3592" s="1" t="s">
        <v>9</v>
      </c>
      <c r="H3592" s="1" t="b">
        <f t="shared" si="137"/>
        <v>0</v>
      </c>
    </row>
    <row r="3593" spans="1:8" ht="21" x14ac:dyDescent="0.25">
      <c r="A3593" s="2" t="str">
        <f>HYPERLINK("https://rth.dk/resources/bsgatlas/details.php?id=BSGatlas-operon-1883","BSGatlas-operon-1883")</f>
        <v>BSGatlas-operon-1883</v>
      </c>
      <c r="B3593" s="2" t="str">
        <f>HYPERLINK("https://rth.dk/resources/bsgatlas/details.php?id=BSGatlas-gene-3910","BSGatlas-gene-3910")</f>
        <v>BSGatlas-gene-3910</v>
      </c>
      <c r="C3593" s="1" t="s">
        <v>3558</v>
      </c>
      <c r="D3593" s="1" t="s">
        <v>34</v>
      </c>
      <c r="E3593" s="3">
        <v>3421168</v>
      </c>
      <c r="F3593" s="3">
        <v>3421348</v>
      </c>
      <c r="G3593" s="1" t="s">
        <v>13</v>
      </c>
      <c r="H3593" s="1" t="b">
        <f t="shared" si="137"/>
        <v>1</v>
      </c>
    </row>
    <row r="3594" spans="1:8" ht="21" x14ac:dyDescent="0.25">
      <c r="A3594" s="2" t="str">
        <f>HYPERLINK("https://rth.dk/resources/bsgatlas/details.php?id=BSGatlas-operon-1884","BSGatlas-operon-1884")</f>
        <v>BSGatlas-operon-1884</v>
      </c>
      <c r="B3594" s="2" t="str">
        <f>HYPERLINK("https://rth.dk/resources/bsgatlas/details.php?id=BSGatlas-gene-3911","BSGatlas-gene-3911")</f>
        <v>BSGatlas-gene-3911</v>
      </c>
      <c r="C3594" s="1" t="s">
        <v>3559</v>
      </c>
      <c r="D3594" s="1" t="s">
        <v>8</v>
      </c>
      <c r="E3594" s="3">
        <v>3421465</v>
      </c>
      <c r="F3594" s="3">
        <v>3421605</v>
      </c>
      <c r="G3594" s="1" t="s">
        <v>13</v>
      </c>
      <c r="H3594" s="1" t="b">
        <f t="shared" si="137"/>
        <v>0</v>
      </c>
    </row>
    <row r="3595" spans="1:8" ht="21" x14ac:dyDescent="0.25">
      <c r="A3595" s="2" t="str">
        <f>HYPERLINK("https://rth.dk/resources/bsgatlas/details.php?id=BSGatlas-operon-1885","BSGatlas-operon-1885")</f>
        <v>BSGatlas-operon-1885</v>
      </c>
      <c r="B3595" s="2" t="str">
        <f>HYPERLINK("https://rth.dk/resources/bsgatlas/details.php?id=BSGatlas-gene-3912","BSGatlas-gene-3912")</f>
        <v>BSGatlas-gene-3912</v>
      </c>
      <c r="C3595" s="1" t="s">
        <v>3560</v>
      </c>
      <c r="D3595" s="1" t="s">
        <v>8</v>
      </c>
      <c r="E3595" s="3">
        <v>3421772</v>
      </c>
      <c r="F3595" s="3">
        <v>3422254</v>
      </c>
      <c r="G3595" s="1" t="s">
        <v>9</v>
      </c>
      <c r="H3595" s="1" t="b">
        <f t="shared" si="137"/>
        <v>1</v>
      </c>
    </row>
    <row r="3596" spans="1:8" ht="21" x14ac:dyDescent="0.25">
      <c r="A3596" s="2" t="str">
        <f>HYPERLINK("https://rth.dk/resources/bsgatlas/details.php?id=BSGatlas-operon-1886","BSGatlas-operon-1886")</f>
        <v>BSGatlas-operon-1886</v>
      </c>
      <c r="B3596" s="2" t="str">
        <f>HYPERLINK("https://rth.dk/resources/bsgatlas/details.php?id=BSGatlas-gene-3913","BSGatlas-gene-3913")</f>
        <v>BSGatlas-gene-3913</v>
      </c>
      <c r="C3596" s="1" t="s">
        <v>3561</v>
      </c>
      <c r="D3596" s="1" t="s">
        <v>8</v>
      </c>
      <c r="E3596" s="3">
        <v>3422354</v>
      </c>
      <c r="F3596" s="3">
        <v>3424207</v>
      </c>
      <c r="G3596" s="1" t="s">
        <v>9</v>
      </c>
      <c r="H3596" s="1" t="b">
        <f t="shared" si="137"/>
        <v>0</v>
      </c>
    </row>
    <row r="3597" spans="1:8" ht="21" x14ac:dyDescent="0.25">
      <c r="A3597" s="2" t="str">
        <f>HYPERLINK("https://rth.dk/resources/bsgatlas/details.php?id=BSGatlas-operon-1887","BSGatlas-operon-1887")</f>
        <v>BSGatlas-operon-1887</v>
      </c>
      <c r="B3597" s="2" t="str">
        <f>HYPERLINK("https://rth.dk/resources/bsgatlas/details.php?id=BSGatlas-gene-3914","BSGatlas-gene-3914")</f>
        <v>BSGatlas-gene-3914</v>
      </c>
      <c r="C3597" s="1" t="s">
        <v>3562</v>
      </c>
      <c r="D3597" s="1" t="s">
        <v>8</v>
      </c>
      <c r="E3597" s="3">
        <v>3424235</v>
      </c>
      <c r="F3597" s="3">
        <v>3425161</v>
      </c>
      <c r="G3597" s="1" t="s">
        <v>13</v>
      </c>
      <c r="H3597" s="1" t="b">
        <f t="shared" si="137"/>
        <v>1</v>
      </c>
    </row>
    <row r="3598" spans="1:8" ht="21" x14ac:dyDescent="0.25">
      <c r="A3598" s="2" t="str">
        <f>HYPERLINK("https://rth.dk/resources/bsgatlas/details.php?id=BSGatlas-operon-1888","BSGatlas-operon-1888")</f>
        <v>BSGatlas-operon-1888</v>
      </c>
      <c r="B3598" s="2" t="str">
        <f>HYPERLINK("https://rth.dk/resources/bsgatlas/details.php?id=BSGatlas-gene-3915","BSGatlas-gene-3915")</f>
        <v>BSGatlas-gene-3915</v>
      </c>
      <c r="C3598" s="1" t="s">
        <v>3563</v>
      </c>
      <c r="D3598" s="1" t="s">
        <v>8</v>
      </c>
      <c r="E3598" s="3">
        <v>3425272</v>
      </c>
      <c r="F3598" s="3">
        <v>3426054</v>
      </c>
      <c r="G3598" s="1" t="s">
        <v>9</v>
      </c>
      <c r="H3598" s="1" t="b">
        <f t="shared" si="137"/>
        <v>0</v>
      </c>
    </row>
    <row r="3599" spans="1:8" ht="21" x14ac:dyDescent="0.25">
      <c r="A3599" s="2" t="str">
        <f>HYPERLINK("https://rth.dk/resources/bsgatlas/details.php?id=BSGatlas-operon-1888","BSGatlas-operon-1888")</f>
        <v>BSGatlas-operon-1888</v>
      </c>
      <c r="B3599" s="2" t="str">
        <f>HYPERLINK("https://rth.dk/resources/bsgatlas/details.php?id=BSGatlas-gene-3916","BSGatlas-gene-3916")</f>
        <v>BSGatlas-gene-3916</v>
      </c>
      <c r="C3599" s="1" t="s">
        <v>3564</v>
      </c>
      <c r="D3599" s="1" t="s">
        <v>8</v>
      </c>
      <c r="E3599" s="3">
        <v>3426026</v>
      </c>
      <c r="F3599" s="3">
        <v>3426718</v>
      </c>
      <c r="G3599" s="1" t="s">
        <v>9</v>
      </c>
      <c r="H3599" s="1" t="b">
        <f t="shared" si="137"/>
        <v>0</v>
      </c>
    </row>
    <row r="3600" spans="1:8" ht="21" x14ac:dyDescent="0.25">
      <c r="A3600" s="2" t="str">
        <f>HYPERLINK("https://rth.dk/resources/bsgatlas/details.php?id=BSGatlas-operon-1889","BSGatlas-operon-1889")</f>
        <v>BSGatlas-operon-1889</v>
      </c>
      <c r="B3600" s="2" t="str">
        <f>HYPERLINK("https://rth.dk/resources/bsgatlas/details.php?id=BSGatlas-gene-3917","BSGatlas-gene-3917")</f>
        <v>BSGatlas-gene-3917</v>
      </c>
      <c r="C3600" s="1" t="s">
        <v>3565</v>
      </c>
      <c r="D3600" s="1" t="s">
        <v>8</v>
      </c>
      <c r="E3600" s="3">
        <v>3426749</v>
      </c>
      <c r="F3600" s="3">
        <v>3427579</v>
      </c>
      <c r="G3600" s="1" t="s">
        <v>13</v>
      </c>
      <c r="H3600" s="1" t="b">
        <f t="shared" si="137"/>
        <v>1</v>
      </c>
    </row>
    <row r="3601" spans="1:8" ht="21" x14ac:dyDescent="0.25">
      <c r="A3601" s="2" t="str">
        <f>HYPERLINK("https://rth.dk/resources/bsgatlas/details.php?id=BSGatlas-operon-1890","BSGatlas-operon-1890")</f>
        <v>BSGatlas-operon-1890</v>
      </c>
      <c r="B3601" s="2" t="str">
        <f>HYPERLINK("https://rth.dk/resources/bsgatlas/details.php?id=BSGatlas-gene-3918","BSGatlas-gene-3918")</f>
        <v>BSGatlas-gene-3918</v>
      </c>
      <c r="C3601" s="1" t="s">
        <v>3566</v>
      </c>
      <c r="D3601" s="1" t="s">
        <v>8</v>
      </c>
      <c r="E3601" s="3">
        <v>3427802</v>
      </c>
      <c r="F3601" s="3">
        <v>3428287</v>
      </c>
      <c r="G3601" s="1" t="s">
        <v>9</v>
      </c>
      <c r="H3601" s="1" t="b">
        <f t="shared" si="137"/>
        <v>0</v>
      </c>
    </row>
    <row r="3602" spans="1:8" ht="21" x14ac:dyDescent="0.25">
      <c r="A3602" s="2" t="str">
        <f>HYPERLINK("https://rth.dk/resources/bsgatlas/details.php?id=BSGatlas-operon-1891","BSGatlas-operon-1891")</f>
        <v>BSGatlas-operon-1891</v>
      </c>
      <c r="B3602" s="2" t="str">
        <f>HYPERLINK("https://rth.dk/resources/bsgatlas/details.php?id=BSGatlas-gene-3919","BSGatlas-gene-3919")</f>
        <v>BSGatlas-gene-3919</v>
      </c>
      <c r="C3602" s="1" t="s">
        <v>3567</v>
      </c>
      <c r="D3602" s="1" t="s">
        <v>8</v>
      </c>
      <c r="E3602" s="3">
        <v>3428331</v>
      </c>
      <c r="F3602" s="3">
        <v>3430343</v>
      </c>
      <c r="G3602" s="1" t="s">
        <v>13</v>
      </c>
      <c r="H3602" s="1" t="b">
        <f t="shared" si="137"/>
        <v>1</v>
      </c>
    </row>
    <row r="3603" spans="1:8" ht="21" x14ac:dyDescent="0.25">
      <c r="A3603" s="2" t="str">
        <f>HYPERLINK("https://rth.dk/resources/bsgatlas/details.php?id=BSGatlas-operon-1892","BSGatlas-operon-1892")</f>
        <v>BSGatlas-operon-1892</v>
      </c>
      <c r="B3603" s="2" t="str">
        <f>HYPERLINK("https://rth.dk/resources/bsgatlas/details.php?id=BSGatlas-gene-3920","BSGatlas-gene-3920")</f>
        <v>BSGatlas-gene-3920</v>
      </c>
      <c r="C3603" s="1" t="s">
        <v>3568</v>
      </c>
      <c r="D3603" s="1" t="s">
        <v>8</v>
      </c>
      <c r="E3603" s="3">
        <v>3430598</v>
      </c>
      <c r="F3603" s="3">
        <v>3432313</v>
      </c>
      <c r="G3603" s="1" t="s">
        <v>13</v>
      </c>
      <c r="H3603" s="1" t="b">
        <f t="shared" si="137"/>
        <v>0</v>
      </c>
    </row>
    <row r="3604" spans="1:8" ht="21" x14ac:dyDescent="0.25">
      <c r="A3604" s="2" t="str">
        <f>HYPERLINK("https://rth.dk/resources/bsgatlas/details.php?id=BSGatlas-operon-1892","BSGatlas-operon-1892")</f>
        <v>BSGatlas-operon-1892</v>
      </c>
      <c r="B3604" s="2" t="str">
        <f>HYPERLINK("https://rth.dk/resources/bsgatlas/details.php?id=BSGatlas-gene-3921","BSGatlas-gene-3921")</f>
        <v>BSGatlas-gene-3921</v>
      </c>
      <c r="C3604" s="1" t="s">
        <v>3569</v>
      </c>
      <c r="D3604" s="1" t="s">
        <v>8</v>
      </c>
      <c r="E3604" s="3">
        <v>3432339</v>
      </c>
      <c r="F3604" s="3">
        <v>3434156</v>
      </c>
      <c r="G3604" s="1" t="s">
        <v>13</v>
      </c>
      <c r="H3604" s="1" t="b">
        <f t="shared" si="137"/>
        <v>0</v>
      </c>
    </row>
    <row r="3605" spans="1:8" ht="21" x14ac:dyDescent="0.25">
      <c r="A3605" s="2" t="str">
        <f>HYPERLINK("https://rth.dk/resources/bsgatlas/details.php?id=BSGatlas-operon-1893","BSGatlas-operon-1893")</f>
        <v>BSGatlas-operon-1893</v>
      </c>
      <c r="B3605" s="2" t="str">
        <f>HYPERLINK("https://rth.dk/resources/bsgatlas/details.php?id=BSGatlas-gene-3922","BSGatlas-gene-3922")</f>
        <v>BSGatlas-gene-3922</v>
      </c>
      <c r="C3605" s="1" t="s">
        <v>3570</v>
      </c>
      <c r="D3605" s="1" t="s">
        <v>8</v>
      </c>
      <c r="E3605" s="3">
        <v>3434327</v>
      </c>
      <c r="F3605" s="3">
        <v>3436651</v>
      </c>
      <c r="G3605" s="1" t="s">
        <v>13</v>
      </c>
      <c r="H3605" s="1" t="b">
        <f t="shared" si="137"/>
        <v>1</v>
      </c>
    </row>
    <row r="3606" spans="1:8" ht="21" x14ac:dyDescent="0.25">
      <c r="A3606" s="2" t="str">
        <f>HYPERLINK("https://rth.dk/resources/bsgatlas/details.php?id=BSGatlas-operon-1894","BSGatlas-operon-1894")</f>
        <v>BSGatlas-operon-1894</v>
      </c>
      <c r="B3606" s="2" t="str">
        <f>HYPERLINK("https://rth.dk/resources/bsgatlas/details.php?id=BSGatlas-gene-3923","BSGatlas-gene-3923")</f>
        <v>BSGatlas-gene-3923</v>
      </c>
      <c r="C3606" s="1" t="s">
        <v>3571</v>
      </c>
      <c r="D3606" s="1" t="s">
        <v>8</v>
      </c>
      <c r="E3606" s="3">
        <v>3436849</v>
      </c>
      <c r="F3606" s="3">
        <v>3437457</v>
      </c>
      <c r="G3606" s="1" t="s">
        <v>13</v>
      </c>
      <c r="H3606" s="1" t="b">
        <f t="shared" si="137"/>
        <v>0</v>
      </c>
    </row>
    <row r="3607" spans="1:8" ht="21" x14ac:dyDescent="0.25">
      <c r="A3607" s="2" t="str">
        <f>HYPERLINK("https://rth.dk/resources/bsgatlas/details.php?id=BSGatlas-operon-1895","BSGatlas-operon-1895")</f>
        <v>BSGatlas-operon-1895</v>
      </c>
      <c r="B3607" s="2" t="str">
        <f>HYPERLINK("https://rth.dk/resources/bsgatlas/details.php?id=BSGatlas-gene-3924","BSGatlas-gene-3924")</f>
        <v>BSGatlas-gene-3924</v>
      </c>
      <c r="C3607" s="1" t="s">
        <v>3572</v>
      </c>
      <c r="D3607" s="1" t="s">
        <v>8</v>
      </c>
      <c r="E3607" s="3">
        <v>3437644</v>
      </c>
      <c r="F3607" s="3">
        <v>3438060</v>
      </c>
      <c r="G3607" s="1" t="s">
        <v>13</v>
      </c>
      <c r="H3607" s="1" t="b">
        <f t="shared" si="137"/>
        <v>1</v>
      </c>
    </row>
    <row r="3608" spans="1:8" ht="21" x14ac:dyDescent="0.25">
      <c r="A3608" s="2" t="str">
        <f>HYPERLINK("https://rth.dk/resources/bsgatlas/details.php?id=BSGatlas-operon-1895","BSGatlas-operon-1895")</f>
        <v>BSGatlas-operon-1895</v>
      </c>
      <c r="B3608" s="2" t="str">
        <f>HYPERLINK("https://rth.dk/resources/bsgatlas/details.php?id=BSGatlas-gene-3925","BSGatlas-gene-3925")</f>
        <v>BSGatlas-gene-3925</v>
      </c>
      <c r="C3608" s="1" t="s">
        <v>3573</v>
      </c>
      <c r="D3608" s="1" t="s">
        <v>8</v>
      </c>
      <c r="E3608" s="3">
        <v>3438065</v>
      </c>
      <c r="F3608" s="3">
        <v>3438733</v>
      </c>
      <c r="G3608" s="1" t="s">
        <v>13</v>
      </c>
      <c r="H3608" s="1" t="b">
        <f t="shared" si="137"/>
        <v>1</v>
      </c>
    </row>
    <row r="3609" spans="1:8" ht="21" x14ac:dyDescent="0.25">
      <c r="A3609" s="2" t="str">
        <f>HYPERLINK("https://rth.dk/resources/bsgatlas/details.php?id=BSGatlas-operon-1896","BSGatlas-operon-1896")</f>
        <v>BSGatlas-operon-1896</v>
      </c>
      <c r="B3609" s="2" t="str">
        <f>HYPERLINK("https://rth.dk/resources/bsgatlas/details.php?id=BSGatlas-gene-3926","BSGatlas-gene-3926")</f>
        <v>BSGatlas-gene-3926</v>
      </c>
      <c r="C3609" s="1" t="s">
        <v>3574</v>
      </c>
      <c r="D3609" s="1" t="s">
        <v>8</v>
      </c>
      <c r="E3609" s="3">
        <v>3438853</v>
      </c>
      <c r="F3609" s="3">
        <v>3440961</v>
      </c>
      <c r="G3609" s="1" t="s">
        <v>13</v>
      </c>
      <c r="H3609" s="1" t="b">
        <f t="shared" si="137"/>
        <v>0</v>
      </c>
    </row>
    <row r="3610" spans="1:8" ht="21" x14ac:dyDescent="0.25">
      <c r="A3610" s="2" t="str">
        <f>HYPERLINK("https://rth.dk/resources/bsgatlas/details.php?id=BSGatlas-operon-1897","BSGatlas-operon-1897")</f>
        <v>BSGatlas-operon-1897</v>
      </c>
      <c r="B3610" s="2" t="str">
        <f>HYPERLINK("https://rth.dk/resources/bsgatlas/details.php?id=BSGatlas-gene-3927","BSGatlas-gene-3927")</f>
        <v>BSGatlas-gene-3927</v>
      </c>
      <c r="C3610" s="1" t="s">
        <v>3575</v>
      </c>
      <c r="D3610" s="1" t="s">
        <v>8</v>
      </c>
      <c r="E3610" s="3">
        <v>3441121</v>
      </c>
      <c r="F3610" s="3">
        <v>3443529</v>
      </c>
      <c r="G3610" s="1" t="s">
        <v>13</v>
      </c>
      <c r="H3610" s="1" t="b">
        <f t="shared" si="137"/>
        <v>1</v>
      </c>
    </row>
    <row r="3611" spans="1:8" ht="21" x14ac:dyDescent="0.25">
      <c r="A3611" s="2" t="str">
        <f>HYPERLINK("https://rth.dk/resources/bsgatlas/details.php?id=BSGatlas-operon-1897","BSGatlas-operon-1897")</f>
        <v>BSGatlas-operon-1897</v>
      </c>
      <c r="B3611" s="2" t="str">
        <f>HYPERLINK("https://rth.dk/resources/bsgatlas/details.php?id=BSGatlas-gene-3928","BSGatlas-gene-3928")</f>
        <v>BSGatlas-gene-3928</v>
      </c>
      <c r="C3611" s="1" t="s">
        <v>3576</v>
      </c>
      <c r="D3611" s="1" t="s">
        <v>8</v>
      </c>
      <c r="E3611" s="3">
        <v>3443613</v>
      </c>
      <c r="F3611" s="3">
        <v>3443822</v>
      </c>
      <c r="G3611" s="1" t="s">
        <v>13</v>
      </c>
      <c r="H3611" s="1" t="b">
        <f t="shared" si="137"/>
        <v>1</v>
      </c>
    </row>
    <row r="3612" spans="1:8" ht="21" x14ac:dyDescent="0.25">
      <c r="A3612" s="2" t="str">
        <f>HYPERLINK("https://rth.dk/resources/bsgatlas/details.php?id=BSGatlas-operon-1897","BSGatlas-operon-1897")</f>
        <v>BSGatlas-operon-1897</v>
      </c>
      <c r="B3612" s="2" t="str">
        <f>HYPERLINK("https://rth.dk/resources/bsgatlas/details.php?id=BSGatlas-gene-3929","BSGatlas-gene-3929")</f>
        <v>BSGatlas-gene-3929</v>
      </c>
      <c r="C3612" s="1" t="s">
        <v>3577</v>
      </c>
      <c r="D3612" s="1" t="s">
        <v>8</v>
      </c>
      <c r="E3612" s="3">
        <v>3443896</v>
      </c>
      <c r="F3612" s="3">
        <v>3444201</v>
      </c>
      <c r="G3612" s="1" t="s">
        <v>13</v>
      </c>
      <c r="H3612" s="1" t="b">
        <f t="shared" si="137"/>
        <v>1</v>
      </c>
    </row>
    <row r="3613" spans="1:8" ht="21" x14ac:dyDescent="0.25">
      <c r="A3613" s="2" t="str">
        <f>HYPERLINK("https://rth.dk/resources/bsgatlas/details.php?id=BSGatlas-operon-1898","BSGatlas-operon-1898")</f>
        <v>BSGatlas-operon-1898</v>
      </c>
      <c r="B3613" s="2" t="str">
        <f>HYPERLINK("https://rth.dk/resources/bsgatlas/details.php?id=BSGatlas-gene-3930","BSGatlas-gene-3930")</f>
        <v>BSGatlas-gene-3930</v>
      </c>
      <c r="C3613" s="1" t="s">
        <v>3578</v>
      </c>
      <c r="D3613" s="1" t="s">
        <v>8</v>
      </c>
      <c r="E3613" s="3">
        <v>3444329</v>
      </c>
      <c r="F3613" s="3">
        <v>3445405</v>
      </c>
      <c r="G3613" s="1" t="s">
        <v>9</v>
      </c>
      <c r="H3613" s="1" t="b">
        <f t="shared" si="137"/>
        <v>0</v>
      </c>
    </row>
    <row r="3614" spans="1:8" ht="21" x14ac:dyDescent="0.25">
      <c r="A3614" s="2" t="str">
        <f>HYPERLINK("https://rth.dk/resources/bsgatlas/details.php?id=BSGatlas-operon-1899","BSGatlas-operon-1899")</f>
        <v>BSGatlas-operon-1899</v>
      </c>
      <c r="B3614" s="2" t="str">
        <f>HYPERLINK("https://rth.dk/resources/bsgatlas/details.php?id=BSGatlas-gene-3931","BSGatlas-gene-3931")</f>
        <v>BSGatlas-gene-3931</v>
      </c>
      <c r="C3614" s="1" t="s">
        <v>3579</v>
      </c>
      <c r="D3614" s="1" t="s">
        <v>8</v>
      </c>
      <c r="E3614" s="3">
        <v>3445442</v>
      </c>
      <c r="F3614" s="3">
        <v>3446077</v>
      </c>
      <c r="G3614" s="1" t="s">
        <v>13</v>
      </c>
      <c r="H3614" s="1" t="b">
        <f t="shared" si="137"/>
        <v>1</v>
      </c>
    </row>
    <row r="3615" spans="1:8" ht="21" x14ac:dyDescent="0.25">
      <c r="A3615" s="2" t="str">
        <f>HYPERLINK("https://rth.dk/resources/bsgatlas/details.php?id=BSGatlas-operon-1900","BSGatlas-operon-1900")</f>
        <v>BSGatlas-operon-1900</v>
      </c>
      <c r="B3615" s="2" t="str">
        <f>HYPERLINK("https://rth.dk/resources/bsgatlas/details.php?id=BSGatlas-gene-3932","BSGatlas-gene-3932")</f>
        <v>BSGatlas-gene-3932</v>
      </c>
      <c r="C3615" s="1" t="s">
        <v>3580</v>
      </c>
      <c r="D3615" s="1" t="s">
        <v>8</v>
      </c>
      <c r="E3615" s="3">
        <v>3446237</v>
      </c>
      <c r="F3615" s="3">
        <v>3448132</v>
      </c>
      <c r="G3615" s="1" t="s">
        <v>13</v>
      </c>
      <c r="H3615" s="1" t="b">
        <f t="shared" si="137"/>
        <v>0</v>
      </c>
    </row>
    <row r="3616" spans="1:8" ht="21" x14ac:dyDescent="0.25">
      <c r="A3616" s="2" t="str">
        <f>HYPERLINK("https://rth.dk/resources/bsgatlas/details.php?id=BSGatlas-operon-1901","BSGatlas-operon-1901")</f>
        <v>BSGatlas-operon-1901</v>
      </c>
      <c r="B3616" s="2" t="str">
        <f>HYPERLINK("https://rth.dk/resources/bsgatlas/details.php?id=BSGatlas-gene-3933","BSGatlas-gene-3933")</f>
        <v>BSGatlas-gene-3933</v>
      </c>
      <c r="C3616" s="1" t="s">
        <v>3581</v>
      </c>
      <c r="D3616" s="1" t="s">
        <v>8</v>
      </c>
      <c r="E3616" s="3">
        <v>3448295</v>
      </c>
      <c r="F3616" s="3">
        <v>3448696</v>
      </c>
      <c r="G3616" s="1" t="s">
        <v>13</v>
      </c>
      <c r="H3616" s="1" t="b">
        <f t="shared" si="137"/>
        <v>1</v>
      </c>
    </row>
    <row r="3617" spans="1:8" ht="21" x14ac:dyDescent="0.25">
      <c r="A3617" s="2" t="str">
        <f>HYPERLINK("https://rth.dk/resources/bsgatlas/details.php?id=BSGatlas-operon-1901","BSGatlas-operon-1901")</f>
        <v>BSGatlas-operon-1901</v>
      </c>
      <c r="B3617" s="2" t="str">
        <f>HYPERLINK("https://rth.dk/resources/bsgatlas/details.php?id=BSGatlas-gene-3934","BSGatlas-gene-3934")</f>
        <v>BSGatlas-gene-3934</v>
      </c>
      <c r="C3617" s="1" t="s">
        <v>3582</v>
      </c>
      <c r="D3617" s="1" t="s">
        <v>8</v>
      </c>
      <c r="E3617" s="3">
        <v>3448693</v>
      </c>
      <c r="F3617" s="3">
        <v>3449052</v>
      </c>
      <c r="G3617" s="1" t="s">
        <v>13</v>
      </c>
      <c r="H3617" s="1" t="b">
        <f t="shared" si="137"/>
        <v>1</v>
      </c>
    </row>
    <row r="3618" spans="1:8" ht="21" x14ac:dyDescent="0.25">
      <c r="A3618" s="2" t="str">
        <f>HYPERLINK("https://rth.dk/resources/bsgatlas/details.php?id=BSGatlas-operon-1901","BSGatlas-operon-1901")</f>
        <v>BSGatlas-operon-1901</v>
      </c>
      <c r="B3618" s="2" t="str">
        <f>HYPERLINK("https://rth.dk/resources/bsgatlas/details.php?id=BSGatlas-gene-3935","BSGatlas-gene-3935")</f>
        <v>BSGatlas-gene-3935</v>
      </c>
      <c r="C3618" s="1" t="s">
        <v>3583</v>
      </c>
      <c r="D3618" s="1" t="s">
        <v>8</v>
      </c>
      <c r="E3618" s="3">
        <v>3449049</v>
      </c>
      <c r="F3618" s="3">
        <v>3449621</v>
      </c>
      <c r="G3618" s="1" t="s">
        <v>13</v>
      </c>
      <c r="H3618" s="1" t="b">
        <f t="shared" si="137"/>
        <v>1</v>
      </c>
    </row>
    <row r="3619" spans="1:8" ht="21" x14ac:dyDescent="0.25">
      <c r="A3619" s="2" t="str">
        <f>HYPERLINK("https://rth.dk/resources/bsgatlas/details.php?id=BSGatlas-operon-1902","BSGatlas-operon-1902")</f>
        <v>BSGatlas-operon-1902</v>
      </c>
      <c r="B3619" s="2" t="str">
        <f>HYPERLINK("https://rth.dk/resources/bsgatlas/details.php?id=BSGatlas-gene-3936","BSGatlas-gene-3936")</f>
        <v>BSGatlas-gene-3936</v>
      </c>
      <c r="C3619" s="1" t="s">
        <v>3584</v>
      </c>
      <c r="D3619" s="1" t="s">
        <v>8</v>
      </c>
      <c r="E3619" s="3">
        <v>3449732</v>
      </c>
      <c r="F3619" s="3">
        <v>3450526</v>
      </c>
      <c r="G3619" s="1" t="s">
        <v>13</v>
      </c>
      <c r="H3619" s="1" t="b">
        <f t="shared" si="137"/>
        <v>0</v>
      </c>
    </row>
    <row r="3620" spans="1:8" ht="21" x14ac:dyDescent="0.25">
      <c r="A3620" s="2" t="str">
        <f>HYPERLINK("https://rth.dk/resources/bsgatlas/details.php?id=BSGatlas-operon-1903","BSGatlas-operon-1903")</f>
        <v>BSGatlas-operon-1903</v>
      </c>
      <c r="B3620" s="2" t="str">
        <f>HYPERLINK("https://rth.dk/resources/bsgatlas/details.php?id=BSGatlas-gene-3937","BSGatlas-gene-3937")</f>
        <v>BSGatlas-gene-3937</v>
      </c>
      <c r="C3620" s="1" t="s">
        <v>3585</v>
      </c>
      <c r="D3620" s="1" t="s">
        <v>3586</v>
      </c>
      <c r="E3620" s="3">
        <v>3450708</v>
      </c>
      <c r="F3620" s="3">
        <v>3451071</v>
      </c>
      <c r="G3620" s="1" t="s">
        <v>13</v>
      </c>
      <c r="H3620" s="1" t="b">
        <f t="shared" si="137"/>
        <v>1</v>
      </c>
    </row>
    <row r="3621" spans="1:8" ht="21" x14ac:dyDescent="0.25">
      <c r="A3621" s="2" t="str">
        <f>HYPERLINK("https://rth.dk/resources/bsgatlas/details.php?id=BSGatlas-operon-1903","BSGatlas-operon-1903")</f>
        <v>BSGatlas-operon-1903</v>
      </c>
      <c r="B3621" s="2" t="str">
        <f>HYPERLINK("https://rth.dk/resources/bsgatlas/details.php?id=BSGatlas-gene-3938","BSGatlas-gene-3938")</f>
        <v>BSGatlas-gene-3938</v>
      </c>
      <c r="C3621" s="1" t="s">
        <v>3587</v>
      </c>
      <c r="D3621" s="1" t="s">
        <v>8</v>
      </c>
      <c r="E3621" s="3">
        <v>3451248</v>
      </c>
      <c r="F3621" s="3">
        <v>3451718</v>
      </c>
      <c r="G3621" s="1" t="s">
        <v>13</v>
      </c>
      <c r="H3621" s="1" t="b">
        <f t="shared" si="137"/>
        <v>1</v>
      </c>
    </row>
    <row r="3622" spans="1:8" ht="21" x14ac:dyDescent="0.25">
      <c r="A3622" s="2" t="str">
        <f>HYPERLINK("https://rth.dk/resources/bsgatlas/details.php?id=BSGatlas-operon-1903","BSGatlas-operon-1903")</f>
        <v>BSGatlas-operon-1903</v>
      </c>
      <c r="B3622" s="2" t="str">
        <f>HYPERLINK("https://rth.dk/resources/bsgatlas/details.php?id=BSGatlas-gene-3939","BSGatlas-gene-3939")</f>
        <v>BSGatlas-gene-3939</v>
      </c>
      <c r="C3622" s="1" t="s">
        <v>3588</v>
      </c>
      <c r="D3622" s="1" t="s">
        <v>8</v>
      </c>
      <c r="E3622" s="3">
        <v>3451863</v>
      </c>
      <c r="F3622" s="3">
        <v>3454202</v>
      </c>
      <c r="G3622" s="1" t="s">
        <v>13</v>
      </c>
      <c r="H3622" s="1" t="b">
        <f t="shared" si="137"/>
        <v>1</v>
      </c>
    </row>
    <row r="3623" spans="1:8" ht="21" x14ac:dyDescent="0.25">
      <c r="A3623" s="2" t="str">
        <f>HYPERLINK("https://rth.dk/resources/bsgatlas/details.php?id=BSGatlas-operon-1903","BSGatlas-operon-1903")</f>
        <v>BSGatlas-operon-1903</v>
      </c>
      <c r="B3623" s="2" t="str">
        <f>HYPERLINK("https://rth.dk/resources/bsgatlas/details.php?id=BSGatlas-gene-3940","BSGatlas-gene-3940")</f>
        <v>BSGatlas-gene-3940</v>
      </c>
      <c r="C3623" s="1" t="s">
        <v>330</v>
      </c>
      <c r="D3623" s="1" t="s">
        <v>8</v>
      </c>
      <c r="E3623" s="3">
        <v>3454221</v>
      </c>
      <c r="F3623" s="3">
        <v>3454961</v>
      </c>
      <c r="G3623" s="1" t="s">
        <v>13</v>
      </c>
      <c r="H3623" s="1" t="b">
        <f t="shared" si="137"/>
        <v>1</v>
      </c>
    </row>
    <row r="3624" spans="1:8" ht="21" x14ac:dyDescent="0.25">
      <c r="A3624" s="2" t="str">
        <f>HYPERLINK("https://rth.dk/resources/bsgatlas/details.php?id=BSGatlas-operon-1903","BSGatlas-operon-1903")</f>
        <v>BSGatlas-operon-1903</v>
      </c>
      <c r="B3624" s="2" t="str">
        <f>HYPERLINK("https://rth.dk/resources/bsgatlas/details.php?id=BSGatlas-gene-3941","BSGatlas-gene-3941")</f>
        <v>BSGatlas-gene-3941</v>
      </c>
      <c r="C3624" s="1" t="s">
        <v>3589</v>
      </c>
      <c r="D3624" s="1" t="s">
        <v>8</v>
      </c>
      <c r="E3624" s="3">
        <v>3455093</v>
      </c>
      <c r="F3624" s="3">
        <v>3455323</v>
      </c>
      <c r="G3624" s="1" t="s">
        <v>13</v>
      </c>
      <c r="H3624" s="1" t="b">
        <f t="shared" si="137"/>
        <v>1</v>
      </c>
    </row>
    <row r="3625" spans="1:8" ht="21" x14ac:dyDescent="0.25">
      <c r="A3625" s="2" t="str">
        <f>HYPERLINK("https://rth.dk/resources/bsgatlas/details.php?id=BSGatlas-operon-1904","BSGatlas-operon-1904")</f>
        <v>BSGatlas-operon-1904</v>
      </c>
      <c r="B3625" s="2" t="str">
        <f>HYPERLINK("https://rth.dk/resources/bsgatlas/details.php?id=BSGatlas-gene-3942","BSGatlas-gene-3942")</f>
        <v>BSGatlas-gene-3942</v>
      </c>
      <c r="C3625" s="1" t="s">
        <v>3590</v>
      </c>
      <c r="D3625" s="1" t="s">
        <v>8</v>
      </c>
      <c r="E3625" s="3">
        <v>3455472</v>
      </c>
      <c r="F3625" s="3">
        <v>3456242</v>
      </c>
      <c r="G3625" s="1" t="s">
        <v>9</v>
      </c>
      <c r="H3625" s="1" t="b">
        <f t="shared" si="137"/>
        <v>0</v>
      </c>
    </row>
    <row r="3626" spans="1:8" ht="21" x14ac:dyDescent="0.25">
      <c r="A3626" s="2" t="str">
        <f>HYPERLINK("https://rth.dk/resources/bsgatlas/details.php?id=BSGatlas-operon-1905","BSGatlas-operon-1905")</f>
        <v>BSGatlas-operon-1905</v>
      </c>
      <c r="B3626" s="2" t="str">
        <f>HYPERLINK("https://rth.dk/resources/bsgatlas/details.php?id=BSGatlas-gene-3943","BSGatlas-gene-3943")</f>
        <v>BSGatlas-gene-3943</v>
      </c>
      <c r="C3626" s="1" t="s">
        <v>3591</v>
      </c>
      <c r="D3626" s="1" t="s">
        <v>8</v>
      </c>
      <c r="E3626" s="3">
        <v>3456282</v>
      </c>
      <c r="F3626" s="3">
        <v>3456515</v>
      </c>
      <c r="G3626" s="1" t="s">
        <v>13</v>
      </c>
      <c r="H3626" s="1" t="b">
        <f t="shared" si="137"/>
        <v>1</v>
      </c>
    </row>
    <row r="3627" spans="1:8" ht="21" x14ac:dyDescent="0.25">
      <c r="A3627" s="2" t="str">
        <f>HYPERLINK("https://rth.dk/resources/bsgatlas/details.php?id=BSGatlas-operon-1906","BSGatlas-operon-1906")</f>
        <v>BSGatlas-operon-1906</v>
      </c>
      <c r="B3627" s="2" t="str">
        <f>HYPERLINK("https://rth.dk/resources/bsgatlas/details.php?id=BSGatlas-gene-3944","BSGatlas-gene-3944")</f>
        <v>BSGatlas-gene-3944</v>
      </c>
      <c r="C3627" s="1" t="s">
        <v>3592</v>
      </c>
      <c r="D3627" s="1" t="s">
        <v>8</v>
      </c>
      <c r="E3627" s="3">
        <v>3456667</v>
      </c>
      <c r="F3627" s="3">
        <v>3457074</v>
      </c>
      <c r="G3627" s="1" t="s">
        <v>9</v>
      </c>
      <c r="H3627" s="1" t="b">
        <f t="shared" si="137"/>
        <v>0</v>
      </c>
    </row>
    <row r="3628" spans="1:8" ht="21" x14ac:dyDescent="0.25">
      <c r="A3628" s="2" t="str">
        <f>HYPERLINK("https://rth.dk/resources/bsgatlas/details.php?id=BSGatlas-operon-1907","BSGatlas-operon-1907")</f>
        <v>BSGatlas-operon-1907</v>
      </c>
      <c r="B3628" s="2" t="str">
        <f>HYPERLINK("https://rth.dk/resources/bsgatlas/details.php?id=BSGatlas-gene-3946","BSGatlas-gene-3946")</f>
        <v>BSGatlas-gene-3946</v>
      </c>
      <c r="C3628" s="1" t="s">
        <v>3593</v>
      </c>
      <c r="D3628" s="1" t="s">
        <v>8</v>
      </c>
      <c r="E3628" s="3">
        <v>3457615</v>
      </c>
      <c r="F3628" s="3">
        <v>3457941</v>
      </c>
      <c r="G3628" s="1" t="s">
        <v>9</v>
      </c>
      <c r="H3628" s="1" t="b">
        <f t="shared" si="137"/>
        <v>1</v>
      </c>
    </row>
    <row r="3629" spans="1:8" ht="21" x14ac:dyDescent="0.25">
      <c r="A3629" s="2" t="str">
        <f>HYPERLINK("https://rth.dk/resources/bsgatlas/details.php?id=BSGatlas-operon-1908","BSGatlas-operon-1908")</f>
        <v>BSGatlas-operon-1908</v>
      </c>
      <c r="B3629" s="2" t="str">
        <f>HYPERLINK("https://rth.dk/resources/bsgatlas/details.php?id=BSGatlas-gene-3947","BSGatlas-gene-3947")</f>
        <v>BSGatlas-gene-3947</v>
      </c>
      <c r="C3629" s="1" t="s">
        <v>3594</v>
      </c>
      <c r="D3629" s="1" t="s">
        <v>8</v>
      </c>
      <c r="E3629" s="3">
        <v>3458066</v>
      </c>
      <c r="F3629" s="3">
        <v>3459766</v>
      </c>
      <c r="G3629" s="1" t="s">
        <v>9</v>
      </c>
      <c r="H3629" s="1" t="b">
        <f t="shared" si="137"/>
        <v>0</v>
      </c>
    </row>
    <row r="3630" spans="1:8" ht="21" x14ac:dyDescent="0.25">
      <c r="A3630" s="2" t="str">
        <f>HYPERLINK("https://rth.dk/resources/bsgatlas/details.php?id=BSGatlas-operon-1909","BSGatlas-operon-1909")</f>
        <v>BSGatlas-operon-1909</v>
      </c>
      <c r="B3630" s="2" t="str">
        <f>HYPERLINK("https://rth.dk/resources/bsgatlas/details.php?id=BSGatlas-gene-3948","BSGatlas-gene-3948")</f>
        <v>BSGatlas-gene-3948</v>
      </c>
      <c r="C3630" s="1" t="s">
        <v>3595</v>
      </c>
      <c r="D3630" s="1" t="s">
        <v>8</v>
      </c>
      <c r="E3630" s="3">
        <v>3459806</v>
      </c>
      <c r="F3630" s="3">
        <v>3460486</v>
      </c>
      <c r="G3630" s="1" t="s">
        <v>13</v>
      </c>
      <c r="H3630" s="1" t="b">
        <f t="shared" si="137"/>
        <v>1</v>
      </c>
    </row>
    <row r="3631" spans="1:8" ht="21" x14ac:dyDescent="0.25">
      <c r="A3631" s="2" t="str">
        <f>HYPERLINK("https://rth.dk/resources/bsgatlas/details.php?id=BSGatlas-operon-1909","BSGatlas-operon-1909")</f>
        <v>BSGatlas-operon-1909</v>
      </c>
      <c r="B3631" s="2" t="str">
        <f>HYPERLINK("https://rth.dk/resources/bsgatlas/details.php?id=BSGatlas-gene-3950","BSGatlas-gene-3950")</f>
        <v>BSGatlas-gene-3950</v>
      </c>
      <c r="C3631" s="1" t="s">
        <v>3596</v>
      </c>
      <c r="D3631" s="1" t="s">
        <v>8</v>
      </c>
      <c r="E3631" s="3">
        <v>3460503</v>
      </c>
      <c r="F3631" s="3">
        <v>3461423</v>
      </c>
      <c r="G3631" s="1" t="s">
        <v>13</v>
      </c>
      <c r="H3631" s="1" t="b">
        <f t="shared" si="137"/>
        <v>1</v>
      </c>
    </row>
    <row r="3632" spans="1:8" ht="21" x14ac:dyDescent="0.25">
      <c r="A3632" s="2" t="str">
        <f>HYPERLINK("https://rth.dk/resources/bsgatlas/details.php?id=BSGatlas-operon-1909","BSGatlas-operon-1909")</f>
        <v>BSGatlas-operon-1909</v>
      </c>
      <c r="B3632" s="2" t="str">
        <f>HYPERLINK("https://rth.dk/resources/bsgatlas/details.php?id=BSGatlas-gene-3951","BSGatlas-gene-3951")</f>
        <v>BSGatlas-gene-3951</v>
      </c>
      <c r="C3632" s="1" t="s">
        <v>3597</v>
      </c>
      <c r="D3632" s="1" t="s">
        <v>8</v>
      </c>
      <c r="E3632" s="3">
        <v>3461435</v>
      </c>
      <c r="F3632" s="3">
        <v>3462088</v>
      </c>
      <c r="G3632" s="1" t="s">
        <v>13</v>
      </c>
      <c r="H3632" s="1" t="b">
        <f t="shared" si="137"/>
        <v>1</v>
      </c>
    </row>
    <row r="3633" spans="1:8" ht="21" x14ac:dyDescent="0.25">
      <c r="A3633" s="2" t="str">
        <f>HYPERLINK("https://rth.dk/resources/bsgatlas/details.php?id=BSGatlas-operon-1909","BSGatlas-operon-1909")</f>
        <v>BSGatlas-operon-1909</v>
      </c>
      <c r="B3633" s="2" t="str">
        <f>HYPERLINK("https://rth.dk/resources/bsgatlas/details.php?id=BSGatlas-gene-3952","BSGatlas-gene-3952")</f>
        <v>BSGatlas-gene-3952</v>
      </c>
      <c r="C3633" s="1" t="s">
        <v>3598</v>
      </c>
      <c r="D3633" s="1" t="s">
        <v>8</v>
      </c>
      <c r="E3633" s="3">
        <v>3462105</v>
      </c>
      <c r="F3633" s="3">
        <v>3463250</v>
      </c>
      <c r="G3633" s="1" t="s">
        <v>13</v>
      </c>
      <c r="H3633" s="1" t="b">
        <f t="shared" si="137"/>
        <v>1</v>
      </c>
    </row>
    <row r="3634" spans="1:8" ht="21" x14ac:dyDescent="0.25">
      <c r="A3634" s="2" t="str">
        <f>HYPERLINK("https://rth.dk/resources/bsgatlas/details.php?id=BSGatlas-operon-1910","BSGatlas-operon-1910")</f>
        <v>BSGatlas-operon-1910</v>
      </c>
      <c r="B3634" s="2" t="str">
        <f>HYPERLINK("https://rth.dk/resources/bsgatlas/details.php?id=BSGatlas-gene-3949","BSGatlas-gene-3949")</f>
        <v>BSGatlas-gene-3949</v>
      </c>
      <c r="C3634" s="1" t="s">
        <v>3599</v>
      </c>
      <c r="D3634" s="1" t="s">
        <v>12</v>
      </c>
      <c r="E3634" s="3">
        <v>3460206</v>
      </c>
      <c r="F3634" s="3">
        <v>3462957</v>
      </c>
      <c r="G3634" s="1" t="s">
        <v>9</v>
      </c>
      <c r="H3634" s="1" t="b">
        <f t="shared" si="137"/>
        <v>0</v>
      </c>
    </row>
    <row r="3635" spans="1:8" ht="21" x14ac:dyDescent="0.25">
      <c r="A3635" s="2" t="str">
        <f>HYPERLINK("https://rth.dk/resources/bsgatlas/details.php?id=BSGatlas-operon-1911","BSGatlas-operon-1911")</f>
        <v>BSGatlas-operon-1911</v>
      </c>
      <c r="B3635" s="2" t="str">
        <f>HYPERLINK("https://rth.dk/resources/bsgatlas/details.php?id=BSGatlas-gene-3953","BSGatlas-gene-3953")</f>
        <v>BSGatlas-gene-3953</v>
      </c>
      <c r="C3635" s="1" t="s">
        <v>3600</v>
      </c>
      <c r="D3635" s="1" t="s">
        <v>8</v>
      </c>
      <c r="E3635" s="3">
        <v>3463534</v>
      </c>
      <c r="F3635" s="3">
        <v>3464067</v>
      </c>
      <c r="G3635" s="1" t="s">
        <v>9</v>
      </c>
      <c r="H3635" s="1" t="b">
        <f t="shared" si="137"/>
        <v>1</v>
      </c>
    </row>
    <row r="3636" spans="1:8" ht="21" x14ac:dyDescent="0.25">
      <c r="A3636" s="2" t="str">
        <f>HYPERLINK("https://rth.dk/resources/bsgatlas/details.php?id=BSGatlas-operon-1912","BSGatlas-operon-1912")</f>
        <v>BSGatlas-operon-1912</v>
      </c>
      <c r="B3636" s="2" t="str">
        <f>HYPERLINK("https://rth.dk/resources/bsgatlas/details.php?id=BSGatlas-gene-3954","BSGatlas-gene-3954")</f>
        <v>BSGatlas-gene-3954</v>
      </c>
      <c r="C3636" s="1" t="s">
        <v>3601</v>
      </c>
      <c r="D3636" s="1" t="s">
        <v>12</v>
      </c>
      <c r="E3636" s="3">
        <v>3463734</v>
      </c>
      <c r="F3636" s="3">
        <v>3464253</v>
      </c>
      <c r="G3636" s="1" t="s">
        <v>13</v>
      </c>
      <c r="H3636" s="1" t="b">
        <f t="shared" si="137"/>
        <v>0</v>
      </c>
    </row>
    <row r="3637" spans="1:8" ht="21" x14ac:dyDescent="0.25">
      <c r="A3637" s="2" t="str">
        <f>HYPERLINK("https://rth.dk/resources/bsgatlas/details.php?id=BSGatlas-operon-1913","BSGatlas-operon-1913")</f>
        <v>BSGatlas-operon-1913</v>
      </c>
      <c r="B3637" s="2" t="str">
        <f>HYPERLINK("https://rth.dk/resources/bsgatlas/details.php?id=BSGatlas-gene-3955","BSGatlas-gene-3955")</f>
        <v>BSGatlas-gene-3955</v>
      </c>
      <c r="C3637" s="1" t="s">
        <v>3602</v>
      </c>
      <c r="D3637" s="1" t="s">
        <v>8</v>
      </c>
      <c r="E3637" s="3">
        <v>3464289</v>
      </c>
      <c r="F3637" s="3">
        <v>3464765</v>
      </c>
      <c r="G3637" s="1" t="s">
        <v>9</v>
      </c>
      <c r="H3637" s="1" t="b">
        <f t="shared" si="137"/>
        <v>1</v>
      </c>
    </row>
    <row r="3638" spans="1:8" ht="21" x14ac:dyDescent="0.25">
      <c r="A3638" s="2" t="str">
        <f>HYPERLINK("https://rth.dk/resources/bsgatlas/details.php?id=BSGatlas-operon-1913","BSGatlas-operon-1913")</f>
        <v>BSGatlas-operon-1913</v>
      </c>
      <c r="B3638" s="2" t="str">
        <f>HYPERLINK("https://rth.dk/resources/bsgatlas/details.php?id=BSGatlas-gene-3956","BSGatlas-gene-3956")</f>
        <v>BSGatlas-gene-3956</v>
      </c>
      <c r="C3638" s="1" t="s">
        <v>3603</v>
      </c>
      <c r="D3638" s="1" t="s">
        <v>8</v>
      </c>
      <c r="E3638" s="3">
        <v>3464762</v>
      </c>
      <c r="F3638" s="3">
        <v>3465733</v>
      </c>
      <c r="G3638" s="1" t="s">
        <v>9</v>
      </c>
      <c r="H3638" s="1" t="b">
        <f t="shared" si="137"/>
        <v>1</v>
      </c>
    </row>
    <row r="3639" spans="1:8" ht="21" x14ac:dyDescent="0.25">
      <c r="A3639" s="2" t="str">
        <f>HYPERLINK("https://rth.dk/resources/bsgatlas/details.php?id=BSGatlas-operon-1913","BSGatlas-operon-1913")</f>
        <v>BSGatlas-operon-1913</v>
      </c>
      <c r="B3639" s="2" t="str">
        <f>HYPERLINK("https://rth.dk/resources/bsgatlas/details.php?id=BSGatlas-gene-3957","BSGatlas-gene-3957")</f>
        <v>BSGatlas-gene-3957</v>
      </c>
      <c r="C3639" s="1" t="s">
        <v>3604</v>
      </c>
      <c r="D3639" s="1" t="s">
        <v>8</v>
      </c>
      <c r="E3639" s="3">
        <v>3465776</v>
      </c>
      <c r="F3639" s="3">
        <v>3466387</v>
      </c>
      <c r="G3639" s="1" t="s">
        <v>9</v>
      </c>
      <c r="H3639" s="1" t="b">
        <f t="shared" si="137"/>
        <v>1</v>
      </c>
    </row>
    <row r="3640" spans="1:8" ht="21" x14ac:dyDescent="0.25">
      <c r="A3640" s="2" t="str">
        <f>HYPERLINK("https://rth.dk/resources/bsgatlas/details.php?id=BSGatlas-operon-1914","BSGatlas-operon-1914")</f>
        <v>BSGatlas-operon-1914</v>
      </c>
      <c r="B3640" s="2" t="str">
        <f>HYPERLINK("https://rth.dk/resources/bsgatlas/details.php?id=BSGatlas-gene-3958","BSGatlas-gene-3958")</f>
        <v>BSGatlas-gene-3958</v>
      </c>
      <c r="C3640" s="1" t="s">
        <v>3605</v>
      </c>
      <c r="D3640" s="1" t="s">
        <v>8</v>
      </c>
      <c r="E3640" s="3">
        <v>3466434</v>
      </c>
      <c r="F3640" s="3">
        <v>3467057</v>
      </c>
      <c r="G3640" s="1" t="s">
        <v>13</v>
      </c>
      <c r="H3640" s="1" t="b">
        <f t="shared" si="137"/>
        <v>0</v>
      </c>
    </row>
    <row r="3641" spans="1:8" ht="21" x14ac:dyDescent="0.25">
      <c r="A3641" s="2" t="str">
        <f>HYPERLINK("https://rth.dk/resources/bsgatlas/details.php?id=BSGatlas-operon-1914","BSGatlas-operon-1914")</f>
        <v>BSGatlas-operon-1914</v>
      </c>
      <c r="B3641" s="2" t="str">
        <f>HYPERLINK("https://rth.dk/resources/bsgatlas/details.php?id=BSGatlas-gene-3959","BSGatlas-gene-3959")</f>
        <v>BSGatlas-gene-3959</v>
      </c>
      <c r="C3641" s="1" t="s">
        <v>3606</v>
      </c>
      <c r="D3641" s="1" t="s">
        <v>8</v>
      </c>
      <c r="E3641" s="3">
        <v>3467054</v>
      </c>
      <c r="F3641" s="3">
        <v>3467326</v>
      </c>
      <c r="G3641" s="1" t="s">
        <v>13</v>
      </c>
      <c r="H3641" s="1" t="b">
        <f t="shared" si="137"/>
        <v>0</v>
      </c>
    </row>
    <row r="3642" spans="1:8" ht="21" x14ac:dyDescent="0.25">
      <c r="A3642" s="2" t="str">
        <f>HYPERLINK("https://rth.dk/resources/bsgatlas/details.php?id=BSGatlas-operon-1915","BSGatlas-operon-1915")</f>
        <v>BSGatlas-operon-1915</v>
      </c>
      <c r="B3642" s="2" t="str">
        <f>HYPERLINK("https://rth.dk/resources/bsgatlas/details.php?id=BSGatlas-gene-3960","BSGatlas-gene-3960")</f>
        <v>BSGatlas-gene-3960</v>
      </c>
      <c r="C3642" s="1" t="s">
        <v>3607</v>
      </c>
      <c r="D3642" s="1" t="s">
        <v>8</v>
      </c>
      <c r="E3642" s="3">
        <v>3467546</v>
      </c>
      <c r="F3642" s="3">
        <v>3468235</v>
      </c>
      <c r="G3642" s="1" t="s">
        <v>13</v>
      </c>
      <c r="H3642" s="1" t="b">
        <f t="shared" si="137"/>
        <v>1</v>
      </c>
    </row>
    <row r="3643" spans="1:8" ht="21" x14ac:dyDescent="0.25">
      <c r="A3643" s="2" t="str">
        <f>HYPERLINK("https://rth.dk/resources/bsgatlas/details.php?id=BSGatlas-operon-1915","BSGatlas-operon-1915")</f>
        <v>BSGatlas-operon-1915</v>
      </c>
      <c r="B3643" s="2" t="str">
        <f>HYPERLINK("https://rth.dk/resources/bsgatlas/details.php?id=BSGatlas-gene-3961","BSGatlas-gene-3961")</f>
        <v>BSGatlas-gene-3961</v>
      </c>
      <c r="C3643" s="1" t="s">
        <v>3608</v>
      </c>
      <c r="D3643" s="1" t="s">
        <v>8</v>
      </c>
      <c r="E3643" s="3">
        <v>3468253</v>
      </c>
      <c r="F3643" s="3">
        <v>3469164</v>
      </c>
      <c r="G3643" s="1" t="s">
        <v>13</v>
      </c>
      <c r="H3643" s="1" t="b">
        <f t="shared" si="137"/>
        <v>1</v>
      </c>
    </row>
    <row r="3644" spans="1:8" ht="21" x14ac:dyDescent="0.25">
      <c r="A3644" s="2" t="str">
        <f>HYPERLINK("https://rth.dk/resources/bsgatlas/details.php?id=BSGatlas-operon-1915","BSGatlas-operon-1915")</f>
        <v>BSGatlas-operon-1915</v>
      </c>
      <c r="B3644" s="2" t="str">
        <f>HYPERLINK("https://rth.dk/resources/bsgatlas/details.php?id=BSGatlas-gene-3962","BSGatlas-gene-3962")</f>
        <v>BSGatlas-gene-3962</v>
      </c>
      <c r="C3644" s="1" t="s">
        <v>3609</v>
      </c>
      <c r="D3644" s="1" t="s">
        <v>8</v>
      </c>
      <c r="E3644" s="3">
        <v>3469184</v>
      </c>
      <c r="F3644" s="3">
        <v>3469837</v>
      </c>
      <c r="G3644" s="1" t="s">
        <v>13</v>
      </c>
      <c r="H3644" s="1" t="b">
        <f t="shared" si="137"/>
        <v>1</v>
      </c>
    </row>
    <row r="3645" spans="1:8" ht="21" x14ac:dyDescent="0.25">
      <c r="A3645" s="2" t="str">
        <f>HYPERLINK("https://rth.dk/resources/bsgatlas/details.php?id=BSGatlas-operon-1915","BSGatlas-operon-1915")</f>
        <v>BSGatlas-operon-1915</v>
      </c>
      <c r="B3645" s="2" t="str">
        <f>HYPERLINK("https://rth.dk/resources/bsgatlas/details.php?id=BSGatlas-gene-3963","BSGatlas-gene-3963")</f>
        <v>BSGatlas-gene-3963</v>
      </c>
      <c r="C3645" s="1" t="s">
        <v>3610</v>
      </c>
      <c r="D3645" s="1" t="s">
        <v>8</v>
      </c>
      <c r="E3645" s="3">
        <v>3469860</v>
      </c>
      <c r="F3645" s="3">
        <v>3471002</v>
      </c>
      <c r="G3645" s="1" t="s">
        <v>13</v>
      </c>
      <c r="H3645" s="1" t="b">
        <f t="shared" si="137"/>
        <v>1</v>
      </c>
    </row>
    <row r="3646" spans="1:8" ht="21" x14ac:dyDescent="0.25">
      <c r="A3646" s="2" t="str">
        <f>HYPERLINK("https://rth.dk/resources/bsgatlas/details.php?id=BSGatlas-operon-1916","BSGatlas-operon-1916")</f>
        <v>BSGatlas-operon-1916</v>
      </c>
      <c r="B3646" s="2" t="str">
        <f>HYPERLINK("https://rth.dk/resources/bsgatlas/details.php?id=BSGatlas-gene-3964","BSGatlas-gene-3964")</f>
        <v>BSGatlas-gene-3964</v>
      </c>
      <c r="C3646" s="1" t="s">
        <v>3611</v>
      </c>
      <c r="D3646" s="1" t="s">
        <v>8</v>
      </c>
      <c r="E3646" s="3">
        <v>3471266</v>
      </c>
      <c r="F3646" s="3">
        <v>3471823</v>
      </c>
      <c r="G3646" s="1" t="s">
        <v>9</v>
      </c>
      <c r="H3646" s="1" t="b">
        <f t="shared" si="137"/>
        <v>0</v>
      </c>
    </row>
    <row r="3647" spans="1:8" ht="21" x14ac:dyDescent="0.25">
      <c r="A3647" s="2" t="str">
        <f>HYPERLINK("https://rth.dk/resources/bsgatlas/details.php?id=BSGatlas-operon-1917","BSGatlas-operon-1917")</f>
        <v>BSGatlas-operon-1917</v>
      </c>
      <c r="B3647" s="2" t="str">
        <f>HYPERLINK("https://rth.dk/resources/bsgatlas/details.php?id=BSGatlas-gene-3965","BSGatlas-gene-3965")</f>
        <v>BSGatlas-gene-3965</v>
      </c>
      <c r="C3647" s="1" t="s">
        <v>3612</v>
      </c>
      <c r="D3647" s="1" t="s">
        <v>8</v>
      </c>
      <c r="E3647" s="3">
        <v>3471841</v>
      </c>
      <c r="F3647" s="3">
        <v>3472476</v>
      </c>
      <c r="G3647" s="1" t="s">
        <v>13</v>
      </c>
      <c r="H3647" s="1" t="b">
        <f t="shared" si="137"/>
        <v>1</v>
      </c>
    </row>
    <row r="3648" spans="1:8" ht="21" x14ac:dyDescent="0.25">
      <c r="A3648" s="2" t="str">
        <f>HYPERLINK("https://rth.dk/resources/bsgatlas/details.php?id=BSGatlas-operon-1918","BSGatlas-operon-1918")</f>
        <v>BSGatlas-operon-1918</v>
      </c>
      <c r="B3648" s="2" t="str">
        <f>HYPERLINK("https://rth.dk/resources/bsgatlas/details.php?id=BSGatlas-gene-3966","BSGatlas-gene-3966")</f>
        <v>BSGatlas-gene-3966</v>
      </c>
      <c r="C3648" s="1" t="s">
        <v>3613</v>
      </c>
      <c r="D3648" s="1" t="s">
        <v>8</v>
      </c>
      <c r="E3648" s="3">
        <v>3472626</v>
      </c>
      <c r="F3648" s="3">
        <v>3473240</v>
      </c>
      <c r="G3648" s="1" t="s">
        <v>9</v>
      </c>
      <c r="H3648" s="1" t="b">
        <f t="shared" si="137"/>
        <v>0</v>
      </c>
    </row>
    <row r="3649" spans="1:8" ht="21" x14ac:dyDescent="0.25">
      <c r="A3649" s="2" t="str">
        <f>HYPERLINK("https://rth.dk/resources/bsgatlas/details.php?id=BSGatlas-operon-1919","BSGatlas-operon-1919")</f>
        <v>BSGatlas-operon-1919</v>
      </c>
      <c r="B3649" s="2" t="str">
        <f>HYPERLINK("https://rth.dk/resources/bsgatlas/details.php?id=BSGatlas-gene-3967","BSGatlas-gene-3967")</f>
        <v>BSGatlas-gene-3967</v>
      </c>
      <c r="C3649" s="1" t="s">
        <v>3614</v>
      </c>
      <c r="D3649" s="1" t="s">
        <v>8</v>
      </c>
      <c r="E3649" s="3">
        <v>3473372</v>
      </c>
      <c r="F3649" s="3">
        <v>3474070</v>
      </c>
      <c r="G3649" s="1" t="s">
        <v>9</v>
      </c>
      <c r="H3649" s="1" t="b">
        <f t="shared" si="137"/>
        <v>1</v>
      </c>
    </row>
    <row r="3650" spans="1:8" ht="21" x14ac:dyDescent="0.25">
      <c r="A3650" s="2" t="str">
        <f>HYPERLINK("https://rth.dk/resources/bsgatlas/details.php?id=BSGatlas-operon-1920","BSGatlas-operon-1920")</f>
        <v>BSGatlas-operon-1920</v>
      </c>
      <c r="B3650" s="2" t="str">
        <f>HYPERLINK("https://rth.dk/resources/bsgatlas/details.php?id=BSGatlas-gene-3968","BSGatlas-gene-3968")</f>
        <v>BSGatlas-gene-3968</v>
      </c>
      <c r="C3650" s="1" t="s">
        <v>3615</v>
      </c>
      <c r="D3650" s="1" t="s">
        <v>8</v>
      </c>
      <c r="E3650" s="3">
        <v>3474106</v>
      </c>
      <c r="F3650" s="3">
        <v>3475923</v>
      </c>
      <c r="G3650" s="1" t="s">
        <v>13</v>
      </c>
      <c r="H3650" s="1" t="b">
        <f t="shared" ref="H3650:H3713" si="138">_xlfn.XOR(A3649&lt;&gt;A3650,H3649)</f>
        <v>0</v>
      </c>
    </row>
    <row r="3651" spans="1:8" ht="21" x14ac:dyDescent="0.25">
      <c r="A3651" s="2" t="str">
        <f>HYPERLINK("https://rth.dk/resources/bsgatlas/details.php?id=BSGatlas-operon-1921","BSGatlas-operon-1921")</f>
        <v>BSGatlas-operon-1921</v>
      </c>
      <c r="B3651" s="2" t="str">
        <f>HYPERLINK("https://rth.dk/resources/bsgatlas/details.php?id=BSGatlas-gene-3969","BSGatlas-gene-3969")</f>
        <v>BSGatlas-gene-3969</v>
      </c>
      <c r="C3651" s="1" t="s">
        <v>3616</v>
      </c>
      <c r="D3651" s="1" t="s">
        <v>8</v>
      </c>
      <c r="E3651" s="3">
        <v>3476043</v>
      </c>
      <c r="F3651" s="3">
        <v>3476510</v>
      </c>
      <c r="G3651" s="1" t="s">
        <v>9</v>
      </c>
      <c r="H3651" s="1" t="b">
        <f t="shared" si="138"/>
        <v>1</v>
      </c>
    </row>
    <row r="3652" spans="1:8" ht="21" x14ac:dyDescent="0.25">
      <c r="A3652" s="2" t="str">
        <f t="shared" ref="A3652:A3657" si="139">HYPERLINK("https://rth.dk/resources/bsgatlas/details.php?id=BSGatlas-operon-1922","BSGatlas-operon-1922")</f>
        <v>BSGatlas-operon-1922</v>
      </c>
      <c r="B3652" s="2" t="str">
        <f>HYPERLINK("https://rth.dk/resources/bsgatlas/details.php?id=BSGatlas-gene-3970","BSGatlas-gene-3970")</f>
        <v>BSGatlas-gene-3970</v>
      </c>
      <c r="C3652" s="1" t="s">
        <v>3617</v>
      </c>
      <c r="D3652" s="1" t="s">
        <v>8</v>
      </c>
      <c r="E3652" s="3">
        <v>3476555</v>
      </c>
      <c r="F3652" s="3">
        <v>3477847</v>
      </c>
      <c r="G3652" s="1" t="s">
        <v>13</v>
      </c>
      <c r="H3652" s="1" t="b">
        <f t="shared" si="138"/>
        <v>0</v>
      </c>
    </row>
    <row r="3653" spans="1:8" ht="21" x14ac:dyDescent="0.25">
      <c r="A3653" s="2" t="str">
        <f t="shared" si="139"/>
        <v>BSGatlas-operon-1922</v>
      </c>
      <c r="B3653" s="2" t="str">
        <f>HYPERLINK("https://rth.dk/resources/bsgatlas/details.php?id=BSGatlas-gene-3971","BSGatlas-gene-3971")</f>
        <v>BSGatlas-gene-3971</v>
      </c>
      <c r="C3653" s="1" t="s">
        <v>3618</v>
      </c>
      <c r="D3653" s="1" t="s">
        <v>8</v>
      </c>
      <c r="E3653" s="3">
        <v>3477877</v>
      </c>
      <c r="F3653" s="3">
        <v>3479412</v>
      </c>
      <c r="G3653" s="1" t="s">
        <v>13</v>
      </c>
      <c r="H3653" s="1" t="b">
        <f t="shared" si="138"/>
        <v>0</v>
      </c>
    </row>
    <row r="3654" spans="1:8" ht="21" x14ac:dyDescent="0.25">
      <c r="A3654" s="2" t="str">
        <f t="shared" si="139"/>
        <v>BSGatlas-operon-1922</v>
      </c>
      <c r="B3654" s="2" t="str">
        <f>HYPERLINK("https://rth.dk/resources/bsgatlas/details.php?id=BSGatlas-gene-3972","BSGatlas-gene-3972")</f>
        <v>BSGatlas-gene-3972</v>
      </c>
      <c r="C3654" s="1" t="s">
        <v>3619</v>
      </c>
      <c r="D3654" s="1" t="s">
        <v>8</v>
      </c>
      <c r="E3654" s="3">
        <v>3479405</v>
      </c>
      <c r="F3654" s="3">
        <v>3480166</v>
      </c>
      <c r="G3654" s="1" t="s">
        <v>13</v>
      </c>
      <c r="H3654" s="1" t="b">
        <f t="shared" si="138"/>
        <v>0</v>
      </c>
    </row>
    <row r="3655" spans="1:8" ht="21" x14ac:dyDescent="0.25">
      <c r="A3655" s="2" t="str">
        <f t="shared" si="139"/>
        <v>BSGatlas-operon-1922</v>
      </c>
      <c r="B3655" s="2" t="str">
        <f>HYPERLINK("https://rth.dk/resources/bsgatlas/details.php?id=BSGatlas-gene-3973","BSGatlas-gene-3973")</f>
        <v>BSGatlas-gene-3973</v>
      </c>
      <c r="C3655" s="1" t="s">
        <v>3620</v>
      </c>
      <c r="D3655" s="1" t="s">
        <v>8</v>
      </c>
      <c r="E3655" s="3">
        <v>3480197</v>
      </c>
      <c r="F3655" s="3">
        <v>3481381</v>
      </c>
      <c r="G3655" s="1" t="s">
        <v>13</v>
      </c>
      <c r="H3655" s="1" t="b">
        <f t="shared" si="138"/>
        <v>0</v>
      </c>
    </row>
    <row r="3656" spans="1:8" ht="21" x14ac:dyDescent="0.25">
      <c r="A3656" s="2" t="str">
        <f t="shared" si="139"/>
        <v>BSGatlas-operon-1922</v>
      </c>
      <c r="B3656" s="2" t="str">
        <f>HYPERLINK("https://rth.dk/resources/bsgatlas/details.php?id=BSGatlas-gene-3974","BSGatlas-gene-3974")</f>
        <v>BSGatlas-gene-3974</v>
      </c>
      <c r="C3656" s="1" t="s">
        <v>3621</v>
      </c>
      <c r="D3656" s="1" t="s">
        <v>8</v>
      </c>
      <c r="E3656" s="3">
        <v>3481698</v>
      </c>
      <c r="F3656" s="3">
        <v>3482705</v>
      </c>
      <c r="G3656" s="1" t="s">
        <v>13</v>
      </c>
      <c r="H3656" s="1" t="b">
        <f t="shared" si="138"/>
        <v>0</v>
      </c>
    </row>
    <row r="3657" spans="1:8" ht="21" x14ac:dyDescent="0.25">
      <c r="A3657" s="2" t="str">
        <f t="shared" si="139"/>
        <v>BSGatlas-operon-1922</v>
      </c>
      <c r="B3657" s="2" t="str">
        <f>HYPERLINK("https://rth.dk/resources/bsgatlas/details.php?id=BSGatlas-gene-3975","BSGatlas-gene-3975")</f>
        <v>BSGatlas-gene-3975</v>
      </c>
      <c r="C3657" s="1" t="s">
        <v>3622</v>
      </c>
      <c r="D3657" s="1" t="s">
        <v>8</v>
      </c>
      <c r="E3657" s="3">
        <v>3482752</v>
      </c>
      <c r="F3657" s="3">
        <v>3483774</v>
      </c>
      <c r="G3657" s="1" t="s">
        <v>13</v>
      </c>
      <c r="H3657" s="1" t="b">
        <f t="shared" si="138"/>
        <v>0</v>
      </c>
    </row>
    <row r="3658" spans="1:8" ht="21" x14ac:dyDescent="0.25">
      <c r="A3658" s="2" t="str">
        <f>HYPERLINK("https://rth.dk/resources/bsgatlas/details.php?id=BSGatlas-operon-1923","BSGatlas-operon-1923")</f>
        <v>BSGatlas-operon-1923</v>
      </c>
      <c r="B3658" s="2" t="str">
        <f>HYPERLINK("https://rth.dk/resources/bsgatlas/details.php?id=BSGatlas-gene-3976","BSGatlas-gene-3976")</f>
        <v>BSGatlas-gene-3976</v>
      </c>
      <c r="C3658" s="1" t="s">
        <v>3623</v>
      </c>
      <c r="D3658" s="1" t="s">
        <v>8</v>
      </c>
      <c r="E3658" s="3">
        <v>3484072</v>
      </c>
      <c r="F3658" s="3">
        <v>3485466</v>
      </c>
      <c r="G3658" s="1" t="s">
        <v>13</v>
      </c>
      <c r="H3658" s="1" t="b">
        <f t="shared" si="138"/>
        <v>1</v>
      </c>
    </row>
    <row r="3659" spans="1:8" ht="21" x14ac:dyDescent="0.25">
      <c r="A3659" s="2" t="str">
        <f>HYPERLINK("https://rth.dk/resources/bsgatlas/details.php?id=BSGatlas-operon-1924","BSGatlas-operon-1924")</f>
        <v>BSGatlas-operon-1924</v>
      </c>
      <c r="B3659" s="2" t="str">
        <f>HYPERLINK("https://rth.dk/resources/bsgatlas/details.php?id=BSGatlas-gene-3977","BSGatlas-gene-3977")</f>
        <v>BSGatlas-gene-3977</v>
      </c>
      <c r="C3659" s="1" t="s">
        <v>3624</v>
      </c>
      <c r="D3659" s="1" t="s">
        <v>8</v>
      </c>
      <c r="E3659" s="3">
        <v>3485670</v>
      </c>
      <c r="F3659" s="3">
        <v>3486758</v>
      </c>
      <c r="G3659" s="1" t="s">
        <v>9</v>
      </c>
      <c r="H3659" s="1" t="b">
        <f t="shared" si="138"/>
        <v>0</v>
      </c>
    </row>
    <row r="3660" spans="1:8" ht="21" x14ac:dyDescent="0.25">
      <c r="A3660" s="2" t="str">
        <f>HYPERLINK("https://rth.dk/resources/bsgatlas/details.php?id=BSGatlas-operon-1925","BSGatlas-operon-1925")</f>
        <v>BSGatlas-operon-1925</v>
      </c>
      <c r="B3660" s="2" t="str">
        <f>HYPERLINK("https://rth.dk/resources/bsgatlas/details.php?id=BSGatlas-gene-3978","BSGatlas-gene-3978")</f>
        <v>BSGatlas-gene-3978</v>
      </c>
      <c r="C3660" s="1" t="s">
        <v>3625</v>
      </c>
      <c r="D3660" s="1" t="s">
        <v>8</v>
      </c>
      <c r="E3660" s="3">
        <v>3486807</v>
      </c>
      <c r="F3660" s="3">
        <v>3487817</v>
      </c>
      <c r="G3660" s="1" t="s">
        <v>13</v>
      </c>
      <c r="H3660" s="1" t="b">
        <f t="shared" si="138"/>
        <v>1</v>
      </c>
    </row>
    <row r="3661" spans="1:8" ht="21" x14ac:dyDescent="0.25">
      <c r="A3661" s="2" t="str">
        <f>HYPERLINK("https://rth.dk/resources/bsgatlas/details.php?id=BSGatlas-operon-1926","BSGatlas-operon-1926")</f>
        <v>BSGatlas-operon-1926</v>
      </c>
      <c r="B3661" s="2" t="str">
        <f>HYPERLINK("https://rth.dk/resources/bsgatlas/details.php?id=BSGatlas-gene-3979","BSGatlas-gene-3979")</f>
        <v>BSGatlas-gene-3979</v>
      </c>
      <c r="C3661" s="1" t="s">
        <v>3626</v>
      </c>
      <c r="D3661" s="1" t="s">
        <v>8</v>
      </c>
      <c r="E3661" s="3">
        <v>3487974</v>
      </c>
      <c r="F3661" s="3">
        <v>3488852</v>
      </c>
      <c r="G3661" s="1" t="s">
        <v>13</v>
      </c>
      <c r="H3661" s="1" t="b">
        <f t="shared" si="138"/>
        <v>0</v>
      </c>
    </row>
    <row r="3662" spans="1:8" ht="21" x14ac:dyDescent="0.25">
      <c r="A3662" s="2" t="str">
        <f>HYPERLINK("https://rth.dk/resources/bsgatlas/details.php?id=BSGatlas-operon-1927","BSGatlas-operon-1927")</f>
        <v>BSGatlas-operon-1927</v>
      </c>
      <c r="B3662" s="2" t="str">
        <f>HYPERLINK("https://rth.dk/resources/bsgatlas/details.php?id=BSGatlas-gene-3980","BSGatlas-gene-3980")</f>
        <v>BSGatlas-gene-3980</v>
      </c>
      <c r="C3662" s="1" t="s">
        <v>3627</v>
      </c>
      <c r="D3662" s="1" t="s">
        <v>8</v>
      </c>
      <c r="E3662" s="3">
        <v>3488952</v>
      </c>
      <c r="F3662" s="3">
        <v>3489869</v>
      </c>
      <c r="G3662" s="1" t="s">
        <v>9</v>
      </c>
      <c r="H3662" s="1" t="b">
        <f t="shared" si="138"/>
        <v>1</v>
      </c>
    </row>
    <row r="3663" spans="1:8" ht="21" x14ac:dyDescent="0.25">
      <c r="A3663" s="2" t="str">
        <f>HYPERLINK("https://rth.dk/resources/bsgatlas/details.php?id=BSGatlas-operon-1928","BSGatlas-operon-1928")</f>
        <v>BSGatlas-operon-1928</v>
      </c>
      <c r="B3663" s="2" t="str">
        <f>HYPERLINK("https://rth.dk/resources/bsgatlas/details.php?id=BSGatlas-gene-3981","BSGatlas-gene-3981")</f>
        <v>BSGatlas-gene-3981</v>
      </c>
      <c r="C3663" s="1" t="s">
        <v>3628</v>
      </c>
      <c r="D3663" s="1" t="s">
        <v>8</v>
      </c>
      <c r="E3663" s="3">
        <v>3489910</v>
      </c>
      <c r="F3663" s="3">
        <v>3491253</v>
      </c>
      <c r="G3663" s="1" t="s">
        <v>13</v>
      </c>
      <c r="H3663" s="1" t="b">
        <f t="shared" si="138"/>
        <v>0</v>
      </c>
    </row>
    <row r="3664" spans="1:8" ht="21" x14ac:dyDescent="0.25">
      <c r="A3664" s="2" t="str">
        <f>HYPERLINK("https://rth.dk/resources/bsgatlas/details.php?id=BSGatlas-operon-1929","BSGatlas-operon-1929")</f>
        <v>BSGatlas-operon-1929</v>
      </c>
      <c r="B3664" s="2" t="str">
        <f>HYPERLINK("https://rth.dk/resources/bsgatlas/details.php?id=BSGatlas-gene-3982","BSGatlas-gene-3982")</f>
        <v>BSGatlas-gene-3982</v>
      </c>
      <c r="C3664" s="1" t="s">
        <v>3629</v>
      </c>
      <c r="D3664" s="1" t="s">
        <v>34</v>
      </c>
      <c r="E3664" s="3">
        <v>3491321</v>
      </c>
      <c r="F3664" s="3">
        <v>3491557</v>
      </c>
      <c r="G3664" s="1" t="s">
        <v>13</v>
      </c>
      <c r="H3664" s="1" t="b">
        <f t="shared" si="138"/>
        <v>1</v>
      </c>
    </row>
    <row r="3665" spans="1:8" ht="21" x14ac:dyDescent="0.25">
      <c r="A3665" s="2" t="str">
        <f>HYPERLINK("https://rth.dk/resources/bsgatlas/details.php?id=BSGatlas-operon-1930","BSGatlas-operon-1930")</f>
        <v>BSGatlas-operon-1930</v>
      </c>
      <c r="B3665" s="2" t="str">
        <f>HYPERLINK("https://rth.dk/resources/bsgatlas/details.php?id=BSGatlas-gene-3983","BSGatlas-gene-3983")</f>
        <v>BSGatlas-gene-3983</v>
      </c>
      <c r="C3665" s="1" t="s">
        <v>3630</v>
      </c>
      <c r="D3665" s="1" t="s">
        <v>8</v>
      </c>
      <c r="E3665" s="3">
        <v>3491655</v>
      </c>
      <c r="F3665" s="3">
        <v>3492689</v>
      </c>
      <c r="G3665" s="1" t="s">
        <v>13</v>
      </c>
      <c r="H3665" s="1" t="b">
        <f t="shared" si="138"/>
        <v>0</v>
      </c>
    </row>
    <row r="3666" spans="1:8" ht="21" x14ac:dyDescent="0.25">
      <c r="A3666" s="2" t="str">
        <f>HYPERLINK("https://rth.dk/resources/bsgatlas/details.php?id=BSGatlas-operon-1931","BSGatlas-operon-1931")</f>
        <v>BSGatlas-operon-1931</v>
      </c>
      <c r="B3666" s="2" t="str">
        <f>HYPERLINK("https://rth.dk/resources/bsgatlas/details.php?id=BSGatlas-gene-3984","BSGatlas-gene-3984")</f>
        <v>BSGatlas-gene-3984</v>
      </c>
      <c r="C3666" s="1" t="s">
        <v>3631</v>
      </c>
      <c r="D3666" s="1" t="s">
        <v>8</v>
      </c>
      <c r="E3666" s="3">
        <v>3492797</v>
      </c>
      <c r="F3666" s="3">
        <v>3493519</v>
      </c>
      <c r="G3666" s="1" t="s">
        <v>13</v>
      </c>
      <c r="H3666" s="1" t="b">
        <f t="shared" si="138"/>
        <v>1</v>
      </c>
    </row>
    <row r="3667" spans="1:8" ht="21" x14ac:dyDescent="0.25">
      <c r="A3667" s="2" t="str">
        <f>HYPERLINK("https://rth.dk/resources/bsgatlas/details.php?id=BSGatlas-operon-1931","BSGatlas-operon-1931")</f>
        <v>BSGatlas-operon-1931</v>
      </c>
      <c r="B3667" s="2" t="str">
        <f>HYPERLINK("https://rth.dk/resources/bsgatlas/details.php?id=BSGatlas-gene-3985","BSGatlas-gene-3985")</f>
        <v>BSGatlas-gene-3985</v>
      </c>
      <c r="C3667" s="1" t="s">
        <v>3632</v>
      </c>
      <c r="D3667" s="1" t="s">
        <v>8</v>
      </c>
      <c r="E3667" s="3">
        <v>3493519</v>
      </c>
      <c r="F3667" s="3">
        <v>3494958</v>
      </c>
      <c r="G3667" s="1" t="s">
        <v>13</v>
      </c>
      <c r="H3667" s="1" t="b">
        <f t="shared" si="138"/>
        <v>1</v>
      </c>
    </row>
    <row r="3668" spans="1:8" ht="21" x14ac:dyDescent="0.25">
      <c r="A3668" s="2" t="str">
        <f>HYPERLINK("https://rth.dk/resources/bsgatlas/details.php?id=BSGatlas-operon-1931","BSGatlas-operon-1931")</f>
        <v>BSGatlas-operon-1931</v>
      </c>
      <c r="B3668" s="2" t="str">
        <f>HYPERLINK("https://rth.dk/resources/bsgatlas/details.php?id=BSGatlas-gene-3986","BSGatlas-gene-3986")</f>
        <v>BSGatlas-gene-3986</v>
      </c>
      <c r="C3668" s="1" t="s">
        <v>3633</v>
      </c>
      <c r="D3668" s="1" t="s">
        <v>8</v>
      </c>
      <c r="E3668" s="3">
        <v>3494985</v>
      </c>
      <c r="F3668" s="3">
        <v>3495701</v>
      </c>
      <c r="G3668" s="1" t="s">
        <v>13</v>
      </c>
      <c r="H3668" s="1" t="b">
        <f t="shared" si="138"/>
        <v>1</v>
      </c>
    </row>
    <row r="3669" spans="1:8" ht="21" x14ac:dyDescent="0.25">
      <c r="A3669" s="2" t="str">
        <f>HYPERLINK("https://rth.dk/resources/bsgatlas/details.php?id=BSGatlas-operon-1932","BSGatlas-operon-1932")</f>
        <v>BSGatlas-operon-1932</v>
      </c>
      <c r="B3669" s="2" t="str">
        <f>HYPERLINK("https://rth.dk/resources/bsgatlas/details.php?id=BSGatlas-gene-3988","BSGatlas-gene-3988")</f>
        <v>BSGatlas-gene-3988</v>
      </c>
      <c r="C3669" s="1" t="s">
        <v>3634</v>
      </c>
      <c r="D3669" s="1" t="s">
        <v>8</v>
      </c>
      <c r="E3669" s="3">
        <v>3496495</v>
      </c>
      <c r="F3669" s="3">
        <v>3497610</v>
      </c>
      <c r="G3669" s="1" t="s">
        <v>13</v>
      </c>
      <c r="H3669" s="1" t="b">
        <f t="shared" si="138"/>
        <v>0</v>
      </c>
    </row>
    <row r="3670" spans="1:8" ht="21" x14ac:dyDescent="0.25">
      <c r="A3670" s="2" t="str">
        <f>HYPERLINK("https://rth.dk/resources/bsgatlas/details.php?id=BSGatlas-operon-1933","BSGatlas-operon-1933")</f>
        <v>BSGatlas-operon-1933</v>
      </c>
      <c r="B3670" s="2" t="str">
        <f>HYPERLINK("https://rth.dk/resources/bsgatlas/details.php?id=BSGatlas-gene-3989","BSGatlas-gene-3989")</f>
        <v>BSGatlas-gene-3989</v>
      </c>
      <c r="C3670" s="1" t="s">
        <v>3635</v>
      </c>
      <c r="D3670" s="1" t="s">
        <v>8</v>
      </c>
      <c r="E3670" s="3">
        <v>3497614</v>
      </c>
      <c r="F3670" s="3">
        <v>3498351</v>
      </c>
      <c r="G3670" s="1" t="s">
        <v>13</v>
      </c>
      <c r="H3670" s="1" t="b">
        <f t="shared" si="138"/>
        <v>1</v>
      </c>
    </row>
    <row r="3671" spans="1:8" ht="21" x14ac:dyDescent="0.25">
      <c r="A3671" s="2" t="str">
        <f>HYPERLINK("https://rth.dk/resources/bsgatlas/details.php?id=BSGatlas-operon-1933","BSGatlas-operon-1933")</f>
        <v>BSGatlas-operon-1933</v>
      </c>
      <c r="B3671" s="2" t="str">
        <f>HYPERLINK("https://rth.dk/resources/bsgatlas/details.php?id=BSGatlas-gene-3990","BSGatlas-gene-3990")</f>
        <v>BSGatlas-gene-3990</v>
      </c>
      <c r="C3671" s="1" t="s">
        <v>3636</v>
      </c>
      <c r="D3671" s="1" t="s">
        <v>8</v>
      </c>
      <c r="E3671" s="3">
        <v>3498352</v>
      </c>
      <c r="F3671" s="3">
        <v>3499257</v>
      </c>
      <c r="G3671" s="1" t="s">
        <v>13</v>
      </c>
      <c r="H3671" s="1" t="b">
        <f t="shared" si="138"/>
        <v>1</v>
      </c>
    </row>
    <row r="3672" spans="1:8" ht="21" x14ac:dyDescent="0.25">
      <c r="A3672" s="2" t="str">
        <f>HYPERLINK("https://rth.dk/resources/bsgatlas/details.php?id=BSGatlas-operon-1934","BSGatlas-operon-1934")</f>
        <v>BSGatlas-operon-1934</v>
      </c>
      <c r="B3672" s="2" t="str">
        <f>HYPERLINK("https://rth.dk/resources/bsgatlas/details.php?id=BSGatlas-gene-3991","BSGatlas-gene-3991")</f>
        <v>BSGatlas-gene-3991</v>
      </c>
      <c r="C3672" s="1" t="s">
        <v>3637</v>
      </c>
      <c r="D3672" s="1" t="s">
        <v>8</v>
      </c>
      <c r="E3672" s="3">
        <v>3499541</v>
      </c>
      <c r="F3672" s="3">
        <v>3500350</v>
      </c>
      <c r="G3672" s="1" t="s">
        <v>9</v>
      </c>
      <c r="H3672" s="1" t="b">
        <f t="shared" si="138"/>
        <v>0</v>
      </c>
    </row>
    <row r="3673" spans="1:8" ht="21" x14ac:dyDescent="0.25">
      <c r="A3673" s="2" t="str">
        <f>HYPERLINK("https://rth.dk/resources/bsgatlas/details.php?id=BSGatlas-operon-1934","BSGatlas-operon-1934")</f>
        <v>BSGatlas-operon-1934</v>
      </c>
      <c r="B3673" s="2" t="str">
        <f>HYPERLINK("https://rth.dk/resources/bsgatlas/details.php?id=BSGatlas-gene-3992","BSGatlas-gene-3992")</f>
        <v>BSGatlas-gene-3992</v>
      </c>
      <c r="C3673" s="1" t="s">
        <v>3638</v>
      </c>
      <c r="D3673" s="1" t="s">
        <v>8</v>
      </c>
      <c r="E3673" s="3">
        <v>3500386</v>
      </c>
      <c r="F3673" s="3">
        <v>3501597</v>
      </c>
      <c r="G3673" s="1" t="s">
        <v>9</v>
      </c>
      <c r="H3673" s="1" t="b">
        <f t="shared" si="138"/>
        <v>0</v>
      </c>
    </row>
    <row r="3674" spans="1:8" ht="21" x14ac:dyDescent="0.25">
      <c r="A3674" s="2" t="str">
        <f>HYPERLINK("https://rth.dk/resources/bsgatlas/details.php?id=BSGatlas-operon-1935","BSGatlas-operon-1935")</f>
        <v>BSGatlas-operon-1935</v>
      </c>
      <c r="B3674" s="2" t="str">
        <f>HYPERLINK("https://rth.dk/resources/bsgatlas/details.php?id=BSGatlas-gene-3993","BSGatlas-gene-3993")</f>
        <v>BSGatlas-gene-3993</v>
      </c>
      <c r="C3674" s="1" t="s">
        <v>3639</v>
      </c>
      <c r="D3674" s="1" t="s">
        <v>8</v>
      </c>
      <c r="E3674" s="3">
        <v>3501651</v>
      </c>
      <c r="F3674" s="3">
        <v>3502940</v>
      </c>
      <c r="G3674" s="1" t="s">
        <v>13</v>
      </c>
      <c r="H3674" s="1" t="b">
        <f t="shared" si="138"/>
        <v>1</v>
      </c>
    </row>
    <row r="3675" spans="1:8" ht="21" x14ac:dyDescent="0.25">
      <c r="A3675" s="2" t="str">
        <f>HYPERLINK("https://rth.dk/resources/bsgatlas/details.php?id=BSGatlas-operon-1935","BSGatlas-operon-1935")</f>
        <v>BSGatlas-operon-1935</v>
      </c>
      <c r="B3675" s="2" t="str">
        <f>HYPERLINK("https://rth.dk/resources/bsgatlas/details.php?id=BSGatlas-gene-3994","BSGatlas-gene-3994")</f>
        <v>BSGatlas-gene-3994</v>
      </c>
      <c r="C3675" s="1" t="s">
        <v>3640</v>
      </c>
      <c r="D3675" s="1" t="s">
        <v>8</v>
      </c>
      <c r="E3675" s="3">
        <v>3503020</v>
      </c>
      <c r="F3675" s="3">
        <v>3505083</v>
      </c>
      <c r="G3675" s="1" t="s">
        <v>13</v>
      </c>
      <c r="H3675" s="1" t="b">
        <f t="shared" si="138"/>
        <v>1</v>
      </c>
    </row>
    <row r="3676" spans="1:8" ht="21" x14ac:dyDescent="0.25">
      <c r="A3676" s="2" t="str">
        <f>HYPERLINK("https://rth.dk/resources/bsgatlas/details.php?id=BSGatlas-operon-1935","BSGatlas-operon-1935")</f>
        <v>BSGatlas-operon-1935</v>
      </c>
      <c r="B3676" s="2" t="str">
        <f>HYPERLINK("https://rth.dk/resources/bsgatlas/details.php?id=BSGatlas-gene-3995","BSGatlas-gene-3995")</f>
        <v>BSGatlas-gene-3995</v>
      </c>
      <c r="C3676" s="1" t="s">
        <v>3641</v>
      </c>
      <c r="D3676" s="1" t="s">
        <v>8</v>
      </c>
      <c r="E3676" s="3">
        <v>3505102</v>
      </c>
      <c r="F3676" s="3">
        <v>3505953</v>
      </c>
      <c r="G3676" s="1" t="s">
        <v>13</v>
      </c>
      <c r="H3676" s="1" t="b">
        <f t="shared" si="138"/>
        <v>1</v>
      </c>
    </row>
    <row r="3677" spans="1:8" ht="21" x14ac:dyDescent="0.25">
      <c r="A3677" s="2" t="str">
        <f>HYPERLINK("https://rth.dk/resources/bsgatlas/details.php?id=BSGatlas-operon-1935","BSGatlas-operon-1935")</f>
        <v>BSGatlas-operon-1935</v>
      </c>
      <c r="B3677" s="2" t="str">
        <f>HYPERLINK("https://rth.dk/resources/bsgatlas/details.php?id=BSGatlas-gene-3996","BSGatlas-gene-3996")</f>
        <v>BSGatlas-gene-3996</v>
      </c>
      <c r="C3677" s="1" t="s">
        <v>3642</v>
      </c>
      <c r="D3677" s="1" t="s">
        <v>8</v>
      </c>
      <c r="E3677" s="3">
        <v>3505957</v>
      </c>
      <c r="F3677" s="3">
        <v>3507213</v>
      </c>
      <c r="G3677" s="1" t="s">
        <v>13</v>
      </c>
      <c r="H3677" s="1" t="b">
        <f t="shared" si="138"/>
        <v>1</v>
      </c>
    </row>
    <row r="3678" spans="1:8" ht="21" x14ac:dyDescent="0.25">
      <c r="A3678" s="2" t="str">
        <f>HYPERLINK("https://rth.dk/resources/bsgatlas/details.php?id=BSGatlas-operon-1935","BSGatlas-operon-1935")</f>
        <v>BSGatlas-operon-1935</v>
      </c>
      <c r="B3678" s="2" t="str">
        <f>HYPERLINK("https://rth.dk/resources/bsgatlas/details.php?id=BSGatlas-gene-3997","BSGatlas-gene-3997")</f>
        <v>BSGatlas-gene-3997</v>
      </c>
      <c r="C3678" s="1" t="s">
        <v>3643</v>
      </c>
      <c r="D3678" s="1" t="s">
        <v>8</v>
      </c>
      <c r="E3678" s="3">
        <v>3507253</v>
      </c>
      <c r="F3678" s="3">
        <v>3508518</v>
      </c>
      <c r="G3678" s="1" t="s">
        <v>13</v>
      </c>
      <c r="H3678" s="1" t="b">
        <f t="shared" si="138"/>
        <v>1</v>
      </c>
    </row>
    <row r="3679" spans="1:8" ht="21" x14ac:dyDescent="0.25">
      <c r="A3679" s="2" t="str">
        <f>HYPERLINK("https://rth.dk/resources/bsgatlas/details.php?id=BSGatlas-operon-1936","BSGatlas-operon-1936")</f>
        <v>BSGatlas-operon-1936</v>
      </c>
      <c r="B3679" s="2" t="str">
        <f>HYPERLINK("https://rth.dk/resources/bsgatlas/details.php?id=BSGatlas-gene-3998","BSGatlas-gene-3998")</f>
        <v>BSGatlas-gene-3998</v>
      </c>
      <c r="C3679" s="1" t="s">
        <v>3644</v>
      </c>
      <c r="D3679" s="1" t="s">
        <v>8</v>
      </c>
      <c r="E3679" s="3">
        <v>3508659</v>
      </c>
      <c r="F3679" s="3">
        <v>3509651</v>
      </c>
      <c r="G3679" s="1" t="s">
        <v>13</v>
      </c>
      <c r="H3679" s="1" t="b">
        <f t="shared" si="138"/>
        <v>0</v>
      </c>
    </row>
    <row r="3680" spans="1:8" ht="21" x14ac:dyDescent="0.25">
      <c r="A3680" s="2" t="str">
        <f>HYPERLINK("https://rth.dk/resources/bsgatlas/details.php?id=BSGatlas-operon-1937","BSGatlas-operon-1937")</f>
        <v>BSGatlas-operon-1937</v>
      </c>
      <c r="B3680" s="2" t="str">
        <f>HYPERLINK("https://rth.dk/resources/bsgatlas/details.php?id=BSGatlas-gene-3999","BSGatlas-gene-3999")</f>
        <v>BSGatlas-gene-3999</v>
      </c>
      <c r="C3680" s="1" t="s">
        <v>3645</v>
      </c>
      <c r="D3680" s="1" t="s">
        <v>8</v>
      </c>
      <c r="E3680" s="3">
        <v>3509831</v>
      </c>
      <c r="F3680" s="3">
        <v>3510490</v>
      </c>
      <c r="G3680" s="1" t="s">
        <v>13</v>
      </c>
      <c r="H3680" s="1" t="b">
        <f t="shared" si="138"/>
        <v>1</v>
      </c>
    </row>
    <row r="3681" spans="1:8" ht="21" x14ac:dyDescent="0.25">
      <c r="A3681" s="2" t="str">
        <f>HYPERLINK("https://rth.dk/resources/bsgatlas/details.php?id=BSGatlas-operon-1938","BSGatlas-operon-1938")</f>
        <v>BSGatlas-operon-1938</v>
      </c>
      <c r="B3681" s="2" t="str">
        <f>HYPERLINK("https://rth.dk/resources/bsgatlas/details.php?id=BSGatlas-gene-4000","BSGatlas-gene-4000")</f>
        <v>BSGatlas-gene-4000</v>
      </c>
      <c r="C3681" s="1" t="s">
        <v>3646</v>
      </c>
      <c r="D3681" s="1" t="s">
        <v>8</v>
      </c>
      <c r="E3681" s="3">
        <v>3510780</v>
      </c>
      <c r="F3681" s="3">
        <v>3512471</v>
      </c>
      <c r="G3681" s="1" t="s">
        <v>9</v>
      </c>
      <c r="H3681" s="1" t="b">
        <f t="shared" si="138"/>
        <v>0</v>
      </c>
    </row>
    <row r="3682" spans="1:8" ht="21" x14ac:dyDescent="0.25">
      <c r="A3682" s="2" t="str">
        <f>HYPERLINK("https://rth.dk/resources/bsgatlas/details.php?id=BSGatlas-operon-1939","BSGatlas-operon-1939")</f>
        <v>BSGatlas-operon-1939</v>
      </c>
      <c r="B3682" s="2" t="str">
        <f>HYPERLINK("https://rth.dk/resources/bsgatlas/details.php?id=BSGatlas-gene-4001","BSGatlas-gene-4001")</f>
        <v>BSGatlas-gene-4001</v>
      </c>
      <c r="C3682" s="1" t="s">
        <v>3647</v>
      </c>
      <c r="D3682" s="1" t="s">
        <v>8</v>
      </c>
      <c r="E3682" s="3">
        <v>3512498</v>
      </c>
      <c r="F3682" s="3">
        <v>3513808</v>
      </c>
      <c r="G3682" s="1" t="s">
        <v>13</v>
      </c>
      <c r="H3682" s="1" t="b">
        <f t="shared" si="138"/>
        <v>1</v>
      </c>
    </row>
    <row r="3683" spans="1:8" ht="21" x14ac:dyDescent="0.25">
      <c r="A3683" s="2" t="str">
        <f>HYPERLINK("https://rth.dk/resources/bsgatlas/details.php?id=BSGatlas-operon-1940","BSGatlas-operon-1940")</f>
        <v>BSGatlas-operon-1940</v>
      </c>
      <c r="B3683" s="2" t="str">
        <f>HYPERLINK("https://rth.dk/resources/bsgatlas/details.php?id=BSGatlas-gene-4002","BSGatlas-gene-4002")</f>
        <v>BSGatlas-gene-4002</v>
      </c>
      <c r="C3683" s="1" t="s">
        <v>3648</v>
      </c>
      <c r="D3683" s="1" t="s">
        <v>8</v>
      </c>
      <c r="E3683" s="3">
        <v>3513887</v>
      </c>
      <c r="F3683" s="3">
        <v>3514105</v>
      </c>
      <c r="G3683" s="1" t="s">
        <v>9</v>
      </c>
      <c r="H3683" s="1" t="b">
        <f t="shared" si="138"/>
        <v>0</v>
      </c>
    </row>
    <row r="3684" spans="1:8" ht="21" x14ac:dyDescent="0.25">
      <c r="A3684" s="2" t="str">
        <f t="shared" ref="A3684:A3699" si="140">HYPERLINK("https://rth.dk/resources/bsgatlas/details.php?id=BSGatlas-operon-1941","BSGatlas-operon-1941")</f>
        <v>BSGatlas-operon-1941</v>
      </c>
      <c r="B3684" s="2" t="str">
        <f>HYPERLINK("https://rth.dk/resources/bsgatlas/details.php?id=BSGatlas-gene-4003","BSGatlas-gene-4003")</f>
        <v>BSGatlas-gene-4003</v>
      </c>
      <c r="C3684" s="1" t="s">
        <v>3649</v>
      </c>
      <c r="D3684" s="1" t="s">
        <v>8</v>
      </c>
      <c r="E3684" s="3">
        <v>3514115</v>
      </c>
      <c r="F3684" s="3">
        <v>3515083</v>
      </c>
      <c r="G3684" s="1" t="s">
        <v>13</v>
      </c>
      <c r="H3684" s="1" t="b">
        <f t="shared" si="138"/>
        <v>1</v>
      </c>
    </row>
    <row r="3685" spans="1:8" ht="21" x14ac:dyDescent="0.25">
      <c r="A3685" s="2" t="str">
        <f t="shared" si="140"/>
        <v>BSGatlas-operon-1941</v>
      </c>
      <c r="B3685" s="2" t="str">
        <f>HYPERLINK("https://rth.dk/resources/bsgatlas/details.php?id=BSGatlas-gene-4004","BSGatlas-gene-4004")</f>
        <v>BSGatlas-gene-4004</v>
      </c>
      <c r="C3685" s="1" t="s">
        <v>3650</v>
      </c>
      <c r="D3685" s="1" t="s">
        <v>8</v>
      </c>
      <c r="E3685" s="3">
        <v>3515062</v>
      </c>
      <c r="F3685" s="3">
        <v>3516228</v>
      </c>
      <c r="G3685" s="1" t="s">
        <v>13</v>
      </c>
      <c r="H3685" s="1" t="b">
        <f t="shared" si="138"/>
        <v>1</v>
      </c>
    </row>
    <row r="3686" spans="1:8" ht="21" x14ac:dyDescent="0.25">
      <c r="A3686" s="2" t="str">
        <f t="shared" si="140"/>
        <v>BSGatlas-operon-1941</v>
      </c>
      <c r="B3686" s="2" t="str">
        <f>HYPERLINK("https://rth.dk/resources/bsgatlas/details.php?id=BSGatlas-gene-4005","BSGatlas-gene-4005")</f>
        <v>BSGatlas-gene-4005</v>
      </c>
      <c r="C3686" s="1" t="s">
        <v>3651</v>
      </c>
      <c r="D3686" s="1" t="s">
        <v>8</v>
      </c>
      <c r="E3686" s="3">
        <v>3516233</v>
      </c>
      <c r="F3686" s="3">
        <v>3516883</v>
      </c>
      <c r="G3686" s="1" t="s">
        <v>13</v>
      </c>
      <c r="H3686" s="1" t="b">
        <f t="shared" si="138"/>
        <v>1</v>
      </c>
    </row>
    <row r="3687" spans="1:8" ht="21" x14ac:dyDescent="0.25">
      <c r="A3687" s="2" t="str">
        <f t="shared" si="140"/>
        <v>BSGatlas-operon-1941</v>
      </c>
      <c r="B3687" s="2" t="str">
        <f>HYPERLINK("https://rth.dk/resources/bsgatlas/details.php?id=BSGatlas-gene-4006","BSGatlas-gene-4006")</f>
        <v>BSGatlas-gene-4006</v>
      </c>
      <c r="C3687" s="1" t="s">
        <v>3652</v>
      </c>
      <c r="D3687" s="1" t="s">
        <v>8</v>
      </c>
      <c r="E3687" s="3">
        <v>3516880</v>
      </c>
      <c r="F3687" s="3">
        <v>3517488</v>
      </c>
      <c r="G3687" s="1" t="s">
        <v>13</v>
      </c>
      <c r="H3687" s="1" t="b">
        <f t="shared" si="138"/>
        <v>1</v>
      </c>
    </row>
    <row r="3688" spans="1:8" ht="21" x14ac:dyDescent="0.25">
      <c r="A3688" s="2" t="str">
        <f t="shared" si="140"/>
        <v>BSGatlas-operon-1941</v>
      </c>
      <c r="B3688" s="2" t="str">
        <f>HYPERLINK("https://rth.dk/resources/bsgatlas/details.php?id=BSGatlas-gene-4007","BSGatlas-gene-4007")</f>
        <v>BSGatlas-gene-4007</v>
      </c>
      <c r="C3688" s="1" t="s">
        <v>499</v>
      </c>
      <c r="D3688" s="1" t="s">
        <v>8</v>
      </c>
      <c r="E3688" s="3">
        <v>3517485</v>
      </c>
      <c r="F3688" s="3">
        <v>3519002</v>
      </c>
      <c r="G3688" s="1" t="s">
        <v>13</v>
      </c>
      <c r="H3688" s="1" t="b">
        <f t="shared" si="138"/>
        <v>1</v>
      </c>
    </row>
    <row r="3689" spans="1:8" ht="21" x14ac:dyDescent="0.25">
      <c r="A3689" s="2" t="str">
        <f t="shared" si="140"/>
        <v>BSGatlas-operon-1941</v>
      </c>
      <c r="B3689" s="2" t="str">
        <f>HYPERLINK("https://rth.dk/resources/bsgatlas/details.php?id=BSGatlas-gene-4008","BSGatlas-gene-4008")</f>
        <v>BSGatlas-gene-4008</v>
      </c>
      <c r="C3689" s="1" t="s">
        <v>498</v>
      </c>
      <c r="D3689" s="1" t="s">
        <v>8</v>
      </c>
      <c r="E3689" s="3">
        <v>3518999</v>
      </c>
      <c r="F3689" s="3">
        <v>3520033</v>
      </c>
      <c r="G3689" s="1" t="s">
        <v>13</v>
      </c>
      <c r="H3689" s="1" t="b">
        <f t="shared" si="138"/>
        <v>1</v>
      </c>
    </row>
    <row r="3690" spans="1:8" ht="21" x14ac:dyDescent="0.25">
      <c r="A3690" s="2" t="str">
        <f t="shared" si="140"/>
        <v>BSGatlas-operon-1941</v>
      </c>
      <c r="B3690" s="2" t="str">
        <f>HYPERLINK("https://rth.dk/resources/bsgatlas/details.php?id=BSGatlas-gene-4009","BSGatlas-gene-4009")</f>
        <v>BSGatlas-gene-4009</v>
      </c>
      <c r="C3690" s="1" t="s">
        <v>3653</v>
      </c>
      <c r="D3690" s="1" t="s">
        <v>8</v>
      </c>
      <c r="E3690" s="3">
        <v>3520030</v>
      </c>
      <c r="F3690" s="3">
        <v>3521106</v>
      </c>
      <c r="G3690" s="1" t="s">
        <v>13</v>
      </c>
      <c r="H3690" s="1" t="b">
        <f t="shared" si="138"/>
        <v>1</v>
      </c>
    </row>
    <row r="3691" spans="1:8" ht="21" x14ac:dyDescent="0.25">
      <c r="A3691" s="2" t="str">
        <f t="shared" si="140"/>
        <v>BSGatlas-operon-1941</v>
      </c>
      <c r="B3691" s="2" t="str">
        <f>HYPERLINK("https://rth.dk/resources/bsgatlas/details.php?id=BSGatlas-gene-4010","BSGatlas-gene-4010")</f>
        <v>BSGatlas-gene-4010</v>
      </c>
      <c r="C3691" s="1" t="s">
        <v>3654</v>
      </c>
      <c r="D3691" s="1" t="s">
        <v>8</v>
      </c>
      <c r="E3691" s="3">
        <v>3521111</v>
      </c>
      <c r="F3691" s="3">
        <v>3522145</v>
      </c>
      <c r="G3691" s="1" t="s">
        <v>13</v>
      </c>
      <c r="H3691" s="1" t="b">
        <f t="shared" si="138"/>
        <v>1</v>
      </c>
    </row>
    <row r="3692" spans="1:8" ht="21" x14ac:dyDescent="0.25">
      <c r="A3692" s="2" t="str">
        <f t="shared" si="140"/>
        <v>BSGatlas-operon-1941</v>
      </c>
      <c r="B3692" s="2" t="str">
        <f>HYPERLINK("https://rth.dk/resources/bsgatlas/details.php?id=BSGatlas-gene-4011","BSGatlas-gene-4011")</f>
        <v>BSGatlas-gene-4011</v>
      </c>
      <c r="C3692" s="1" t="s">
        <v>3655</v>
      </c>
      <c r="D3692" s="1" t="s">
        <v>8</v>
      </c>
      <c r="E3692" s="3">
        <v>3522170</v>
      </c>
      <c r="F3692" s="3">
        <v>3523273</v>
      </c>
      <c r="G3692" s="1" t="s">
        <v>13</v>
      </c>
      <c r="H3692" s="1" t="b">
        <f t="shared" si="138"/>
        <v>1</v>
      </c>
    </row>
    <row r="3693" spans="1:8" ht="21" x14ac:dyDescent="0.25">
      <c r="A3693" s="2" t="str">
        <f t="shared" si="140"/>
        <v>BSGatlas-operon-1941</v>
      </c>
      <c r="B3693" s="2" t="str">
        <f>HYPERLINK("https://rth.dk/resources/bsgatlas/details.php?id=BSGatlas-gene-4012","BSGatlas-gene-4012")</f>
        <v>BSGatlas-gene-4012</v>
      </c>
      <c r="C3693" s="1" t="s">
        <v>3656</v>
      </c>
      <c r="D3693" s="1" t="s">
        <v>8</v>
      </c>
      <c r="E3693" s="3">
        <v>3523270</v>
      </c>
      <c r="F3693" s="3">
        <v>3524424</v>
      </c>
      <c r="G3693" s="1" t="s">
        <v>13</v>
      </c>
      <c r="H3693" s="1" t="b">
        <f t="shared" si="138"/>
        <v>1</v>
      </c>
    </row>
    <row r="3694" spans="1:8" ht="21" x14ac:dyDescent="0.25">
      <c r="A3694" s="2" t="str">
        <f t="shared" si="140"/>
        <v>BSGatlas-operon-1941</v>
      </c>
      <c r="B3694" s="2" t="str">
        <f>HYPERLINK("https://rth.dk/resources/bsgatlas/details.php?id=BSGatlas-gene-4013","BSGatlas-gene-4013")</f>
        <v>BSGatlas-gene-4013</v>
      </c>
      <c r="C3694" s="1" t="s">
        <v>3657</v>
      </c>
      <c r="D3694" s="1" t="s">
        <v>8</v>
      </c>
      <c r="E3694" s="3">
        <v>3524417</v>
      </c>
      <c r="F3694" s="3">
        <v>3525253</v>
      </c>
      <c r="G3694" s="1" t="s">
        <v>13</v>
      </c>
      <c r="H3694" s="1" t="b">
        <f t="shared" si="138"/>
        <v>1</v>
      </c>
    </row>
    <row r="3695" spans="1:8" ht="21" x14ac:dyDescent="0.25">
      <c r="A3695" s="2" t="str">
        <f t="shared" si="140"/>
        <v>BSGatlas-operon-1941</v>
      </c>
      <c r="B3695" s="2" t="str">
        <f>HYPERLINK("https://rth.dk/resources/bsgatlas/details.php?id=BSGatlas-gene-4014","BSGatlas-gene-4014")</f>
        <v>BSGatlas-gene-4014</v>
      </c>
      <c r="C3695" s="1" t="s">
        <v>3658</v>
      </c>
      <c r="D3695" s="1" t="s">
        <v>8</v>
      </c>
      <c r="E3695" s="3">
        <v>3525250</v>
      </c>
      <c r="F3695" s="3">
        <v>3526395</v>
      </c>
      <c r="G3695" s="1" t="s">
        <v>13</v>
      </c>
      <c r="H3695" s="1" t="b">
        <f t="shared" si="138"/>
        <v>1</v>
      </c>
    </row>
    <row r="3696" spans="1:8" ht="21" x14ac:dyDescent="0.25">
      <c r="A3696" s="2" t="str">
        <f t="shared" si="140"/>
        <v>BSGatlas-operon-1941</v>
      </c>
      <c r="B3696" s="2" t="str">
        <f>HYPERLINK("https://rth.dk/resources/bsgatlas/details.php?id=BSGatlas-gene-4015","BSGatlas-gene-4015")</f>
        <v>BSGatlas-gene-4015</v>
      </c>
      <c r="C3696" s="1" t="s">
        <v>3659</v>
      </c>
      <c r="D3696" s="1" t="s">
        <v>8</v>
      </c>
      <c r="E3696" s="3">
        <v>3526407</v>
      </c>
      <c r="F3696" s="3">
        <v>3528203</v>
      </c>
      <c r="G3696" s="1" t="s">
        <v>13</v>
      </c>
      <c r="H3696" s="1" t="b">
        <f t="shared" si="138"/>
        <v>1</v>
      </c>
    </row>
    <row r="3697" spans="1:8" ht="21" x14ac:dyDescent="0.25">
      <c r="A3697" s="2" t="str">
        <f t="shared" si="140"/>
        <v>BSGatlas-operon-1941</v>
      </c>
      <c r="B3697" s="2" t="str">
        <f>HYPERLINK("https://rth.dk/resources/bsgatlas/details.php?id=BSGatlas-gene-4016","BSGatlas-gene-4016")</f>
        <v>BSGatlas-gene-4016</v>
      </c>
      <c r="C3697" s="1" t="s">
        <v>3659</v>
      </c>
      <c r="D3697" s="1" t="s">
        <v>34</v>
      </c>
      <c r="E3697" s="3">
        <v>3528335</v>
      </c>
      <c r="F3697" s="3">
        <v>3528452</v>
      </c>
      <c r="G3697" s="1" t="s">
        <v>13</v>
      </c>
      <c r="H3697" s="1" t="b">
        <f t="shared" si="138"/>
        <v>1</v>
      </c>
    </row>
    <row r="3698" spans="1:8" ht="21" x14ac:dyDescent="0.25">
      <c r="A3698" s="2" t="str">
        <f t="shared" si="140"/>
        <v>BSGatlas-operon-1941</v>
      </c>
      <c r="B3698" s="2" t="str">
        <f>HYPERLINK("https://rth.dk/resources/bsgatlas/details.php?id=BSGatlas-gene-4017","BSGatlas-gene-4017")</f>
        <v>BSGatlas-gene-4017</v>
      </c>
      <c r="C3698" s="1" t="s">
        <v>3660</v>
      </c>
      <c r="D3698" s="1" t="s">
        <v>8</v>
      </c>
      <c r="E3698" s="3">
        <v>3528462</v>
      </c>
      <c r="F3698" s="3">
        <v>3529145</v>
      </c>
      <c r="G3698" s="1" t="s">
        <v>13</v>
      </c>
      <c r="H3698" s="1" t="b">
        <f t="shared" si="138"/>
        <v>1</v>
      </c>
    </row>
    <row r="3699" spans="1:8" ht="21" x14ac:dyDescent="0.25">
      <c r="A3699" s="2" t="str">
        <f t="shared" si="140"/>
        <v>BSGatlas-operon-1941</v>
      </c>
      <c r="B3699" s="2" t="str">
        <f>HYPERLINK("https://rth.dk/resources/bsgatlas/details.php?id=BSGatlas-gene-4018","BSGatlas-gene-4018")</f>
        <v>BSGatlas-gene-4018</v>
      </c>
      <c r="C3699" s="1" t="s">
        <v>3661</v>
      </c>
      <c r="D3699" s="1" t="s">
        <v>8</v>
      </c>
      <c r="E3699" s="3">
        <v>3529151</v>
      </c>
      <c r="F3699" s="3">
        <v>3529855</v>
      </c>
      <c r="G3699" s="1" t="s">
        <v>13</v>
      </c>
      <c r="H3699" s="1" t="b">
        <f t="shared" si="138"/>
        <v>1</v>
      </c>
    </row>
    <row r="3700" spans="1:8" ht="21" x14ac:dyDescent="0.25">
      <c r="A3700" s="2" t="str">
        <f>HYPERLINK("https://rth.dk/resources/bsgatlas/details.php?id=BSGatlas-operon-1942","BSGatlas-operon-1942")</f>
        <v>BSGatlas-operon-1942</v>
      </c>
      <c r="B3700" s="2" t="str">
        <f>HYPERLINK("https://rth.dk/resources/bsgatlas/details.php?id=BSGatlas-gene-4019","BSGatlas-gene-4019")</f>
        <v>BSGatlas-gene-4019</v>
      </c>
      <c r="C3700" s="1" t="s">
        <v>3662</v>
      </c>
      <c r="D3700" s="1" t="s">
        <v>8</v>
      </c>
      <c r="E3700" s="3">
        <v>3530101</v>
      </c>
      <c r="F3700" s="3">
        <v>3530559</v>
      </c>
      <c r="G3700" s="1" t="s">
        <v>9</v>
      </c>
      <c r="H3700" s="1" t="b">
        <f t="shared" si="138"/>
        <v>0</v>
      </c>
    </row>
    <row r="3701" spans="1:8" ht="21" x14ac:dyDescent="0.25">
      <c r="A3701" s="2" t="str">
        <f>HYPERLINK("https://rth.dk/resources/bsgatlas/details.php?id=BSGatlas-operon-1942","BSGatlas-operon-1942")</f>
        <v>BSGatlas-operon-1942</v>
      </c>
      <c r="B3701" s="2" t="str">
        <f>HYPERLINK("https://rth.dk/resources/bsgatlas/details.php?id=BSGatlas-gene-4020","BSGatlas-gene-4020")</f>
        <v>BSGatlas-gene-4020</v>
      </c>
      <c r="C3701" s="1" t="s">
        <v>3663</v>
      </c>
      <c r="D3701" s="1" t="s">
        <v>8</v>
      </c>
      <c r="E3701" s="3">
        <v>3530635</v>
      </c>
      <c r="F3701" s="3">
        <v>3532104</v>
      </c>
      <c r="G3701" s="1" t="s">
        <v>9</v>
      </c>
      <c r="H3701" s="1" t="b">
        <f t="shared" si="138"/>
        <v>0</v>
      </c>
    </row>
    <row r="3702" spans="1:8" ht="21" x14ac:dyDescent="0.25">
      <c r="A3702" s="2" t="str">
        <f>HYPERLINK("https://rth.dk/resources/bsgatlas/details.php?id=BSGatlas-operon-1943","BSGatlas-operon-1943")</f>
        <v>BSGatlas-operon-1943</v>
      </c>
      <c r="B3702" s="2" t="str">
        <f>HYPERLINK("https://rth.dk/resources/bsgatlas/details.php?id=BSGatlas-gene-4021","BSGatlas-gene-4021")</f>
        <v>BSGatlas-gene-4021</v>
      </c>
      <c r="C3702" s="1" t="s">
        <v>318</v>
      </c>
      <c r="D3702" s="1" t="s">
        <v>8</v>
      </c>
      <c r="E3702" s="3">
        <v>3532107</v>
      </c>
      <c r="F3702" s="3">
        <v>3532298</v>
      </c>
      <c r="G3702" s="1" t="s">
        <v>9</v>
      </c>
      <c r="H3702" s="1" t="b">
        <f t="shared" si="138"/>
        <v>1</v>
      </c>
    </row>
    <row r="3703" spans="1:8" ht="21" x14ac:dyDescent="0.25">
      <c r="A3703" s="2" t="str">
        <f>HYPERLINK("https://rth.dk/resources/bsgatlas/details.php?id=BSGatlas-operon-1944","BSGatlas-operon-1944")</f>
        <v>BSGatlas-operon-1944</v>
      </c>
      <c r="B3703" s="2" t="str">
        <f>HYPERLINK("https://rth.dk/resources/bsgatlas/details.php?id=BSGatlas-gene-4022","BSGatlas-gene-4022")</f>
        <v>BSGatlas-gene-4022</v>
      </c>
      <c r="C3703" s="1" t="s">
        <v>3664</v>
      </c>
      <c r="D3703" s="1" t="s">
        <v>8</v>
      </c>
      <c r="E3703" s="3">
        <v>3532325</v>
      </c>
      <c r="F3703" s="3">
        <v>3532810</v>
      </c>
      <c r="G3703" s="1" t="s">
        <v>13</v>
      </c>
      <c r="H3703" s="1" t="b">
        <f t="shared" si="138"/>
        <v>0</v>
      </c>
    </row>
    <row r="3704" spans="1:8" ht="21" x14ac:dyDescent="0.25">
      <c r="A3704" s="2" t="str">
        <f>HYPERLINK("https://rth.dk/resources/bsgatlas/details.php?id=BSGatlas-operon-1944","BSGatlas-operon-1944")</f>
        <v>BSGatlas-operon-1944</v>
      </c>
      <c r="B3704" s="2" t="str">
        <f>HYPERLINK("https://rth.dk/resources/bsgatlas/details.php?id=BSGatlas-gene-4023","BSGatlas-gene-4023")</f>
        <v>BSGatlas-gene-4023</v>
      </c>
      <c r="C3704" s="1" t="s">
        <v>3665</v>
      </c>
      <c r="D3704" s="1" t="s">
        <v>8</v>
      </c>
      <c r="E3704" s="3">
        <v>3532833</v>
      </c>
      <c r="F3704" s="3">
        <v>3533144</v>
      </c>
      <c r="G3704" s="1" t="s">
        <v>13</v>
      </c>
      <c r="H3704" s="1" t="b">
        <f t="shared" si="138"/>
        <v>0</v>
      </c>
    </row>
    <row r="3705" spans="1:8" ht="21" x14ac:dyDescent="0.25">
      <c r="A3705" s="2" t="str">
        <f>HYPERLINK("https://rth.dk/resources/bsgatlas/details.php?id=BSGatlas-operon-1944","BSGatlas-operon-1944")</f>
        <v>BSGatlas-operon-1944</v>
      </c>
      <c r="B3705" s="2" t="str">
        <f>HYPERLINK("https://rth.dk/resources/bsgatlas/details.php?id=BSGatlas-gene-4024","BSGatlas-gene-4024")</f>
        <v>BSGatlas-gene-4024</v>
      </c>
      <c r="C3705" s="1" t="s">
        <v>3666</v>
      </c>
      <c r="D3705" s="1" t="s">
        <v>8</v>
      </c>
      <c r="E3705" s="3">
        <v>3533196</v>
      </c>
      <c r="F3705" s="3">
        <v>3533288</v>
      </c>
      <c r="G3705" s="1" t="s">
        <v>13</v>
      </c>
      <c r="H3705" s="1" t="b">
        <f t="shared" si="138"/>
        <v>0</v>
      </c>
    </row>
    <row r="3706" spans="1:8" ht="21" x14ac:dyDescent="0.25">
      <c r="A3706" s="2" t="str">
        <f>HYPERLINK("https://rth.dk/resources/bsgatlas/details.php?id=BSGatlas-operon-1945","BSGatlas-operon-1945")</f>
        <v>BSGatlas-operon-1945</v>
      </c>
      <c r="B3706" s="2" t="str">
        <f>HYPERLINK("https://rth.dk/resources/bsgatlas/details.php?id=BSGatlas-gene-4025","BSGatlas-gene-4025")</f>
        <v>BSGatlas-gene-4025</v>
      </c>
      <c r="C3706" s="1" t="s">
        <v>3667</v>
      </c>
      <c r="D3706" s="1" t="s">
        <v>8</v>
      </c>
      <c r="E3706" s="3">
        <v>3533419</v>
      </c>
      <c r="F3706" s="3">
        <v>3534102</v>
      </c>
      <c r="G3706" s="1" t="s">
        <v>13</v>
      </c>
      <c r="H3706" s="1" t="b">
        <f t="shared" si="138"/>
        <v>1</v>
      </c>
    </row>
    <row r="3707" spans="1:8" ht="21" x14ac:dyDescent="0.25">
      <c r="A3707" s="2" t="str">
        <f>HYPERLINK("https://rth.dk/resources/bsgatlas/details.php?id=BSGatlas-operon-1945","BSGatlas-operon-1945")</f>
        <v>BSGatlas-operon-1945</v>
      </c>
      <c r="B3707" s="2" t="str">
        <f>HYPERLINK("https://rth.dk/resources/bsgatlas/details.php?id=BSGatlas-gene-4026","BSGatlas-gene-4026")</f>
        <v>BSGatlas-gene-4026</v>
      </c>
      <c r="C3707" s="1" t="s">
        <v>3668</v>
      </c>
      <c r="D3707" s="1" t="s">
        <v>8</v>
      </c>
      <c r="E3707" s="3">
        <v>3534118</v>
      </c>
      <c r="F3707" s="3">
        <v>3535473</v>
      </c>
      <c r="G3707" s="1" t="s">
        <v>13</v>
      </c>
      <c r="H3707" s="1" t="b">
        <f t="shared" si="138"/>
        <v>1</v>
      </c>
    </row>
    <row r="3708" spans="1:8" ht="21" x14ac:dyDescent="0.25">
      <c r="A3708" s="2" t="str">
        <f>HYPERLINK("https://rth.dk/resources/bsgatlas/details.php?id=BSGatlas-operon-1946","BSGatlas-operon-1946")</f>
        <v>BSGatlas-operon-1946</v>
      </c>
      <c r="B3708" s="2" t="str">
        <f>HYPERLINK("https://rth.dk/resources/bsgatlas/details.php?id=BSGatlas-gene-4027","BSGatlas-gene-4027")</f>
        <v>BSGatlas-gene-4027</v>
      </c>
      <c r="C3708" s="1" t="s">
        <v>3669</v>
      </c>
      <c r="D3708" s="1" t="s">
        <v>34</v>
      </c>
      <c r="E3708" s="3">
        <v>3535813</v>
      </c>
      <c r="F3708" s="3">
        <v>3535923</v>
      </c>
      <c r="G3708" s="1" t="s">
        <v>9</v>
      </c>
      <c r="H3708" s="1" t="b">
        <f t="shared" si="138"/>
        <v>0</v>
      </c>
    </row>
    <row r="3709" spans="1:8" ht="21" x14ac:dyDescent="0.25">
      <c r="A3709" s="2" t="str">
        <f>HYPERLINK("https://rth.dk/resources/bsgatlas/details.php?id=BSGatlas-operon-1947","BSGatlas-operon-1947")</f>
        <v>BSGatlas-operon-1947</v>
      </c>
      <c r="B3709" s="2" t="str">
        <f>HYPERLINK("https://rth.dk/resources/bsgatlas/details.php?id=BSGatlas-gene-4028","BSGatlas-gene-4028")</f>
        <v>BSGatlas-gene-4028</v>
      </c>
      <c r="C3709" s="1" t="s">
        <v>3670</v>
      </c>
      <c r="D3709" s="1" t="s">
        <v>8</v>
      </c>
      <c r="E3709" s="3">
        <v>3536012</v>
      </c>
      <c r="F3709" s="3">
        <v>3537433</v>
      </c>
      <c r="G3709" s="1" t="s">
        <v>9</v>
      </c>
      <c r="H3709" s="1" t="b">
        <f t="shared" si="138"/>
        <v>1</v>
      </c>
    </row>
    <row r="3710" spans="1:8" ht="21" x14ac:dyDescent="0.25">
      <c r="A3710" s="2" t="str">
        <f>HYPERLINK("https://rth.dk/resources/bsgatlas/details.php?id=BSGatlas-operon-1947","BSGatlas-operon-1947")</f>
        <v>BSGatlas-operon-1947</v>
      </c>
      <c r="B3710" s="2" t="str">
        <f>HYPERLINK("https://rth.dk/resources/bsgatlas/details.php?id=BSGatlas-gene-4029","BSGatlas-gene-4029")</f>
        <v>BSGatlas-gene-4029</v>
      </c>
      <c r="C3710" s="1" t="s">
        <v>3671</v>
      </c>
      <c r="D3710" s="1" t="s">
        <v>8</v>
      </c>
      <c r="E3710" s="3">
        <v>3537507</v>
      </c>
      <c r="F3710" s="3">
        <v>3539057</v>
      </c>
      <c r="G3710" s="1" t="s">
        <v>9</v>
      </c>
      <c r="H3710" s="1" t="b">
        <f t="shared" si="138"/>
        <v>1</v>
      </c>
    </row>
    <row r="3711" spans="1:8" ht="21" x14ac:dyDescent="0.25">
      <c r="A3711" s="2" t="str">
        <f>HYPERLINK("https://rth.dk/resources/bsgatlas/details.php?id=BSGatlas-operon-1947","BSGatlas-operon-1947")</f>
        <v>BSGatlas-operon-1947</v>
      </c>
      <c r="B3711" s="2" t="str">
        <f>HYPERLINK("https://rth.dk/resources/bsgatlas/details.php?id=BSGatlas-gene-4030","BSGatlas-gene-4030")</f>
        <v>BSGatlas-gene-4030</v>
      </c>
      <c r="C3711" s="1" t="s">
        <v>3672</v>
      </c>
      <c r="D3711" s="1" t="s">
        <v>8</v>
      </c>
      <c r="E3711" s="3">
        <v>3539165</v>
      </c>
      <c r="F3711" s="3">
        <v>3540727</v>
      </c>
      <c r="G3711" s="1" t="s">
        <v>9</v>
      </c>
      <c r="H3711" s="1" t="b">
        <f t="shared" si="138"/>
        <v>1</v>
      </c>
    </row>
    <row r="3712" spans="1:8" ht="21" x14ac:dyDescent="0.25">
      <c r="A3712" s="2" t="str">
        <f>HYPERLINK("https://rth.dk/resources/bsgatlas/details.php?id=BSGatlas-operon-1948","BSGatlas-operon-1948")</f>
        <v>BSGatlas-operon-1948</v>
      </c>
      <c r="B3712" s="2" t="str">
        <f>HYPERLINK("https://rth.dk/resources/bsgatlas/details.php?id=BSGatlas-gene-4031","BSGatlas-gene-4031")</f>
        <v>BSGatlas-gene-4031</v>
      </c>
      <c r="C3712" s="1" t="s">
        <v>3673</v>
      </c>
      <c r="D3712" s="1" t="s">
        <v>8</v>
      </c>
      <c r="E3712" s="3">
        <v>3540717</v>
      </c>
      <c r="F3712" s="3">
        <v>3541406</v>
      </c>
      <c r="G3712" s="1" t="s">
        <v>9</v>
      </c>
      <c r="H3712" s="1" t="b">
        <f t="shared" si="138"/>
        <v>0</v>
      </c>
    </row>
    <row r="3713" spans="1:8" ht="21" x14ac:dyDescent="0.25">
      <c r="A3713" s="2" t="str">
        <f>HYPERLINK("https://rth.dk/resources/bsgatlas/details.php?id=BSGatlas-operon-1948","BSGatlas-operon-1948")</f>
        <v>BSGatlas-operon-1948</v>
      </c>
      <c r="B3713" s="2" t="str">
        <f>HYPERLINK("https://rth.dk/resources/bsgatlas/details.php?id=BSGatlas-gene-4032","BSGatlas-gene-4032")</f>
        <v>BSGatlas-gene-4032</v>
      </c>
      <c r="C3713" s="1" t="s">
        <v>3674</v>
      </c>
      <c r="D3713" s="1" t="s">
        <v>8</v>
      </c>
      <c r="E3713" s="3">
        <v>3541488</v>
      </c>
      <c r="F3713" s="3">
        <v>3541823</v>
      </c>
      <c r="G3713" s="1" t="s">
        <v>9</v>
      </c>
      <c r="H3713" s="1" t="b">
        <f t="shared" si="138"/>
        <v>0</v>
      </c>
    </row>
    <row r="3714" spans="1:8" ht="21" x14ac:dyDescent="0.25">
      <c r="A3714" s="2" t="str">
        <f>HYPERLINK("https://rth.dk/resources/bsgatlas/details.php?id=BSGatlas-operon-1948","BSGatlas-operon-1948")</f>
        <v>BSGatlas-operon-1948</v>
      </c>
      <c r="B3714" s="2" t="str">
        <f>HYPERLINK("https://rth.dk/resources/bsgatlas/details.php?id=BSGatlas-gene-4033","BSGatlas-gene-4033")</f>
        <v>BSGatlas-gene-4033</v>
      </c>
      <c r="C3714" s="1" t="s">
        <v>3675</v>
      </c>
      <c r="D3714" s="1" t="s">
        <v>8</v>
      </c>
      <c r="E3714" s="3">
        <v>3541823</v>
      </c>
      <c r="F3714" s="3">
        <v>3542143</v>
      </c>
      <c r="G3714" s="1" t="s">
        <v>9</v>
      </c>
      <c r="H3714" s="1" t="b">
        <f t="shared" ref="H3714:H3777" si="141">_xlfn.XOR(A3713&lt;&gt;A3714,H3713)</f>
        <v>0</v>
      </c>
    </row>
    <row r="3715" spans="1:8" ht="21" x14ac:dyDescent="0.25">
      <c r="A3715" s="2" t="str">
        <f>HYPERLINK("https://rth.dk/resources/bsgatlas/details.php?id=BSGatlas-operon-1949","BSGatlas-operon-1949")</f>
        <v>BSGatlas-operon-1949</v>
      </c>
      <c r="B3715" s="2" t="str">
        <f>HYPERLINK("https://rth.dk/resources/bsgatlas/details.php?id=BSGatlas-gene-4034","BSGatlas-gene-4034")</f>
        <v>BSGatlas-gene-4034</v>
      </c>
      <c r="C3715" s="1" t="s">
        <v>3676</v>
      </c>
      <c r="D3715" s="1" t="s">
        <v>8</v>
      </c>
      <c r="E3715" s="3">
        <v>3542179</v>
      </c>
      <c r="F3715" s="3">
        <v>3542691</v>
      </c>
      <c r="G3715" s="1" t="s">
        <v>13</v>
      </c>
      <c r="H3715" s="1" t="b">
        <f t="shared" si="141"/>
        <v>1</v>
      </c>
    </row>
    <row r="3716" spans="1:8" ht="21" x14ac:dyDescent="0.25">
      <c r="A3716" s="2" t="str">
        <f>HYPERLINK("https://rth.dk/resources/bsgatlas/details.php?id=BSGatlas-operon-1950","BSGatlas-operon-1950")</f>
        <v>BSGatlas-operon-1950</v>
      </c>
      <c r="B3716" s="2" t="str">
        <f>HYPERLINK("https://rth.dk/resources/bsgatlas/details.php?id=BSGatlas-gene-4035","BSGatlas-gene-4035")</f>
        <v>BSGatlas-gene-4035</v>
      </c>
      <c r="C3716" s="1" t="s">
        <v>3677</v>
      </c>
      <c r="D3716" s="1" t="s">
        <v>8</v>
      </c>
      <c r="E3716" s="3">
        <v>3542943</v>
      </c>
      <c r="F3716" s="3">
        <v>3544286</v>
      </c>
      <c r="G3716" s="1" t="s">
        <v>13</v>
      </c>
      <c r="H3716" s="1" t="b">
        <f t="shared" si="141"/>
        <v>0</v>
      </c>
    </row>
    <row r="3717" spans="1:8" ht="21" x14ac:dyDescent="0.25">
      <c r="A3717" s="2" t="str">
        <f>HYPERLINK("https://rth.dk/resources/bsgatlas/details.php?id=BSGatlas-operon-1951","BSGatlas-operon-1951")</f>
        <v>BSGatlas-operon-1951</v>
      </c>
      <c r="B3717" s="2" t="str">
        <f>HYPERLINK("https://rth.dk/resources/bsgatlas/details.php?id=BSGatlas-gene-4036","BSGatlas-gene-4036")</f>
        <v>BSGatlas-gene-4036</v>
      </c>
      <c r="C3717" s="1" t="s">
        <v>3678</v>
      </c>
      <c r="D3717" s="1" t="s">
        <v>8</v>
      </c>
      <c r="E3717" s="3">
        <v>3544642</v>
      </c>
      <c r="F3717" s="3">
        <v>3545604</v>
      </c>
      <c r="G3717" s="1" t="s">
        <v>9</v>
      </c>
      <c r="H3717" s="1" t="b">
        <f t="shared" si="141"/>
        <v>1</v>
      </c>
    </row>
    <row r="3718" spans="1:8" ht="21" x14ac:dyDescent="0.25">
      <c r="A3718" s="2" t="str">
        <f>HYPERLINK("https://rth.dk/resources/bsgatlas/details.php?id=BSGatlas-operon-1952","BSGatlas-operon-1952")</f>
        <v>BSGatlas-operon-1952</v>
      </c>
      <c r="B3718" s="2" t="str">
        <f>HYPERLINK("https://rth.dk/resources/bsgatlas/details.php?id=BSGatlas-gene-4037","BSGatlas-gene-4037")</f>
        <v>BSGatlas-gene-4037</v>
      </c>
      <c r="C3718" s="1" t="s">
        <v>3679</v>
      </c>
      <c r="D3718" s="1" t="s">
        <v>23</v>
      </c>
      <c r="E3718" s="3">
        <v>3545888</v>
      </c>
      <c r="F3718" s="3">
        <v>3545964</v>
      </c>
      <c r="G3718" s="1" t="s">
        <v>13</v>
      </c>
      <c r="H3718" s="1" t="b">
        <f t="shared" si="141"/>
        <v>0</v>
      </c>
    </row>
    <row r="3719" spans="1:8" ht="21" x14ac:dyDescent="0.25">
      <c r="A3719" s="2" t="str">
        <f>HYPERLINK("https://rth.dk/resources/bsgatlas/details.php?id=BSGatlas-operon-1953","BSGatlas-operon-1953")</f>
        <v>BSGatlas-operon-1953</v>
      </c>
      <c r="B3719" s="2" t="str">
        <f>HYPERLINK("https://rth.dk/resources/bsgatlas/details.php?id=BSGatlas-gene-4038","BSGatlas-gene-4038")</f>
        <v>BSGatlas-gene-4038</v>
      </c>
      <c r="C3719" s="1" t="s">
        <v>3680</v>
      </c>
      <c r="D3719" s="1" t="s">
        <v>8</v>
      </c>
      <c r="E3719" s="3">
        <v>3546234</v>
      </c>
      <c r="F3719" s="3">
        <v>3546827</v>
      </c>
      <c r="G3719" s="1" t="s">
        <v>9</v>
      </c>
      <c r="H3719" s="1" t="b">
        <f t="shared" si="141"/>
        <v>1</v>
      </c>
    </row>
    <row r="3720" spans="1:8" ht="21" x14ac:dyDescent="0.25">
      <c r="A3720" s="2" t="str">
        <f t="shared" ref="A3720:A3728" si="142">HYPERLINK("https://rth.dk/resources/bsgatlas/details.php?id=BSGatlas-operon-1954","BSGatlas-operon-1954")</f>
        <v>BSGatlas-operon-1954</v>
      </c>
      <c r="B3720" s="2" t="str">
        <f>HYPERLINK("https://rth.dk/resources/bsgatlas/details.php?id=BSGatlas-gene-4039","BSGatlas-gene-4039")</f>
        <v>BSGatlas-gene-4039</v>
      </c>
      <c r="C3720" s="1" t="s">
        <v>3681</v>
      </c>
      <c r="D3720" s="1" t="s">
        <v>8</v>
      </c>
      <c r="E3720" s="3">
        <v>3546873</v>
      </c>
      <c r="F3720" s="3">
        <v>3547553</v>
      </c>
      <c r="G3720" s="1" t="s">
        <v>13</v>
      </c>
      <c r="H3720" s="1" t="b">
        <f t="shared" si="141"/>
        <v>0</v>
      </c>
    </row>
    <row r="3721" spans="1:8" ht="21" x14ac:dyDescent="0.25">
      <c r="A3721" s="2" t="str">
        <f t="shared" si="142"/>
        <v>BSGatlas-operon-1954</v>
      </c>
      <c r="B3721" s="2" t="str">
        <f>HYPERLINK("https://rth.dk/resources/bsgatlas/details.php?id=BSGatlas-gene-4040","BSGatlas-gene-4040")</f>
        <v>BSGatlas-gene-4040</v>
      </c>
      <c r="C3721" s="1" t="s">
        <v>3682</v>
      </c>
      <c r="D3721" s="1" t="s">
        <v>8</v>
      </c>
      <c r="E3721" s="3">
        <v>3547550</v>
      </c>
      <c r="F3721" s="3">
        <v>3549235</v>
      </c>
      <c r="G3721" s="1" t="s">
        <v>13</v>
      </c>
      <c r="H3721" s="1" t="b">
        <f t="shared" si="141"/>
        <v>0</v>
      </c>
    </row>
    <row r="3722" spans="1:8" ht="21" x14ac:dyDescent="0.25">
      <c r="A3722" s="2" t="str">
        <f t="shared" si="142"/>
        <v>BSGatlas-operon-1954</v>
      </c>
      <c r="B3722" s="2" t="str">
        <f>HYPERLINK("https://rth.dk/resources/bsgatlas/details.php?id=BSGatlas-gene-4041","BSGatlas-gene-4041")</f>
        <v>BSGatlas-gene-4041</v>
      </c>
      <c r="C3722" s="1" t="s">
        <v>3683</v>
      </c>
      <c r="D3722" s="1" t="s">
        <v>8</v>
      </c>
      <c r="E3722" s="3">
        <v>3549228</v>
      </c>
      <c r="F3722" s="3">
        <v>3551501</v>
      </c>
      <c r="G3722" s="1" t="s">
        <v>13</v>
      </c>
      <c r="H3722" s="1" t="b">
        <f t="shared" si="141"/>
        <v>0</v>
      </c>
    </row>
    <row r="3723" spans="1:8" ht="21" x14ac:dyDescent="0.25">
      <c r="A3723" s="2" t="str">
        <f t="shared" si="142"/>
        <v>BSGatlas-operon-1954</v>
      </c>
      <c r="B3723" s="2" t="str">
        <f>HYPERLINK("https://rth.dk/resources/bsgatlas/details.php?id=BSGatlas-gene-4042","BSGatlas-gene-4042")</f>
        <v>BSGatlas-gene-4042</v>
      </c>
      <c r="C3723" s="1" t="s">
        <v>3684</v>
      </c>
      <c r="D3723" s="1" t="s">
        <v>8</v>
      </c>
      <c r="E3723" s="3">
        <v>3551479</v>
      </c>
      <c r="F3723" s="3">
        <v>3552363</v>
      </c>
      <c r="G3723" s="1" t="s">
        <v>13</v>
      </c>
      <c r="H3723" s="1" t="b">
        <f t="shared" si="141"/>
        <v>0</v>
      </c>
    </row>
    <row r="3724" spans="1:8" ht="21" x14ac:dyDescent="0.25">
      <c r="A3724" s="2" t="str">
        <f t="shared" si="142"/>
        <v>BSGatlas-operon-1954</v>
      </c>
      <c r="B3724" s="2" t="str">
        <f>HYPERLINK("https://rth.dk/resources/bsgatlas/details.php?id=BSGatlas-gene-4043","BSGatlas-gene-4043")</f>
        <v>BSGatlas-gene-4043</v>
      </c>
      <c r="C3724" s="1" t="s">
        <v>3685</v>
      </c>
      <c r="D3724" s="1" t="s">
        <v>8</v>
      </c>
      <c r="E3724" s="3">
        <v>3552369</v>
      </c>
      <c r="F3724" s="3">
        <v>3553205</v>
      </c>
      <c r="G3724" s="1" t="s">
        <v>13</v>
      </c>
      <c r="H3724" s="1" t="b">
        <f t="shared" si="141"/>
        <v>0</v>
      </c>
    </row>
    <row r="3725" spans="1:8" ht="21" x14ac:dyDescent="0.25">
      <c r="A3725" s="2" t="str">
        <f t="shared" si="142"/>
        <v>BSGatlas-operon-1954</v>
      </c>
      <c r="B3725" s="2" t="str">
        <f>HYPERLINK("https://rth.dk/resources/bsgatlas/details.php?id=BSGatlas-gene-4044","BSGatlas-gene-4044")</f>
        <v>BSGatlas-gene-4044</v>
      </c>
      <c r="C3725" s="1" t="s">
        <v>3686</v>
      </c>
      <c r="D3725" s="1" t="s">
        <v>8</v>
      </c>
      <c r="E3725" s="3">
        <v>3553206</v>
      </c>
      <c r="F3725" s="3">
        <v>3554513</v>
      </c>
      <c r="G3725" s="1" t="s">
        <v>13</v>
      </c>
      <c r="H3725" s="1" t="b">
        <f t="shared" si="141"/>
        <v>0</v>
      </c>
    </row>
    <row r="3726" spans="1:8" ht="21" x14ac:dyDescent="0.25">
      <c r="A3726" s="2" t="str">
        <f t="shared" si="142"/>
        <v>BSGatlas-operon-1954</v>
      </c>
      <c r="B3726" s="2" t="str">
        <f>HYPERLINK("https://rth.dk/resources/bsgatlas/details.php?id=BSGatlas-gene-4045","BSGatlas-gene-4045")</f>
        <v>BSGatlas-gene-4045</v>
      </c>
      <c r="C3726" s="1" t="s">
        <v>3687</v>
      </c>
      <c r="D3726" s="1" t="s">
        <v>8</v>
      </c>
      <c r="E3726" s="3">
        <v>3554553</v>
      </c>
      <c r="F3726" s="3">
        <v>3555806</v>
      </c>
      <c r="G3726" s="1" t="s">
        <v>13</v>
      </c>
      <c r="H3726" s="1" t="b">
        <f t="shared" si="141"/>
        <v>0</v>
      </c>
    </row>
    <row r="3727" spans="1:8" ht="21" x14ac:dyDescent="0.25">
      <c r="A3727" s="2" t="str">
        <f t="shared" si="142"/>
        <v>BSGatlas-operon-1954</v>
      </c>
      <c r="B3727" s="2" t="str">
        <f>HYPERLINK("https://rth.dk/resources/bsgatlas/details.php?id=BSGatlas-gene-4046","BSGatlas-gene-4046")</f>
        <v>BSGatlas-gene-4046</v>
      </c>
      <c r="C3727" s="1" t="s">
        <v>3688</v>
      </c>
      <c r="D3727" s="1" t="s">
        <v>8</v>
      </c>
      <c r="E3727" s="3">
        <v>3555902</v>
      </c>
      <c r="F3727" s="3">
        <v>3557671</v>
      </c>
      <c r="G3727" s="1" t="s">
        <v>13</v>
      </c>
      <c r="H3727" s="1" t="b">
        <f t="shared" si="141"/>
        <v>0</v>
      </c>
    </row>
    <row r="3728" spans="1:8" ht="21" x14ac:dyDescent="0.25">
      <c r="A3728" s="2" t="str">
        <f t="shared" si="142"/>
        <v>BSGatlas-operon-1954</v>
      </c>
      <c r="B3728" s="2" t="str">
        <f>HYPERLINK("https://rth.dk/resources/bsgatlas/details.php?id=BSGatlas-gene-4047","BSGatlas-gene-4047")</f>
        <v>BSGatlas-gene-4047</v>
      </c>
      <c r="C3728" s="1" t="s">
        <v>3689</v>
      </c>
      <c r="D3728" s="1" t="s">
        <v>8</v>
      </c>
      <c r="E3728" s="3">
        <v>3557784</v>
      </c>
      <c r="F3728" s="3">
        <v>3558734</v>
      </c>
      <c r="G3728" s="1" t="s">
        <v>13</v>
      </c>
      <c r="H3728" s="1" t="b">
        <f t="shared" si="141"/>
        <v>0</v>
      </c>
    </row>
    <row r="3729" spans="1:8" ht="21" x14ac:dyDescent="0.25">
      <c r="A3729" s="2" t="str">
        <f>HYPERLINK("https://rth.dk/resources/bsgatlas/details.php?id=BSGatlas-operon-1955","BSGatlas-operon-1955")</f>
        <v>BSGatlas-operon-1955</v>
      </c>
      <c r="B3729" s="2" t="str">
        <f>HYPERLINK("https://rth.dk/resources/bsgatlas/details.php?id=BSGatlas-gene-4048","BSGatlas-gene-4048")</f>
        <v>BSGatlas-gene-4048</v>
      </c>
      <c r="C3729" s="1" t="s">
        <v>3690</v>
      </c>
      <c r="D3729" s="1" t="s">
        <v>8</v>
      </c>
      <c r="E3729" s="3">
        <v>3558940</v>
      </c>
      <c r="F3729" s="3">
        <v>3559515</v>
      </c>
      <c r="G3729" s="1" t="s">
        <v>13</v>
      </c>
      <c r="H3729" s="1" t="b">
        <f t="shared" si="141"/>
        <v>1</v>
      </c>
    </row>
    <row r="3730" spans="1:8" ht="21" x14ac:dyDescent="0.25">
      <c r="A3730" s="2" t="str">
        <f>HYPERLINK("https://rth.dk/resources/bsgatlas/details.php?id=BSGatlas-operon-1956","BSGatlas-operon-1956")</f>
        <v>BSGatlas-operon-1956</v>
      </c>
      <c r="B3730" s="2" t="str">
        <f>HYPERLINK("https://rth.dk/resources/bsgatlas/details.php?id=BSGatlas-gene-4049","BSGatlas-gene-4049")</f>
        <v>BSGatlas-gene-4049</v>
      </c>
      <c r="C3730" s="1" t="s">
        <v>3691</v>
      </c>
      <c r="D3730" s="1" t="s">
        <v>8</v>
      </c>
      <c r="E3730" s="3">
        <v>3559632</v>
      </c>
      <c r="F3730" s="3">
        <v>3559952</v>
      </c>
      <c r="G3730" s="1" t="s">
        <v>9</v>
      </c>
      <c r="H3730" s="1" t="b">
        <f t="shared" si="141"/>
        <v>0</v>
      </c>
    </row>
    <row r="3731" spans="1:8" ht="21" x14ac:dyDescent="0.25">
      <c r="A3731" s="2" t="str">
        <f>HYPERLINK("https://rth.dk/resources/bsgatlas/details.php?id=BSGatlas-operon-1957","BSGatlas-operon-1957")</f>
        <v>BSGatlas-operon-1957</v>
      </c>
      <c r="B3731" s="2" t="str">
        <f>HYPERLINK("https://rth.dk/resources/bsgatlas/details.php?id=BSGatlas-gene-4050","BSGatlas-gene-4050")</f>
        <v>BSGatlas-gene-4050</v>
      </c>
      <c r="C3731" s="1" t="s">
        <v>3692</v>
      </c>
      <c r="D3731" s="1" t="s">
        <v>8</v>
      </c>
      <c r="E3731" s="3">
        <v>3559979</v>
      </c>
      <c r="F3731" s="3">
        <v>3561571</v>
      </c>
      <c r="G3731" s="1" t="s">
        <v>13</v>
      </c>
      <c r="H3731" s="1" t="b">
        <f t="shared" si="141"/>
        <v>1</v>
      </c>
    </row>
    <row r="3732" spans="1:8" ht="21" x14ac:dyDescent="0.25">
      <c r="A3732" s="2" t="str">
        <f>HYPERLINK("https://rth.dk/resources/bsgatlas/details.php?id=BSGatlas-operon-1957","BSGatlas-operon-1957")</f>
        <v>BSGatlas-operon-1957</v>
      </c>
      <c r="B3732" s="2" t="str">
        <f>HYPERLINK("https://rth.dk/resources/bsgatlas/details.php?id=BSGatlas-gene-4051","BSGatlas-gene-4051")</f>
        <v>BSGatlas-gene-4051</v>
      </c>
      <c r="C3732" s="1" t="s">
        <v>3693</v>
      </c>
      <c r="D3732" s="1" t="s">
        <v>8</v>
      </c>
      <c r="E3732" s="3">
        <v>3561590</v>
      </c>
      <c r="F3732" s="3">
        <v>3562183</v>
      </c>
      <c r="G3732" s="1" t="s">
        <v>13</v>
      </c>
      <c r="H3732" s="1" t="b">
        <f t="shared" si="141"/>
        <v>1</v>
      </c>
    </row>
    <row r="3733" spans="1:8" ht="21" x14ac:dyDescent="0.25">
      <c r="A3733" s="2" t="str">
        <f>HYPERLINK("https://rth.dk/resources/bsgatlas/details.php?id=BSGatlas-operon-1958","BSGatlas-operon-1958")</f>
        <v>BSGatlas-operon-1958</v>
      </c>
      <c r="B3733" s="2" t="str">
        <f>HYPERLINK("https://rth.dk/resources/bsgatlas/details.php?id=BSGatlas-gene-4052","BSGatlas-gene-4052")</f>
        <v>BSGatlas-gene-4052</v>
      </c>
      <c r="C3733" s="1" t="s">
        <v>3694</v>
      </c>
      <c r="D3733" s="1" t="s">
        <v>8</v>
      </c>
      <c r="E3733" s="3">
        <v>3562566</v>
      </c>
      <c r="F3733" s="3">
        <v>3563543</v>
      </c>
      <c r="G3733" s="1" t="s">
        <v>9</v>
      </c>
      <c r="H3733" s="1" t="b">
        <f t="shared" si="141"/>
        <v>0</v>
      </c>
    </row>
    <row r="3734" spans="1:8" ht="21" x14ac:dyDescent="0.25">
      <c r="A3734" s="2" t="str">
        <f>HYPERLINK("https://rth.dk/resources/bsgatlas/details.php?id=BSGatlas-operon-1959","BSGatlas-operon-1959")</f>
        <v>BSGatlas-operon-1959</v>
      </c>
      <c r="B3734" s="2" t="str">
        <f>HYPERLINK("https://rth.dk/resources/bsgatlas/details.php?id=BSGatlas-gene-4053","BSGatlas-gene-4053")</f>
        <v>BSGatlas-gene-4053</v>
      </c>
      <c r="C3734" s="1" t="s">
        <v>3695</v>
      </c>
      <c r="D3734" s="1" t="s">
        <v>8</v>
      </c>
      <c r="E3734" s="3">
        <v>3563581</v>
      </c>
      <c r="F3734" s="3">
        <v>3565521</v>
      </c>
      <c r="G3734" s="1" t="s">
        <v>13</v>
      </c>
      <c r="H3734" s="1" t="b">
        <f t="shared" si="141"/>
        <v>1</v>
      </c>
    </row>
    <row r="3735" spans="1:8" ht="21" x14ac:dyDescent="0.25">
      <c r="A3735" s="2" t="str">
        <f>HYPERLINK("https://rth.dk/resources/bsgatlas/details.php?id=BSGatlas-operon-1959","BSGatlas-operon-1959")</f>
        <v>BSGatlas-operon-1959</v>
      </c>
      <c r="B3735" s="2" t="str">
        <f>HYPERLINK("https://rth.dk/resources/bsgatlas/details.php?id=BSGatlas-gene-4054","BSGatlas-gene-4054")</f>
        <v>BSGatlas-gene-4054</v>
      </c>
      <c r="C3735" s="1" t="s">
        <v>3696</v>
      </c>
      <c r="D3735" s="1" t="s">
        <v>8</v>
      </c>
      <c r="E3735" s="3">
        <v>3565496</v>
      </c>
      <c r="F3735" s="3">
        <v>3566275</v>
      </c>
      <c r="G3735" s="1" t="s">
        <v>13</v>
      </c>
      <c r="H3735" s="1" t="b">
        <f t="shared" si="141"/>
        <v>1</v>
      </c>
    </row>
    <row r="3736" spans="1:8" ht="21" x14ac:dyDescent="0.25">
      <c r="A3736" s="2" t="str">
        <f>HYPERLINK("https://rth.dk/resources/bsgatlas/details.php?id=BSGatlas-operon-1959","BSGatlas-operon-1959")</f>
        <v>BSGatlas-operon-1959</v>
      </c>
      <c r="B3736" s="2" t="str">
        <f>HYPERLINK("https://rth.dk/resources/bsgatlas/details.php?id=BSGatlas-gene-4055","BSGatlas-gene-4055")</f>
        <v>BSGatlas-gene-4055</v>
      </c>
      <c r="C3736" s="1" t="s">
        <v>3697</v>
      </c>
      <c r="D3736" s="1" t="s">
        <v>8</v>
      </c>
      <c r="E3736" s="3">
        <v>3566358</v>
      </c>
      <c r="F3736" s="3">
        <v>3567428</v>
      </c>
      <c r="G3736" s="1" t="s">
        <v>13</v>
      </c>
      <c r="H3736" s="1" t="b">
        <f t="shared" si="141"/>
        <v>1</v>
      </c>
    </row>
    <row r="3737" spans="1:8" ht="21" x14ac:dyDescent="0.25">
      <c r="A3737" s="2" t="str">
        <f>HYPERLINK("https://rth.dk/resources/bsgatlas/details.php?id=BSGatlas-operon-1959","BSGatlas-operon-1959")</f>
        <v>BSGatlas-operon-1959</v>
      </c>
      <c r="B3737" s="2" t="str">
        <f>HYPERLINK("https://rth.dk/resources/bsgatlas/details.php?id=BSGatlas-gene-4056","BSGatlas-gene-4056")</f>
        <v>BSGatlas-gene-4056</v>
      </c>
      <c r="C3737" s="1" t="s">
        <v>3698</v>
      </c>
      <c r="D3737" s="1" t="s">
        <v>8</v>
      </c>
      <c r="E3737" s="3">
        <v>3567422</v>
      </c>
      <c r="F3737" s="3">
        <v>3568135</v>
      </c>
      <c r="G3737" s="1" t="s">
        <v>13</v>
      </c>
      <c r="H3737" s="1" t="b">
        <f t="shared" si="141"/>
        <v>1</v>
      </c>
    </row>
    <row r="3738" spans="1:8" ht="21" x14ac:dyDescent="0.25">
      <c r="A3738" s="2" t="str">
        <f>HYPERLINK("https://rth.dk/resources/bsgatlas/details.php?id=BSGatlas-operon-1960","BSGatlas-operon-1960")</f>
        <v>BSGatlas-operon-1960</v>
      </c>
      <c r="B3738" s="2" t="str">
        <f>HYPERLINK("https://rth.dk/resources/bsgatlas/details.php?id=BSGatlas-gene-4057","BSGatlas-gene-4057")</f>
        <v>BSGatlas-gene-4057</v>
      </c>
      <c r="C3738" s="1" t="s">
        <v>3699</v>
      </c>
      <c r="D3738" s="1" t="s">
        <v>8</v>
      </c>
      <c r="E3738" s="3">
        <v>3568282</v>
      </c>
      <c r="F3738" s="3">
        <v>3568491</v>
      </c>
      <c r="G3738" s="1" t="s">
        <v>9</v>
      </c>
      <c r="H3738" s="1" t="b">
        <f t="shared" si="141"/>
        <v>0</v>
      </c>
    </row>
    <row r="3739" spans="1:8" ht="21" x14ac:dyDescent="0.25">
      <c r="A3739" s="2" t="str">
        <f t="shared" ref="A3739:A3744" si="143">HYPERLINK("https://rth.dk/resources/bsgatlas/details.php?id=BSGatlas-operon-1961","BSGatlas-operon-1961")</f>
        <v>BSGatlas-operon-1961</v>
      </c>
      <c r="B3739" s="2" t="str">
        <f>HYPERLINK("https://rth.dk/resources/bsgatlas/details.php?id=BSGatlas-gene-4058","BSGatlas-gene-4058")</f>
        <v>BSGatlas-gene-4058</v>
      </c>
      <c r="C3739" s="1" t="s">
        <v>3700</v>
      </c>
      <c r="D3739" s="1" t="s">
        <v>8</v>
      </c>
      <c r="E3739" s="3">
        <v>3568527</v>
      </c>
      <c r="F3739" s="3">
        <v>3569291</v>
      </c>
      <c r="G3739" s="1" t="s">
        <v>13</v>
      </c>
      <c r="H3739" s="1" t="b">
        <f t="shared" si="141"/>
        <v>1</v>
      </c>
    </row>
    <row r="3740" spans="1:8" ht="21" x14ac:dyDescent="0.25">
      <c r="A3740" s="2" t="str">
        <f t="shared" si="143"/>
        <v>BSGatlas-operon-1961</v>
      </c>
      <c r="B3740" s="2" t="str">
        <f>HYPERLINK("https://rth.dk/resources/bsgatlas/details.php?id=BSGatlas-gene-4059","BSGatlas-gene-4059")</f>
        <v>BSGatlas-gene-4059</v>
      </c>
      <c r="C3740" s="1" t="s">
        <v>3701</v>
      </c>
      <c r="D3740" s="1" t="s">
        <v>8</v>
      </c>
      <c r="E3740" s="3">
        <v>3569292</v>
      </c>
      <c r="F3740" s="3">
        <v>3569549</v>
      </c>
      <c r="G3740" s="1" t="s">
        <v>13</v>
      </c>
      <c r="H3740" s="1" t="b">
        <f t="shared" si="141"/>
        <v>1</v>
      </c>
    </row>
    <row r="3741" spans="1:8" ht="21" x14ac:dyDescent="0.25">
      <c r="A3741" s="2" t="str">
        <f t="shared" si="143"/>
        <v>BSGatlas-operon-1961</v>
      </c>
      <c r="B3741" s="2" t="str">
        <f>HYPERLINK("https://rth.dk/resources/bsgatlas/details.php?id=BSGatlas-gene-4060","BSGatlas-gene-4060")</f>
        <v>BSGatlas-gene-4060</v>
      </c>
      <c r="C3741" s="1" t="s">
        <v>3702</v>
      </c>
      <c r="D3741" s="1" t="s">
        <v>8</v>
      </c>
      <c r="E3741" s="3">
        <v>3569573</v>
      </c>
      <c r="F3741" s="3">
        <v>3570523</v>
      </c>
      <c r="G3741" s="1" t="s">
        <v>13</v>
      </c>
      <c r="H3741" s="1" t="b">
        <f t="shared" si="141"/>
        <v>1</v>
      </c>
    </row>
    <row r="3742" spans="1:8" ht="21" x14ac:dyDescent="0.25">
      <c r="A3742" s="2" t="str">
        <f t="shared" si="143"/>
        <v>BSGatlas-operon-1961</v>
      </c>
      <c r="B3742" s="2" t="str">
        <f>HYPERLINK("https://rth.dk/resources/bsgatlas/details.php?id=BSGatlas-gene-4061","BSGatlas-gene-4061")</f>
        <v>BSGatlas-gene-4061</v>
      </c>
      <c r="C3742" s="1" t="s">
        <v>3703</v>
      </c>
      <c r="D3742" s="1" t="s">
        <v>8</v>
      </c>
      <c r="E3742" s="3">
        <v>3570546</v>
      </c>
      <c r="F3742" s="3">
        <v>3571499</v>
      </c>
      <c r="G3742" s="1" t="s">
        <v>13</v>
      </c>
      <c r="H3742" s="1" t="b">
        <f t="shared" si="141"/>
        <v>1</v>
      </c>
    </row>
    <row r="3743" spans="1:8" ht="21" x14ac:dyDescent="0.25">
      <c r="A3743" s="2" t="str">
        <f t="shared" si="143"/>
        <v>BSGatlas-operon-1961</v>
      </c>
      <c r="B3743" s="2" t="str">
        <f>HYPERLINK("https://rth.dk/resources/bsgatlas/details.php?id=BSGatlas-gene-4062","BSGatlas-gene-4062")</f>
        <v>BSGatlas-gene-4062</v>
      </c>
      <c r="C3743" s="1" t="s">
        <v>3704</v>
      </c>
      <c r="D3743" s="1" t="s">
        <v>8</v>
      </c>
      <c r="E3743" s="3">
        <v>3571501</v>
      </c>
      <c r="F3743" s="3">
        <v>3572388</v>
      </c>
      <c r="G3743" s="1" t="s">
        <v>13</v>
      </c>
      <c r="H3743" s="1" t="b">
        <f t="shared" si="141"/>
        <v>1</v>
      </c>
    </row>
    <row r="3744" spans="1:8" ht="21" x14ac:dyDescent="0.25">
      <c r="A3744" s="2" t="str">
        <f t="shared" si="143"/>
        <v>BSGatlas-operon-1961</v>
      </c>
      <c r="B3744" s="2" t="str">
        <f>HYPERLINK("https://rth.dk/resources/bsgatlas/details.php?id=BSGatlas-gene-4063","BSGatlas-gene-4063")</f>
        <v>BSGatlas-gene-4063</v>
      </c>
      <c r="C3744" s="1" t="s">
        <v>3705</v>
      </c>
      <c r="D3744" s="1" t="s">
        <v>8</v>
      </c>
      <c r="E3744" s="3">
        <v>3572413</v>
      </c>
      <c r="F3744" s="3">
        <v>3572889</v>
      </c>
      <c r="G3744" s="1" t="s">
        <v>13</v>
      </c>
      <c r="H3744" s="1" t="b">
        <f t="shared" si="141"/>
        <v>1</v>
      </c>
    </row>
    <row r="3745" spans="1:8" ht="21" x14ac:dyDescent="0.25">
      <c r="A3745" s="2" t="str">
        <f>HYPERLINK("https://rth.dk/resources/bsgatlas/details.php?id=BSGatlas-operon-1962","BSGatlas-operon-1962")</f>
        <v>BSGatlas-operon-1962</v>
      </c>
      <c r="B3745" s="2" t="str">
        <f>HYPERLINK("https://rth.dk/resources/bsgatlas/details.php?id=BSGatlas-gene-4065","BSGatlas-gene-4065")</f>
        <v>BSGatlas-gene-4065</v>
      </c>
      <c r="C3745" s="1" t="s">
        <v>3706</v>
      </c>
      <c r="D3745" s="1" t="s">
        <v>8</v>
      </c>
      <c r="E3745" s="3">
        <v>3573207</v>
      </c>
      <c r="F3745" s="3">
        <v>3574157</v>
      </c>
      <c r="G3745" s="1" t="s">
        <v>13</v>
      </c>
      <c r="H3745" s="1" t="b">
        <f t="shared" si="141"/>
        <v>0</v>
      </c>
    </row>
    <row r="3746" spans="1:8" ht="21" x14ac:dyDescent="0.25">
      <c r="A3746" s="2" t="str">
        <f>HYPERLINK("https://rth.dk/resources/bsgatlas/details.php?id=BSGatlas-operon-1963","BSGatlas-operon-1963")</f>
        <v>BSGatlas-operon-1963</v>
      </c>
      <c r="B3746" s="2" t="str">
        <f>HYPERLINK("https://rth.dk/resources/bsgatlas/details.php?id=BSGatlas-gene-4066","BSGatlas-gene-4066")</f>
        <v>BSGatlas-gene-4066</v>
      </c>
      <c r="C3746" s="1" t="s">
        <v>3707</v>
      </c>
      <c r="D3746" s="1" t="s">
        <v>12</v>
      </c>
      <c r="E3746" s="3">
        <v>3574321</v>
      </c>
      <c r="F3746" s="3">
        <v>3577707</v>
      </c>
      <c r="G3746" s="1" t="s">
        <v>9</v>
      </c>
      <c r="H3746" s="1" t="b">
        <f t="shared" si="141"/>
        <v>1</v>
      </c>
    </row>
    <row r="3747" spans="1:8" ht="21" x14ac:dyDescent="0.25">
      <c r="A3747" s="2" t="str">
        <f>HYPERLINK("https://rth.dk/resources/bsgatlas/details.php?id=BSGatlas-operon-1964","BSGatlas-operon-1964")</f>
        <v>BSGatlas-operon-1964</v>
      </c>
      <c r="B3747" s="2" t="str">
        <f>HYPERLINK("https://rth.dk/resources/bsgatlas/details.php?id=BSGatlas-gene-4067","BSGatlas-gene-4067")</f>
        <v>BSGatlas-gene-4067</v>
      </c>
      <c r="C3747" s="1" t="s">
        <v>3708</v>
      </c>
      <c r="D3747" s="1" t="s">
        <v>8</v>
      </c>
      <c r="E3747" s="3">
        <v>3574363</v>
      </c>
      <c r="F3747" s="3">
        <v>3575784</v>
      </c>
      <c r="G3747" s="1" t="s">
        <v>13</v>
      </c>
      <c r="H3747" s="1" t="b">
        <f t="shared" si="141"/>
        <v>0</v>
      </c>
    </row>
    <row r="3748" spans="1:8" ht="21" x14ac:dyDescent="0.25">
      <c r="A3748" s="2" t="str">
        <f>HYPERLINK("https://rth.dk/resources/bsgatlas/details.php?id=BSGatlas-operon-1965","BSGatlas-operon-1965")</f>
        <v>BSGatlas-operon-1965</v>
      </c>
      <c r="B3748" s="2" t="str">
        <f>HYPERLINK("https://rth.dk/resources/bsgatlas/details.php?id=BSGatlas-gene-4068","BSGatlas-gene-4068")</f>
        <v>BSGatlas-gene-4068</v>
      </c>
      <c r="C3748" s="1" t="s">
        <v>3709</v>
      </c>
      <c r="D3748" s="1" t="s">
        <v>8</v>
      </c>
      <c r="E3748" s="3">
        <v>3576165</v>
      </c>
      <c r="F3748" s="3">
        <v>3577619</v>
      </c>
      <c r="G3748" s="1" t="s">
        <v>13</v>
      </c>
      <c r="H3748" s="1" t="b">
        <f t="shared" si="141"/>
        <v>1</v>
      </c>
    </row>
    <row r="3749" spans="1:8" ht="21" x14ac:dyDescent="0.25">
      <c r="A3749" s="2" t="str">
        <f>HYPERLINK("https://rth.dk/resources/bsgatlas/details.php?id=BSGatlas-operon-1965","BSGatlas-operon-1965")</f>
        <v>BSGatlas-operon-1965</v>
      </c>
      <c r="B3749" s="2" t="str">
        <f>HYPERLINK("https://rth.dk/resources/bsgatlas/details.php?id=BSGatlas-gene-4069","BSGatlas-gene-4069")</f>
        <v>BSGatlas-gene-4069</v>
      </c>
      <c r="C3749" s="1" t="s">
        <v>3710</v>
      </c>
      <c r="D3749" s="1" t="s">
        <v>8</v>
      </c>
      <c r="E3749" s="3">
        <v>3577745</v>
      </c>
      <c r="F3749" s="3">
        <v>3579514</v>
      </c>
      <c r="G3749" s="1" t="s">
        <v>13</v>
      </c>
      <c r="H3749" s="1" t="b">
        <f t="shared" si="141"/>
        <v>1</v>
      </c>
    </row>
    <row r="3750" spans="1:8" ht="21" x14ac:dyDescent="0.25">
      <c r="A3750" s="2" t="str">
        <f>HYPERLINK("https://rth.dk/resources/bsgatlas/details.php?id=BSGatlas-operon-1966","BSGatlas-operon-1966")</f>
        <v>BSGatlas-operon-1966</v>
      </c>
      <c r="B3750" s="2" t="str">
        <f>HYPERLINK("https://rth.dk/resources/bsgatlas/details.php?id=BSGatlas-gene-4070","BSGatlas-gene-4070")</f>
        <v>BSGatlas-gene-4070</v>
      </c>
      <c r="C3750" s="1" t="s">
        <v>3711</v>
      </c>
      <c r="D3750" s="1" t="s">
        <v>8</v>
      </c>
      <c r="E3750" s="3">
        <v>3579679</v>
      </c>
      <c r="F3750" s="3">
        <v>3580038</v>
      </c>
      <c r="G3750" s="1" t="s">
        <v>13</v>
      </c>
      <c r="H3750" s="1" t="b">
        <f t="shared" si="141"/>
        <v>0</v>
      </c>
    </row>
    <row r="3751" spans="1:8" ht="21" x14ac:dyDescent="0.25">
      <c r="A3751" s="2" t="str">
        <f>HYPERLINK("https://rth.dk/resources/bsgatlas/details.php?id=BSGatlas-operon-1966","BSGatlas-operon-1966")</f>
        <v>BSGatlas-operon-1966</v>
      </c>
      <c r="B3751" s="2" t="str">
        <f>HYPERLINK("https://rth.dk/resources/bsgatlas/details.php?id=BSGatlas-gene-4071","BSGatlas-gene-4071")</f>
        <v>BSGatlas-gene-4071</v>
      </c>
      <c r="C3751" s="1" t="s">
        <v>3712</v>
      </c>
      <c r="D3751" s="1" t="s">
        <v>8</v>
      </c>
      <c r="E3751" s="3">
        <v>3580053</v>
      </c>
      <c r="F3751" s="3">
        <v>3581963</v>
      </c>
      <c r="G3751" s="1" t="s">
        <v>13</v>
      </c>
      <c r="H3751" s="1" t="b">
        <f t="shared" si="141"/>
        <v>0</v>
      </c>
    </row>
    <row r="3752" spans="1:8" ht="21" x14ac:dyDescent="0.25">
      <c r="A3752" s="2" t="str">
        <f>HYPERLINK("https://rth.dk/resources/bsgatlas/details.php?id=BSGatlas-operon-1966","BSGatlas-operon-1966")</f>
        <v>BSGatlas-operon-1966</v>
      </c>
      <c r="B3752" s="2" t="str">
        <f>HYPERLINK("https://rth.dk/resources/bsgatlas/details.php?id=BSGatlas-gene-4072","BSGatlas-gene-4072")</f>
        <v>BSGatlas-gene-4072</v>
      </c>
      <c r="C3752" s="1" t="s">
        <v>3713</v>
      </c>
      <c r="D3752" s="1" t="s">
        <v>8</v>
      </c>
      <c r="E3752" s="3">
        <v>3581965</v>
      </c>
      <c r="F3752" s="3">
        <v>3582690</v>
      </c>
      <c r="G3752" s="1" t="s">
        <v>13</v>
      </c>
      <c r="H3752" s="1" t="b">
        <f t="shared" si="141"/>
        <v>0</v>
      </c>
    </row>
    <row r="3753" spans="1:8" ht="21" x14ac:dyDescent="0.25">
      <c r="A3753" s="2" t="str">
        <f t="shared" ref="A3753:A3760" si="144">HYPERLINK("https://rth.dk/resources/bsgatlas/details.php?id=BSGatlas-operon-1967","BSGatlas-operon-1967")</f>
        <v>BSGatlas-operon-1967</v>
      </c>
      <c r="B3753" s="2" t="str">
        <f>HYPERLINK("https://rth.dk/resources/bsgatlas/details.php?id=BSGatlas-gene-4073","BSGatlas-gene-4073")</f>
        <v>BSGatlas-gene-4073</v>
      </c>
      <c r="C3753" s="1" t="s">
        <v>3714</v>
      </c>
      <c r="D3753" s="1" t="s">
        <v>8</v>
      </c>
      <c r="E3753" s="3">
        <v>3582936</v>
      </c>
      <c r="F3753" s="3">
        <v>3583565</v>
      </c>
      <c r="G3753" s="1" t="s">
        <v>13</v>
      </c>
      <c r="H3753" s="1" t="b">
        <f t="shared" si="141"/>
        <v>1</v>
      </c>
    </row>
    <row r="3754" spans="1:8" ht="21" x14ac:dyDescent="0.25">
      <c r="A3754" s="2" t="str">
        <f t="shared" si="144"/>
        <v>BSGatlas-operon-1967</v>
      </c>
      <c r="B3754" s="2" t="str">
        <f>HYPERLINK("https://rth.dk/resources/bsgatlas/details.php?id=BSGatlas-gene-4074","BSGatlas-gene-4074")</f>
        <v>BSGatlas-gene-4074</v>
      </c>
      <c r="C3754" s="1" t="s">
        <v>3715</v>
      </c>
      <c r="D3754" s="1" t="s">
        <v>8</v>
      </c>
      <c r="E3754" s="3">
        <v>3583562</v>
      </c>
      <c r="F3754" s="3">
        <v>3584320</v>
      </c>
      <c r="G3754" s="1" t="s">
        <v>13</v>
      </c>
      <c r="H3754" s="1" t="b">
        <f t="shared" si="141"/>
        <v>1</v>
      </c>
    </row>
    <row r="3755" spans="1:8" ht="21" x14ac:dyDescent="0.25">
      <c r="A3755" s="2" t="str">
        <f t="shared" si="144"/>
        <v>BSGatlas-operon-1967</v>
      </c>
      <c r="B3755" s="2" t="str">
        <f>HYPERLINK("https://rth.dk/resources/bsgatlas/details.php?id=BSGatlas-gene-4075","BSGatlas-gene-4075")</f>
        <v>BSGatlas-gene-4075</v>
      </c>
      <c r="C3755" s="1" t="s">
        <v>3716</v>
      </c>
      <c r="D3755" s="1" t="s">
        <v>8</v>
      </c>
      <c r="E3755" s="3">
        <v>3584317</v>
      </c>
      <c r="F3755" s="3">
        <v>3585054</v>
      </c>
      <c r="G3755" s="1" t="s">
        <v>13</v>
      </c>
      <c r="H3755" s="1" t="b">
        <f t="shared" si="141"/>
        <v>1</v>
      </c>
    </row>
    <row r="3756" spans="1:8" ht="21" x14ac:dyDescent="0.25">
      <c r="A3756" s="2" t="str">
        <f t="shared" si="144"/>
        <v>BSGatlas-operon-1967</v>
      </c>
      <c r="B3756" s="2" t="str">
        <f>HYPERLINK("https://rth.dk/resources/bsgatlas/details.php?id=BSGatlas-gene-4076","BSGatlas-gene-4076")</f>
        <v>BSGatlas-gene-4076</v>
      </c>
      <c r="C3756" s="1" t="s">
        <v>3717</v>
      </c>
      <c r="D3756" s="1" t="s">
        <v>8</v>
      </c>
      <c r="E3756" s="3">
        <v>3585051</v>
      </c>
      <c r="F3756" s="3">
        <v>3585689</v>
      </c>
      <c r="G3756" s="1" t="s">
        <v>13</v>
      </c>
      <c r="H3756" s="1" t="b">
        <f t="shared" si="141"/>
        <v>1</v>
      </c>
    </row>
    <row r="3757" spans="1:8" ht="21" x14ac:dyDescent="0.25">
      <c r="A3757" s="2" t="str">
        <f t="shared" si="144"/>
        <v>BSGatlas-operon-1967</v>
      </c>
      <c r="B3757" s="2" t="str">
        <f>HYPERLINK("https://rth.dk/resources/bsgatlas/details.php?id=BSGatlas-gene-4077","BSGatlas-gene-4077")</f>
        <v>BSGatlas-gene-4077</v>
      </c>
      <c r="C3757" s="1" t="s">
        <v>3718</v>
      </c>
      <c r="D3757" s="1" t="s">
        <v>8</v>
      </c>
      <c r="E3757" s="3">
        <v>3585690</v>
      </c>
      <c r="F3757" s="3">
        <v>3586274</v>
      </c>
      <c r="G3757" s="1" t="s">
        <v>13</v>
      </c>
      <c r="H3757" s="1" t="b">
        <f t="shared" si="141"/>
        <v>1</v>
      </c>
    </row>
    <row r="3758" spans="1:8" ht="21" x14ac:dyDescent="0.25">
      <c r="A3758" s="2" t="str">
        <f t="shared" si="144"/>
        <v>BSGatlas-operon-1967</v>
      </c>
      <c r="B3758" s="2" t="str">
        <f>HYPERLINK("https://rth.dk/resources/bsgatlas/details.php?id=BSGatlas-gene-4078","BSGatlas-gene-4078")</f>
        <v>BSGatlas-gene-4078</v>
      </c>
      <c r="C3758" s="1" t="s">
        <v>3719</v>
      </c>
      <c r="D3758" s="1" t="s">
        <v>8</v>
      </c>
      <c r="E3758" s="3">
        <v>3586271</v>
      </c>
      <c r="F3758" s="3">
        <v>3587554</v>
      </c>
      <c r="G3758" s="1" t="s">
        <v>13</v>
      </c>
      <c r="H3758" s="1" t="b">
        <f t="shared" si="141"/>
        <v>1</v>
      </c>
    </row>
    <row r="3759" spans="1:8" ht="21" x14ac:dyDescent="0.25">
      <c r="A3759" s="2" t="str">
        <f t="shared" si="144"/>
        <v>BSGatlas-operon-1967</v>
      </c>
      <c r="B3759" s="2" t="str">
        <f>HYPERLINK("https://rth.dk/resources/bsgatlas/details.php?id=BSGatlas-gene-4079","BSGatlas-gene-4079")</f>
        <v>BSGatlas-gene-4079</v>
      </c>
      <c r="C3759" s="1" t="s">
        <v>3720</v>
      </c>
      <c r="D3759" s="1" t="s">
        <v>8</v>
      </c>
      <c r="E3759" s="3">
        <v>3587551</v>
      </c>
      <c r="F3759" s="3">
        <v>3588192</v>
      </c>
      <c r="G3759" s="1" t="s">
        <v>13</v>
      </c>
      <c r="H3759" s="1" t="b">
        <f t="shared" si="141"/>
        <v>1</v>
      </c>
    </row>
    <row r="3760" spans="1:8" ht="21" x14ac:dyDescent="0.25">
      <c r="A3760" s="2" t="str">
        <f t="shared" si="144"/>
        <v>BSGatlas-operon-1967</v>
      </c>
      <c r="B3760" s="2" t="str">
        <f>HYPERLINK("https://rth.dk/resources/bsgatlas/details.php?id=BSGatlas-gene-4080","BSGatlas-gene-4080")</f>
        <v>BSGatlas-gene-4080</v>
      </c>
      <c r="C3760" s="1" t="s">
        <v>3721</v>
      </c>
      <c r="D3760" s="1" t="s">
        <v>8</v>
      </c>
      <c r="E3760" s="3">
        <v>3588185</v>
      </c>
      <c r="F3760" s="3">
        <v>3589360</v>
      </c>
      <c r="G3760" s="1" t="s">
        <v>13</v>
      </c>
      <c r="H3760" s="1" t="b">
        <f t="shared" si="141"/>
        <v>1</v>
      </c>
    </row>
    <row r="3761" spans="1:8" ht="21" x14ac:dyDescent="0.25">
      <c r="A3761" s="2" t="str">
        <f>HYPERLINK("https://rth.dk/resources/bsgatlas/details.php?id=BSGatlas-operon-1968","BSGatlas-operon-1968")</f>
        <v>BSGatlas-operon-1968</v>
      </c>
      <c r="B3761" s="2" t="str">
        <f>HYPERLINK("https://rth.dk/resources/bsgatlas/details.php?id=BSGatlas-gene-4081","BSGatlas-gene-4081")</f>
        <v>BSGatlas-gene-4081</v>
      </c>
      <c r="C3761" s="1" t="s">
        <v>3722</v>
      </c>
      <c r="D3761" s="1" t="s">
        <v>8</v>
      </c>
      <c r="E3761" s="3">
        <v>3589611</v>
      </c>
      <c r="F3761" s="3">
        <v>3590363</v>
      </c>
      <c r="G3761" s="1" t="s">
        <v>9</v>
      </c>
      <c r="H3761" s="1" t="b">
        <f t="shared" si="141"/>
        <v>0</v>
      </c>
    </row>
    <row r="3762" spans="1:8" ht="21" x14ac:dyDescent="0.25">
      <c r="A3762" s="2" t="str">
        <f>HYPERLINK("https://rth.dk/resources/bsgatlas/details.php?id=BSGatlas-operon-1968","BSGatlas-operon-1968")</f>
        <v>BSGatlas-operon-1968</v>
      </c>
      <c r="B3762" s="2" t="str">
        <f>HYPERLINK("https://rth.dk/resources/bsgatlas/details.php?id=BSGatlas-gene-4082","BSGatlas-gene-4082")</f>
        <v>BSGatlas-gene-4082</v>
      </c>
      <c r="C3762" s="1" t="s">
        <v>3723</v>
      </c>
      <c r="D3762" s="1" t="s">
        <v>8</v>
      </c>
      <c r="E3762" s="3">
        <v>3590603</v>
      </c>
      <c r="F3762" s="3">
        <v>3591268</v>
      </c>
      <c r="G3762" s="1" t="s">
        <v>9</v>
      </c>
      <c r="H3762" s="1" t="b">
        <f t="shared" si="141"/>
        <v>0</v>
      </c>
    </row>
    <row r="3763" spans="1:8" ht="21" x14ac:dyDescent="0.25">
      <c r="A3763" s="2" t="str">
        <f>HYPERLINK("https://rth.dk/resources/bsgatlas/details.php?id=BSGatlas-operon-1969","BSGatlas-operon-1969")</f>
        <v>BSGatlas-operon-1969</v>
      </c>
      <c r="B3763" s="2" t="str">
        <f>HYPERLINK("https://rth.dk/resources/bsgatlas/details.php?id=BSGatlas-gene-4083","BSGatlas-gene-4083")</f>
        <v>BSGatlas-gene-4083</v>
      </c>
      <c r="C3763" s="1" t="s">
        <v>3724</v>
      </c>
      <c r="D3763" s="1" t="s">
        <v>8</v>
      </c>
      <c r="E3763" s="3">
        <v>3591288</v>
      </c>
      <c r="F3763" s="3">
        <v>3591806</v>
      </c>
      <c r="G3763" s="1" t="s">
        <v>13</v>
      </c>
      <c r="H3763" s="1" t="b">
        <f t="shared" si="141"/>
        <v>1</v>
      </c>
    </row>
    <row r="3764" spans="1:8" ht="21" x14ac:dyDescent="0.25">
      <c r="A3764" s="2" t="str">
        <f>HYPERLINK("https://rth.dk/resources/bsgatlas/details.php?id=BSGatlas-operon-1969","BSGatlas-operon-1969")</f>
        <v>BSGatlas-operon-1969</v>
      </c>
      <c r="B3764" s="2" t="str">
        <f>HYPERLINK("https://rth.dk/resources/bsgatlas/details.php?id=BSGatlas-gene-4084","BSGatlas-gene-4084")</f>
        <v>BSGatlas-gene-4084</v>
      </c>
      <c r="C3764" s="1" t="s">
        <v>3725</v>
      </c>
      <c r="D3764" s="1" t="s">
        <v>8</v>
      </c>
      <c r="E3764" s="3">
        <v>3591810</v>
      </c>
      <c r="F3764" s="3">
        <v>3592460</v>
      </c>
      <c r="G3764" s="1" t="s">
        <v>13</v>
      </c>
      <c r="H3764" s="1" t="b">
        <f t="shared" si="141"/>
        <v>1</v>
      </c>
    </row>
    <row r="3765" spans="1:8" ht="21" x14ac:dyDescent="0.25">
      <c r="A3765" s="2" t="str">
        <f>HYPERLINK("https://rth.dk/resources/bsgatlas/details.php?id=BSGatlas-operon-1969","BSGatlas-operon-1969")</f>
        <v>BSGatlas-operon-1969</v>
      </c>
      <c r="B3765" s="2" t="str">
        <f>HYPERLINK("https://rth.dk/resources/bsgatlas/details.php?id=BSGatlas-gene-4085","BSGatlas-gene-4085")</f>
        <v>BSGatlas-gene-4085</v>
      </c>
      <c r="C3765" s="1" t="s">
        <v>3726</v>
      </c>
      <c r="D3765" s="1" t="s">
        <v>8</v>
      </c>
      <c r="E3765" s="3">
        <v>3592457</v>
      </c>
      <c r="F3765" s="3">
        <v>3593395</v>
      </c>
      <c r="G3765" s="1" t="s">
        <v>13</v>
      </c>
      <c r="H3765" s="1" t="b">
        <f t="shared" si="141"/>
        <v>1</v>
      </c>
    </row>
    <row r="3766" spans="1:8" ht="21" x14ac:dyDescent="0.25">
      <c r="A3766" s="2" t="str">
        <f>HYPERLINK("https://rth.dk/resources/bsgatlas/details.php?id=BSGatlas-operon-1969","BSGatlas-operon-1969")</f>
        <v>BSGatlas-operon-1969</v>
      </c>
      <c r="B3766" s="2" t="str">
        <f>HYPERLINK("https://rth.dk/resources/bsgatlas/details.php?id=BSGatlas-gene-4086","BSGatlas-gene-4086")</f>
        <v>BSGatlas-gene-4086</v>
      </c>
      <c r="C3766" s="1" t="s">
        <v>3727</v>
      </c>
      <c r="D3766" s="1" t="s">
        <v>8</v>
      </c>
      <c r="E3766" s="3">
        <v>3593419</v>
      </c>
      <c r="F3766" s="3">
        <v>3594228</v>
      </c>
      <c r="G3766" s="1" t="s">
        <v>13</v>
      </c>
      <c r="H3766" s="1" t="b">
        <f t="shared" si="141"/>
        <v>1</v>
      </c>
    </row>
    <row r="3767" spans="1:8" ht="21" x14ac:dyDescent="0.25">
      <c r="A3767" s="2" t="str">
        <f>HYPERLINK("https://rth.dk/resources/bsgatlas/details.php?id=BSGatlas-operon-1969","BSGatlas-operon-1969")</f>
        <v>BSGatlas-operon-1969</v>
      </c>
      <c r="B3767" s="2" t="str">
        <f>HYPERLINK("https://rth.dk/resources/bsgatlas/details.php?id=BSGatlas-gene-4087","BSGatlas-gene-4087")</f>
        <v>BSGatlas-gene-4087</v>
      </c>
      <c r="C3767" s="1" t="s">
        <v>3728</v>
      </c>
      <c r="D3767" s="1" t="s">
        <v>8</v>
      </c>
      <c r="E3767" s="3">
        <v>3594242</v>
      </c>
      <c r="F3767" s="3">
        <v>3595174</v>
      </c>
      <c r="G3767" s="1" t="s">
        <v>13</v>
      </c>
      <c r="H3767" s="1" t="b">
        <f t="shared" si="141"/>
        <v>1</v>
      </c>
    </row>
    <row r="3768" spans="1:8" ht="21" x14ac:dyDescent="0.25">
      <c r="A3768" s="2" t="str">
        <f>HYPERLINK("https://rth.dk/resources/bsgatlas/details.php?id=BSGatlas-operon-1970","BSGatlas-operon-1970")</f>
        <v>BSGatlas-operon-1970</v>
      </c>
      <c r="B3768" s="2" t="str">
        <f>HYPERLINK("https://rth.dk/resources/bsgatlas/details.php?id=BSGatlas-gene-4088","BSGatlas-gene-4088")</f>
        <v>BSGatlas-gene-4088</v>
      </c>
      <c r="C3768" s="1" t="s">
        <v>3729</v>
      </c>
      <c r="D3768" s="1" t="s">
        <v>8</v>
      </c>
      <c r="E3768" s="3">
        <v>3595356</v>
      </c>
      <c r="F3768" s="3">
        <v>3596546</v>
      </c>
      <c r="G3768" s="1" t="s">
        <v>9</v>
      </c>
      <c r="H3768" s="1" t="b">
        <f t="shared" si="141"/>
        <v>0</v>
      </c>
    </row>
    <row r="3769" spans="1:8" ht="21" x14ac:dyDescent="0.25">
      <c r="A3769" s="2" t="str">
        <f>HYPERLINK("https://rth.dk/resources/bsgatlas/details.php?id=BSGatlas-operon-1970","BSGatlas-operon-1970")</f>
        <v>BSGatlas-operon-1970</v>
      </c>
      <c r="B3769" s="2" t="str">
        <f>HYPERLINK("https://rth.dk/resources/bsgatlas/details.php?id=BSGatlas-gene-4089","BSGatlas-gene-4089")</f>
        <v>BSGatlas-gene-4089</v>
      </c>
      <c r="C3769" s="1" t="s">
        <v>3730</v>
      </c>
      <c r="D3769" s="1" t="s">
        <v>8</v>
      </c>
      <c r="E3769" s="3">
        <v>3596543</v>
      </c>
      <c r="F3769" s="3">
        <v>3597271</v>
      </c>
      <c r="G3769" s="1" t="s">
        <v>9</v>
      </c>
      <c r="H3769" s="1" t="b">
        <f t="shared" si="141"/>
        <v>0</v>
      </c>
    </row>
    <row r="3770" spans="1:8" ht="21" x14ac:dyDescent="0.25">
      <c r="A3770" s="2" t="str">
        <f>HYPERLINK("https://rth.dk/resources/bsgatlas/details.php?id=BSGatlas-operon-1970","BSGatlas-operon-1970")</f>
        <v>BSGatlas-operon-1970</v>
      </c>
      <c r="B3770" s="2" t="str">
        <f>HYPERLINK("https://rth.dk/resources/bsgatlas/details.php?id=BSGatlas-gene-4090","BSGatlas-gene-4090")</f>
        <v>BSGatlas-gene-4090</v>
      </c>
      <c r="C3770" s="1" t="s">
        <v>3731</v>
      </c>
      <c r="D3770" s="1" t="s">
        <v>8</v>
      </c>
      <c r="E3770" s="3">
        <v>3597289</v>
      </c>
      <c r="F3770" s="3">
        <v>3598020</v>
      </c>
      <c r="G3770" s="1" t="s">
        <v>9</v>
      </c>
      <c r="H3770" s="1" t="b">
        <f t="shared" si="141"/>
        <v>0</v>
      </c>
    </row>
    <row r="3771" spans="1:8" ht="21" x14ac:dyDescent="0.25">
      <c r="A3771" s="2" t="str">
        <f>HYPERLINK("https://rth.dk/resources/bsgatlas/details.php?id=BSGatlas-operon-1971","BSGatlas-operon-1971")</f>
        <v>BSGatlas-operon-1971</v>
      </c>
      <c r="B3771" s="2" t="str">
        <f>HYPERLINK("https://rth.dk/resources/bsgatlas/details.php?id=BSGatlas-gene-4091","BSGatlas-gene-4091")</f>
        <v>BSGatlas-gene-4091</v>
      </c>
      <c r="C3771" s="1" t="s">
        <v>3732</v>
      </c>
      <c r="D3771" s="1" t="s">
        <v>8</v>
      </c>
      <c r="E3771" s="3">
        <v>3598040</v>
      </c>
      <c r="F3771" s="3">
        <v>3601909</v>
      </c>
      <c r="G3771" s="1" t="s">
        <v>13</v>
      </c>
      <c r="H3771" s="1" t="b">
        <f t="shared" si="141"/>
        <v>1</v>
      </c>
    </row>
    <row r="3772" spans="1:8" ht="21" x14ac:dyDescent="0.25">
      <c r="A3772" s="2" t="str">
        <f>HYPERLINK("https://rth.dk/resources/bsgatlas/details.php?id=BSGatlas-operon-1972","BSGatlas-operon-1972")</f>
        <v>BSGatlas-operon-1972</v>
      </c>
      <c r="B3772" s="2" t="str">
        <f>HYPERLINK("https://rth.dk/resources/bsgatlas/details.php?id=BSGatlas-gene-4092","BSGatlas-gene-4092")</f>
        <v>BSGatlas-gene-4092</v>
      </c>
      <c r="C3772" s="1" t="s">
        <v>3733</v>
      </c>
      <c r="D3772" s="1" t="s">
        <v>8</v>
      </c>
      <c r="E3772" s="3">
        <v>3602074</v>
      </c>
      <c r="F3772" s="3">
        <v>3602547</v>
      </c>
      <c r="G3772" s="1" t="s">
        <v>9</v>
      </c>
      <c r="H3772" s="1" t="b">
        <f t="shared" si="141"/>
        <v>0</v>
      </c>
    </row>
    <row r="3773" spans="1:8" ht="21" x14ac:dyDescent="0.25">
      <c r="A3773" s="2" t="str">
        <f>HYPERLINK("https://rth.dk/resources/bsgatlas/details.php?id=BSGatlas-operon-1973","BSGatlas-operon-1973")</f>
        <v>BSGatlas-operon-1973</v>
      </c>
      <c r="B3773" s="2" t="str">
        <f>HYPERLINK("https://rth.dk/resources/bsgatlas/details.php?id=BSGatlas-gene-4093","BSGatlas-gene-4093")</f>
        <v>BSGatlas-gene-4093</v>
      </c>
      <c r="C3773" s="1" t="s">
        <v>3734</v>
      </c>
      <c r="D3773" s="1" t="s">
        <v>8</v>
      </c>
      <c r="E3773" s="3">
        <v>3602588</v>
      </c>
      <c r="F3773" s="3">
        <v>3603805</v>
      </c>
      <c r="G3773" s="1" t="s">
        <v>13</v>
      </c>
      <c r="H3773" s="1" t="b">
        <f t="shared" si="141"/>
        <v>1</v>
      </c>
    </row>
    <row r="3774" spans="1:8" ht="21" x14ac:dyDescent="0.25">
      <c r="A3774" s="2" t="str">
        <f>HYPERLINK("https://rth.dk/resources/bsgatlas/details.php?id=BSGatlas-operon-1973","BSGatlas-operon-1973")</f>
        <v>BSGatlas-operon-1973</v>
      </c>
      <c r="B3774" s="2" t="str">
        <f>HYPERLINK("https://rth.dk/resources/bsgatlas/details.php?id=BSGatlas-gene-4095","BSGatlas-gene-4095")</f>
        <v>BSGatlas-gene-4095</v>
      </c>
      <c r="C3774" s="1" t="s">
        <v>3735</v>
      </c>
      <c r="D3774" s="1" t="s">
        <v>8</v>
      </c>
      <c r="E3774" s="3">
        <v>3603821</v>
      </c>
      <c r="F3774" s="3">
        <v>3604567</v>
      </c>
      <c r="G3774" s="1" t="s">
        <v>13</v>
      </c>
      <c r="H3774" s="1" t="b">
        <f t="shared" si="141"/>
        <v>1</v>
      </c>
    </row>
    <row r="3775" spans="1:8" ht="21" x14ac:dyDescent="0.25">
      <c r="A3775" s="2" t="str">
        <f>HYPERLINK("https://rth.dk/resources/bsgatlas/details.php?id=BSGatlas-operon-1974","BSGatlas-operon-1974")</f>
        <v>BSGatlas-operon-1974</v>
      </c>
      <c r="B3775" s="2" t="str">
        <f>HYPERLINK("https://rth.dk/resources/bsgatlas/details.php?id=BSGatlas-gene-4094","BSGatlas-gene-4094")</f>
        <v>BSGatlas-gene-4094</v>
      </c>
      <c r="C3775" s="1" t="s">
        <v>3736</v>
      </c>
      <c r="D3775" s="1" t="s">
        <v>12</v>
      </c>
      <c r="E3775" s="3">
        <v>3602657</v>
      </c>
      <c r="F3775" s="3">
        <v>3602942</v>
      </c>
      <c r="G3775" s="1" t="s">
        <v>9</v>
      </c>
      <c r="H3775" s="1" t="b">
        <f t="shared" si="141"/>
        <v>0</v>
      </c>
    </row>
    <row r="3776" spans="1:8" ht="21" x14ac:dyDescent="0.25">
      <c r="A3776" s="2" t="str">
        <f>HYPERLINK("https://rth.dk/resources/bsgatlas/details.php?id=BSGatlas-operon-1975","BSGatlas-operon-1975")</f>
        <v>BSGatlas-operon-1975</v>
      </c>
      <c r="B3776" s="2" t="str">
        <f>HYPERLINK("https://rth.dk/resources/bsgatlas/details.php?id=BSGatlas-gene-4096","BSGatlas-gene-4096")</f>
        <v>BSGatlas-gene-4096</v>
      </c>
      <c r="C3776" s="1" t="s">
        <v>3737</v>
      </c>
      <c r="D3776" s="1" t="s">
        <v>8</v>
      </c>
      <c r="E3776" s="3">
        <v>3604993</v>
      </c>
      <c r="F3776" s="3">
        <v>3605502</v>
      </c>
      <c r="G3776" s="1" t="s">
        <v>9</v>
      </c>
      <c r="H3776" s="1" t="b">
        <f t="shared" si="141"/>
        <v>1</v>
      </c>
    </row>
    <row r="3777" spans="1:8" ht="21" x14ac:dyDescent="0.25">
      <c r="A3777" s="2" t="str">
        <f>HYPERLINK("https://rth.dk/resources/bsgatlas/details.php?id=BSGatlas-operon-1975","BSGatlas-operon-1975")</f>
        <v>BSGatlas-operon-1975</v>
      </c>
      <c r="B3777" s="2" t="str">
        <f>HYPERLINK("https://rth.dk/resources/bsgatlas/details.php?id=BSGatlas-gene-4097","BSGatlas-gene-4097")</f>
        <v>BSGatlas-gene-4097</v>
      </c>
      <c r="C3777" s="1" t="s">
        <v>3738</v>
      </c>
      <c r="D3777" s="1" t="s">
        <v>8</v>
      </c>
      <c r="E3777" s="3">
        <v>3605523</v>
      </c>
      <c r="F3777" s="3">
        <v>3606734</v>
      </c>
      <c r="G3777" s="1" t="s">
        <v>9</v>
      </c>
      <c r="H3777" s="1" t="b">
        <f t="shared" si="141"/>
        <v>1</v>
      </c>
    </row>
    <row r="3778" spans="1:8" ht="21" x14ac:dyDescent="0.25">
      <c r="A3778" s="2" t="str">
        <f>HYPERLINK("https://rth.dk/resources/bsgatlas/details.php?id=BSGatlas-operon-1976","BSGatlas-operon-1976")</f>
        <v>BSGatlas-operon-1976</v>
      </c>
      <c r="B3778" s="2" t="str">
        <f>HYPERLINK("https://rth.dk/resources/bsgatlas/details.php?id=BSGatlas-gene-4098","BSGatlas-gene-4098")</f>
        <v>BSGatlas-gene-4098</v>
      </c>
      <c r="C3778" s="1" t="s">
        <v>3739</v>
      </c>
      <c r="D3778" s="1" t="s">
        <v>8</v>
      </c>
      <c r="E3778" s="3">
        <v>3606762</v>
      </c>
      <c r="F3778" s="3">
        <v>3607121</v>
      </c>
      <c r="G3778" s="1" t="s">
        <v>13</v>
      </c>
      <c r="H3778" s="1" t="b">
        <f t="shared" ref="H3778:H3841" si="145">_xlfn.XOR(A3777&lt;&gt;A3778,H3777)</f>
        <v>0</v>
      </c>
    </row>
    <row r="3779" spans="1:8" ht="21" x14ac:dyDescent="0.25">
      <c r="A3779" s="2" t="str">
        <f>HYPERLINK("https://rth.dk/resources/bsgatlas/details.php?id=BSGatlas-operon-1976","BSGatlas-operon-1976")</f>
        <v>BSGatlas-operon-1976</v>
      </c>
      <c r="B3779" s="2" t="str">
        <f>HYPERLINK("https://rth.dk/resources/bsgatlas/details.php?id=BSGatlas-gene-4099","BSGatlas-gene-4099")</f>
        <v>BSGatlas-gene-4099</v>
      </c>
      <c r="C3779" s="1" t="s">
        <v>3740</v>
      </c>
      <c r="D3779" s="1" t="s">
        <v>8</v>
      </c>
      <c r="E3779" s="3">
        <v>3607123</v>
      </c>
      <c r="F3779" s="3">
        <v>3607320</v>
      </c>
      <c r="G3779" s="1" t="s">
        <v>13</v>
      </c>
      <c r="H3779" s="1" t="b">
        <f t="shared" si="145"/>
        <v>0</v>
      </c>
    </row>
    <row r="3780" spans="1:8" ht="21" x14ac:dyDescent="0.25">
      <c r="A3780" s="2" t="str">
        <f>HYPERLINK("https://rth.dk/resources/bsgatlas/details.php?id=BSGatlas-operon-1976","BSGatlas-operon-1976")</f>
        <v>BSGatlas-operon-1976</v>
      </c>
      <c r="B3780" s="2" t="str">
        <f>HYPERLINK("https://rth.dk/resources/bsgatlas/details.php?id=BSGatlas-gene-4100","BSGatlas-gene-4100")</f>
        <v>BSGatlas-gene-4100</v>
      </c>
      <c r="C3780" s="1" t="s">
        <v>3741</v>
      </c>
      <c r="D3780" s="1" t="s">
        <v>8</v>
      </c>
      <c r="E3780" s="3">
        <v>3607325</v>
      </c>
      <c r="F3780" s="3">
        <v>3608422</v>
      </c>
      <c r="G3780" s="1" t="s">
        <v>13</v>
      </c>
      <c r="H3780" s="1" t="b">
        <f t="shared" si="145"/>
        <v>0</v>
      </c>
    </row>
    <row r="3781" spans="1:8" ht="21" x14ac:dyDescent="0.25">
      <c r="A3781" s="2" t="str">
        <f>HYPERLINK("https://rth.dk/resources/bsgatlas/details.php?id=BSGatlas-operon-1976","BSGatlas-operon-1976")</f>
        <v>BSGatlas-operon-1976</v>
      </c>
      <c r="B3781" s="2" t="str">
        <f>HYPERLINK("https://rth.dk/resources/bsgatlas/details.php?id=BSGatlas-gene-4101","BSGatlas-gene-4101")</f>
        <v>BSGatlas-gene-4101</v>
      </c>
      <c r="C3781" s="1" t="s">
        <v>3742</v>
      </c>
      <c r="D3781" s="1" t="s">
        <v>8</v>
      </c>
      <c r="E3781" s="3">
        <v>3608447</v>
      </c>
      <c r="F3781" s="3">
        <v>3608773</v>
      </c>
      <c r="G3781" s="1" t="s">
        <v>13</v>
      </c>
      <c r="H3781" s="1" t="b">
        <f t="shared" si="145"/>
        <v>0</v>
      </c>
    </row>
    <row r="3782" spans="1:8" ht="21" x14ac:dyDescent="0.25">
      <c r="A3782" s="2" t="str">
        <f>HYPERLINK("https://rth.dk/resources/bsgatlas/details.php?id=BSGatlas-operon-1977","BSGatlas-operon-1977")</f>
        <v>BSGatlas-operon-1977</v>
      </c>
      <c r="B3782" s="2" t="str">
        <f>HYPERLINK("https://rth.dk/resources/bsgatlas/details.php?id=BSGatlas-gene-4102","BSGatlas-gene-4102")</f>
        <v>BSGatlas-gene-4102</v>
      </c>
      <c r="C3782" s="1" t="s">
        <v>3743</v>
      </c>
      <c r="D3782" s="1" t="s">
        <v>8</v>
      </c>
      <c r="E3782" s="3">
        <v>3608991</v>
      </c>
      <c r="F3782" s="3">
        <v>3609221</v>
      </c>
      <c r="G3782" s="1" t="s">
        <v>9</v>
      </c>
      <c r="H3782" s="1" t="b">
        <f t="shared" si="145"/>
        <v>1</v>
      </c>
    </row>
    <row r="3783" spans="1:8" ht="21" x14ac:dyDescent="0.25">
      <c r="A3783" s="2" t="str">
        <f>HYPERLINK("https://rth.dk/resources/bsgatlas/details.php?id=BSGatlas-operon-1978","BSGatlas-operon-1978")</f>
        <v>BSGatlas-operon-1978</v>
      </c>
      <c r="B3783" s="2" t="str">
        <f>HYPERLINK("https://rth.dk/resources/bsgatlas/details.php?id=BSGatlas-gene-4103","BSGatlas-gene-4103")</f>
        <v>BSGatlas-gene-4103</v>
      </c>
      <c r="C3783" s="1" t="s">
        <v>3744</v>
      </c>
      <c r="D3783" s="1" t="s">
        <v>276</v>
      </c>
      <c r="E3783" s="3">
        <v>3609420</v>
      </c>
      <c r="F3783" s="3">
        <v>3609902</v>
      </c>
      <c r="G3783" s="1" t="s">
        <v>13</v>
      </c>
      <c r="H3783" s="1" t="b">
        <f t="shared" si="145"/>
        <v>0</v>
      </c>
    </row>
    <row r="3784" spans="1:8" ht="21" x14ac:dyDescent="0.25">
      <c r="A3784" s="2" t="str">
        <f>HYPERLINK("https://rth.dk/resources/bsgatlas/details.php?id=BSGatlas-operon-1979","BSGatlas-operon-1979")</f>
        <v>BSGatlas-operon-1979</v>
      </c>
      <c r="B3784" s="2" t="str">
        <f>HYPERLINK("https://rth.dk/resources/bsgatlas/details.php?id=BSGatlas-gene-4104","BSGatlas-gene-4104")</f>
        <v>BSGatlas-gene-4104</v>
      </c>
      <c r="C3784" s="1" t="s">
        <v>3745</v>
      </c>
      <c r="D3784" s="1" t="s">
        <v>8</v>
      </c>
      <c r="E3784" s="3">
        <v>3610064</v>
      </c>
      <c r="F3784" s="3">
        <v>3612937</v>
      </c>
      <c r="G3784" s="1" t="s">
        <v>13</v>
      </c>
      <c r="H3784" s="1" t="b">
        <f t="shared" si="145"/>
        <v>1</v>
      </c>
    </row>
    <row r="3785" spans="1:8" ht="21" x14ac:dyDescent="0.25">
      <c r="A3785" s="2" t="str">
        <f>HYPERLINK("https://rth.dk/resources/bsgatlas/details.php?id=BSGatlas-operon-1979","BSGatlas-operon-1979")</f>
        <v>BSGatlas-operon-1979</v>
      </c>
      <c r="B3785" s="2" t="str">
        <f>HYPERLINK("https://rth.dk/resources/bsgatlas/details.php?id=BSGatlas-gene-4105","BSGatlas-gene-4105")</f>
        <v>BSGatlas-gene-4105</v>
      </c>
      <c r="C3785" s="1" t="s">
        <v>3746</v>
      </c>
      <c r="D3785" s="1" t="s">
        <v>8</v>
      </c>
      <c r="E3785" s="3">
        <v>3612945</v>
      </c>
      <c r="F3785" s="3">
        <v>3614930</v>
      </c>
      <c r="G3785" s="1" t="s">
        <v>13</v>
      </c>
      <c r="H3785" s="1" t="b">
        <f t="shared" si="145"/>
        <v>1</v>
      </c>
    </row>
    <row r="3786" spans="1:8" ht="21" x14ac:dyDescent="0.25">
      <c r="A3786" s="2" t="str">
        <f>HYPERLINK("https://rth.dk/resources/bsgatlas/details.php?id=BSGatlas-operon-1980","BSGatlas-operon-1980")</f>
        <v>BSGatlas-operon-1980</v>
      </c>
      <c r="B3786" s="2" t="str">
        <f>HYPERLINK("https://rth.dk/resources/bsgatlas/details.php?id=BSGatlas-gene-4106","BSGatlas-gene-4106")</f>
        <v>BSGatlas-gene-4106</v>
      </c>
      <c r="C3786" s="1" t="s">
        <v>3747</v>
      </c>
      <c r="D3786" s="1" t="s">
        <v>8</v>
      </c>
      <c r="E3786" s="3">
        <v>3615116</v>
      </c>
      <c r="F3786" s="3">
        <v>3615346</v>
      </c>
      <c r="G3786" s="1" t="s">
        <v>13</v>
      </c>
      <c r="H3786" s="1" t="b">
        <f t="shared" si="145"/>
        <v>0</v>
      </c>
    </row>
    <row r="3787" spans="1:8" ht="21" x14ac:dyDescent="0.25">
      <c r="A3787" s="2" t="str">
        <f>HYPERLINK("https://rth.dk/resources/bsgatlas/details.php?id=BSGatlas-operon-1981","BSGatlas-operon-1981")</f>
        <v>BSGatlas-operon-1981</v>
      </c>
      <c r="B3787" s="2" t="str">
        <f>HYPERLINK("https://rth.dk/resources/bsgatlas/details.php?id=BSGatlas-gene-4107","BSGatlas-gene-4107")</f>
        <v>BSGatlas-gene-4107</v>
      </c>
      <c r="C3787" s="1" t="s">
        <v>3748</v>
      </c>
      <c r="D3787" s="1" t="s">
        <v>8</v>
      </c>
      <c r="E3787" s="3">
        <v>3615793</v>
      </c>
      <c r="F3787" s="3">
        <v>3618288</v>
      </c>
      <c r="G3787" s="1" t="s">
        <v>9</v>
      </c>
      <c r="H3787" s="1" t="b">
        <f t="shared" si="145"/>
        <v>1</v>
      </c>
    </row>
    <row r="3788" spans="1:8" ht="21" x14ac:dyDescent="0.25">
      <c r="A3788" s="2" t="str">
        <f>HYPERLINK("https://rth.dk/resources/bsgatlas/details.php?id=BSGatlas-operon-1981","BSGatlas-operon-1981")</f>
        <v>BSGatlas-operon-1981</v>
      </c>
      <c r="B3788" s="2" t="str">
        <f>HYPERLINK("https://rth.dk/resources/bsgatlas/details.php?id=BSGatlas-gene-4108","BSGatlas-gene-4108")</f>
        <v>BSGatlas-gene-4108</v>
      </c>
      <c r="C3788" s="1" t="s">
        <v>3749</v>
      </c>
      <c r="D3788" s="1" t="s">
        <v>8</v>
      </c>
      <c r="E3788" s="3">
        <v>3618364</v>
      </c>
      <c r="F3788" s="3">
        <v>3618933</v>
      </c>
      <c r="G3788" s="1" t="s">
        <v>9</v>
      </c>
      <c r="H3788" s="1" t="b">
        <f t="shared" si="145"/>
        <v>1</v>
      </c>
    </row>
    <row r="3789" spans="1:8" ht="21" x14ac:dyDescent="0.25">
      <c r="A3789" s="2" t="str">
        <f>HYPERLINK("https://rth.dk/resources/bsgatlas/details.php?id=BSGatlas-operon-1981","BSGatlas-operon-1981")</f>
        <v>BSGatlas-operon-1981</v>
      </c>
      <c r="B3789" s="2" t="str">
        <f>HYPERLINK("https://rth.dk/resources/bsgatlas/details.php?id=BSGatlas-gene-4109","BSGatlas-gene-4109")</f>
        <v>BSGatlas-gene-4109</v>
      </c>
      <c r="C3789" s="1" t="s">
        <v>3750</v>
      </c>
      <c r="D3789" s="1" t="s">
        <v>8</v>
      </c>
      <c r="E3789" s="3">
        <v>3618964</v>
      </c>
      <c r="F3789" s="3">
        <v>3620298</v>
      </c>
      <c r="G3789" s="1" t="s">
        <v>9</v>
      </c>
      <c r="H3789" s="1" t="b">
        <f t="shared" si="145"/>
        <v>1</v>
      </c>
    </row>
    <row r="3790" spans="1:8" ht="21" x14ac:dyDescent="0.25">
      <c r="A3790" s="2" t="str">
        <f>HYPERLINK("https://rth.dk/resources/bsgatlas/details.php?id=BSGatlas-operon-1982","BSGatlas-operon-1982")</f>
        <v>BSGatlas-operon-1982</v>
      </c>
      <c r="B3790" s="2" t="str">
        <f>HYPERLINK("https://rth.dk/resources/bsgatlas/details.php?id=BSGatlas-gene-4110","BSGatlas-gene-4110")</f>
        <v>BSGatlas-gene-4110</v>
      </c>
      <c r="C3790" s="1" t="s">
        <v>3751</v>
      </c>
      <c r="D3790" s="1" t="s">
        <v>8</v>
      </c>
      <c r="E3790" s="3">
        <v>3620346</v>
      </c>
      <c r="F3790" s="3">
        <v>3621539</v>
      </c>
      <c r="G3790" s="1" t="s">
        <v>13</v>
      </c>
      <c r="H3790" s="1" t="b">
        <f t="shared" si="145"/>
        <v>0</v>
      </c>
    </row>
    <row r="3791" spans="1:8" ht="21" x14ac:dyDescent="0.25">
      <c r="A3791" s="2" t="str">
        <f>HYPERLINK("https://rth.dk/resources/bsgatlas/details.php?id=BSGatlas-operon-1982","BSGatlas-operon-1982")</f>
        <v>BSGatlas-operon-1982</v>
      </c>
      <c r="B3791" s="2" t="str">
        <f>HYPERLINK("https://rth.dk/resources/bsgatlas/details.php?id=BSGatlas-gene-4111","BSGatlas-gene-4111")</f>
        <v>BSGatlas-gene-4111</v>
      </c>
      <c r="C3791" s="1" t="s">
        <v>3752</v>
      </c>
      <c r="D3791" s="1" t="s">
        <v>276</v>
      </c>
      <c r="E3791" s="3">
        <v>3621618</v>
      </c>
      <c r="F3791" s="3">
        <v>3621956</v>
      </c>
      <c r="G3791" s="1" t="s">
        <v>13</v>
      </c>
      <c r="H3791" s="1" t="b">
        <f t="shared" si="145"/>
        <v>0</v>
      </c>
    </row>
    <row r="3792" spans="1:8" ht="21" x14ac:dyDescent="0.25">
      <c r="A3792" s="2" t="str">
        <f>HYPERLINK("https://rth.dk/resources/bsgatlas/details.php?id=BSGatlas-operon-1982","BSGatlas-operon-1982")</f>
        <v>BSGatlas-operon-1982</v>
      </c>
      <c r="B3792" s="2" t="str">
        <f>HYPERLINK("https://rth.dk/resources/bsgatlas/details.php?id=BSGatlas-gene-4112","BSGatlas-gene-4112")</f>
        <v>BSGatlas-gene-4112</v>
      </c>
      <c r="C3792" s="1" t="s">
        <v>3753</v>
      </c>
      <c r="D3792" s="1" t="s">
        <v>276</v>
      </c>
      <c r="E3792" s="3">
        <v>3621931</v>
      </c>
      <c r="F3792" s="3">
        <v>3622047</v>
      </c>
      <c r="G3792" s="1" t="s">
        <v>13</v>
      </c>
      <c r="H3792" s="1" t="b">
        <f t="shared" si="145"/>
        <v>0</v>
      </c>
    </row>
    <row r="3793" spans="1:8" ht="21" x14ac:dyDescent="0.25">
      <c r="A3793" s="2" t="str">
        <f>HYPERLINK("https://rth.dk/resources/bsgatlas/details.php?id=BSGatlas-operon-1983","BSGatlas-operon-1983")</f>
        <v>BSGatlas-operon-1983</v>
      </c>
      <c r="B3793" s="2" t="str">
        <f>HYPERLINK("https://rth.dk/resources/bsgatlas/details.php?id=BSGatlas-gene-4113","BSGatlas-gene-4113")</f>
        <v>BSGatlas-gene-4113</v>
      </c>
      <c r="C3793" s="1" t="s">
        <v>3754</v>
      </c>
      <c r="D3793" s="1" t="s">
        <v>8</v>
      </c>
      <c r="E3793" s="3">
        <v>3622356</v>
      </c>
      <c r="F3793" s="3">
        <v>3623798</v>
      </c>
      <c r="G3793" s="1" t="s">
        <v>13</v>
      </c>
      <c r="H3793" s="1" t="b">
        <f t="shared" si="145"/>
        <v>1</v>
      </c>
    </row>
    <row r="3794" spans="1:8" ht="21" x14ac:dyDescent="0.25">
      <c r="A3794" s="2" t="str">
        <f>HYPERLINK("https://rth.dk/resources/bsgatlas/details.php?id=BSGatlas-operon-1984","BSGatlas-operon-1984")</f>
        <v>BSGatlas-operon-1984</v>
      </c>
      <c r="B3794" s="2" t="str">
        <f>HYPERLINK("https://rth.dk/resources/bsgatlas/details.php?id=BSGatlas-gene-4114","BSGatlas-gene-4114")</f>
        <v>BSGatlas-gene-4114</v>
      </c>
      <c r="C3794" s="1" t="s">
        <v>3755</v>
      </c>
      <c r="D3794" s="1" t="s">
        <v>8</v>
      </c>
      <c r="E3794" s="3">
        <v>3623938</v>
      </c>
      <c r="F3794" s="3">
        <v>3624828</v>
      </c>
      <c r="G3794" s="1" t="s">
        <v>13</v>
      </c>
      <c r="H3794" s="1" t="b">
        <f t="shared" si="145"/>
        <v>0</v>
      </c>
    </row>
    <row r="3795" spans="1:8" ht="21" x14ac:dyDescent="0.25">
      <c r="A3795" s="2" t="str">
        <f>HYPERLINK("https://rth.dk/resources/bsgatlas/details.php?id=BSGatlas-operon-1984","BSGatlas-operon-1984")</f>
        <v>BSGatlas-operon-1984</v>
      </c>
      <c r="B3795" s="2" t="str">
        <f>HYPERLINK("https://rth.dk/resources/bsgatlas/details.php?id=BSGatlas-gene-4115","BSGatlas-gene-4115")</f>
        <v>BSGatlas-gene-4115</v>
      </c>
      <c r="C3795" s="1" t="s">
        <v>3756</v>
      </c>
      <c r="D3795" s="1" t="s">
        <v>8</v>
      </c>
      <c r="E3795" s="3">
        <v>3624821</v>
      </c>
      <c r="F3795" s="3">
        <v>3625507</v>
      </c>
      <c r="G3795" s="1" t="s">
        <v>13</v>
      </c>
      <c r="H3795" s="1" t="b">
        <f t="shared" si="145"/>
        <v>0</v>
      </c>
    </row>
    <row r="3796" spans="1:8" ht="21" x14ac:dyDescent="0.25">
      <c r="A3796" s="2" t="str">
        <f>HYPERLINK("https://rth.dk/resources/bsgatlas/details.php?id=BSGatlas-operon-1985","BSGatlas-operon-1985")</f>
        <v>BSGatlas-operon-1985</v>
      </c>
      <c r="B3796" s="2" t="str">
        <f>HYPERLINK("https://rth.dk/resources/bsgatlas/details.php?id=BSGatlas-gene-4116","BSGatlas-gene-4116")</f>
        <v>BSGatlas-gene-4116</v>
      </c>
      <c r="C3796" s="1" t="s">
        <v>3757</v>
      </c>
      <c r="D3796" s="1" t="s">
        <v>12</v>
      </c>
      <c r="E3796" s="3">
        <v>3625573</v>
      </c>
      <c r="F3796" s="3">
        <v>3625632</v>
      </c>
      <c r="G3796" s="1" t="s">
        <v>13</v>
      </c>
      <c r="H3796" s="1" t="b">
        <f t="shared" si="145"/>
        <v>1</v>
      </c>
    </row>
    <row r="3797" spans="1:8" ht="21" x14ac:dyDescent="0.25">
      <c r="A3797" s="2" t="str">
        <f>HYPERLINK("https://rth.dk/resources/bsgatlas/details.php?id=BSGatlas-operon-1986","BSGatlas-operon-1986")</f>
        <v>BSGatlas-operon-1986</v>
      </c>
      <c r="B3797" s="2" t="str">
        <f>HYPERLINK("https://rth.dk/resources/bsgatlas/details.php?id=BSGatlas-gene-4117","BSGatlas-gene-4117")</f>
        <v>BSGatlas-gene-4117</v>
      </c>
      <c r="C3797" s="1" t="s">
        <v>3758</v>
      </c>
      <c r="D3797" s="1" t="s">
        <v>8</v>
      </c>
      <c r="E3797" s="3">
        <v>3625741</v>
      </c>
      <c r="F3797" s="3">
        <v>3626079</v>
      </c>
      <c r="G3797" s="1" t="s">
        <v>13</v>
      </c>
      <c r="H3797" s="1" t="b">
        <f t="shared" si="145"/>
        <v>0</v>
      </c>
    </row>
    <row r="3798" spans="1:8" ht="21" x14ac:dyDescent="0.25">
      <c r="A3798" s="2" t="str">
        <f>HYPERLINK("https://rth.dk/resources/bsgatlas/details.php?id=BSGatlas-operon-1986","BSGatlas-operon-1986")</f>
        <v>BSGatlas-operon-1986</v>
      </c>
      <c r="B3798" s="2" t="str">
        <f>HYPERLINK("https://rth.dk/resources/bsgatlas/details.php?id=BSGatlas-gene-4118","BSGatlas-gene-4118")</f>
        <v>BSGatlas-gene-4118</v>
      </c>
      <c r="C3798" s="1" t="s">
        <v>3759</v>
      </c>
      <c r="D3798" s="1" t="s">
        <v>8</v>
      </c>
      <c r="E3798" s="3">
        <v>3626128</v>
      </c>
      <c r="F3798" s="3">
        <v>3627012</v>
      </c>
      <c r="G3798" s="1" t="s">
        <v>13</v>
      </c>
      <c r="H3798" s="1" t="b">
        <f t="shared" si="145"/>
        <v>0</v>
      </c>
    </row>
    <row r="3799" spans="1:8" ht="21" x14ac:dyDescent="0.25">
      <c r="A3799" s="2" t="str">
        <f>HYPERLINK("https://rth.dk/resources/bsgatlas/details.php?id=BSGatlas-operon-1987","BSGatlas-operon-1987")</f>
        <v>BSGatlas-operon-1987</v>
      </c>
      <c r="B3799" s="2" t="str">
        <f>HYPERLINK("https://rth.dk/resources/bsgatlas/details.php?id=BSGatlas-gene-4119","BSGatlas-gene-4119")</f>
        <v>BSGatlas-gene-4119</v>
      </c>
      <c r="C3799" s="1" t="s">
        <v>3760</v>
      </c>
      <c r="D3799" s="1" t="s">
        <v>8</v>
      </c>
      <c r="E3799" s="3">
        <v>3627139</v>
      </c>
      <c r="F3799" s="3">
        <v>3628240</v>
      </c>
      <c r="G3799" s="1" t="s">
        <v>13</v>
      </c>
      <c r="H3799" s="1" t="b">
        <f t="shared" si="145"/>
        <v>1</v>
      </c>
    </row>
    <row r="3800" spans="1:8" ht="21" x14ac:dyDescent="0.25">
      <c r="A3800" s="2" t="str">
        <f>HYPERLINK("https://rth.dk/resources/bsgatlas/details.php?id=BSGatlas-operon-1987","BSGatlas-operon-1987")</f>
        <v>BSGatlas-operon-1987</v>
      </c>
      <c r="B3800" s="2" t="str">
        <f>HYPERLINK("https://rth.dk/resources/bsgatlas/details.php?id=BSGatlas-gene-4120","BSGatlas-gene-4120")</f>
        <v>BSGatlas-gene-4120</v>
      </c>
      <c r="C3800" s="1" t="s">
        <v>3761</v>
      </c>
      <c r="D3800" s="1" t="s">
        <v>8</v>
      </c>
      <c r="E3800" s="3">
        <v>3628310</v>
      </c>
      <c r="F3800" s="3">
        <v>3630835</v>
      </c>
      <c r="G3800" s="1" t="s">
        <v>13</v>
      </c>
      <c r="H3800" s="1" t="b">
        <f t="shared" si="145"/>
        <v>1</v>
      </c>
    </row>
    <row r="3801" spans="1:8" ht="21" x14ac:dyDescent="0.25">
      <c r="A3801" s="2" t="str">
        <f t="shared" ref="A3801:A3807" si="146">HYPERLINK("https://rth.dk/resources/bsgatlas/details.php?id=BSGatlas-operon-1988","BSGatlas-operon-1988")</f>
        <v>BSGatlas-operon-1988</v>
      </c>
      <c r="B3801" s="2" t="str">
        <f>HYPERLINK("https://rth.dk/resources/bsgatlas/details.php?id=BSGatlas-gene-4121","BSGatlas-gene-4121")</f>
        <v>BSGatlas-gene-4121</v>
      </c>
      <c r="C3801" s="1" t="s">
        <v>3762</v>
      </c>
      <c r="D3801" s="1" t="s">
        <v>8</v>
      </c>
      <c r="E3801" s="3">
        <v>3631003</v>
      </c>
      <c r="F3801" s="3">
        <v>3631572</v>
      </c>
      <c r="G3801" s="1" t="s">
        <v>13</v>
      </c>
      <c r="H3801" s="1" t="b">
        <f t="shared" si="145"/>
        <v>0</v>
      </c>
    </row>
    <row r="3802" spans="1:8" ht="21" x14ac:dyDescent="0.25">
      <c r="A3802" s="2" t="str">
        <f t="shared" si="146"/>
        <v>BSGatlas-operon-1988</v>
      </c>
      <c r="B3802" s="2" t="str">
        <f>HYPERLINK("https://rth.dk/resources/bsgatlas/details.php?id=BSGatlas-gene-4122","BSGatlas-gene-4122")</f>
        <v>BSGatlas-gene-4122</v>
      </c>
      <c r="C3802" s="1" t="s">
        <v>3763</v>
      </c>
      <c r="D3802" s="1" t="s">
        <v>12</v>
      </c>
      <c r="E3802" s="3">
        <v>3631679</v>
      </c>
      <c r="F3802" s="3">
        <v>3631755</v>
      </c>
      <c r="G3802" s="1" t="s">
        <v>13</v>
      </c>
      <c r="H3802" s="1" t="b">
        <f t="shared" si="145"/>
        <v>0</v>
      </c>
    </row>
    <row r="3803" spans="1:8" ht="21" x14ac:dyDescent="0.25">
      <c r="A3803" s="2" t="str">
        <f t="shared" si="146"/>
        <v>BSGatlas-operon-1988</v>
      </c>
      <c r="B3803" s="2" t="str">
        <f>HYPERLINK("https://rth.dk/resources/bsgatlas/details.php?id=BSGatlas-gene-4123","BSGatlas-gene-4123")</f>
        <v>BSGatlas-gene-4123</v>
      </c>
      <c r="C3803" s="1" t="s">
        <v>3764</v>
      </c>
      <c r="D3803" s="1" t="s">
        <v>8</v>
      </c>
      <c r="E3803" s="3">
        <v>3631763</v>
      </c>
      <c r="F3803" s="3">
        <v>3632140</v>
      </c>
      <c r="G3803" s="1" t="s">
        <v>13</v>
      </c>
      <c r="H3803" s="1" t="b">
        <f t="shared" si="145"/>
        <v>0</v>
      </c>
    </row>
    <row r="3804" spans="1:8" ht="21" x14ac:dyDescent="0.25">
      <c r="A3804" s="2" t="str">
        <f t="shared" si="146"/>
        <v>BSGatlas-operon-1988</v>
      </c>
      <c r="B3804" s="2" t="str">
        <f>HYPERLINK("https://rth.dk/resources/bsgatlas/details.php?id=BSGatlas-gene-4124","BSGatlas-gene-4124")</f>
        <v>BSGatlas-gene-4124</v>
      </c>
      <c r="C3804" s="1" t="s">
        <v>3765</v>
      </c>
      <c r="D3804" s="1" t="s">
        <v>8</v>
      </c>
      <c r="E3804" s="3">
        <v>3632150</v>
      </c>
      <c r="F3804" s="3">
        <v>3632491</v>
      </c>
      <c r="G3804" s="1" t="s">
        <v>13</v>
      </c>
      <c r="H3804" s="1" t="b">
        <f t="shared" si="145"/>
        <v>0</v>
      </c>
    </row>
    <row r="3805" spans="1:8" ht="21" x14ac:dyDescent="0.25">
      <c r="A3805" s="2" t="str">
        <f t="shared" si="146"/>
        <v>BSGatlas-operon-1988</v>
      </c>
      <c r="B3805" s="2" t="str">
        <f>HYPERLINK("https://rth.dk/resources/bsgatlas/details.php?id=BSGatlas-gene-4125","BSGatlas-gene-4125")</f>
        <v>BSGatlas-gene-4125</v>
      </c>
      <c r="C3805" s="1" t="s">
        <v>3766</v>
      </c>
      <c r="D3805" s="1" t="s">
        <v>8</v>
      </c>
      <c r="E3805" s="3">
        <v>3632488</v>
      </c>
      <c r="F3805" s="3">
        <v>3632889</v>
      </c>
      <c r="G3805" s="1" t="s">
        <v>13</v>
      </c>
      <c r="H3805" s="1" t="b">
        <f t="shared" si="145"/>
        <v>0</v>
      </c>
    </row>
    <row r="3806" spans="1:8" ht="21" x14ac:dyDescent="0.25">
      <c r="A3806" s="2" t="str">
        <f t="shared" si="146"/>
        <v>BSGatlas-operon-1988</v>
      </c>
      <c r="B3806" s="2" t="str">
        <f>HYPERLINK("https://rth.dk/resources/bsgatlas/details.php?id=BSGatlas-gene-4126","BSGatlas-gene-4126")</f>
        <v>BSGatlas-gene-4126</v>
      </c>
      <c r="C3806" s="1" t="s">
        <v>3767</v>
      </c>
      <c r="D3806" s="1" t="s">
        <v>8</v>
      </c>
      <c r="E3806" s="3">
        <v>3632911</v>
      </c>
      <c r="F3806" s="3">
        <v>3634407</v>
      </c>
      <c r="G3806" s="1" t="s">
        <v>13</v>
      </c>
      <c r="H3806" s="1" t="b">
        <f t="shared" si="145"/>
        <v>0</v>
      </c>
    </row>
    <row r="3807" spans="1:8" ht="21" x14ac:dyDescent="0.25">
      <c r="A3807" s="2" t="str">
        <f t="shared" si="146"/>
        <v>BSGatlas-operon-1988</v>
      </c>
      <c r="B3807" s="2" t="str">
        <f>HYPERLINK("https://rth.dk/resources/bsgatlas/details.php?id=BSGatlas-gene-4127","BSGatlas-gene-4127")</f>
        <v>BSGatlas-gene-4127</v>
      </c>
      <c r="C3807" s="1" t="s">
        <v>3768</v>
      </c>
      <c r="D3807" s="1" t="s">
        <v>8</v>
      </c>
      <c r="E3807" s="3">
        <v>3634425</v>
      </c>
      <c r="F3807" s="3">
        <v>3634754</v>
      </c>
      <c r="G3807" s="1" t="s">
        <v>13</v>
      </c>
      <c r="H3807" s="1" t="b">
        <f t="shared" si="145"/>
        <v>0</v>
      </c>
    </row>
    <row r="3808" spans="1:8" ht="21" x14ac:dyDescent="0.25">
      <c r="A3808" s="2" t="str">
        <f>HYPERLINK("https://rth.dk/resources/bsgatlas/details.php?id=BSGatlas-operon-1989","BSGatlas-operon-1989")</f>
        <v>BSGatlas-operon-1989</v>
      </c>
      <c r="B3808" s="2" t="str">
        <f>HYPERLINK("https://rth.dk/resources/bsgatlas/details.php?id=BSGatlas-gene-4128","BSGatlas-gene-4128")</f>
        <v>BSGatlas-gene-4128</v>
      </c>
      <c r="C3808" s="1" t="s">
        <v>3769</v>
      </c>
      <c r="D3808" s="1" t="s">
        <v>8</v>
      </c>
      <c r="E3808" s="3">
        <v>3634987</v>
      </c>
      <c r="F3808" s="3">
        <v>3635901</v>
      </c>
      <c r="G3808" s="1" t="s">
        <v>13</v>
      </c>
      <c r="H3808" s="1" t="b">
        <f t="shared" si="145"/>
        <v>1</v>
      </c>
    </row>
    <row r="3809" spans="1:8" ht="21" x14ac:dyDescent="0.25">
      <c r="A3809" s="2" t="str">
        <f t="shared" ref="A3809:A3819" si="147">HYPERLINK("https://rth.dk/resources/bsgatlas/details.php?id=BSGatlas-operon-1990","BSGatlas-operon-1990")</f>
        <v>BSGatlas-operon-1990</v>
      </c>
      <c r="B3809" s="2" t="str">
        <f>HYPERLINK("https://rth.dk/resources/bsgatlas/details.php?id=BSGatlas-gene-4129","BSGatlas-gene-4129")</f>
        <v>BSGatlas-gene-4129</v>
      </c>
      <c r="C3809" s="1" t="s">
        <v>3770</v>
      </c>
      <c r="D3809" s="1" t="s">
        <v>8</v>
      </c>
      <c r="E3809" s="3">
        <v>3636046</v>
      </c>
      <c r="F3809" s="3">
        <v>3636270</v>
      </c>
      <c r="G3809" s="1" t="s">
        <v>13</v>
      </c>
      <c r="H3809" s="1" t="b">
        <f t="shared" si="145"/>
        <v>0</v>
      </c>
    </row>
    <row r="3810" spans="1:8" ht="21" x14ac:dyDescent="0.25">
      <c r="A3810" s="2" t="str">
        <f t="shared" si="147"/>
        <v>BSGatlas-operon-1990</v>
      </c>
      <c r="B3810" s="2" t="str">
        <f>HYPERLINK("https://rth.dk/resources/bsgatlas/details.php?id=BSGatlas-gene-4130","BSGatlas-gene-4130")</f>
        <v>BSGatlas-gene-4130</v>
      </c>
      <c r="C3810" s="1" t="s">
        <v>3771</v>
      </c>
      <c r="D3810" s="1" t="s">
        <v>8</v>
      </c>
      <c r="E3810" s="3">
        <v>3636264</v>
      </c>
      <c r="F3810" s="3">
        <v>3636695</v>
      </c>
      <c r="G3810" s="1" t="s">
        <v>13</v>
      </c>
      <c r="H3810" s="1" t="b">
        <f t="shared" si="145"/>
        <v>0</v>
      </c>
    </row>
    <row r="3811" spans="1:8" ht="21" x14ac:dyDescent="0.25">
      <c r="A3811" s="2" t="str">
        <f t="shared" si="147"/>
        <v>BSGatlas-operon-1990</v>
      </c>
      <c r="B3811" s="2" t="str">
        <f>HYPERLINK("https://rth.dk/resources/bsgatlas/details.php?id=BSGatlas-gene-4131","BSGatlas-gene-4131")</f>
        <v>BSGatlas-gene-4131</v>
      </c>
      <c r="C3811" s="1" t="s">
        <v>3772</v>
      </c>
      <c r="D3811" s="1" t="s">
        <v>8</v>
      </c>
      <c r="E3811" s="3">
        <v>3636716</v>
      </c>
      <c r="F3811" s="3">
        <v>3637291</v>
      </c>
      <c r="G3811" s="1" t="s">
        <v>13</v>
      </c>
      <c r="H3811" s="1" t="b">
        <f t="shared" si="145"/>
        <v>0</v>
      </c>
    </row>
    <row r="3812" spans="1:8" ht="21" x14ac:dyDescent="0.25">
      <c r="A3812" s="2" t="str">
        <f t="shared" si="147"/>
        <v>BSGatlas-operon-1990</v>
      </c>
      <c r="B3812" s="2" t="str">
        <f>HYPERLINK("https://rth.dk/resources/bsgatlas/details.php?id=BSGatlas-gene-4132","BSGatlas-gene-4132")</f>
        <v>BSGatlas-gene-4132</v>
      </c>
      <c r="C3812" s="1" t="s">
        <v>3773</v>
      </c>
      <c r="D3812" s="1" t="s">
        <v>8</v>
      </c>
      <c r="E3812" s="3">
        <v>3637338</v>
      </c>
      <c r="F3812" s="3">
        <v>3638234</v>
      </c>
      <c r="G3812" s="1" t="s">
        <v>13</v>
      </c>
      <c r="H3812" s="1" t="b">
        <f t="shared" si="145"/>
        <v>0</v>
      </c>
    </row>
    <row r="3813" spans="1:8" ht="21" x14ac:dyDescent="0.25">
      <c r="A3813" s="2" t="str">
        <f t="shared" si="147"/>
        <v>BSGatlas-operon-1990</v>
      </c>
      <c r="B3813" s="2" t="str">
        <f>HYPERLINK("https://rth.dk/resources/bsgatlas/details.php?id=BSGatlas-gene-4133","BSGatlas-gene-4133")</f>
        <v>BSGatlas-gene-4133</v>
      </c>
      <c r="C3813" s="1" t="s">
        <v>3774</v>
      </c>
      <c r="D3813" s="1" t="s">
        <v>8</v>
      </c>
      <c r="E3813" s="3">
        <v>3638245</v>
      </c>
      <c r="F3813" s="3">
        <v>3639768</v>
      </c>
      <c r="G3813" s="1" t="s">
        <v>13</v>
      </c>
      <c r="H3813" s="1" t="b">
        <f t="shared" si="145"/>
        <v>0</v>
      </c>
    </row>
    <row r="3814" spans="1:8" ht="21" x14ac:dyDescent="0.25">
      <c r="A3814" s="2" t="str">
        <f t="shared" si="147"/>
        <v>BSGatlas-operon-1990</v>
      </c>
      <c r="B3814" s="2" t="str">
        <f>HYPERLINK("https://rth.dk/resources/bsgatlas/details.php?id=BSGatlas-gene-4134","BSGatlas-gene-4134")</f>
        <v>BSGatlas-gene-4134</v>
      </c>
      <c r="C3814" s="1" t="s">
        <v>3775</v>
      </c>
      <c r="D3814" s="1" t="s">
        <v>8</v>
      </c>
      <c r="E3814" s="3">
        <v>3639787</v>
      </c>
      <c r="F3814" s="3">
        <v>3640269</v>
      </c>
      <c r="G3814" s="1" t="s">
        <v>13</v>
      </c>
      <c r="H3814" s="1" t="b">
        <f t="shared" si="145"/>
        <v>0</v>
      </c>
    </row>
    <row r="3815" spans="1:8" ht="21" x14ac:dyDescent="0.25">
      <c r="A3815" s="2" t="str">
        <f t="shared" si="147"/>
        <v>BSGatlas-operon-1990</v>
      </c>
      <c r="B3815" s="2" t="str">
        <f>HYPERLINK("https://rth.dk/resources/bsgatlas/details.php?id=BSGatlas-gene-4135","BSGatlas-gene-4135")</f>
        <v>BSGatlas-gene-4135</v>
      </c>
      <c r="C3815" s="1" t="s">
        <v>3776</v>
      </c>
      <c r="D3815" s="1" t="s">
        <v>8</v>
      </c>
      <c r="E3815" s="3">
        <v>3640285</v>
      </c>
      <c r="F3815" s="3">
        <v>3640551</v>
      </c>
      <c r="G3815" s="1" t="s">
        <v>13</v>
      </c>
      <c r="H3815" s="1" t="b">
        <f t="shared" si="145"/>
        <v>0</v>
      </c>
    </row>
    <row r="3816" spans="1:8" ht="21" x14ac:dyDescent="0.25">
      <c r="A3816" s="2" t="str">
        <f t="shared" si="147"/>
        <v>BSGatlas-operon-1990</v>
      </c>
      <c r="B3816" s="2" t="str">
        <f>HYPERLINK("https://rth.dk/resources/bsgatlas/details.php?id=BSGatlas-gene-4136","BSGatlas-gene-4136")</f>
        <v>BSGatlas-gene-4136</v>
      </c>
      <c r="C3816" s="1" t="s">
        <v>3777</v>
      </c>
      <c r="D3816" s="1" t="s">
        <v>8</v>
      </c>
      <c r="E3816" s="3">
        <v>3640632</v>
      </c>
      <c r="F3816" s="3">
        <v>3641051</v>
      </c>
      <c r="G3816" s="1" t="s">
        <v>13</v>
      </c>
      <c r="H3816" s="1" t="b">
        <f t="shared" si="145"/>
        <v>0</v>
      </c>
    </row>
    <row r="3817" spans="1:8" ht="21" x14ac:dyDescent="0.25">
      <c r="A3817" s="2" t="str">
        <f t="shared" si="147"/>
        <v>BSGatlas-operon-1990</v>
      </c>
      <c r="B3817" s="2" t="str">
        <f>HYPERLINK("https://rth.dk/resources/bsgatlas/details.php?id=BSGatlas-gene-4137","BSGatlas-gene-4137")</f>
        <v>BSGatlas-gene-4137</v>
      </c>
      <c r="C3817" s="1" t="s">
        <v>3778</v>
      </c>
      <c r="D3817" s="1" t="s">
        <v>8</v>
      </c>
      <c r="E3817" s="3">
        <v>3641125</v>
      </c>
      <c r="F3817" s="3">
        <v>3641847</v>
      </c>
      <c r="G3817" s="1" t="s">
        <v>13</v>
      </c>
      <c r="H3817" s="1" t="b">
        <f t="shared" si="145"/>
        <v>0</v>
      </c>
    </row>
    <row r="3818" spans="1:8" ht="21" x14ac:dyDescent="0.25">
      <c r="A3818" s="2" t="str">
        <f t="shared" si="147"/>
        <v>BSGatlas-operon-1990</v>
      </c>
      <c r="B3818" s="2" t="str">
        <f>HYPERLINK("https://rth.dk/resources/bsgatlas/details.php?id=BSGatlas-gene-4138","BSGatlas-gene-4138")</f>
        <v>BSGatlas-gene-4138</v>
      </c>
      <c r="C3818" s="1" t="s">
        <v>3779</v>
      </c>
      <c r="D3818" s="1" t="s">
        <v>8</v>
      </c>
      <c r="E3818" s="3">
        <v>3641811</v>
      </c>
      <c r="F3818" s="3">
        <v>3642107</v>
      </c>
      <c r="G3818" s="1" t="s">
        <v>13</v>
      </c>
      <c r="H3818" s="1" t="b">
        <f t="shared" si="145"/>
        <v>0</v>
      </c>
    </row>
    <row r="3819" spans="1:8" ht="21" x14ac:dyDescent="0.25">
      <c r="A3819" s="2" t="str">
        <f t="shared" si="147"/>
        <v>BSGatlas-operon-1990</v>
      </c>
      <c r="B3819" s="2" t="str">
        <f>HYPERLINK("https://rth.dk/resources/bsgatlas/details.php?id=BSGatlas-gene-4139","BSGatlas-gene-4139")</f>
        <v>BSGatlas-gene-4139</v>
      </c>
      <c r="C3819" s="1" t="s">
        <v>3780</v>
      </c>
      <c r="D3819" s="1" t="s">
        <v>8</v>
      </c>
      <c r="E3819" s="3">
        <v>3642167</v>
      </c>
      <c r="F3819" s="3">
        <v>3643558</v>
      </c>
      <c r="G3819" s="1" t="s">
        <v>13</v>
      </c>
      <c r="H3819" s="1" t="b">
        <f t="shared" si="145"/>
        <v>0</v>
      </c>
    </row>
    <row r="3820" spans="1:8" ht="21" x14ac:dyDescent="0.25">
      <c r="A3820" s="2" t="str">
        <f>HYPERLINK("https://rth.dk/resources/bsgatlas/details.php?id=BSGatlas-operon-1991","BSGatlas-operon-1991")</f>
        <v>BSGatlas-operon-1991</v>
      </c>
      <c r="B3820" s="2" t="str">
        <f>HYPERLINK("https://rth.dk/resources/bsgatlas/details.php?id=BSGatlas-gene-4140","BSGatlas-gene-4140")</f>
        <v>BSGatlas-gene-4140</v>
      </c>
      <c r="C3820" s="1" t="s">
        <v>3781</v>
      </c>
      <c r="D3820" s="1" t="s">
        <v>8</v>
      </c>
      <c r="E3820" s="3">
        <v>3643664</v>
      </c>
      <c r="F3820" s="3">
        <v>3644509</v>
      </c>
      <c r="G3820" s="1" t="s">
        <v>13</v>
      </c>
      <c r="H3820" s="1" t="b">
        <f t="shared" si="145"/>
        <v>1</v>
      </c>
    </row>
    <row r="3821" spans="1:8" ht="21" x14ac:dyDescent="0.25">
      <c r="A3821" s="2" t="str">
        <f>HYPERLINK("https://rth.dk/resources/bsgatlas/details.php?id=BSGatlas-operon-1992","BSGatlas-operon-1992")</f>
        <v>BSGatlas-operon-1992</v>
      </c>
      <c r="B3821" s="2" t="str">
        <f>HYPERLINK("https://rth.dk/resources/bsgatlas/details.php?id=BSGatlas-gene-4141","BSGatlas-gene-4141")</f>
        <v>BSGatlas-gene-4141</v>
      </c>
      <c r="C3821" s="1" t="s">
        <v>3782</v>
      </c>
      <c r="D3821" s="1" t="s">
        <v>12</v>
      </c>
      <c r="E3821" s="3">
        <v>3643957</v>
      </c>
      <c r="F3821" s="3">
        <v>3645689</v>
      </c>
      <c r="G3821" s="1" t="s">
        <v>9</v>
      </c>
      <c r="H3821" s="1" t="b">
        <f t="shared" si="145"/>
        <v>0</v>
      </c>
    </row>
    <row r="3822" spans="1:8" ht="21" x14ac:dyDescent="0.25">
      <c r="A3822" s="2" t="str">
        <f>HYPERLINK("https://rth.dk/resources/bsgatlas/details.php?id=BSGatlas-operon-1993","BSGatlas-operon-1993")</f>
        <v>BSGatlas-operon-1993</v>
      </c>
      <c r="B3822" s="2" t="str">
        <f>HYPERLINK("https://rth.dk/resources/bsgatlas/details.php?id=BSGatlas-gene-4142","BSGatlas-gene-4142")</f>
        <v>BSGatlas-gene-4142</v>
      </c>
      <c r="C3822" s="1" t="s">
        <v>3783</v>
      </c>
      <c r="D3822" s="1" t="s">
        <v>8</v>
      </c>
      <c r="E3822" s="3">
        <v>3644607</v>
      </c>
      <c r="F3822" s="3">
        <v>3645296</v>
      </c>
      <c r="G3822" s="1" t="s">
        <v>13</v>
      </c>
      <c r="H3822" s="1" t="b">
        <f t="shared" si="145"/>
        <v>1</v>
      </c>
    </row>
    <row r="3823" spans="1:8" ht="21" x14ac:dyDescent="0.25">
      <c r="A3823" s="2" t="str">
        <f>HYPERLINK("https://rth.dk/resources/bsgatlas/details.php?id=BSGatlas-operon-1993","BSGatlas-operon-1993")</f>
        <v>BSGatlas-operon-1993</v>
      </c>
      <c r="B3823" s="2" t="str">
        <f>HYPERLINK("https://rth.dk/resources/bsgatlas/details.php?id=BSGatlas-gene-4143","BSGatlas-gene-4143")</f>
        <v>BSGatlas-gene-4143</v>
      </c>
      <c r="C3823" s="1" t="s">
        <v>3784</v>
      </c>
      <c r="D3823" s="1" t="s">
        <v>8</v>
      </c>
      <c r="E3823" s="3">
        <v>3645379</v>
      </c>
      <c r="F3823" s="3">
        <v>3646536</v>
      </c>
      <c r="G3823" s="1" t="s">
        <v>13</v>
      </c>
      <c r="H3823" s="1" t="b">
        <f t="shared" si="145"/>
        <v>1</v>
      </c>
    </row>
    <row r="3824" spans="1:8" ht="21" x14ac:dyDescent="0.25">
      <c r="A3824" s="2" t="str">
        <f>HYPERLINK("https://rth.dk/resources/bsgatlas/details.php?id=BSGatlas-operon-1994","BSGatlas-operon-1994")</f>
        <v>BSGatlas-operon-1994</v>
      </c>
      <c r="B3824" s="2" t="str">
        <f>HYPERLINK("https://rth.dk/resources/bsgatlas/details.php?id=BSGatlas-gene-4144","BSGatlas-gene-4144")</f>
        <v>BSGatlas-gene-4144</v>
      </c>
      <c r="C3824" s="1" t="s">
        <v>3785</v>
      </c>
      <c r="D3824" s="1" t="s">
        <v>8</v>
      </c>
      <c r="E3824" s="3">
        <v>3646753</v>
      </c>
      <c r="F3824" s="3">
        <v>3647406</v>
      </c>
      <c r="G3824" s="1" t="s">
        <v>9</v>
      </c>
      <c r="H3824" s="1" t="b">
        <f t="shared" si="145"/>
        <v>0</v>
      </c>
    </row>
    <row r="3825" spans="1:8" ht="21" x14ac:dyDescent="0.25">
      <c r="A3825" s="2" t="str">
        <f>HYPERLINK("https://rth.dk/resources/bsgatlas/details.php?id=BSGatlas-operon-1994","BSGatlas-operon-1994")</f>
        <v>BSGatlas-operon-1994</v>
      </c>
      <c r="B3825" s="2" t="str">
        <f>HYPERLINK("https://rth.dk/resources/bsgatlas/details.php?id=BSGatlas-gene-4146","BSGatlas-gene-4146")</f>
        <v>BSGatlas-gene-4146</v>
      </c>
      <c r="C3825" s="1" t="s">
        <v>3786</v>
      </c>
      <c r="D3825" s="1" t="s">
        <v>8</v>
      </c>
      <c r="E3825" s="3">
        <v>3647406</v>
      </c>
      <c r="F3825" s="3">
        <v>3648581</v>
      </c>
      <c r="G3825" s="1" t="s">
        <v>9</v>
      </c>
      <c r="H3825" s="1" t="b">
        <f t="shared" si="145"/>
        <v>0</v>
      </c>
    </row>
    <row r="3826" spans="1:8" ht="21" x14ac:dyDescent="0.25">
      <c r="A3826" s="2" t="str">
        <f>HYPERLINK("https://rth.dk/resources/bsgatlas/details.php?id=BSGatlas-operon-1995","BSGatlas-operon-1995")</f>
        <v>BSGatlas-operon-1995</v>
      </c>
      <c r="B3826" s="2" t="str">
        <f>HYPERLINK("https://rth.dk/resources/bsgatlas/details.php?id=BSGatlas-gene-4145","BSGatlas-gene-4145")</f>
        <v>BSGatlas-gene-4145</v>
      </c>
      <c r="C3826" s="1" t="s">
        <v>3787</v>
      </c>
      <c r="D3826" s="1" t="s">
        <v>12</v>
      </c>
      <c r="E3826" s="3">
        <v>3647109</v>
      </c>
      <c r="F3826" s="3">
        <v>3647701</v>
      </c>
      <c r="G3826" s="1" t="s">
        <v>13</v>
      </c>
      <c r="H3826" s="1" t="b">
        <f t="shared" si="145"/>
        <v>1</v>
      </c>
    </row>
    <row r="3827" spans="1:8" ht="21" x14ac:dyDescent="0.25">
      <c r="A3827" s="2" t="str">
        <f>HYPERLINK("https://rth.dk/resources/bsgatlas/details.php?id=BSGatlas-operon-1996","BSGatlas-operon-1996")</f>
        <v>BSGatlas-operon-1996</v>
      </c>
      <c r="B3827" s="2" t="str">
        <f>HYPERLINK("https://rth.dk/resources/bsgatlas/details.php?id=BSGatlas-gene-4147","BSGatlas-gene-4147")</f>
        <v>BSGatlas-gene-4147</v>
      </c>
      <c r="C3827" s="1" t="s">
        <v>3788</v>
      </c>
      <c r="D3827" s="1" t="s">
        <v>8</v>
      </c>
      <c r="E3827" s="3">
        <v>3648654</v>
      </c>
      <c r="F3827" s="3">
        <v>3649730</v>
      </c>
      <c r="G3827" s="1" t="s">
        <v>13</v>
      </c>
      <c r="H3827" s="1" t="b">
        <f t="shared" si="145"/>
        <v>0</v>
      </c>
    </row>
    <row r="3828" spans="1:8" ht="21" x14ac:dyDescent="0.25">
      <c r="A3828" s="2" t="str">
        <f>HYPERLINK("https://rth.dk/resources/bsgatlas/details.php?id=BSGatlas-operon-1997","BSGatlas-operon-1997")</f>
        <v>BSGatlas-operon-1997</v>
      </c>
      <c r="B3828" s="2" t="str">
        <f>HYPERLINK("https://rth.dk/resources/bsgatlas/details.php?id=BSGatlas-gene-4148","BSGatlas-gene-4148")</f>
        <v>BSGatlas-gene-4148</v>
      </c>
      <c r="C3828" s="1" t="s">
        <v>3789</v>
      </c>
      <c r="D3828" s="1" t="s">
        <v>12</v>
      </c>
      <c r="E3828" s="3">
        <v>3648747</v>
      </c>
      <c r="F3828" s="3">
        <v>3649980</v>
      </c>
      <c r="G3828" s="1" t="s">
        <v>9</v>
      </c>
      <c r="H3828" s="1" t="b">
        <f t="shared" si="145"/>
        <v>1</v>
      </c>
    </row>
    <row r="3829" spans="1:8" ht="21" x14ac:dyDescent="0.25">
      <c r="A3829" s="2" t="str">
        <f t="shared" ref="A3829:A3837" si="148">HYPERLINK("https://rth.dk/resources/bsgatlas/details.php?id=BSGatlas-operon-1998","BSGatlas-operon-1998")</f>
        <v>BSGatlas-operon-1998</v>
      </c>
      <c r="B3829" s="2" t="str">
        <f>HYPERLINK("https://rth.dk/resources/bsgatlas/details.php?id=BSGatlas-gene-4149","BSGatlas-gene-4149")</f>
        <v>BSGatlas-gene-4149</v>
      </c>
      <c r="C3829" s="1" t="s">
        <v>3790</v>
      </c>
      <c r="D3829" s="1" t="s">
        <v>8</v>
      </c>
      <c r="E3829" s="3">
        <v>3649875</v>
      </c>
      <c r="F3829" s="3">
        <v>3651068</v>
      </c>
      <c r="G3829" s="1" t="s">
        <v>13</v>
      </c>
      <c r="H3829" s="1" t="b">
        <f t="shared" si="145"/>
        <v>0</v>
      </c>
    </row>
    <row r="3830" spans="1:8" ht="21" x14ac:dyDescent="0.25">
      <c r="A3830" s="2" t="str">
        <f t="shared" si="148"/>
        <v>BSGatlas-operon-1998</v>
      </c>
      <c r="B3830" s="2" t="str">
        <f>HYPERLINK("https://rth.dk/resources/bsgatlas/details.php?id=BSGatlas-gene-4150","BSGatlas-gene-4150")</f>
        <v>BSGatlas-gene-4150</v>
      </c>
      <c r="C3830" s="1" t="s">
        <v>3791</v>
      </c>
      <c r="D3830" s="1" t="s">
        <v>8</v>
      </c>
      <c r="E3830" s="3">
        <v>3651097</v>
      </c>
      <c r="F3830" s="3">
        <v>3651855</v>
      </c>
      <c r="G3830" s="1" t="s">
        <v>13</v>
      </c>
      <c r="H3830" s="1" t="b">
        <f t="shared" si="145"/>
        <v>0</v>
      </c>
    </row>
    <row r="3831" spans="1:8" ht="21" x14ac:dyDescent="0.25">
      <c r="A3831" s="2" t="str">
        <f t="shared" si="148"/>
        <v>BSGatlas-operon-1998</v>
      </c>
      <c r="B3831" s="2" t="str">
        <f>HYPERLINK("https://rth.dk/resources/bsgatlas/details.php?id=BSGatlas-gene-4151","BSGatlas-gene-4151")</f>
        <v>BSGatlas-gene-4151</v>
      </c>
      <c r="C3831" s="1" t="s">
        <v>3792</v>
      </c>
      <c r="D3831" s="1" t="s">
        <v>8</v>
      </c>
      <c r="E3831" s="3">
        <v>3651879</v>
      </c>
      <c r="F3831" s="3">
        <v>3652559</v>
      </c>
      <c r="G3831" s="1" t="s">
        <v>13</v>
      </c>
      <c r="H3831" s="1" t="b">
        <f t="shared" si="145"/>
        <v>0</v>
      </c>
    </row>
    <row r="3832" spans="1:8" ht="21" x14ac:dyDescent="0.25">
      <c r="A3832" s="2" t="str">
        <f t="shared" si="148"/>
        <v>BSGatlas-operon-1998</v>
      </c>
      <c r="B3832" s="2" t="str">
        <f>HYPERLINK("https://rth.dk/resources/bsgatlas/details.php?id=BSGatlas-gene-4152","BSGatlas-gene-4152")</f>
        <v>BSGatlas-gene-4152</v>
      </c>
      <c r="C3832" s="1" t="s">
        <v>3793</v>
      </c>
      <c r="D3832" s="1" t="s">
        <v>8</v>
      </c>
      <c r="E3832" s="3">
        <v>3652588</v>
      </c>
      <c r="F3832" s="3">
        <v>3654054</v>
      </c>
      <c r="G3832" s="1" t="s">
        <v>13</v>
      </c>
      <c r="H3832" s="1" t="b">
        <f t="shared" si="145"/>
        <v>0</v>
      </c>
    </row>
    <row r="3833" spans="1:8" ht="21" x14ac:dyDescent="0.25">
      <c r="A3833" s="2" t="str">
        <f t="shared" si="148"/>
        <v>BSGatlas-operon-1998</v>
      </c>
      <c r="B3833" s="2" t="str">
        <f>HYPERLINK("https://rth.dk/resources/bsgatlas/details.php?id=BSGatlas-gene-4153","BSGatlas-gene-4153")</f>
        <v>BSGatlas-gene-4153</v>
      </c>
      <c r="C3833" s="1" t="s">
        <v>3794</v>
      </c>
      <c r="D3833" s="1" t="s">
        <v>8</v>
      </c>
      <c r="E3833" s="3">
        <v>3654139</v>
      </c>
      <c r="F3833" s="3">
        <v>3655524</v>
      </c>
      <c r="G3833" s="1" t="s">
        <v>13</v>
      </c>
      <c r="H3833" s="1" t="b">
        <f t="shared" si="145"/>
        <v>0</v>
      </c>
    </row>
    <row r="3834" spans="1:8" ht="21" x14ac:dyDescent="0.25">
      <c r="A3834" s="2" t="str">
        <f t="shared" si="148"/>
        <v>BSGatlas-operon-1998</v>
      </c>
      <c r="B3834" s="2" t="str">
        <f>HYPERLINK("https://rth.dk/resources/bsgatlas/details.php?id=BSGatlas-gene-4154","BSGatlas-gene-4154")</f>
        <v>BSGatlas-gene-4154</v>
      </c>
      <c r="C3834" s="1" t="s">
        <v>3795</v>
      </c>
      <c r="D3834" s="1" t="s">
        <v>8</v>
      </c>
      <c r="E3834" s="3">
        <v>3655586</v>
      </c>
      <c r="F3834" s="3">
        <v>3656755</v>
      </c>
      <c r="G3834" s="1" t="s">
        <v>13</v>
      </c>
      <c r="H3834" s="1" t="b">
        <f t="shared" si="145"/>
        <v>0</v>
      </c>
    </row>
    <row r="3835" spans="1:8" ht="21" x14ac:dyDescent="0.25">
      <c r="A3835" s="2" t="str">
        <f t="shared" si="148"/>
        <v>BSGatlas-operon-1998</v>
      </c>
      <c r="B3835" s="2" t="str">
        <f>HYPERLINK("https://rth.dk/resources/bsgatlas/details.php?id=BSGatlas-gene-4155","BSGatlas-gene-4155")</f>
        <v>BSGatlas-gene-4155</v>
      </c>
      <c r="C3835" s="1" t="s">
        <v>3796</v>
      </c>
      <c r="D3835" s="1" t="s">
        <v>8</v>
      </c>
      <c r="E3835" s="3">
        <v>3656752</v>
      </c>
      <c r="F3835" s="3">
        <v>3658203</v>
      </c>
      <c r="G3835" s="1" t="s">
        <v>13</v>
      </c>
      <c r="H3835" s="1" t="b">
        <f t="shared" si="145"/>
        <v>0</v>
      </c>
    </row>
    <row r="3836" spans="1:8" ht="21" x14ac:dyDescent="0.25">
      <c r="A3836" s="2" t="str">
        <f t="shared" si="148"/>
        <v>BSGatlas-operon-1998</v>
      </c>
      <c r="B3836" s="2" t="str">
        <f>HYPERLINK("https://rth.dk/resources/bsgatlas/details.php?id=BSGatlas-gene-4156","BSGatlas-gene-4156")</f>
        <v>BSGatlas-gene-4156</v>
      </c>
      <c r="C3836" s="1" t="s">
        <v>3797</v>
      </c>
      <c r="D3836" s="1" t="s">
        <v>276</v>
      </c>
      <c r="E3836" s="3">
        <v>3658259</v>
      </c>
      <c r="F3836" s="3">
        <v>3658408</v>
      </c>
      <c r="G3836" s="1" t="s">
        <v>13</v>
      </c>
      <c r="H3836" s="1" t="b">
        <f t="shared" si="145"/>
        <v>0</v>
      </c>
    </row>
    <row r="3837" spans="1:8" ht="21" x14ac:dyDescent="0.25">
      <c r="A3837" s="2" t="str">
        <f t="shared" si="148"/>
        <v>BSGatlas-operon-1998</v>
      </c>
      <c r="B3837" s="2" t="str">
        <f>HYPERLINK("https://rth.dk/resources/bsgatlas/details.php?id=BSGatlas-gene-4157","BSGatlas-gene-4157")</f>
        <v>BSGatlas-gene-4157</v>
      </c>
      <c r="C3837" s="1" t="s">
        <v>3798</v>
      </c>
      <c r="D3837" s="1" t="s">
        <v>276</v>
      </c>
      <c r="E3837" s="3">
        <v>3658407</v>
      </c>
      <c r="F3837" s="3">
        <v>3658892</v>
      </c>
      <c r="G3837" s="1" t="s">
        <v>13</v>
      </c>
      <c r="H3837" s="1" t="b">
        <f t="shared" si="145"/>
        <v>0</v>
      </c>
    </row>
    <row r="3838" spans="1:8" ht="21" x14ac:dyDescent="0.25">
      <c r="A3838" s="2" t="str">
        <f>HYPERLINK("https://rth.dk/resources/bsgatlas/details.php?id=BSGatlas-operon-1999","BSGatlas-operon-1999")</f>
        <v>BSGatlas-operon-1999</v>
      </c>
      <c r="B3838" s="2" t="str">
        <f>HYPERLINK("https://rth.dk/resources/bsgatlas/details.php?id=BSGatlas-gene-4158","BSGatlas-gene-4158")</f>
        <v>BSGatlas-gene-4158</v>
      </c>
      <c r="C3838" s="1" t="s">
        <v>3799</v>
      </c>
      <c r="D3838" s="1" t="s">
        <v>8</v>
      </c>
      <c r="E3838" s="3">
        <v>3659119</v>
      </c>
      <c r="F3838" s="3">
        <v>3660609</v>
      </c>
      <c r="G3838" s="1" t="s">
        <v>13</v>
      </c>
      <c r="H3838" s="1" t="b">
        <f t="shared" si="145"/>
        <v>1</v>
      </c>
    </row>
    <row r="3839" spans="1:8" ht="21" x14ac:dyDescent="0.25">
      <c r="A3839" s="2" t="str">
        <f>HYPERLINK("https://rth.dk/resources/bsgatlas/details.php?id=BSGatlas-operon-1999","BSGatlas-operon-1999")</f>
        <v>BSGatlas-operon-1999</v>
      </c>
      <c r="B3839" s="2" t="str">
        <f>HYPERLINK("https://rth.dk/resources/bsgatlas/details.php?id=BSGatlas-gene-4159","BSGatlas-gene-4159")</f>
        <v>BSGatlas-gene-4159</v>
      </c>
      <c r="C3839" s="1" t="s">
        <v>3800</v>
      </c>
      <c r="D3839" s="1" t="s">
        <v>8</v>
      </c>
      <c r="E3839" s="3">
        <v>3660648</v>
      </c>
      <c r="F3839" s="3">
        <v>3662765</v>
      </c>
      <c r="G3839" s="1" t="s">
        <v>13</v>
      </c>
      <c r="H3839" s="1" t="b">
        <f t="shared" si="145"/>
        <v>1</v>
      </c>
    </row>
    <row r="3840" spans="1:8" ht="21" x14ac:dyDescent="0.25">
      <c r="A3840" s="2" t="str">
        <f>HYPERLINK("https://rth.dk/resources/bsgatlas/details.php?id=BSGatlas-operon-1999","BSGatlas-operon-1999")</f>
        <v>BSGatlas-operon-1999</v>
      </c>
      <c r="B3840" s="2" t="str">
        <f>HYPERLINK("https://rth.dk/resources/bsgatlas/details.php?id=BSGatlas-gene-4160","BSGatlas-gene-4160")</f>
        <v>BSGatlas-gene-4160</v>
      </c>
      <c r="C3840" s="1" t="s">
        <v>3801</v>
      </c>
      <c r="D3840" s="1" t="s">
        <v>8</v>
      </c>
      <c r="E3840" s="3">
        <v>3662789</v>
      </c>
      <c r="F3840" s="3">
        <v>3663097</v>
      </c>
      <c r="G3840" s="1" t="s">
        <v>13</v>
      </c>
      <c r="H3840" s="1" t="b">
        <f t="shared" si="145"/>
        <v>1</v>
      </c>
    </row>
    <row r="3841" spans="1:8" ht="21" x14ac:dyDescent="0.25">
      <c r="A3841" s="2" t="str">
        <f>HYPERLINK("https://rth.dk/resources/bsgatlas/details.php?id=BSGatlas-operon-2000","BSGatlas-operon-2000")</f>
        <v>BSGatlas-operon-2000</v>
      </c>
      <c r="B3841" s="2" t="str">
        <f>HYPERLINK("https://rth.dk/resources/bsgatlas/details.php?id=BSGatlas-gene-4161","BSGatlas-gene-4161")</f>
        <v>BSGatlas-gene-4161</v>
      </c>
      <c r="C3841" s="1" t="s">
        <v>3802</v>
      </c>
      <c r="D3841" s="1" t="s">
        <v>8</v>
      </c>
      <c r="E3841" s="3">
        <v>3663281</v>
      </c>
      <c r="F3841" s="3">
        <v>3664201</v>
      </c>
      <c r="G3841" s="1" t="s">
        <v>9</v>
      </c>
      <c r="H3841" s="1" t="b">
        <f t="shared" si="145"/>
        <v>0</v>
      </c>
    </row>
    <row r="3842" spans="1:8" ht="21" x14ac:dyDescent="0.25">
      <c r="A3842" s="2" t="str">
        <f>HYPERLINK("https://rth.dk/resources/bsgatlas/details.php?id=BSGatlas-operon-2001","BSGatlas-operon-2001")</f>
        <v>BSGatlas-operon-2001</v>
      </c>
      <c r="B3842" s="2" t="str">
        <f>HYPERLINK("https://rth.dk/resources/bsgatlas/details.php?id=BSGatlas-gene-4162","BSGatlas-gene-4162")</f>
        <v>BSGatlas-gene-4162</v>
      </c>
      <c r="C3842" s="1" t="s">
        <v>3803</v>
      </c>
      <c r="D3842" s="1" t="s">
        <v>8</v>
      </c>
      <c r="E3842" s="3">
        <v>3664241</v>
      </c>
      <c r="F3842" s="3">
        <v>3665383</v>
      </c>
      <c r="G3842" s="1" t="s">
        <v>13</v>
      </c>
      <c r="H3842" s="1" t="b">
        <f t="shared" ref="H3842:H3905" si="149">_xlfn.XOR(A3841&lt;&gt;A3842,H3841)</f>
        <v>1</v>
      </c>
    </row>
    <row r="3843" spans="1:8" ht="21" x14ac:dyDescent="0.25">
      <c r="A3843" s="2" t="str">
        <f>HYPERLINK("https://rth.dk/resources/bsgatlas/details.php?id=BSGatlas-operon-2002","BSGatlas-operon-2002")</f>
        <v>BSGatlas-operon-2002</v>
      </c>
      <c r="B3843" s="2" t="str">
        <f>HYPERLINK("https://rth.dk/resources/bsgatlas/details.php?id=BSGatlas-gene-4163","BSGatlas-gene-4163")</f>
        <v>BSGatlas-gene-4163</v>
      </c>
      <c r="C3843" s="1" t="s">
        <v>3804</v>
      </c>
      <c r="D3843" s="1" t="s">
        <v>8</v>
      </c>
      <c r="E3843" s="3">
        <v>3665629</v>
      </c>
      <c r="F3843" s="3">
        <v>3666507</v>
      </c>
      <c r="G3843" s="1" t="s">
        <v>9</v>
      </c>
      <c r="H3843" s="1" t="b">
        <f t="shared" si="149"/>
        <v>0</v>
      </c>
    </row>
    <row r="3844" spans="1:8" ht="21" x14ac:dyDescent="0.25">
      <c r="A3844" s="2" t="str">
        <f>HYPERLINK("https://rth.dk/resources/bsgatlas/details.php?id=BSGatlas-operon-2003","BSGatlas-operon-2003")</f>
        <v>BSGatlas-operon-2003</v>
      </c>
      <c r="B3844" s="2" t="str">
        <f>HYPERLINK("https://rth.dk/resources/bsgatlas/details.php?id=BSGatlas-gene-4165","BSGatlas-gene-4165")</f>
        <v>BSGatlas-gene-4165</v>
      </c>
      <c r="C3844" s="1" t="s">
        <v>3805</v>
      </c>
      <c r="D3844" s="1" t="s">
        <v>276</v>
      </c>
      <c r="E3844" s="3">
        <v>3666933</v>
      </c>
      <c r="F3844" s="3">
        <v>3667016</v>
      </c>
      <c r="G3844" s="1" t="s">
        <v>13</v>
      </c>
      <c r="H3844" s="1" t="b">
        <f t="shared" si="149"/>
        <v>1</v>
      </c>
    </row>
    <row r="3845" spans="1:8" ht="21" x14ac:dyDescent="0.25">
      <c r="A3845" s="2" t="str">
        <f>HYPERLINK("https://rth.dk/resources/bsgatlas/details.php?id=BSGatlas-operon-2004","BSGatlas-operon-2004")</f>
        <v>BSGatlas-operon-2004</v>
      </c>
      <c r="B3845" s="2" t="str">
        <f>HYPERLINK("https://rth.dk/resources/bsgatlas/details.php?id=BSGatlas-gene-4164","BSGatlas-gene-4164")</f>
        <v>BSGatlas-gene-4164</v>
      </c>
      <c r="C3845" s="1" t="s">
        <v>318</v>
      </c>
      <c r="D3845" s="1" t="s">
        <v>8</v>
      </c>
      <c r="E3845" s="3">
        <v>3666841</v>
      </c>
      <c r="F3845" s="3">
        <v>3667059</v>
      </c>
      <c r="G3845" s="1" t="s">
        <v>9</v>
      </c>
      <c r="H3845" s="1" t="b">
        <f t="shared" si="149"/>
        <v>0</v>
      </c>
    </row>
    <row r="3846" spans="1:8" ht="21" x14ac:dyDescent="0.25">
      <c r="A3846" s="2" t="str">
        <f>HYPERLINK("https://rth.dk/resources/bsgatlas/details.php?id=BSGatlas-operon-2005","BSGatlas-operon-2005")</f>
        <v>BSGatlas-operon-2005</v>
      </c>
      <c r="B3846" s="2" t="str">
        <f>HYPERLINK("https://rth.dk/resources/bsgatlas/details.php?id=BSGatlas-gene-4166","BSGatlas-gene-4166")</f>
        <v>BSGatlas-gene-4166</v>
      </c>
      <c r="C3846" s="1" t="s">
        <v>3806</v>
      </c>
      <c r="D3846" s="1" t="s">
        <v>8</v>
      </c>
      <c r="E3846" s="3">
        <v>3667209</v>
      </c>
      <c r="F3846" s="3">
        <v>3669911</v>
      </c>
      <c r="G3846" s="1" t="s">
        <v>13</v>
      </c>
      <c r="H3846" s="1" t="b">
        <f t="shared" si="149"/>
        <v>1</v>
      </c>
    </row>
    <row r="3847" spans="1:8" ht="21" x14ac:dyDescent="0.25">
      <c r="A3847" s="2" t="str">
        <f>HYPERLINK("https://rth.dk/resources/bsgatlas/details.php?id=BSGatlas-operon-2005","BSGatlas-operon-2005")</f>
        <v>BSGatlas-operon-2005</v>
      </c>
      <c r="B3847" s="2" t="str">
        <f>HYPERLINK("https://rth.dk/resources/bsgatlas/details.php?id=BSGatlas-gene-4167","BSGatlas-gene-4167")</f>
        <v>BSGatlas-gene-4167</v>
      </c>
      <c r="C3847" s="1" t="s">
        <v>3807</v>
      </c>
      <c r="D3847" s="1" t="s">
        <v>8</v>
      </c>
      <c r="E3847" s="3">
        <v>3670035</v>
      </c>
      <c r="F3847" s="3">
        <v>3671375</v>
      </c>
      <c r="G3847" s="1" t="s">
        <v>13</v>
      </c>
      <c r="H3847" s="1" t="b">
        <f t="shared" si="149"/>
        <v>1</v>
      </c>
    </row>
    <row r="3848" spans="1:8" ht="21" x14ac:dyDescent="0.25">
      <c r="A3848" s="2" t="str">
        <f>HYPERLINK("https://rth.dk/resources/bsgatlas/details.php?id=BSGatlas-operon-2006","BSGatlas-operon-2006")</f>
        <v>BSGatlas-operon-2006</v>
      </c>
      <c r="B3848" s="2" t="str">
        <f>HYPERLINK("https://rth.dk/resources/bsgatlas/details.php?id=BSGatlas-gene-4169","BSGatlas-gene-4169")</f>
        <v>BSGatlas-gene-4169</v>
      </c>
      <c r="C3848" s="1" t="s">
        <v>3808</v>
      </c>
      <c r="D3848" s="1" t="s">
        <v>12</v>
      </c>
      <c r="E3848" s="3">
        <v>3672158</v>
      </c>
      <c r="F3848" s="3">
        <v>3672728</v>
      </c>
      <c r="G3848" s="1" t="s">
        <v>13</v>
      </c>
      <c r="H3848" s="1" t="b">
        <f t="shared" si="149"/>
        <v>0</v>
      </c>
    </row>
    <row r="3849" spans="1:8" ht="21" x14ac:dyDescent="0.25">
      <c r="A3849" s="2" t="str">
        <f>HYPERLINK("https://rth.dk/resources/bsgatlas/details.php?id=BSGatlas-operon-2007","BSGatlas-operon-2007")</f>
        <v>BSGatlas-operon-2007</v>
      </c>
      <c r="B3849" s="2" t="str">
        <f>HYPERLINK("https://rth.dk/resources/bsgatlas/details.php?id=BSGatlas-gene-4170","BSGatlas-gene-4170")</f>
        <v>BSGatlas-gene-4170</v>
      </c>
      <c r="C3849" s="1" t="s">
        <v>3809</v>
      </c>
      <c r="D3849" s="1" t="s">
        <v>276</v>
      </c>
      <c r="E3849" s="3">
        <v>3672929</v>
      </c>
      <c r="F3849" s="3">
        <v>3673525</v>
      </c>
      <c r="G3849" s="1" t="s">
        <v>9</v>
      </c>
      <c r="H3849" s="1" t="b">
        <f t="shared" si="149"/>
        <v>1</v>
      </c>
    </row>
    <row r="3850" spans="1:8" ht="21" x14ac:dyDescent="0.25">
      <c r="A3850" s="2" t="str">
        <f>HYPERLINK("https://rth.dk/resources/bsgatlas/details.php?id=BSGatlas-operon-2008","BSGatlas-operon-2008")</f>
        <v>BSGatlas-operon-2008</v>
      </c>
      <c r="B3850" s="2" t="str">
        <f>HYPERLINK("https://rth.dk/resources/bsgatlas/details.php?id=BSGatlas-gene-4171","BSGatlas-gene-4171")</f>
        <v>BSGatlas-gene-4171</v>
      </c>
      <c r="C3850" s="1" t="s">
        <v>3810</v>
      </c>
      <c r="D3850" s="1" t="s">
        <v>8</v>
      </c>
      <c r="E3850" s="3">
        <v>3673564</v>
      </c>
      <c r="F3850" s="3">
        <v>3675147</v>
      </c>
      <c r="G3850" s="1" t="s">
        <v>13</v>
      </c>
      <c r="H3850" s="1" t="b">
        <f t="shared" si="149"/>
        <v>0</v>
      </c>
    </row>
    <row r="3851" spans="1:8" ht="21" x14ac:dyDescent="0.25">
      <c r="A3851" s="2" t="str">
        <f>HYPERLINK("https://rth.dk/resources/bsgatlas/details.php?id=BSGatlas-operon-2008","BSGatlas-operon-2008")</f>
        <v>BSGatlas-operon-2008</v>
      </c>
      <c r="B3851" s="2" t="str">
        <f>HYPERLINK("https://rth.dk/resources/bsgatlas/details.php?id=BSGatlas-gene-4172","BSGatlas-gene-4172")</f>
        <v>BSGatlas-gene-4172</v>
      </c>
      <c r="C3851" s="1" t="s">
        <v>3811</v>
      </c>
      <c r="D3851" s="1" t="s">
        <v>8</v>
      </c>
      <c r="E3851" s="3">
        <v>3675167</v>
      </c>
      <c r="F3851" s="3">
        <v>3675994</v>
      </c>
      <c r="G3851" s="1" t="s">
        <v>13</v>
      </c>
      <c r="H3851" s="1" t="b">
        <f t="shared" si="149"/>
        <v>0</v>
      </c>
    </row>
    <row r="3852" spans="1:8" ht="21" x14ac:dyDescent="0.25">
      <c r="A3852" s="2" t="str">
        <f>HYPERLINK("https://rth.dk/resources/bsgatlas/details.php?id=BSGatlas-operon-2008","BSGatlas-operon-2008")</f>
        <v>BSGatlas-operon-2008</v>
      </c>
      <c r="B3852" s="2" t="str">
        <f>HYPERLINK("https://rth.dk/resources/bsgatlas/details.php?id=BSGatlas-gene-4173","BSGatlas-gene-4173")</f>
        <v>BSGatlas-gene-4173</v>
      </c>
      <c r="C3852" s="1" t="s">
        <v>3812</v>
      </c>
      <c r="D3852" s="1" t="s">
        <v>8</v>
      </c>
      <c r="E3852" s="3">
        <v>3676159</v>
      </c>
      <c r="F3852" s="3">
        <v>3678399</v>
      </c>
      <c r="G3852" s="1" t="s">
        <v>13</v>
      </c>
      <c r="H3852" s="1" t="b">
        <f t="shared" si="149"/>
        <v>0</v>
      </c>
    </row>
    <row r="3853" spans="1:8" ht="21" x14ac:dyDescent="0.25">
      <c r="A3853" s="2" t="str">
        <f>HYPERLINK("https://rth.dk/resources/bsgatlas/details.php?id=BSGatlas-operon-2008","BSGatlas-operon-2008")</f>
        <v>BSGatlas-operon-2008</v>
      </c>
      <c r="B3853" s="2" t="str">
        <f>HYPERLINK("https://rth.dk/resources/bsgatlas/details.php?id=BSGatlas-gene-4174","BSGatlas-gene-4174")</f>
        <v>BSGatlas-gene-4174</v>
      </c>
      <c r="C3853" s="1" t="s">
        <v>3813</v>
      </c>
      <c r="D3853" s="1" t="s">
        <v>8</v>
      </c>
      <c r="E3853" s="3">
        <v>3678399</v>
      </c>
      <c r="F3853" s="3">
        <v>3680420</v>
      </c>
      <c r="G3853" s="1" t="s">
        <v>13</v>
      </c>
      <c r="H3853" s="1" t="b">
        <f t="shared" si="149"/>
        <v>0</v>
      </c>
    </row>
    <row r="3854" spans="1:8" ht="21" x14ac:dyDescent="0.25">
      <c r="A3854" s="2" t="str">
        <f>HYPERLINK("https://rth.dk/resources/bsgatlas/details.php?id=BSGatlas-operon-2008","BSGatlas-operon-2008")</f>
        <v>BSGatlas-operon-2008</v>
      </c>
      <c r="B3854" s="2" t="str">
        <f>HYPERLINK("https://rth.dk/resources/bsgatlas/details.php?id=BSGatlas-gene-4175","BSGatlas-gene-4175")</f>
        <v>BSGatlas-gene-4175</v>
      </c>
      <c r="C3854" s="1" t="s">
        <v>3814</v>
      </c>
      <c r="D3854" s="1" t="s">
        <v>8</v>
      </c>
      <c r="E3854" s="3">
        <v>3680581</v>
      </c>
      <c r="F3854" s="3">
        <v>3680970</v>
      </c>
      <c r="G3854" s="1" t="s">
        <v>13</v>
      </c>
      <c r="H3854" s="1" t="b">
        <f t="shared" si="149"/>
        <v>0</v>
      </c>
    </row>
    <row r="3855" spans="1:8" ht="21" x14ac:dyDescent="0.25">
      <c r="A3855" s="2" t="str">
        <f>HYPERLINK("https://rth.dk/resources/bsgatlas/details.php?id=BSGatlas-operon-2009","BSGatlas-operon-2009")</f>
        <v>BSGatlas-operon-2009</v>
      </c>
      <c r="B3855" s="2" t="str">
        <f>HYPERLINK("https://rth.dk/resources/bsgatlas/details.php?id=BSGatlas-gene-4176","BSGatlas-gene-4176")</f>
        <v>BSGatlas-gene-4176</v>
      </c>
      <c r="C3855" s="1" t="s">
        <v>3815</v>
      </c>
      <c r="D3855" s="1" t="s">
        <v>8</v>
      </c>
      <c r="E3855" s="3">
        <v>3681370</v>
      </c>
      <c r="F3855" s="3">
        <v>3682140</v>
      </c>
      <c r="G3855" s="1" t="s">
        <v>9</v>
      </c>
      <c r="H3855" s="1" t="b">
        <f t="shared" si="149"/>
        <v>1</v>
      </c>
    </row>
    <row r="3856" spans="1:8" ht="21" x14ac:dyDescent="0.25">
      <c r="A3856" s="2" t="str">
        <f>HYPERLINK("https://rth.dk/resources/bsgatlas/details.php?id=BSGatlas-operon-2009","BSGatlas-operon-2009")</f>
        <v>BSGatlas-operon-2009</v>
      </c>
      <c r="B3856" s="2" t="str">
        <f>HYPERLINK("https://rth.dk/resources/bsgatlas/details.php?id=BSGatlas-gene-4178","BSGatlas-gene-4178")</f>
        <v>BSGatlas-gene-4178</v>
      </c>
      <c r="C3856" s="1" t="s">
        <v>3816</v>
      </c>
      <c r="D3856" s="1" t="s">
        <v>8</v>
      </c>
      <c r="E3856" s="3">
        <v>3682173</v>
      </c>
      <c r="F3856" s="3">
        <v>3683318</v>
      </c>
      <c r="G3856" s="1" t="s">
        <v>9</v>
      </c>
      <c r="H3856" s="1" t="b">
        <f t="shared" si="149"/>
        <v>1</v>
      </c>
    </row>
    <row r="3857" spans="1:8" ht="21" x14ac:dyDescent="0.25">
      <c r="A3857" s="2" t="str">
        <f>HYPERLINK("https://rth.dk/resources/bsgatlas/details.php?id=BSGatlas-operon-2010","BSGatlas-operon-2010")</f>
        <v>BSGatlas-operon-2010</v>
      </c>
      <c r="B3857" s="2" t="str">
        <f>HYPERLINK("https://rth.dk/resources/bsgatlas/details.php?id=BSGatlas-gene-4177","BSGatlas-gene-4177")</f>
        <v>BSGatlas-gene-4177</v>
      </c>
      <c r="C3857" s="1" t="s">
        <v>3817</v>
      </c>
      <c r="D3857" s="1" t="s">
        <v>12</v>
      </c>
      <c r="E3857" s="3">
        <v>3681497</v>
      </c>
      <c r="F3857" s="3">
        <v>3681845</v>
      </c>
      <c r="G3857" s="1" t="s">
        <v>13</v>
      </c>
      <c r="H3857" s="1" t="b">
        <f t="shared" si="149"/>
        <v>0</v>
      </c>
    </row>
    <row r="3858" spans="1:8" ht="21" x14ac:dyDescent="0.25">
      <c r="A3858" s="2" t="str">
        <f>HYPERLINK("https://rth.dk/resources/bsgatlas/details.php?id=BSGatlas-operon-2011","BSGatlas-operon-2011")</f>
        <v>BSGatlas-operon-2011</v>
      </c>
      <c r="B3858" s="2" t="str">
        <f>HYPERLINK("https://rth.dk/resources/bsgatlas/details.php?id=BSGatlas-gene-4179","BSGatlas-gene-4179")</f>
        <v>BSGatlas-gene-4179</v>
      </c>
      <c r="C3858" s="1" t="s">
        <v>3818</v>
      </c>
      <c r="D3858" s="1" t="s">
        <v>8</v>
      </c>
      <c r="E3858" s="3">
        <v>3683438</v>
      </c>
      <c r="F3858" s="3">
        <v>3684766</v>
      </c>
      <c r="G3858" s="1" t="s">
        <v>9</v>
      </c>
      <c r="H3858" s="1" t="b">
        <f t="shared" si="149"/>
        <v>1</v>
      </c>
    </row>
    <row r="3859" spans="1:8" ht="21" x14ac:dyDescent="0.25">
      <c r="A3859" s="2" t="str">
        <f>HYPERLINK("https://rth.dk/resources/bsgatlas/details.php?id=BSGatlas-operon-2012","BSGatlas-operon-2012")</f>
        <v>BSGatlas-operon-2012</v>
      </c>
      <c r="B3859" s="2" t="str">
        <f>HYPERLINK("https://rth.dk/resources/bsgatlas/details.php?id=BSGatlas-gene-4180","BSGatlas-gene-4180")</f>
        <v>BSGatlas-gene-4180</v>
      </c>
      <c r="C3859" s="1" t="s">
        <v>3819</v>
      </c>
      <c r="D3859" s="1" t="s">
        <v>8</v>
      </c>
      <c r="E3859" s="3">
        <v>3684826</v>
      </c>
      <c r="F3859" s="3">
        <v>3687468</v>
      </c>
      <c r="G3859" s="1" t="s">
        <v>13</v>
      </c>
      <c r="H3859" s="1" t="b">
        <f t="shared" si="149"/>
        <v>0</v>
      </c>
    </row>
    <row r="3860" spans="1:8" ht="21" x14ac:dyDescent="0.25">
      <c r="A3860" s="2" t="str">
        <f>HYPERLINK("https://rth.dk/resources/bsgatlas/details.php?id=BSGatlas-operon-2013","BSGatlas-operon-2013")</f>
        <v>BSGatlas-operon-2013</v>
      </c>
      <c r="B3860" s="2" t="str">
        <f>HYPERLINK("https://rth.dk/resources/bsgatlas/details.php?id=BSGatlas-gene-4181","BSGatlas-gene-4181")</f>
        <v>BSGatlas-gene-4181</v>
      </c>
      <c r="C3860" s="1" t="s">
        <v>3820</v>
      </c>
      <c r="D3860" s="1" t="s">
        <v>8</v>
      </c>
      <c r="E3860" s="3">
        <v>3687597</v>
      </c>
      <c r="F3860" s="3">
        <v>3688547</v>
      </c>
      <c r="G3860" s="1" t="s">
        <v>13</v>
      </c>
      <c r="H3860" s="1" t="b">
        <f t="shared" si="149"/>
        <v>1</v>
      </c>
    </row>
    <row r="3861" spans="1:8" ht="21" x14ac:dyDescent="0.25">
      <c r="A3861" s="2" t="str">
        <f>HYPERLINK("https://rth.dk/resources/bsgatlas/details.php?id=BSGatlas-operon-2014","BSGatlas-operon-2014")</f>
        <v>BSGatlas-operon-2014</v>
      </c>
      <c r="B3861" s="2" t="str">
        <f>HYPERLINK("https://rth.dk/resources/bsgatlas/details.php?id=BSGatlas-gene-4182","BSGatlas-gene-4182")</f>
        <v>BSGatlas-gene-4182</v>
      </c>
      <c r="C3861" s="1" t="s">
        <v>3821</v>
      </c>
      <c r="D3861" s="1" t="s">
        <v>8</v>
      </c>
      <c r="E3861" s="3">
        <v>3688812</v>
      </c>
      <c r="F3861" s="3">
        <v>3690263</v>
      </c>
      <c r="G3861" s="1" t="s">
        <v>9</v>
      </c>
      <c r="H3861" s="1" t="b">
        <f t="shared" si="149"/>
        <v>0</v>
      </c>
    </row>
    <row r="3862" spans="1:8" ht="21" x14ac:dyDescent="0.25">
      <c r="A3862" s="2" t="str">
        <f>HYPERLINK("https://rth.dk/resources/bsgatlas/details.php?id=BSGatlas-operon-2014","BSGatlas-operon-2014")</f>
        <v>BSGatlas-operon-2014</v>
      </c>
      <c r="B3862" s="2" t="str">
        <f>HYPERLINK("https://rth.dk/resources/bsgatlas/details.php?id=BSGatlas-gene-4183","BSGatlas-gene-4183")</f>
        <v>BSGatlas-gene-4183</v>
      </c>
      <c r="C3862" s="1" t="s">
        <v>3822</v>
      </c>
      <c r="D3862" s="1" t="s">
        <v>8</v>
      </c>
      <c r="E3862" s="3">
        <v>3690269</v>
      </c>
      <c r="F3862" s="3">
        <v>3691375</v>
      </c>
      <c r="G3862" s="1" t="s">
        <v>9</v>
      </c>
      <c r="H3862" s="1" t="b">
        <f t="shared" si="149"/>
        <v>0</v>
      </c>
    </row>
    <row r="3863" spans="1:8" ht="21" x14ac:dyDescent="0.25">
      <c r="A3863" s="2" t="str">
        <f>HYPERLINK("https://rth.dk/resources/bsgatlas/details.php?id=BSGatlas-operon-2014","BSGatlas-operon-2014")</f>
        <v>BSGatlas-operon-2014</v>
      </c>
      <c r="B3863" s="2" t="str">
        <f>HYPERLINK("https://rth.dk/resources/bsgatlas/details.php?id=BSGatlas-gene-4184","BSGatlas-gene-4184")</f>
        <v>BSGatlas-gene-4184</v>
      </c>
      <c r="C3863" s="1" t="s">
        <v>3823</v>
      </c>
      <c r="D3863" s="1" t="s">
        <v>8</v>
      </c>
      <c r="E3863" s="3">
        <v>3691372</v>
      </c>
      <c r="F3863" s="3">
        <v>3692496</v>
      </c>
      <c r="G3863" s="1" t="s">
        <v>9</v>
      </c>
      <c r="H3863" s="1" t="b">
        <f t="shared" si="149"/>
        <v>0</v>
      </c>
    </row>
    <row r="3864" spans="1:8" ht="21" x14ac:dyDescent="0.25">
      <c r="A3864" s="2" t="str">
        <f>HYPERLINK("https://rth.dk/resources/bsgatlas/details.php?id=BSGatlas-operon-2015","BSGatlas-operon-2015")</f>
        <v>BSGatlas-operon-2015</v>
      </c>
      <c r="B3864" s="2" t="str">
        <f>HYPERLINK("https://rth.dk/resources/bsgatlas/details.php?id=BSGatlas-gene-4185","BSGatlas-gene-4185")</f>
        <v>BSGatlas-gene-4185</v>
      </c>
      <c r="C3864" s="1" t="s">
        <v>3824</v>
      </c>
      <c r="D3864" s="1" t="s">
        <v>8</v>
      </c>
      <c r="E3864" s="3">
        <v>3692533</v>
      </c>
      <c r="F3864" s="3">
        <v>3693906</v>
      </c>
      <c r="G3864" s="1" t="s">
        <v>13</v>
      </c>
      <c r="H3864" s="1" t="b">
        <f t="shared" si="149"/>
        <v>1</v>
      </c>
    </row>
    <row r="3865" spans="1:8" ht="21" x14ac:dyDescent="0.25">
      <c r="A3865" s="2" t="str">
        <f>HYPERLINK("https://rth.dk/resources/bsgatlas/details.php?id=BSGatlas-operon-2016","BSGatlas-operon-2016")</f>
        <v>BSGatlas-operon-2016</v>
      </c>
      <c r="B3865" s="2" t="str">
        <f>HYPERLINK("https://rth.dk/resources/bsgatlas/details.php?id=BSGatlas-gene-4186","BSGatlas-gene-4186")</f>
        <v>BSGatlas-gene-4186</v>
      </c>
      <c r="C3865" s="1" t="s">
        <v>3825</v>
      </c>
      <c r="D3865" s="1" t="s">
        <v>8</v>
      </c>
      <c r="E3865" s="3">
        <v>3694239</v>
      </c>
      <c r="F3865" s="3">
        <v>3695207</v>
      </c>
      <c r="G3865" s="1" t="s">
        <v>9</v>
      </c>
      <c r="H3865" s="1" t="b">
        <f t="shared" si="149"/>
        <v>0</v>
      </c>
    </row>
    <row r="3866" spans="1:8" ht="21" x14ac:dyDescent="0.25">
      <c r="A3866" s="2" t="str">
        <f>HYPERLINK("https://rth.dk/resources/bsgatlas/details.php?id=BSGatlas-operon-2016","BSGatlas-operon-2016")</f>
        <v>BSGatlas-operon-2016</v>
      </c>
      <c r="B3866" s="2" t="str">
        <f>HYPERLINK("https://rth.dk/resources/bsgatlas/details.php?id=BSGatlas-gene-4187","BSGatlas-gene-4187")</f>
        <v>BSGatlas-gene-4187</v>
      </c>
      <c r="C3866" s="1" t="s">
        <v>3826</v>
      </c>
      <c r="D3866" s="1" t="s">
        <v>8</v>
      </c>
      <c r="E3866" s="3">
        <v>3695363</v>
      </c>
      <c r="F3866" s="3">
        <v>3696223</v>
      </c>
      <c r="G3866" s="1" t="s">
        <v>9</v>
      </c>
      <c r="H3866" s="1" t="b">
        <f t="shared" si="149"/>
        <v>0</v>
      </c>
    </row>
    <row r="3867" spans="1:8" ht="21" x14ac:dyDescent="0.25">
      <c r="A3867" s="2" t="str">
        <f>HYPERLINK("https://rth.dk/resources/bsgatlas/details.php?id=BSGatlas-operon-2017","BSGatlas-operon-2017")</f>
        <v>BSGatlas-operon-2017</v>
      </c>
      <c r="B3867" s="2" t="str">
        <f>HYPERLINK("https://rth.dk/resources/bsgatlas/details.php?id=BSGatlas-gene-4188","BSGatlas-gene-4188")</f>
        <v>BSGatlas-gene-4188</v>
      </c>
      <c r="C3867" s="1" t="s">
        <v>3827</v>
      </c>
      <c r="D3867" s="1" t="s">
        <v>8</v>
      </c>
      <c r="E3867" s="3">
        <v>3696257</v>
      </c>
      <c r="F3867" s="3">
        <v>3697498</v>
      </c>
      <c r="G3867" s="1" t="s">
        <v>13</v>
      </c>
      <c r="H3867" s="1" t="b">
        <f t="shared" si="149"/>
        <v>1</v>
      </c>
    </row>
    <row r="3868" spans="1:8" ht="21" x14ac:dyDescent="0.25">
      <c r="A3868" s="2" t="str">
        <f>HYPERLINK("https://rth.dk/resources/bsgatlas/details.php?id=BSGatlas-operon-2018","BSGatlas-operon-2018")</f>
        <v>BSGatlas-operon-2018</v>
      </c>
      <c r="B3868" s="2" t="str">
        <f>HYPERLINK("https://rth.dk/resources/bsgatlas/details.php?id=BSGatlas-gene-4189","BSGatlas-gene-4189")</f>
        <v>BSGatlas-gene-4189</v>
      </c>
      <c r="C3868" s="1" t="s">
        <v>3828</v>
      </c>
      <c r="D3868" s="1" t="s">
        <v>8</v>
      </c>
      <c r="E3868" s="3">
        <v>3697639</v>
      </c>
      <c r="F3868" s="3">
        <v>3697806</v>
      </c>
      <c r="G3868" s="1" t="s">
        <v>13</v>
      </c>
      <c r="H3868" s="1" t="b">
        <f t="shared" si="149"/>
        <v>0</v>
      </c>
    </row>
    <row r="3869" spans="1:8" ht="21" x14ac:dyDescent="0.25">
      <c r="A3869" s="2" t="str">
        <f>HYPERLINK("https://rth.dk/resources/bsgatlas/details.php?id=BSGatlas-operon-2018","BSGatlas-operon-2018")</f>
        <v>BSGatlas-operon-2018</v>
      </c>
      <c r="B3869" s="2" t="str">
        <f>HYPERLINK("https://rth.dk/resources/bsgatlas/details.php?id=BSGatlas-gene-4190","BSGatlas-gene-4190")</f>
        <v>BSGatlas-gene-4190</v>
      </c>
      <c r="C3869" s="1" t="s">
        <v>3829</v>
      </c>
      <c r="D3869" s="1" t="s">
        <v>8</v>
      </c>
      <c r="E3869" s="3">
        <v>3697821</v>
      </c>
      <c r="F3869" s="3">
        <v>3698963</v>
      </c>
      <c r="G3869" s="1" t="s">
        <v>13</v>
      </c>
      <c r="H3869" s="1" t="b">
        <f t="shared" si="149"/>
        <v>0</v>
      </c>
    </row>
    <row r="3870" spans="1:8" ht="21" x14ac:dyDescent="0.25">
      <c r="A3870" s="2" t="str">
        <f>HYPERLINK("https://rth.dk/resources/bsgatlas/details.php?id=BSGatlas-operon-2018","BSGatlas-operon-2018")</f>
        <v>BSGatlas-operon-2018</v>
      </c>
      <c r="B3870" s="2" t="str">
        <f>HYPERLINK("https://rth.dk/resources/bsgatlas/details.php?id=BSGatlas-gene-4191","BSGatlas-gene-4191")</f>
        <v>BSGatlas-gene-4191</v>
      </c>
      <c r="C3870" s="1" t="s">
        <v>3830</v>
      </c>
      <c r="D3870" s="1" t="s">
        <v>8</v>
      </c>
      <c r="E3870" s="3">
        <v>3698982</v>
      </c>
      <c r="F3870" s="3">
        <v>3699431</v>
      </c>
      <c r="G3870" s="1" t="s">
        <v>13</v>
      </c>
      <c r="H3870" s="1" t="b">
        <f t="shared" si="149"/>
        <v>0</v>
      </c>
    </row>
    <row r="3871" spans="1:8" ht="21" x14ac:dyDescent="0.25">
      <c r="A3871" s="2" t="str">
        <f>HYPERLINK("https://rth.dk/resources/bsgatlas/details.php?id=BSGatlas-operon-2018","BSGatlas-operon-2018")</f>
        <v>BSGatlas-operon-2018</v>
      </c>
      <c r="B3871" s="2" t="str">
        <f>HYPERLINK("https://rth.dk/resources/bsgatlas/details.php?id=BSGatlas-gene-4192","BSGatlas-gene-4192")</f>
        <v>BSGatlas-gene-4192</v>
      </c>
      <c r="C3871" s="1" t="s">
        <v>3831</v>
      </c>
      <c r="D3871" s="1" t="s">
        <v>8</v>
      </c>
      <c r="E3871" s="3">
        <v>3699446</v>
      </c>
      <c r="F3871" s="3">
        <v>3700627</v>
      </c>
      <c r="G3871" s="1" t="s">
        <v>13</v>
      </c>
      <c r="H3871" s="1" t="b">
        <f t="shared" si="149"/>
        <v>0</v>
      </c>
    </row>
    <row r="3872" spans="1:8" ht="21" x14ac:dyDescent="0.25">
      <c r="A3872" s="2" t="str">
        <f t="shared" ref="A3872:A3877" si="150">HYPERLINK("https://rth.dk/resources/bsgatlas/details.php?id=BSGatlas-operon-2019","BSGatlas-operon-2019")</f>
        <v>BSGatlas-operon-2019</v>
      </c>
      <c r="B3872" s="2" t="str">
        <f>HYPERLINK("https://rth.dk/resources/bsgatlas/details.php?id=BSGatlas-gene-4193","BSGatlas-gene-4193")</f>
        <v>BSGatlas-gene-4193</v>
      </c>
      <c r="C3872" s="1" t="s">
        <v>3832</v>
      </c>
      <c r="D3872" s="1" t="s">
        <v>8</v>
      </c>
      <c r="E3872" s="3">
        <v>3701411</v>
      </c>
      <c r="F3872" s="3">
        <v>3702391</v>
      </c>
      <c r="G3872" s="1" t="s">
        <v>9</v>
      </c>
      <c r="H3872" s="1" t="b">
        <f t="shared" si="149"/>
        <v>1</v>
      </c>
    </row>
    <row r="3873" spans="1:8" ht="21" x14ac:dyDescent="0.25">
      <c r="A3873" s="2" t="str">
        <f t="shared" si="150"/>
        <v>BSGatlas-operon-2019</v>
      </c>
      <c r="B3873" s="2" t="str">
        <f>HYPERLINK("https://rth.dk/resources/bsgatlas/details.php?id=BSGatlas-gene-4194","BSGatlas-gene-4194")</f>
        <v>BSGatlas-gene-4194</v>
      </c>
      <c r="C3873" s="1" t="s">
        <v>3833</v>
      </c>
      <c r="D3873" s="1" t="s">
        <v>8</v>
      </c>
      <c r="E3873" s="3">
        <v>3702393</v>
      </c>
      <c r="F3873" s="3">
        <v>3703274</v>
      </c>
      <c r="G3873" s="1" t="s">
        <v>9</v>
      </c>
      <c r="H3873" s="1" t="b">
        <f t="shared" si="149"/>
        <v>1</v>
      </c>
    </row>
    <row r="3874" spans="1:8" ht="21" x14ac:dyDescent="0.25">
      <c r="A3874" s="2" t="str">
        <f t="shared" si="150"/>
        <v>BSGatlas-operon-2019</v>
      </c>
      <c r="B3874" s="2" t="str">
        <f>HYPERLINK("https://rth.dk/resources/bsgatlas/details.php?id=BSGatlas-gene-4195","BSGatlas-gene-4195")</f>
        <v>BSGatlas-gene-4195</v>
      </c>
      <c r="C3874" s="1" t="s">
        <v>3834</v>
      </c>
      <c r="D3874" s="1" t="s">
        <v>8</v>
      </c>
      <c r="E3874" s="3">
        <v>3703271</v>
      </c>
      <c r="F3874" s="3">
        <v>3703666</v>
      </c>
      <c r="G3874" s="1" t="s">
        <v>9</v>
      </c>
      <c r="H3874" s="1" t="b">
        <f t="shared" si="149"/>
        <v>1</v>
      </c>
    </row>
    <row r="3875" spans="1:8" ht="21" x14ac:dyDescent="0.25">
      <c r="A3875" s="2" t="str">
        <f t="shared" si="150"/>
        <v>BSGatlas-operon-2019</v>
      </c>
      <c r="B3875" s="2" t="str">
        <f>HYPERLINK("https://rth.dk/resources/bsgatlas/details.php?id=BSGatlas-gene-4196","BSGatlas-gene-4196")</f>
        <v>BSGatlas-gene-4196</v>
      </c>
      <c r="C3875" s="1" t="s">
        <v>3835</v>
      </c>
      <c r="D3875" s="1" t="s">
        <v>8</v>
      </c>
      <c r="E3875" s="3">
        <v>3703682</v>
      </c>
      <c r="F3875" s="3">
        <v>3705163</v>
      </c>
      <c r="G3875" s="1" t="s">
        <v>9</v>
      </c>
      <c r="H3875" s="1" t="b">
        <f t="shared" si="149"/>
        <v>1</v>
      </c>
    </row>
    <row r="3876" spans="1:8" ht="21" x14ac:dyDescent="0.25">
      <c r="A3876" s="2" t="str">
        <f t="shared" si="150"/>
        <v>BSGatlas-operon-2019</v>
      </c>
      <c r="B3876" s="2" t="str">
        <f>HYPERLINK("https://rth.dk/resources/bsgatlas/details.php?id=BSGatlas-gene-4197","BSGatlas-gene-4197")</f>
        <v>BSGatlas-gene-4197</v>
      </c>
      <c r="C3876" s="1" t="s">
        <v>3836</v>
      </c>
      <c r="D3876" s="1" t="s">
        <v>8</v>
      </c>
      <c r="E3876" s="3">
        <v>3705165</v>
      </c>
      <c r="F3876" s="3">
        <v>3706133</v>
      </c>
      <c r="G3876" s="1" t="s">
        <v>9</v>
      </c>
      <c r="H3876" s="1" t="b">
        <f t="shared" si="149"/>
        <v>1</v>
      </c>
    </row>
    <row r="3877" spans="1:8" ht="21" x14ac:dyDescent="0.25">
      <c r="A3877" s="2" t="str">
        <f t="shared" si="150"/>
        <v>BSGatlas-operon-2019</v>
      </c>
      <c r="B3877" s="2" t="str">
        <f>HYPERLINK("https://rth.dk/resources/bsgatlas/details.php?id=BSGatlas-gene-4198","BSGatlas-gene-4198")</f>
        <v>BSGatlas-gene-4198</v>
      </c>
      <c r="C3877" s="1" t="s">
        <v>3837</v>
      </c>
      <c r="D3877" s="1" t="s">
        <v>8</v>
      </c>
      <c r="E3877" s="3">
        <v>3706145</v>
      </c>
      <c r="F3877" s="3">
        <v>3707062</v>
      </c>
      <c r="G3877" s="1" t="s">
        <v>9</v>
      </c>
      <c r="H3877" s="1" t="b">
        <f t="shared" si="149"/>
        <v>1</v>
      </c>
    </row>
    <row r="3878" spans="1:8" ht="21" x14ac:dyDescent="0.25">
      <c r="A3878" s="2" t="str">
        <f>HYPERLINK("https://rth.dk/resources/bsgatlas/details.php?id=BSGatlas-operon-2020","BSGatlas-operon-2020")</f>
        <v>BSGatlas-operon-2020</v>
      </c>
      <c r="B3878" s="2" t="str">
        <f>HYPERLINK("https://rth.dk/resources/bsgatlas/details.php?id=BSGatlas-gene-4199","BSGatlas-gene-4199")</f>
        <v>BSGatlas-gene-4199</v>
      </c>
      <c r="C3878" s="1" t="s">
        <v>3838</v>
      </c>
      <c r="D3878" s="1" t="s">
        <v>8</v>
      </c>
      <c r="E3878" s="3">
        <v>3707144</v>
      </c>
      <c r="F3878" s="3">
        <v>3707680</v>
      </c>
      <c r="G3878" s="1" t="s">
        <v>9</v>
      </c>
      <c r="H3878" s="1" t="b">
        <f t="shared" si="149"/>
        <v>0</v>
      </c>
    </row>
    <row r="3879" spans="1:8" ht="21" x14ac:dyDescent="0.25">
      <c r="A3879" s="2" t="str">
        <f>HYPERLINK("https://rth.dk/resources/bsgatlas/details.php?id=BSGatlas-operon-2021","BSGatlas-operon-2021")</f>
        <v>BSGatlas-operon-2021</v>
      </c>
      <c r="B3879" s="2" t="str">
        <f>HYPERLINK("https://rth.dk/resources/bsgatlas/details.php?id=BSGatlas-gene-4200","BSGatlas-gene-4200")</f>
        <v>BSGatlas-gene-4200</v>
      </c>
      <c r="C3879" s="1" t="s">
        <v>3839</v>
      </c>
      <c r="D3879" s="1" t="s">
        <v>8</v>
      </c>
      <c r="E3879" s="3">
        <v>3707836</v>
      </c>
      <c r="F3879" s="3">
        <v>3708132</v>
      </c>
      <c r="G3879" s="1" t="s">
        <v>9</v>
      </c>
      <c r="H3879" s="1" t="b">
        <f t="shared" si="149"/>
        <v>1</v>
      </c>
    </row>
    <row r="3880" spans="1:8" ht="21" x14ac:dyDescent="0.25">
      <c r="A3880" s="2" t="str">
        <f>HYPERLINK("https://rth.dk/resources/bsgatlas/details.php?id=BSGatlas-operon-2022","BSGatlas-operon-2022")</f>
        <v>BSGatlas-operon-2022</v>
      </c>
      <c r="B3880" s="2" t="str">
        <f>HYPERLINK("https://rth.dk/resources/bsgatlas/details.php?id=BSGatlas-gene-4201","BSGatlas-gene-4201")</f>
        <v>BSGatlas-gene-4201</v>
      </c>
      <c r="C3880" s="1" t="s">
        <v>3840</v>
      </c>
      <c r="D3880" s="1" t="s">
        <v>8</v>
      </c>
      <c r="E3880" s="3">
        <v>3708172</v>
      </c>
      <c r="F3880" s="3">
        <v>3708699</v>
      </c>
      <c r="G3880" s="1" t="s">
        <v>13</v>
      </c>
      <c r="H3880" s="1" t="b">
        <f t="shared" si="149"/>
        <v>0</v>
      </c>
    </row>
    <row r="3881" spans="1:8" ht="21" x14ac:dyDescent="0.25">
      <c r="A3881" s="2" t="str">
        <f>HYPERLINK("https://rth.dk/resources/bsgatlas/details.php?id=BSGatlas-operon-2023","BSGatlas-operon-2023")</f>
        <v>BSGatlas-operon-2023</v>
      </c>
      <c r="B3881" s="2" t="str">
        <f>HYPERLINK("https://rth.dk/resources/bsgatlas/details.php?id=BSGatlas-gene-4202","BSGatlas-gene-4202")</f>
        <v>BSGatlas-gene-4202</v>
      </c>
      <c r="C3881" s="1" t="s">
        <v>3841</v>
      </c>
      <c r="D3881" s="1" t="s">
        <v>8</v>
      </c>
      <c r="E3881" s="3">
        <v>3708799</v>
      </c>
      <c r="F3881" s="3">
        <v>3709566</v>
      </c>
      <c r="G3881" s="1" t="s">
        <v>13</v>
      </c>
      <c r="H3881" s="1" t="b">
        <f t="shared" si="149"/>
        <v>1</v>
      </c>
    </row>
    <row r="3882" spans="1:8" ht="21" x14ac:dyDescent="0.25">
      <c r="A3882" s="2" t="str">
        <f>HYPERLINK("https://rth.dk/resources/bsgatlas/details.php?id=BSGatlas-operon-2023","BSGatlas-operon-2023")</f>
        <v>BSGatlas-operon-2023</v>
      </c>
      <c r="B3882" s="2" t="str">
        <f>HYPERLINK("https://rth.dk/resources/bsgatlas/details.php?id=BSGatlas-gene-4203","BSGatlas-gene-4203")</f>
        <v>BSGatlas-gene-4203</v>
      </c>
      <c r="C3882" s="1" t="s">
        <v>3842</v>
      </c>
      <c r="D3882" s="1" t="s">
        <v>8</v>
      </c>
      <c r="E3882" s="3">
        <v>3709628</v>
      </c>
      <c r="F3882" s="3">
        <v>3711340</v>
      </c>
      <c r="G3882" s="1" t="s">
        <v>13</v>
      </c>
      <c r="H3882" s="1" t="b">
        <f t="shared" si="149"/>
        <v>1</v>
      </c>
    </row>
    <row r="3883" spans="1:8" ht="21" x14ac:dyDescent="0.25">
      <c r="A3883" s="2" t="str">
        <f>HYPERLINK("https://rth.dk/resources/bsgatlas/details.php?id=BSGatlas-operon-2024","BSGatlas-operon-2024")</f>
        <v>BSGatlas-operon-2024</v>
      </c>
      <c r="B3883" s="2" t="str">
        <f>HYPERLINK("https://rth.dk/resources/bsgatlas/details.php?id=BSGatlas-gene-4204","BSGatlas-gene-4204")</f>
        <v>BSGatlas-gene-4204</v>
      </c>
      <c r="C3883" s="1" t="s">
        <v>3843</v>
      </c>
      <c r="D3883" s="1" t="s">
        <v>8</v>
      </c>
      <c r="E3883" s="3">
        <v>3711498</v>
      </c>
      <c r="F3883" s="3">
        <v>3712406</v>
      </c>
      <c r="G3883" s="1" t="s">
        <v>9</v>
      </c>
      <c r="H3883" s="1" t="b">
        <f t="shared" si="149"/>
        <v>0</v>
      </c>
    </row>
    <row r="3884" spans="1:8" ht="21" x14ac:dyDescent="0.25">
      <c r="A3884" s="2" t="str">
        <f>HYPERLINK("https://rth.dk/resources/bsgatlas/details.php?id=BSGatlas-operon-2024","BSGatlas-operon-2024")</f>
        <v>BSGatlas-operon-2024</v>
      </c>
      <c r="B3884" s="2" t="str">
        <f>HYPERLINK("https://rth.dk/resources/bsgatlas/details.php?id=BSGatlas-gene-4205","BSGatlas-gene-4205")</f>
        <v>BSGatlas-gene-4205</v>
      </c>
      <c r="C3884" s="1" t="s">
        <v>3844</v>
      </c>
      <c r="D3884" s="1" t="s">
        <v>8</v>
      </c>
      <c r="E3884" s="3">
        <v>3712617</v>
      </c>
      <c r="F3884" s="3">
        <v>3713945</v>
      </c>
      <c r="G3884" s="1" t="s">
        <v>9</v>
      </c>
      <c r="H3884" s="1" t="b">
        <f t="shared" si="149"/>
        <v>0</v>
      </c>
    </row>
    <row r="3885" spans="1:8" ht="21" x14ac:dyDescent="0.25">
      <c r="A3885" s="2" t="str">
        <f>HYPERLINK("https://rth.dk/resources/bsgatlas/details.php?id=BSGatlas-operon-2025","BSGatlas-operon-2025")</f>
        <v>BSGatlas-operon-2025</v>
      </c>
      <c r="B3885" s="2" t="str">
        <f>HYPERLINK("https://rth.dk/resources/bsgatlas/details.php?id=BSGatlas-gene-4206","BSGatlas-gene-4206")</f>
        <v>BSGatlas-gene-4206</v>
      </c>
      <c r="C3885" s="1" t="s">
        <v>3845</v>
      </c>
      <c r="D3885" s="1" t="s">
        <v>8</v>
      </c>
      <c r="E3885" s="3">
        <v>3714002</v>
      </c>
      <c r="F3885" s="3">
        <v>3714679</v>
      </c>
      <c r="G3885" s="1" t="s">
        <v>13</v>
      </c>
      <c r="H3885" s="1" t="b">
        <f t="shared" si="149"/>
        <v>1</v>
      </c>
    </row>
    <row r="3886" spans="1:8" ht="21" x14ac:dyDescent="0.25">
      <c r="A3886" s="2" t="str">
        <f>HYPERLINK("https://rth.dk/resources/bsgatlas/details.php?id=BSGatlas-operon-2025","BSGatlas-operon-2025")</f>
        <v>BSGatlas-operon-2025</v>
      </c>
      <c r="B3886" s="2" t="str">
        <f>HYPERLINK("https://rth.dk/resources/bsgatlas/details.php?id=BSGatlas-gene-4207","BSGatlas-gene-4207")</f>
        <v>BSGatlas-gene-4207</v>
      </c>
      <c r="C3886" s="1" t="s">
        <v>3846</v>
      </c>
      <c r="D3886" s="1" t="s">
        <v>8</v>
      </c>
      <c r="E3886" s="3">
        <v>3714739</v>
      </c>
      <c r="F3886" s="3">
        <v>3715881</v>
      </c>
      <c r="G3886" s="1" t="s">
        <v>13</v>
      </c>
      <c r="H3886" s="1" t="b">
        <f t="shared" si="149"/>
        <v>1</v>
      </c>
    </row>
    <row r="3887" spans="1:8" ht="21" x14ac:dyDescent="0.25">
      <c r="A3887" s="2" t="str">
        <f>HYPERLINK("https://rth.dk/resources/bsgatlas/details.php?id=BSGatlas-operon-2025","BSGatlas-operon-2025")</f>
        <v>BSGatlas-operon-2025</v>
      </c>
      <c r="B3887" s="2" t="str">
        <f>HYPERLINK("https://rth.dk/resources/bsgatlas/details.php?id=BSGatlas-gene-4208","BSGatlas-gene-4208")</f>
        <v>BSGatlas-gene-4208</v>
      </c>
      <c r="C3887" s="1" t="s">
        <v>3847</v>
      </c>
      <c r="D3887" s="1" t="s">
        <v>8</v>
      </c>
      <c r="E3887" s="3">
        <v>3716009</v>
      </c>
      <c r="F3887" s="3">
        <v>3717097</v>
      </c>
      <c r="G3887" s="1" t="s">
        <v>13</v>
      </c>
      <c r="H3887" s="1" t="b">
        <f t="shared" si="149"/>
        <v>1</v>
      </c>
    </row>
    <row r="3888" spans="1:8" ht="21" x14ac:dyDescent="0.25">
      <c r="A3888" s="2" t="str">
        <f>HYPERLINK("https://rth.dk/resources/bsgatlas/details.php?id=BSGatlas-operon-2026","BSGatlas-operon-2026")</f>
        <v>BSGatlas-operon-2026</v>
      </c>
      <c r="B3888" s="2" t="str">
        <f>HYPERLINK("https://rth.dk/resources/bsgatlas/details.php?id=BSGatlas-gene-4209","BSGatlas-gene-4209")</f>
        <v>BSGatlas-gene-4209</v>
      </c>
      <c r="C3888" s="1" t="s">
        <v>318</v>
      </c>
      <c r="D3888" s="1" t="s">
        <v>8</v>
      </c>
      <c r="E3888" s="3">
        <v>3717238</v>
      </c>
      <c r="F3888" s="3">
        <v>3717825</v>
      </c>
      <c r="G3888" s="1" t="s">
        <v>9</v>
      </c>
      <c r="H3888" s="1" t="b">
        <f t="shared" si="149"/>
        <v>0</v>
      </c>
    </row>
    <row r="3889" spans="1:8" ht="21" x14ac:dyDescent="0.25">
      <c r="A3889" s="2" t="str">
        <f>HYPERLINK("https://rth.dk/resources/bsgatlas/details.php?id=BSGatlas-operon-2027","BSGatlas-operon-2027")</f>
        <v>BSGatlas-operon-2027</v>
      </c>
      <c r="B3889" s="2" t="str">
        <f>HYPERLINK("https://rth.dk/resources/bsgatlas/details.php?id=BSGatlas-gene-4210","BSGatlas-gene-4210")</f>
        <v>BSGatlas-gene-4210</v>
      </c>
      <c r="C3889" s="1" t="s">
        <v>3848</v>
      </c>
      <c r="D3889" s="1" t="s">
        <v>12</v>
      </c>
      <c r="E3889" s="3">
        <v>3717709</v>
      </c>
      <c r="F3889" s="3">
        <v>3717906</v>
      </c>
      <c r="G3889" s="1" t="s">
        <v>13</v>
      </c>
      <c r="H3889" s="1" t="b">
        <f t="shared" si="149"/>
        <v>1</v>
      </c>
    </row>
    <row r="3890" spans="1:8" ht="21" x14ac:dyDescent="0.25">
      <c r="A3890" s="2" t="str">
        <f>HYPERLINK("https://rth.dk/resources/bsgatlas/details.php?id=BSGatlas-operon-2028","BSGatlas-operon-2028")</f>
        <v>BSGatlas-operon-2028</v>
      </c>
      <c r="B3890" s="2" t="str">
        <f>HYPERLINK("https://rth.dk/resources/bsgatlas/details.php?id=BSGatlas-gene-4211","BSGatlas-gene-4211")</f>
        <v>BSGatlas-gene-4211</v>
      </c>
      <c r="C3890" s="1" t="s">
        <v>3849</v>
      </c>
      <c r="D3890" s="1" t="s">
        <v>8</v>
      </c>
      <c r="E3890" s="3">
        <v>3717999</v>
      </c>
      <c r="F3890" s="3">
        <v>3718616</v>
      </c>
      <c r="G3890" s="1" t="s">
        <v>9</v>
      </c>
      <c r="H3890" s="1" t="b">
        <f t="shared" si="149"/>
        <v>0</v>
      </c>
    </row>
    <row r="3891" spans="1:8" ht="21" x14ac:dyDescent="0.25">
      <c r="A3891" s="2" t="str">
        <f>HYPERLINK("https://rth.dk/resources/bsgatlas/details.php?id=BSGatlas-operon-2029","BSGatlas-operon-2029")</f>
        <v>BSGatlas-operon-2029</v>
      </c>
      <c r="B3891" s="2" t="str">
        <f>HYPERLINK("https://rth.dk/resources/bsgatlas/details.php?id=BSGatlas-gene-4213","BSGatlas-gene-4213")</f>
        <v>BSGatlas-gene-4213</v>
      </c>
      <c r="C3891" s="1" t="s">
        <v>3850</v>
      </c>
      <c r="D3891" s="1" t="s">
        <v>8</v>
      </c>
      <c r="E3891" s="3">
        <v>3719134</v>
      </c>
      <c r="F3891" s="3">
        <v>3720711</v>
      </c>
      <c r="G3891" s="1" t="s">
        <v>13</v>
      </c>
      <c r="H3891" s="1" t="b">
        <f t="shared" si="149"/>
        <v>1</v>
      </c>
    </row>
    <row r="3892" spans="1:8" ht="21" x14ac:dyDescent="0.25">
      <c r="A3892" s="2" t="str">
        <f>HYPERLINK("https://rth.dk/resources/bsgatlas/details.php?id=BSGatlas-operon-2030","BSGatlas-operon-2030")</f>
        <v>BSGatlas-operon-2030</v>
      </c>
      <c r="B3892" s="2" t="str">
        <f>HYPERLINK("https://rth.dk/resources/bsgatlas/details.php?id=BSGatlas-gene-4212","BSGatlas-gene-4212")</f>
        <v>BSGatlas-gene-4212</v>
      </c>
      <c r="C3892" s="1" t="s">
        <v>3851</v>
      </c>
      <c r="D3892" s="1" t="s">
        <v>8</v>
      </c>
      <c r="E3892" s="3">
        <v>3718794</v>
      </c>
      <c r="F3892" s="3">
        <v>3719129</v>
      </c>
      <c r="G3892" s="1" t="s">
        <v>9</v>
      </c>
      <c r="H3892" s="1" t="b">
        <f t="shared" si="149"/>
        <v>0</v>
      </c>
    </row>
    <row r="3893" spans="1:8" ht="21" x14ac:dyDescent="0.25">
      <c r="A3893" s="2" t="str">
        <f>HYPERLINK("https://rth.dk/resources/bsgatlas/details.php?id=BSGatlas-operon-2031","BSGatlas-operon-2031")</f>
        <v>BSGatlas-operon-2031</v>
      </c>
      <c r="B3893" s="2" t="str">
        <f>HYPERLINK("https://rth.dk/resources/bsgatlas/details.php?id=BSGatlas-gene-4214","BSGatlas-gene-4214")</f>
        <v>BSGatlas-gene-4214</v>
      </c>
      <c r="C3893" s="1" t="s">
        <v>3852</v>
      </c>
      <c r="D3893" s="1" t="s">
        <v>8</v>
      </c>
      <c r="E3893" s="3">
        <v>3720925</v>
      </c>
      <c r="F3893" s="3">
        <v>3721401</v>
      </c>
      <c r="G3893" s="1" t="s">
        <v>9</v>
      </c>
      <c r="H3893" s="1" t="b">
        <f t="shared" si="149"/>
        <v>1</v>
      </c>
    </row>
    <row r="3894" spans="1:8" ht="21" x14ac:dyDescent="0.25">
      <c r="A3894" s="2" t="str">
        <f>HYPERLINK("https://rth.dk/resources/bsgatlas/details.php?id=BSGatlas-operon-2031","BSGatlas-operon-2031")</f>
        <v>BSGatlas-operon-2031</v>
      </c>
      <c r="B3894" s="2" t="str">
        <f>HYPERLINK("https://rth.dk/resources/bsgatlas/details.php?id=BSGatlas-gene-4215","BSGatlas-gene-4215")</f>
        <v>BSGatlas-gene-4215</v>
      </c>
      <c r="C3894" s="1" t="s">
        <v>3853</v>
      </c>
      <c r="D3894" s="1" t="s">
        <v>8</v>
      </c>
      <c r="E3894" s="3">
        <v>3721415</v>
      </c>
      <c r="F3894" s="3">
        <v>3722008</v>
      </c>
      <c r="G3894" s="1" t="s">
        <v>9</v>
      </c>
      <c r="H3894" s="1" t="b">
        <f t="shared" si="149"/>
        <v>1</v>
      </c>
    </row>
    <row r="3895" spans="1:8" ht="21" x14ac:dyDescent="0.25">
      <c r="A3895" s="2" t="str">
        <f>HYPERLINK("https://rth.dk/resources/bsgatlas/details.php?id=BSGatlas-operon-2031","BSGatlas-operon-2031")</f>
        <v>BSGatlas-operon-2031</v>
      </c>
      <c r="B3895" s="2" t="str">
        <f>HYPERLINK("https://rth.dk/resources/bsgatlas/details.php?id=BSGatlas-gene-4216","BSGatlas-gene-4216")</f>
        <v>BSGatlas-gene-4216</v>
      </c>
      <c r="C3895" s="1" t="s">
        <v>3854</v>
      </c>
      <c r="D3895" s="1" t="s">
        <v>8</v>
      </c>
      <c r="E3895" s="3">
        <v>3722005</v>
      </c>
      <c r="F3895" s="3">
        <v>3722541</v>
      </c>
      <c r="G3895" s="1" t="s">
        <v>9</v>
      </c>
      <c r="H3895" s="1" t="b">
        <f t="shared" si="149"/>
        <v>1</v>
      </c>
    </row>
    <row r="3896" spans="1:8" ht="21" x14ac:dyDescent="0.25">
      <c r="A3896" s="2" t="str">
        <f>HYPERLINK("https://rth.dk/resources/bsgatlas/details.php?id=BSGatlas-operon-2032","BSGatlas-operon-2032")</f>
        <v>BSGatlas-operon-2032</v>
      </c>
      <c r="B3896" s="2" t="str">
        <f>HYPERLINK("https://rth.dk/resources/bsgatlas/details.php?id=BSGatlas-gene-4217","BSGatlas-gene-4217")</f>
        <v>BSGatlas-gene-4217</v>
      </c>
      <c r="C3896" s="1" t="s">
        <v>3855</v>
      </c>
      <c r="D3896" s="1" t="s">
        <v>8</v>
      </c>
      <c r="E3896" s="3">
        <v>3722568</v>
      </c>
      <c r="F3896" s="3">
        <v>3722789</v>
      </c>
      <c r="G3896" s="1" t="s">
        <v>13</v>
      </c>
      <c r="H3896" s="1" t="b">
        <f t="shared" si="149"/>
        <v>0</v>
      </c>
    </row>
    <row r="3897" spans="1:8" ht="21" x14ac:dyDescent="0.25">
      <c r="A3897" s="2" t="str">
        <f>HYPERLINK("https://rth.dk/resources/bsgatlas/details.php?id=BSGatlas-operon-2033","BSGatlas-operon-2033")</f>
        <v>BSGatlas-operon-2033</v>
      </c>
      <c r="B3897" s="2" t="str">
        <f>HYPERLINK("https://rth.dk/resources/bsgatlas/details.php?id=BSGatlas-gene-4219","BSGatlas-gene-4219")</f>
        <v>BSGatlas-gene-4219</v>
      </c>
      <c r="C3897" s="1" t="s">
        <v>3856</v>
      </c>
      <c r="D3897" s="1" t="s">
        <v>8</v>
      </c>
      <c r="E3897" s="3">
        <v>3723454</v>
      </c>
      <c r="F3897" s="3">
        <v>3724335</v>
      </c>
      <c r="G3897" s="1" t="s">
        <v>9</v>
      </c>
      <c r="H3897" s="1" t="b">
        <f t="shared" si="149"/>
        <v>1</v>
      </c>
    </row>
    <row r="3898" spans="1:8" ht="21" x14ac:dyDescent="0.25">
      <c r="A3898" s="2" t="str">
        <f>HYPERLINK("https://rth.dk/resources/bsgatlas/details.php?id=BSGatlas-operon-2034","BSGatlas-operon-2034")</f>
        <v>BSGatlas-operon-2034</v>
      </c>
      <c r="B3898" s="2" t="str">
        <f>HYPERLINK("https://rth.dk/resources/bsgatlas/details.php?id=BSGatlas-gene-4218","BSGatlas-gene-4218")</f>
        <v>BSGatlas-gene-4218</v>
      </c>
      <c r="C3898" s="1" t="s">
        <v>3857</v>
      </c>
      <c r="D3898" s="1" t="s">
        <v>8</v>
      </c>
      <c r="E3898" s="3">
        <v>3722786</v>
      </c>
      <c r="F3898" s="3">
        <v>3723331</v>
      </c>
      <c r="G3898" s="1" t="s">
        <v>13</v>
      </c>
      <c r="H3898" s="1" t="b">
        <f t="shared" si="149"/>
        <v>0</v>
      </c>
    </row>
    <row r="3899" spans="1:8" ht="21" x14ac:dyDescent="0.25">
      <c r="A3899" s="2" t="str">
        <f>HYPERLINK("https://rth.dk/resources/bsgatlas/details.php?id=BSGatlas-operon-2035","BSGatlas-operon-2035")</f>
        <v>BSGatlas-operon-2035</v>
      </c>
      <c r="B3899" s="2" t="str">
        <f>HYPERLINK("https://rth.dk/resources/bsgatlas/details.php?id=BSGatlas-gene-4220","BSGatlas-gene-4220")</f>
        <v>BSGatlas-gene-4220</v>
      </c>
      <c r="C3899" s="1" t="s">
        <v>3858</v>
      </c>
      <c r="D3899" s="1" t="s">
        <v>8</v>
      </c>
      <c r="E3899" s="3">
        <v>3724420</v>
      </c>
      <c r="F3899" s="3">
        <v>3725136</v>
      </c>
      <c r="G3899" s="1" t="s">
        <v>13</v>
      </c>
      <c r="H3899" s="1" t="b">
        <f t="shared" si="149"/>
        <v>1</v>
      </c>
    </row>
    <row r="3900" spans="1:8" ht="21" x14ac:dyDescent="0.25">
      <c r="A3900" s="2" t="str">
        <f>HYPERLINK("https://rth.dk/resources/bsgatlas/details.php?id=BSGatlas-operon-2035","BSGatlas-operon-2035")</f>
        <v>BSGatlas-operon-2035</v>
      </c>
      <c r="B3900" s="2" t="str">
        <f>HYPERLINK("https://rth.dk/resources/bsgatlas/details.php?id=BSGatlas-gene-4221","BSGatlas-gene-4221")</f>
        <v>BSGatlas-gene-4221</v>
      </c>
      <c r="C3900" s="1" t="s">
        <v>3859</v>
      </c>
      <c r="D3900" s="1" t="s">
        <v>8</v>
      </c>
      <c r="E3900" s="3">
        <v>3725146</v>
      </c>
      <c r="F3900" s="3">
        <v>3725610</v>
      </c>
      <c r="G3900" s="1" t="s">
        <v>13</v>
      </c>
      <c r="H3900" s="1" t="b">
        <f t="shared" si="149"/>
        <v>1</v>
      </c>
    </row>
    <row r="3901" spans="1:8" ht="21" x14ac:dyDescent="0.25">
      <c r="A3901" s="2" t="str">
        <f>HYPERLINK("https://rth.dk/resources/bsgatlas/details.php?id=BSGatlas-operon-2035","BSGatlas-operon-2035")</f>
        <v>BSGatlas-operon-2035</v>
      </c>
      <c r="B3901" s="2" t="str">
        <f>HYPERLINK("https://rth.dk/resources/bsgatlas/details.php?id=BSGatlas-gene-4222","BSGatlas-gene-4222")</f>
        <v>BSGatlas-gene-4222</v>
      </c>
      <c r="C3901" s="1" t="s">
        <v>3860</v>
      </c>
      <c r="D3901" s="1" t="s">
        <v>8</v>
      </c>
      <c r="E3901" s="3">
        <v>3725600</v>
      </c>
      <c r="F3901" s="3">
        <v>3727408</v>
      </c>
      <c r="G3901" s="1" t="s">
        <v>13</v>
      </c>
      <c r="H3901" s="1" t="b">
        <f t="shared" si="149"/>
        <v>1</v>
      </c>
    </row>
    <row r="3902" spans="1:8" ht="21" x14ac:dyDescent="0.25">
      <c r="A3902" s="2" t="str">
        <f>HYPERLINK("https://rth.dk/resources/bsgatlas/details.php?id=BSGatlas-operon-2035","BSGatlas-operon-2035")</f>
        <v>BSGatlas-operon-2035</v>
      </c>
      <c r="B3902" s="2" t="str">
        <f>HYPERLINK("https://rth.dk/resources/bsgatlas/details.php?id=BSGatlas-gene-4223","BSGatlas-gene-4223")</f>
        <v>BSGatlas-gene-4223</v>
      </c>
      <c r="C3902" s="1" t="s">
        <v>3861</v>
      </c>
      <c r="D3902" s="1" t="s">
        <v>8</v>
      </c>
      <c r="E3902" s="3">
        <v>3727427</v>
      </c>
      <c r="F3902" s="3">
        <v>3727687</v>
      </c>
      <c r="G3902" s="1" t="s">
        <v>13</v>
      </c>
      <c r="H3902" s="1" t="b">
        <f t="shared" si="149"/>
        <v>1</v>
      </c>
    </row>
    <row r="3903" spans="1:8" ht="21" x14ac:dyDescent="0.25">
      <c r="A3903" s="2" t="str">
        <f>HYPERLINK("https://rth.dk/resources/bsgatlas/details.php?id=BSGatlas-operon-2035","BSGatlas-operon-2035")</f>
        <v>BSGatlas-operon-2035</v>
      </c>
      <c r="B3903" s="2" t="str">
        <f>HYPERLINK("https://rth.dk/resources/bsgatlas/details.php?id=BSGatlas-gene-4224","BSGatlas-gene-4224")</f>
        <v>BSGatlas-gene-4224</v>
      </c>
      <c r="C3903" s="1" t="s">
        <v>3862</v>
      </c>
      <c r="D3903" s="1" t="s">
        <v>8</v>
      </c>
      <c r="E3903" s="3">
        <v>3727697</v>
      </c>
      <c r="F3903" s="3">
        <v>3728119</v>
      </c>
      <c r="G3903" s="1" t="s">
        <v>13</v>
      </c>
      <c r="H3903" s="1" t="b">
        <f t="shared" si="149"/>
        <v>1</v>
      </c>
    </row>
    <row r="3904" spans="1:8" ht="21" x14ac:dyDescent="0.25">
      <c r="A3904" s="2" t="str">
        <f>HYPERLINK("https://rth.dk/resources/bsgatlas/details.php?id=BSGatlas-operon-2036","BSGatlas-operon-2036")</f>
        <v>BSGatlas-operon-2036</v>
      </c>
      <c r="B3904" s="2" t="str">
        <f>HYPERLINK("https://rth.dk/resources/bsgatlas/details.php?id=BSGatlas-gene-4226","BSGatlas-gene-4226")</f>
        <v>BSGatlas-gene-4226</v>
      </c>
      <c r="C3904" s="1" t="s">
        <v>3863</v>
      </c>
      <c r="D3904" s="1" t="s">
        <v>8</v>
      </c>
      <c r="E3904" s="3">
        <v>3728511</v>
      </c>
      <c r="F3904" s="3">
        <v>3729296</v>
      </c>
      <c r="G3904" s="1" t="s">
        <v>13</v>
      </c>
      <c r="H3904" s="1" t="b">
        <f t="shared" si="149"/>
        <v>0</v>
      </c>
    </row>
    <row r="3905" spans="1:8" ht="21" x14ac:dyDescent="0.25">
      <c r="A3905" s="2" t="str">
        <f>HYPERLINK("https://rth.dk/resources/bsgatlas/details.php?id=BSGatlas-operon-2037","BSGatlas-operon-2037")</f>
        <v>BSGatlas-operon-2037</v>
      </c>
      <c r="B3905" s="2" t="str">
        <f>HYPERLINK("https://rth.dk/resources/bsgatlas/details.php?id=BSGatlas-gene-4227","BSGatlas-gene-4227")</f>
        <v>BSGatlas-gene-4227</v>
      </c>
      <c r="C3905" s="1" t="s">
        <v>3864</v>
      </c>
      <c r="D3905" s="1" t="s">
        <v>8</v>
      </c>
      <c r="E3905" s="3">
        <v>3729488</v>
      </c>
      <c r="F3905" s="3">
        <v>3730810</v>
      </c>
      <c r="G3905" s="1" t="s">
        <v>13</v>
      </c>
      <c r="H3905" s="1" t="b">
        <f t="shared" si="149"/>
        <v>1</v>
      </c>
    </row>
    <row r="3906" spans="1:8" ht="21" x14ac:dyDescent="0.25">
      <c r="A3906" s="2" t="str">
        <f>HYPERLINK("https://rth.dk/resources/bsgatlas/details.php?id=BSGatlas-operon-2037","BSGatlas-operon-2037")</f>
        <v>BSGatlas-operon-2037</v>
      </c>
      <c r="B3906" s="2" t="str">
        <f>HYPERLINK("https://rth.dk/resources/bsgatlas/details.php?id=BSGatlas-gene-4228","BSGatlas-gene-4228")</f>
        <v>BSGatlas-gene-4228</v>
      </c>
      <c r="C3906" s="1" t="s">
        <v>3865</v>
      </c>
      <c r="D3906" s="1" t="s">
        <v>8</v>
      </c>
      <c r="E3906" s="3">
        <v>3731005</v>
      </c>
      <c r="F3906" s="3">
        <v>3731769</v>
      </c>
      <c r="G3906" s="1" t="s">
        <v>13</v>
      </c>
      <c r="H3906" s="1" t="b">
        <f t="shared" ref="H3906:H3969" si="151">_xlfn.XOR(A3905&lt;&gt;A3906,H3905)</f>
        <v>1</v>
      </c>
    </row>
    <row r="3907" spans="1:8" ht="21" x14ac:dyDescent="0.25">
      <c r="A3907" s="2" t="str">
        <f>HYPERLINK("https://rth.dk/resources/bsgatlas/details.php?id=BSGatlas-operon-2037","BSGatlas-operon-2037")</f>
        <v>BSGatlas-operon-2037</v>
      </c>
      <c r="B3907" s="2" t="str">
        <f>HYPERLINK("https://rth.dk/resources/bsgatlas/details.php?id=BSGatlas-gene-4229","BSGatlas-gene-4229")</f>
        <v>BSGatlas-gene-4229</v>
      </c>
      <c r="C3907" s="1" t="s">
        <v>3866</v>
      </c>
      <c r="D3907" s="1" t="s">
        <v>8</v>
      </c>
      <c r="E3907" s="3">
        <v>3731822</v>
      </c>
      <c r="F3907" s="3">
        <v>3732535</v>
      </c>
      <c r="G3907" s="1" t="s">
        <v>13</v>
      </c>
      <c r="H3907" s="1" t="b">
        <f t="shared" si="151"/>
        <v>1</v>
      </c>
    </row>
    <row r="3908" spans="1:8" ht="21" x14ac:dyDescent="0.25">
      <c r="A3908" s="2" t="str">
        <f>HYPERLINK("https://rth.dk/resources/bsgatlas/details.php?id=BSGatlas-operon-2037","BSGatlas-operon-2037")</f>
        <v>BSGatlas-operon-2037</v>
      </c>
      <c r="B3908" s="2" t="str">
        <f>HYPERLINK("https://rth.dk/resources/bsgatlas/details.php?id=BSGatlas-gene-4230","BSGatlas-gene-4230")</f>
        <v>BSGatlas-gene-4230</v>
      </c>
      <c r="C3908" s="1" t="s">
        <v>3867</v>
      </c>
      <c r="D3908" s="1" t="s">
        <v>8</v>
      </c>
      <c r="E3908" s="3">
        <v>3732525</v>
      </c>
      <c r="F3908" s="3">
        <v>3733271</v>
      </c>
      <c r="G3908" s="1" t="s">
        <v>13</v>
      </c>
      <c r="H3908" s="1" t="b">
        <f t="shared" si="151"/>
        <v>1</v>
      </c>
    </row>
    <row r="3909" spans="1:8" ht="21" x14ac:dyDescent="0.25">
      <c r="A3909" s="2" t="str">
        <f>HYPERLINK("https://rth.dk/resources/bsgatlas/details.php?id=BSGatlas-operon-2038","BSGatlas-operon-2038")</f>
        <v>BSGatlas-operon-2038</v>
      </c>
      <c r="B3909" s="2" t="str">
        <f>HYPERLINK("https://rth.dk/resources/bsgatlas/details.php?id=BSGatlas-gene-4231","BSGatlas-gene-4231")</f>
        <v>BSGatlas-gene-4231</v>
      </c>
      <c r="C3909" s="1" t="s">
        <v>3868</v>
      </c>
      <c r="D3909" s="1" t="s">
        <v>8</v>
      </c>
      <c r="E3909" s="3">
        <v>3733505</v>
      </c>
      <c r="F3909" s="3">
        <v>3733648</v>
      </c>
      <c r="G3909" s="1" t="s">
        <v>13</v>
      </c>
      <c r="H3909" s="1" t="b">
        <f t="shared" si="151"/>
        <v>0</v>
      </c>
    </row>
    <row r="3910" spans="1:8" ht="21" x14ac:dyDescent="0.25">
      <c r="A3910" s="2" t="str">
        <f>HYPERLINK("https://rth.dk/resources/bsgatlas/details.php?id=BSGatlas-operon-2039","BSGatlas-operon-2039")</f>
        <v>BSGatlas-operon-2039</v>
      </c>
      <c r="B3910" s="2" t="str">
        <f>HYPERLINK("https://rth.dk/resources/bsgatlas/details.php?id=BSGatlas-gene-4232","BSGatlas-gene-4232")</f>
        <v>BSGatlas-gene-4232</v>
      </c>
      <c r="C3910" s="1" t="s">
        <v>3869</v>
      </c>
      <c r="D3910" s="1" t="s">
        <v>8</v>
      </c>
      <c r="E3910" s="3">
        <v>3733852</v>
      </c>
      <c r="F3910" s="3">
        <v>3735462</v>
      </c>
      <c r="G3910" s="1" t="s">
        <v>9</v>
      </c>
      <c r="H3910" s="1" t="b">
        <f t="shared" si="151"/>
        <v>1</v>
      </c>
    </row>
    <row r="3911" spans="1:8" ht="21" x14ac:dyDescent="0.25">
      <c r="A3911" s="2" t="str">
        <f>HYPERLINK("https://rth.dk/resources/bsgatlas/details.php?id=BSGatlas-operon-2039","BSGatlas-operon-2039")</f>
        <v>BSGatlas-operon-2039</v>
      </c>
      <c r="B3911" s="2" t="str">
        <f>HYPERLINK("https://rth.dk/resources/bsgatlas/details.php?id=BSGatlas-gene-4233","BSGatlas-gene-4233")</f>
        <v>BSGatlas-gene-4233</v>
      </c>
      <c r="C3911" s="1" t="s">
        <v>3870</v>
      </c>
      <c r="D3911" s="1" t="s">
        <v>8</v>
      </c>
      <c r="E3911" s="3">
        <v>3735449</v>
      </c>
      <c r="F3911" s="3">
        <v>3738217</v>
      </c>
      <c r="G3911" s="1" t="s">
        <v>9</v>
      </c>
      <c r="H3911" s="1" t="b">
        <f t="shared" si="151"/>
        <v>1</v>
      </c>
    </row>
    <row r="3912" spans="1:8" ht="21" x14ac:dyDescent="0.25">
      <c r="A3912" s="2" t="str">
        <f>HYPERLINK("https://rth.dk/resources/bsgatlas/details.php?id=BSGatlas-operon-2040","BSGatlas-operon-2040")</f>
        <v>BSGatlas-operon-2040</v>
      </c>
      <c r="B3912" s="2" t="str">
        <f>HYPERLINK("https://rth.dk/resources/bsgatlas/details.php?id=BSGatlas-gene-4234","BSGatlas-gene-4234")</f>
        <v>BSGatlas-gene-4234</v>
      </c>
      <c r="C3912" s="1" t="s">
        <v>3871</v>
      </c>
      <c r="D3912" s="1" t="s">
        <v>8</v>
      </c>
      <c r="E3912" s="3">
        <v>3738343</v>
      </c>
      <c r="F3912" s="3">
        <v>3739200</v>
      </c>
      <c r="G3912" s="1" t="s">
        <v>13</v>
      </c>
      <c r="H3912" s="1" t="b">
        <f t="shared" si="151"/>
        <v>0</v>
      </c>
    </row>
    <row r="3913" spans="1:8" ht="21" x14ac:dyDescent="0.25">
      <c r="A3913" s="2" t="str">
        <f>HYPERLINK("https://rth.dk/resources/bsgatlas/details.php?id=BSGatlas-operon-2040","BSGatlas-operon-2040")</f>
        <v>BSGatlas-operon-2040</v>
      </c>
      <c r="B3913" s="2" t="str">
        <f>HYPERLINK("https://rth.dk/resources/bsgatlas/details.php?id=BSGatlas-gene-4235","BSGatlas-gene-4235")</f>
        <v>BSGatlas-gene-4235</v>
      </c>
      <c r="C3913" s="1" t="s">
        <v>3872</v>
      </c>
      <c r="D3913" s="1" t="s">
        <v>8</v>
      </c>
      <c r="E3913" s="3">
        <v>3739206</v>
      </c>
      <c r="F3913" s="3">
        <v>3739982</v>
      </c>
      <c r="G3913" s="1" t="s">
        <v>13</v>
      </c>
      <c r="H3913" s="1" t="b">
        <f t="shared" si="151"/>
        <v>0</v>
      </c>
    </row>
    <row r="3914" spans="1:8" ht="21" x14ac:dyDescent="0.25">
      <c r="A3914" s="2" t="str">
        <f>HYPERLINK("https://rth.dk/resources/bsgatlas/details.php?id=BSGatlas-operon-2040","BSGatlas-operon-2040")</f>
        <v>BSGatlas-operon-2040</v>
      </c>
      <c r="B3914" s="2" t="str">
        <f>HYPERLINK("https://rth.dk/resources/bsgatlas/details.php?id=BSGatlas-gene-4236","BSGatlas-gene-4236")</f>
        <v>BSGatlas-gene-4236</v>
      </c>
      <c r="C3914" s="1" t="s">
        <v>3873</v>
      </c>
      <c r="D3914" s="1" t="s">
        <v>8</v>
      </c>
      <c r="E3914" s="3">
        <v>3740206</v>
      </c>
      <c r="F3914" s="3">
        <v>3740547</v>
      </c>
      <c r="G3914" s="1" t="s">
        <v>13</v>
      </c>
      <c r="H3914" s="1" t="b">
        <f t="shared" si="151"/>
        <v>0</v>
      </c>
    </row>
    <row r="3915" spans="1:8" ht="21" x14ac:dyDescent="0.25">
      <c r="A3915" s="2" t="str">
        <f>HYPERLINK("https://rth.dk/resources/bsgatlas/details.php?id=BSGatlas-operon-2040","BSGatlas-operon-2040")</f>
        <v>BSGatlas-operon-2040</v>
      </c>
      <c r="B3915" s="2" t="str">
        <f>HYPERLINK("https://rth.dk/resources/bsgatlas/details.php?id=BSGatlas-gene-4237","BSGatlas-gene-4237")</f>
        <v>BSGatlas-gene-4237</v>
      </c>
      <c r="C3915" s="1" t="s">
        <v>3874</v>
      </c>
      <c r="D3915" s="1" t="s">
        <v>8</v>
      </c>
      <c r="E3915" s="3">
        <v>3740624</v>
      </c>
      <c r="F3915" s="3">
        <v>3741007</v>
      </c>
      <c r="G3915" s="1" t="s">
        <v>13</v>
      </c>
      <c r="H3915" s="1" t="b">
        <f t="shared" si="151"/>
        <v>0</v>
      </c>
    </row>
    <row r="3916" spans="1:8" ht="21" x14ac:dyDescent="0.25">
      <c r="A3916" s="2" t="str">
        <f>HYPERLINK("https://rth.dk/resources/bsgatlas/details.php?id=BSGatlas-operon-2041","BSGatlas-operon-2041")</f>
        <v>BSGatlas-operon-2041</v>
      </c>
      <c r="B3916" s="2" t="str">
        <f>HYPERLINK("https://rth.dk/resources/bsgatlas/details.php?id=BSGatlas-gene-4238","BSGatlas-gene-4238")</f>
        <v>BSGatlas-gene-4238</v>
      </c>
      <c r="C3916" s="1" t="s">
        <v>3875</v>
      </c>
      <c r="D3916" s="1" t="s">
        <v>8</v>
      </c>
      <c r="E3916" s="3">
        <v>3741182</v>
      </c>
      <c r="F3916" s="3">
        <v>3741592</v>
      </c>
      <c r="G3916" s="1" t="s">
        <v>9</v>
      </c>
      <c r="H3916" s="1" t="b">
        <f t="shared" si="151"/>
        <v>1</v>
      </c>
    </row>
    <row r="3917" spans="1:8" ht="21" x14ac:dyDescent="0.25">
      <c r="A3917" s="2" t="str">
        <f>HYPERLINK("https://rth.dk/resources/bsgatlas/details.php?id=BSGatlas-operon-2042","BSGatlas-operon-2042")</f>
        <v>BSGatlas-operon-2042</v>
      </c>
      <c r="B3917" s="2" t="str">
        <f>HYPERLINK("https://rth.dk/resources/bsgatlas/details.php?id=BSGatlas-gene-4239","BSGatlas-gene-4239")</f>
        <v>BSGatlas-gene-4239</v>
      </c>
      <c r="C3917" s="1" t="s">
        <v>3876</v>
      </c>
      <c r="D3917" s="1" t="s">
        <v>8</v>
      </c>
      <c r="E3917" s="3">
        <v>3741732</v>
      </c>
      <c r="F3917" s="3">
        <v>3742040</v>
      </c>
      <c r="G3917" s="1" t="s">
        <v>13</v>
      </c>
      <c r="H3917" s="1" t="b">
        <f t="shared" si="151"/>
        <v>0</v>
      </c>
    </row>
    <row r="3918" spans="1:8" ht="21" x14ac:dyDescent="0.25">
      <c r="A3918" s="2" t="str">
        <f>HYPERLINK("https://rth.dk/resources/bsgatlas/details.php?id=BSGatlas-operon-2043","BSGatlas-operon-2043")</f>
        <v>BSGatlas-operon-2043</v>
      </c>
      <c r="B3918" s="2" t="str">
        <f>HYPERLINK("https://rth.dk/resources/bsgatlas/details.php?id=BSGatlas-gene-4240","BSGatlas-gene-4240")</f>
        <v>BSGatlas-gene-4240</v>
      </c>
      <c r="C3918" s="1" t="s">
        <v>3877</v>
      </c>
      <c r="D3918" s="1" t="s">
        <v>8</v>
      </c>
      <c r="E3918" s="3">
        <v>3742384</v>
      </c>
      <c r="F3918" s="3">
        <v>3743220</v>
      </c>
      <c r="G3918" s="1" t="s">
        <v>9</v>
      </c>
      <c r="H3918" s="1" t="b">
        <f t="shared" si="151"/>
        <v>1</v>
      </c>
    </row>
    <row r="3919" spans="1:8" ht="21" x14ac:dyDescent="0.25">
      <c r="A3919" s="2" t="str">
        <f>HYPERLINK("https://rth.dk/resources/bsgatlas/details.php?id=BSGatlas-operon-2044","BSGatlas-operon-2044")</f>
        <v>BSGatlas-operon-2044</v>
      </c>
      <c r="B3919" s="2" t="str">
        <f>HYPERLINK("https://rth.dk/resources/bsgatlas/details.php?id=BSGatlas-gene-4241","BSGatlas-gene-4241")</f>
        <v>BSGatlas-gene-4241</v>
      </c>
      <c r="C3919" s="1" t="s">
        <v>3878</v>
      </c>
      <c r="D3919" s="1" t="s">
        <v>8</v>
      </c>
      <c r="E3919" s="3">
        <v>3743267</v>
      </c>
      <c r="F3919" s="3">
        <v>3743659</v>
      </c>
      <c r="G3919" s="1" t="s">
        <v>13</v>
      </c>
      <c r="H3919" s="1" t="b">
        <f t="shared" si="151"/>
        <v>0</v>
      </c>
    </row>
    <row r="3920" spans="1:8" ht="21" x14ac:dyDescent="0.25">
      <c r="A3920" s="2" t="str">
        <f>HYPERLINK("https://rth.dk/resources/bsgatlas/details.php?id=BSGatlas-operon-2044","BSGatlas-operon-2044")</f>
        <v>BSGatlas-operon-2044</v>
      </c>
      <c r="B3920" s="2" t="str">
        <f>HYPERLINK("https://rth.dk/resources/bsgatlas/details.php?id=BSGatlas-gene-4242","BSGatlas-gene-4242")</f>
        <v>BSGatlas-gene-4242</v>
      </c>
      <c r="C3920" s="1" t="s">
        <v>3879</v>
      </c>
      <c r="D3920" s="1" t="s">
        <v>8</v>
      </c>
      <c r="E3920" s="3">
        <v>3743732</v>
      </c>
      <c r="F3920" s="3">
        <v>3744157</v>
      </c>
      <c r="G3920" s="1" t="s">
        <v>13</v>
      </c>
      <c r="H3920" s="1" t="b">
        <f t="shared" si="151"/>
        <v>0</v>
      </c>
    </row>
    <row r="3921" spans="1:8" ht="21" x14ac:dyDescent="0.25">
      <c r="A3921" s="2" t="str">
        <f>HYPERLINK("https://rth.dk/resources/bsgatlas/details.php?id=BSGatlas-operon-2045","BSGatlas-operon-2045")</f>
        <v>BSGatlas-operon-2045</v>
      </c>
      <c r="B3921" s="2" t="str">
        <f>HYPERLINK("https://rth.dk/resources/bsgatlas/details.php?id=BSGatlas-gene-4243","BSGatlas-gene-4243")</f>
        <v>BSGatlas-gene-4243</v>
      </c>
      <c r="C3921" s="1" t="s">
        <v>3880</v>
      </c>
      <c r="D3921" s="1" t="s">
        <v>8</v>
      </c>
      <c r="E3921" s="3">
        <v>3744349</v>
      </c>
      <c r="F3921" s="3">
        <v>3745413</v>
      </c>
      <c r="G3921" s="1" t="s">
        <v>9</v>
      </c>
      <c r="H3921" s="1" t="b">
        <f t="shared" si="151"/>
        <v>1</v>
      </c>
    </row>
    <row r="3922" spans="1:8" ht="21" x14ac:dyDescent="0.25">
      <c r="A3922" s="2" t="str">
        <f>HYPERLINK("https://rth.dk/resources/bsgatlas/details.php?id=BSGatlas-operon-2046","BSGatlas-operon-2046")</f>
        <v>BSGatlas-operon-2046</v>
      </c>
      <c r="B3922" s="2" t="str">
        <f>HYPERLINK("https://rth.dk/resources/bsgatlas/details.php?id=BSGatlas-gene-4244","BSGatlas-gene-4244")</f>
        <v>BSGatlas-gene-4244</v>
      </c>
      <c r="C3922" s="1" t="s">
        <v>3881</v>
      </c>
      <c r="D3922" s="1" t="s">
        <v>8</v>
      </c>
      <c r="E3922" s="3">
        <v>3745436</v>
      </c>
      <c r="F3922" s="3">
        <v>3746245</v>
      </c>
      <c r="G3922" s="1" t="s">
        <v>13</v>
      </c>
      <c r="H3922" s="1" t="b">
        <f t="shared" si="151"/>
        <v>0</v>
      </c>
    </row>
    <row r="3923" spans="1:8" ht="21" x14ac:dyDescent="0.25">
      <c r="A3923" s="2" t="str">
        <f>HYPERLINK("https://rth.dk/resources/bsgatlas/details.php?id=BSGatlas-operon-2046","BSGatlas-operon-2046")</f>
        <v>BSGatlas-operon-2046</v>
      </c>
      <c r="B3923" s="2" t="str">
        <f>HYPERLINK("https://rth.dk/resources/bsgatlas/details.php?id=BSGatlas-gene-4245","BSGatlas-gene-4245")</f>
        <v>BSGatlas-gene-4245</v>
      </c>
      <c r="C3923" s="1" t="s">
        <v>3882</v>
      </c>
      <c r="D3923" s="1" t="s">
        <v>8</v>
      </c>
      <c r="E3923" s="3">
        <v>3746279</v>
      </c>
      <c r="F3923" s="3">
        <v>3747091</v>
      </c>
      <c r="G3923" s="1" t="s">
        <v>13</v>
      </c>
      <c r="H3923" s="1" t="b">
        <f t="shared" si="151"/>
        <v>0</v>
      </c>
    </row>
    <row r="3924" spans="1:8" ht="21" x14ac:dyDescent="0.25">
      <c r="A3924" s="2" t="str">
        <f>HYPERLINK("https://rth.dk/resources/bsgatlas/details.php?id=BSGatlas-operon-2046","BSGatlas-operon-2046")</f>
        <v>BSGatlas-operon-2046</v>
      </c>
      <c r="B3924" s="2" t="str">
        <f>HYPERLINK("https://rth.dk/resources/bsgatlas/details.php?id=BSGatlas-gene-4246","BSGatlas-gene-4246")</f>
        <v>BSGatlas-gene-4246</v>
      </c>
      <c r="C3924" s="1" t="s">
        <v>3883</v>
      </c>
      <c r="D3924" s="1" t="s">
        <v>8</v>
      </c>
      <c r="E3924" s="3">
        <v>3747254</v>
      </c>
      <c r="F3924" s="3">
        <v>3748255</v>
      </c>
      <c r="G3924" s="1" t="s">
        <v>13</v>
      </c>
      <c r="H3924" s="1" t="b">
        <f t="shared" si="151"/>
        <v>0</v>
      </c>
    </row>
    <row r="3925" spans="1:8" ht="21" x14ac:dyDescent="0.25">
      <c r="A3925" s="2" t="str">
        <f>HYPERLINK("https://rth.dk/resources/bsgatlas/details.php?id=BSGatlas-operon-2046","BSGatlas-operon-2046")</f>
        <v>BSGatlas-operon-2046</v>
      </c>
      <c r="B3925" s="2" t="str">
        <f>HYPERLINK("https://rth.dk/resources/bsgatlas/details.php?id=BSGatlas-gene-4247","BSGatlas-gene-4247")</f>
        <v>BSGatlas-gene-4247</v>
      </c>
      <c r="C3925" s="1" t="s">
        <v>3884</v>
      </c>
      <c r="D3925" s="1" t="s">
        <v>8</v>
      </c>
      <c r="E3925" s="3">
        <v>3748421</v>
      </c>
      <c r="F3925" s="3">
        <v>3748702</v>
      </c>
      <c r="G3925" s="1" t="s">
        <v>13</v>
      </c>
      <c r="H3925" s="1" t="b">
        <f t="shared" si="151"/>
        <v>0</v>
      </c>
    </row>
    <row r="3926" spans="1:8" ht="21" x14ac:dyDescent="0.25">
      <c r="A3926" s="2" t="str">
        <f>HYPERLINK("https://rth.dk/resources/bsgatlas/details.php?id=BSGatlas-operon-2046","BSGatlas-operon-2046")</f>
        <v>BSGatlas-operon-2046</v>
      </c>
      <c r="B3926" s="2" t="str">
        <f>HYPERLINK("https://rth.dk/resources/bsgatlas/details.php?id=BSGatlas-gene-4248","BSGatlas-gene-4248")</f>
        <v>BSGatlas-gene-4248</v>
      </c>
      <c r="C3926" s="1" t="s">
        <v>3885</v>
      </c>
      <c r="D3926" s="1" t="s">
        <v>8</v>
      </c>
      <c r="E3926" s="3">
        <v>3748717</v>
      </c>
      <c r="F3926" s="3">
        <v>3748827</v>
      </c>
      <c r="G3926" s="1" t="s">
        <v>13</v>
      </c>
      <c r="H3926" s="1" t="b">
        <f t="shared" si="151"/>
        <v>0</v>
      </c>
    </row>
    <row r="3927" spans="1:8" ht="21" x14ac:dyDescent="0.25">
      <c r="A3927" s="2" t="str">
        <f>HYPERLINK("https://rth.dk/resources/bsgatlas/details.php?id=BSGatlas-operon-2047","BSGatlas-operon-2047")</f>
        <v>BSGatlas-operon-2047</v>
      </c>
      <c r="B3927" s="2" t="str">
        <f>HYPERLINK("https://rth.dk/resources/bsgatlas/details.php?id=BSGatlas-gene-4249","BSGatlas-gene-4249")</f>
        <v>BSGatlas-gene-4249</v>
      </c>
      <c r="C3927" s="1" t="s">
        <v>3886</v>
      </c>
      <c r="D3927" s="1" t="s">
        <v>8</v>
      </c>
      <c r="E3927" s="3">
        <v>3749052</v>
      </c>
      <c r="F3927" s="3">
        <v>3749465</v>
      </c>
      <c r="G3927" s="1" t="s">
        <v>9</v>
      </c>
      <c r="H3927" s="1" t="b">
        <f t="shared" si="151"/>
        <v>1</v>
      </c>
    </row>
    <row r="3928" spans="1:8" ht="21" x14ac:dyDescent="0.25">
      <c r="A3928" s="2" t="str">
        <f>HYPERLINK("https://rth.dk/resources/bsgatlas/details.php?id=BSGatlas-operon-2048","BSGatlas-operon-2048")</f>
        <v>BSGatlas-operon-2048</v>
      </c>
      <c r="B3928" s="2" t="str">
        <f>HYPERLINK("https://rth.dk/resources/bsgatlas/details.php?id=BSGatlas-gene-4250","BSGatlas-gene-4250")</f>
        <v>BSGatlas-gene-4250</v>
      </c>
      <c r="C3928" s="1" t="s">
        <v>3887</v>
      </c>
      <c r="D3928" s="1" t="s">
        <v>8</v>
      </c>
      <c r="E3928" s="3">
        <v>3749487</v>
      </c>
      <c r="F3928" s="3">
        <v>3750677</v>
      </c>
      <c r="G3928" s="1" t="s">
        <v>9</v>
      </c>
      <c r="H3928" s="1" t="b">
        <f t="shared" si="151"/>
        <v>0</v>
      </c>
    </row>
    <row r="3929" spans="1:8" ht="21" x14ac:dyDescent="0.25">
      <c r="A3929" s="2" t="str">
        <f>HYPERLINK("https://rth.dk/resources/bsgatlas/details.php?id=BSGatlas-operon-2049","BSGatlas-operon-2049")</f>
        <v>BSGatlas-operon-2049</v>
      </c>
      <c r="B3929" s="2" t="str">
        <f>HYPERLINK("https://rth.dk/resources/bsgatlas/details.php?id=BSGatlas-gene-4251","BSGatlas-gene-4251")</f>
        <v>BSGatlas-gene-4251</v>
      </c>
      <c r="C3929" s="1" t="s">
        <v>3888</v>
      </c>
      <c r="D3929" s="1" t="s">
        <v>8</v>
      </c>
      <c r="E3929" s="3">
        <v>3750768</v>
      </c>
      <c r="F3929" s="3">
        <v>3752174</v>
      </c>
      <c r="G3929" s="1" t="s">
        <v>13</v>
      </c>
      <c r="H3929" s="1" t="b">
        <f t="shared" si="151"/>
        <v>1</v>
      </c>
    </row>
    <row r="3930" spans="1:8" ht="21" x14ac:dyDescent="0.25">
      <c r="A3930" s="2" t="str">
        <f>HYPERLINK("https://rth.dk/resources/bsgatlas/details.php?id=BSGatlas-operon-2050","BSGatlas-operon-2050")</f>
        <v>BSGatlas-operon-2050</v>
      </c>
      <c r="B3930" s="2" t="str">
        <f>HYPERLINK("https://rth.dk/resources/bsgatlas/details.php?id=BSGatlas-gene-4252","BSGatlas-gene-4252")</f>
        <v>BSGatlas-gene-4252</v>
      </c>
      <c r="C3930" s="1" t="s">
        <v>3889</v>
      </c>
      <c r="D3930" s="1" t="s">
        <v>8</v>
      </c>
      <c r="E3930" s="3">
        <v>3752280</v>
      </c>
      <c r="F3930" s="3">
        <v>3753752</v>
      </c>
      <c r="G3930" s="1" t="s">
        <v>13</v>
      </c>
      <c r="H3930" s="1" t="b">
        <f t="shared" si="151"/>
        <v>0</v>
      </c>
    </row>
    <row r="3931" spans="1:8" ht="21" x14ac:dyDescent="0.25">
      <c r="A3931" s="2" t="str">
        <f>HYPERLINK("https://rth.dk/resources/bsgatlas/details.php?id=BSGatlas-operon-2051","BSGatlas-operon-2051")</f>
        <v>BSGatlas-operon-2051</v>
      </c>
      <c r="B3931" s="2" t="str">
        <f>HYPERLINK("https://rth.dk/resources/bsgatlas/details.php?id=BSGatlas-gene-4253","BSGatlas-gene-4253")</f>
        <v>BSGatlas-gene-4253</v>
      </c>
      <c r="C3931" s="1" t="s">
        <v>3890</v>
      </c>
      <c r="D3931" s="1" t="s">
        <v>8</v>
      </c>
      <c r="E3931" s="3">
        <v>3753933</v>
      </c>
      <c r="F3931" s="3">
        <v>3755291</v>
      </c>
      <c r="G3931" s="1" t="s">
        <v>13</v>
      </c>
      <c r="H3931" s="1" t="b">
        <f t="shared" si="151"/>
        <v>1</v>
      </c>
    </row>
    <row r="3932" spans="1:8" ht="21" x14ac:dyDescent="0.25">
      <c r="A3932" s="2" t="str">
        <f>HYPERLINK("https://rth.dk/resources/bsgatlas/details.php?id=BSGatlas-operon-2051","BSGatlas-operon-2051")</f>
        <v>BSGatlas-operon-2051</v>
      </c>
      <c r="B3932" s="2" t="str">
        <f>HYPERLINK("https://rth.dk/resources/bsgatlas/details.php?id=BSGatlas-gene-4254","BSGatlas-gene-4254")</f>
        <v>BSGatlas-gene-4254</v>
      </c>
      <c r="C3932" s="1" t="s">
        <v>3891</v>
      </c>
      <c r="D3932" s="1" t="s">
        <v>8</v>
      </c>
      <c r="E3932" s="3">
        <v>3755291</v>
      </c>
      <c r="F3932" s="3">
        <v>3755860</v>
      </c>
      <c r="G3932" s="1" t="s">
        <v>13</v>
      </c>
      <c r="H3932" s="1" t="b">
        <f t="shared" si="151"/>
        <v>1</v>
      </c>
    </row>
    <row r="3933" spans="1:8" ht="21" x14ac:dyDescent="0.25">
      <c r="A3933" s="2" t="str">
        <f>HYPERLINK("https://rth.dk/resources/bsgatlas/details.php?id=BSGatlas-operon-2051","BSGatlas-operon-2051")</f>
        <v>BSGatlas-operon-2051</v>
      </c>
      <c r="B3933" s="2" t="str">
        <f>HYPERLINK("https://rth.dk/resources/bsgatlas/details.php?id=BSGatlas-gene-4255","BSGatlas-gene-4255")</f>
        <v>BSGatlas-gene-4255</v>
      </c>
      <c r="C3933" s="1" t="s">
        <v>318</v>
      </c>
      <c r="D3933" s="1" t="s">
        <v>276</v>
      </c>
      <c r="E3933" s="3">
        <v>3755967</v>
      </c>
      <c r="F3933" s="3">
        <v>3756134</v>
      </c>
      <c r="G3933" s="1" t="s">
        <v>13</v>
      </c>
      <c r="H3933" s="1" t="b">
        <f t="shared" si="151"/>
        <v>1</v>
      </c>
    </row>
    <row r="3934" spans="1:8" ht="21" x14ac:dyDescent="0.25">
      <c r="A3934" s="2" t="str">
        <f>HYPERLINK("https://rth.dk/resources/bsgatlas/details.php?id=BSGatlas-operon-2051","BSGatlas-operon-2051")</f>
        <v>BSGatlas-operon-2051</v>
      </c>
      <c r="B3934" s="2" t="str">
        <f>HYPERLINK("https://rth.dk/resources/bsgatlas/details.php?id=BSGatlas-gene-4256","BSGatlas-gene-4256")</f>
        <v>BSGatlas-gene-4256</v>
      </c>
      <c r="C3934" s="1" t="s">
        <v>3892</v>
      </c>
      <c r="D3934" s="1" t="s">
        <v>8</v>
      </c>
      <c r="E3934" s="3">
        <v>3756044</v>
      </c>
      <c r="F3934" s="3">
        <v>3756508</v>
      </c>
      <c r="G3934" s="1" t="s">
        <v>13</v>
      </c>
      <c r="H3934" s="1" t="b">
        <f t="shared" si="151"/>
        <v>1</v>
      </c>
    </row>
    <row r="3935" spans="1:8" ht="21" x14ac:dyDescent="0.25">
      <c r="A3935" s="2" t="str">
        <f>HYPERLINK("https://rth.dk/resources/bsgatlas/details.php?id=BSGatlas-operon-2052","BSGatlas-operon-2052")</f>
        <v>BSGatlas-operon-2052</v>
      </c>
      <c r="B3935" s="2" t="str">
        <f>HYPERLINK("https://rth.dk/resources/bsgatlas/details.php?id=BSGatlas-gene-4257","BSGatlas-gene-4257")</f>
        <v>BSGatlas-gene-4257</v>
      </c>
      <c r="C3935" s="1" t="s">
        <v>3893</v>
      </c>
      <c r="D3935" s="1" t="s">
        <v>8</v>
      </c>
      <c r="E3935" s="3">
        <v>3756790</v>
      </c>
      <c r="F3935" s="3">
        <v>3758004</v>
      </c>
      <c r="G3935" s="1" t="s">
        <v>9</v>
      </c>
      <c r="H3935" s="1" t="b">
        <f t="shared" si="151"/>
        <v>0</v>
      </c>
    </row>
    <row r="3936" spans="1:8" ht="21" x14ac:dyDescent="0.25">
      <c r="A3936" s="2" t="str">
        <f>HYPERLINK("https://rth.dk/resources/bsgatlas/details.php?id=BSGatlas-operon-2052","BSGatlas-operon-2052")</f>
        <v>BSGatlas-operon-2052</v>
      </c>
      <c r="B3936" s="2" t="str">
        <f>HYPERLINK("https://rth.dk/resources/bsgatlas/details.php?id=BSGatlas-gene-4258","BSGatlas-gene-4258")</f>
        <v>BSGatlas-gene-4258</v>
      </c>
      <c r="C3936" s="1" t="s">
        <v>3894</v>
      </c>
      <c r="D3936" s="1" t="s">
        <v>8</v>
      </c>
      <c r="E3936" s="3">
        <v>3758016</v>
      </c>
      <c r="F3936" s="3">
        <v>3758366</v>
      </c>
      <c r="G3936" s="1" t="s">
        <v>9</v>
      </c>
      <c r="H3936" s="1" t="b">
        <f t="shared" si="151"/>
        <v>0</v>
      </c>
    </row>
    <row r="3937" spans="1:8" ht="21" x14ac:dyDescent="0.25">
      <c r="A3937" s="2" t="str">
        <f>HYPERLINK("https://rth.dk/resources/bsgatlas/details.php?id=BSGatlas-operon-2053","BSGatlas-operon-2053")</f>
        <v>BSGatlas-operon-2053</v>
      </c>
      <c r="B3937" s="2" t="str">
        <f>HYPERLINK("https://rth.dk/resources/bsgatlas/details.php?id=BSGatlas-gene-4259","BSGatlas-gene-4259")</f>
        <v>BSGatlas-gene-4259</v>
      </c>
      <c r="C3937" s="1" t="s">
        <v>3895</v>
      </c>
      <c r="D3937" s="1" t="s">
        <v>8</v>
      </c>
      <c r="E3937" s="3">
        <v>3758547</v>
      </c>
      <c r="F3937" s="3">
        <v>3759128</v>
      </c>
      <c r="G3937" s="1" t="s">
        <v>9</v>
      </c>
      <c r="H3937" s="1" t="b">
        <f t="shared" si="151"/>
        <v>1</v>
      </c>
    </row>
    <row r="3938" spans="1:8" ht="21" x14ac:dyDescent="0.25">
      <c r="A3938" s="2" t="str">
        <f>HYPERLINK("https://rth.dk/resources/bsgatlas/details.php?id=BSGatlas-operon-2054","BSGatlas-operon-2054")</f>
        <v>BSGatlas-operon-2054</v>
      </c>
      <c r="B3938" s="2" t="str">
        <f>HYPERLINK("https://rth.dk/resources/bsgatlas/details.php?id=BSGatlas-gene-4260","BSGatlas-gene-4260")</f>
        <v>BSGatlas-gene-4260</v>
      </c>
      <c r="C3938" s="1" t="s">
        <v>3896</v>
      </c>
      <c r="D3938" s="1" t="s">
        <v>8</v>
      </c>
      <c r="E3938" s="3">
        <v>3759169</v>
      </c>
      <c r="F3938" s="3">
        <v>3759591</v>
      </c>
      <c r="G3938" s="1" t="s">
        <v>13</v>
      </c>
      <c r="H3938" s="1" t="b">
        <f t="shared" si="151"/>
        <v>0</v>
      </c>
    </row>
    <row r="3939" spans="1:8" ht="21" x14ac:dyDescent="0.25">
      <c r="A3939" s="2" t="str">
        <f>HYPERLINK("https://rth.dk/resources/bsgatlas/details.php?id=BSGatlas-operon-2055","BSGatlas-operon-2055")</f>
        <v>BSGatlas-operon-2055</v>
      </c>
      <c r="B3939" s="2" t="str">
        <f>HYPERLINK("https://rth.dk/resources/bsgatlas/details.php?id=BSGatlas-gene-4261","BSGatlas-gene-4261")</f>
        <v>BSGatlas-gene-4261</v>
      </c>
      <c r="C3939" s="1" t="s">
        <v>3897</v>
      </c>
      <c r="D3939" s="1" t="s">
        <v>8</v>
      </c>
      <c r="E3939" s="3">
        <v>3759702</v>
      </c>
      <c r="F3939" s="3">
        <v>3760553</v>
      </c>
      <c r="G3939" s="1" t="s">
        <v>13</v>
      </c>
      <c r="H3939" s="1" t="b">
        <f t="shared" si="151"/>
        <v>1</v>
      </c>
    </row>
    <row r="3940" spans="1:8" ht="21" x14ac:dyDescent="0.25">
      <c r="A3940" s="2" t="str">
        <f>HYPERLINK("https://rth.dk/resources/bsgatlas/details.php?id=BSGatlas-operon-2056","BSGatlas-operon-2056")</f>
        <v>BSGatlas-operon-2056</v>
      </c>
      <c r="B3940" s="2" t="str">
        <f>HYPERLINK("https://rth.dk/resources/bsgatlas/details.php?id=BSGatlas-gene-4262","BSGatlas-gene-4262")</f>
        <v>BSGatlas-gene-4262</v>
      </c>
      <c r="C3940" s="1" t="s">
        <v>3898</v>
      </c>
      <c r="D3940" s="1" t="s">
        <v>8</v>
      </c>
      <c r="E3940" s="3">
        <v>3760694</v>
      </c>
      <c r="F3940" s="3">
        <v>3761185</v>
      </c>
      <c r="G3940" s="1" t="s">
        <v>9</v>
      </c>
      <c r="H3940" s="1" t="b">
        <f t="shared" si="151"/>
        <v>0</v>
      </c>
    </row>
    <row r="3941" spans="1:8" ht="21" x14ac:dyDescent="0.25">
      <c r="A3941" s="2" t="str">
        <f>HYPERLINK("https://rth.dk/resources/bsgatlas/details.php?id=BSGatlas-operon-2056","BSGatlas-operon-2056")</f>
        <v>BSGatlas-operon-2056</v>
      </c>
      <c r="B3941" s="2" t="str">
        <f>HYPERLINK("https://rth.dk/resources/bsgatlas/details.php?id=BSGatlas-gene-4263","BSGatlas-gene-4263")</f>
        <v>BSGatlas-gene-4263</v>
      </c>
      <c r="C3941" s="1" t="s">
        <v>3899</v>
      </c>
      <c r="D3941" s="1" t="s">
        <v>8</v>
      </c>
      <c r="E3941" s="3">
        <v>3761182</v>
      </c>
      <c r="F3941" s="3">
        <v>3761700</v>
      </c>
      <c r="G3941" s="1" t="s">
        <v>9</v>
      </c>
      <c r="H3941" s="1" t="b">
        <f t="shared" si="151"/>
        <v>0</v>
      </c>
    </row>
    <row r="3942" spans="1:8" ht="21" x14ac:dyDescent="0.25">
      <c r="A3942" s="2" t="str">
        <f>HYPERLINK("https://rth.dk/resources/bsgatlas/details.php?id=BSGatlas-operon-2057","BSGatlas-operon-2057")</f>
        <v>BSGatlas-operon-2057</v>
      </c>
      <c r="B3942" s="2" t="str">
        <f>HYPERLINK("https://rth.dk/resources/bsgatlas/details.php?id=BSGatlas-gene-4265","BSGatlas-gene-4265")</f>
        <v>BSGatlas-gene-4265</v>
      </c>
      <c r="C3942" s="1" t="s">
        <v>3900</v>
      </c>
      <c r="D3942" s="1" t="s">
        <v>8</v>
      </c>
      <c r="E3942" s="3">
        <v>3761987</v>
      </c>
      <c r="F3942" s="3">
        <v>3762421</v>
      </c>
      <c r="G3942" s="1" t="s">
        <v>13</v>
      </c>
      <c r="H3942" s="1" t="b">
        <f t="shared" si="151"/>
        <v>1</v>
      </c>
    </row>
    <row r="3943" spans="1:8" ht="21" x14ac:dyDescent="0.25">
      <c r="A3943" s="2" t="str">
        <f>HYPERLINK("https://rth.dk/resources/bsgatlas/details.php?id=BSGatlas-operon-2058","BSGatlas-operon-2058")</f>
        <v>BSGatlas-operon-2058</v>
      </c>
      <c r="B3943" s="2" t="str">
        <f>HYPERLINK("https://rth.dk/resources/bsgatlas/details.php?id=BSGatlas-gene-4266","BSGatlas-gene-4266")</f>
        <v>BSGatlas-gene-4266</v>
      </c>
      <c r="C3943" s="1" t="s">
        <v>3901</v>
      </c>
      <c r="D3943" s="1" t="s">
        <v>8</v>
      </c>
      <c r="E3943" s="3">
        <v>3762664</v>
      </c>
      <c r="F3943" s="3">
        <v>3764112</v>
      </c>
      <c r="G3943" s="1" t="s">
        <v>9</v>
      </c>
      <c r="H3943" s="1" t="b">
        <f t="shared" si="151"/>
        <v>0</v>
      </c>
    </row>
    <row r="3944" spans="1:8" ht="21" x14ac:dyDescent="0.25">
      <c r="A3944" s="2" t="str">
        <f>HYPERLINK("https://rth.dk/resources/bsgatlas/details.php?id=BSGatlas-operon-2059","BSGatlas-operon-2059")</f>
        <v>BSGatlas-operon-2059</v>
      </c>
      <c r="B3944" s="2" t="str">
        <f>HYPERLINK("https://rth.dk/resources/bsgatlas/details.php?id=BSGatlas-gene-4267","BSGatlas-gene-4267")</f>
        <v>BSGatlas-gene-4267</v>
      </c>
      <c r="C3944" s="1" t="s">
        <v>3902</v>
      </c>
      <c r="D3944" s="1" t="s">
        <v>8</v>
      </c>
      <c r="E3944" s="3">
        <v>3764133</v>
      </c>
      <c r="F3944" s="3">
        <v>3764906</v>
      </c>
      <c r="G3944" s="1" t="s">
        <v>13</v>
      </c>
      <c r="H3944" s="1" t="b">
        <f t="shared" si="151"/>
        <v>1</v>
      </c>
    </row>
    <row r="3945" spans="1:8" ht="21" x14ac:dyDescent="0.25">
      <c r="A3945" s="2" t="str">
        <f>HYPERLINK("https://rth.dk/resources/bsgatlas/details.php?id=BSGatlas-operon-2060","BSGatlas-operon-2060")</f>
        <v>BSGatlas-operon-2060</v>
      </c>
      <c r="B3945" s="2" t="str">
        <f>HYPERLINK("https://rth.dk/resources/bsgatlas/details.php?id=BSGatlas-gene-4268","BSGatlas-gene-4268")</f>
        <v>BSGatlas-gene-4268</v>
      </c>
      <c r="C3945" s="1" t="s">
        <v>3903</v>
      </c>
      <c r="D3945" s="1" t="s">
        <v>8</v>
      </c>
      <c r="E3945" s="3">
        <v>3765051</v>
      </c>
      <c r="F3945" s="3">
        <v>3765434</v>
      </c>
      <c r="G3945" s="1" t="s">
        <v>9</v>
      </c>
      <c r="H3945" s="1" t="b">
        <f t="shared" si="151"/>
        <v>0</v>
      </c>
    </row>
    <row r="3946" spans="1:8" ht="21" x14ac:dyDescent="0.25">
      <c r="A3946" s="2" t="str">
        <f>HYPERLINK("https://rth.dk/resources/bsgatlas/details.php?id=BSGatlas-operon-2061","BSGatlas-operon-2061")</f>
        <v>BSGatlas-operon-2061</v>
      </c>
      <c r="B3946" s="2" t="str">
        <f>HYPERLINK("https://rth.dk/resources/bsgatlas/details.php?id=BSGatlas-gene-4269","BSGatlas-gene-4269")</f>
        <v>BSGatlas-gene-4269</v>
      </c>
      <c r="C3946" s="1" t="s">
        <v>3904</v>
      </c>
      <c r="D3946" s="1" t="s">
        <v>8</v>
      </c>
      <c r="E3946" s="3">
        <v>3765469</v>
      </c>
      <c r="F3946" s="3">
        <v>3766110</v>
      </c>
      <c r="G3946" s="1" t="s">
        <v>13</v>
      </c>
      <c r="H3946" s="1" t="b">
        <f t="shared" si="151"/>
        <v>1</v>
      </c>
    </row>
    <row r="3947" spans="1:8" ht="21" x14ac:dyDescent="0.25">
      <c r="A3947" s="2" t="str">
        <f>HYPERLINK("https://rth.dk/resources/bsgatlas/details.php?id=BSGatlas-operon-2061","BSGatlas-operon-2061")</f>
        <v>BSGatlas-operon-2061</v>
      </c>
      <c r="B3947" s="2" t="str">
        <f>HYPERLINK("https://rth.dk/resources/bsgatlas/details.php?id=BSGatlas-gene-4270","BSGatlas-gene-4270")</f>
        <v>BSGatlas-gene-4270</v>
      </c>
      <c r="C3947" s="1" t="s">
        <v>3905</v>
      </c>
      <c r="D3947" s="1" t="s">
        <v>8</v>
      </c>
      <c r="E3947" s="3">
        <v>3766178</v>
      </c>
      <c r="F3947" s="3">
        <v>3766579</v>
      </c>
      <c r="G3947" s="1" t="s">
        <v>13</v>
      </c>
      <c r="H3947" s="1" t="b">
        <f t="shared" si="151"/>
        <v>1</v>
      </c>
    </row>
    <row r="3948" spans="1:8" ht="21" x14ac:dyDescent="0.25">
      <c r="A3948" s="2" t="str">
        <f>HYPERLINK("https://rth.dk/resources/bsgatlas/details.php?id=BSGatlas-operon-2062","BSGatlas-operon-2062")</f>
        <v>BSGatlas-operon-2062</v>
      </c>
      <c r="B3948" s="2" t="str">
        <f>HYPERLINK("https://rth.dk/resources/bsgatlas/details.php?id=BSGatlas-gene-4271","BSGatlas-gene-4271")</f>
        <v>BSGatlas-gene-4271</v>
      </c>
      <c r="C3948" s="1" t="s">
        <v>3906</v>
      </c>
      <c r="D3948" s="1" t="s">
        <v>8</v>
      </c>
      <c r="E3948" s="3">
        <v>3766714</v>
      </c>
      <c r="F3948" s="3">
        <v>3768423</v>
      </c>
      <c r="G3948" s="1" t="s">
        <v>13</v>
      </c>
      <c r="H3948" s="1" t="b">
        <f t="shared" si="151"/>
        <v>0</v>
      </c>
    </row>
    <row r="3949" spans="1:8" ht="21" x14ac:dyDescent="0.25">
      <c r="A3949" s="2" t="str">
        <f>HYPERLINK("https://rth.dk/resources/bsgatlas/details.php?id=BSGatlas-operon-2062","BSGatlas-operon-2062")</f>
        <v>BSGatlas-operon-2062</v>
      </c>
      <c r="B3949" s="2" t="str">
        <f>HYPERLINK("https://rth.dk/resources/bsgatlas/details.php?id=BSGatlas-gene-4273","BSGatlas-gene-4273")</f>
        <v>BSGatlas-gene-4273</v>
      </c>
      <c r="C3949" s="1" t="s">
        <v>3907</v>
      </c>
      <c r="D3949" s="1" t="s">
        <v>8</v>
      </c>
      <c r="E3949" s="3">
        <v>3768420</v>
      </c>
      <c r="F3949" s="3">
        <v>3768794</v>
      </c>
      <c r="G3949" s="1" t="s">
        <v>13</v>
      </c>
      <c r="H3949" s="1" t="b">
        <f t="shared" si="151"/>
        <v>0</v>
      </c>
    </row>
    <row r="3950" spans="1:8" ht="21" x14ac:dyDescent="0.25">
      <c r="A3950" s="2" t="str">
        <f>HYPERLINK("https://rth.dk/resources/bsgatlas/details.php?id=BSGatlas-operon-2062","BSGatlas-operon-2062")</f>
        <v>BSGatlas-operon-2062</v>
      </c>
      <c r="B3950" s="2" t="str">
        <f>HYPERLINK("https://rth.dk/resources/bsgatlas/details.php?id=BSGatlas-gene-4274","BSGatlas-gene-4274")</f>
        <v>BSGatlas-gene-4274</v>
      </c>
      <c r="C3950" s="1" t="s">
        <v>3908</v>
      </c>
      <c r="D3950" s="1" t="s">
        <v>8</v>
      </c>
      <c r="E3950" s="3">
        <v>3768791</v>
      </c>
      <c r="F3950" s="3">
        <v>3769108</v>
      </c>
      <c r="G3950" s="1" t="s">
        <v>13</v>
      </c>
      <c r="H3950" s="1" t="b">
        <f t="shared" si="151"/>
        <v>0</v>
      </c>
    </row>
    <row r="3951" spans="1:8" ht="21" x14ac:dyDescent="0.25">
      <c r="A3951" s="2" t="str">
        <f>HYPERLINK("https://rth.dk/resources/bsgatlas/details.php?id=BSGatlas-operon-2062","BSGatlas-operon-2062")</f>
        <v>BSGatlas-operon-2062</v>
      </c>
      <c r="B3951" s="2" t="str">
        <f>HYPERLINK("https://rth.dk/resources/bsgatlas/details.php?id=BSGatlas-gene-4275","BSGatlas-gene-4275")</f>
        <v>BSGatlas-gene-4275</v>
      </c>
      <c r="C3951" s="1" t="s">
        <v>3909</v>
      </c>
      <c r="D3951" s="1" t="s">
        <v>8</v>
      </c>
      <c r="E3951" s="3">
        <v>3769289</v>
      </c>
      <c r="F3951" s="3">
        <v>3769453</v>
      </c>
      <c r="G3951" s="1" t="s">
        <v>13</v>
      </c>
      <c r="H3951" s="1" t="b">
        <f t="shared" si="151"/>
        <v>0</v>
      </c>
    </row>
    <row r="3952" spans="1:8" ht="21" x14ac:dyDescent="0.25">
      <c r="A3952" s="2" t="str">
        <f>HYPERLINK("https://rth.dk/resources/bsgatlas/details.php?id=BSGatlas-operon-2062","BSGatlas-operon-2062")</f>
        <v>BSGatlas-operon-2062</v>
      </c>
      <c r="B3952" s="2" t="str">
        <f>HYPERLINK("https://rth.dk/resources/bsgatlas/details.php?id=BSGatlas-gene-4276","BSGatlas-gene-4276")</f>
        <v>BSGatlas-gene-4276</v>
      </c>
      <c r="C3952" s="1" t="s">
        <v>3910</v>
      </c>
      <c r="D3952" s="1" t="s">
        <v>276</v>
      </c>
      <c r="E3952" s="3">
        <v>3769626</v>
      </c>
      <c r="F3952" s="3">
        <v>3769808</v>
      </c>
      <c r="G3952" s="1" t="s">
        <v>13</v>
      </c>
      <c r="H3952" s="1" t="b">
        <f t="shared" si="151"/>
        <v>0</v>
      </c>
    </row>
    <row r="3953" spans="1:8" ht="21" x14ac:dyDescent="0.25">
      <c r="A3953" s="2" t="str">
        <f>HYPERLINK("https://rth.dk/resources/bsgatlas/details.php?id=BSGatlas-operon-2063","BSGatlas-operon-2063")</f>
        <v>BSGatlas-operon-2063</v>
      </c>
      <c r="B3953" s="2" t="str">
        <f>HYPERLINK("https://rth.dk/resources/bsgatlas/details.php?id=BSGatlas-gene-4272","BSGatlas-gene-4272")</f>
        <v>BSGatlas-gene-4272</v>
      </c>
      <c r="C3953" s="1" t="s">
        <v>3911</v>
      </c>
      <c r="D3953" s="1" t="s">
        <v>55</v>
      </c>
      <c r="E3953" s="3">
        <v>3767978</v>
      </c>
      <c r="F3953" s="3">
        <v>3768273</v>
      </c>
      <c r="G3953" s="1" t="s">
        <v>9</v>
      </c>
      <c r="H3953" s="1" t="b">
        <f t="shared" si="151"/>
        <v>1</v>
      </c>
    </row>
    <row r="3954" spans="1:8" ht="21" x14ac:dyDescent="0.25">
      <c r="A3954" s="2" t="str">
        <f>HYPERLINK("https://rth.dk/resources/bsgatlas/details.php?id=BSGatlas-operon-2064","BSGatlas-operon-2064")</f>
        <v>BSGatlas-operon-2064</v>
      </c>
      <c r="B3954" s="2" t="str">
        <f>HYPERLINK("https://rth.dk/resources/bsgatlas/details.php?id=BSGatlas-gene-4277","BSGatlas-gene-4277")</f>
        <v>BSGatlas-gene-4277</v>
      </c>
      <c r="C3954" s="1" t="s">
        <v>3912</v>
      </c>
      <c r="D3954" s="1" t="s">
        <v>8</v>
      </c>
      <c r="E3954" s="3">
        <v>3770104</v>
      </c>
      <c r="F3954" s="3">
        <v>3770292</v>
      </c>
      <c r="G3954" s="1" t="s">
        <v>13</v>
      </c>
      <c r="H3954" s="1" t="b">
        <f t="shared" si="151"/>
        <v>0</v>
      </c>
    </row>
    <row r="3955" spans="1:8" ht="21" x14ac:dyDescent="0.25">
      <c r="A3955" s="2" t="str">
        <f>HYPERLINK("https://rth.dk/resources/bsgatlas/details.php?id=BSGatlas-operon-2064","BSGatlas-operon-2064")</f>
        <v>BSGatlas-operon-2064</v>
      </c>
      <c r="B3955" s="2" t="str">
        <f>HYPERLINK("https://rth.dk/resources/bsgatlas/details.php?id=BSGatlas-gene-4278","BSGatlas-gene-4278")</f>
        <v>BSGatlas-gene-4278</v>
      </c>
      <c r="C3955" s="1" t="s">
        <v>3913</v>
      </c>
      <c r="D3955" s="1" t="s">
        <v>8</v>
      </c>
      <c r="E3955" s="3">
        <v>3770365</v>
      </c>
      <c r="F3955" s="3">
        <v>3770865</v>
      </c>
      <c r="G3955" s="1" t="s">
        <v>13</v>
      </c>
      <c r="H3955" s="1" t="b">
        <f t="shared" si="151"/>
        <v>0</v>
      </c>
    </row>
    <row r="3956" spans="1:8" ht="21" x14ac:dyDescent="0.25">
      <c r="A3956" s="2" t="str">
        <f>HYPERLINK("https://rth.dk/resources/bsgatlas/details.php?id=BSGatlas-operon-2065","BSGatlas-operon-2065")</f>
        <v>BSGatlas-operon-2065</v>
      </c>
      <c r="B3956" s="2" t="str">
        <f>HYPERLINK("https://rth.dk/resources/bsgatlas/details.php?id=BSGatlas-gene-4279","BSGatlas-gene-4279")</f>
        <v>BSGatlas-gene-4279</v>
      </c>
      <c r="C3956" s="1" t="s">
        <v>3914</v>
      </c>
      <c r="D3956" s="1" t="s">
        <v>8</v>
      </c>
      <c r="E3956" s="3">
        <v>3771000</v>
      </c>
      <c r="F3956" s="3">
        <v>3772133</v>
      </c>
      <c r="G3956" s="1" t="s">
        <v>13</v>
      </c>
      <c r="H3956" s="1" t="b">
        <f t="shared" si="151"/>
        <v>1</v>
      </c>
    </row>
    <row r="3957" spans="1:8" ht="21" x14ac:dyDescent="0.25">
      <c r="A3957" s="2" t="str">
        <f>HYPERLINK("https://rth.dk/resources/bsgatlas/details.php?id=BSGatlas-operon-2066","BSGatlas-operon-2066")</f>
        <v>BSGatlas-operon-2066</v>
      </c>
      <c r="B3957" s="2" t="str">
        <f>HYPERLINK("https://rth.dk/resources/bsgatlas/details.php?id=BSGatlas-gene-4280","BSGatlas-gene-4280")</f>
        <v>BSGatlas-gene-4280</v>
      </c>
      <c r="C3957" s="1" t="s">
        <v>3915</v>
      </c>
      <c r="D3957" s="1" t="s">
        <v>8</v>
      </c>
      <c r="E3957" s="3">
        <v>3772325</v>
      </c>
      <c r="F3957" s="3">
        <v>3773350</v>
      </c>
      <c r="G3957" s="1" t="s">
        <v>13</v>
      </c>
      <c r="H3957" s="1" t="b">
        <f t="shared" si="151"/>
        <v>0</v>
      </c>
    </row>
    <row r="3958" spans="1:8" ht="21" x14ac:dyDescent="0.25">
      <c r="A3958" s="2" t="str">
        <f>HYPERLINK("https://rth.dk/resources/bsgatlas/details.php?id=BSGatlas-operon-2066","BSGatlas-operon-2066")</f>
        <v>BSGatlas-operon-2066</v>
      </c>
      <c r="B3958" s="2" t="str">
        <f>HYPERLINK("https://rth.dk/resources/bsgatlas/details.php?id=BSGatlas-gene-4281","BSGatlas-gene-4281")</f>
        <v>BSGatlas-gene-4281</v>
      </c>
      <c r="C3958" s="1" t="s">
        <v>3916</v>
      </c>
      <c r="D3958" s="1" t="s">
        <v>8</v>
      </c>
      <c r="E3958" s="3">
        <v>3773366</v>
      </c>
      <c r="F3958" s="3">
        <v>3774154</v>
      </c>
      <c r="G3958" s="1" t="s">
        <v>13</v>
      </c>
      <c r="H3958" s="1" t="b">
        <f t="shared" si="151"/>
        <v>0</v>
      </c>
    </row>
    <row r="3959" spans="1:8" ht="21" x14ac:dyDescent="0.25">
      <c r="A3959" s="2" t="str">
        <f>HYPERLINK("https://rth.dk/resources/bsgatlas/details.php?id=BSGatlas-operon-2067","BSGatlas-operon-2067")</f>
        <v>BSGatlas-operon-2067</v>
      </c>
      <c r="B3959" s="2" t="str">
        <f>HYPERLINK("https://rth.dk/resources/bsgatlas/details.php?id=BSGatlas-gene-4282","BSGatlas-gene-4282")</f>
        <v>BSGatlas-gene-4282</v>
      </c>
      <c r="C3959" s="1" t="s">
        <v>54</v>
      </c>
      <c r="D3959" s="1" t="s">
        <v>55</v>
      </c>
      <c r="E3959" s="3">
        <v>3774255</v>
      </c>
      <c r="F3959" s="3">
        <v>3774322</v>
      </c>
      <c r="G3959" s="1" t="s">
        <v>13</v>
      </c>
      <c r="H3959" s="1" t="b">
        <f t="shared" si="151"/>
        <v>1</v>
      </c>
    </row>
    <row r="3960" spans="1:8" ht="21" x14ac:dyDescent="0.25">
      <c r="A3960" s="2" t="str">
        <f>HYPERLINK("https://rth.dk/resources/bsgatlas/details.php?id=BSGatlas-operon-2068","BSGatlas-operon-2068")</f>
        <v>BSGatlas-operon-2068</v>
      </c>
      <c r="B3960" s="2" t="str">
        <f>HYPERLINK("https://rth.dk/resources/bsgatlas/details.php?id=BSGatlas-gene-4283","BSGatlas-gene-4283")</f>
        <v>BSGatlas-gene-4283</v>
      </c>
      <c r="C3960" s="1" t="s">
        <v>3917</v>
      </c>
      <c r="D3960" s="1" t="s">
        <v>8</v>
      </c>
      <c r="E3960" s="3">
        <v>3774400</v>
      </c>
      <c r="F3960" s="3">
        <v>3774561</v>
      </c>
      <c r="G3960" s="1" t="s">
        <v>13</v>
      </c>
      <c r="H3960" s="1" t="b">
        <f t="shared" si="151"/>
        <v>0</v>
      </c>
    </row>
    <row r="3961" spans="1:8" ht="21" x14ac:dyDescent="0.25">
      <c r="A3961" s="2" t="str">
        <f>HYPERLINK("https://rth.dk/resources/bsgatlas/details.php?id=BSGatlas-operon-2069","BSGatlas-operon-2069")</f>
        <v>BSGatlas-operon-2069</v>
      </c>
      <c r="B3961" s="2" t="str">
        <f>HYPERLINK("https://rth.dk/resources/bsgatlas/details.php?id=BSGatlas-gene-4284","BSGatlas-gene-4284")</f>
        <v>BSGatlas-gene-4284</v>
      </c>
      <c r="C3961" s="1" t="s">
        <v>3918</v>
      </c>
      <c r="D3961" s="1" t="s">
        <v>8</v>
      </c>
      <c r="E3961" s="3">
        <v>3774655</v>
      </c>
      <c r="F3961" s="3">
        <v>3775329</v>
      </c>
      <c r="G3961" s="1" t="s">
        <v>13</v>
      </c>
      <c r="H3961" s="1" t="b">
        <f t="shared" si="151"/>
        <v>1</v>
      </c>
    </row>
    <row r="3962" spans="1:8" ht="21" x14ac:dyDescent="0.25">
      <c r="A3962" s="2" t="str">
        <f>HYPERLINK("https://rth.dk/resources/bsgatlas/details.php?id=BSGatlas-operon-2070","BSGatlas-operon-2070")</f>
        <v>BSGatlas-operon-2070</v>
      </c>
      <c r="B3962" s="2" t="str">
        <f>HYPERLINK("https://rth.dk/resources/bsgatlas/details.php?id=BSGatlas-gene-4286","BSGatlas-gene-4286")</f>
        <v>BSGatlas-gene-4286</v>
      </c>
      <c r="C3962" s="1" t="s">
        <v>3919</v>
      </c>
      <c r="D3962" s="1" t="s">
        <v>8</v>
      </c>
      <c r="E3962" s="3">
        <v>3775653</v>
      </c>
      <c r="F3962" s="3">
        <v>3776336</v>
      </c>
      <c r="G3962" s="1" t="s">
        <v>13</v>
      </c>
      <c r="H3962" s="1" t="b">
        <f t="shared" si="151"/>
        <v>0</v>
      </c>
    </row>
    <row r="3963" spans="1:8" ht="21" x14ac:dyDescent="0.25">
      <c r="A3963" s="2" t="str">
        <f>HYPERLINK("https://rth.dk/resources/bsgatlas/details.php?id=BSGatlas-operon-2071","BSGatlas-operon-2071")</f>
        <v>BSGatlas-operon-2071</v>
      </c>
      <c r="B3963" s="2" t="str">
        <f>HYPERLINK("https://rth.dk/resources/bsgatlas/details.php?id=BSGatlas-gene-4287","BSGatlas-gene-4287")</f>
        <v>BSGatlas-gene-4287</v>
      </c>
      <c r="C3963" s="1" t="s">
        <v>3920</v>
      </c>
      <c r="D3963" s="1" t="s">
        <v>8</v>
      </c>
      <c r="E3963" s="3">
        <v>3776722</v>
      </c>
      <c r="F3963" s="3">
        <v>3777753</v>
      </c>
      <c r="G3963" s="1" t="s">
        <v>13</v>
      </c>
      <c r="H3963" s="1" t="b">
        <f t="shared" si="151"/>
        <v>1</v>
      </c>
    </row>
    <row r="3964" spans="1:8" ht="21" x14ac:dyDescent="0.25">
      <c r="A3964" s="2" t="str">
        <f>HYPERLINK("https://rth.dk/resources/bsgatlas/details.php?id=BSGatlas-operon-2072","BSGatlas-operon-2072")</f>
        <v>BSGatlas-operon-2072</v>
      </c>
      <c r="B3964" s="2" t="str">
        <f>HYPERLINK("https://rth.dk/resources/bsgatlas/details.php?id=BSGatlas-gene-4288","BSGatlas-gene-4288")</f>
        <v>BSGatlas-gene-4288</v>
      </c>
      <c r="C3964" s="1" t="s">
        <v>3921</v>
      </c>
      <c r="D3964" s="1" t="s">
        <v>8</v>
      </c>
      <c r="E3964" s="3">
        <v>3777949</v>
      </c>
      <c r="F3964" s="3">
        <v>3779259</v>
      </c>
      <c r="G3964" s="1" t="s">
        <v>13</v>
      </c>
      <c r="H3964" s="1" t="b">
        <f t="shared" si="151"/>
        <v>0</v>
      </c>
    </row>
    <row r="3965" spans="1:8" ht="21" x14ac:dyDescent="0.25">
      <c r="A3965" s="2" t="str">
        <f>HYPERLINK("https://rth.dk/resources/bsgatlas/details.php?id=BSGatlas-operon-2072","BSGatlas-operon-2072")</f>
        <v>BSGatlas-operon-2072</v>
      </c>
      <c r="B3965" s="2" t="str">
        <f>HYPERLINK("https://rth.dk/resources/bsgatlas/details.php?id=BSGatlas-gene-4289","BSGatlas-gene-4289")</f>
        <v>BSGatlas-gene-4289</v>
      </c>
      <c r="C3965" s="1" t="s">
        <v>3922</v>
      </c>
      <c r="D3965" s="1" t="s">
        <v>8</v>
      </c>
      <c r="E3965" s="3">
        <v>3779293</v>
      </c>
      <c r="F3965" s="3">
        <v>3780033</v>
      </c>
      <c r="G3965" s="1" t="s">
        <v>13</v>
      </c>
      <c r="H3965" s="1" t="b">
        <f t="shared" si="151"/>
        <v>0</v>
      </c>
    </row>
    <row r="3966" spans="1:8" ht="21" x14ac:dyDescent="0.25">
      <c r="A3966" s="2" t="str">
        <f>HYPERLINK("https://rth.dk/resources/bsgatlas/details.php?id=BSGatlas-operon-2072","BSGatlas-operon-2072")</f>
        <v>BSGatlas-operon-2072</v>
      </c>
      <c r="B3966" s="2" t="str">
        <f>HYPERLINK("https://rth.dk/resources/bsgatlas/details.php?id=BSGatlas-gene-4290","BSGatlas-gene-4290")</f>
        <v>BSGatlas-gene-4290</v>
      </c>
      <c r="C3966" s="1" t="s">
        <v>3923</v>
      </c>
      <c r="D3966" s="1" t="s">
        <v>8</v>
      </c>
      <c r="E3966" s="3">
        <v>3780162</v>
      </c>
      <c r="F3966" s="3">
        <v>3780392</v>
      </c>
      <c r="G3966" s="1" t="s">
        <v>13</v>
      </c>
      <c r="H3966" s="1" t="b">
        <f t="shared" si="151"/>
        <v>0</v>
      </c>
    </row>
    <row r="3967" spans="1:8" ht="21" x14ac:dyDescent="0.25">
      <c r="A3967" s="2" t="str">
        <f>HYPERLINK("https://rth.dk/resources/bsgatlas/details.php?id=BSGatlas-operon-2073","BSGatlas-operon-2073")</f>
        <v>BSGatlas-operon-2073</v>
      </c>
      <c r="B3967" s="2" t="str">
        <f>HYPERLINK("https://rth.dk/resources/bsgatlas/details.php?id=BSGatlas-gene-4291","BSGatlas-gene-4291")</f>
        <v>BSGatlas-gene-4291</v>
      </c>
      <c r="C3967" s="1" t="s">
        <v>3924</v>
      </c>
      <c r="D3967" s="1" t="s">
        <v>8</v>
      </c>
      <c r="E3967" s="3">
        <v>3780562</v>
      </c>
      <c r="F3967" s="3">
        <v>3781035</v>
      </c>
      <c r="G3967" s="1" t="s">
        <v>9</v>
      </c>
      <c r="H3967" s="1" t="b">
        <f t="shared" si="151"/>
        <v>1</v>
      </c>
    </row>
    <row r="3968" spans="1:8" ht="21" x14ac:dyDescent="0.25">
      <c r="A3968" s="2" t="str">
        <f t="shared" ref="A3968:A3976" si="152">HYPERLINK("https://rth.dk/resources/bsgatlas/details.php?id=BSGatlas-operon-2074","BSGatlas-operon-2074")</f>
        <v>BSGatlas-operon-2074</v>
      </c>
      <c r="B3968" s="2" t="str">
        <f>HYPERLINK("https://rth.dk/resources/bsgatlas/details.php?id=BSGatlas-gene-4292","BSGatlas-gene-4292")</f>
        <v>BSGatlas-gene-4292</v>
      </c>
      <c r="C3968" s="1" t="s">
        <v>3925</v>
      </c>
      <c r="D3968" s="1" t="s">
        <v>8</v>
      </c>
      <c r="E3968" s="3">
        <v>3781069</v>
      </c>
      <c r="F3968" s="3">
        <v>3781467</v>
      </c>
      <c r="G3968" s="1" t="s">
        <v>13</v>
      </c>
      <c r="H3968" s="1" t="b">
        <f t="shared" si="151"/>
        <v>0</v>
      </c>
    </row>
    <row r="3969" spans="1:8" ht="21" x14ac:dyDescent="0.25">
      <c r="A3969" s="2" t="str">
        <f t="shared" si="152"/>
        <v>BSGatlas-operon-2074</v>
      </c>
      <c r="B3969" s="2" t="str">
        <f>HYPERLINK("https://rth.dk/resources/bsgatlas/details.php?id=BSGatlas-gene-4293","BSGatlas-gene-4293")</f>
        <v>BSGatlas-gene-4293</v>
      </c>
      <c r="C3969" s="1" t="s">
        <v>3926</v>
      </c>
      <c r="D3969" s="1" t="s">
        <v>8</v>
      </c>
      <c r="E3969" s="3">
        <v>3781491</v>
      </c>
      <c r="F3969" s="3">
        <v>3782912</v>
      </c>
      <c r="G3969" s="1" t="s">
        <v>13</v>
      </c>
      <c r="H3969" s="1" t="b">
        <f t="shared" si="151"/>
        <v>0</v>
      </c>
    </row>
    <row r="3970" spans="1:8" ht="21" x14ac:dyDescent="0.25">
      <c r="A3970" s="2" t="str">
        <f t="shared" si="152"/>
        <v>BSGatlas-operon-2074</v>
      </c>
      <c r="B3970" s="2" t="str">
        <f>HYPERLINK("https://rth.dk/resources/bsgatlas/details.php?id=BSGatlas-gene-4294","BSGatlas-gene-4294")</f>
        <v>BSGatlas-gene-4294</v>
      </c>
      <c r="C3970" s="1" t="s">
        <v>3927</v>
      </c>
      <c r="D3970" s="1" t="s">
        <v>8</v>
      </c>
      <c r="E3970" s="3">
        <v>3782938</v>
      </c>
      <c r="F3970" s="3">
        <v>3783801</v>
      </c>
      <c r="G3970" s="1" t="s">
        <v>13</v>
      </c>
      <c r="H3970" s="1" t="b">
        <f t="shared" ref="H3970:H4033" si="153">_xlfn.XOR(A3969&lt;&gt;A3970,H3969)</f>
        <v>0</v>
      </c>
    </row>
    <row r="3971" spans="1:8" ht="21" x14ac:dyDescent="0.25">
      <c r="A3971" s="2" t="str">
        <f t="shared" si="152"/>
        <v>BSGatlas-operon-2074</v>
      </c>
      <c r="B3971" s="2" t="str">
        <f>HYPERLINK("https://rth.dk/resources/bsgatlas/details.php?id=BSGatlas-gene-4295","BSGatlas-gene-4295")</f>
        <v>BSGatlas-gene-4295</v>
      </c>
      <c r="C3971" s="1" t="s">
        <v>3928</v>
      </c>
      <c r="D3971" s="1" t="s">
        <v>8</v>
      </c>
      <c r="E3971" s="3">
        <v>3783878</v>
      </c>
      <c r="F3971" s="3">
        <v>3785386</v>
      </c>
      <c r="G3971" s="1" t="s">
        <v>13</v>
      </c>
      <c r="H3971" s="1" t="b">
        <f t="shared" si="153"/>
        <v>0</v>
      </c>
    </row>
    <row r="3972" spans="1:8" ht="21" x14ac:dyDescent="0.25">
      <c r="A3972" s="2" t="str">
        <f t="shared" si="152"/>
        <v>BSGatlas-operon-2074</v>
      </c>
      <c r="B3972" s="2" t="str">
        <f>HYPERLINK("https://rth.dk/resources/bsgatlas/details.php?id=BSGatlas-gene-4296","BSGatlas-gene-4296")</f>
        <v>BSGatlas-gene-4296</v>
      </c>
      <c r="C3972" s="1" t="s">
        <v>3929</v>
      </c>
      <c r="D3972" s="1" t="s">
        <v>8</v>
      </c>
      <c r="E3972" s="3">
        <v>3785403</v>
      </c>
      <c r="F3972" s="3">
        <v>3785948</v>
      </c>
      <c r="G3972" s="1" t="s">
        <v>13</v>
      </c>
      <c r="H3972" s="1" t="b">
        <f t="shared" si="153"/>
        <v>0</v>
      </c>
    </row>
    <row r="3973" spans="1:8" ht="21" x14ac:dyDescent="0.25">
      <c r="A3973" s="2" t="str">
        <f t="shared" si="152"/>
        <v>BSGatlas-operon-2074</v>
      </c>
      <c r="B3973" s="2" t="str">
        <f>HYPERLINK("https://rth.dk/resources/bsgatlas/details.php?id=BSGatlas-gene-4297","BSGatlas-gene-4297")</f>
        <v>BSGatlas-gene-4297</v>
      </c>
      <c r="C3973" s="1" t="s">
        <v>3930</v>
      </c>
      <c r="D3973" s="1" t="s">
        <v>8</v>
      </c>
      <c r="E3973" s="3">
        <v>3785945</v>
      </c>
      <c r="F3973" s="3">
        <v>3786457</v>
      </c>
      <c r="G3973" s="1" t="s">
        <v>13</v>
      </c>
      <c r="H3973" s="1" t="b">
        <f t="shared" si="153"/>
        <v>0</v>
      </c>
    </row>
    <row r="3974" spans="1:8" ht="21" x14ac:dyDescent="0.25">
      <c r="A3974" s="2" t="str">
        <f t="shared" si="152"/>
        <v>BSGatlas-operon-2074</v>
      </c>
      <c r="B3974" s="2" t="str">
        <f>HYPERLINK("https://rth.dk/resources/bsgatlas/details.php?id=BSGatlas-gene-4298","BSGatlas-gene-4298")</f>
        <v>BSGatlas-gene-4298</v>
      </c>
      <c r="C3974" s="1" t="s">
        <v>3931</v>
      </c>
      <c r="D3974" s="1" t="s">
        <v>8</v>
      </c>
      <c r="E3974" s="3">
        <v>3786620</v>
      </c>
      <c r="F3974" s="3">
        <v>3786832</v>
      </c>
      <c r="G3974" s="1" t="s">
        <v>13</v>
      </c>
      <c r="H3974" s="1" t="b">
        <f t="shared" si="153"/>
        <v>0</v>
      </c>
    </row>
    <row r="3975" spans="1:8" ht="21" x14ac:dyDescent="0.25">
      <c r="A3975" s="2" t="str">
        <f t="shared" si="152"/>
        <v>BSGatlas-operon-2074</v>
      </c>
      <c r="B3975" s="2" t="str">
        <f>HYPERLINK("https://rth.dk/resources/bsgatlas/details.php?id=BSGatlas-gene-4299","BSGatlas-gene-4299")</f>
        <v>BSGatlas-gene-4299</v>
      </c>
      <c r="C3975" s="1" t="s">
        <v>3932</v>
      </c>
      <c r="D3975" s="1" t="s">
        <v>8</v>
      </c>
      <c r="E3975" s="3">
        <v>3786878</v>
      </c>
      <c r="F3975" s="3">
        <v>3787612</v>
      </c>
      <c r="G3975" s="1" t="s">
        <v>13</v>
      </c>
      <c r="H3975" s="1" t="b">
        <f t="shared" si="153"/>
        <v>0</v>
      </c>
    </row>
    <row r="3976" spans="1:8" ht="21" x14ac:dyDescent="0.25">
      <c r="A3976" s="2" t="str">
        <f t="shared" si="152"/>
        <v>BSGatlas-operon-2074</v>
      </c>
      <c r="B3976" s="2" t="str">
        <f>HYPERLINK("https://rth.dk/resources/bsgatlas/details.php?id=BSGatlas-gene-4300","BSGatlas-gene-4300")</f>
        <v>BSGatlas-gene-4300</v>
      </c>
      <c r="C3976" s="1" t="s">
        <v>3933</v>
      </c>
      <c r="D3976" s="1" t="s">
        <v>8</v>
      </c>
      <c r="E3976" s="3">
        <v>3787620</v>
      </c>
      <c r="F3976" s="3">
        <v>3788003</v>
      </c>
      <c r="G3976" s="1" t="s">
        <v>13</v>
      </c>
      <c r="H3976" s="1" t="b">
        <f t="shared" si="153"/>
        <v>0</v>
      </c>
    </row>
    <row r="3977" spans="1:8" ht="21" x14ac:dyDescent="0.25">
      <c r="A3977" s="2" t="str">
        <f>HYPERLINK("https://rth.dk/resources/bsgatlas/details.php?id=BSGatlas-operon-2075","BSGatlas-operon-2075")</f>
        <v>BSGatlas-operon-2075</v>
      </c>
      <c r="B3977" s="2" t="str">
        <f>HYPERLINK("https://rth.dk/resources/bsgatlas/details.php?id=BSGatlas-gene-4301","BSGatlas-gene-4301")</f>
        <v>BSGatlas-gene-4301</v>
      </c>
      <c r="C3977" s="1" t="s">
        <v>3934</v>
      </c>
      <c r="D3977" s="1" t="s">
        <v>8</v>
      </c>
      <c r="E3977" s="3">
        <v>3788426</v>
      </c>
      <c r="F3977" s="3">
        <v>3789055</v>
      </c>
      <c r="G3977" s="1" t="s">
        <v>13</v>
      </c>
      <c r="H3977" s="1" t="b">
        <f t="shared" si="153"/>
        <v>1</v>
      </c>
    </row>
    <row r="3978" spans="1:8" ht="21" x14ac:dyDescent="0.25">
      <c r="A3978" s="2" t="str">
        <f>HYPERLINK("https://rth.dk/resources/bsgatlas/details.php?id=BSGatlas-operon-2076","BSGatlas-operon-2076")</f>
        <v>BSGatlas-operon-2076</v>
      </c>
      <c r="B3978" s="2" t="str">
        <f>HYPERLINK("https://rth.dk/resources/bsgatlas/details.php?id=BSGatlas-gene-4302","BSGatlas-gene-4302")</f>
        <v>BSGatlas-gene-4302</v>
      </c>
      <c r="C3978" s="1" t="s">
        <v>3935</v>
      </c>
      <c r="D3978" s="1" t="s">
        <v>8</v>
      </c>
      <c r="E3978" s="3">
        <v>3789190</v>
      </c>
      <c r="F3978" s="3">
        <v>3790437</v>
      </c>
      <c r="G3978" s="1" t="s">
        <v>13</v>
      </c>
      <c r="H3978" s="1" t="b">
        <f t="shared" si="153"/>
        <v>0</v>
      </c>
    </row>
    <row r="3979" spans="1:8" ht="21" x14ac:dyDescent="0.25">
      <c r="A3979" s="2" t="str">
        <f>HYPERLINK("https://rth.dk/resources/bsgatlas/details.php?id=BSGatlas-operon-2077","BSGatlas-operon-2077")</f>
        <v>BSGatlas-operon-2077</v>
      </c>
      <c r="B3979" s="2" t="str">
        <f>HYPERLINK("https://rth.dk/resources/bsgatlas/details.php?id=BSGatlas-gene-4303","BSGatlas-gene-4303")</f>
        <v>BSGatlas-gene-4303</v>
      </c>
      <c r="C3979" s="1" t="s">
        <v>3936</v>
      </c>
      <c r="D3979" s="1" t="s">
        <v>8</v>
      </c>
      <c r="E3979" s="3">
        <v>3790644</v>
      </c>
      <c r="F3979" s="3">
        <v>3791186</v>
      </c>
      <c r="G3979" s="1" t="s">
        <v>13</v>
      </c>
      <c r="H3979" s="1" t="b">
        <f t="shared" si="153"/>
        <v>1</v>
      </c>
    </row>
    <row r="3980" spans="1:8" ht="21" x14ac:dyDescent="0.25">
      <c r="A3980" s="2" t="str">
        <f>HYPERLINK("https://rth.dk/resources/bsgatlas/details.php?id=BSGatlas-operon-2077","BSGatlas-operon-2077")</f>
        <v>BSGatlas-operon-2077</v>
      </c>
      <c r="B3980" s="2" t="str">
        <f>HYPERLINK("https://rth.dk/resources/bsgatlas/details.php?id=BSGatlas-gene-4304","BSGatlas-gene-4304")</f>
        <v>BSGatlas-gene-4304</v>
      </c>
      <c r="C3980" s="1" t="s">
        <v>3937</v>
      </c>
      <c r="D3980" s="1" t="s">
        <v>8</v>
      </c>
      <c r="E3980" s="3">
        <v>3791199</v>
      </c>
      <c r="F3980" s="3">
        <v>3791648</v>
      </c>
      <c r="G3980" s="1" t="s">
        <v>13</v>
      </c>
      <c r="H3980" s="1" t="b">
        <f t="shared" si="153"/>
        <v>1</v>
      </c>
    </row>
    <row r="3981" spans="1:8" ht="21" x14ac:dyDescent="0.25">
      <c r="A3981" s="2" t="str">
        <f>HYPERLINK("https://rth.dk/resources/bsgatlas/details.php?id=BSGatlas-operon-2077","BSGatlas-operon-2077")</f>
        <v>BSGatlas-operon-2077</v>
      </c>
      <c r="B3981" s="2" t="str">
        <f>HYPERLINK("https://rth.dk/resources/bsgatlas/details.php?id=BSGatlas-gene-4305","BSGatlas-gene-4305")</f>
        <v>BSGatlas-gene-4305</v>
      </c>
      <c r="C3981" s="1" t="s">
        <v>3938</v>
      </c>
      <c r="D3981" s="1" t="s">
        <v>8</v>
      </c>
      <c r="E3981" s="3">
        <v>3791805</v>
      </c>
      <c r="F3981" s="3">
        <v>3792257</v>
      </c>
      <c r="G3981" s="1" t="s">
        <v>13</v>
      </c>
      <c r="H3981" s="1" t="b">
        <f t="shared" si="153"/>
        <v>1</v>
      </c>
    </row>
    <row r="3982" spans="1:8" ht="21" x14ac:dyDescent="0.25">
      <c r="A3982" s="2" t="str">
        <f>HYPERLINK("https://rth.dk/resources/bsgatlas/details.php?id=BSGatlas-operon-2077","BSGatlas-operon-2077")</f>
        <v>BSGatlas-operon-2077</v>
      </c>
      <c r="B3982" s="2" t="str">
        <f>HYPERLINK("https://rth.dk/resources/bsgatlas/details.php?id=BSGatlas-gene-4306","BSGatlas-gene-4306")</f>
        <v>BSGatlas-gene-4306</v>
      </c>
      <c r="C3982" s="1" t="s">
        <v>3939</v>
      </c>
      <c r="D3982" s="1" t="s">
        <v>8</v>
      </c>
      <c r="E3982" s="3">
        <v>3792333</v>
      </c>
      <c r="F3982" s="3">
        <v>3792890</v>
      </c>
      <c r="G3982" s="1" t="s">
        <v>13</v>
      </c>
      <c r="H3982" s="1" t="b">
        <f t="shared" si="153"/>
        <v>1</v>
      </c>
    </row>
    <row r="3983" spans="1:8" ht="21" x14ac:dyDescent="0.25">
      <c r="A3983" s="2" t="str">
        <f>HYPERLINK("https://rth.dk/resources/bsgatlas/details.php?id=BSGatlas-operon-2078","BSGatlas-operon-2078")</f>
        <v>BSGatlas-operon-2078</v>
      </c>
      <c r="B3983" s="2" t="str">
        <f>HYPERLINK("https://rth.dk/resources/bsgatlas/details.php?id=BSGatlas-gene-4307","BSGatlas-gene-4307")</f>
        <v>BSGatlas-gene-4307</v>
      </c>
      <c r="C3983" s="1" t="s">
        <v>3940</v>
      </c>
      <c r="D3983" s="1" t="s">
        <v>8</v>
      </c>
      <c r="E3983" s="3">
        <v>3792969</v>
      </c>
      <c r="F3983" s="3">
        <v>3794009</v>
      </c>
      <c r="G3983" s="1" t="s">
        <v>13</v>
      </c>
      <c r="H3983" s="1" t="b">
        <f t="shared" si="153"/>
        <v>0</v>
      </c>
    </row>
    <row r="3984" spans="1:8" ht="21" x14ac:dyDescent="0.25">
      <c r="A3984" s="2" t="str">
        <f>HYPERLINK("https://rth.dk/resources/bsgatlas/details.php?id=BSGatlas-operon-2079","BSGatlas-operon-2079")</f>
        <v>BSGatlas-operon-2079</v>
      </c>
      <c r="B3984" s="2" t="str">
        <f>HYPERLINK("https://rth.dk/resources/bsgatlas/details.php?id=BSGatlas-gene-4308","BSGatlas-gene-4308")</f>
        <v>BSGatlas-gene-4308</v>
      </c>
      <c r="C3984" s="1" t="s">
        <v>3941</v>
      </c>
      <c r="D3984" s="1" t="s">
        <v>8</v>
      </c>
      <c r="E3984" s="3">
        <v>3794166</v>
      </c>
      <c r="F3984" s="3">
        <v>3794609</v>
      </c>
      <c r="G3984" s="1" t="s">
        <v>13</v>
      </c>
      <c r="H3984" s="1" t="b">
        <f t="shared" si="153"/>
        <v>1</v>
      </c>
    </row>
    <row r="3985" spans="1:8" ht="21" x14ac:dyDescent="0.25">
      <c r="A3985" s="2" t="str">
        <f>HYPERLINK("https://rth.dk/resources/bsgatlas/details.php?id=BSGatlas-operon-2080","BSGatlas-operon-2080")</f>
        <v>BSGatlas-operon-2080</v>
      </c>
      <c r="B3985" s="2" t="str">
        <f>HYPERLINK("https://rth.dk/resources/bsgatlas/details.php?id=BSGatlas-gene-4309","BSGatlas-gene-4309")</f>
        <v>BSGatlas-gene-4309</v>
      </c>
      <c r="C3985" s="1" t="s">
        <v>3942</v>
      </c>
      <c r="D3985" s="1" t="s">
        <v>8</v>
      </c>
      <c r="E3985" s="3">
        <v>3794676</v>
      </c>
      <c r="F3985" s="3">
        <v>3795350</v>
      </c>
      <c r="G3985" s="1" t="s">
        <v>13</v>
      </c>
      <c r="H3985" s="1" t="b">
        <f t="shared" si="153"/>
        <v>0</v>
      </c>
    </row>
    <row r="3986" spans="1:8" ht="21" x14ac:dyDescent="0.25">
      <c r="A3986" s="2" t="str">
        <f>HYPERLINK("https://rth.dk/resources/bsgatlas/details.php?id=BSGatlas-operon-2081","BSGatlas-operon-2081")</f>
        <v>BSGatlas-operon-2081</v>
      </c>
      <c r="B3986" s="2" t="str">
        <f>HYPERLINK("https://rth.dk/resources/bsgatlas/details.php?id=BSGatlas-gene-4310","BSGatlas-gene-4310")</f>
        <v>BSGatlas-gene-4310</v>
      </c>
      <c r="C3986" s="1" t="s">
        <v>3943</v>
      </c>
      <c r="D3986" s="1" t="s">
        <v>8</v>
      </c>
      <c r="E3986" s="3">
        <v>3795491</v>
      </c>
      <c r="F3986" s="3">
        <v>3795853</v>
      </c>
      <c r="G3986" s="1" t="s">
        <v>9</v>
      </c>
      <c r="H3986" s="1" t="b">
        <f t="shared" si="153"/>
        <v>1</v>
      </c>
    </row>
    <row r="3987" spans="1:8" ht="21" x14ac:dyDescent="0.25">
      <c r="A3987" s="2" t="str">
        <f>HYPERLINK("https://rth.dk/resources/bsgatlas/details.php?id=BSGatlas-operon-2082","BSGatlas-operon-2082")</f>
        <v>BSGatlas-operon-2082</v>
      </c>
      <c r="B3987" s="2" t="str">
        <f>HYPERLINK("https://rth.dk/resources/bsgatlas/details.php?id=BSGatlas-gene-4311","BSGatlas-gene-4311")</f>
        <v>BSGatlas-gene-4311</v>
      </c>
      <c r="C3987" s="1" t="s">
        <v>3944</v>
      </c>
      <c r="D3987" s="1" t="s">
        <v>8</v>
      </c>
      <c r="E3987" s="3">
        <v>3795870</v>
      </c>
      <c r="F3987" s="3">
        <v>3796157</v>
      </c>
      <c r="G3987" s="1" t="s">
        <v>13</v>
      </c>
      <c r="H3987" s="1" t="b">
        <f t="shared" si="153"/>
        <v>0</v>
      </c>
    </row>
    <row r="3988" spans="1:8" ht="21" x14ac:dyDescent="0.25">
      <c r="A3988" s="2" t="str">
        <f>HYPERLINK("https://rth.dk/resources/bsgatlas/details.php?id=BSGatlas-operon-2083","BSGatlas-operon-2083")</f>
        <v>BSGatlas-operon-2083</v>
      </c>
      <c r="B3988" s="2" t="str">
        <f>HYPERLINK("https://rth.dk/resources/bsgatlas/details.php?id=BSGatlas-gene-4313","BSGatlas-gene-4313")</f>
        <v>BSGatlas-gene-4313</v>
      </c>
      <c r="C3988" s="1" t="s">
        <v>3945</v>
      </c>
      <c r="D3988" s="1" t="s">
        <v>8</v>
      </c>
      <c r="E3988" s="3">
        <v>3797085</v>
      </c>
      <c r="F3988" s="3">
        <v>3798155</v>
      </c>
      <c r="G3988" s="1" t="s">
        <v>13</v>
      </c>
      <c r="H3988" s="1" t="b">
        <f t="shared" si="153"/>
        <v>1</v>
      </c>
    </row>
    <row r="3989" spans="1:8" ht="21" x14ac:dyDescent="0.25">
      <c r="A3989" s="2" t="str">
        <f>HYPERLINK("https://rth.dk/resources/bsgatlas/details.php?id=BSGatlas-operon-2084","BSGatlas-operon-2084")</f>
        <v>BSGatlas-operon-2084</v>
      </c>
      <c r="B3989" s="2" t="str">
        <f>HYPERLINK("https://rth.dk/resources/bsgatlas/details.php?id=BSGatlas-gene-4314","BSGatlas-gene-4314")</f>
        <v>BSGatlas-gene-4314</v>
      </c>
      <c r="C3989" s="1" t="s">
        <v>3946</v>
      </c>
      <c r="D3989" s="1" t="s">
        <v>8</v>
      </c>
      <c r="E3989" s="3">
        <v>3798281</v>
      </c>
      <c r="F3989" s="3">
        <v>3798667</v>
      </c>
      <c r="G3989" s="1" t="s">
        <v>9</v>
      </c>
      <c r="H3989" s="1" t="b">
        <f t="shared" si="153"/>
        <v>0</v>
      </c>
    </row>
    <row r="3990" spans="1:8" ht="21" x14ac:dyDescent="0.25">
      <c r="A3990" s="2" t="str">
        <f>HYPERLINK("https://rth.dk/resources/bsgatlas/details.php?id=BSGatlas-operon-2084","BSGatlas-operon-2084")</f>
        <v>BSGatlas-operon-2084</v>
      </c>
      <c r="B3990" s="2" t="str">
        <f>HYPERLINK("https://rth.dk/resources/bsgatlas/details.php?id=BSGatlas-gene-4315","BSGatlas-gene-4315")</f>
        <v>BSGatlas-gene-4315</v>
      </c>
      <c r="C3990" s="1" t="s">
        <v>3947</v>
      </c>
      <c r="D3990" s="1" t="s">
        <v>8</v>
      </c>
      <c r="E3990" s="3">
        <v>3798789</v>
      </c>
      <c r="F3990" s="3">
        <v>3799343</v>
      </c>
      <c r="G3990" s="1" t="s">
        <v>9</v>
      </c>
      <c r="H3990" s="1" t="b">
        <f t="shared" si="153"/>
        <v>0</v>
      </c>
    </row>
    <row r="3991" spans="1:8" ht="21" x14ac:dyDescent="0.25">
      <c r="A3991" s="2" t="str">
        <f>HYPERLINK("https://rth.dk/resources/bsgatlas/details.php?id=BSGatlas-operon-2085","BSGatlas-operon-2085")</f>
        <v>BSGatlas-operon-2085</v>
      </c>
      <c r="B3991" s="2" t="str">
        <f>HYPERLINK("https://rth.dk/resources/bsgatlas/details.php?id=BSGatlas-gene-4316","BSGatlas-gene-4316")</f>
        <v>BSGatlas-gene-4316</v>
      </c>
      <c r="C3991" s="1" t="s">
        <v>3948</v>
      </c>
      <c r="D3991" s="1" t="s">
        <v>8</v>
      </c>
      <c r="E3991" s="3">
        <v>3799377</v>
      </c>
      <c r="F3991" s="3">
        <v>3800336</v>
      </c>
      <c r="G3991" s="1" t="s">
        <v>13</v>
      </c>
      <c r="H3991" s="1" t="b">
        <f t="shared" si="153"/>
        <v>1</v>
      </c>
    </row>
    <row r="3992" spans="1:8" ht="21" x14ac:dyDescent="0.25">
      <c r="A3992" s="2" t="str">
        <f>HYPERLINK("https://rth.dk/resources/bsgatlas/details.php?id=BSGatlas-operon-2085","BSGatlas-operon-2085")</f>
        <v>BSGatlas-operon-2085</v>
      </c>
      <c r="B3992" s="2" t="str">
        <f>HYPERLINK("https://rth.dk/resources/bsgatlas/details.php?id=BSGatlas-gene-4317","BSGatlas-gene-4317")</f>
        <v>BSGatlas-gene-4317</v>
      </c>
      <c r="C3992" s="1" t="s">
        <v>3949</v>
      </c>
      <c r="D3992" s="1" t="s">
        <v>8</v>
      </c>
      <c r="E3992" s="3">
        <v>3800418</v>
      </c>
      <c r="F3992" s="3">
        <v>3802166</v>
      </c>
      <c r="G3992" s="1" t="s">
        <v>13</v>
      </c>
      <c r="H3992" s="1" t="b">
        <f t="shared" si="153"/>
        <v>1</v>
      </c>
    </row>
    <row r="3993" spans="1:8" ht="21" x14ac:dyDescent="0.25">
      <c r="A3993" s="2" t="str">
        <f>HYPERLINK("https://rth.dk/resources/bsgatlas/details.php?id=BSGatlas-operon-2086","BSGatlas-operon-2086")</f>
        <v>BSGatlas-operon-2086</v>
      </c>
      <c r="B3993" s="2" t="str">
        <f>HYPERLINK("https://rth.dk/resources/bsgatlas/details.php?id=BSGatlas-gene-4318","BSGatlas-gene-4318")</f>
        <v>BSGatlas-gene-4318</v>
      </c>
      <c r="C3993" s="1" t="s">
        <v>3950</v>
      </c>
      <c r="D3993" s="1" t="s">
        <v>8</v>
      </c>
      <c r="E3993" s="3">
        <v>3802405</v>
      </c>
      <c r="F3993" s="3">
        <v>3802992</v>
      </c>
      <c r="G3993" s="1" t="s">
        <v>13</v>
      </c>
      <c r="H3993" s="1" t="b">
        <f t="shared" si="153"/>
        <v>0</v>
      </c>
    </row>
    <row r="3994" spans="1:8" ht="21" x14ac:dyDescent="0.25">
      <c r="A3994" s="2" t="str">
        <f>HYPERLINK("https://rth.dk/resources/bsgatlas/details.php?id=BSGatlas-operon-2087","BSGatlas-operon-2087")</f>
        <v>BSGatlas-operon-2087</v>
      </c>
      <c r="B3994" s="2" t="str">
        <f>HYPERLINK("https://rth.dk/resources/bsgatlas/details.php?id=BSGatlas-gene-4319","BSGatlas-gene-4319")</f>
        <v>BSGatlas-gene-4319</v>
      </c>
      <c r="C3994" s="1" t="s">
        <v>3951</v>
      </c>
      <c r="D3994" s="1" t="s">
        <v>8</v>
      </c>
      <c r="E3994" s="3">
        <v>3803081</v>
      </c>
      <c r="F3994" s="3">
        <v>3803281</v>
      </c>
      <c r="G3994" s="1" t="s">
        <v>13</v>
      </c>
      <c r="H3994" s="1" t="b">
        <f t="shared" si="153"/>
        <v>1</v>
      </c>
    </row>
    <row r="3995" spans="1:8" ht="21" x14ac:dyDescent="0.25">
      <c r="A3995" s="2" t="str">
        <f>HYPERLINK("https://rth.dk/resources/bsgatlas/details.php?id=BSGatlas-operon-2087","BSGatlas-operon-2087")</f>
        <v>BSGatlas-operon-2087</v>
      </c>
      <c r="B3995" s="2" t="str">
        <f>HYPERLINK("https://rth.dk/resources/bsgatlas/details.php?id=BSGatlas-gene-4320","BSGatlas-gene-4320")</f>
        <v>BSGatlas-gene-4320</v>
      </c>
      <c r="C3995" s="1" t="s">
        <v>3952</v>
      </c>
      <c r="D3995" s="1" t="s">
        <v>8</v>
      </c>
      <c r="E3995" s="3">
        <v>3803400</v>
      </c>
      <c r="F3995" s="3">
        <v>3804683</v>
      </c>
      <c r="G3995" s="1" t="s">
        <v>13</v>
      </c>
      <c r="H3995" s="1" t="b">
        <f t="shared" si="153"/>
        <v>1</v>
      </c>
    </row>
    <row r="3996" spans="1:8" ht="21" x14ac:dyDescent="0.25">
      <c r="A3996" s="2" t="str">
        <f>HYPERLINK("https://rth.dk/resources/bsgatlas/details.php?id=BSGatlas-operon-2088","BSGatlas-operon-2088")</f>
        <v>BSGatlas-operon-2088</v>
      </c>
      <c r="B3996" s="2" t="str">
        <f>HYPERLINK("https://rth.dk/resources/bsgatlas/details.php?id=BSGatlas-gene-4321","BSGatlas-gene-4321")</f>
        <v>BSGatlas-gene-4321</v>
      </c>
      <c r="C3996" s="1" t="s">
        <v>3953</v>
      </c>
      <c r="D3996" s="1" t="s">
        <v>12</v>
      </c>
      <c r="E3996" s="3">
        <v>3804627</v>
      </c>
      <c r="F3996" s="3">
        <v>3804977</v>
      </c>
      <c r="G3996" s="1" t="s">
        <v>13</v>
      </c>
      <c r="H3996" s="1" t="b">
        <f t="shared" si="153"/>
        <v>0</v>
      </c>
    </row>
    <row r="3997" spans="1:8" ht="21" x14ac:dyDescent="0.25">
      <c r="A3997" s="2" t="str">
        <f>HYPERLINK("https://rth.dk/resources/bsgatlas/details.php?id=BSGatlas-operon-2089","BSGatlas-operon-2089")</f>
        <v>BSGatlas-operon-2089</v>
      </c>
      <c r="B3997" s="2" t="str">
        <f>HYPERLINK("https://rth.dk/resources/bsgatlas/details.php?id=BSGatlas-gene-4323","BSGatlas-gene-4323")</f>
        <v>BSGatlas-gene-4323</v>
      </c>
      <c r="C3997" s="1" t="s">
        <v>3954</v>
      </c>
      <c r="D3997" s="1" t="s">
        <v>8</v>
      </c>
      <c r="E3997" s="3">
        <v>3805090</v>
      </c>
      <c r="F3997" s="3">
        <v>3806055</v>
      </c>
      <c r="G3997" s="1" t="s">
        <v>13</v>
      </c>
      <c r="H3997" s="1" t="b">
        <f t="shared" si="153"/>
        <v>1</v>
      </c>
    </row>
    <row r="3998" spans="1:8" ht="21" x14ac:dyDescent="0.25">
      <c r="A3998" s="2" t="str">
        <f>HYPERLINK("https://rth.dk/resources/bsgatlas/details.php?id=BSGatlas-operon-2089","BSGatlas-operon-2089")</f>
        <v>BSGatlas-operon-2089</v>
      </c>
      <c r="B3998" s="2" t="str">
        <f>HYPERLINK("https://rth.dk/resources/bsgatlas/details.php?id=BSGatlas-gene-4324","BSGatlas-gene-4324")</f>
        <v>BSGatlas-gene-4324</v>
      </c>
      <c r="C3998" s="1" t="s">
        <v>3955</v>
      </c>
      <c r="D3998" s="1" t="s">
        <v>8</v>
      </c>
      <c r="E3998" s="3">
        <v>3806086</v>
      </c>
      <c r="F3998" s="3">
        <v>3807375</v>
      </c>
      <c r="G3998" s="1" t="s">
        <v>13</v>
      </c>
      <c r="H3998" s="1" t="b">
        <f t="shared" si="153"/>
        <v>1</v>
      </c>
    </row>
    <row r="3999" spans="1:8" ht="21" x14ac:dyDescent="0.25">
      <c r="A3999" s="2" t="str">
        <f>HYPERLINK("https://rth.dk/resources/bsgatlas/details.php?id=BSGatlas-operon-2090","BSGatlas-operon-2090")</f>
        <v>BSGatlas-operon-2090</v>
      </c>
      <c r="B3999" s="2" t="str">
        <f>HYPERLINK("https://rth.dk/resources/bsgatlas/details.php?id=BSGatlas-gene-4325","BSGatlas-gene-4325")</f>
        <v>BSGatlas-gene-4325</v>
      </c>
      <c r="C3999" s="1" t="s">
        <v>3956</v>
      </c>
      <c r="D3999" s="1" t="s">
        <v>8</v>
      </c>
      <c r="E3999" s="3">
        <v>3807754</v>
      </c>
      <c r="F3999" s="3">
        <v>3808392</v>
      </c>
      <c r="G3999" s="1" t="s">
        <v>13</v>
      </c>
      <c r="H3999" s="1" t="b">
        <f t="shared" si="153"/>
        <v>0</v>
      </c>
    </row>
    <row r="4000" spans="1:8" ht="21" x14ac:dyDescent="0.25">
      <c r="A4000" s="2" t="str">
        <f>HYPERLINK("https://rth.dk/resources/bsgatlas/details.php?id=BSGatlas-operon-2090","BSGatlas-operon-2090")</f>
        <v>BSGatlas-operon-2090</v>
      </c>
      <c r="B4000" s="2" t="str">
        <f>HYPERLINK("https://rth.dk/resources/bsgatlas/details.php?id=BSGatlas-gene-4326","BSGatlas-gene-4326")</f>
        <v>BSGatlas-gene-4326</v>
      </c>
      <c r="C4000" s="1" t="s">
        <v>3957</v>
      </c>
      <c r="D4000" s="1" t="s">
        <v>8</v>
      </c>
      <c r="E4000" s="3">
        <v>3808512</v>
      </c>
      <c r="F4000" s="3">
        <v>3809369</v>
      </c>
      <c r="G4000" s="1" t="s">
        <v>13</v>
      </c>
      <c r="H4000" s="1" t="b">
        <f t="shared" si="153"/>
        <v>0</v>
      </c>
    </row>
    <row r="4001" spans="1:8" ht="21" x14ac:dyDescent="0.25">
      <c r="A4001" s="2" t="str">
        <f>HYPERLINK("https://rth.dk/resources/bsgatlas/details.php?id=BSGatlas-operon-2091","BSGatlas-operon-2091")</f>
        <v>BSGatlas-operon-2091</v>
      </c>
      <c r="B4001" s="2" t="str">
        <f>HYPERLINK("https://rth.dk/resources/bsgatlas/details.php?id=BSGatlas-gene-4327","BSGatlas-gene-4327")</f>
        <v>BSGatlas-gene-4327</v>
      </c>
      <c r="C4001" s="1" t="s">
        <v>3958</v>
      </c>
      <c r="D4001" s="1" t="s">
        <v>8</v>
      </c>
      <c r="E4001" s="3">
        <v>3809550</v>
      </c>
      <c r="F4001" s="3">
        <v>3809924</v>
      </c>
      <c r="G4001" s="1" t="s">
        <v>13</v>
      </c>
      <c r="H4001" s="1" t="b">
        <f t="shared" si="153"/>
        <v>1</v>
      </c>
    </row>
    <row r="4002" spans="1:8" ht="21" x14ac:dyDescent="0.25">
      <c r="A4002" s="2" t="str">
        <f>HYPERLINK("https://rth.dk/resources/bsgatlas/details.php?id=BSGatlas-operon-2092","BSGatlas-operon-2092")</f>
        <v>BSGatlas-operon-2092</v>
      </c>
      <c r="B4002" s="2" t="str">
        <f>HYPERLINK("https://rth.dk/resources/bsgatlas/details.php?id=BSGatlas-gene-4328","BSGatlas-gene-4328")</f>
        <v>BSGatlas-gene-4328</v>
      </c>
      <c r="C4002" s="1" t="s">
        <v>3959</v>
      </c>
      <c r="D4002" s="1" t="s">
        <v>8</v>
      </c>
      <c r="E4002" s="3">
        <v>3810090</v>
      </c>
      <c r="F4002" s="3">
        <v>3810611</v>
      </c>
      <c r="G4002" s="1" t="s">
        <v>9</v>
      </c>
      <c r="H4002" s="1" t="b">
        <f t="shared" si="153"/>
        <v>0</v>
      </c>
    </row>
    <row r="4003" spans="1:8" ht="21" x14ac:dyDescent="0.25">
      <c r="A4003" s="2" t="str">
        <f>HYPERLINK("https://rth.dk/resources/bsgatlas/details.php?id=BSGatlas-operon-2093","BSGatlas-operon-2093")</f>
        <v>BSGatlas-operon-2093</v>
      </c>
      <c r="B4003" s="2" t="str">
        <f>HYPERLINK("https://rth.dk/resources/bsgatlas/details.php?id=BSGatlas-gene-4329","BSGatlas-gene-4329")</f>
        <v>BSGatlas-gene-4329</v>
      </c>
      <c r="C4003" s="1" t="s">
        <v>3960</v>
      </c>
      <c r="D4003" s="1" t="s">
        <v>8</v>
      </c>
      <c r="E4003" s="3">
        <v>3810693</v>
      </c>
      <c r="F4003" s="3">
        <v>3812300</v>
      </c>
      <c r="G4003" s="1" t="s">
        <v>13</v>
      </c>
      <c r="H4003" s="1" t="b">
        <f t="shared" si="153"/>
        <v>1</v>
      </c>
    </row>
    <row r="4004" spans="1:8" ht="21" x14ac:dyDescent="0.25">
      <c r="A4004" s="2" t="str">
        <f>HYPERLINK("https://rth.dk/resources/bsgatlas/details.php?id=BSGatlas-operon-2093","BSGatlas-operon-2093")</f>
        <v>BSGatlas-operon-2093</v>
      </c>
      <c r="B4004" s="2" t="str">
        <f>HYPERLINK("https://rth.dk/resources/bsgatlas/details.php?id=BSGatlas-gene-4330","BSGatlas-gene-4330")</f>
        <v>BSGatlas-gene-4330</v>
      </c>
      <c r="C4004" s="1" t="s">
        <v>3961</v>
      </c>
      <c r="D4004" s="1" t="s">
        <v>34</v>
      </c>
      <c r="E4004" s="3">
        <v>3812402</v>
      </c>
      <c r="F4004" s="3">
        <v>3812479</v>
      </c>
      <c r="G4004" s="1" t="s">
        <v>13</v>
      </c>
      <c r="H4004" s="1" t="b">
        <f t="shared" si="153"/>
        <v>1</v>
      </c>
    </row>
    <row r="4005" spans="1:8" ht="21" x14ac:dyDescent="0.25">
      <c r="A4005" s="2" t="str">
        <f>HYPERLINK("https://rth.dk/resources/bsgatlas/details.php?id=BSGatlas-operon-2093","BSGatlas-operon-2093")</f>
        <v>BSGatlas-operon-2093</v>
      </c>
      <c r="B4005" s="2" t="str">
        <f>HYPERLINK("https://rth.dk/resources/bsgatlas/details.php?id=BSGatlas-gene-4331","BSGatlas-gene-4331")</f>
        <v>BSGatlas-gene-4331</v>
      </c>
      <c r="C4005" s="1" t="s">
        <v>3962</v>
      </c>
      <c r="D4005" s="1" t="s">
        <v>8</v>
      </c>
      <c r="E4005" s="3">
        <v>3812542</v>
      </c>
      <c r="F4005" s="3">
        <v>3813063</v>
      </c>
      <c r="G4005" s="1" t="s">
        <v>13</v>
      </c>
      <c r="H4005" s="1" t="b">
        <f t="shared" si="153"/>
        <v>1</v>
      </c>
    </row>
    <row r="4006" spans="1:8" ht="21" x14ac:dyDescent="0.25">
      <c r="A4006" s="2" t="str">
        <f>HYPERLINK("https://rth.dk/resources/bsgatlas/details.php?id=BSGatlas-operon-2093","BSGatlas-operon-2093")</f>
        <v>BSGatlas-operon-2093</v>
      </c>
      <c r="B4006" s="2" t="str">
        <f>HYPERLINK("https://rth.dk/resources/bsgatlas/details.php?id=BSGatlas-gene-4332","BSGatlas-gene-4332")</f>
        <v>BSGatlas-gene-4332</v>
      </c>
      <c r="C4006" s="1" t="s">
        <v>3963</v>
      </c>
      <c r="D4006" s="1" t="s">
        <v>8</v>
      </c>
      <c r="E4006" s="3">
        <v>3813246</v>
      </c>
      <c r="F4006" s="3">
        <v>3814385</v>
      </c>
      <c r="G4006" s="1" t="s">
        <v>13</v>
      </c>
      <c r="H4006" s="1" t="b">
        <f t="shared" si="153"/>
        <v>1</v>
      </c>
    </row>
    <row r="4007" spans="1:8" ht="21" x14ac:dyDescent="0.25">
      <c r="A4007" s="2" t="str">
        <f>HYPERLINK("https://rth.dk/resources/bsgatlas/details.php?id=BSGatlas-operon-2093","BSGatlas-operon-2093")</f>
        <v>BSGatlas-operon-2093</v>
      </c>
      <c r="B4007" s="2" t="str">
        <f>HYPERLINK("https://rth.dk/resources/bsgatlas/details.php?id=BSGatlas-gene-4333","BSGatlas-gene-4333")</f>
        <v>BSGatlas-gene-4333</v>
      </c>
      <c r="C4007" s="1" t="s">
        <v>3964</v>
      </c>
      <c r="D4007" s="1" t="s">
        <v>8</v>
      </c>
      <c r="E4007" s="3">
        <v>3814382</v>
      </c>
      <c r="F4007" s="3">
        <v>3816499</v>
      </c>
      <c r="G4007" s="1" t="s">
        <v>13</v>
      </c>
      <c r="H4007" s="1" t="b">
        <f t="shared" si="153"/>
        <v>1</v>
      </c>
    </row>
    <row r="4008" spans="1:8" ht="21" x14ac:dyDescent="0.25">
      <c r="A4008" s="2" t="str">
        <f>HYPERLINK("https://rth.dk/resources/bsgatlas/details.php?id=BSGatlas-operon-2094","BSGatlas-operon-2094")</f>
        <v>BSGatlas-operon-2094</v>
      </c>
      <c r="B4008" s="2" t="str">
        <f>HYPERLINK("https://rth.dk/resources/bsgatlas/details.php?id=BSGatlas-gene-4334","BSGatlas-gene-4334")</f>
        <v>BSGatlas-gene-4334</v>
      </c>
      <c r="C4008" s="1" t="s">
        <v>3965</v>
      </c>
      <c r="D4008" s="1" t="s">
        <v>8</v>
      </c>
      <c r="E4008" s="3">
        <v>3816654</v>
      </c>
      <c r="F4008" s="3">
        <v>3817850</v>
      </c>
      <c r="G4008" s="1" t="s">
        <v>9</v>
      </c>
      <c r="H4008" s="1" t="b">
        <f t="shared" si="153"/>
        <v>0</v>
      </c>
    </row>
    <row r="4009" spans="1:8" ht="21" x14ac:dyDescent="0.25">
      <c r="A4009" s="2" t="str">
        <f>HYPERLINK("https://rth.dk/resources/bsgatlas/details.php?id=BSGatlas-operon-2094","BSGatlas-operon-2094")</f>
        <v>BSGatlas-operon-2094</v>
      </c>
      <c r="B4009" s="2" t="str">
        <f>HYPERLINK("https://rth.dk/resources/bsgatlas/details.php?id=BSGatlas-gene-4336","BSGatlas-gene-4336")</f>
        <v>BSGatlas-gene-4336</v>
      </c>
      <c r="C4009" s="1" t="s">
        <v>3966</v>
      </c>
      <c r="D4009" s="1" t="s">
        <v>8</v>
      </c>
      <c r="E4009" s="3">
        <v>3817863</v>
      </c>
      <c r="F4009" s="3">
        <v>3818825</v>
      </c>
      <c r="G4009" s="1" t="s">
        <v>9</v>
      </c>
      <c r="H4009" s="1" t="b">
        <f t="shared" si="153"/>
        <v>0</v>
      </c>
    </row>
    <row r="4010" spans="1:8" ht="21" x14ac:dyDescent="0.25">
      <c r="A4010" s="2" t="str">
        <f>HYPERLINK("https://rth.dk/resources/bsgatlas/details.php?id=BSGatlas-operon-2095","BSGatlas-operon-2095")</f>
        <v>BSGatlas-operon-2095</v>
      </c>
      <c r="B4010" s="2" t="str">
        <f>HYPERLINK("https://rth.dk/resources/bsgatlas/details.php?id=BSGatlas-gene-4335","BSGatlas-gene-4335")</f>
        <v>BSGatlas-gene-4335</v>
      </c>
      <c r="C4010" s="1" t="s">
        <v>3967</v>
      </c>
      <c r="D4010" s="1" t="s">
        <v>12</v>
      </c>
      <c r="E4010" s="3">
        <v>3816846</v>
      </c>
      <c r="F4010" s="3">
        <v>3817724</v>
      </c>
      <c r="G4010" s="1" t="s">
        <v>13</v>
      </c>
      <c r="H4010" s="1" t="b">
        <f t="shared" si="153"/>
        <v>1</v>
      </c>
    </row>
    <row r="4011" spans="1:8" ht="21" x14ac:dyDescent="0.25">
      <c r="A4011" s="2" t="str">
        <f>HYPERLINK("https://rth.dk/resources/bsgatlas/details.php?id=BSGatlas-operon-2096","BSGatlas-operon-2096")</f>
        <v>BSGatlas-operon-2096</v>
      </c>
      <c r="B4011" s="2" t="str">
        <f>HYPERLINK("https://rth.dk/resources/bsgatlas/details.php?id=BSGatlas-gene-4337","BSGatlas-gene-4337")</f>
        <v>BSGatlas-gene-4337</v>
      </c>
      <c r="C4011" s="1" t="s">
        <v>3968</v>
      </c>
      <c r="D4011" s="1" t="s">
        <v>8</v>
      </c>
      <c r="E4011" s="3">
        <v>3818906</v>
      </c>
      <c r="F4011" s="3">
        <v>3819178</v>
      </c>
      <c r="G4011" s="1" t="s">
        <v>9</v>
      </c>
      <c r="H4011" s="1" t="b">
        <f t="shared" si="153"/>
        <v>0</v>
      </c>
    </row>
    <row r="4012" spans="1:8" ht="21" x14ac:dyDescent="0.25">
      <c r="A4012" s="2" t="str">
        <f>HYPERLINK("https://rth.dk/resources/bsgatlas/details.php?id=BSGatlas-operon-2097","BSGatlas-operon-2097")</f>
        <v>BSGatlas-operon-2097</v>
      </c>
      <c r="B4012" s="2" t="str">
        <f>HYPERLINK("https://rth.dk/resources/bsgatlas/details.php?id=BSGatlas-gene-4338","BSGatlas-gene-4338")</f>
        <v>BSGatlas-gene-4338</v>
      </c>
      <c r="C4012" s="1" t="s">
        <v>3969</v>
      </c>
      <c r="D4012" s="1" t="s">
        <v>8</v>
      </c>
      <c r="E4012" s="3">
        <v>3819220</v>
      </c>
      <c r="F4012" s="3">
        <v>3819744</v>
      </c>
      <c r="G4012" s="1" t="s">
        <v>13</v>
      </c>
      <c r="H4012" s="1" t="b">
        <f t="shared" si="153"/>
        <v>1</v>
      </c>
    </row>
    <row r="4013" spans="1:8" ht="21" x14ac:dyDescent="0.25">
      <c r="A4013" s="2" t="str">
        <f>HYPERLINK("https://rth.dk/resources/bsgatlas/details.php?id=BSGatlas-operon-2097","BSGatlas-operon-2097")</f>
        <v>BSGatlas-operon-2097</v>
      </c>
      <c r="B4013" s="2" t="str">
        <f>HYPERLINK("https://rth.dk/resources/bsgatlas/details.php?id=BSGatlas-gene-4339","BSGatlas-gene-4339")</f>
        <v>BSGatlas-gene-4339</v>
      </c>
      <c r="C4013" s="1" t="s">
        <v>3970</v>
      </c>
      <c r="D4013" s="1" t="s">
        <v>8</v>
      </c>
      <c r="E4013" s="3">
        <v>3819754</v>
      </c>
      <c r="F4013" s="3">
        <v>3821481</v>
      </c>
      <c r="G4013" s="1" t="s">
        <v>13</v>
      </c>
      <c r="H4013" s="1" t="b">
        <f t="shared" si="153"/>
        <v>1</v>
      </c>
    </row>
    <row r="4014" spans="1:8" ht="21" x14ac:dyDescent="0.25">
      <c r="A4014" s="2" t="str">
        <f>HYPERLINK("https://rth.dk/resources/bsgatlas/details.php?id=BSGatlas-operon-2097","BSGatlas-operon-2097")</f>
        <v>BSGatlas-operon-2097</v>
      </c>
      <c r="B4014" s="2" t="str">
        <f>HYPERLINK("https://rth.dk/resources/bsgatlas/details.php?id=BSGatlas-gene-4340","BSGatlas-gene-4340")</f>
        <v>BSGatlas-gene-4340</v>
      </c>
      <c r="C4014" s="1" t="s">
        <v>3971</v>
      </c>
      <c r="D4014" s="1" t="s">
        <v>8</v>
      </c>
      <c r="E4014" s="3">
        <v>3821570</v>
      </c>
      <c r="F4014" s="3">
        <v>3823072</v>
      </c>
      <c r="G4014" s="1" t="s">
        <v>13</v>
      </c>
      <c r="H4014" s="1" t="b">
        <f t="shared" si="153"/>
        <v>1</v>
      </c>
    </row>
    <row r="4015" spans="1:8" ht="21" x14ac:dyDescent="0.25">
      <c r="A4015" s="2" t="str">
        <f>HYPERLINK("https://rth.dk/resources/bsgatlas/details.php?id=BSGatlas-operon-2098","BSGatlas-operon-2098")</f>
        <v>BSGatlas-operon-2098</v>
      </c>
      <c r="B4015" s="2" t="str">
        <f>HYPERLINK("https://rth.dk/resources/bsgatlas/details.php?id=BSGatlas-gene-4341","BSGatlas-gene-4341")</f>
        <v>BSGatlas-gene-4341</v>
      </c>
      <c r="C4015" s="1" t="s">
        <v>3972</v>
      </c>
      <c r="D4015" s="1" t="s">
        <v>8</v>
      </c>
      <c r="E4015" s="3">
        <v>3823558</v>
      </c>
      <c r="F4015" s="3">
        <v>3824229</v>
      </c>
      <c r="G4015" s="1" t="s">
        <v>13</v>
      </c>
      <c r="H4015" s="1" t="b">
        <f t="shared" si="153"/>
        <v>0</v>
      </c>
    </row>
    <row r="4016" spans="1:8" ht="21" x14ac:dyDescent="0.25">
      <c r="A4016" s="2" t="str">
        <f>HYPERLINK("https://rth.dk/resources/bsgatlas/details.php?id=BSGatlas-operon-2098","BSGatlas-operon-2098")</f>
        <v>BSGatlas-operon-2098</v>
      </c>
      <c r="B4016" s="2" t="str">
        <f>HYPERLINK("https://rth.dk/resources/bsgatlas/details.php?id=BSGatlas-gene-4342","BSGatlas-gene-4342")</f>
        <v>BSGatlas-gene-4342</v>
      </c>
      <c r="C4016" s="1" t="s">
        <v>3973</v>
      </c>
      <c r="D4016" s="1" t="s">
        <v>8</v>
      </c>
      <c r="E4016" s="3">
        <v>3824226</v>
      </c>
      <c r="F4016" s="3">
        <v>3824780</v>
      </c>
      <c r="G4016" s="1" t="s">
        <v>13</v>
      </c>
      <c r="H4016" s="1" t="b">
        <f t="shared" si="153"/>
        <v>0</v>
      </c>
    </row>
    <row r="4017" spans="1:8" ht="21" x14ac:dyDescent="0.25">
      <c r="A4017" s="2" t="str">
        <f>HYPERLINK("https://rth.dk/resources/bsgatlas/details.php?id=BSGatlas-operon-2098","BSGatlas-operon-2098")</f>
        <v>BSGatlas-operon-2098</v>
      </c>
      <c r="B4017" s="2" t="str">
        <f>HYPERLINK("https://rth.dk/resources/bsgatlas/details.php?id=BSGatlas-gene-4343","BSGatlas-gene-4343")</f>
        <v>BSGatlas-gene-4343</v>
      </c>
      <c r="C4017" s="1" t="s">
        <v>3974</v>
      </c>
      <c r="D4017" s="1" t="s">
        <v>8</v>
      </c>
      <c r="E4017" s="3">
        <v>3824806</v>
      </c>
      <c r="F4017" s="3">
        <v>3826269</v>
      </c>
      <c r="G4017" s="1" t="s">
        <v>13</v>
      </c>
      <c r="H4017" s="1" t="b">
        <f t="shared" si="153"/>
        <v>0</v>
      </c>
    </row>
    <row r="4018" spans="1:8" ht="21" x14ac:dyDescent="0.25">
      <c r="A4018" s="2" t="str">
        <f>HYPERLINK("https://rth.dk/resources/bsgatlas/details.php?id=BSGatlas-operon-2098","BSGatlas-operon-2098")</f>
        <v>BSGatlas-operon-2098</v>
      </c>
      <c r="B4018" s="2" t="str">
        <f>HYPERLINK("https://rth.dk/resources/bsgatlas/details.php?id=BSGatlas-gene-4344","BSGatlas-gene-4344")</f>
        <v>BSGatlas-gene-4344</v>
      </c>
      <c r="C4018" s="1" t="s">
        <v>3975</v>
      </c>
      <c r="D4018" s="1" t="s">
        <v>8</v>
      </c>
      <c r="E4018" s="3">
        <v>3826259</v>
      </c>
      <c r="F4018" s="3">
        <v>3829945</v>
      </c>
      <c r="G4018" s="1" t="s">
        <v>13</v>
      </c>
      <c r="H4018" s="1" t="b">
        <f t="shared" si="153"/>
        <v>0</v>
      </c>
    </row>
    <row r="4019" spans="1:8" ht="21" x14ac:dyDescent="0.25">
      <c r="A4019" s="2" t="str">
        <f>HYPERLINK("https://rth.dk/resources/bsgatlas/details.php?id=BSGatlas-operon-2099","BSGatlas-operon-2099")</f>
        <v>BSGatlas-operon-2099</v>
      </c>
      <c r="B4019" s="2" t="str">
        <f>HYPERLINK("https://rth.dk/resources/bsgatlas/details.php?id=BSGatlas-gene-4345","BSGatlas-gene-4345")</f>
        <v>BSGatlas-gene-4345</v>
      </c>
      <c r="C4019" s="1" t="s">
        <v>3976</v>
      </c>
      <c r="D4019" s="1" t="s">
        <v>8</v>
      </c>
      <c r="E4019" s="3">
        <v>3830141</v>
      </c>
      <c r="F4019" s="3">
        <v>3830617</v>
      </c>
      <c r="G4019" s="1" t="s">
        <v>13</v>
      </c>
      <c r="H4019" s="1" t="b">
        <f t="shared" si="153"/>
        <v>1</v>
      </c>
    </row>
    <row r="4020" spans="1:8" ht="21" x14ac:dyDescent="0.25">
      <c r="A4020" s="2" t="str">
        <f>HYPERLINK("https://rth.dk/resources/bsgatlas/details.php?id=BSGatlas-operon-2100","BSGatlas-operon-2100")</f>
        <v>BSGatlas-operon-2100</v>
      </c>
      <c r="B4020" s="2" t="str">
        <f>HYPERLINK("https://rth.dk/resources/bsgatlas/details.php?id=BSGatlas-gene-4346","BSGatlas-gene-4346")</f>
        <v>BSGatlas-gene-4346</v>
      </c>
      <c r="C4020" s="1" t="s">
        <v>3977</v>
      </c>
      <c r="D4020" s="1" t="s">
        <v>8</v>
      </c>
      <c r="E4020" s="3">
        <v>3830761</v>
      </c>
      <c r="F4020" s="3">
        <v>3831480</v>
      </c>
      <c r="G4020" s="1" t="s">
        <v>9</v>
      </c>
      <c r="H4020" s="1" t="b">
        <f t="shared" si="153"/>
        <v>0</v>
      </c>
    </row>
    <row r="4021" spans="1:8" ht="21" x14ac:dyDescent="0.25">
      <c r="A4021" s="2" t="str">
        <f>HYPERLINK("https://rth.dk/resources/bsgatlas/details.php?id=BSGatlas-operon-2101","BSGatlas-operon-2101")</f>
        <v>BSGatlas-operon-2101</v>
      </c>
      <c r="B4021" s="2" t="str">
        <f>HYPERLINK("https://rth.dk/resources/bsgatlas/details.php?id=BSGatlas-gene-4347","BSGatlas-gene-4347")</f>
        <v>BSGatlas-gene-4347</v>
      </c>
      <c r="C4021" s="1" t="s">
        <v>3978</v>
      </c>
      <c r="D4021" s="1" t="s">
        <v>8</v>
      </c>
      <c r="E4021" s="3">
        <v>3831512</v>
      </c>
      <c r="F4021" s="3">
        <v>3832228</v>
      </c>
      <c r="G4021" s="1" t="s">
        <v>13</v>
      </c>
      <c r="H4021" s="1" t="b">
        <f t="shared" si="153"/>
        <v>1</v>
      </c>
    </row>
    <row r="4022" spans="1:8" ht="21" x14ac:dyDescent="0.25">
      <c r="A4022" s="2" t="str">
        <f>HYPERLINK("https://rth.dk/resources/bsgatlas/details.php?id=BSGatlas-operon-2101","BSGatlas-operon-2101")</f>
        <v>BSGatlas-operon-2101</v>
      </c>
      <c r="B4022" s="2" t="str">
        <f>HYPERLINK("https://rth.dk/resources/bsgatlas/details.php?id=BSGatlas-gene-4348","BSGatlas-gene-4348")</f>
        <v>BSGatlas-gene-4348</v>
      </c>
      <c r="C4022" s="1" t="s">
        <v>3979</v>
      </c>
      <c r="D4022" s="1" t="s">
        <v>8</v>
      </c>
      <c r="E4022" s="3">
        <v>3832327</v>
      </c>
      <c r="F4022" s="3">
        <v>3833514</v>
      </c>
      <c r="G4022" s="1" t="s">
        <v>13</v>
      </c>
      <c r="H4022" s="1" t="b">
        <f t="shared" si="153"/>
        <v>1</v>
      </c>
    </row>
    <row r="4023" spans="1:8" ht="21" x14ac:dyDescent="0.25">
      <c r="A4023" s="2" t="str">
        <f>HYPERLINK("https://rth.dk/resources/bsgatlas/details.php?id=BSGatlas-operon-2102","BSGatlas-operon-2102")</f>
        <v>BSGatlas-operon-2102</v>
      </c>
      <c r="B4023" s="2" t="str">
        <f>HYPERLINK("https://rth.dk/resources/bsgatlas/details.php?id=BSGatlas-gene-4349","BSGatlas-gene-4349")</f>
        <v>BSGatlas-gene-4349</v>
      </c>
      <c r="C4023" s="1" t="s">
        <v>3980</v>
      </c>
      <c r="D4023" s="1" t="s">
        <v>8</v>
      </c>
      <c r="E4023" s="3">
        <v>3833650</v>
      </c>
      <c r="F4023" s="3">
        <v>3835320</v>
      </c>
      <c r="G4023" s="1" t="s">
        <v>13</v>
      </c>
      <c r="H4023" s="1" t="b">
        <f t="shared" si="153"/>
        <v>0</v>
      </c>
    </row>
    <row r="4024" spans="1:8" ht="21" x14ac:dyDescent="0.25">
      <c r="A4024" s="2" t="str">
        <f>HYPERLINK("https://rth.dk/resources/bsgatlas/details.php?id=BSGatlas-operon-2102","BSGatlas-operon-2102")</f>
        <v>BSGatlas-operon-2102</v>
      </c>
      <c r="B4024" s="2" t="str">
        <f>HYPERLINK("https://rth.dk/resources/bsgatlas/details.php?id=BSGatlas-gene-4350","BSGatlas-gene-4350")</f>
        <v>BSGatlas-gene-4350</v>
      </c>
      <c r="C4024" s="1" t="s">
        <v>3981</v>
      </c>
      <c r="D4024" s="1" t="s">
        <v>8</v>
      </c>
      <c r="E4024" s="3">
        <v>3835317</v>
      </c>
      <c r="F4024" s="3">
        <v>3835745</v>
      </c>
      <c r="G4024" s="1" t="s">
        <v>13</v>
      </c>
      <c r="H4024" s="1" t="b">
        <f t="shared" si="153"/>
        <v>0</v>
      </c>
    </row>
    <row r="4025" spans="1:8" ht="21" x14ac:dyDescent="0.25">
      <c r="A4025" s="2" t="str">
        <f t="shared" ref="A4025:A4033" si="154">HYPERLINK("https://rth.dk/resources/bsgatlas/details.php?id=BSGatlas-operon-2103","BSGatlas-operon-2103")</f>
        <v>BSGatlas-operon-2103</v>
      </c>
      <c r="B4025" s="2" t="str">
        <f>HYPERLINK("https://rth.dk/resources/bsgatlas/details.php?id=BSGatlas-gene-4351","BSGatlas-gene-4351")</f>
        <v>BSGatlas-gene-4351</v>
      </c>
      <c r="C4025" s="1" t="s">
        <v>3982</v>
      </c>
      <c r="D4025" s="1" t="s">
        <v>8</v>
      </c>
      <c r="E4025" s="3">
        <v>3836058</v>
      </c>
      <c r="F4025" s="3">
        <v>3836189</v>
      </c>
      <c r="G4025" s="1" t="s">
        <v>9</v>
      </c>
      <c r="H4025" s="1" t="b">
        <f t="shared" si="153"/>
        <v>1</v>
      </c>
    </row>
    <row r="4026" spans="1:8" ht="21" x14ac:dyDescent="0.25">
      <c r="A4026" s="2" t="str">
        <f t="shared" si="154"/>
        <v>BSGatlas-operon-2103</v>
      </c>
      <c r="B4026" s="2" t="str">
        <f>HYPERLINK("https://rth.dk/resources/bsgatlas/details.php?id=BSGatlas-gene-4352","BSGatlas-gene-4352")</f>
        <v>BSGatlas-gene-4352</v>
      </c>
      <c r="C4026" s="1" t="s">
        <v>3983</v>
      </c>
      <c r="D4026" s="1" t="s">
        <v>8</v>
      </c>
      <c r="E4026" s="3">
        <v>3836146</v>
      </c>
      <c r="F4026" s="3">
        <v>3836298</v>
      </c>
      <c r="G4026" s="1" t="s">
        <v>9</v>
      </c>
      <c r="H4026" s="1" t="b">
        <f t="shared" si="153"/>
        <v>1</v>
      </c>
    </row>
    <row r="4027" spans="1:8" ht="21" x14ac:dyDescent="0.25">
      <c r="A4027" s="2" t="str">
        <f t="shared" si="154"/>
        <v>BSGatlas-operon-2103</v>
      </c>
      <c r="B4027" s="2" t="str">
        <f>HYPERLINK("https://rth.dk/resources/bsgatlas/details.php?id=BSGatlas-gene-4353","BSGatlas-gene-4353")</f>
        <v>BSGatlas-gene-4353</v>
      </c>
      <c r="C4027" s="1" t="s">
        <v>3984</v>
      </c>
      <c r="D4027" s="1" t="s">
        <v>8</v>
      </c>
      <c r="E4027" s="3">
        <v>3836323</v>
      </c>
      <c r="F4027" s="3">
        <v>3837669</v>
      </c>
      <c r="G4027" s="1" t="s">
        <v>9</v>
      </c>
      <c r="H4027" s="1" t="b">
        <f t="shared" si="153"/>
        <v>1</v>
      </c>
    </row>
    <row r="4028" spans="1:8" ht="21" x14ac:dyDescent="0.25">
      <c r="A4028" s="2" t="str">
        <f t="shared" si="154"/>
        <v>BSGatlas-operon-2103</v>
      </c>
      <c r="B4028" s="2" t="str">
        <f>HYPERLINK("https://rth.dk/resources/bsgatlas/details.php?id=BSGatlas-gene-4354","BSGatlas-gene-4354")</f>
        <v>BSGatlas-gene-4354</v>
      </c>
      <c r="C4028" s="1" t="s">
        <v>3985</v>
      </c>
      <c r="D4028" s="1" t="s">
        <v>8</v>
      </c>
      <c r="E4028" s="3">
        <v>3837682</v>
      </c>
      <c r="F4028" s="3">
        <v>3837843</v>
      </c>
      <c r="G4028" s="1" t="s">
        <v>9</v>
      </c>
      <c r="H4028" s="1" t="b">
        <f t="shared" si="153"/>
        <v>1</v>
      </c>
    </row>
    <row r="4029" spans="1:8" ht="21" x14ac:dyDescent="0.25">
      <c r="A4029" s="2" t="str">
        <f t="shared" si="154"/>
        <v>BSGatlas-operon-2103</v>
      </c>
      <c r="B4029" s="2" t="str">
        <f>HYPERLINK("https://rth.dk/resources/bsgatlas/details.php?id=BSGatlas-gene-4355","BSGatlas-gene-4355")</f>
        <v>BSGatlas-gene-4355</v>
      </c>
      <c r="C4029" s="1" t="s">
        <v>3986</v>
      </c>
      <c r="D4029" s="1" t="s">
        <v>8</v>
      </c>
      <c r="E4029" s="3">
        <v>3837840</v>
      </c>
      <c r="F4029" s="3">
        <v>3838559</v>
      </c>
      <c r="G4029" s="1" t="s">
        <v>9</v>
      </c>
      <c r="H4029" s="1" t="b">
        <f t="shared" si="153"/>
        <v>1</v>
      </c>
    </row>
    <row r="4030" spans="1:8" ht="21" x14ac:dyDescent="0.25">
      <c r="A4030" s="2" t="str">
        <f t="shared" si="154"/>
        <v>BSGatlas-operon-2103</v>
      </c>
      <c r="B4030" s="2" t="str">
        <f>HYPERLINK("https://rth.dk/resources/bsgatlas/details.php?id=BSGatlas-gene-4356","BSGatlas-gene-4356")</f>
        <v>BSGatlas-gene-4356</v>
      </c>
      <c r="C4030" s="1" t="s">
        <v>3987</v>
      </c>
      <c r="D4030" s="1" t="s">
        <v>8</v>
      </c>
      <c r="E4030" s="3">
        <v>3838552</v>
      </c>
      <c r="F4030" s="3">
        <v>3839862</v>
      </c>
      <c r="G4030" s="1" t="s">
        <v>9</v>
      </c>
      <c r="H4030" s="1" t="b">
        <f t="shared" si="153"/>
        <v>1</v>
      </c>
    </row>
    <row r="4031" spans="1:8" ht="21" x14ac:dyDescent="0.25">
      <c r="A4031" s="2" t="str">
        <f t="shared" si="154"/>
        <v>BSGatlas-operon-2103</v>
      </c>
      <c r="B4031" s="2" t="str">
        <f>HYPERLINK("https://rth.dk/resources/bsgatlas/details.php?id=BSGatlas-gene-4357","BSGatlas-gene-4357")</f>
        <v>BSGatlas-gene-4357</v>
      </c>
      <c r="C4031" s="1" t="s">
        <v>3988</v>
      </c>
      <c r="D4031" s="1" t="s">
        <v>8</v>
      </c>
      <c r="E4031" s="3">
        <v>3839852</v>
      </c>
      <c r="F4031" s="3">
        <v>3841012</v>
      </c>
      <c r="G4031" s="1" t="s">
        <v>9</v>
      </c>
      <c r="H4031" s="1" t="b">
        <f t="shared" si="153"/>
        <v>1</v>
      </c>
    </row>
    <row r="4032" spans="1:8" ht="21" x14ac:dyDescent="0.25">
      <c r="A4032" s="2" t="str">
        <f t="shared" si="154"/>
        <v>BSGatlas-operon-2103</v>
      </c>
      <c r="B4032" s="2" t="str">
        <f>HYPERLINK("https://rth.dk/resources/bsgatlas/details.php?id=BSGatlas-gene-4358","BSGatlas-gene-4358")</f>
        <v>BSGatlas-gene-4358</v>
      </c>
      <c r="C4032" s="1" t="s">
        <v>3989</v>
      </c>
      <c r="D4032" s="1" t="s">
        <v>8</v>
      </c>
      <c r="E4032" s="3">
        <v>3841017</v>
      </c>
      <c r="F4032" s="3">
        <v>3842297</v>
      </c>
      <c r="G4032" s="1" t="s">
        <v>9</v>
      </c>
      <c r="H4032" s="1" t="b">
        <f t="shared" si="153"/>
        <v>1</v>
      </c>
    </row>
    <row r="4033" spans="1:8" ht="21" x14ac:dyDescent="0.25">
      <c r="A4033" s="2" t="str">
        <f t="shared" si="154"/>
        <v>BSGatlas-operon-2103</v>
      </c>
      <c r="B4033" s="2" t="str">
        <f>HYPERLINK("https://rth.dk/resources/bsgatlas/details.php?id=BSGatlas-gene-4359","BSGatlas-gene-4359")</f>
        <v>BSGatlas-gene-4359</v>
      </c>
      <c r="C4033" s="1" t="s">
        <v>3990</v>
      </c>
      <c r="D4033" s="1" t="s">
        <v>8</v>
      </c>
      <c r="E4033" s="3">
        <v>3842294</v>
      </c>
      <c r="F4033" s="3">
        <v>3842995</v>
      </c>
      <c r="G4033" s="1" t="s">
        <v>9</v>
      </c>
      <c r="H4033" s="1" t="b">
        <f t="shared" si="153"/>
        <v>1</v>
      </c>
    </row>
    <row r="4034" spans="1:8" ht="21" x14ac:dyDescent="0.25">
      <c r="A4034" s="2" t="str">
        <f>HYPERLINK("https://rth.dk/resources/bsgatlas/details.php?id=BSGatlas-operon-2104","BSGatlas-operon-2104")</f>
        <v>BSGatlas-operon-2104</v>
      </c>
      <c r="B4034" s="2" t="str">
        <f>HYPERLINK("https://rth.dk/resources/bsgatlas/details.php?id=BSGatlas-gene-4360","BSGatlas-gene-4360")</f>
        <v>BSGatlas-gene-4360</v>
      </c>
      <c r="C4034" s="1" t="s">
        <v>3991</v>
      </c>
      <c r="D4034" s="1" t="s">
        <v>8</v>
      </c>
      <c r="E4034" s="3">
        <v>3843001</v>
      </c>
      <c r="F4034" s="3">
        <v>3844377</v>
      </c>
      <c r="G4034" s="1" t="s">
        <v>13</v>
      </c>
      <c r="H4034" s="1" t="b">
        <f t="shared" ref="H4034:H4097" si="155">_xlfn.XOR(A4033&lt;&gt;A4034,H4033)</f>
        <v>0</v>
      </c>
    </row>
    <row r="4035" spans="1:8" ht="21" x14ac:dyDescent="0.25">
      <c r="A4035" s="2" t="str">
        <f>HYPERLINK("https://rth.dk/resources/bsgatlas/details.php?id=BSGatlas-operon-2104","BSGatlas-operon-2104")</f>
        <v>BSGatlas-operon-2104</v>
      </c>
      <c r="B4035" s="2" t="str">
        <f>HYPERLINK("https://rth.dk/resources/bsgatlas/details.php?id=BSGatlas-gene-4361","BSGatlas-gene-4361")</f>
        <v>BSGatlas-gene-4361</v>
      </c>
      <c r="C4035" s="1" t="s">
        <v>3992</v>
      </c>
      <c r="D4035" s="1" t="s">
        <v>8</v>
      </c>
      <c r="E4035" s="3">
        <v>3844416</v>
      </c>
      <c r="F4035" s="3">
        <v>3845771</v>
      </c>
      <c r="G4035" s="1" t="s">
        <v>13</v>
      </c>
      <c r="H4035" s="1" t="b">
        <f t="shared" si="155"/>
        <v>0</v>
      </c>
    </row>
    <row r="4036" spans="1:8" ht="21" x14ac:dyDescent="0.25">
      <c r="A4036" s="2" t="str">
        <f>HYPERLINK("https://rth.dk/resources/bsgatlas/details.php?id=BSGatlas-operon-2105","BSGatlas-operon-2105")</f>
        <v>BSGatlas-operon-2105</v>
      </c>
      <c r="B4036" s="2" t="str">
        <f>HYPERLINK("https://rth.dk/resources/bsgatlas/details.php?id=BSGatlas-gene-4362","BSGatlas-gene-4362")</f>
        <v>BSGatlas-gene-4362</v>
      </c>
      <c r="C4036" s="1" t="s">
        <v>3993</v>
      </c>
      <c r="D4036" s="1" t="s">
        <v>8</v>
      </c>
      <c r="E4036" s="3">
        <v>3846001</v>
      </c>
      <c r="F4036" s="3">
        <v>3847146</v>
      </c>
      <c r="G4036" s="1" t="s">
        <v>9</v>
      </c>
      <c r="H4036" s="1" t="b">
        <f t="shared" si="155"/>
        <v>1</v>
      </c>
    </row>
    <row r="4037" spans="1:8" ht="21" x14ac:dyDescent="0.25">
      <c r="A4037" s="2" t="str">
        <f>HYPERLINK("https://rth.dk/resources/bsgatlas/details.php?id=BSGatlas-operon-2105","BSGatlas-operon-2105")</f>
        <v>BSGatlas-operon-2105</v>
      </c>
      <c r="B4037" s="2" t="str">
        <f>HYPERLINK("https://rth.dk/resources/bsgatlas/details.php?id=BSGatlas-gene-4363","BSGatlas-gene-4363")</f>
        <v>BSGatlas-gene-4363</v>
      </c>
      <c r="C4037" s="1" t="s">
        <v>3994</v>
      </c>
      <c r="D4037" s="1" t="s">
        <v>8</v>
      </c>
      <c r="E4037" s="3">
        <v>3847130</v>
      </c>
      <c r="F4037" s="3">
        <v>3847249</v>
      </c>
      <c r="G4037" s="1" t="s">
        <v>9</v>
      </c>
      <c r="H4037" s="1" t="b">
        <f t="shared" si="155"/>
        <v>1</v>
      </c>
    </row>
    <row r="4038" spans="1:8" ht="21" x14ac:dyDescent="0.25">
      <c r="A4038" s="2" t="str">
        <f>HYPERLINK("https://rth.dk/resources/bsgatlas/details.php?id=BSGatlas-operon-2106","BSGatlas-operon-2106")</f>
        <v>BSGatlas-operon-2106</v>
      </c>
      <c r="B4038" s="2" t="str">
        <f>HYPERLINK("https://rth.dk/resources/bsgatlas/details.php?id=BSGatlas-gene-4365","BSGatlas-gene-4365")</f>
        <v>BSGatlas-gene-4365</v>
      </c>
      <c r="C4038" s="1" t="s">
        <v>3995</v>
      </c>
      <c r="D4038" s="1" t="s">
        <v>8</v>
      </c>
      <c r="E4038" s="3">
        <v>3847853</v>
      </c>
      <c r="F4038" s="3">
        <v>3848725</v>
      </c>
      <c r="G4038" s="1" t="s">
        <v>13</v>
      </c>
      <c r="H4038" s="1" t="b">
        <f t="shared" si="155"/>
        <v>0</v>
      </c>
    </row>
    <row r="4039" spans="1:8" ht="21" x14ac:dyDescent="0.25">
      <c r="A4039" s="2" t="str">
        <f>HYPERLINK("https://rth.dk/resources/bsgatlas/details.php?id=BSGatlas-operon-2106","BSGatlas-operon-2106")</f>
        <v>BSGatlas-operon-2106</v>
      </c>
      <c r="B4039" s="2" t="str">
        <f>HYPERLINK("https://rth.dk/resources/bsgatlas/details.php?id=BSGatlas-gene-4366","BSGatlas-gene-4366")</f>
        <v>BSGatlas-gene-4366</v>
      </c>
      <c r="C4039" s="1" t="s">
        <v>3996</v>
      </c>
      <c r="D4039" s="1" t="s">
        <v>8</v>
      </c>
      <c r="E4039" s="3">
        <v>3848786</v>
      </c>
      <c r="F4039" s="3">
        <v>3849616</v>
      </c>
      <c r="G4039" s="1" t="s">
        <v>13</v>
      </c>
      <c r="H4039" s="1" t="b">
        <f t="shared" si="155"/>
        <v>0</v>
      </c>
    </row>
    <row r="4040" spans="1:8" ht="21" x14ac:dyDescent="0.25">
      <c r="A4040" s="2" t="str">
        <f>HYPERLINK("https://rth.dk/resources/bsgatlas/details.php?id=BSGatlas-operon-2107","BSGatlas-operon-2107")</f>
        <v>BSGatlas-operon-2107</v>
      </c>
      <c r="B4040" s="2" t="str">
        <f>HYPERLINK("https://rth.dk/resources/bsgatlas/details.php?id=BSGatlas-gene-4364","BSGatlas-gene-4364")</f>
        <v>BSGatlas-gene-4364</v>
      </c>
      <c r="C4040" s="1" t="s">
        <v>3997</v>
      </c>
      <c r="D4040" s="1" t="s">
        <v>8</v>
      </c>
      <c r="E4040" s="3">
        <v>3847348</v>
      </c>
      <c r="F4040" s="3">
        <v>3847821</v>
      </c>
      <c r="G4040" s="1" t="s">
        <v>9</v>
      </c>
      <c r="H4040" s="1" t="b">
        <f t="shared" si="155"/>
        <v>1</v>
      </c>
    </row>
    <row r="4041" spans="1:8" ht="21" x14ac:dyDescent="0.25">
      <c r="A4041" s="2" t="str">
        <f>HYPERLINK("https://rth.dk/resources/bsgatlas/details.php?id=BSGatlas-operon-2108","BSGatlas-operon-2108")</f>
        <v>BSGatlas-operon-2108</v>
      </c>
      <c r="B4041" s="2" t="str">
        <f>HYPERLINK("https://rth.dk/resources/bsgatlas/details.php?id=BSGatlas-gene-4367","BSGatlas-gene-4367")</f>
        <v>BSGatlas-gene-4367</v>
      </c>
      <c r="C4041" s="1" t="s">
        <v>3998</v>
      </c>
      <c r="D4041" s="1" t="s">
        <v>8</v>
      </c>
      <c r="E4041" s="3">
        <v>3849818</v>
      </c>
      <c r="F4041" s="3">
        <v>3851893</v>
      </c>
      <c r="G4041" s="1" t="s">
        <v>9</v>
      </c>
      <c r="H4041" s="1" t="b">
        <f t="shared" si="155"/>
        <v>0</v>
      </c>
    </row>
    <row r="4042" spans="1:8" ht="21" x14ac:dyDescent="0.25">
      <c r="A4042" s="2" t="str">
        <f>HYPERLINK("https://rth.dk/resources/bsgatlas/details.php?id=BSGatlas-operon-2109","BSGatlas-operon-2109")</f>
        <v>BSGatlas-operon-2109</v>
      </c>
      <c r="B4042" s="2" t="str">
        <f>HYPERLINK("https://rth.dk/resources/bsgatlas/details.php?id=BSGatlas-gene-4368","BSGatlas-gene-4368")</f>
        <v>BSGatlas-gene-4368</v>
      </c>
      <c r="C4042" s="1" t="s">
        <v>3999</v>
      </c>
      <c r="D4042" s="1" t="s">
        <v>12</v>
      </c>
      <c r="E4042" s="3">
        <v>3852061</v>
      </c>
      <c r="F4042" s="3">
        <v>3852116</v>
      </c>
      <c r="G4042" s="1" t="s">
        <v>13</v>
      </c>
      <c r="H4042" s="1" t="b">
        <f t="shared" si="155"/>
        <v>1</v>
      </c>
    </row>
    <row r="4043" spans="1:8" ht="21" x14ac:dyDescent="0.25">
      <c r="A4043" s="2" t="str">
        <f>HYPERLINK("https://rth.dk/resources/bsgatlas/details.php?id=BSGatlas-operon-2110","BSGatlas-operon-2110")</f>
        <v>BSGatlas-operon-2110</v>
      </c>
      <c r="B4043" s="2" t="str">
        <f>HYPERLINK("https://rth.dk/resources/bsgatlas/details.php?id=BSGatlas-gene-4369","BSGatlas-gene-4369")</f>
        <v>BSGatlas-gene-4369</v>
      </c>
      <c r="C4043" s="1" t="s">
        <v>4000</v>
      </c>
      <c r="D4043" s="1" t="s">
        <v>8</v>
      </c>
      <c r="E4043" s="3">
        <v>3852186</v>
      </c>
      <c r="F4043" s="3">
        <v>3852704</v>
      </c>
      <c r="G4043" s="1" t="s">
        <v>13</v>
      </c>
      <c r="H4043" s="1" t="b">
        <f t="shared" si="155"/>
        <v>0</v>
      </c>
    </row>
    <row r="4044" spans="1:8" ht="21" x14ac:dyDescent="0.25">
      <c r="A4044" s="2" t="str">
        <f>HYPERLINK("https://rth.dk/resources/bsgatlas/details.php?id=BSGatlas-operon-2110","BSGatlas-operon-2110")</f>
        <v>BSGatlas-operon-2110</v>
      </c>
      <c r="B4044" s="2" t="str">
        <f>HYPERLINK("https://rth.dk/resources/bsgatlas/details.php?id=BSGatlas-gene-4370","BSGatlas-gene-4370")</f>
        <v>BSGatlas-gene-4370</v>
      </c>
      <c r="C4044" s="1" t="s">
        <v>4001</v>
      </c>
      <c r="D4044" s="1" t="s">
        <v>8</v>
      </c>
      <c r="E4044" s="3">
        <v>3852718</v>
      </c>
      <c r="F4044" s="3">
        <v>3853377</v>
      </c>
      <c r="G4044" s="1" t="s">
        <v>13</v>
      </c>
      <c r="H4044" s="1" t="b">
        <f t="shared" si="155"/>
        <v>0</v>
      </c>
    </row>
    <row r="4045" spans="1:8" ht="21" x14ac:dyDescent="0.25">
      <c r="A4045" s="2" t="str">
        <f>HYPERLINK("https://rth.dk/resources/bsgatlas/details.php?id=BSGatlas-operon-2111","BSGatlas-operon-2111")</f>
        <v>BSGatlas-operon-2111</v>
      </c>
      <c r="B4045" s="2" t="str">
        <f>HYPERLINK("https://rth.dk/resources/bsgatlas/details.php?id=BSGatlas-gene-4371","BSGatlas-gene-4371")</f>
        <v>BSGatlas-gene-4371</v>
      </c>
      <c r="C4045" s="1" t="s">
        <v>4002</v>
      </c>
      <c r="D4045" s="1" t="s">
        <v>8</v>
      </c>
      <c r="E4045" s="3">
        <v>3853486</v>
      </c>
      <c r="F4045" s="3">
        <v>3853674</v>
      </c>
      <c r="G4045" s="1" t="s">
        <v>9</v>
      </c>
      <c r="H4045" s="1" t="b">
        <f t="shared" si="155"/>
        <v>1</v>
      </c>
    </row>
    <row r="4046" spans="1:8" ht="21" x14ac:dyDescent="0.25">
      <c r="A4046" s="2" t="str">
        <f>HYPERLINK("https://rth.dk/resources/bsgatlas/details.php?id=BSGatlas-operon-2112","BSGatlas-operon-2112")</f>
        <v>BSGatlas-operon-2112</v>
      </c>
      <c r="B4046" s="2" t="str">
        <f>HYPERLINK("https://rth.dk/resources/bsgatlas/details.php?id=BSGatlas-gene-4372","BSGatlas-gene-4372")</f>
        <v>BSGatlas-gene-4372</v>
      </c>
      <c r="C4046" s="1" t="s">
        <v>4003</v>
      </c>
      <c r="D4046" s="1" t="s">
        <v>8</v>
      </c>
      <c r="E4046" s="3">
        <v>3853717</v>
      </c>
      <c r="F4046" s="3">
        <v>3854136</v>
      </c>
      <c r="G4046" s="1" t="s">
        <v>13</v>
      </c>
      <c r="H4046" s="1" t="b">
        <f t="shared" si="155"/>
        <v>0</v>
      </c>
    </row>
    <row r="4047" spans="1:8" ht="21" x14ac:dyDescent="0.25">
      <c r="A4047" s="2" t="str">
        <f>HYPERLINK("https://rth.dk/resources/bsgatlas/details.php?id=BSGatlas-operon-2112","BSGatlas-operon-2112")</f>
        <v>BSGatlas-operon-2112</v>
      </c>
      <c r="B4047" s="2" t="str">
        <f>HYPERLINK("https://rth.dk/resources/bsgatlas/details.php?id=BSGatlas-gene-4373","BSGatlas-gene-4373")</f>
        <v>BSGatlas-gene-4373</v>
      </c>
      <c r="C4047" s="1" t="s">
        <v>4004</v>
      </c>
      <c r="D4047" s="1" t="s">
        <v>8</v>
      </c>
      <c r="E4047" s="3">
        <v>3854256</v>
      </c>
      <c r="F4047" s="3">
        <v>3856172</v>
      </c>
      <c r="G4047" s="1" t="s">
        <v>13</v>
      </c>
      <c r="H4047" s="1" t="b">
        <f t="shared" si="155"/>
        <v>0</v>
      </c>
    </row>
    <row r="4048" spans="1:8" ht="21" x14ac:dyDescent="0.25">
      <c r="A4048" s="2" t="str">
        <f>HYPERLINK("https://rth.dk/resources/bsgatlas/details.php?id=BSGatlas-operon-2113","BSGatlas-operon-2113")</f>
        <v>BSGatlas-operon-2113</v>
      </c>
      <c r="B4048" s="2" t="str">
        <f>HYPERLINK("https://rth.dk/resources/bsgatlas/details.php?id=BSGatlas-gene-4374","BSGatlas-gene-4374")</f>
        <v>BSGatlas-gene-4374</v>
      </c>
      <c r="C4048" s="1" t="s">
        <v>4005</v>
      </c>
      <c r="D4048" s="1" t="s">
        <v>34</v>
      </c>
      <c r="E4048" s="3">
        <v>3856225</v>
      </c>
      <c r="F4048" s="3">
        <v>3856447</v>
      </c>
      <c r="G4048" s="1" t="s">
        <v>13</v>
      </c>
      <c r="H4048" s="1" t="b">
        <f t="shared" si="155"/>
        <v>1</v>
      </c>
    </row>
    <row r="4049" spans="1:8" ht="21" x14ac:dyDescent="0.25">
      <c r="A4049" s="2" t="str">
        <f>HYPERLINK("https://rth.dk/resources/bsgatlas/details.php?id=BSGatlas-operon-2114","BSGatlas-operon-2114")</f>
        <v>BSGatlas-operon-2114</v>
      </c>
      <c r="B4049" s="2" t="str">
        <f>HYPERLINK("https://rth.dk/resources/bsgatlas/details.php?id=BSGatlas-gene-4375","BSGatlas-gene-4375")</f>
        <v>BSGatlas-gene-4375</v>
      </c>
      <c r="C4049" s="1" t="s">
        <v>4006</v>
      </c>
      <c r="D4049" s="1" t="s">
        <v>34</v>
      </c>
      <c r="E4049" s="3">
        <v>3856478</v>
      </c>
      <c r="F4049" s="3">
        <v>3856700</v>
      </c>
      <c r="G4049" s="1" t="s">
        <v>13</v>
      </c>
      <c r="H4049" s="1" t="b">
        <f t="shared" si="155"/>
        <v>0</v>
      </c>
    </row>
    <row r="4050" spans="1:8" ht="21" x14ac:dyDescent="0.25">
      <c r="A4050" s="2" t="str">
        <f>HYPERLINK("https://rth.dk/resources/bsgatlas/details.php?id=BSGatlas-operon-2115","BSGatlas-operon-2115")</f>
        <v>BSGatlas-operon-2115</v>
      </c>
      <c r="B4050" s="2" t="str">
        <f>HYPERLINK("https://rth.dk/resources/bsgatlas/details.php?id=BSGatlas-gene-4376","BSGatlas-gene-4376")</f>
        <v>BSGatlas-gene-4376</v>
      </c>
      <c r="C4050" s="1" t="s">
        <v>144</v>
      </c>
      <c r="D4050" s="1" t="s">
        <v>34</v>
      </c>
      <c r="E4050" s="3">
        <v>3856733</v>
      </c>
      <c r="F4050" s="3">
        <v>3856962</v>
      </c>
      <c r="G4050" s="1" t="s">
        <v>13</v>
      </c>
      <c r="H4050" s="1" t="b">
        <f t="shared" si="155"/>
        <v>1</v>
      </c>
    </row>
    <row r="4051" spans="1:8" ht="21" x14ac:dyDescent="0.25">
      <c r="A4051" s="2" t="str">
        <f>HYPERLINK("https://rth.dk/resources/bsgatlas/details.php?id=BSGatlas-operon-2115","BSGatlas-operon-2115")</f>
        <v>BSGatlas-operon-2115</v>
      </c>
      <c r="B4051" s="2" t="str">
        <f>HYPERLINK("https://rth.dk/resources/bsgatlas/details.php?id=BSGatlas-gene-4377","BSGatlas-gene-4377")</f>
        <v>BSGatlas-gene-4377</v>
      </c>
      <c r="C4051" s="1" t="s">
        <v>318</v>
      </c>
      <c r="D4051" s="1" t="s">
        <v>8</v>
      </c>
      <c r="E4051" s="3">
        <v>3856782</v>
      </c>
      <c r="F4051" s="3">
        <v>3856937</v>
      </c>
      <c r="G4051" s="1" t="s">
        <v>13</v>
      </c>
      <c r="H4051" s="1" t="b">
        <f t="shared" si="155"/>
        <v>1</v>
      </c>
    </row>
    <row r="4052" spans="1:8" ht="21" x14ac:dyDescent="0.25">
      <c r="A4052" s="2" t="str">
        <f>HYPERLINK("https://rth.dk/resources/bsgatlas/details.php?id=BSGatlas-operon-2116","BSGatlas-operon-2116")</f>
        <v>BSGatlas-operon-2116</v>
      </c>
      <c r="B4052" s="2" t="str">
        <f>HYPERLINK("https://rth.dk/resources/bsgatlas/details.php?id=BSGatlas-gene-4378","BSGatlas-gene-4378")</f>
        <v>BSGatlas-gene-4378</v>
      </c>
      <c r="C4052" s="1" t="s">
        <v>4007</v>
      </c>
      <c r="D4052" s="1" t="s">
        <v>8</v>
      </c>
      <c r="E4052" s="3">
        <v>3857017</v>
      </c>
      <c r="F4052" s="3">
        <v>3858417</v>
      </c>
      <c r="G4052" s="1" t="s">
        <v>13</v>
      </c>
      <c r="H4052" s="1" t="b">
        <f t="shared" si="155"/>
        <v>0</v>
      </c>
    </row>
    <row r="4053" spans="1:8" ht="21" x14ac:dyDescent="0.25">
      <c r="A4053" s="2" t="str">
        <f>HYPERLINK("https://rth.dk/resources/bsgatlas/details.php?id=BSGatlas-operon-2117","BSGatlas-operon-2117")</f>
        <v>BSGatlas-operon-2117</v>
      </c>
      <c r="B4053" s="2" t="str">
        <f>HYPERLINK("https://rth.dk/resources/bsgatlas/details.php?id=BSGatlas-gene-4380","BSGatlas-gene-4380")</f>
        <v>BSGatlas-gene-4380</v>
      </c>
      <c r="C4053" s="1" t="s">
        <v>4008</v>
      </c>
      <c r="D4053" s="1" t="s">
        <v>8</v>
      </c>
      <c r="E4053" s="3">
        <v>3858999</v>
      </c>
      <c r="F4053" s="3">
        <v>3859499</v>
      </c>
      <c r="G4053" s="1" t="s">
        <v>13</v>
      </c>
      <c r="H4053" s="1" t="b">
        <f t="shared" si="155"/>
        <v>1</v>
      </c>
    </row>
    <row r="4054" spans="1:8" ht="21" x14ac:dyDescent="0.25">
      <c r="A4054" s="2" t="str">
        <f>HYPERLINK("https://rth.dk/resources/bsgatlas/details.php?id=BSGatlas-operon-2117","BSGatlas-operon-2117")</f>
        <v>BSGatlas-operon-2117</v>
      </c>
      <c r="B4054" s="2" t="str">
        <f>HYPERLINK("https://rth.dk/resources/bsgatlas/details.php?id=BSGatlas-gene-4381","BSGatlas-gene-4381")</f>
        <v>BSGatlas-gene-4381</v>
      </c>
      <c r="C4054" s="1" t="s">
        <v>4009</v>
      </c>
      <c r="D4054" s="1" t="s">
        <v>8</v>
      </c>
      <c r="E4054" s="3">
        <v>3859535</v>
      </c>
      <c r="F4054" s="3">
        <v>3860836</v>
      </c>
      <c r="G4054" s="1" t="s">
        <v>13</v>
      </c>
      <c r="H4054" s="1" t="b">
        <f t="shared" si="155"/>
        <v>1</v>
      </c>
    </row>
    <row r="4055" spans="1:8" ht="21" x14ac:dyDescent="0.25">
      <c r="A4055" s="2" t="str">
        <f>HYPERLINK("https://rth.dk/resources/bsgatlas/details.php?id=BSGatlas-operon-2117","BSGatlas-operon-2117")</f>
        <v>BSGatlas-operon-2117</v>
      </c>
      <c r="B4055" s="2" t="str">
        <f>HYPERLINK("https://rth.dk/resources/bsgatlas/details.php?id=BSGatlas-gene-4382","BSGatlas-gene-4382")</f>
        <v>BSGatlas-gene-4382</v>
      </c>
      <c r="C4055" s="1" t="s">
        <v>4010</v>
      </c>
      <c r="D4055" s="1" t="s">
        <v>8</v>
      </c>
      <c r="E4055" s="3">
        <v>3860998</v>
      </c>
      <c r="F4055" s="3">
        <v>3861222</v>
      </c>
      <c r="G4055" s="1" t="s">
        <v>13</v>
      </c>
      <c r="H4055" s="1" t="b">
        <f t="shared" si="155"/>
        <v>1</v>
      </c>
    </row>
    <row r="4056" spans="1:8" ht="21" x14ac:dyDescent="0.25">
      <c r="A4056" s="2" t="str">
        <f>HYPERLINK("https://rth.dk/resources/bsgatlas/details.php?id=BSGatlas-operon-2118","BSGatlas-operon-2118")</f>
        <v>BSGatlas-operon-2118</v>
      </c>
      <c r="B4056" s="2" t="str">
        <f>HYPERLINK("https://rth.dk/resources/bsgatlas/details.php?id=BSGatlas-gene-4383","BSGatlas-gene-4383")</f>
        <v>BSGatlas-gene-4383</v>
      </c>
      <c r="C4056" s="1" t="s">
        <v>4011</v>
      </c>
      <c r="D4056" s="1" t="s">
        <v>8</v>
      </c>
      <c r="E4056" s="3">
        <v>3861437</v>
      </c>
      <c r="F4056" s="3">
        <v>3862213</v>
      </c>
      <c r="G4056" s="1" t="s">
        <v>9</v>
      </c>
      <c r="H4056" s="1" t="b">
        <f t="shared" si="155"/>
        <v>0</v>
      </c>
    </row>
    <row r="4057" spans="1:8" ht="21" x14ac:dyDescent="0.25">
      <c r="A4057" s="2" t="str">
        <f>HYPERLINK("https://rth.dk/resources/bsgatlas/details.php?id=BSGatlas-operon-2119","BSGatlas-operon-2119")</f>
        <v>BSGatlas-operon-2119</v>
      </c>
      <c r="B4057" s="2" t="str">
        <f>HYPERLINK("https://rth.dk/resources/bsgatlas/details.php?id=BSGatlas-gene-4384","BSGatlas-gene-4384")</f>
        <v>BSGatlas-gene-4384</v>
      </c>
      <c r="C4057" s="1" t="s">
        <v>4012</v>
      </c>
      <c r="D4057" s="1" t="s">
        <v>8</v>
      </c>
      <c r="E4057" s="3">
        <v>3862357</v>
      </c>
      <c r="F4057" s="3">
        <v>3863247</v>
      </c>
      <c r="G4057" s="1" t="s">
        <v>13</v>
      </c>
      <c r="H4057" s="1" t="b">
        <f t="shared" si="155"/>
        <v>1</v>
      </c>
    </row>
    <row r="4058" spans="1:8" ht="21" x14ac:dyDescent="0.25">
      <c r="A4058" s="2" t="str">
        <f>HYPERLINK("https://rth.dk/resources/bsgatlas/details.php?id=BSGatlas-operon-2120","BSGatlas-operon-2120")</f>
        <v>BSGatlas-operon-2120</v>
      </c>
      <c r="B4058" s="2" t="str">
        <f>HYPERLINK("https://rth.dk/resources/bsgatlas/details.php?id=BSGatlas-gene-4385","BSGatlas-gene-4385")</f>
        <v>BSGatlas-gene-4385</v>
      </c>
      <c r="C4058" s="1" t="s">
        <v>4013</v>
      </c>
      <c r="D4058" s="1" t="s">
        <v>8</v>
      </c>
      <c r="E4058" s="3">
        <v>3863415</v>
      </c>
      <c r="F4058" s="3">
        <v>3864260</v>
      </c>
      <c r="G4058" s="1" t="s">
        <v>13</v>
      </c>
      <c r="H4058" s="1" t="b">
        <f t="shared" si="155"/>
        <v>0</v>
      </c>
    </row>
    <row r="4059" spans="1:8" ht="21" x14ac:dyDescent="0.25">
      <c r="A4059" s="2" t="str">
        <f>HYPERLINK("https://rth.dk/resources/bsgatlas/details.php?id=BSGatlas-operon-2121","BSGatlas-operon-2121")</f>
        <v>BSGatlas-operon-2121</v>
      </c>
      <c r="B4059" s="2" t="str">
        <f>HYPERLINK("https://rth.dk/resources/bsgatlas/details.php?id=BSGatlas-gene-4386","BSGatlas-gene-4386")</f>
        <v>BSGatlas-gene-4386</v>
      </c>
      <c r="C4059" s="1" t="s">
        <v>4014</v>
      </c>
      <c r="D4059" s="1" t="s">
        <v>8</v>
      </c>
      <c r="E4059" s="3">
        <v>3864309</v>
      </c>
      <c r="F4059" s="3">
        <v>3865208</v>
      </c>
      <c r="G4059" s="1" t="s">
        <v>13</v>
      </c>
      <c r="H4059" s="1" t="b">
        <f t="shared" si="155"/>
        <v>1</v>
      </c>
    </row>
    <row r="4060" spans="1:8" ht="21" x14ac:dyDescent="0.25">
      <c r="A4060" s="2" t="str">
        <f>HYPERLINK("https://rth.dk/resources/bsgatlas/details.php?id=BSGatlas-operon-2122","BSGatlas-operon-2122")</f>
        <v>BSGatlas-operon-2122</v>
      </c>
      <c r="B4060" s="2" t="str">
        <f>HYPERLINK("https://rth.dk/resources/bsgatlas/details.php?id=BSGatlas-gene-4387","BSGatlas-gene-4387")</f>
        <v>BSGatlas-gene-4387</v>
      </c>
      <c r="C4060" s="1" t="s">
        <v>4015</v>
      </c>
      <c r="D4060" s="1" t="s">
        <v>8</v>
      </c>
      <c r="E4060" s="3">
        <v>3865355</v>
      </c>
      <c r="F4060" s="3">
        <v>3866326</v>
      </c>
      <c r="G4060" s="1" t="s">
        <v>13</v>
      </c>
      <c r="H4060" s="1" t="b">
        <f t="shared" si="155"/>
        <v>0</v>
      </c>
    </row>
    <row r="4061" spans="1:8" ht="21" x14ac:dyDescent="0.25">
      <c r="A4061" s="2" t="str">
        <f>HYPERLINK("https://rth.dk/resources/bsgatlas/details.php?id=BSGatlas-operon-2123","BSGatlas-operon-2123")</f>
        <v>BSGatlas-operon-2123</v>
      </c>
      <c r="B4061" s="2" t="str">
        <f>HYPERLINK("https://rth.dk/resources/bsgatlas/details.php?id=BSGatlas-gene-4388","BSGatlas-gene-4388")</f>
        <v>BSGatlas-gene-4388</v>
      </c>
      <c r="C4061" s="1" t="s">
        <v>4016</v>
      </c>
      <c r="D4061" s="1" t="s">
        <v>8</v>
      </c>
      <c r="E4061" s="3">
        <v>3866596</v>
      </c>
      <c r="F4061" s="3">
        <v>3867360</v>
      </c>
      <c r="G4061" s="1" t="s">
        <v>9</v>
      </c>
      <c r="H4061" s="1" t="b">
        <f t="shared" si="155"/>
        <v>1</v>
      </c>
    </row>
    <row r="4062" spans="1:8" ht="21" x14ac:dyDescent="0.25">
      <c r="A4062" s="2" t="str">
        <f>HYPERLINK("https://rth.dk/resources/bsgatlas/details.php?id=BSGatlas-operon-2124","BSGatlas-operon-2124")</f>
        <v>BSGatlas-operon-2124</v>
      </c>
      <c r="B4062" s="2" t="str">
        <f>HYPERLINK("https://rth.dk/resources/bsgatlas/details.php?id=BSGatlas-gene-4389","BSGatlas-gene-4389")</f>
        <v>BSGatlas-gene-4389</v>
      </c>
      <c r="C4062" s="1" t="s">
        <v>4017</v>
      </c>
      <c r="D4062" s="1" t="s">
        <v>8</v>
      </c>
      <c r="E4062" s="3">
        <v>3867493</v>
      </c>
      <c r="F4062" s="3">
        <v>3868272</v>
      </c>
      <c r="G4062" s="1" t="s">
        <v>9</v>
      </c>
      <c r="H4062" s="1" t="b">
        <f t="shared" si="155"/>
        <v>0</v>
      </c>
    </row>
    <row r="4063" spans="1:8" ht="21" x14ac:dyDescent="0.25">
      <c r="A4063" s="2" t="str">
        <f t="shared" ref="A4063:A4068" si="156">HYPERLINK("https://rth.dk/resources/bsgatlas/details.php?id=BSGatlas-operon-2125","BSGatlas-operon-2125")</f>
        <v>BSGatlas-operon-2125</v>
      </c>
      <c r="B4063" s="2" t="str">
        <f>HYPERLINK("https://rth.dk/resources/bsgatlas/details.php?id=BSGatlas-gene-4390","BSGatlas-gene-4390")</f>
        <v>BSGatlas-gene-4390</v>
      </c>
      <c r="C4063" s="1" t="s">
        <v>4018</v>
      </c>
      <c r="D4063" s="1" t="s">
        <v>8</v>
      </c>
      <c r="E4063" s="3">
        <v>3868287</v>
      </c>
      <c r="F4063" s="3">
        <v>3869486</v>
      </c>
      <c r="G4063" s="1" t="s">
        <v>13</v>
      </c>
      <c r="H4063" s="1" t="b">
        <f t="shared" si="155"/>
        <v>1</v>
      </c>
    </row>
    <row r="4064" spans="1:8" ht="21" x14ac:dyDescent="0.25">
      <c r="A4064" s="2" t="str">
        <f t="shared" si="156"/>
        <v>BSGatlas-operon-2125</v>
      </c>
      <c r="B4064" s="2" t="str">
        <f>HYPERLINK("https://rth.dk/resources/bsgatlas/details.php?id=BSGatlas-gene-4391","BSGatlas-gene-4391")</f>
        <v>BSGatlas-gene-4391</v>
      </c>
      <c r="C4064" s="1" t="s">
        <v>4019</v>
      </c>
      <c r="D4064" s="1" t="s">
        <v>8</v>
      </c>
      <c r="E4064" s="3">
        <v>3869487</v>
      </c>
      <c r="F4064" s="3">
        <v>3870671</v>
      </c>
      <c r="G4064" s="1" t="s">
        <v>13</v>
      </c>
      <c r="H4064" s="1" t="b">
        <f t="shared" si="155"/>
        <v>1</v>
      </c>
    </row>
    <row r="4065" spans="1:8" ht="21" x14ac:dyDescent="0.25">
      <c r="A4065" s="2" t="str">
        <f t="shared" si="156"/>
        <v>BSGatlas-operon-2125</v>
      </c>
      <c r="B4065" s="2" t="str">
        <f>HYPERLINK("https://rth.dk/resources/bsgatlas/details.php?id=BSGatlas-gene-4392","BSGatlas-gene-4392")</f>
        <v>BSGatlas-gene-4392</v>
      </c>
      <c r="C4065" s="1" t="s">
        <v>4020</v>
      </c>
      <c r="D4065" s="1" t="s">
        <v>8</v>
      </c>
      <c r="E4065" s="3">
        <v>3870668</v>
      </c>
      <c r="F4065" s="3">
        <v>3872086</v>
      </c>
      <c r="G4065" s="1" t="s">
        <v>13</v>
      </c>
      <c r="H4065" s="1" t="b">
        <f t="shared" si="155"/>
        <v>1</v>
      </c>
    </row>
    <row r="4066" spans="1:8" ht="21" x14ac:dyDescent="0.25">
      <c r="A4066" s="2" t="str">
        <f t="shared" si="156"/>
        <v>BSGatlas-operon-2125</v>
      </c>
      <c r="B4066" s="2" t="str">
        <f>HYPERLINK("https://rth.dk/resources/bsgatlas/details.php?id=BSGatlas-gene-4393","BSGatlas-gene-4393")</f>
        <v>BSGatlas-gene-4393</v>
      </c>
      <c r="C4066" s="1" t="s">
        <v>4021</v>
      </c>
      <c r="D4066" s="1" t="s">
        <v>8</v>
      </c>
      <c r="E4066" s="3">
        <v>3872105</v>
      </c>
      <c r="F4066" s="3">
        <v>3872866</v>
      </c>
      <c r="G4066" s="1" t="s">
        <v>13</v>
      </c>
      <c r="H4066" s="1" t="b">
        <f t="shared" si="155"/>
        <v>1</v>
      </c>
    </row>
    <row r="4067" spans="1:8" ht="21" x14ac:dyDescent="0.25">
      <c r="A4067" s="2" t="str">
        <f t="shared" si="156"/>
        <v>BSGatlas-operon-2125</v>
      </c>
      <c r="B4067" s="2" t="str">
        <f>HYPERLINK("https://rth.dk/resources/bsgatlas/details.php?id=BSGatlas-gene-4394","BSGatlas-gene-4394")</f>
        <v>BSGatlas-gene-4394</v>
      </c>
      <c r="C4067" s="1" t="s">
        <v>4022</v>
      </c>
      <c r="D4067" s="1" t="s">
        <v>8</v>
      </c>
      <c r="E4067" s="3">
        <v>3872869</v>
      </c>
      <c r="F4067" s="3">
        <v>3873576</v>
      </c>
      <c r="G4067" s="1" t="s">
        <v>13</v>
      </c>
      <c r="H4067" s="1" t="b">
        <f t="shared" si="155"/>
        <v>1</v>
      </c>
    </row>
    <row r="4068" spans="1:8" ht="21" x14ac:dyDescent="0.25">
      <c r="A4068" s="2" t="str">
        <f t="shared" si="156"/>
        <v>BSGatlas-operon-2125</v>
      </c>
      <c r="B4068" s="2" t="str">
        <f>HYPERLINK("https://rth.dk/resources/bsgatlas/details.php?id=BSGatlas-gene-4395","BSGatlas-gene-4395")</f>
        <v>BSGatlas-gene-4395</v>
      </c>
      <c r="C4068" s="1" t="s">
        <v>4023</v>
      </c>
      <c r="D4068" s="1" t="s">
        <v>8</v>
      </c>
      <c r="E4068" s="3">
        <v>3873566</v>
      </c>
      <c r="F4068" s="3">
        <v>3874180</v>
      </c>
      <c r="G4068" s="1" t="s">
        <v>13</v>
      </c>
      <c r="H4068" s="1" t="b">
        <f t="shared" si="155"/>
        <v>1</v>
      </c>
    </row>
    <row r="4069" spans="1:8" ht="21" x14ac:dyDescent="0.25">
      <c r="A4069" s="2" t="str">
        <f>HYPERLINK("https://rth.dk/resources/bsgatlas/details.php?id=BSGatlas-operon-2126","BSGatlas-operon-2126")</f>
        <v>BSGatlas-operon-2126</v>
      </c>
      <c r="B4069" s="2" t="str">
        <f>HYPERLINK("https://rth.dk/resources/bsgatlas/details.php?id=BSGatlas-gene-4396","BSGatlas-gene-4396")</f>
        <v>BSGatlas-gene-4396</v>
      </c>
      <c r="C4069" s="1" t="s">
        <v>4024</v>
      </c>
      <c r="D4069" s="1" t="s">
        <v>12</v>
      </c>
      <c r="E4069" s="3">
        <v>3873771</v>
      </c>
      <c r="F4069" s="3">
        <v>3874382</v>
      </c>
      <c r="G4069" s="1" t="s">
        <v>9</v>
      </c>
      <c r="H4069" s="1" t="b">
        <f t="shared" si="155"/>
        <v>0</v>
      </c>
    </row>
    <row r="4070" spans="1:8" ht="21" x14ac:dyDescent="0.25">
      <c r="A4070" s="2" t="str">
        <f>HYPERLINK("https://rth.dk/resources/bsgatlas/details.php?id=BSGatlas-operon-2127","BSGatlas-operon-2127")</f>
        <v>BSGatlas-operon-2127</v>
      </c>
      <c r="B4070" s="2" t="str">
        <f>HYPERLINK("https://rth.dk/resources/bsgatlas/details.php?id=BSGatlas-gene-4397","BSGatlas-gene-4397")</f>
        <v>BSGatlas-gene-4397</v>
      </c>
      <c r="C4070" s="1" t="s">
        <v>4025</v>
      </c>
      <c r="D4070" s="1" t="s">
        <v>8</v>
      </c>
      <c r="E4070" s="3">
        <v>3874332</v>
      </c>
      <c r="F4070" s="3">
        <v>3875570</v>
      </c>
      <c r="G4070" s="1" t="s">
        <v>13</v>
      </c>
      <c r="H4070" s="1" t="b">
        <f t="shared" si="155"/>
        <v>1</v>
      </c>
    </row>
    <row r="4071" spans="1:8" ht="21" x14ac:dyDescent="0.25">
      <c r="A4071" s="2" t="str">
        <f>HYPERLINK("https://rth.dk/resources/bsgatlas/details.php?id=BSGatlas-operon-2128","BSGatlas-operon-2128")</f>
        <v>BSGatlas-operon-2128</v>
      </c>
      <c r="B4071" s="2" t="str">
        <f>HYPERLINK("https://rth.dk/resources/bsgatlas/details.php?id=BSGatlas-gene-4398","BSGatlas-gene-4398")</f>
        <v>BSGatlas-gene-4398</v>
      </c>
      <c r="C4071" s="1" t="s">
        <v>4026</v>
      </c>
      <c r="D4071" s="1" t="s">
        <v>8</v>
      </c>
      <c r="E4071" s="3">
        <v>3875780</v>
      </c>
      <c r="F4071" s="3">
        <v>3877192</v>
      </c>
      <c r="G4071" s="1" t="s">
        <v>13</v>
      </c>
      <c r="H4071" s="1" t="b">
        <f t="shared" si="155"/>
        <v>0</v>
      </c>
    </row>
    <row r="4072" spans="1:8" ht="21" x14ac:dyDescent="0.25">
      <c r="A4072" s="2" t="str">
        <f>HYPERLINK("https://rth.dk/resources/bsgatlas/details.php?id=BSGatlas-operon-2128","BSGatlas-operon-2128")</f>
        <v>BSGatlas-operon-2128</v>
      </c>
      <c r="B4072" s="2" t="str">
        <f>HYPERLINK("https://rth.dk/resources/bsgatlas/details.php?id=BSGatlas-gene-4399","BSGatlas-gene-4399")</f>
        <v>BSGatlas-gene-4399</v>
      </c>
      <c r="C4072" s="1" t="s">
        <v>4027</v>
      </c>
      <c r="D4072" s="1" t="s">
        <v>8</v>
      </c>
      <c r="E4072" s="3">
        <v>3877192</v>
      </c>
      <c r="F4072" s="3">
        <v>3878892</v>
      </c>
      <c r="G4072" s="1" t="s">
        <v>13</v>
      </c>
      <c r="H4072" s="1" t="b">
        <f t="shared" si="155"/>
        <v>0</v>
      </c>
    </row>
    <row r="4073" spans="1:8" ht="21" x14ac:dyDescent="0.25">
      <c r="A4073" s="2" t="str">
        <f>HYPERLINK("https://rth.dk/resources/bsgatlas/details.php?id=BSGatlas-operon-2128","BSGatlas-operon-2128")</f>
        <v>BSGatlas-operon-2128</v>
      </c>
      <c r="B4073" s="2" t="str">
        <f>HYPERLINK("https://rth.dk/resources/bsgatlas/details.php?id=BSGatlas-gene-4400","BSGatlas-gene-4400")</f>
        <v>BSGatlas-gene-4400</v>
      </c>
      <c r="C4073" s="1" t="s">
        <v>4028</v>
      </c>
      <c r="D4073" s="1" t="s">
        <v>8</v>
      </c>
      <c r="E4073" s="3">
        <v>3878966</v>
      </c>
      <c r="F4073" s="3">
        <v>3880513</v>
      </c>
      <c r="G4073" s="1" t="s">
        <v>13</v>
      </c>
      <c r="H4073" s="1" t="b">
        <f t="shared" si="155"/>
        <v>0</v>
      </c>
    </row>
    <row r="4074" spans="1:8" ht="21" x14ac:dyDescent="0.25">
      <c r="A4074" s="2" t="str">
        <f>HYPERLINK("https://rth.dk/resources/bsgatlas/details.php?id=BSGatlas-operon-2129","BSGatlas-operon-2129")</f>
        <v>BSGatlas-operon-2129</v>
      </c>
      <c r="B4074" s="2" t="str">
        <f>HYPERLINK("https://rth.dk/resources/bsgatlas/details.php?id=BSGatlas-gene-4401","BSGatlas-gene-4401")</f>
        <v>BSGatlas-gene-4401</v>
      </c>
      <c r="C4074" s="1" t="s">
        <v>4029</v>
      </c>
      <c r="D4074" s="1" t="s">
        <v>8</v>
      </c>
      <c r="E4074" s="3">
        <v>3880740</v>
      </c>
      <c r="F4074" s="3">
        <v>3882014</v>
      </c>
      <c r="G4074" s="1" t="s">
        <v>13</v>
      </c>
      <c r="H4074" s="1" t="b">
        <f t="shared" si="155"/>
        <v>1</v>
      </c>
    </row>
    <row r="4075" spans="1:8" ht="21" x14ac:dyDescent="0.25">
      <c r="A4075" s="2" t="str">
        <f>HYPERLINK("https://rth.dk/resources/bsgatlas/details.php?id=BSGatlas-operon-2130","BSGatlas-operon-2130")</f>
        <v>BSGatlas-operon-2130</v>
      </c>
      <c r="B4075" s="2" t="str">
        <f>HYPERLINK("https://rth.dk/resources/bsgatlas/details.php?id=BSGatlas-gene-4402","BSGatlas-gene-4402")</f>
        <v>BSGatlas-gene-4402</v>
      </c>
      <c r="C4075" s="1" t="s">
        <v>4030</v>
      </c>
      <c r="D4075" s="1" t="s">
        <v>8</v>
      </c>
      <c r="E4075" s="3">
        <v>3882191</v>
      </c>
      <c r="F4075" s="3">
        <v>3882655</v>
      </c>
      <c r="G4075" s="1" t="s">
        <v>13</v>
      </c>
      <c r="H4075" s="1" t="b">
        <f t="shared" si="155"/>
        <v>0</v>
      </c>
    </row>
    <row r="4076" spans="1:8" ht="21" x14ac:dyDescent="0.25">
      <c r="A4076" s="2" t="str">
        <f t="shared" ref="A4076:A4086" si="157">HYPERLINK("https://rth.dk/resources/bsgatlas/details.php?id=BSGatlas-operon-2131","BSGatlas-operon-2131")</f>
        <v>BSGatlas-operon-2131</v>
      </c>
      <c r="B4076" s="2" t="str">
        <f>HYPERLINK("https://rth.dk/resources/bsgatlas/details.php?id=BSGatlas-gene-4403","BSGatlas-gene-4403")</f>
        <v>BSGatlas-gene-4403</v>
      </c>
      <c r="C4076" s="1" t="s">
        <v>4031</v>
      </c>
      <c r="D4076" s="1" t="s">
        <v>8</v>
      </c>
      <c r="E4076" s="3">
        <v>3882979</v>
      </c>
      <c r="F4076" s="3">
        <v>3883434</v>
      </c>
      <c r="G4076" s="1" t="s">
        <v>13</v>
      </c>
      <c r="H4076" s="1" t="b">
        <f t="shared" si="155"/>
        <v>1</v>
      </c>
    </row>
    <row r="4077" spans="1:8" ht="21" x14ac:dyDescent="0.25">
      <c r="A4077" s="2" t="str">
        <f t="shared" si="157"/>
        <v>BSGatlas-operon-2131</v>
      </c>
      <c r="B4077" s="2" t="str">
        <f>HYPERLINK("https://rth.dk/resources/bsgatlas/details.php?id=BSGatlas-gene-4404","BSGatlas-gene-4404")</f>
        <v>BSGatlas-gene-4404</v>
      </c>
      <c r="C4077" s="1" t="s">
        <v>4032</v>
      </c>
      <c r="D4077" s="1" t="s">
        <v>8</v>
      </c>
      <c r="E4077" s="3">
        <v>3883427</v>
      </c>
      <c r="F4077" s="3">
        <v>3884278</v>
      </c>
      <c r="G4077" s="1" t="s">
        <v>13</v>
      </c>
      <c r="H4077" s="1" t="b">
        <f t="shared" si="155"/>
        <v>1</v>
      </c>
    </row>
    <row r="4078" spans="1:8" ht="21" x14ac:dyDescent="0.25">
      <c r="A4078" s="2" t="str">
        <f t="shared" si="157"/>
        <v>BSGatlas-operon-2131</v>
      </c>
      <c r="B4078" s="2" t="str">
        <f>HYPERLINK("https://rth.dk/resources/bsgatlas/details.php?id=BSGatlas-gene-4405","BSGatlas-gene-4405")</f>
        <v>BSGatlas-gene-4405</v>
      </c>
      <c r="C4078" s="1" t="s">
        <v>4033</v>
      </c>
      <c r="D4078" s="1" t="s">
        <v>8</v>
      </c>
      <c r="E4078" s="3">
        <v>3884292</v>
      </c>
      <c r="F4078" s="3">
        <v>3885239</v>
      </c>
      <c r="G4078" s="1" t="s">
        <v>13</v>
      </c>
      <c r="H4078" s="1" t="b">
        <f t="shared" si="155"/>
        <v>1</v>
      </c>
    </row>
    <row r="4079" spans="1:8" ht="21" x14ac:dyDescent="0.25">
      <c r="A4079" s="2" t="str">
        <f t="shared" si="157"/>
        <v>BSGatlas-operon-2131</v>
      </c>
      <c r="B4079" s="2" t="str">
        <f>HYPERLINK("https://rth.dk/resources/bsgatlas/details.php?id=BSGatlas-gene-4406","BSGatlas-gene-4406")</f>
        <v>BSGatlas-gene-4406</v>
      </c>
      <c r="C4079" s="1" t="s">
        <v>4034</v>
      </c>
      <c r="D4079" s="1" t="s">
        <v>8</v>
      </c>
      <c r="E4079" s="3">
        <v>3885239</v>
      </c>
      <c r="F4079" s="3">
        <v>3885979</v>
      </c>
      <c r="G4079" s="1" t="s">
        <v>13</v>
      </c>
      <c r="H4079" s="1" t="b">
        <f t="shared" si="155"/>
        <v>1</v>
      </c>
    </row>
    <row r="4080" spans="1:8" ht="21" x14ac:dyDescent="0.25">
      <c r="A4080" s="2" t="str">
        <f t="shared" si="157"/>
        <v>BSGatlas-operon-2131</v>
      </c>
      <c r="B4080" s="2" t="str">
        <f>HYPERLINK("https://rth.dk/resources/bsgatlas/details.php?id=BSGatlas-gene-4407","BSGatlas-gene-4407")</f>
        <v>BSGatlas-gene-4407</v>
      </c>
      <c r="C4080" s="1" t="s">
        <v>4035</v>
      </c>
      <c r="D4080" s="1" t="s">
        <v>8</v>
      </c>
      <c r="E4080" s="3">
        <v>3886004</v>
      </c>
      <c r="F4080" s="3">
        <v>3887023</v>
      </c>
      <c r="G4080" s="1" t="s">
        <v>13</v>
      </c>
      <c r="H4080" s="1" t="b">
        <f t="shared" si="155"/>
        <v>1</v>
      </c>
    </row>
    <row r="4081" spans="1:8" ht="21" x14ac:dyDescent="0.25">
      <c r="A4081" s="2" t="str">
        <f t="shared" si="157"/>
        <v>BSGatlas-operon-2131</v>
      </c>
      <c r="B4081" s="2" t="str">
        <f>HYPERLINK("https://rth.dk/resources/bsgatlas/details.php?id=BSGatlas-gene-4408","BSGatlas-gene-4408")</f>
        <v>BSGatlas-gene-4408</v>
      </c>
      <c r="C4081" s="1" t="s">
        <v>4036</v>
      </c>
      <c r="D4081" s="1" t="s">
        <v>8</v>
      </c>
      <c r="E4081" s="3">
        <v>3887026</v>
      </c>
      <c r="F4081" s="3">
        <v>3887748</v>
      </c>
      <c r="G4081" s="1" t="s">
        <v>13</v>
      </c>
      <c r="H4081" s="1" t="b">
        <f t="shared" si="155"/>
        <v>1</v>
      </c>
    </row>
    <row r="4082" spans="1:8" ht="21" x14ac:dyDescent="0.25">
      <c r="A4082" s="2" t="str">
        <f t="shared" si="157"/>
        <v>BSGatlas-operon-2131</v>
      </c>
      <c r="B4082" s="2" t="str">
        <f>HYPERLINK("https://rth.dk/resources/bsgatlas/details.php?id=BSGatlas-gene-4409","BSGatlas-gene-4409")</f>
        <v>BSGatlas-gene-4409</v>
      </c>
      <c r="C4082" s="1" t="s">
        <v>4037</v>
      </c>
      <c r="D4082" s="1" t="s">
        <v>8</v>
      </c>
      <c r="E4082" s="3">
        <v>3887741</v>
      </c>
      <c r="F4082" s="3">
        <v>3888862</v>
      </c>
      <c r="G4082" s="1" t="s">
        <v>13</v>
      </c>
      <c r="H4082" s="1" t="b">
        <f t="shared" si="155"/>
        <v>1</v>
      </c>
    </row>
    <row r="4083" spans="1:8" ht="21" x14ac:dyDescent="0.25">
      <c r="A4083" s="2" t="str">
        <f t="shared" si="157"/>
        <v>BSGatlas-operon-2131</v>
      </c>
      <c r="B4083" s="2" t="str">
        <f>HYPERLINK("https://rth.dk/resources/bsgatlas/details.php?id=BSGatlas-gene-4410","BSGatlas-gene-4410")</f>
        <v>BSGatlas-gene-4410</v>
      </c>
      <c r="C4083" s="1" t="s">
        <v>4038</v>
      </c>
      <c r="D4083" s="1" t="s">
        <v>8</v>
      </c>
      <c r="E4083" s="3">
        <v>3888862</v>
      </c>
      <c r="F4083" s="3">
        <v>3889731</v>
      </c>
      <c r="G4083" s="1" t="s">
        <v>13</v>
      </c>
      <c r="H4083" s="1" t="b">
        <f t="shared" si="155"/>
        <v>1</v>
      </c>
    </row>
    <row r="4084" spans="1:8" ht="21" x14ac:dyDescent="0.25">
      <c r="A4084" s="2" t="str">
        <f t="shared" si="157"/>
        <v>BSGatlas-operon-2131</v>
      </c>
      <c r="B4084" s="2" t="str">
        <f>HYPERLINK("https://rth.dk/resources/bsgatlas/details.php?id=BSGatlas-gene-4411","BSGatlas-gene-4411")</f>
        <v>BSGatlas-gene-4411</v>
      </c>
      <c r="C4084" s="1" t="s">
        <v>3417</v>
      </c>
      <c r="D4084" s="1" t="s">
        <v>8</v>
      </c>
      <c r="E4084" s="3">
        <v>3889732</v>
      </c>
      <c r="F4084" s="3">
        <v>3890901</v>
      </c>
      <c r="G4084" s="1" t="s">
        <v>13</v>
      </c>
      <c r="H4084" s="1" t="b">
        <f t="shared" si="155"/>
        <v>1</v>
      </c>
    </row>
    <row r="4085" spans="1:8" ht="21" x14ac:dyDescent="0.25">
      <c r="A4085" s="2" t="str">
        <f t="shared" si="157"/>
        <v>BSGatlas-operon-2131</v>
      </c>
      <c r="B4085" s="2" t="str">
        <f>HYPERLINK("https://rth.dk/resources/bsgatlas/details.php?id=BSGatlas-gene-4412","BSGatlas-gene-4412")</f>
        <v>BSGatlas-gene-4412</v>
      </c>
      <c r="C4085" s="1" t="s">
        <v>4039</v>
      </c>
      <c r="D4085" s="1" t="s">
        <v>8</v>
      </c>
      <c r="E4085" s="3">
        <v>3890922</v>
      </c>
      <c r="F4085" s="3">
        <v>3892346</v>
      </c>
      <c r="G4085" s="1" t="s">
        <v>13</v>
      </c>
      <c r="H4085" s="1" t="b">
        <f t="shared" si="155"/>
        <v>1</v>
      </c>
    </row>
    <row r="4086" spans="1:8" ht="21" x14ac:dyDescent="0.25">
      <c r="A4086" s="2" t="str">
        <f t="shared" si="157"/>
        <v>BSGatlas-operon-2131</v>
      </c>
      <c r="B4086" s="2" t="str">
        <f>HYPERLINK("https://rth.dk/resources/bsgatlas/details.php?id=BSGatlas-gene-4413","BSGatlas-gene-4413")</f>
        <v>BSGatlas-gene-4413</v>
      </c>
      <c r="C4086" s="1" t="s">
        <v>4040</v>
      </c>
      <c r="D4086" s="1" t="s">
        <v>8</v>
      </c>
      <c r="E4086" s="3">
        <v>3892351</v>
      </c>
      <c r="F4086" s="3">
        <v>3893121</v>
      </c>
      <c r="G4086" s="1" t="s">
        <v>13</v>
      </c>
      <c r="H4086" s="1" t="b">
        <f t="shared" si="155"/>
        <v>1</v>
      </c>
    </row>
    <row r="4087" spans="1:8" ht="21" x14ac:dyDescent="0.25">
      <c r="A4087" s="2" t="str">
        <f>HYPERLINK("https://rth.dk/resources/bsgatlas/details.php?id=BSGatlas-operon-2132","BSGatlas-operon-2132")</f>
        <v>BSGatlas-operon-2132</v>
      </c>
      <c r="B4087" s="2" t="str">
        <f>HYPERLINK("https://rth.dk/resources/bsgatlas/details.php?id=BSGatlas-gene-4414","BSGatlas-gene-4414")</f>
        <v>BSGatlas-gene-4414</v>
      </c>
      <c r="C4087" s="1" t="s">
        <v>4041</v>
      </c>
      <c r="D4087" s="1" t="s">
        <v>8</v>
      </c>
      <c r="E4087" s="3">
        <v>3893441</v>
      </c>
      <c r="F4087" s="3">
        <v>3893986</v>
      </c>
      <c r="G4087" s="1" t="s">
        <v>9</v>
      </c>
      <c r="H4087" s="1" t="b">
        <f t="shared" si="155"/>
        <v>0</v>
      </c>
    </row>
    <row r="4088" spans="1:8" ht="21" x14ac:dyDescent="0.25">
      <c r="A4088" s="2" t="str">
        <f>HYPERLINK("https://rth.dk/resources/bsgatlas/details.php?id=BSGatlas-operon-2133","BSGatlas-operon-2133")</f>
        <v>BSGatlas-operon-2133</v>
      </c>
      <c r="B4088" s="2" t="str">
        <f>HYPERLINK("https://rth.dk/resources/bsgatlas/details.php?id=BSGatlas-gene-4415","BSGatlas-gene-4415")</f>
        <v>BSGatlas-gene-4415</v>
      </c>
      <c r="C4088" s="1" t="s">
        <v>4042</v>
      </c>
      <c r="D4088" s="1" t="s">
        <v>8</v>
      </c>
      <c r="E4088" s="3">
        <v>3894030</v>
      </c>
      <c r="F4088" s="3">
        <v>3894401</v>
      </c>
      <c r="G4088" s="1" t="s">
        <v>13</v>
      </c>
      <c r="H4088" s="1" t="b">
        <f t="shared" si="155"/>
        <v>1</v>
      </c>
    </row>
    <row r="4089" spans="1:8" ht="21" x14ac:dyDescent="0.25">
      <c r="A4089" s="2" t="str">
        <f>HYPERLINK("https://rth.dk/resources/bsgatlas/details.php?id=BSGatlas-operon-2133","BSGatlas-operon-2133")</f>
        <v>BSGatlas-operon-2133</v>
      </c>
      <c r="B4089" s="2" t="str">
        <f>HYPERLINK("https://rth.dk/resources/bsgatlas/details.php?id=BSGatlas-gene-4416","BSGatlas-gene-4416")</f>
        <v>BSGatlas-gene-4416</v>
      </c>
      <c r="C4089" s="1" t="s">
        <v>4043</v>
      </c>
      <c r="D4089" s="1" t="s">
        <v>8</v>
      </c>
      <c r="E4089" s="3">
        <v>3894463</v>
      </c>
      <c r="F4089" s="3">
        <v>3895785</v>
      </c>
      <c r="G4089" s="1" t="s">
        <v>13</v>
      </c>
      <c r="H4089" s="1" t="b">
        <f t="shared" si="155"/>
        <v>1</v>
      </c>
    </row>
    <row r="4090" spans="1:8" ht="21" x14ac:dyDescent="0.25">
      <c r="A4090" s="2" t="str">
        <f>HYPERLINK("https://rth.dk/resources/bsgatlas/details.php?id=BSGatlas-operon-2133","BSGatlas-operon-2133")</f>
        <v>BSGatlas-operon-2133</v>
      </c>
      <c r="B4090" s="2" t="str">
        <f>HYPERLINK("https://rth.dk/resources/bsgatlas/details.php?id=BSGatlas-gene-4417","BSGatlas-gene-4417")</f>
        <v>BSGatlas-gene-4417</v>
      </c>
      <c r="C4090" s="1" t="s">
        <v>4044</v>
      </c>
      <c r="D4090" s="1" t="s">
        <v>8</v>
      </c>
      <c r="E4090" s="3">
        <v>3895805</v>
      </c>
      <c r="F4090" s="3">
        <v>3896122</v>
      </c>
      <c r="G4090" s="1" t="s">
        <v>13</v>
      </c>
      <c r="H4090" s="1" t="b">
        <f t="shared" si="155"/>
        <v>1</v>
      </c>
    </row>
    <row r="4091" spans="1:8" ht="21" x14ac:dyDescent="0.25">
      <c r="A4091" s="2" t="str">
        <f>HYPERLINK("https://rth.dk/resources/bsgatlas/details.php?id=BSGatlas-operon-2134","BSGatlas-operon-2134")</f>
        <v>BSGatlas-operon-2134</v>
      </c>
      <c r="B4091" s="2" t="str">
        <f>HYPERLINK("https://rth.dk/resources/bsgatlas/details.php?id=BSGatlas-gene-4418","BSGatlas-gene-4418")</f>
        <v>BSGatlas-gene-4418</v>
      </c>
      <c r="C4091" s="1" t="s">
        <v>4045</v>
      </c>
      <c r="D4091" s="1" t="s">
        <v>8</v>
      </c>
      <c r="E4091" s="3">
        <v>3896290</v>
      </c>
      <c r="F4091" s="3">
        <v>3897660</v>
      </c>
      <c r="G4091" s="1" t="s">
        <v>9</v>
      </c>
      <c r="H4091" s="1" t="b">
        <f t="shared" si="155"/>
        <v>0</v>
      </c>
    </row>
    <row r="4092" spans="1:8" ht="21" x14ac:dyDescent="0.25">
      <c r="A4092" s="2" t="str">
        <f>HYPERLINK("https://rth.dk/resources/bsgatlas/details.php?id=BSGatlas-operon-2135","BSGatlas-operon-2135")</f>
        <v>BSGatlas-operon-2135</v>
      </c>
      <c r="B4092" s="2" t="str">
        <f>HYPERLINK("https://rth.dk/resources/bsgatlas/details.php?id=BSGatlas-gene-4419","BSGatlas-gene-4419")</f>
        <v>BSGatlas-gene-4419</v>
      </c>
      <c r="C4092" s="1" t="s">
        <v>4046</v>
      </c>
      <c r="D4092" s="1" t="s">
        <v>8</v>
      </c>
      <c r="E4092" s="3">
        <v>3897685</v>
      </c>
      <c r="F4092" s="3">
        <v>3898362</v>
      </c>
      <c r="G4092" s="1" t="s">
        <v>13</v>
      </c>
      <c r="H4092" s="1" t="b">
        <f t="shared" si="155"/>
        <v>1</v>
      </c>
    </row>
    <row r="4093" spans="1:8" ht="21" x14ac:dyDescent="0.25">
      <c r="A4093" s="2" t="str">
        <f>HYPERLINK("https://rth.dk/resources/bsgatlas/details.php?id=BSGatlas-operon-2135","BSGatlas-operon-2135")</f>
        <v>BSGatlas-operon-2135</v>
      </c>
      <c r="B4093" s="2" t="str">
        <f>HYPERLINK("https://rth.dk/resources/bsgatlas/details.php?id=BSGatlas-gene-4420","BSGatlas-gene-4420")</f>
        <v>BSGatlas-gene-4420</v>
      </c>
      <c r="C4093" s="1" t="s">
        <v>4047</v>
      </c>
      <c r="D4093" s="1" t="s">
        <v>8</v>
      </c>
      <c r="E4093" s="3">
        <v>3898376</v>
      </c>
      <c r="F4093" s="3">
        <v>3899182</v>
      </c>
      <c r="G4093" s="1" t="s">
        <v>13</v>
      </c>
      <c r="H4093" s="1" t="b">
        <f t="shared" si="155"/>
        <v>1</v>
      </c>
    </row>
    <row r="4094" spans="1:8" ht="21" x14ac:dyDescent="0.25">
      <c r="A4094" s="2" t="str">
        <f>HYPERLINK("https://rth.dk/resources/bsgatlas/details.php?id=BSGatlas-operon-2136","BSGatlas-operon-2136")</f>
        <v>BSGatlas-operon-2136</v>
      </c>
      <c r="B4094" s="2" t="str">
        <f>HYPERLINK("https://rth.dk/resources/bsgatlas/details.php?id=BSGatlas-gene-4423","BSGatlas-gene-4423")</f>
        <v>BSGatlas-gene-4423</v>
      </c>
      <c r="C4094" s="1" t="s">
        <v>4048</v>
      </c>
      <c r="D4094" s="1" t="s">
        <v>8</v>
      </c>
      <c r="E4094" s="3">
        <v>3900481</v>
      </c>
      <c r="F4094" s="3">
        <v>3900819</v>
      </c>
      <c r="G4094" s="1" t="s">
        <v>13</v>
      </c>
      <c r="H4094" s="1" t="b">
        <f t="shared" si="155"/>
        <v>0</v>
      </c>
    </row>
    <row r="4095" spans="1:8" ht="21" x14ac:dyDescent="0.25">
      <c r="A4095" s="2" t="str">
        <f>HYPERLINK("https://rth.dk/resources/bsgatlas/details.php?id=BSGatlas-operon-2137","BSGatlas-operon-2137")</f>
        <v>BSGatlas-operon-2137</v>
      </c>
      <c r="B4095" s="2" t="str">
        <f>HYPERLINK("https://rth.dk/resources/bsgatlas/details.php?id=BSGatlas-gene-4424","BSGatlas-gene-4424")</f>
        <v>BSGatlas-gene-4424</v>
      </c>
      <c r="C4095" s="1" t="s">
        <v>4049</v>
      </c>
      <c r="D4095" s="1" t="s">
        <v>8</v>
      </c>
      <c r="E4095" s="3">
        <v>3900963</v>
      </c>
      <c r="F4095" s="3">
        <v>3901778</v>
      </c>
      <c r="G4095" s="1" t="s">
        <v>9</v>
      </c>
      <c r="H4095" s="1" t="b">
        <f t="shared" si="155"/>
        <v>1</v>
      </c>
    </row>
    <row r="4096" spans="1:8" ht="21" x14ac:dyDescent="0.25">
      <c r="A4096" s="2" t="str">
        <f>HYPERLINK("https://rth.dk/resources/bsgatlas/details.php?id=BSGatlas-operon-2138","BSGatlas-operon-2138")</f>
        <v>BSGatlas-operon-2138</v>
      </c>
      <c r="B4096" s="2" t="str">
        <f>HYPERLINK("https://rth.dk/resources/bsgatlas/details.php?id=BSGatlas-gene-4425","BSGatlas-gene-4425")</f>
        <v>BSGatlas-gene-4425</v>
      </c>
      <c r="C4096" s="1" t="s">
        <v>4050</v>
      </c>
      <c r="D4096" s="1" t="s">
        <v>8</v>
      </c>
      <c r="E4096" s="3">
        <v>3901868</v>
      </c>
      <c r="F4096" s="3">
        <v>3902116</v>
      </c>
      <c r="G4096" s="1" t="s">
        <v>13</v>
      </c>
      <c r="H4096" s="1" t="b">
        <f t="shared" si="155"/>
        <v>0</v>
      </c>
    </row>
    <row r="4097" spans="1:8" ht="21" x14ac:dyDescent="0.25">
      <c r="A4097" s="2" t="str">
        <f>HYPERLINK("https://rth.dk/resources/bsgatlas/details.php?id=BSGatlas-operon-2138","BSGatlas-operon-2138")</f>
        <v>BSGatlas-operon-2138</v>
      </c>
      <c r="B4097" s="2" t="str">
        <f>HYPERLINK("https://rth.dk/resources/bsgatlas/details.php?id=BSGatlas-gene-4426","BSGatlas-gene-4426")</f>
        <v>BSGatlas-gene-4426</v>
      </c>
      <c r="C4097" s="1" t="s">
        <v>4051</v>
      </c>
      <c r="D4097" s="1" t="s">
        <v>8</v>
      </c>
      <c r="E4097" s="3">
        <v>3902210</v>
      </c>
      <c r="F4097" s="3">
        <v>3903649</v>
      </c>
      <c r="G4097" s="1" t="s">
        <v>13</v>
      </c>
      <c r="H4097" s="1" t="b">
        <f t="shared" si="155"/>
        <v>0</v>
      </c>
    </row>
    <row r="4098" spans="1:8" ht="21" x14ac:dyDescent="0.25">
      <c r="A4098" s="2" t="str">
        <f>HYPERLINK("https://rth.dk/resources/bsgatlas/details.php?id=BSGatlas-operon-2138","BSGatlas-operon-2138")</f>
        <v>BSGatlas-operon-2138</v>
      </c>
      <c r="B4098" s="2" t="str">
        <f>HYPERLINK("https://rth.dk/resources/bsgatlas/details.php?id=BSGatlas-gene-4427","BSGatlas-gene-4427")</f>
        <v>BSGatlas-gene-4427</v>
      </c>
      <c r="C4098" s="1" t="s">
        <v>4052</v>
      </c>
      <c r="D4098" s="1" t="s">
        <v>8</v>
      </c>
      <c r="E4098" s="3">
        <v>3903646</v>
      </c>
      <c r="F4098" s="3">
        <v>3905031</v>
      </c>
      <c r="G4098" s="1" t="s">
        <v>13</v>
      </c>
      <c r="H4098" s="1" t="b">
        <f t="shared" ref="H4098:H4161" si="158">_xlfn.XOR(A4097&lt;&gt;A4098,H4097)</f>
        <v>0</v>
      </c>
    </row>
    <row r="4099" spans="1:8" ht="21" x14ac:dyDescent="0.25">
      <c r="A4099" s="2" t="str">
        <f>HYPERLINK("https://rth.dk/resources/bsgatlas/details.php?id=BSGatlas-operon-2139","BSGatlas-operon-2139")</f>
        <v>BSGatlas-operon-2139</v>
      </c>
      <c r="B4099" s="2" t="str">
        <f>HYPERLINK("https://rth.dk/resources/bsgatlas/details.php?id=BSGatlas-gene-4429","BSGatlas-gene-4429")</f>
        <v>BSGatlas-gene-4429</v>
      </c>
      <c r="C4099" s="1" t="s">
        <v>4053</v>
      </c>
      <c r="D4099" s="1" t="s">
        <v>8</v>
      </c>
      <c r="E4099" s="3">
        <v>3906142</v>
      </c>
      <c r="F4099" s="3">
        <v>3906972</v>
      </c>
      <c r="G4099" s="1" t="s">
        <v>13</v>
      </c>
      <c r="H4099" s="1" t="b">
        <f t="shared" si="158"/>
        <v>1</v>
      </c>
    </row>
    <row r="4100" spans="1:8" ht="21" x14ac:dyDescent="0.25">
      <c r="A4100" s="2" t="str">
        <f>HYPERLINK("https://rth.dk/resources/bsgatlas/details.php?id=BSGatlas-operon-2139","BSGatlas-operon-2139")</f>
        <v>BSGatlas-operon-2139</v>
      </c>
      <c r="B4100" s="2" t="str">
        <f>HYPERLINK("https://rth.dk/resources/bsgatlas/details.php?id=BSGatlas-gene-4430","BSGatlas-gene-4430")</f>
        <v>BSGatlas-gene-4430</v>
      </c>
      <c r="C4100" s="1" t="s">
        <v>4054</v>
      </c>
      <c r="D4100" s="1" t="s">
        <v>8</v>
      </c>
      <c r="E4100" s="3">
        <v>3907012</v>
      </c>
      <c r="F4100" s="3">
        <v>3907314</v>
      </c>
      <c r="G4100" s="1" t="s">
        <v>13</v>
      </c>
      <c r="H4100" s="1" t="b">
        <f t="shared" si="158"/>
        <v>1</v>
      </c>
    </row>
    <row r="4101" spans="1:8" ht="21" x14ac:dyDescent="0.25">
      <c r="A4101" s="2" t="str">
        <f>HYPERLINK("https://rth.dk/resources/bsgatlas/details.php?id=BSGatlas-operon-2140","BSGatlas-operon-2140")</f>
        <v>BSGatlas-operon-2140</v>
      </c>
      <c r="B4101" s="2" t="str">
        <f>HYPERLINK("https://rth.dk/resources/bsgatlas/details.php?id=BSGatlas-gene-4428","BSGatlas-gene-4428")</f>
        <v>BSGatlas-gene-4428</v>
      </c>
      <c r="C4101" s="1" t="s">
        <v>4055</v>
      </c>
      <c r="D4101" s="1" t="s">
        <v>8</v>
      </c>
      <c r="E4101" s="3">
        <v>3905333</v>
      </c>
      <c r="F4101" s="3">
        <v>3906103</v>
      </c>
      <c r="G4101" s="1" t="s">
        <v>9</v>
      </c>
      <c r="H4101" s="1" t="b">
        <f t="shared" si="158"/>
        <v>0</v>
      </c>
    </row>
    <row r="4102" spans="1:8" ht="21" x14ac:dyDescent="0.25">
      <c r="A4102" s="2" t="str">
        <f>HYPERLINK("https://rth.dk/resources/bsgatlas/details.php?id=BSGatlas-operon-2141","BSGatlas-operon-2141")</f>
        <v>BSGatlas-operon-2141</v>
      </c>
      <c r="B4102" s="2" t="str">
        <f>HYPERLINK("https://rth.dk/resources/bsgatlas/details.php?id=BSGatlas-gene-4431","BSGatlas-gene-4431")</f>
        <v>BSGatlas-gene-4431</v>
      </c>
      <c r="C4102" s="1" t="s">
        <v>4056</v>
      </c>
      <c r="D4102" s="1" t="s">
        <v>8</v>
      </c>
      <c r="E4102" s="3">
        <v>3907844</v>
      </c>
      <c r="F4102" s="3">
        <v>3910264</v>
      </c>
      <c r="G4102" s="1" t="s">
        <v>9</v>
      </c>
      <c r="H4102" s="1" t="b">
        <f t="shared" si="158"/>
        <v>1</v>
      </c>
    </row>
    <row r="4103" spans="1:8" ht="21" x14ac:dyDescent="0.25">
      <c r="A4103" s="2" t="str">
        <f>HYPERLINK("https://rth.dk/resources/bsgatlas/details.php?id=BSGatlas-operon-2142","BSGatlas-operon-2142")</f>
        <v>BSGatlas-operon-2142</v>
      </c>
      <c r="B4103" s="2" t="str">
        <f>HYPERLINK("https://rth.dk/resources/bsgatlas/details.php?id=BSGatlas-gene-4432","BSGatlas-gene-4432")</f>
        <v>BSGatlas-gene-4432</v>
      </c>
      <c r="C4103" s="1" t="s">
        <v>4057</v>
      </c>
      <c r="D4103" s="1" t="s">
        <v>8</v>
      </c>
      <c r="E4103" s="3">
        <v>3910302</v>
      </c>
      <c r="F4103" s="3">
        <v>3911303</v>
      </c>
      <c r="G4103" s="1" t="s">
        <v>13</v>
      </c>
      <c r="H4103" s="1" t="b">
        <f t="shared" si="158"/>
        <v>0</v>
      </c>
    </row>
    <row r="4104" spans="1:8" ht="21" x14ac:dyDescent="0.25">
      <c r="A4104" s="2" t="str">
        <f>HYPERLINK("https://rth.dk/resources/bsgatlas/details.php?id=BSGatlas-operon-2142","BSGatlas-operon-2142")</f>
        <v>BSGatlas-operon-2142</v>
      </c>
      <c r="B4104" s="2" t="str">
        <f>HYPERLINK("https://rth.dk/resources/bsgatlas/details.php?id=BSGatlas-gene-4433","BSGatlas-gene-4433")</f>
        <v>BSGatlas-gene-4433</v>
      </c>
      <c r="C4104" s="1" t="s">
        <v>4058</v>
      </c>
      <c r="D4104" s="1" t="s">
        <v>8</v>
      </c>
      <c r="E4104" s="3">
        <v>3911477</v>
      </c>
      <c r="F4104" s="3">
        <v>3912226</v>
      </c>
      <c r="G4104" s="1" t="s">
        <v>13</v>
      </c>
      <c r="H4104" s="1" t="b">
        <f t="shared" si="158"/>
        <v>0</v>
      </c>
    </row>
    <row r="4105" spans="1:8" ht="21" x14ac:dyDescent="0.25">
      <c r="A4105" s="2" t="str">
        <f>HYPERLINK("https://rth.dk/resources/bsgatlas/details.php?id=BSGatlas-operon-2143","BSGatlas-operon-2143")</f>
        <v>BSGatlas-operon-2143</v>
      </c>
      <c r="B4105" s="2" t="str">
        <f>HYPERLINK("https://rth.dk/resources/bsgatlas/details.php?id=BSGatlas-gene-4434","BSGatlas-gene-4434")</f>
        <v>BSGatlas-gene-4434</v>
      </c>
      <c r="C4105" s="1" t="s">
        <v>4059</v>
      </c>
      <c r="D4105" s="1" t="s">
        <v>8</v>
      </c>
      <c r="E4105" s="3">
        <v>3912332</v>
      </c>
      <c r="F4105" s="3">
        <v>3913513</v>
      </c>
      <c r="G4105" s="1" t="s">
        <v>13</v>
      </c>
      <c r="H4105" s="1" t="b">
        <f t="shared" si="158"/>
        <v>1</v>
      </c>
    </row>
    <row r="4106" spans="1:8" ht="21" x14ac:dyDescent="0.25">
      <c r="A4106" s="2" t="str">
        <f>HYPERLINK("https://rth.dk/resources/bsgatlas/details.php?id=BSGatlas-operon-2144","BSGatlas-operon-2144")</f>
        <v>BSGatlas-operon-2144</v>
      </c>
      <c r="B4106" s="2" t="str">
        <f>HYPERLINK("https://rth.dk/resources/bsgatlas/details.php?id=BSGatlas-gene-4435","BSGatlas-gene-4435")</f>
        <v>BSGatlas-gene-4435</v>
      </c>
      <c r="C4106" s="1" t="s">
        <v>4060</v>
      </c>
      <c r="D4106" s="1" t="s">
        <v>8</v>
      </c>
      <c r="E4106" s="3">
        <v>3914009</v>
      </c>
      <c r="F4106" s="3">
        <v>3914272</v>
      </c>
      <c r="G4106" s="1" t="s">
        <v>9</v>
      </c>
      <c r="H4106" s="1" t="b">
        <f t="shared" si="158"/>
        <v>0</v>
      </c>
    </row>
    <row r="4107" spans="1:8" ht="21" x14ac:dyDescent="0.25">
      <c r="A4107" s="2" t="str">
        <f>HYPERLINK("https://rth.dk/resources/bsgatlas/details.php?id=BSGatlas-operon-2145","BSGatlas-operon-2145")</f>
        <v>BSGatlas-operon-2145</v>
      </c>
      <c r="B4107" s="2" t="str">
        <f>HYPERLINK("https://rth.dk/resources/bsgatlas/details.php?id=BSGatlas-gene-4436","BSGatlas-gene-4436")</f>
        <v>BSGatlas-gene-4436</v>
      </c>
      <c r="C4107" s="1" t="s">
        <v>4061</v>
      </c>
      <c r="D4107" s="1" t="s">
        <v>8</v>
      </c>
      <c r="E4107" s="3">
        <v>3914315</v>
      </c>
      <c r="F4107" s="3">
        <v>3914689</v>
      </c>
      <c r="G4107" s="1" t="s">
        <v>13</v>
      </c>
      <c r="H4107" s="1" t="b">
        <f t="shared" si="158"/>
        <v>1</v>
      </c>
    </row>
    <row r="4108" spans="1:8" ht="21" x14ac:dyDescent="0.25">
      <c r="A4108" s="2" t="str">
        <f>HYPERLINK("https://rth.dk/resources/bsgatlas/details.php?id=BSGatlas-operon-2145","BSGatlas-operon-2145")</f>
        <v>BSGatlas-operon-2145</v>
      </c>
      <c r="B4108" s="2" t="str">
        <f>HYPERLINK("https://rth.dk/resources/bsgatlas/details.php?id=BSGatlas-gene-4437","BSGatlas-gene-4437")</f>
        <v>BSGatlas-gene-4437</v>
      </c>
      <c r="C4108" s="1" t="s">
        <v>4062</v>
      </c>
      <c r="D4108" s="1" t="s">
        <v>8</v>
      </c>
      <c r="E4108" s="3">
        <v>3914691</v>
      </c>
      <c r="F4108" s="3">
        <v>3915305</v>
      </c>
      <c r="G4108" s="1" t="s">
        <v>13</v>
      </c>
      <c r="H4108" s="1" t="b">
        <f t="shared" si="158"/>
        <v>1</v>
      </c>
    </row>
    <row r="4109" spans="1:8" ht="21" x14ac:dyDescent="0.25">
      <c r="A4109" s="2" t="str">
        <f>HYPERLINK("https://rth.dk/resources/bsgatlas/details.php?id=BSGatlas-operon-2145","BSGatlas-operon-2145")</f>
        <v>BSGatlas-operon-2145</v>
      </c>
      <c r="B4109" s="2" t="str">
        <f>HYPERLINK("https://rth.dk/resources/bsgatlas/details.php?id=BSGatlas-gene-4438","BSGatlas-gene-4438")</f>
        <v>BSGatlas-gene-4438</v>
      </c>
      <c r="C4109" s="1" t="s">
        <v>4063</v>
      </c>
      <c r="D4109" s="1" t="s">
        <v>8</v>
      </c>
      <c r="E4109" s="3">
        <v>3915319</v>
      </c>
      <c r="F4109" s="3">
        <v>3917268</v>
      </c>
      <c r="G4109" s="1" t="s">
        <v>13</v>
      </c>
      <c r="H4109" s="1" t="b">
        <f t="shared" si="158"/>
        <v>1</v>
      </c>
    </row>
    <row r="4110" spans="1:8" ht="21" x14ac:dyDescent="0.25">
      <c r="A4110" s="2" t="str">
        <f>HYPERLINK("https://rth.dk/resources/bsgatlas/details.php?id=BSGatlas-operon-2145","BSGatlas-operon-2145")</f>
        <v>BSGatlas-operon-2145</v>
      </c>
      <c r="B4110" s="2" t="str">
        <f>HYPERLINK("https://rth.dk/resources/bsgatlas/details.php?id=BSGatlas-gene-4439","BSGatlas-gene-4439")</f>
        <v>BSGatlas-gene-4439</v>
      </c>
      <c r="C4110" s="1" t="s">
        <v>4064</v>
      </c>
      <c r="D4110" s="1" t="s">
        <v>8</v>
      </c>
      <c r="E4110" s="3">
        <v>3917296</v>
      </c>
      <c r="F4110" s="3">
        <v>3918261</v>
      </c>
      <c r="G4110" s="1" t="s">
        <v>13</v>
      </c>
      <c r="H4110" s="1" t="b">
        <f t="shared" si="158"/>
        <v>1</v>
      </c>
    </row>
    <row r="4111" spans="1:8" ht="21" x14ac:dyDescent="0.25">
      <c r="A4111" s="2" t="str">
        <f>HYPERLINK("https://rth.dk/resources/bsgatlas/details.php?id=BSGatlas-operon-2146","BSGatlas-operon-2146")</f>
        <v>BSGatlas-operon-2146</v>
      </c>
      <c r="B4111" s="2" t="str">
        <f>HYPERLINK("https://rth.dk/resources/bsgatlas/details.php?id=BSGatlas-gene-4440","BSGatlas-gene-4440")</f>
        <v>BSGatlas-gene-4440</v>
      </c>
      <c r="C4111" s="1" t="s">
        <v>4065</v>
      </c>
      <c r="D4111" s="1" t="s">
        <v>8</v>
      </c>
      <c r="E4111" s="3">
        <v>3918777</v>
      </c>
      <c r="F4111" s="3">
        <v>3919022</v>
      </c>
      <c r="G4111" s="1" t="s">
        <v>9</v>
      </c>
      <c r="H4111" s="1" t="b">
        <f t="shared" si="158"/>
        <v>0</v>
      </c>
    </row>
    <row r="4112" spans="1:8" ht="21" x14ac:dyDescent="0.25">
      <c r="A4112" s="2" t="str">
        <f>HYPERLINK("https://rth.dk/resources/bsgatlas/details.php?id=BSGatlas-operon-2147","BSGatlas-operon-2147")</f>
        <v>BSGatlas-operon-2147</v>
      </c>
      <c r="B4112" s="2" t="str">
        <f>HYPERLINK("https://rth.dk/resources/bsgatlas/details.php?id=BSGatlas-gene-4441","BSGatlas-gene-4441")</f>
        <v>BSGatlas-gene-4441</v>
      </c>
      <c r="C4112" s="1" t="s">
        <v>4066</v>
      </c>
      <c r="D4112" s="1" t="s">
        <v>8</v>
      </c>
      <c r="E4112" s="3">
        <v>3919093</v>
      </c>
      <c r="F4112" s="3">
        <v>3920634</v>
      </c>
      <c r="G4112" s="1" t="s">
        <v>13</v>
      </c>
      <c r="H4112" s="1" t="b">
        <f t="shared" si="158"/>
        <v>1</v>
      </c>
    </row>
    <row r="4113" spans="1:8" ht="21" x14ac:dyDescent="0.25">
      <c r="A4113" s="2" t="str">
        <f>HYPERLINK("https://rth.dk/resources/bsgatlas/details.php?id=BSGatlas-operon-2147","BSGatlas-operon-2147")</f>
        <v>BSGatlas-operon-2147</v>
      </c>
      <c r="B4113" s="2" t="str">
        <f>HYPERLINK("https://rth.dk/resources/bsgatlas/details.php?id=BSGatlas-gene-4442","BSGatlas-gene-4442")</f>
        <v>BSGatlas-gene-4442</v>
      </c>
      <c r="C4113" s="1" t="s">
        <v>4067</v>
      </c>
      <c r="D4113" s="1" t="s">
        <v>8</v>
      </c>
      <c r="E4113" s="3">
        <v>3920638</v>
      </c>
      <c r="F4113" s="3">
        <v>3921810</v>
      </c>
      <c r="G4113" s="1" t="s">
        <v>13</v>
      </c>
      <c r="H4113" s="1" t="b">
        <f t="shared" si="158"/>
        <v>1</v>
      </c>
    </row>
    <row r="4114" spans="1:8" ht="21" x14ac:dyDescent="0.25">
      <c r="A4114" s="2" t="str">
        <f>HYPERLINK("https://rth.dk/resources/bsgatlas/details.php?id=BSGatlas-operon-2147","BSGatlas-operon-2147")</f>
        <v>BSGatlas-operon-2147</v>
      </c>
      <c r="B4114" s="2" t="str">
        <f>HYPERLINK("https://rth.dk/resources/bsgatlas/details.php?id=BSGatlas-gene-4443","BSGatlas-gene-4443")</f>
        <v>BSGatlas-gene-4443</v>
      </c>
      <c r="C4114" s="1" t="s">
        <v>4068</v>
      </c>
      <c r="D4114" s="1" t="s">
        <v>8</v>
      </c>
      <c r="E4114" s="3">
        <v>3921891</v>
      </c>
      <c r="F4114" s="3">
        <v>3922274</v>
      </c>
      <c r="G4114" s="1" t="s">
        <v>13</v>
      </c>
      <c r="H4114" s="1" t="b">
        <f t="shared" si="158"/>
        <v>1</v>
      </c>
    </row>
    <row r="4115" spans="1:8" ht="21" x14ac:dyDescent="0.25">
      <c r="A4115" s="2" t="str">
        <f>HYPERLINK("https://rth.dk/resources/bsgatlas/details.php?id=BSGatlas-operon-2147","BSGatlas-operon-2147")</f>
        <v>BSGatlas-operon-2147</v>
      </c>
      <c r="B4115" s="2" t="str">
        <f>HYPERLINK("https://rth.dk/resources/bsgatlas/details.php?id=BSGatlas-gene-4444","BSGatlas-gene-4444")</f>
        <v>BSGatlas-gene-4444</v>
      </c>
      <c r="C4115" s="1" t="s">
        <v>4069</v>
      </c>
      <c r="D4115" s="1" t="s">
        <v>8</v>
      </c>
      <c r="E4115" s="3">
        <v>3922292</v>
      </c>
      <c r="F4115" s="3">
        <v>3922963</v>
      </c>
      <c r="G4115" s="1" t="s">
        <v>13</v>
      </c>
      <c r="H4115" s="1" t="b">
        <f t="shared" si="158"/>
        <v>1</v>
      </c>
    </row>
    <row r="4116" spans="1:8" ht="21" x14ac:dyDescent="0.25">
      <c r="A4116" s="2" t="str">
        <f>HYPERLINK("https://rth.dk/resources/bsgatlas/details.php?id=BSGatlas-operon-2148","BSGatlas-operon-2148")</f>
        <v>BSGatlas-operon-2148</v>
      </c>
      <c r="B4116" s="2" t="str">
        <f>HYPERLINK("https://rth.dk/resources/bsgatlas/details.php?id=BSGatlas-gene-4445","BSGatlas-gene-4445")</f>
        <v>BSGatlas-gene-4445</v>
      </c>
      <c r="C4116" s="1" t="s">
        <v>4070</v>
      </c>
      <c r="D4116" s="1" t="s">
        <v>8</v>
      </c>
      <c r="E4116" s="3">
        <v>3923319</v>
      </c>
      <c r="F4116" s="3">
        <v>3923477</v>
      </c>
      <c r="G4116" s="1" t="s">
        <v>9</v>
      </c>
      <c r="H4116" s="1" t="b">
        <f t="shared" si="158"/>
        <v>0</v>
      </c>
    </row>
    <row r="4117" spans="1:8" ht="21" x14ac:dyDescent="0.25">
      <c r="A4117" s="2" t="str">
        <f>HYPERLINK("https://rth.dk/resources/bsgatlas/details.php?id=BSGatlas-operon-2149","BSGatlas-operon-2149")</f>
        <v>BSGatlas-operon-2149</v>
      </c>
      <c r="B4117" s="2" t="str">
        <f>HYPERLINK("https://rth.dk/resources/bsgatlas/details.php?id=BSGatlas-gene-4446","BSGatlas-gene-4446")</f>
        <v>BSGatlas-gene-4446</v>
      </c>
      <c r="C4117" s="1" t="s">
        <v>4071</v>
      </c>
      <c r="D4117" s="1" t="s">
        <v>8</v>
      </c>
      <c r="E4117" s="3">
        <v>3923920</v>
      </c>
      <c r="F4117" s="3">
        <v>3924228</v>
      </c>
      <c r="G4117" s="1" t="s">
        <v>9</v>
      </c>
      <c r="H4117" s="1" t="b">
        <f t="shared" si="158"/>
        <v>1</v>
      </c>
    </row>
    <row r="4118" spans="1:8" ht="21" x14ac:dyDescent="0.25">
      <c r="A4118" s="2" t="str">
        <f>HYPERLINK("https://rth.dk/resources/bsgatlas/details.php?id=BSGatlas-operon-2149","BSGatlas-operon-2149")</f>
        <v>BSGatlas-operon-2149</v>
      </c>
      <c r="B4118" s="2" t="str">
        <f>HYPERLINK("https://rth.dk/resources/bsgatlas/details.php?id=BSGatlas-gene-4447","BSGatlas-gene-4447")</f>
        <v>BSGatlas-gene-4447</v>
      </c>
      <c r="C4118" s="1" t="s">
        <v>4072</v>
      </c>
      <c r="D4118" s="1" t="s">
        <v>8</v>
      </c>
      <c r="E4118" s="3">
        <v>3924225</v>
      </c>
      <c r="F4118" s="3">
        <v>3925766</v>
      </c>
      <c r="G4118" s="1" t="s">
        <v>9</v>
      </c>
      <c r="H4118" s="1" t="b">
        <f t="shared" si="158"/>
        <v>1</v>
      </c>
    </row>
    <row r="4119" spans="1:8" ht="21" x14ac:dyDescent="0.25">
      <c r="A4119" s="2" t="str">
        <f>HYPERLINK("https://rth.dk/resources/bsgatlas/details.php?id=BSGatlas-operon-2150","BSGatlas-operon-2150")</f>
        <v>BSGatlas-operon-2150</v>
      </c>
      <c r="B4119" s="2" t="str">
        <f>HYPERLINK("https://rth.dk/resources/bsgatlas/details.php?id=BSGatlas-gene-4448","BSGatlas-gene-4448")</f>
        <v>BSGatlas-gene-4448</v>
      </c>
      <c r="C4119" s="1" t="s">
        <v>4073</v>
      </c>
      <c r="D4119" s="1" t="s">
        <v>8</v>
      </c>
      <c r="E4119" s="3">
        <v>3925797</v>
      </c>
      <c r="F4119" s="3">
        <v>3926399</v>
      </c>
      <c r="G4119" s="1" t="s">
        <v>13</v>
      </c>
      <c r="H4119" s="1" t="b">
        <f t="shared" si="158"/>
        <v>0</v>
      </c>
    </row>
    <row r="4120" spans="1:8" ht="21" x14ac:dyDescent="0.25">
      <c r="A4120" s="2" t="str">
        <f>HYPERLINK("https://rth.dk/resources/bsgatlas/details.php?id=BSGatlas-operon-2150","BSGatlas-operon-2150")</f>
        <v>BSGatlas-operon-2150</v>
      </c>
      <c r="B4120" s="2" t="str">
        <f>HYPERLINK("https://rth.dk/resources/bsgatlas/details.php?id=BSGatlas-gene-4449","BSGatlas-gene-4449")</f>
        <v>BSGatlas-gene-4449</v>
      </c>
      <c r="C4120" s="1" t="s">
        <v>4074</v>
      </c>
      <c r="D4120" s="1" t="s">
        <v>8</v>
      </c>
      <c r="E4120" s="3">
        <v>3926682</v>
      </c>
      <c r="F4120" s="3">
        <v>3927932</v>
      </c>
      <c r="G4120" s="1" t="s">
        <v>13</v>
      </c>
      <c r="H4120" s="1" t="b">
        <f t="shared" si="158"/>
        <v>0</v>
      </c>
    </row>
    <row r="4121" spans="1:8" ht="21" x14ac:dyDescent="0.25">
      <c r="A4121" s="2" t="str">
        <f>HYPERLINK("https://rth.dk/resources/bsgatlas/details.php?id=BSGatlas-operon-2150","BSGatlas-operon-2150")</f>
        <v>BSGatlas-operon-2150</v>
      </c>
      <c r="B4121" s="2" t="str">
        <f>HYPERLINK("https://rth.dk/resources/bsgatlas/details.php?id=BSGatlas-gene-4450","BSGatlas-gene-4450")</f>
        <v>BSGatlas-gene-4450</v>
      </c>
      <c r="C4121" s="1" t="s">
        <v>4075</v>
      </c>
      <c r="D4121" s="1" t="s">
        <v>8</v>
      </c>
      <c r="E4121" s="3">
        <v>3927951</v>
      </c>
      <c r="F4121" s="3">
        <v>3929108</v>
      </c>
      <c r="G4121" s="1" t="s">
        <v>13</v>
      </c>
      <c r="H4121" s="1" t="b">
        <f t="shared" si="158"/>
        <v>0</v>
      </c>
    </row>
    <row r="4122" spans="1:8" ht="21" x14ac:dyDescent="0.25">
      <c r="A4122" s="2" t="str">
        <f>HYPERLINK("https://rth.dk/resources/bsgatlas/details.php?id=BSGatlas-operon-2150","BSGatlas-operon-2150")</f>
        <v>BSGatlas-operon-2150</v>
      </c>
      <c r="B4122" s="2" t="str">
        <f>HYPERLINK("https://rth.dk/resources/bsgatlas/details.php?id=BSGatlas-gene-4451","BSGatlas-gene-4451")</f>
        <v>BSGatlas-gene-4451</v>
      </c>
      <c r="C4122" s="1" t="s">
        <v>4076</v>
      </c>
      <c r="D4122" s="1" t="s">
        <v>8</v>
      </c>
      <c r="E4122" s="3">
        <v>3929105</v>
      </c>
      <c r="F4122" s="3">
        <v>3930550</v>
      </c>
      <c r="G4122" s="1" t="s">
        <v>13</v>
      </c>
      <c r="H4122" s="1" t="b">
        <f t="shared" si="158"/>
        <v>0</v>
      </c>
    </row>
    <row r="4123" spans="1:8" ht="21" x14ac:dyDescent="0.25">
      <c r="A4123" s="2" t="str">
        <f>HYPERLINK("https://rth.dk/resources/bsgatlas/details.php?id=BSGatlas-operon-2151","BSGatlas-operon-2151")</f>
        <v>BSGatlas-operon-2151</v>
      </c>
      <c r="B4123" s="2" t="str">
        <f>HYPERLINK("https://rth.dk/resources/bsgatlas/details.php?id=BSGatlas-gene-4452","BSGatlas-gene-4452")</f>
        <v>BSGatlas-gene-4452</v>
      </c>
      <c r="C4123" s="1" t="s">
        <v>4077</v>
      </c>
      <c r="D4123" s="1" t="s">
        <v>8</v>
      </c>
      <c r="E4123" s="3">
        <v>3930707</v>
      </c>
      <c r="F4123" s="3">
        <v>3931375</v>
      </c>
      <c r="G4123" s="1" t="s">
        <v>13</v>
      </c>
      <c r="H4123" s="1" t="b">
        <f t="shared" si="158"/>
        <v>1</v>
      </c>
    </row>
    <row r="4124" spans="1:8" ht="21" x14ac:dyDescent="0.25">
      <c r="A4124" s="2" t="str">
        <f>HYPERLINK("https://rth.dk/resources/bsgatlas/details.php?id=BSGatlas-operon-2151","BSGatlas-operon-2151")</f>
        <v>BSGatlas-operon-2151</v>
      </c>
      <c r="B4124" s="2" t="str">
        <f>HYPERLINK("https://rth.dk/resources/bsgatlas/details.php?id=BSGatlas-gene-4453","BSGatlas-gene-4453")</f>
        <v>BSGatlas-gene-4453</v>
      </c>
      <c r="C4124" s="1" t="s">
        <v>4078</v>
      </c>
      <c r="D4124" s="1" t="s">
        <v>8</v>
      </c>
      <c r="E4124" s="3">
        <v>3931372</v>
      </c>
      <c r="F4124" s="3">
        <v>3932190</v>
      </c>
      <c r="G4124" s="1" t="s">
        <v>13</v>
      </c>
      <c r="H4124" s="1" t="b">
        <f t="shared" si="158"/>
        <v>1</v>
      </c>
    </row>
    <row r="4125" spans="1:8" ht="21" x14ac:dyDescent="0.25">
      <c r="A4125" s="2" t="str">
        <f>HYPERLINK("https://rth.dk/resources/bsgatlas/details.php?id=BSGatlas-operon-2151","BSGatlas-operon-2151")</f>
        <v>BSGatlas-operon-2151</v>
      </c>
      <c r="B4125" s="2" t="str">
        <f>HYPERLINK("https://rth.dk/resources/bsgatlas/details.php?id=BSGatlas-gene-4454","BSGatlas-gene-4454")</f>
        <v>BSGatlas-gene-4454</v>
      </c>
      <c r="C4125" s="1" t="s">
        <v>4079</v>
      </c>
      <c r="D4125" s="1" t="s">
        <v>8</v>
      </c>
      <c r="E4125" s="3">
        <v>3932198</v>
      </c>
      <c r="F4125" s="3">
        <v>3933103</v>
      </c>
      <c r="G4125" s="1" t="s">
        <v>13</v>
      </c>
      <c r="H4125" s="1" t="b">
        <f t="shared" si="158"/>
        <v>1</v>
      </c>
    </row>
    <row r="4126" spans="1:8" ht="21" x14ac:dyDescent="0.25">
      <c r="A4126" s="2" t="str">
        <f>HYPERLINK("https://rth.dk/resources/bsgatlas/details.php?id=BSGatlas-operon-2152","BSGatlas-operon-2152")</f>
        <v>BSGatlas-operon-2152</v>
      </c>
      <c r="B4126" s="2" t="str">
        <f>HYPERLINK("https://rth.dk/resources/bsgatlas/details.php?id=BSGatlas-gene-4455","BSGatlas-gene-4455")</f>
        <v>BSGatlas-gene-4455</v>
      </c>
      <c r="C4126" s="1" t="s">
        <v>4080</v>
      </c>
      <c r="D4126" s="1" t="s">
        <v>8</v>
      </c>
      <c r="E4126" s="3">
        <v>3933209</v>
      </c>
      <c r="F4126" s="3">
        <v>3933595</v>
      </c>
      <c r="G4126" s="1" t="s">
        <v>9</v>
      </c>
      <c r="H4126" s="1" t="b">
        <f t="shared" si="158"/>
        <v>0</v>
      </c>
    </row>
    <row r="4127" spans="1:8" ht="21" x14ac:dyDescent="0.25">
      <c r="A4127" s="2" t="str">
        <f>HYPERLINK("https://rth.dk/resources/bsgatlas/details.php?id=BSGatlas-operon-2152","BSGatlas-operon-2152")</f>
        <v>BSGatlas-operon-2152</v>
      </c>
      <c r="B4127" s="2" t="str">
        <f>HYPERLINK("https://rth.dk/resources/bsgatlas/details.php?id=BSGatlas-gene-4456","BSGatlas-gene-4456")</f>
        <v>BSGatlas-gene-4456</v>
      </c>
      <c r="C4127" s="1" t="s">
        <v>4081</v>
      </c>
      <c r="D4127" s="1" t="s">
        <v>8</v>
      </c>
      <c r="E4127" s="3">
        <v>3933577</v>
      </c>
      <c r="F4127" s="3">
        <v>3934254</v>
      </c>
      <c r="G4127" s="1" t="s">
        <v>9</v>
      </c>
      <c r="H4127" s="1" t="b">
        <f t="shared" si="158"/>
        <v>0</v>
      </c>
    </row>
    <row r="4128" spans="1:8" ht="21" x14ac:dyDescent="0.25">
      <c r="A4128" s="2" t="str">
        <f>HYPERLINK("https://rth.dk/resources/bsgatlas/details.php?id=BSGatlas-operon-2153","BSGatlas-operon-2153")</f>
        <v>BSGatlas-operon-2153</v>
      </c>
      <c r="B4128" s="2" t="str">
        <f>HYPERLINK("https://rth.dk/resources/bsgatlas/details.php?id=BSGatlas-gene-4457","BSGatlas-gene-4457")</f>
        <v>BSGatlas-gene-4457</v>
      </c>
      <c r="C4128" s="1" t="s">
        <v>4082</v>
      </c>
      <c r="D4128" s="1" t="s">
        <v>8</v>
      </c>
      <c r="E4128" s="3">
        <v>3934358</v>
      </c>
      <c r="F4128" s="3">
        <v>3935557</v>
      </c>
      <c r="G4128" s="1" t="s">
        <v>9</v>
      </c>
      <c r="H4128" s="1" t="b">
        <f t="shared" si="158"/>
        <v>1</v>
      </c>
    </row>
    <row r="4129" spans="1:8" ht="21" x14ac:dyDescent="0.25">
      <c r="A4129" s="2" t="str">
        <f>HYPERLINK("https://rth.dk/resources/bsgatlas/details.php?id=BSGatlas-operon-2153","BSGatlas-operon-2153")</f>
        <v>BSGatlas-operon-2153</v>
      </c>
      <c r="B4129" s="2" t="str">
        <f>HYPERLINK("https://rth.dk/resources/bsgatlas/details.php?id=BSGatlas-gene-4458","BSGatlas-gene-4458")</f>
        <v>BSGatlas-gene-4458</v>
      </c>
      <c r="C4129" s="1" t="s">
        <v>4083</v>
      </c>
      <c r="D4129" s="1" t="s">
        <v>8</v>
      </c>
      <c r="E4129" s="3">
        <v>3935591</v>
      </c>
      <c r="F4129" s="3">
        <v>3935788</v>
      </c>
      <c r="G4129" s="1" t="s">
        <v>9</v>
      </c>
      <c r="H4129" s="1" t="b">
        <f t="shared" si="158"/>
        <v>1</v>
      </c>
    </row>
    <row r="4130" spans="1:8" ht="21" x14ac:dyDescent="0.25">
      <c r="A4130" s="2" t="str">
        <f>HYPERLINK("https://rth.dk/resources/bsgatlas/details.php?id=BSGatlas-operon-2154","BSGatlas-operon-2154")</f>
        <v>BSGatlas-operon-2154</v>
      </c>
      <c r="B4130" s="2" t="str">
        <f>HYPERLINK("https://rth.dk/resources/bsgatlas/details.php?id=BSGatlas-gene-4459","BSGatlas-gene-4459")</f>
        <v>BSGatlas-gene-4459</v>
      </c>
      <c r="C4130" s="1" t="s">
        <v>4084</v>
      </c>
      <c r="D4130" s="1" t="s">
        <v>8</v>
      </c>
      <c r="E4130" s="3">
        <v>3935824</v>
      </c>
      <c r="F4130" s="3">
        <v>3937014</v>
      </c>
      <c r="G4130" s="1" t="s">
        <v>13</v>
      </c>
      <c r="H4130" s="1" t="b">
        <f t="shared" si="158"/>
        <v>0</v>
      </c>
    </row>
    <row r="4131" spans="1:8" ht="21" x14ac:dyDescent="0.25">
      <c r="A4131" s="2" t="str">
        <f>HYPERLINK("https://rth.dk/resources/bsgatlas/details.php?id=BSGatlas-operon-2155","BSGatlas-operon-2155")</f>
        <v>BSGatlas-operon-2155</v>
      </c>
      <c r="B4131" s="2" t="str">
        <f>HYPERLINK("https://rth.dk/resources/bsgatlas/details.php?id=BSGatlas-gene-4460","BSGatlas-gene-4460")</f>
        <v>BSGatlas-gene-4460</v>
      </c>
      <c r="C4131" s="1" t="s">
        <v>4085</v>
      </c>
      <c r="D4131" s="1" t="s">
        <v>8</v>
      </c>
      <c r="E4131" s="3">
        <v>3937135</v>
      </c>
      <c r="F4131" s="3">
        <v>3937515</v>
      </c>
      <c r="G4131" s="1" t="s">
        <v>9</v>
      </c>
      <c r="H4131" s="1" t="b">
        <f t="shared" si="158"/>
        <v>1</v>
      </c>
    </row>
    <row r="4132" spans="1:8" ht="21" x14ac:dyDescent="0.25">
      <c r="A4132" s="2" t="str">
        <f>HYPERLINK("https://rth.dk/resources/bsgatlas/details.php?id=BSGatlas-operon-2156","BSGatlas-operon-2156")</f>
        <v>BSGatlas-operon-2156</v>
      </c>
      <c r="B4132" s="2" t="str">
        <f>HYPERLINK("https://rth.dk/resources/bsgatlas/details.php?id=BSGatlas-gene-4461","BSGatlas-gene-4461")</f>
        <v>BSGatlas-gene-4461</v>
      </c>
      <c r="C4132" s="1" t="s">
        <v>4086</v>
      </c>
      <c r="D4132" s="1" t="s">
        <v>8</v>
      </c>
      <c r="E4132" s="3">
        <v>3937553</v>
      </c>
      <c r="F4132" s="3">
        <v>3938230</v>
      </c>
      <c r="G4132" s="1" t="s">
        <v>13</v>
      </c>
      <c r="H4132" s="1" t="b">
        <f t="shared" si="158"/>
        <v>0</v>
      </c>
    </row>
    <row r="4133" spans="1:8" ht="21" x14ac:dyDescent="0.25">
      <c r="A4133" s="2" t="str">
        <f>HYPERLINK("https://rth.dk/resources/bsgatlas/details.php?id=BSGatlas-operon-2156","BSGatlas-operon-2156")</f>
        <v>BSGatlas-operon-2156</v>
      </c>
      <c r="B4133" s="2" t="str">
        <f>HYPERLINK("https://rth.dk/resources/bsgatlas/details.php?id=BSGatlas-gene-4462","BSGatlas-gene-4462")</f>
        <v>BSGatlas-gene-4462</v>
      </c>
      <c r="C4133" s="1" t="s">
        <v>4087</v>
      </c>
      <c r="D4133" s="1" t="s">
        <v>8</v>
      </c>
      <c r="E4133" s="3">
        <v>3938307</v>
      </c>
      <c r="F4133" s="3">
        <v>3939641</v>
      </c>
      <c r="G4133" s="1" t="s">
        <v>13</v>
      </c>
      <c r="H4133" s="1" t="b">
        <f t="shared" si="158"/>
        <v>0</v>
      </c>
    </row>
    <row r="4134" spans="1:8" ht="21" x14ac:dyDescent="0.25">
      <c r="A4134" s="2" t="str">
        <f>HYPERLINK("https://rth.dk/resources/bsgatlas/details.php?id=BSGatlas-operon-2157","BSGatlas-operon-2157")</f>
        <v>BSGatlas-operon-2157</v>
      </c>
      <c r="B4134" s="2" t="str">
        <f>HYPERLINK("https://rth.dk/resources/bsgatlas/details.php?id=BSGatlas-gene-4463","BSGatlas-gene-4463")</f>
        <v>BSGatlas-gene-4463</v>
      </c>
      <c r="C4134" s="1" t="s">
        <v>4088</v>
      </c>
      <c r="D4134" s="1" t="s">
        <v>8</v>
      </c>
      <c r="E4134" s="3">
        <v>3939869</v>
      </c>
      <c r="F4134" s="3">
        <v>3941806</v>
      </c>
      <c r="G4134" s="1" t="s">
        <v>9</v>
      </c>
      <c r="H4134" s="1" t="b">
        <f t="shared" si="158"/>
        <v>1</v>
      </c>
    </row>
    <row r="4135" spans="1:8" ht="21" x14ac:dyDescent="0.25">
      <c r="A4135" s="2" t="str">
        <f>HYPERLINK("https://rth.dk/resources/bsgatlas/details.php?id=BSGatlas-operon-2158","BSGatlas-operon-2158")</f>
        <v>BSGatlas-operon-2158</v>
      </c>
      <c r="B4135" s="2" t="str">
        <f>HYPERLINK("https://rth.dk/resources/bsgatlas/details.php?id=BSGatlas-gene-4464","BSGatlas-gene-4464")</f>
        <v>BSGatlas-gene-4464</v>
      </c>
      <c r="C4135" s="1" t="s">
        <v>3669</v>
      </c>
      <c r="D4135" s="1" t="s">
        <v>34</v>
      </c>
      <c r="E4135" s="3">
        <v>3941947</v>
      </c>
      <c r="F4135" s="3">
        <v>3942129</v>
      </c>
      <c r="G4135" s="1" t="s">
        <v>9</v>
      </c>
      <c r="H4135" s="1" t="b">
        <f t="shared" si="158"/>
        <v>0</v>
      </c>
    </row>
    <row r="4136" spans="1:8" ht="21" x14ac:dyDescent="0.25">
      <c r="A4136" s="2" t="str">
        <f>HYPERLINK("https://rth.dk/resources/bsgatlas/details.php?id=BSGatlas-operon-2159","BSGatlas-operon-2159")</f>
        <v>BSGatlas-operon-2159</v>
      </c>
      <c r="B4136" s="2" t="str">
        <f>HYPERLINK("https://rth.dk/resources/bsgatlas/details.php?id=BSGatlas-gene-4465","BSGatlas-gene-4465")</f>
        <v>BSGatlas-gene-4465</v>
      </c>
      <c r="C4136" s="1" t="s">
        <v>4089</v>
      </c>
      <c r="D4136" s="1" t="s">
        <v>8</v>
      </c>
      <c r="E4136" s="3">
        <v>3942234</v>
      </c>
      <c r="F4136" s="3">
        <v>3943613</v>
      </c>
      <c r="G4136" s="1" t="s">
        <v>9</v>
      </c>
      <c r="H4136" s="1" t="b">
        <f t="shared" si="158"/>
        <v>1</v>
      </c>
    </row>
    <row r="4137" spans="1:8" ht="21" x14ac:dyDescent="0.25">
      <c r="A4137" s="2" t="str">
        <f>HYPERLINK("https://rth.dk/resources/bsgatlas/details.php?id=BSGatlas-operon-2159","BSGatlas-operon-2159")</f>
        <v>BSGatlas-operon-2159</v>
      </c>
      <c r="B4137" s="2" t="str">
        <f>HYPERLINK("https://rth.dk/resources/bsgatlas/details.php?id=BSGatlas-gene-4466","BSGatlas-gene-4466")</f>
        <v>BSGatlas-gene-4466</v>
      </c>
      <c r="C4137" s="1" t="s">
        <v>4090</v>
      </c>
      <c r="D4137" s="1" t="s">
        <v>8</v>
      </c>
      <c r="E4137" s="3">
        <v>3943667</v>
      </c>
      <c r="F4137" s="3">
        <v>3944509</v>
      </c>
      <c r="G4137" s="1" t="s">
        <v>9</v>
      </c>
      <c r="H4137" s="1" t="b">
        <f t="shared" si="158"/>
        <v>1</v>
      </c>
    </row>
    <row r="4138" spans="1:8" ht="21" x14ac:dyDescent="0.25">
      <c r="A4138" s="2" t="str">
        <f>HYPERLINK("https://rth.dk/resources/bsgatlas/details.php?id=BSGatlas-operon-2160","BSGatlas-operon-2160")</f>
        <v>BSGatlas-operon-2160</v>
      </c>
      <c r="B4138" s="2" t="str">
        <f>HYPERLINK("https://rth.dk/resources/bsgatlas/details.php?id=BSGatlas-gene-4467","BSGatlas-gene-4467")</f>
        <v>BSGatlas-gene-4467</v>
      </c>
      <c r="C4138" s="1" t="s">
        <v>4091</v>
      </c>
      <c r="D4138" s="1" t="s">
        <v>8</v>
      </c>
      <c r="E4138" s="3">
        <v>3944560</v>
      </c>
      <c r="F4138" s="3">
        <v>3945420</v>
      </c>
      <c r="G4138" s="1" t="s">
        <v>13</v>
      </c>
      <c r="H4138" s="1" t="b">
        <f t="shared" si="158"/>
        <v>0</v>
      </c>
    </row>
    <row r="4139" spans="1:8" ht="21" x14ac:dyDescent="0.25">
      <c r="A4139" s="2" t="str">
        <f>HYPERLINK("https://rth.dk/resources/bsgatlas/details.php?id=BSGatlas-operon-2161","BSGatlas-operon-2161")</f>
        <v>BSGatlas-operon-2161</v>
      </c>
      <c r="B4139" s="2" t="str">
        <f>HYPERLINK("https://rth.dk/resources/bsgatlas/details.php?id=BSGatlas-gene-4468","BSGatlas-gene-4468")</f>
        <v>BSGatlas-gene-4468</v>
      </c>
      <c r="C4139" s="1" t="s">
        <v>4092</v>
      </c>
      <c r="D4139" s="1" t="s">
        <v>8</v>
      </c>
      <c r="E4139" s="3">
        <v>3945530</v>
      </c>
      <c r="F4139" s="3">
        <v>3946243</v>
      </c>
      <c r="G4139" s="1" t="s">
        <v>13</v>
      </c>
      <c r="H4139" s="1" t="b">
        <f t="shared" si="158"/>
        <v>1</v>
      </c>
    </row>
    <row r="4140" spans="1:8" ht="21" x14ac:dyDescent="0.25">
      <c r="A4140" s="2" t="str">
        <f>HYPERLINK("https://rth.dk/resources/bsgatlas/details.php?id=BSGatlas-operon-2162","BSGatlas-operon-2162")</f>
        <v>BSGatlas-operon-2162</v>
      </c>
      <c r="B4140" s="2" t="str">
        <f>HYPERLINK("https://rth.dk/resources/bsgatlas/details.php?id=BSGatlas-gene-4469","BSGatlas-gene-4469")</f>
        <v>BSGatlas-gene-4469</v>
      </c>
      <c r="C4140" s="1" t="s">
        <v>4093</v>
      </c>
      <c r="D4140" s="1" t="s">
        <v>8</v>
      </c>
      <c r="E4140" s="3">
        <v>3946394</v>
      </c>
      <c r="F4140" s="3">
        <v>3946909</v>
      </c>
      <c r="G4140" s="1" t="s">
        <v>9</v>
      </c>
      <c r="H4140" s="1" t="b">
        <f t="shared" si="158"/>
        <v>0</v>
      </c>
    </row>
    <row r="4141" spans="1:8" ht="21" x14ac:dyDescent="0.25">
      <c r="A4141" s="2" t="str">
        <f>HYPERLINK("https://rth.dk/resources/bsgatlas/details.php?id=BSGatlas-operon-2162","BSGatlas-operon-2162")</f>
        <v>BSGatlas-operon-2162</v>
      </c>
      <c r="B4141" s="2" t="str">
        <f>HYPERLINK("https://rth.dk/resources/bsgatlas/details.php?id=BSGatlas-gene-4470","BSGatlas-gene-4470")</f>
        <v>BSGatlas-gene-4470</v>
      </c>
      <c r="C4141" s="1" t="s">
        <v>4094</v>
      </c>
      <c r="D4141" s="1" t="s">
        <v>34</v>
      </c>
      <c r="E4141" s="3">
        <v>3946903</v>
      </c>
      <c r="F4141" s="3">
        <v>3947116</v>
      </c>
      <c r="G4141" s="1" t="s">
        <v>9</v>
      </c>
      <c r="H4141" s="1" t="b">
        <f t="shared" si="158"/>
        <v>0</v>
      </c>
    </row>
    <row r="4142" spans="1:8" ht="21" x14ac:dyDescent="0.25">
      <c r="A4142" s="2" t="str">
        <f>HYPERLINK("https://rth.dk/resources/bsgatlas/details.php?id=BSGatlas-operon-2162","BSGatlas-operon-2162")</f>
        <v>BSGatlas-operon-2162</v>
      </c>
      <c r="B4142" s="2" t="str">
        <f>HYPERLINK("https://rth.dk/resources/bsgatlas/details.php?id=BSGatlas-gene-4471","BSGatlas-gene-4471")</f>
        <v>BSGatlas-gene-4471</v>
      </c>
      <c r="C4142" s="1" t="s">
        <v>4095</v>
      </c>
      <c r="D4142" s="1" t="s">
        <v>8</v>
      </c>
      <c r="E4142" s="3">
        <v>3947158</v>
      </c>
      <c r="F4142" s="3">
        <v>3948399</v>
      </c>
      <c r="G4142" s="1" t="s">
        <v>9</v>
      </c>
      <c r="H4142" s="1" t="b">
        <f t="shared" si="158"/>
        <v>0</v>
      </c>
    </row>
    <row r="4143" spans="1:8" ht="21" x14ac:dyDescent="0.25">
      <c r="A4143" s="2" t="str">
        <f>HYPERLINK("https://rth.dk/resources/bsgatlas/details.php?id=BSGatlas-operon-2163","BSGatlas-operon-2163")</f>
        <v>BSGatlas-operon-2163</v>
      </c>
      <c r="B4143" s="2" t="str">
        <f>HYPERLINK("https://rth.dk/resources/bsgatlas/details.php?id=BSGatlas-gene-4472","BSGatlas-gene-4472")</f>
        <v>BSGatlas-gene-4472</v>
      </c>
      <c r="C4143" s="1" t="s">
        <v>4096</v>
      </c>
      <c r="D4143" s="1" t="s">
        <v>8</v>
      </c>
      <c r="E4143" s="3">
        <v>3948555</v>
      </c>
      <c r="F4143" s="3">
        <v>3949922</v>
      </c>
      <c r="G4143" s="1" t="s">
        <v>9</v>
      </c>
      <c r="H4143" s="1" t="b">
        <f t="shared" si="158"/>
        <v>1</v>
      </c>
    </row>
    <row r="4144" spans="1:8" ht="21" x14ac:dyDescent="0.25">
      <c r="A4144" s="2" t="str">
        <f>HYPERLINK("https://rth.dk/resources/bsgatlas/details.php?id=BSGatlas-operon-2164","BSGatlas-operon-2164")</f>
        <v>BSGatlas-operon-2164</v>
      </c>
      <c r="B4144" s="2" t="str">
        <f>HYPERLINK("https://rth.dk/resources/bsgatlas/details.php?id=BSGatlas-gene-4473","BSGatlas-gene-4473")</f>
        <v>BSGatlas-gene-4473</v>
      </c>
      <c r="C4144" s="1" t="s">
        <v>4097</v>
      </c>
      <c r="D4144" s="1" t="s">
        <v>8</v>
      </c>
      <c r="E4144" s="3">
        <v>3949952</v>
      </c>
      <c r="F4144" s="3">
        <v>3950584</v>
      </c>
      <c r="G4144" s="1" t="s">
        <v>13</v>
      </c>
      <c r="H4144" s="1" t="b">
        <f t="shared" si="158"/>
        <v>0</v>
      </c>
    </row>
    <row r="4145" spans="1:8" ht="21" x14ac:dyDescent="0.25">
      <c r="A4145" s="2" t="str">
        <f>HYPERLINK("https://rth.dk/resources/bsgatlas/details.php?id=BSGatlas-operon-2165","BSGatlas-operon-2165")</f>
        <v>BSGatlas-operon-2165</v>
      </c>
      <c r="B4145" s="2" t="str">
        <f>HYPERLINK("https://rth.dk/resources/bsgatlas/details.php?id=BSGatlas-gene-4474","BSGatlas-gene-4474")</f>
        <v>BSGatlas-gene-4474</v>
      </c>
      <c r="C4145" s="1" t="s">
        <v>4098</v>
      </c>
      <c r="D4145" s="1" t="s">
        <v>8</v>
      </c>
      <c r="E4145" s="3">
        <v>3950726</v>
      </c>
      <c r="F4145" s="3">
        <v>3951661</v>
      </c>
      <c r="G4145" s="1" t="s">
        <v>13</v>
      </c>
      <c r="H4145" s="1" t="b">
        <f t="shared" si="158"/>
        <v>1</v>
      </c>
    </row>
    <row r="4146" spans="1:8" ht="21" x14ac:dyDescent="0.25">
      <c r="A4146" s="2" t="str">
        <f t="shared" ref="A4146:A4151" si="159">HYPERLINK("https://rth.dk/resources/bsgatlas/details.php?id=BSGatlas-operon-2166","BSGatlas-operon-2166")</f>
        <v>BSGatlas-operon-2166</v>
      </c>
      <c r="B4146" s="2" t="str">
        <f>HYPERLINK("https://rth.dk/resources/bsgatlas/details.php?id=BSGatlas-gene-4476","BSGatlas-gene-4476")</f>
        <v>BSGatlas-gene-4476</v>
      </c>
      <c r="C4146" s="1" t="s">
        <v>4099</v>
      </c>
      <c r="D4146" s="1" t="s">
        <v>8</v>
      </c>
      <c r="E4146" s="3">
        <v>3952108</v>
      </c>
      <c r="F4146" s="3">
        <v>3952257</v>
      </c>
      <c r="G4146" s="1" t="s">
        <v>9</v>
      </c>
      <c r="H4146" s="1" t="b">
        <f t="shared" si="158"/>
        <v>0</v>
      </c>
    </row>
    <row r="4147" spans="1:8" ht="21" x14ac:dyDescent="0.25">
      <c r="A4147" s="2" t="str">
        <f t="shared" si="159"/>
        <v>BSGatlas-operon-2166</v>
      </c>
      <c r="B4147" s="2" t="str">
        <f>HYPERLINK("https://rth.dk/resources/bsgatlas/details.php?id=BSGatlas-gene-4477","BSGatlas-gene-4477")</f>
        <v>BSGatlas-gene-4477</v>
      </c>
      <c r="C4147" s="1" t="s">
        <v>4100</v>
      </c>
      <c r="D4147" s="1" t="s">
        <v>8</v>
      </c>
      <c r="E4147" s="3">
        <v>3952275</v>
      </c>
      <c r="F4147" s="3">
        <v>3953786</v>
      </c>
      <c r="G4147" s="1" t="s">
        <v>9</v>
      </c>
      <c r="H4147" s="1" t="b">
        <f t="shared" si="158"/>
        <v>0</v>
      </c>
    </row>
    <row r="4148" spans="1:8" ht="21" x14ac:dyDescent="0.25">
      <c r="A4148" s="2" t="str">
        <f t="shared" si="159"/>
        <v>BSGatlas-operon-2166</v>
      </c>
      <c r="B4148" s="2" t="str">
        <f>HYPERLINK("https://rth.dk/resources/bsgatlas/details.php?id=BSGatlas-gene-4478","BSGatlas-gene-4478")</f>
        <v>BSGatlas-gene-4478</v>
      </c>
      <c r="C4148" s="1" t="s">
        <v>4101</v>
      </c>
      <c r="D4148" s="1" t="s">
        <v>8</v>
      </c>
      <c r="E4148" s="3">
        <v>3953783</v>
      </c>
      <c r="F4148" s="3">
        <v>3954970</v>
      </c>
      <c r="G4148" s="1" t="s">
        <v>9</v>
      </c>
      <c r="H4148" s="1" t="b">
        <f t="shared" si="158"/>
        <v>0</v>
      </c>
    </row>
    <row r="4149" spans="1:8" ht="21" x14ac:dyDescent="0.25">
      <c r="A4149" s="2" t="str">
        <f t="shared" si="159"/>
        <v>BSGatlas-operon-2166</v>
      </c>
      <c r="B4149" s="2" t="str">
        <f>HYPERLINK("https://rth.dk/resources/bsgatlas/details.php?id=BSGatlas-gene-4479","BSGatlas-gene-4479")</f>
        <v>BSGatlas-gene-4479</v>
      </c>
      <c r="C4149" s="1" t="s">
        <v>4102</v>
      </c>
      <c r="D4149" s="1" t="s">
        <v>8</v>
      </c>
      <c r="E4149" s="3">
        <v>3954987</v>
      </c>
      <c r="F4149" s="3">
        <v>3955223</v>
      </c>
      <c r="G4149" s="1" t="s">
        <v>9</v>
      </c>
      <c r="H4149" s="1" t="b">
        <f t="shared" si="158"/>
        <v>0</v>
      </c>
    </row>
    <row r="4150" spans="1:8" ht="21" x14ac:dyDescent="0.25">
      <c r="A4150" s="2" t="str">
        <f t="shared" si="159"/>
        <v>BSGatlas-operon-2166</v>
      </c>
      <c r="B4150" s="2" t="str">
        <f>HYPERLINK("https://rth.dk/resources/bsgatlas/details.php?id=BSGatlas-gene-4480","BSGatlas-gene-4480")</f>
        <v>BSGatlas-gene-4480</v>
      </c>
      <c r="C4150" s="1" t="s">
        <v>4103</v>
      </c>
      <c r="D4150" s="1" t="s">
        <v>8</v>
      </c>
      <c r="E4150" s="3">
        <v>3955223</v>
      </c>
      <c r="F4150" s="3">
        <v>3956401</v>
      </c>
      <c r="G4150" s="1" t="s">
        <v>9</v>
      </c>
      <c r="H4150" s="1" t="b">
        <f t="shared" si="158"/>
        <v>0</v>
      </c>
    </row>
    <row r="4151" spans="1:8" ht="21" x14ac:dyDescent="0.25">
      <c r="A4151" s="2" t="str">
        <f t="shared" si="159"/>
        <v>BSGatlas-operon-2166</v>
      </c>
      <c r="B4151" s="2" t="str">
        <f>HYPERLINK("https://rth.dk/resources/bsgatlas/details.php?id=BSGatlas-gene-4481","BSGatlas-gene-4481")</f>
        <v>BSGatlas-gene-4481</v>
      </c>
      <c r="C4151" s="1" t="s">
        <v>4104</v>
      </c>
      <c r="D4151" s="1" t="s">
        <v>8</v>
      </c>
      <c r="E4151" s="3">
        <v>3956492</v>
      </c>
      <c r="F4151" s="3">
        <v>3957250</v>
      </c>
      <c r="G4151" s="1" t="s">
        <v>9</v>
      </c>
      <c r="H4151" s="1" t="b">
        <f t="shared" si="158"/>
        <v>0</v>
      </c>
    </row>
    <row r="4152" spans="1:8" ht="21" x14ac:dyDescent="0.25">
      <c r="A4152" s="2" t="str">
        <f>HYPERLINK("https://rth.dk/resources/bsgatlas/details.php?id=BSGatlas-operon-2167","BSGatlas-operon-2167")</f>
        <v>BSGatlas-operon-2167</v>
      </c>
      <c r="B4152" s="2" t="str">
        <f>HYPERLINK("https://rth.dk/resources/bsgatlas/details.php?id=BSGatlas-gene-4475","BSGatlas-gene-4475")</f>
        <v>BSGatlas-gene-4475</v>
      </c>
      <c r="C4152" s="1" t="s">
        <v>318</v>
      </c>
      <c r="D4152" s="1" t="s">
        <v>8</v>
      </c>
      <c r="E4152" s="3">
        <v>3951824</v>
      </c>
      <c r="F4152" s="3">
        <v>3951958</v>
      </c>
      <c r="G4152" s="1" t="s">
        <v>13</v>
      </c>
      <c r="H4152" s="1" t="b">
        <f t="shared" si="158"/>
        <v>1</v>
      </c>
    </row>
    <row r="4153" spans="1:8" ht="21" x14ac:dyDescent="0.25">
      <c r="A4153" s="2" t="str">
        <f>HYPERLINK("https://rth.dk/resources/bsgatlas/details.php?id=BSGatlas-operon-2168","BSGatlas-operon-2168")</f>
        <v>BSGatlas-operon-2168</v>
      </c>
      <c r="B4153" s="2" t="str">
        <f>HYPERLINK("https://rth.dk/resources/bsgatlas/details.php?id=BSGatlas-gene-4483","BSGatlas-gene-4483")</f>
        <v>BSGatlas-gene-4483</v>
      </c>
      <c r="C4153" s="1" t="s">
        <v>4105</v>
      </c>
      <c r="D4153" s="1" t="s">
        <v>8</v>
      </c>
      <c r="E4153" s="3">
        <v>3958516</v>
      </c>
      <c r="F4153" s="3">
        <v>3959844</v>
      </c>
      <c r="G4153" s="1" t="s">
        <v>13</v>
      </c>
      <c r="H4153" s="1" t="b">
        <f t="shared" si="158"/>
        <v>0</v>
      </c>
    </row>
    <row r="4154" spans="1:8" ht="21" x14ac:dyDescent="0.25">
      <c r="A4154" s="2" t="str">
        <f>HYPERLINK("https://rth.dk/resources/bsgatlas/details.php?id=BSGatlas-operon-2168","BSGatlas-operon-2168")</f>
        <v>BSGatlas-operon-2168</v>
      </c>
      <c r="B4154" s="2" t="str">
        <f>HYPERLINK("https://rth.dk/resources/bsgatlas/details.php?id=BSGatlas-gene-4484","BSGatlas-gene-4484")</f>
        <v>BSGatlas-gene-4484</v>
      </c>
      <c r="C4154" s="1" t="s">
        <v>4106</v>
      </c>
      <c r="D4154" s="1" t="s">
        <v>8</v>
      </c>
      <c r="E4154" s="3">
        <v>3959841</v>
      </c>
      <c r="F4154" s="3">
        <v>3960173</v>
      </c>
      <c r="G4154" s="1" t="s">
        <v>13</v>
      </c>
      <c r="H4154" s="1" t="b">
        <f t="shared" si="158"/>
        <v>0</v>
      </c>
    </row>
    <row r="4155" spans="1:8" ht="21" x14ac:dyDescent="0.25">
      <c r="A4155" s="2" t="str">
        <f>HYPERLINK("https://rth.dk/resources/bsgatlas/details.php?id=BSGatlas-operon-2168","BSGatlas-operon-2168")</f>
        <v>BSGatlas-operon-2168</v>
      </c>
      <c r="B4155" s="2" t="str">
        <f>HYPERLINK("https://rth.dk/resources/bsgatlas/details.php?id=BSGatlas-gene-4485","BSGatlas-gene-4485")</f>
        <v>BSGatlas-gene-4485</v>
      </c>
      <c r="C4155" s="1" t="s">
        <v>4107</v>
      </c>
      <c r="D4155" s="1" t="s">
        <v>8</v>
      </c>
      <c r="E4155" s="3">
        <v>3960192</v>
      </c>
      <c r="F4155" s="3">
        <v>3961550</v>
      </c>
      <c r="G4155" s="1" t="s">
        <v>13</v>
      </c>
      <c r="H4155" s="1" t="b">
        <f t="shared" si="158"/>
        <v>0</v>
      </c>
    </row>
    <row r="4156" spans="1:8" ht="21" x14ac:dyDescent="0.25">
      <c r="A4156" s="2" t="str">
        <f>HYPERLINK("https://rth.dk/resources/bsgatlas/details.php?id=BSGatlas-operon-2168","BSGatlas-operon-2168")</f>
        <v>BSGatlas-operon-2168</v>
      </c>
      <c r="B4156" s="2" t="str">
        <f>HYPERLINK("https://rth.dk/resources/bsgatlas/details.php?id=BSGatlas-gene-4486","BSGatlas-gene-4486")</f>
        <v>BSGatlas-gene-4486</v>
      </c>
      <c r="C4156" s="1" t="s">
        <v>4108</v>
      </c>
      <c r="D4156" s="1" t="s">
        <v>8</v>
      </c>
      <c r="E4156" s="3">
        <v>3961566</v>
      </c>
      <c r="F4156" s="3">
        <v>3961874</v>
      </c>
      <c r="G4156" s="1" t="s">
        <v>13</v>
      </c>
      <c r="H4156" s="1" t="b">
        <f t="shared" si="158"/>
        <v>0</v>
      </c>
    </row>
    <row r="4157" spans="1:8" ht="21" x14ac:dyDescent="0.25">
      <c r="A4157" s="2" t="str">
        <f>HYPERLINK("https://rth.dk/resources/bsgatlas/details.php?id=BSGatlas-operon-2169","BSGatlas-operon-2169")</f>
        <v>BSGatlas-operon-2169</v>
      </c>
      <c r="B4157" s="2" t="str">
        <f>HYPERLINK("https://rth.dk/resources/bsgatlas/details.php?id=BSGatlas-gene-4482","BSGatlas-gene-4482")</f>
        <v>BSGatlas-gene-4482</v>
      </c>
      <c r="C4157" s="1" t="s">
        <v>4109</v>
      </c>
      <c r="D4157" s="1" t="s">
        <v>8</v>
      </c>
      <c r="E4157" s="3">
        <v>3957391</v>
      </c>
      <c r="F4157" s="3">
        <v>3958482</v>
      </c>
      <c r="G4157" s="1" t="s">
        <v>9</v>
      </c>
      <c r="H4157" s="1" t="b">
        <f t="shared" si="158"/>
        <v>1</v>
      </c>
    </row>
    <row r="4158" spans="1:8" ht="21" x14ac:dyDescent="0.25">
      <c r="A4158" s="2" t="str">
        <f>HYPERLINK("https://rth.dk/resources/bsgatlas/details.php?id=BSGatlas-operon-2170","BSGatlas-operon-2170")</f>
        <v>BSGatlas-operon-2170</v>
      </c>
      <c r="B4158" s="2" t="str">
        <f>HYPERLINK("https://rth.dk/resources/bsgatlas/details.php?id=BSGatlas-gene-4487","BSGatlas-gene-4487")</f>
        <v>BSGatlas-gene-4487</v>
      </c>
      <c r="C4158" s="1" t="s">
        <v>4110</v>
      </c>
      <c r="D4158" s="1" t="s">
        <v>8</v>
      </c>
      <c r="E4158" s="3">
        <v>3962003</v>
      </c>
      <c r="F4158" s="3">
        <v>3963928</v>
      </c>
      <c r="G4158" s="1" t="s">
        <v>13</v>
      </c>
      <c r="H4158" s="1" t="b">
        <f t="shared" si="158"/>
        <v>0</v>
      </c>
    </row>
    <row r="4159" spans="1:8" ht="21" x14ac:dyDescent="0.25">
      <c r="A4159" s="2" t="str">
        <f>HYPERLINK("https://rth.dk/resources/bsgatlas/details.php?id=BSGatlas-operon-2171","BSGatlas-operon-2171")</f>
        <v>BSGatlas-operon-2171</v>
      </c>
      <c r="B4159" s="2" t="str">
        <f>HYPERLINK("https://rth.dk/resources/bsgatlas/details.php?id=BSGatlas-gene-4488","BSGatlas-gene-4488")</f>
        <v>BSGatlas-gene-4488</v>
      </c>
      <c r="C4159" s="1" t="s">
        <v>4111</v>
      </c>
      <c r="D4159" s="1" t="s">
        <v>8</v>
      </c>
      <c r="E4159" s="3">
        <v>3964091</v>
      </c>
      <c r="F4159" s="3">
        <v>3964249</v>
      </c>
      <c r="G4159" s="1" t="s">
        <v>13</v>
      </c>
      <c r="H4159" s="1" t="b">
        <f t="shared" si="158"/>
        <v>1</v>
      </c>
    </row>
    <row r="4160" spans="1:8" ht="21" x14ac:dyDescent="0.25">
      <c r="A4160" s="2" t="str">
        <f>HYPERLINK("https://rth.dk/resources/bsgatlas/details.php?id=BSGatlas-operon-2171","BSGatlas-operon-2171")</f>
        <v>BSGatlas-operon-2171</v>
      </c>
      <c r="B4160" s="2" t="str">
        <f>HYPERLINK("https://rth.dk/resources/bsgatlas/details.php?id=BSGatlas-gene-4489","BSGatlas-gene-4489")</f>
        <v>BSGatlas-gene-4489</v>
      </c>
      <c r="C4160" s="1" t="s">
        <v>4112</v>
      </c>
      <c r="D4160" s="1" t="s">
        <v>8</v>
      </c>
      <c r="E4160" s="3">
        <v>3964278</v>
      </c>
      <c r="F4160" s="3">
        <v>3964868</v>
      </c>
      <c r="G4160" s="1" t="s">
        <v>13</v>
      </c>
      <c r="H4160" s="1" t="b">
        <f t="shared" si="158"/>
        <v>1</v>
      </c>
    </row>
    <row r="4161" spans="1:8" ht="21" x14ac:dyDescent="0.25">
      <c r="A4161" s="2" t="str">
        <f>HYPERLINK("https://rth.dk/resources/bsgatlas/details.php?id=BSGatlas-operon-2172","BSGatlas-operon-2172")</f>
        <v>BSGatlas-operon-2172</v>
      </c>
      <c r="B4161" s="2" t="str">
        <f>HYPERLINK("https://rth.dk/resources/bsgatlas/details.php?id=BSGatlas-gene-4490","BSGatlas-gene-4490")</f>
        <v>BSGatlas-gene-4490</v>
      </c>
      <c r="C4161" s="1" t="s">
        <v>4113</v>
      </c>
      <c r="D4161" s="1" t="s">
        <v>8</v>
      </c>
      <c r="E4161" s="3">
        <v>3964997</v>
      </c>
      <c r="F4161" s="3">
        <v>3966640</v>
      </c>
      <c r="G4161" s="1" t="s">
        <v>9</v>
      </c>
      <c r="H4161" s="1" t="b">
        <f t="shared" si="158"/>
        <v>0</v>
      </c>
    </row>
    <row r="4162" spans="1:8" ht="21" x14ac:dyDescent="0.25">
      <c r="A4162" s="2" t="str">
        <f>HYPERLINK("https://rth.dk/resources/bsgatlas/details.php?id=BSGatlas-operon-2173","BSGatlas-operon-2173")</f>
        <v>BSGatlas-operon-2173</v>
      </c>
      <c r="B4162" s="2" t="str">
        <f>HYPERLINK("https://rth.dk/resources/bsgatlas/details.php?id=BSGatlas-gene-4491","BSGatlas-gene-4491")</f>
        <v>BSGatlas-gene-4491</v>
      </c>
      <c r="C4162" s="1" t="s">
        <v>4114</v>
      </c>
      <c r="D4162" s="1" t="s">
        <v>8</v>
      </c>
      <c r="E4162" s="3">
        <v>3966745</v>
      </c>
      <c r="F4162" s="3">
        <v>3967947</v>
      </c>
      <c r="G4162" s="1" t="s">
        <v>9</v>
      </c>
      <c r="H4162" s="1" t="b">
        <f t="shared" ref="H4162:H4225" si="160">_xlfn.XOR(A4161&lt;&gt;A4162,H4161)</f>
        <v>1</v>
      </c>
    </row>
    <row r="4163" spans="1:8" ht="21" x14ac:dyDescent="0.25">
      <c r="A4163" s="2" t="str">
        <f t="shared" ref="A4163:A4168" si="161">HYPERLINK("https://rth.dk/resources/bsgatlas/details.php?id=BSGatlas-operon-2174","BSGatlas-operon-2174")</f>
        <v>BSGatlas-operon-2174</v>
      </c>
      <c r="B4163" s="2" t="str">
        <f>HYPERLINK("https://rth.dk/resources/bsgatlas/details.php?id=BSGatlas-gene-4492","BSGatlas-gene-4492")</f>
        <v>BSGatlas-gene-4492</v>
      </c>
      <c r="C4163" s="1" t="s">
        <v>4115</v>
      </c>
      <c r="D4163" s="1" t="s">
        <v>8</v>
      </c>
      <c r="E4163" s="3">
        <v>3967944</v>
      </c>
      <c r="F4163" s="3">
        <v>3968720</v>
      </c>
      <c r="G4163" s="1" t="s">
        <v>13</v>
      </c>
      <c r="H4163" s="1" t="b">
        <f t="shared" si="160"/>
        <v>0</v>
      </c>
    </row>
    <row r="4164" spans="1:8" ht="21" x14ac:dyDescent="0.25">
      <c r="A4164" s="2" t="str">
        <f t="shared" si="161"/>
        <v>BSGatlas-operon-2174</v>
      </c>
      <c r="B4164" s="2" t="str">
        <f>HYPERLINK("https://rth.dk/resources/bsgatlas/details.php?id=BSGatlas-gene-4493","BSGatlas-gene-4493")</f>
        <v>BSGatlas-gene-4493</v>
      </c>
      <c r="C4164" s="1" t="s">
        <v>4116</v>
      </c>
      <c r="D4164" s="1" t="s">
        <v>8</v>
      </c>
      <c r="E4164" s="3">
        <v>3968717</v>
      </c>
      <c r="F4164" s="3">
        <v>3969604</v>
      </c>
      <c r="G4164" s="1" t="s">
        <v>13</v>
      </c>
      <c r="H4164" s="1" t="b">
        <f t="shared" si="160"/>
        <v>0</v>
      </c>
    </row>
    <row r="4165" spans="1:8" ht="21" x14ac:dyDescent="0.25">
      <c r="A4165" s="2" t="str">
        <f t="shared" si="161"/>
        <v>BSGatlas-operon-2174</v>
      </c>
      <c r="B4165" s="2" t="str">
        <f>HYPERLINK("https://rth.dk/resources/bsgatlas/details.php?id=BSGatlas-gene-4494","BSGatlas-gene-4494")</f>
        <v>BSGatlas-gene-4494</v>
      </c>
      <c r="C4165" s="1" t="s">
        <v>4117</v>
      </c>
      <c r="D4165" s="1" t="s">
        <v>8</v>
      </c>
      <c r="E4165" s="3">
        <v>3969611</v>
      </c>
      <c r="F4165" s="3">
        <v>3969799</v>
      </c>
      <c r="G4165" s="1" t="s">
        <v>13</v>
      </c>
      <c r="H4165" s="1" t="b">
        <f t="shared" si="160"/>
        <v>0</v>
      </c>
    </row>
    <row r="4166" spans="1:8" ht="21" x14ac:dyDescent="0.25">
      <c r="A4166" s="2" t="str">
        <f t="shared" si="161"/>
        <v>BSGatlas-operon-2174</v>
      </c>
      <c r="B4166" s="2" t="str">
        <f>HYPERLINK("https://rth.dk/resources/bsgatlas/details.php?id=BSGatlas-gene-4495","BSGatlas-gene-4495")</f>
        <v>BSGatlas-gene-4495</v>
      </c>
      <c r="C4166" s="1" t="s">
        <v>4118</v>
      </c>
      <c r="D4166" s="1" t="s">
        <v>8</v>
      </c>
      <c r="E4166" s="3">
        <v>3969796</v>
      </c>
      <c r="F4166" s="3">
        <v>3970002</v>
      </c>
      <c r="G4166" s="1" t="s">
        <v>13</v>
      </c>
      <c r="H4166" s="1" t="b">
        <f t="shared" si="160"/>
        <v>0</v>
      </c>
    </row>
    <row r="4167" spans="1:8" ht="21" x14ac:dyDescent="0.25">
      <c r="A4167" s="2" t="str">
        <f t="shared" si="161"/>
        <v>BSGatlas-operon-2174</v>
      </c>
      <c r="B4167" s="2" t="str">
        <f>HYPERLINK("https://rth.dk/resources/bsgatlas/details.php?id=BSGatlas-gene-4496","BSGatlas-gene-4496")</f>
        <v>BSGatlas-gene-4496</v>
      </c>
      <c r="C4167" s="1" t="s">
        <v>4119</v>
      </c>
      <c r="D4167" s="1" t="s">
        <v>8</v>
      </c>
      <c r="E4167" s="3">
        <v>3969999</v>
      </c>
      <c r="F4167" s="3">
        <v>3970319</v>
      </c>
      <c r="G4167" s="1" t="s">
        <v>13</v>
      </c>
      <c r="H4167" s="1" t="b">
        <f t="shared" si="160"/>
        <v>0</v>
      </c>
    </row>
    <row r="4168" spans="1:8" ht="21" x14ac:dyDescent="0.25">
      <c r="A4168" s="2" t="str">
        <f t="shared" si="161"/>
        <v>BSGatlas-operon-2174</v>
      </c>
      <c r="B4168" s="2" t="str">
        <f>HYPERLINK("https://rth.dk/resources/bsgatlas/details.php?id=BSGatlas-gene-4497","BSGatlas-gene-4497")</f>
        <v>BSGatlas-gene-4497</v>
      </c>
      <c r="C4168" s="1" t="s">
        <v>4120</v>
      </c>
      <c r="D4168" s="1" t="s">
        <v>8</v>
      </c>
      <c r="E4168" s="3">
        <v>3970312</v>
      </c>
      <c r="F4168" s="3">
        <v>3970848</v>
      </c>
      <c r="G4168" s="1" t="s">
        <v>13</v>
      </c>
      <c r="H4168" s="1" t="b">
        <f t="shared" si="160"/>
        <v>0</v>
      </c>
    </row>
    <row r="4169" spans="1:8" ht="21" x14ac:dyDescent="0.25">
      <c r="A4169" s="2" t="str">
        <f>HYPERLINK("https://rth.dk/resources/bsgatlas/details.php?id=BSGatlas-operon-2175","BSGatlas-operon-2175")</f>
        <v>BSGatlas-operon-2175</v>
      </c>
      <c r="B4169" s="2" t="str">
        <f>HYPERLINK("https://rth.dk/resources/bsgatlas/details.php?id=BSGatlas-gene-4498","BSGatlas-gene-4498")</f>
        <v>BSGatlas-gene-4498</v>
      </c>
      <c r="C4169" s="1" t="s">
        <v>4121</v>
      </c>
      <c r="D4169" s="1" t="s">
        <v>8</v>
      </c>
      <c r="E4169" s="3">
        <v>3971060</v>
      </c>
      <c r="F4169" s="3">
        <v>3972433</v>
      </c>
      <c r="G4169" s="1" t="s">
        <v>9</v>
      </c>
      <c r="H4169" s="1" t="b">
        <f t="shared" si="160"/>
        <v>1</v>
      </c>
    </row>
    <row r="4170" spans="1:8" ht="21" x14ac:dyDescent="0.25">
      <c r="A4170" s="2" t="str">
        <f>HYPERLINK("https://rth.dk/resources/bsgatlas/details.php?id=BSGatlas-operon-2176","BSGatlas-operon-2176")</f>
        <v>BSGatlas-operon-2176</v>
      </c>
      <c r="B4170" s="2" t="str">
        <f>HYPERLINK("https://rth.dk/resources/bsgatlas/details.php?id=BSGatlas-gene-4499","BSGatlas-gene-4499")</f>
        <v>BSGatlas-gene-4499</v>
      </c>
      <c r="C4170" s="1" t="s">
        <v>4122</v>
      </c>
      <c r="D4170" s="1" t="s">
        <v>12</v>
      </c>
      <c r="E4170" s="3">
        <v>3971340</v>
      </c>
      <c r="F4170" s="3">
        <v>3971882</v>
      </c>
      <c r="G4170" s="1" t="s">
        <v>13</v>
      </c>
      <c r="H4170" s="1" t="b">
        <f t="shared" si="160"/>
        <v>0</v>
      </c>
    </row>
    <row r="4171" spans="1:8" ht="21" x14ac:dyDescent="0.25">
      <c r="A4171" s="2" t="str">
        <f>HYPERLINK("https://rth.dk/resources/bsgatlas/details.php?id=BSGatlas-operon-2177","BSGatlas-operon-2177")</f>
        <v>BSGatlas-operon-2177</v>
      </c>
      <c r="B4171" s="2" t="str">
        <f>HYPERLINK("https://rth.dk/resources/bsgatlas/details.php?id=BSGatlas-gene-4500","BSGatlas-gene-4500")</f>
        <v>BSGatlas-gene-4500</v>
      </c>
      <c r="C4171" s="1" t="s">
        <v>4123</v>
      </c>
      <c r="D4171" s="1" t="s">
        <v>8</v>
      </c>
      <c r="E4171" s="3">
        <v>3972448</v>
      </c>
      <c r="F4171" s="3">
        <v>3973278</v>
      </c>
      <c r="G4171" s="1" t="s">
        <v>13</v>
      </c>
      <c r="H4171" s="1" t="b">
        <f t="shared" si="160"/>
        <v>1</v>
      </c>
    </row>
    <row r="4172" spans="1:8" ht="21" x14ac:dyDescent="0.25">
      <c r="A4172" s="2" t="str">
        <f>HYPERLINK("https://rth.dk/resources/bsgatlas/details.php?id=BSGatlas-operon-2178","BSGatlas-operon-2178")</f>
        <v>BSGatlas-operon-2178</v>
      </c>
      <c r="B4172" s="2" t="str">
        <f>HYPERLINK("https://rth.dk/resources/bsgatlas/details.php?id=BSGatlas-gene-4501","BSGatlas-gene-4501")</f>
        <v>BSGatlas-gene-4501</v>
      </c>
      <c r="C4172" s="1" t="s">
        <v>4124</v>
      </c>
      <c r="D4172" s="1" t="s">
        <v>8</v>
      </c>
      <c r="E4172" s="3">
        <v>3973364</v>
      </c>
      <c r="F4172" s="3">
        <v>3975091</v>
      </c>
      <c r="G4172" s="1" t="s">
        <v>13</v>
      </c>
      <c r="H4172" s="1" t="b">
        <f t="shared" si="160"/>
        <v>0</v>
      </c>
    </row>
    <row r="4173" spans="1:8" ht="21" x14ac:dyDescent="0.25">
      <c r="A4173" s="2" t="str">
        <f>HYPERLINK("https://rth.dk/resources/bsgatlas/details.php?id=BSGatlas-operon-2178","BSGatlas-operon-2178")</f>
        <v>BSGatlas-operon-2178</v>
      </c>
      <c r="B4173" s="2" t="str">
        <f>HYPERLINK("https://rth.dk/resources/bsgatlas/details.php?id=BSGatlas-gene-4502","BSGatlas-gene-4502")</f>
        <v>BSGatlas-gene-4502</v>
      </c>
      <c r="C4173" s="1" t="s">
        <v>4125</v>
      </c>
      <c r="D4173" s="1" t="s">
        <v>8</v>
      </c>
      <c r="E4173" s="3">
        <v>3975088</v>
      </c>
      <c r="F4173" s="3">
        <v>3976791</v>
      </c>
      <c r="G4173" s="1" t="s">
        <v>13</v>
      </c>
      <c r="H4173" s="1" t="b">
        <f t="shared" si="160"/>
        <v>0</v>
      </c>
    </row>
    <row r="4174" spans="1:8" ht="21" x14ac:dyDescent="0.25">
      <c r="A4174" s="2" t="str">
        <f>HYPERLINK("https://rth.dk/resources/bsgatlas/details.php?id=BSGatlas-operon-2178","BSGatlas-operon-2178")</f>
        <v>BSGatlas-operon-2178</v>
      </c>
      <c r="B4174" s="2" t="str">
        <f>HYPERLINK("https://rth.dk/resources/bsgatlas/details.php?id=BSGatlas-gene-4503","BSGatlas-gene-4503")</f>
        <v>BSGatlas-gene-4503</v>
      </c>
      <c r="C4174" s="1" t="s">
        <v>4126</v>
      </c>
      <c r="D4174" s="1" t="s">
        <v>8</v>
      </c>
      <c r="E4174" s="3">
        <v>3976791</v>
      </c>
      <c r="F4174" s="3">
        <v>3977807</v>
      </c>
      <c r="G4174" s="1" t="s">
        <v>13</v>
      </c>
      <c r="H4174" s="1" t="b">
        <f t="shared" si="160"/>
        <v>0</v>
      </c>
    </row>
    <row r="4175" spans="1:8" ht="21" x14ac:dyDescent="0.25">
      <c r="A4175" s="2" t="str">
        <f>HYPERLINK("https://rth.dk/resources/bsgatlas/details.php?id=BSGatlas-operon-2178","BSGatlas-operon-2178")</f>
        <v>BSGatlas-operon-2178</v>
      </c>
      <c r="B4175" s="2" t="str">
        <f>HYPERLINK("https://rth.dk/resources/bsgatlas/details.php?id=BSGatlas-gene-4504","BSGatlas-gene-4504")</f>
        <v>BSGatlas-gene-4504</v>
      </c>
      <c r="C4175" s="1" t="s">
        <v>4127</v>
      </c>
      <c r="D4175" s="1" t="s">
        <v>8</v>
      </c>
      <c r="E4175" s="3">
        <v>3977791</v>
      </c>
      <c r="F4175" s="3">
        <v>3979197</v>
      </c>
      <c r="G4175" s="1" t="s">
        <v>13</v>
      </c>
      <c r="H4175" s="1" t="b">
        <f t="shared" si="160"/>
        <v>0</v>
      </c>
    </row>
    <row r="4176" spans="1:8" ht="21" x14ac:dyDescent="0.25">
      <c r="A4176" s="2" t="str">
        <f>HYPERLINK("https://rth.dk/resources/bsgatlas/details.php?id=BSGatlas-operon-2179","BSGatlas-operon-2179")</f>
        <v>BSGatlas-operon-2179</v>
      </c>
      <c r="B4176" s="2" t="str">
        <f>HYPERLINK("https://rth.dk/resources/bsgatlas/details.php?id=BSGatlas-gene-4505","BSGatlas-gene-4505")</f>
        <v>BSGatlas-gene-4505</v>
      </c>
      <c r="C4176" s="1" t="s">
        <v>4128</v>
      </c>
      <c r="D4176" s="1" t="s">
        <v>8</v>
      </c>
      <c r="E4176" s="3">
        <v>3979753</v>
      </c>
      <c r="F4176" s="3">
        <v>3981105</v>
      </c>
      <c r="G4176" s="1" t="s">
        <v>9</v>
      </c>
      <c r="H4176" s="1" t="b">
        <f t="shared" si="160"/>
        <v>1</v>
      </c>
    </row>
    <row r="4177" spans="1:8" ht="21" x14ac:dyDescent="0.25">
      <c r="A4177" s="2" t="str">
        <f>HYPERLINK("https://rth.dk/resources/bsgatlas/details.php?id=BSGatlas-operon-2180","BSGatlas-operon-2180")</f>
        <v>BSGatlas-operon-2180</v>
      </c>
      <c r="B4177" s="2" t="str">
        <f>HYPERLINK("https://rth.dk/resources/bsgatlas/details.php?id=BSGatlas-gene-4506","BSGatlas-gene-4506")</f>
        <v>BSGatlas-gene-4506</v>
      </c>
      <c r="C4177" s="1" t="s">
        <v>4129</v>
      </c>
      <c r="D4177" s="1" t="s">
        <v>8</v>
      </c>
      <c r="E4177" s="3">
        <v>3981227</v>
      </c>
      <c r="F4177" s="3">
        <v>3982915</v>
      </c>
      <c r="G4177" s="1" t="s">
        <v>9</v>
      </c>
      <c r="H4177" s="1" t="b">
        <f t="shared" si="160"/>
        <v>0</v>
      </c>
    </row>
    <row r="4178" spans="1:8" ht="21" x14ac:dyDescent="0.25">
      <c r="A4178" s="2" t="str">
        <f>HYPERLINK("https://rth.dk/resources/bsgatlas/details.php?id=BSGatlas-operon-2181","BSGatlas-operon-2181")</f>
        <v>BSGatlas-operon-2181</v>
      </c>
      <c r="B4178" s="2" t="str">
        <f>HYPERLINK("https://rth.dk/resources/bsgatlas/details.php?id=BSGatlas-gene-4507","BSGatlas-gene-4507")</f>
        <v>BSGatlas-gene-4507</v>
      </c>
      <c r="C4178" s="1" t="s">
        <v>4130</v>
      </c>
      <c r="D4178" s="1" t="s">
        <v>8</v>
      </c>
      <c r="E4178" s="3">
        <v>3982973</v>
      </c>
      <c r="F4178" s="3">
        <v>3983173</v>
      </c>
      <c r="G4178" s="1" t="s">
        <v>9</v>
      </c>
      <c r="H4178" s="1" t="b">
        <f t="shared" si="160"/>
        <v>1</v>
      </c>
    </row>
    <row r="4179" spans="1:8" ht="21" x14ac:dyDescent="0.25">
      <c r="A4179" s="2" t="str">
        <f>HYPERLINK("https://rth.dk/resources/bsgatlas/details.php?id=BSGatlas-operon-2182","BSGatlas-operon-2182")</f>
        <v>BSGatlas-operon-2182</v>
      </c>
      <c r="B4179" s="2" t="str">
        <f>HYPERLINK("https://rth.dk/resources/bsgatlas/details.php?id=BSGatlas-gene-4508","BSGatlas-gene-4508")</f>
        <v>BSGatlas-gene-4508</v>
      </c>
      <c r="C4179" s="1" t="s">
        <v>4131</v>
      </c>
      <c r="D4179" s="1" t="s">
        <v>8</v>
      </c>
      <c r="E4179" s="3">
        <v>3983187</v>
      </c>
      <c r="F4179" s="3">
        <v>3984026</v>
      </c>
      <c r="G4179" s="1" t="s">
        <v>13</v>
      </c>
      <c r="H4179" s="1" t="b">
        <f t="shared" si="160"/>
        <v>0</v>
      </c>
    </row>
    <row r="4180" spans="1:8" ht="21" x14ac:dyDescent="0.25">
      <c r="A4180" s="2" t="str">
        <f>HYPERLINK("https://rth.dk/resources/bsgatlas/details.php?id=BSGatlas-operon-2183","BSGatlas-operon-2183")</f>
        <v>BSGatlas-operon-2183</v>
      </c>
      <c r="B4180" s="2" t="str">
        <f>HYPERLINK("https://rth.dk/resources/bsgatlas/details.php?id=BSGatlas-gene-4509","BSGatlas-gene-4509")</f>
        <v>BSGatlas-gene-4509</v>
      </c>
      <c r="C4180" s="1" t="s">
        <v>4132</v>
      </c>
      <c r="D4180" s="1" t="s">
        <v>8</v>
      </c>
      <c r="E4180" s="3">
        <v>3984133</v>
      </c>
      <c r="F4180" s="3">
        <v>3985230</v>
      </c>
      <c r="G4180" s="1" t="s">
        <v>13</v>
      </c>
      <c r="H4180" s="1" t="b">
        <f t="shared" si="160"/>
        <v>1</v>
      </c>
    </row>
    <row r="4181" spans="1:8" ht="21" x14ac:dyDescent="0.25">
      <c r="A4181" s="2" t="str">
        <f>HYPERLINK("https://rth.dk/resources/bsgatlas/details.php?id=BSGatlas-operon-2183","BSGatlas-operon-2183")</f>
        <v>BSGatlas-operon-2183</v>
      </c>
      <c r="B4181" s="2" t="str">
        <f>HYPERLINK("https://rth.dk/resources/bsgatlas/details.php?id=BSGatlas-gene-4510","BSGatlas-gene-4510")</f>
        <v>BSGatlas-gene-4510</v>
      </c>
      <c r="C4181" s="1" t="s">
        <v>4133</v>
      </c>
      <c r="D4181" s="1" t="s">
        <v>8</v>
      </c>
      <c r="E4181" s="3">
        <v>3985351</v>
      </c>
      <c r="F4181" s="3">
        <v>3986244</v>
      </c>
      <c r="G4181" s="1" t="s">
        <v>13</v>
      </c>
      <c r="H4181" s="1" t="b">
        <f t="shared" si="160"/>
        <v>1</v>
      </c>
    </row>
    <row r="4182" spans="1:8" ht="21" x14ac:dyDescent="0.25">
      <c r="A4182" s="2" t="str">
        <f>HYPERLINK("https://rth.dk/resources/bsgatlas/details.php?id=BSGatlas-operon-2184","BSGatlas-operon-2184")</f>
        <v>BSGatlas-operon-2184</v>
      </c>
      <c r="B4182" s="2" t="str">
        <f>HYPERLINK("https://rth.dk/resources/bsgatlas/details.php?id=BSGatlas-gene-4511","BSGatlas-gene-4511")</f>
        <v>BSGatlas-gene-4511</v>
      </c>
      <c r="C4182" s="1" t="s">
        <v>4134</v>
      </c>
      <c r="D4182" s="1" t="s">
        <v>8</v>
      </c>
      <c r="E4182" s="3">
        <v>3986428</v>
      </c>
      <c r="F4182" s="3">
        <v>3987885</v>
      </c>
      <c r="G4182" s="1" t="s">
        <v>9</v>
      </c>
      <c r="H4182" s="1" t="b">
        <f t="shared" si="160"/>
        <v>0</v>
      </c>
    </row>
    <row r="4183" spans="1:8" ht="21" x14ac:dyDescent="0.25">
      <c r="A4183" s="2" t="str">
        <f>HYPERLINK("https://rth.dk/resources/bsgatlas/details.php?id=BSGatlas-operon-2185","BSGatlas-operon-2185")</f>
        <v>BSGatlas-operon-2185</v>
      </c>
      <c r="B4183" s="2" t="str">
        <f>HYPERLINK("https://rth.dk/resources/bsgatlas/details.php?id=BSGatlas-gene-4512","BSGatlas-gene-4512")</f>
        <v>BSGatlas-gene-4512</v>
      </c>
      <c r="C4183" s="1" t="s">
        <v>4135</v>
      </c>
      <c r="D4183" s="1" t="s">
        <v>8</v>
      </c>
      <c r="E4183" s="3">
        <v>3987927</v>
      </c>
      <c r="F4183" s="3">
        <v>3988763</v>
      </c>
      <c r="G4183" s="1" t="s">
        <v>13</v>
      </c>
      <c r="H4183" s="1" t="b">
        <f t="shared" si="160"/>
        <v>1</v>
      </c>
    </row>
    <row r="4184" spans="1:8" ht="21" x14ac:dyDescent="0.25">
      <c r="A4184" s="2" t="str">
        <f>HYPERLINK("https://rth.dk/resources/bsgatlas/details.php?id=BSGatlas-operon-2186","BSGatlas-operon-2186")</f>
        <v>BSGatlas-operon-2186</v>
      </c>
      <c r="B4184" s="2" t="str">
        <f>HYPERLINK("https://rth.dk/resources/bsgatlas/details.php?id=BSGatlas-gene-4513","BSGatlas-gene-4513")</f>
        <v>BSGatlas-gene-4513</v>
      </c>
      <c r="C4184" s="1" t="s">
        <v>4136</v>
      </c>
      <c r="D4184" s="1" t="s">
        <v>34</v>
      </c>
      <c r="E4184" s="3">
        <v>3988839</v>
      </c>
      <c r="F4184" s="3">
        <v>3988942</v>
      </c>
      <c r="G4184" s="1" t="s">
        <v>13</v>
      </c>
      <c r="H4184" s="1" t="b">
        <f t="shared" si="160"/>
        <v>0</v>
      </c>
    </row>
    <row r="4185" spans="1:8" ht="21" x14ac:dyDescent="0.25">
      <c r="A4185" s="2" t="str">
        <f>HYPERLINK("https://rth.dk/resources/bsgatlas/details.php?id=BSGatlas-operon-2187","BSGatlas-operon-2187")</f>
        <v>BSGatlas-operon-2187</v>
      </c>
      <c r="B4185" s="2" t="str">
        <f>HYPERLINK("https://rth.dk/resources/bsgatlas/details.php?id=BSGatlas-gene-4514","BSGatlas-gene-4514")</f>
        <v>BSGatlas-gene-4514</v>
      </c>
      <c r="C4185" s="1" t="s">
        <v>4137</v>
      </c>
      <c r="D4185" s="1" t="s">
        <v>8</v>
      </c>
      <c r="E4185" s="3">
        <v>3989331</v>
      </c>
      <c r="F4185" s="3">
        <v>3989873</v>
      </c>
      <c r="G4185" s="1" t="s">
        <v>9</v>
      </c>
      <c r="H4185" s="1" t="b">
        <f t="shared" si="160"/>
        <v>1</v>
      </c>
    </row>
    <row r="4186" spans="1:8" ht="21" x14ac:dyDescent="0.25">
      <c r="A4186" s="2" t="str">
        <f>HYPERLINK("https://rth.dk/resources/bsgatlas/details.php?id=BSGatlas-operon-2188","BSGatlas-operon-2188")</f>
        <v>BSGatlas-operon-2188</v>
      </c>
      <c r="B4186" s="2" t="str">
        <f>HYPERLINK("https://rth.dk/resources/bsgatlas/details.php?id=BSGatlas-gene-4515","BSGatlas-gene-4515")</f>
        <v>BSGatlas-gene-4515</v>
      </c>
      <c r="C4186" s="1" t="s">
        <v>4138</v>
      </c>
      <c r="D4186" s="1" t="s">
        <v>8</v>
      </c>
      <c r="E4186" s="3">
        <v>3989948</v>
      </c>
      <c r="F4186" s="3">
        <v>3990967</v>
      </c>
      <c r="G4186" s="1" t="s">
        <v>13</v>
      </c>
      <c r="H4186" s="1" t="b">
        <f t="shared" si="160"/>
        <v>0</v>
      </c>
    </row>
    <row r="4187" spans="1:8" ht="21" x14ac:dyDescent="0.25">
      <c r="A4187" s="2" t="str">
        <f>HYPERLINK("https://rth.dk/resources/bsgatlas/details.php?id=BSGatlas-operon-2188","BSGatlas-operon-2188")</f>
        <v>BSGatlas-operon-2188</v>
      </c>
      <c r="B4187" s="2" t="str">
        <f>HYPERLINK("https://rth.dk/resources/bsgatlas/details.php?id=BSGatlas-gene-4516","BSGatlas-gene-4516")</f>
        <v>BSGatlas-gene-4516</v>
      </c>
      <c r="C4187" s="1" t="s">
        <v>4139</v>
      </c>
      <c r="D4187" s="1" t="s">
        <v>8</v>
      </c>
      <c r="E4187" s="3">
        <v>3991082</v>
      </c>
      <c r="F4187" s="3">
        <v>3991588</v>
      </c>
      <c r="G4187" s="1" t="s">
        <v>13</v>
      </c>
      <c r="H4187" s="1" t="b">
        <f t="shared" si="160"/>
        <v>0</v>
      </c>
    </row>
    <row r="4188" spans="1:8" ht="21" x14ac:dyDescent="0.25">
      <c r="A4188" s="2" t="str">
        <f>HYPERLINK("https://rth.dk/resources/bsgatlas/details.php?id=BSGatlas-operon-2189","BSGatlas-operon-2189")</f>
        <v>BSGatlas-operon-2189</v>
      </c>
      <c r="B4188" s="2" t="str">
        <f>HYPERLINK("https://rth.dk/resources/bsgatlas/details.php?id=BSGatlas-gene-4517","BSGatlas-gene-4517")</f>
        <v>BSGatlas-gene-4517</v>
      </c>
      <c r="C4188" s="1" t="s">
        <v>4140</v>
      </c>
      <c r="D4188" s="1" t="s">
        <v>8</v>
      </c>
      <c r="E4188" s="3">
        <v>3991718</v>
      </c>
      <c r="F4188" s="3">
        <v>3992593</v>
      </c>
      <c r="G4188" s="1" t="s">
        <v>9</v>
      </c>
      <c r="H4188" s="1" t="b">
        <f t="shared" si="160"/>
        <v>1</v>
      </c>
    </row>
    <row r="4189" spans="1:8" ht="21" x14ac:dyDescent="0.25">
      <c r="A4189" s="2" t="str">
        <f>HYPERLINK("https://rth.dk/resources/bsgatlas/details.php?id=BSGatlas-operon-2190","BSGatlas-operon-2190")</f>
        <v>BSGatlas-operon-2190</v>
      </c>
      <c r="B4189" s="2" t="str">
        <f>HYPERLINK("https://rth.dk/resources/bsgatlas/details.php?id=BSGatlas-gene-4518","BSGatlas-gene-4518")</f>
        <v>BSGatlas-gene-4518</v>
      </c>
      <c r="C4189" s="1" t="s">
        <v>4141</v>
      </c>
      <c r="D4189" s="1" t="s">
        <v>12</v>
      </c>
      <c r="E4189" s="3">
        <v>3991968</v>
      </c>
      <c r="F4189" s="3">
        <v>3992056</v>
      </c>
      <c r="G4189" s="1" t="s">
        <v>13</v>
      </c>
      <c r="H4189" s="1" t="b">
        <f t="shared" si="160"/>
        <v>0</v>
      </c>
    </row>
    <row r="4190" spans="1:8" ht="21" x14ac:dyDescent="0.25">
      <c r="A4190" s="2" t="str">
        <f>HYPERLINK("https://rth.dk/resources/bsgatlas/details.php?id=BSGatlas-operon-2191","BSGatlas-operon-2191")</f>
        <v>BSGatlas-operon-2191</v>
      </c>
      <c r="B4190" s="2" t="str">
        <f>HYPERLINK("https://rth.dk/resources/bsgatlas/details.php?id=BSGatlas-gene-4519","BSGatlas-gene-4519")</f>
        <v>BSGatlas-gene-4519</v>
      </c>
      <c r="C4190" s="1" t="s">
        <v>4142</v>
      </c>
      <c r="D4190" s="1" t="s">
        <v>8</v>
      </c>
      <c r="E4190" s="3">
        <v>3992671</v>
      </c>
      <c r="F4190" s="3">
        <v>3993144</v>
      </c>
      <c r="G4190" s="1" t="s">
        <v>9</v>
      </c>
      <c r="H4190" s="1" t="b">
        <f t="shared" si="160"/>
        <v>1</v>
      </c>
    </row>
    <row r="4191" spans="1:8" ht="21" x14ac:dyDescent="0.25">
      <c r="A4191" s="2" t="str">
        <f>HYPERLINK("https://rth.dk/resources/bsgatlas/details.php?id=BSGatlas-operon-2192","BSGatlas-operon-2192")</f>
        <v>BSGatlas-operon-2192</v>
      </c>
      <c r="B4191" s="2" t="str">
        <f>HYPERLINK("https://rth.dk/resources/bsgatlas/details.php?id=BSGatlas-gene-4522","BSGatlas-gene-4522")</f>
        <v>BSGatlas-gene-4522</v>
      </c>
      <c r="C4191" s="1" t="s">
        <v>4143</v>
      </c>
      <c r="D4191" s="1" t="s">
        <v>8</v>
      </c>
      <c r="E4191" s="3">
        <v>3995075</v>
      </c>
      <c r="F4191" s="3">
        <v>3996307</v>
      </c>
      <c r="G4191" s="1" t="s">
        <v>9</v>
      </c>
      <c r="H4191" s="1" t="b">
        <f t="shared" si="160"/>
        <v>0</v>
      </c>
    </row>
    <row r="4192" spans="1:8" ht="21" x14ac:dyDescent="0.25">
      <c r="A4192" s="2" t="str">
        <f>HYPERLINK("https://rth.dk/resources/bsgatlas/details.php?id=BSGatlas-operon-2193","BSGatlas-operon-2193")</f>
        <v>BSGatlas-operon-2193</v>
      </c>
      <c r="B4192" s="2" t="str">
        <f>HYPERLINK("https://rth.dk/resources/bsgatlas/details.php?id=BSGatlas-gene-4523","BSGatlas-gene-4523")</f>
        <v>BSGatlas-gene-4523</v>
      </c>
      <c r="C4192" s="1" t="s">
        <v>4144</v>
      </c>
      <c r="D4192" s="1" t="s">
        <v>12</v>
      </c>
      <c r="E4192" s="3">
        <v>3996388</v>
      </c>
      <c r="F4192" s="3">
        <v>3996610</v>
      </c>
      <c r="G4192" s="1" t="s">
        <v>9</v>
      </c>
      <c r="H4192" s="1" t="b">
        <f t="shared" si="160"/>
        <v>1</v>
      </c>
    </row>
    <row r="4193" spans="1:8" ht="21" x14ac:dyDescent="0.25">
      <c r="A4193" s="2" t="str">
        <f>HYPERLINK("https://rth.dk/resources/bsgatlas/details.php?id=BSGatlas-operon-2194","BSGatlas-operon-2194")</f>
        <v>BSGatlas-operon-2194</v>
      </c>
      <c r="B4193" s="2" t="str">
        <f>HYPERLINK("https://rth.dk/resources/bsgatlas/details.php?id=BSGatlas-gene-4524","BSGatlas-gene-4524")</f>
        <v>BSGatlas-gene-4524</v>
      </c>
      <c r="C4193" s="1" t="s">
        <v>4145</v>
      </c>
      <c r="D4193" s="1" t="s">
        <v>8</v>
      </c>
      <c r="E4193" s="3">
        <v>3996829</v>
      </c>
      <c r="F4193" s="3">
        <v>3997092</v>
      </c>
      <c r="G4193" s="1" t="s">
        <v>9</v>
      </c>
      <c r="H4193" s="1" t="b">
        <f t="shared" si="160"/>
        <v>0</v>
      </c>
    </row>
    <row r="4194" spans="1:8" ht="21" x14ac:dyDescent="0.25">
      <c r="A4194" s="2" t="str">
        <f>HYPERLINK("https://rth.dk/resources/bsgatlas/details.php?id=BSGatlas-operon-2194","BSGatlas-operon-2194")</f>
        <v>BSGatlas-operon-2194</v>
      </c>
      <c r="B4194" s="2" t="str">
        <f>HYPERLINK("https://rth.dk/resources/bsgatlas/details.php?id=BSGatlas-gene-4525","BSGatlas-gene-4525")</f>
        <v>BSGatlas-gene-4525</v>
      </c>
      <c r="C4194" s="1" t="s">
        <v>4146</v>
      </c>
      <c r="D4194" s="1" t="s">
        <v>8</v>
      </c>
      <c r="E4194" s="3">
        <v>3997221</v>
      </c>
      <c r="F4194" s="3">
        <v>3997709</v>
      </c>
      <c r="G4194" s="1" t="s">
        <v>9</v>
      </c>
      <c r="H4194" s="1" t="b">
        <f t="shared" si="160"/>
        <v>0</v>
      </c>
    </row>
    <row r="4195" spans="1:8" ht="21" x14ac:dyDescent="0.25">
      <c r="A4195" s="2" t="str">
        <f>HYPERLINK("https://rth.dk/resources/bsgatlas/details.php?id=BSGatlas-operon-2195","BSGatlas-operon-2195")</f>
        <v>BSGatlas-operon-2195</v>
      </c>
      <c r="B4195" s="2" t="str">
        <f>HYPERLINK("https://rth.dk/resources/bsgatlas/details.php?id=BSGatlas-gene-4527","BSGatlas-gene-4527")</f>
        <v>BSGatlas-gene-4527</v>
      </c>
      <c r="C4195" s="1" t="s">
        <v>4147</v>
      </c>
      <c r="D4195" s="1" t="s">
        <v>8</v>
      </c>
      <c r="E4195" s="3">
        <v>3997964</v>
      </c>
      <c r="F4195" s="3">
        <v>3999097</v>
      </c>
      <c r="G4195" s="1" t="s">
        <v>9</v>
      </c>
      <c r="H4195" s="1" t="b">
        <f t="shared" si="160"/>
        <v>1</v>
      </c>
    </row>
    <row r="4196" spans="1:8" ht="21" x14ac:dyDescent="0.25">
      <c r="A4196" s="2" t="str">
        <f>HYPERLINK("https://rth.dk/resources/bsgatlas/details.php?id=BSGatlas-operon-2196","BSGatlas-operon-2196")</f>
        <v>BSGatlas-operon-2196</v>
      </c>
      <c r="B4196" s="2" t="str">
        <f>HYPERLINK("https://rth.dk/resources/bsgatlas/details.php?id=BSGatlas-gene-4526","BSGatlas-gene-4526")</f>
        <v>BSGatlas-gene-4526</v>
      </c>
      <c r="C4196" s="1" t="s">
        <v>4148</v>
      </c>
      <c r="D4196" s="1" t="s">
        <v>34</v>
      </c>
      <c r="E4196" s="3">
        <v>3997774</v>
      </c>
      <c r="F4196" s="3">
        <v>3997881</v>
      </c>
      <c r="G4196" s="1" t="s">
        <v>9</v>
      </c>
      <c r="H4196" s="1" t="b">
        <f t="shared" si="160"/>
        <v>0</v>
      </c>
    </row>
    <row r="4197" spans="1:8" ht="21" x14ac:dyDescent="0.25">
      <c r="A4197" s="2" t="str">
        <f>HYPERLINK("https://rth.dk/resources/bsgatlas/details.php?id=BSGatlas-operon-2197","BSGatlas-operon-2197")</f>
        <v>BSGatlas-operon-2197</v>
      </c>
      <c r="B4197" s="2" t="str">
        <f>HYPERLINK("https://rth.dk/resources/bsgatlas/details.php?id=BSGatlas-gene-4528","BSGatlas-gene-4528")</f>
        <v>BSGatlas-gene-4528</v>
      </c>
      <c r="C4197" s="1" t="s">
        <v>4149</v>
      </c>
      <c r="D4197" s="1" t="s">
        <v>12</v>
      </c>
      <c r="E4197" s="3">
        <v>3998237</v>
      </c>
      <c r="F4197" s="3">
        <v>3998480</v>
      </c>
      <c r="G4197" s="1" t="s">
        <v>13</v>
      </c>
      <c r="H4197" s="1" t="b">
        <f t="shared" si="160"/>
        <v>1</v>
      </c>
    </row>
    <row r="4198" spans="1:8" ht="21" x14ac:dyDescent="0.25">
      <c r="A4198" s="2" t="str">
        <f>HYPERLINK("https://rth.dk/resources/bsgatlas/details.php?id=BSGatlas-operon-2198","BSGatlas-operon-2198")</f>
        <v>BSGatlas-operon-2198</v>
      </c>
      <c r="B4198" s="2" t="str">
        <f>HYPERLINK("https://rth.dk/resources/bsgatlas/details.php?id=BSGatlas-gene-4530","BSGatlas-gene-4530")</f>
        <v>BSGatlas-gene-4530</v>
      </c>
      <c r="C4198" s="1" t="s">
        <v>4150</v>
      </c>
      <c r="D4198" s="1" t="s">
        <v>8</v>
      </c>
      <c r="E4198" s="3">
        <v>3999350</v>
      </c>
      <c r="F4198" s="3">
        <v>4000486</v>
      </c>
      <c r="G4198" s="1" t="s">
        <v>9</v>
      </c>
      <c r="H4198" s="1" t="b">
        <f t="shared" si="160"/>
        <v>0</v>
      </c>
    </row>
    <row r="4199" spans="1:8" ht="21" x14ac:dyDescent="0.25">
      <c r="A4199" s="2" t="str">
        <f>HYPERLINK("https://rth.dk/resources/bsgatlas/details.php?id=BSGatlas-operon-2199","BSGatlas-operon-2199")</f>
        <v>BSGatlas-operon-2199</v>
      </c>
      <c r="B4199" s="2" t="str">
        <f>HYPERLINK("https://rth.dk/resources/bsgatlas/details.php?id=BSGatlas-gene-4529","BSGatlas-gene-4529")</f>
        <v>BSGatlas-gene-4529</v>
      </c>
      <c r="C4199" s="1" t="s">
        <v>4151</v>
      </c>
      <c r="D4199" s="1" t="s">
        <v>34</v>
      </c>
      <c r="E4199" s="3">
        <v>3999165</v>
      </c>
      <c r="F4199" s="3">
        <v>3999272</v>
      </c>
      <c r="G4199" s="1" t="s">
        <v>9</v>
      </c>
      <c r="H4199" s="1" t="b">
        <f t="shared" si="160"/>
        <v>1</v>
      </c>
    </row>
    <row r="4200" spans="1:8" ht="21" x14ac:dyDescent="0.25">
      <c r="A4200" s="2" t="str">
        <f>HYPERLINK("https://rth.dk/resources/bsgatlas/details.php?id=BSGatlas-operon-2200","BSGatlas-operon-2200")</f>
        <v>BSGatlas-operon-2200</v>
      </c>
      <c r="B4200" s="2" t="str">
        <f>HYPERLINK("https://rth.dk/resources/bsgatlas/details.php?id=BSGatlas-gene-4531","BSGatlas-gene-4531")</f>
        <v>BSGatlas-gene-4531</v>
      </c>
      <c r="C4200" s="1" t="s">
        <v>4152</v>
      </c>
      <c r="D4200" s="1" t="s">
        <v>8</v>
      </c>
      <c r="E4200" s="3">
        <v>4000539</v>
      </c>
      <c r="F4200" s="3">
        <v>4001312</v>
      </c>
      <c r="G4200" s="1" t="s">
        <v>13</v>
      </c>
      <c r="H4200" s="1" t="b">
        <f t="shared" si="160"/>
        <v>0</v>
      </c>
    </row>
    <row r="4201" spans="1:8" ht="21" x14ac:dyDescent="0.25">
      <c r="A4201" s="2" t="str">
        <f>HYPERLINK("https://rth.dk/resources/bsgatlas/details.php?id=BSGatlas-operon-2200","BSGatlas-operon-2200")</f>
        <v>BSGatlas-operon-2200</v>
      </c>
      <c r="B4201" s="2" t="str">
        <f>HYPERLINK("https://rth.dk/resources/bsgatlas/details.php?id=BSGatlas-gene-4532","BSGatlas-gene-4532")</f>
        <v>BSGatlas-gene-4532</v>
      </c>
      <c r="C4201" s="1" t="s">
        <v>4153</v>
      </c>
      <c r="D4201" s="1" t="s">
        <v>8</v>
      </c>
      <c r="E4201" s="3">
        <v>4001329</v>
      </c>
      <c r="F4201" s="3">
        <v>4001979</v>
      </c>
      <c r="G4201" s="1" t="s">
        <v>13</v>
      </c>
      <c r="H4201" s="1" t="b">
        <f t="shared" si="160"/>
        <v>0</v>
      </c>
    </row>
    <row r="4202" spans="1:8" ht="21" x14ac:dyDescent="0.25">
      <c r="A4202" s="2" t="str">
        <f>HYPERLINK("https://rth.dk/resources/bsgatlas/details.php?id=BSGatlas-operon-2200","BSGatlas-operon-2200")</f>
        <v>BSGatlas-operon-2200</v>
      </c>
      <c r="B4202" s="2" t="str">
        <f>HYPERLINK("https://rth.dk/resources/bsgatlas/details.php?id=BSGatlas-gene-4533","BSGatlas-gene-4533")</f>
        <v>BSGatlas-gene-4533</v>
      </c>
      <c r="C4202" s="1" t="s">
        <v>4154</v>
      </c>
      <c r="D4202" s="1" t="s">
        <v>8</v>
      </c>
      <c r="E4202" s="3">
        <v>4001976</v>
      </c>
      <c r="F4202" s="3">
        <v>4002692</v>
      </c>
      <c r="G4202" s="1" t="s">
        <v>13</v>
      </c>
      <c r="H4202" s="1" t="b">
        <f t="shared" si="160"/>
        <v>0</v>
      </c>
    </row>
    <row r="4203" spans="1:8" ht="21" x14ac:dyDescent="0.25">
      <c r="A4203" s="2" t="str">
        <f>HYPERLINK("https://rth.dk/resources/bsgatlas/details.php?id=BSGatlas-operon-2200","BSGatlas-operon-2200")</f>
        <v>BSGatlas-operon-2200</v>
      </c>
      <c r="B4203" s="2" t="str">
        <f>HYPERLINK("https://rth.dk/resources/bsgatlas/details.php?id=BSGatlas-gene-4534","BSGatlas-gene-4534")</f>
        <v>BSGatlas-gene-4534</v>
      </c>
      <c r="C4203" s="1" t="s">
        <v>4155</v>
      </c>
      <c r="D4203" s="1" t="s">
        <v>8</v>
      </c>
      <c r="E4203" s="3">
        <v>4002716</v>
      </c>
      <c r="F4203" s="3">
        <v>4004134</v>
      </c>
      <c r="G4203" s="1" t="s">
        <v>13</v>
      </c>
      <c r="H4203" s="1" t="b">
        <f t="shared" si="160"/>
        <v>0</v>
      </c>
    </row>
    <row r="4204" spans="1:8" ht="21" x14ac:dyDescent="0.25">
      <c r="A4204" s="2" t="str">
        <f>HYPERLINK("https://rth.dk/resources/bsgatlas/details.php?id=BSGatlas-operon-2201","BSGatlas-operon-2201")</f>
        <v>BSGatlas-operon-2201</v>
      </c>
      <c r="B4204" s="2" t="str">
        <f>HYPERLINK("https://rth.dk/resources/bsgatlas/details.php?id=BSGatlas-gene-4535","BSGatlas-gene-4535")</f>
        <v>BSGatlas-gene-4535</v>
      </c>
      <c r="C4204" s="1" t="s">
        <v>4156</v>
      </c>
      <c r="D4204" s="1" t="s">
        <v>8</v>
      </c>
      <c r="E4204" s="3">
        <v>4004288</v>
      </c>
      <c r="F4204" s="3">
        <v>4005136</v>
      </c>
      <c r="G4204" s="1" t="s">
        <v>13</v>
      </c>
      <c r="H4204" s="1" t="b">
        <f t="shared" si="160"/>
        <v>1</v>
      </c>
    </row>
    <row r="4205" spans="1:8" ht="21" x14ac:dyDescent="0.25">
      <c r="A4205" s="2" t="str">
        <f>HYPERLINK("https://rth.dk/resources/bsgatlas/details.php?id=BSGatlas-operon-2202","BSGatlas-operon-2202")</f>
        <v>BSGatlas-operon-2202</v>
      </c>
      <c r="B4205" s="2" t="str">
        <f>HYPERLINK("https://rth.dk/resources/bsgatlas/details.php?id=BSGatlas-gene-4538","BSGatlas-gene-4538")</f>
        <v>BSGatlas-gene-4538</v>
      </c>
      <c r="C4205" s="1" t="s">
        <v>4157</v>
      </c>
      <c r="D4205" s="1" t="s">
        <v>8</v>
      </c>
      <c r="E4205" s="3">
        <v>4005752</v>
      </c>
      <c r="F4205" s="3">
        <v>4006945</v>
      </c>
      <c r="G4205" s="1" t="s">
        <v>9</v>
      </c>
      <c r="H4205" s="1" t="b">
        <f t="shared" si="160"/>
        <v>0</v>
      </c>
    </row>
    <row r="4206" spans="1:8" ht="21" x14ac:dyDescent="0.25">
      <c r="A4206" s="2" t="str">
        <f>HYPERLINK("https://rth.dk/resources/bsgatlas/details.php?id=BSGatlas-operon-2203","BSGatlas-operon-2203")</f>
        <v>BSGatlas-operon-2203</v>
      </c>
      <c r="B4206" s="2" t="str">
        <f>HYPERLINK("https://rth.dk/resources/bsgatlas/details.php?id=BSGatlas-gene-4539","BSGatlas-gene-4539")</f>
        <v>BSGatlas-gene-4539</v>
      </c>
      <c r="C4206" s="1" t="s">
        <v>4158</v>
      </c>
      <c r="D4206" s="1" t="s">
        <v>276</v>
      </c>
      <c r="E4206" s="3">
        <v>4006987</v>
      </c>
      <c r="F4206" s="3">
        <v>4007415</v>
      </c>
      <c r="G4206" s="1" t="s">
        <v>13</v>
      </c>
      <c r="H4206" s="1" t="b">
        <f t="shared" si="160"/>
        <v>1</v>
      </c>
    </row>
    <row r="4207" spans="1:8" ht="21" x14ac:dyDescent="0.25">
      <c r="A4207" s="2" t="str">
        <f>HYPERLINK("https://rth.dk/resources/bsgatlas/details.php?id=BSGatlas-operon-2204","BSGatlas-operon-2204")</f>
        <v>BSGatlas-operon-2204</v>
      </c>
      <c r="B4207" s="2" t="str">
        <f>HYPERLINK("https://rth.dk/resources/bsgatlas/details.php?id=BSGatlas-gene-4540","BSGatlas-gene-4540")</f>
        <v>BSGatlas-gene-4540</v>
      </c>
      <c r="C4207" s="1" t="s">
        <v>4159</v>
      </c>
      <c r="D4207" s="1" t="s">
        <v>276</v>
      </c>
      <c r="E4207" s="3">
        <v>4007416</v>
      </c>
      <c r="F4207" s="3">
        <v>4007658</v>
      </c>
      <c r="G4207" s="1" t="s">
        <v>13</v>
      </c>
      <c r="H4207" s="1" t="b">
        <f t="shared" si="160"/>
        <v>0</v>
      </c>
    </row>
    <row r="4208" spans="1:8" ht="21" x14ac:dyDescent="0.25">
      <c r="A4208" s="2" t="str">
        <f>HYPERLINK("https://rth.dk/resources/bsgatlas/details.php?id=BSGatlas-operon-2205","BSGatlas-operon-2205")</f>
        <v>BSGatlas-operon-2205</v>
      </c>
      <c r="B4208" s="2" t="str">
        <f>HYPERLINK("https://rth.dk/resources/bsgatlas/details.php?id=BSGatlas-gene-4541","BSGatlas-gene-4541")</f>
        <v>BSGatlas-gene-4541</v>
      </c>
      <c r="C4208" s="1" t="s">
        <v>4160</v>
      </c>
      <c r="D4208" s="1" t="s">
        <v>8</v>
      </c>
      <c r="E4208" s="3">
        <v>4007803</v>
      </c>
      <c r="F4208" s="3">
        <v>4008093</v>
      </c>
      <c r="G4208" s="1" t="s">
        <v>13</v>
      </c>
      <c r="H4208" s="1" t="b">
        <f t="shared" si="160"/>
        <v>1</v>
      </c>
    </row>
    <row r="4209" spans="1:8" ht="21" x14ac:dyDescent="0.25">
      <c r="A4209" s="2" t="str">
        <f>HYPERLINK("https://rth.dk/resources/bsgatlas/details.php?id=BSGatlas-operon-2205","BSGatlas-operon-2205")</f>
        <v>BSGatlas-operon-2205</v>
      </c>
      <c r="B4209" s="2" t="str">
        <f>HYPERLINK("https://rth.dk/resources/bsgatlas/details.php?id=BSGatlas-gene-4542","BSGatlas-gene-4542")</f>
        <v>BSGatlas-gene-4542</v>
      </c>
      <c r="C4209" s="1" t="s">
        <v>4161</v>
      </c>
      <c r="D4209" s="1" t="s">
        <v>8</v>
      </c>
      <c r="E4209" s="3">
        <v>4008143</v>
      </c>
      <c r="F4209" s="3">
        <v>4010203</v>
      </c>
      <c r="G4209" s="1" t="s">
        <v>13</v>
      </c>
      <c r="H4209" s="1" t="b">
        <f t="shared" si="160"/>
        <v>1</v>
      </c>
    </row>
    <row r="4210" spans="1:8" ht="21" x14ac:dyDescent="0.25">
      <c r="A4210" s="2" t="str">
        <f>HYPERLINK("https://rth.dk/resources/bsgatlas/details.php?id=BSGatlas-operon-2206","BSGatlas-operon-2206")</f>
        <v>BSGatlas-operon-2206</v>
      </c>
      <c r="B4210" s="2" t="str">
        <f>HYPERLINK("https://rth.dk/resources/bsgatlas/details.php?id=BSGatlas-gene-4543","BSGatlas-gene-4543")</f>
        <v>BSGatlas-gene-4543</v>
      </c>
      <c r="C4210" s="1" t="s">
        <v>4162</v>
      </c>
      <c r="D4210" s="1" t="s">
        <v>8</v>
      </c>
      <c r="E4210" s="3">
        <v>4010404</v>
      </c>
      <c r="F4210" s="3">
        <v>4011684</v>
      </c>
      <c r="G4210" s="1" t="s">
        <v>9</v>
      </c>
      <c r="H4210" s="1" t="b">
        <f t="shared" si="160"/>
        <v>0</v>
      </c>
    </row>
    <row r="4211" spans="1:8" ht="21" x14ac:dyDescent="0.25">
      <c r="A4211" s="2" t="str">
        <f>HYPERLINK("https://rth.dk/resources/bsgatlas/details.php?id=BSGatlas-operon-2207","BSGatlas-operon-2207")</f>
        <v>BSGatlas-operon-2207</v>
      </c>
      <c r="B4211" s="2" t="str">
        <f>HYPERLINK("https://rth.dk/resources/bsgatlas/details.php?id=BSGatlas-gene-4544","BSGatlas-gene-4544")</f>
        <v>BSGatlas-gene-4544</v>
      </c>
      <c r="C4211" s="1" t="s">
        <v>4163</v>
      </c>
      <c r="D4211" s="1" t="s">
        <v>8</v>
      </c>
      <c r="E4211" s="3">
        <v>4011842</v>
      </c>
      <c r="F4211" s="3">
        <v>4012570</v>
      </c>
      <c r="G4211" s="1" t="s">
        <v>13</v>
      </c>
      <c r="H4211" s="1" t="b">
        <f t="shared" si="160"/>
        <v>1</v>
      </c>
    </row>
    <row r="4212" spans="1:8" ht="21" x14ac:dyDescent="0.25">
      <c r="A4212" s="2" t="str">
        <f>HYPERLINK("https://rth.dk/resources/bsgatlas/details.php?id=BSGatlas-operon-2207","BSGatlas-operon-2207")</f>
        <v>BSGatlas-operon-2207</v>
      </c>
      <c r="B4212" s="2" t="str">
        <f>HYPERLINK("https://rth.dk/resources/bsgatlas/details.php?id=BSGatlas-gene-4545","BSGatlas-gene-4545")</f>
        <v>BSGatlas-gene-4545</v>
      </c>
      <c r="C4212" s="1" t="s">
        <v>4164</v>
      </c>
      <c r="D4212" s="1" t="s">
        <v>8</v>
      </c>
      <c r="E4212" s="3">
        <v>4012866</v>
      </c>
      <c r="F4212" s="3">
        <v>4013699</v>
      </c>
      <c r="G4212" s="1" t="s">
        <v>13</v>
      </c>
      <c r="H4212" s="1" t="b">
        <f t="shared" si="160"/>
        <v>1</v>
      </c>
    </row>
    <row r="4213" spans="1:8" ht="21" x14ac:dyDescent="0.25">
      <c r="A4213" s="2" t="str">
        <f>HYPERLINK("https://rth.dk/resources/bsgatlas/details.php?id=BSGatlas-operon-2207","BSGatlas-operon-2207")</f>
        <v>BSGatlas-operon-2207</v>
      </c>
      <c r="B4213" s="2" t="str">
        <f>HYPERLINK("https://rth.dk/resources/bsgatlas/details.php?id=BSGatlas-gene-4546","BSGatlas-gene-4546")</f>
        <v>BSGatlas-gene-4546</v>
      </c>
      <c r="C4213" s="1" t="s">
        <v>4165</v>
      </c>
      <c r="D4213" s="1" t="s">
        <v>8</v>
      </c>
      <c r="E4213" s="3">
        <v>4013795</v>
      </c>
      <c r="F4213" s="3">
        <v>4014475</v>
      </c>
      <c r="G4213" s="1" t="s">
        <v>13</v>
      </c>
      <c r="H4213" s="1" t="b">
        <f t="shared" si="160"/>
        <v>1</v>
      </c>
    </row>
    <row r="4214" spans="1:8" ht="21" x14ac:dyDescent="0.25">
      <c r="A4214" s="2" t="str">
        <f>HYPERLINK("https://rth.dk/resources/bsgatlas/details.php?id=BSGatlas-operon-2208","BSGatlas-operon-2208")</f>
        <v>BSGatlas-operon-2208</v>
      </c>
      <c r="B4214" s="2" t="str">
        <f>HYPERLINK("https://rth.dk/resources/bsgatlas/details.php?id=BSGatlas-gene-4547","BSGatlas-gene-4547")</f>
        <v>BSGatlas-gene-4547</v>
      </c>
      <c r="C4214" s="1" t="s">
        <v>4166</v>
      </c>
      <c r="D4214" s="1" t="s">
        <v>8</v>
      </c>
      <c r="E4214" s="3">
        <v>4014682</v>
      </c>
      <c r="F4214" s="3">
        <v>4015968</v>
      </c>
      <c r="G4214" s="1" t="s">
        <v>9</v>
      </c>
      <c r="H4214" s="1" t="b">
        <f t="shared" si="160"/>
        <v>0</v>
      </c>
    </row>
    <row r="4215" spans="1:8" ht="21" x14ac:dyDescent="0.25">
      <c r="A4215" s="2" t="str">
        <f>HYPERLINK("https://rth.dk/resources/bsgatlas/details.php?id=BSGatlas-operon-2209","BSGatlas-operon-2209")</f>
        <v>BSGatlas-operon-2209</v>
      </c>
      <c r="B4215" s="2" t="str">
        <f>HYPERLINK("https://rth.dk/resources/bsgatlas/details.php?id=BSGatlas-gene-4548","BSGatlas-gene-4548")</f>
        <v>BSGatlas-gene-4548</v>
      </c>
      <c r="C4215" s="1" t="s">
        <v>4167</v>
      </c>
      <c r="D4215" s="1" t="s">
        <v>8</v>
      </c>
      <c r="E4215" s="3">
        <v>4015987</v>
      </c>
      <c r="F4215" s="3">
        <v>4017426</v>
      </c>
      <c r="G4215" s="1" t="s">
        <v>13</v>
      </c>
      <c r="H4215" s="1" t="b">
        <f t="shared" si="160"/>
        <v>1</v>
      </c>
    </row>
    <row r="4216" spans="1:8" ht="21" x14ac:dyDescent="0.25">
      <c r="A4216" s="2" t="str">
        <f>HYPERLINK("https://rth.dk/resources/bsgatlas/details.php?id=BSGatlas-operon-2209","BSGatlas-operon-2209")</f>
        <v>BSGatlas-operon-2209</v>
      </c>
      <c r="B4216" s="2" t="str">
        <f>HYPERLINK("https://rth.dk/resources/bsgatlas/details.php?id=BSGatlas-gene-4549","BSGatlas-gene-4549")</f>
        <v>BSGatlas-gene-4549</v>
      </c>
      <c r="C4216" s="1" t="s">
        <v>4168</v>
      </c>
      <c r="D4216" s="1" t="s">
        <v>8</v>
      </c>
      <c r="E4216" s="3">
        <v>4017508</v>
      </c>
      <c r="F4216" s="3">
        <v>4018656</v>
      </c>
      <c r="G4216" s="1" t="s">
        <v>13</v>
      </c>
      <c r="H4216" s="1" t="b">
        <f t="shared" si="160"/>
        <v>1</v>
      </c>
    </row>
    <row r="4217" spans="1:8" ht="21" x14ac:dyDescent="0.25">
      <c r="A4217" s="2" t="str">
        <f>HYPERLINK("https://rth.dk/resources/bsgatlas/details.php?id=BSGatlas-operon-2210","BSGatlas-operon-2210")</f>
        <v>BSGatlas-operon-2210</v>
      </c>
      <c r="B4217" s="2" t="str">
        <f>HYPERLINK("https://rth.dk/resources/bsgatlas/details.php?id=BSGatlas-gene-4560","BSGatlas-gene-4560")</f>
        <v>BSGatlas-gene-4560</v>
      </c>
      <c r="C4217" s="1" t="s">
        <v>4169</v>
      </c>
      <c r="D4217" s="1" t="s">
        <v>8</v>
      </c>
      <c r="E4217" s="3">
        <v>4023054</v>
      </c>
      <c r="F4217" s="3">
        <v>4023482</v>
      </c>
      <c r="G4217" s="1" t="s">
        <v>13</v>
      </c>
      <c r="H4217" s="1" t="b">
        <f t="shared" si="160"/>
        <v>0</v>
      </c>
    </row>
    <row r="4218" spans="1:8" ht="21" x14ac:dyDescent="0.25">
      <c r="A4218" s="2" t="str">
        <f>HYPERLINK("https://rth.dk/resources/bsgatlas/details.php?id=BSGatlas-operon-2210","BSGatlas-operon-2210")</f>
        <v>BSGatlas-operon-2210</v>
      </c>
      <c r="B4218" s="2" t="str">
        <f>HYPERLINK("https://rth.dk/resources/bsgatlas/details.php?id=BSGatlas-gene-4561","BSGatlas-gene-4561")</f>
        <v>BSGatlas-gene-4561</v>
      </c>
      <c r="C4218" s="1" t="s">
        <v>4170</v>
      </c>
      <c r="D4218" s="1" t="s">
        <v>8</v>
      </c>
      <c r="E4218" s="3">
        <v>4023544</v>
      </c>
      <c r="F4218" s="3">
        <v>4030548</v>
      </c>
      <c r="G4218" s="1" t="s">
        <v>13</v>
      </c>
      <c r="H4218" s="1" t="b">
        <f t="shared" si="160"/>
        <v>0</v>
      </c>
    </row>
    <row r="4219" spans="1:8" ht="21" x14ac:dyDescent="0.25">
      <c r="A4219" s="2" t="str">
        <f>HYPERLINK("https://rth.dk/resources/bsgatlas/details.php?id=BSGatlas-operon-2211","BSGatlas-operon-2211")</f>
        <v>BSGatlas-operon-2211</v>
      </c>
      <c r="B4219" s="2" t="str">
        <f>HYPERLINK("https://rth.dk/resources/bsgatlas/details.php?id=BSGatlas-gene-4562","BSGatlas-gene-4562")</f>
        <v>BSGatlas-gene-4562</v>
      </c>
      <c r="C4219" s="1" t="s">
        <v>4171</v>
      </c>
      <c r="D4219" s="1" t="s">
        <v>8</v>
      </c>
      <c r="E4219" s="3">
        <v>4030710</v>
      </c>
      <c r="F4219" s="3">
        <v>4031645</v>
      </c>
      <c r="G4219" s="1" t="s">
        <v>13</v>
      </c>
      <c r="H4219" s="1" t="b">
        <f t="shared" si="160"/>
        <v>1</v>
      </c>
    </row>
    <row r="4220" spans="1:8" ht="21" x14ac:dyDescent="0.25">
      <c r="A4220" s="2" t="str">
        <f>HYPERLINK("https://rth.dk/resources/bsgatlas/details.php?id=BSGatlas-operon-2212","BSGatlas-operon-2212")</f>
        <v>BSGatlas-operon-2212</v>
      </c>
      <c r="B4220" s="2" t="str">
        <f>HYPERLINK("https://rth.dk/resources/bsgatlas/details.php?id=BSGatlas-gene-4563","BSGatlas-gene-4563")</f>
        <v>BSGatlas-gene-4563</v>
      </c>
      <c r="C4220" s="1" t="s">
        <v>4172</v>
      </c>
      <c r="D4220" s="1" t="s">
        <v>8</v>
      </c>
      <c r="E4220" s="3">
        <v>4031797</v>
      </c>
      <c r="F4220" s="3">
        <v>4032243</v>
      </c>
      <c r="G4220" s="1" t="s">
        <v>13</v>
      </c>
      <c r="H4220" s="1" t="b">
        <f t="shared" si="160"/>
        <v>0</v>
      </c>
    </row>
    <row r="4221" spans="1:8" ht="21" x14ac:dyDescent="0.25">
      <c r="A4221" s="2" t="str">
        <f>HYPERLINK("https://rth.dk/resources/bsgatlas/details.php?id=BSGatlas-operon-2212","BSGatlas-operon-2212")</f>
        <v>BSGatlas-operon-2212</v>
      </c>
      <c r="B4221" s="2" t="str">
        <f>HYPERLINK("https://rth.dk/resources/bsgatlas/details.php?id=BSGatlas-gene-4564","BSGatlas-gene-4564")</f>
        <v>BSGatlas-gene-4564</v>
      </c>
      <c r="C4221" s="1" t="s">
        <v>4173</v>
      </c>
      <c r="D4221" s="1" t="s">
        <v>8</v>
      </c>
      <c r="E4221" s="3">
        <v>4032346</v>
      </c>
      <c r="F4221" s="3">
        <v>4033755</v>
      </c>
      <c r="G4221" s="1" t="s">
        <v>13</v>
      </c>
      <c r="H4221" s="1" t="b">
        <f t="shared" si="160"/>
        <v>0</v>
      </c>
    </row>
    <row r="4222" spans="1:8" ht="21" x14ac:dyDescent="0.25">
      <c r="A4222" s="2" t="str">
        <f>HYPERLINK("https://rth.dk/resources/bsgatlas/details.php?id=BSGatlas-operon-2212","BSGatlas-operon-2212")</f>
        <v>BSGatlas-operon-2212</v>
      </c>
      <c r="B4222" s="2" t="str">
        <f>HYPERLINK("https://rth.dk/resources/bsgatlas/details.php?id=BSGatlas-gene-4565","BSGatlas-gene-4565")</f>
        <v>BSGatlas-gene-4565</v>
      </c>
      <c r="C4222" s="1" t="s">
        <v>4174</v>
      </c>
      <c r="D4222" s="1" t="s">
        <v>8</v>
      </c>
      <c r="E4222" s="3">
        <v>4033778</v>
      </c>
      <c r="F4222" s="3">
        <v>4035607</v>
      </c>
      <c r="G4222" s="1" t="s">
        <v>13</v>
      </c>
      <c r="H4222" s="1" t="b">
        <f t="shared" si="160"/>
        <v>0</v>
      </c>
    </row>
    <row r="4223" spans="1:8" ht="21" x14ac:dyDescent="0.25">
      <c r="A4223" s="2" t="str">
        <f>HYPERLINK("https://rth.dk/resources/bsgatlas/details.php?id=BSGatlas-operon-2213","BSGatlas-operon-2213")</f>
        <v>BSGatlas-operon-2213</v>
      </c>
      <c r="B4223" s="2" t="str">
        <f>HYPERLINK("https://rth.dk/resources/bsgatlas/details.php?id=BSGatlas-gene-4566","BSGatlas-gene-4566")</f>
        <v>BSGatlas-gene-4566</v>
      </c>
      <c r="C4223" s="1" t="s">
        <v>4175</v>
      </c>
      <c r="D4223" s="1" t="s">
        <v>34</v>
      </c>
      <c r="E4223" s="3">
        <v>4035708</v>
      </c>
      <c r="F4223" s="3">
        <v>4035816</v>
      </c>
      <c r="G4223" s="1" t="s">
        <v>13</v>
      </c>
      <c r="H4223" s="1" t="b">
        <f t="shared" si="160"/>
        <v>1</v>
      </c>
    </row>
    <row r="4224" spans="1:8" ht="21" x14ac:dyDescent="0.25">
      <c r="A4224" s="2" t="str">
        <f>HYPERLINK("https://rth.dk/resources/bsgatlas/details.php?id=BSGatlas-operon-2214","BSGatlas-operon-2214")</f>
        <v>BSGatlas-operon-2214</v>
      </c>
      <c r="B4224" s="2" t="str">
        <f>HYPERLINK("https://rth.dk/resources/bsgatlas/details.php?id=BSGatlas-gene-4567","BSGatlas-gene-4567")</f>
        <v>BSGatlas-gene-4567</v>
      </c>
      <c r="C4224" s="1" t="s">
        <v>4176</v>
      </c>
      <c r="D4224" s="1" t="s">
        <v>8</v>
      </c>
      <c r="E4224" s="3">
        <v>4035990</v>
      </c>
      <c r="F4224" s="3">
        <v>4036298</v>
      </c>
      <c r="G4224" s="1" t="s">
        <v>13</v>
      </c>
      <c r="H4224" s="1" t="b">
        <f t="shared" si="160"/>
        <v>0</v>
      </c>
    </row>
    <row r="4225" spans="1:8" ht="21" x14ac:dyDescent="0.25">
      <c r="A4225" s="2" t="str">
        <f>HYPERLINK("https://rth.dk/resources/bsgatlas/details.php?id=BSGatlas-operon-2214","BSGatlas-operon-2214")</f>
        <v>BSGatlas-operon-2214</v>
      </c>
      <c r="B4225" s="2" t="str">
        <f>HYPERLINK("https://rth.dk/resources/bsgatlas/details.php?id=BSGatlas-gene-4568","BSGatlas-gene-4568")</f>
        <v>BSGatlas-gene-4568</v>
      </c>
      <c r="C4225" s="1" t="s">
        <v>4177</v>
      </c>
      <c r="D4225" s="1" t="s">
        <v>8</v>
      </c>
      <c r="E4225" s="3">
        <v>4036344</v>
      </c>
      <c r="F4225" s="3">
        <v>4036787</v>
      </c>
      <c r="G4225" s="1" t="s">
        <v>13</v>
      </c>
      <c r="H4225" s="1" t="b">
        <f t="shared" si="160"/>
        <v>0</v>
      </c>
    </row>
    <row r="4226" spans="1:8" ht="21" x14ac:dyDescent="0.25">
      <c r="A4226" s="2" t="str">
        <f>HYPERLINK("https://rth.dk/resources/bsgatlas/details.php?id=BSGatlas-operon-2214","BSGatlas-operon-2214")</f>
        <v>BSGatlas-operon-2214</v>
      </c>
      <c r="B4226" s="2" t="str">
        <f>HYPERLINK("https://rth.dk/resources/bsgatlas/details.php?id=BSGatlas-gene-4569","BSGatlas-gene-4569")</f>
        <v>BSGatlas-gene-4569</v>
      </c>
      <c r="C4226" s="1" t="s">
        <v>4178</v>
      </c>
      <c r="D4226" s="1" t="s">
        <v>8</v>
      </c>
      <c r="E4226" s="3">
        <v>4036784</v>
      </c>
      <c r="F4226" s="3">
        <v>4038493</v>
      </c>
      <c r="G4226" s="1" t="s">
        <v>13</v>
      </c>
      <c r="H4226" s="1" t="b">
        <f t="shared" ref="H4226:H4289" si="162">_xlfn.XOR(A4225&lt;&gt;A4226,H4225)</f>
        <v>0</v>
      </c>
    </row>
    <row r="4227" spans="1:8" ht="21" x14ac:dyDescent="0.25">
      <c r="A4227" s="2" t="str">
        <f>HYPERLINK("https://rth.dk/resources/bsgatlas/details.php?id=BSGatlas-operon-2214","BSGatlas-operon-2214")</f>
        <v>BSGatlas-operon-2214</v>
      </c>
      <c r="B4227" s="2" t="str">
        <f>HYPERLINK("https://rth.dk/resources/bsgatlas/details.php?id=BSGatlas-gene-4570","BSGatlas-gene-4570")</f>
        <v>BSGatlas-gene-4570</v>
      </c>
      <c r="C4227" s="1" t="s">
        <v>4179</v>
      </c>
      <c r="D4227" s="1" t="s">
        <v>8</v>
      </c>
      <c r="E4227" s="3">
        <v>4038513</v>
      </c>
      <c r="F4227" s="3">
        <v>4038782</v>
      </c>
      <c r="G4227" s="1" t="s">
        <v>13</v>
      </c>
      <c r="H4227" s="1" t="b">
        <f t="shared" si="162"/>
        <v>0</v>
      </c>
    </row>
    <row r="4228" spans="1:8" ht="21" x14ac:dyDescent="0.25">
      <c r="A4228" s="2" t="str">
        <f>HYPERLINK("https://rth.dk/resources/bsgatlas/details.php?id=BSGatlas-operon-2214","BSGatlas-operon-2214")</f>
        <v>BSGatlas-operon-2214</v>
      </c>
      <c r="B4228" s="2" t="str">
        <f>HYPERLINK("https://rth.dk/resources/bsgatlas/details.php?id=BSGatlas-gene-4571","BSGatlas-gene-4571")</f>
        <v>BSGatlas-gene-4571</v>
      </c>
      <c r="C4228" s="1" t="s">
        <v>4180</v>
      </c>
      <c r="D4228" s="1" t="s">
        <v>8</v>
      </c>
      <c r="E4228" s="3">
        <v>4038794</v>
      </c>
      <c r="F4228" s="3">
        <v>4039159</v>
      </c>
      <c r="G4228" s="1" t="s">
        <v>13</v>
      </c>
      <c r="H4228" s="1" t="b">
        <f t="shared" si="162"/>
        <v>0</v>
      </c>
    </row>
    <row r="4229" spans="1:8" ht="21" x14ac:dyDescent="0.25">
      <c r="A4229" s="2" t="str">
        <f>HYPERLINK("https://rth.dk/resources/bsgatlas/details.php?id=BSGatlas-operon-2215","BSGatlas-operon-2215")</f>
        <v>BSGatlas-operon-2215</v>
      </c>
      <c r="B4229" s="2" t="str">
        <f>HYPERLINK("https://rth.dk/resources/bsgatlas/details.php?id=BSGatlas-gene-4572","BSGatlas-gene-4572")</f>
        <v>BSGatlas-gene-4572</v>
      </c>
      <c r="C4229" s="1" t="s">
        <v>4181</v>
      </c>
      <c r="D4229" s="1" t="s">
        <v>8</v>
      </c>
      <c r="E4229" s="3">
        <v>4039466</v>
      </c>
      <c r="F4229" s="3">
        <v>4040875</v>
      </c>
      <c r="G4229" s="1" t="s">
        <v>13</v>
      </c>
      <c r="H4229" s="1" t="b">
        <f t="shared" si="162"/>
        <v>1</v>
      </c>
    </row>
    <row r="4230" spans="1:8" ht="21" x14ac:dyDescent="0.25">
      <c r="A4230" s="2" t="str">
        <f>HYPERLINK("https://rth.dk/resources/bsgatlas/details.php?id=BSGatlas-operon-2216","BSGatlas-operon-2216")</f>
        <v>BSGatlas-operon-2216</v>
      </c>
      <c r="B4230" s="2" t="str">
        <f>HYPERLINK("https://rth.dk/resources/bsgatlas/details.php?id=BSGatlas-gene-4573","BSGatlas-gene-4573")</f>
        <v>BSGatlas-gene-4573</v>
      </c>
      <c r="C4230" s="1" t="s">
        <v>4182</v>
      </c>
      <c r="D4230" s="1" t="s">
        <v>8</v>
      </c>
      <c r="E4230" s="3">
        <v>4041009</v>
      </c>
      <c r="F4230" s="3">
        <v>4041173</v>
      </c>
      <c r="G4230" s="1" t="s">
        <v>13</v>
      </c>
      <c r="H4230" s="1" t="b">
        <f t="shared" si="162"/>
        <v>0</v>
      </c>
    </row>
    <row r="4231" spans="1:8" ht="21" x14ac:dyDescent="0.25">
      <c r="A4231" s="2" t="str">
        <f t="shared" ref="A4231:A4236" si="163">HYPERLINK("https://rth.dk/resources/bsgatlas/details.php?id=BSGatlas-operon-2217","BSGatlas-operon-2217")</f>
        <v>BSGatlas-operon-2217</v>
      </c>
      <c r="B4231" s="2" t="str">
        <f>HYPERLINK("https://rth.dk/resources/bsgatlas/details.php?id=BSGatlas-gene-4574","BSGatlas-gene-4574")</f>
        <v>BSGatlas-gene-4574</v>
      </c>
      <c r="C4231" s="1" t="s">
        <v>4183</v>
      </c>
      <c r="D4231" s="1" t="s">
        <v>8</v>
      </c>
      <c r="E4231" s="3">
        <v>4041492</v>
      </c>
      <c r="F4231" s="3">
        <v>4041938</v>
      </c>
      <c r="G4231" s="1" t="s">
        <v>9</v>
      </c>
      <c r="H4231" s="1" t="b">
        <f t="shared" si="162"/>
        <v>1</v>
      </c>
    </row>
    <row r="4232" spans="1:8" ht="21" x14ac:dyDescent="0.25">
      <c r="A4232" s="2" t="str">
        <f t="shared" si="163"/>
        <v>BSGatlas-operon-2217</v>
      </c>
      <c r="B4232" s="2" t="str">
        <f>HYPERLINK("https://rth.dk/resources/bsgatlas/details.php?id=BSGatlas-gene-4575","BSGatlas-gene-4575")</f>
        <v>BSGatlas-gene-4575</v>
      </c>
      <c r="C4232" s="1" t="s">
        <v>4184</v>
      </c>
      <c r="D4232" s="1" t="s">
        <v>8</v>
      </c>
      <c r="E4232" s="3">
        <v>4042051</v>
      </c>
      <c r="F4232" s="3">
        <v>4043577</v>
      </c>
      <c r="G4232" s="1" t="s">
        <v>9</v>
      </c>
      <c r="H4232" s="1" t="b">
        <f t="shared" si="162"/>
        <v>1</v>
      </c>
    </row>
    <row r="4233" spans="1:8" ht="21" x14ac:dyDescent="0.25">
      <c r="A4233" s="2" t="str">
        <f t="shared" si="163"/>
        <v>BSGatlas-operon-2217</v>
      </c>
      <c r="B4233" s="2" t="str">
        <f>HYPERLINK("https://rth.dk/resources/bsgatlas/details.php?id=BSGatlas-gene-4576","BSGatlas-gene-4576")</f>
        <v>BSGatlas-gene-4576</v>
      </c>
      <c r="C4233" s="1" t="s">
        <v>4185</v>
      </c>
      <c r="D4233" s="1" t="s">
        <v>8</v>
      </c>
      <c r="E4233" s="3">
        <v>4043574</v>
      </c>
      <c r="F4233" s="3">
        <v>4045232</v>
      </c>
      <c r="G4233" s="1" t="s">
        <v>9</v>
      </c>
      <c r="H4233" s="1" t="b">
        <f t="shared" si="162"/>
        <v>1</v>
      </c>
    </row>
    <row r="4234" spans="1:8" ht="21" x14ac:dyDescent="0.25">
      <c r="A4234" s="2" t="str">
        <f t="shared" si="163"/>
        <v>BSGatlas-operon-2217</v>
      </c>
      <c r="B4234" s="2" t="str">
        <f>HYPERLINK("https://rth.dk/resources/bsgatlas/details.php?id=BSGatlas-gene-4577","BSGatlas-gene-4577")</f>
        <v>BSGatlas-gene-4577</v>
      </c>
      <c r="C4234" s="1" t="s">
        <v>4186</v>
      </c>
      <c r="D4234" s="1" t="s">
        <v>8</v>
      </c>
      <c r="E4234" s="3">
        <v>4045245</v>
      </c>
      <c r="F4234" s="3">
        <v>4046510</v>
      </c>
      <c r="G4234" s="1" t="s">
        <v>9</v>
      </c>
      <c r="H4234" s="1" t="b">
        <f t="shared" si="162"/>
        <v>1</v>
      </c>
    </row>
    <row r="4235" spans="1:8" ht="21" x14ac:dyDescent="0.25">
      <c r="A4235" s="2" t="str">
        <f t="shared" si="163"/>
        <v>BSGatlas-operon-2217</v>
      </c>
      <c r="B4235" s="2" t="str">
        <f>HYPERLINK("https://rth.dk/resources/bsgatlas/details.php?id=BSGatlas-gene-4578","BSGatlas-gene-4578")</f>
        <v>BSGatlas-gene-4578</v>
      </c>
      <c r="C4235" s="1" t="s">
        <v>4187</v>
      </c>
      <c r="D4235" s="1" t="s">
        <v>8</v>
      </c>
      <c r="E4235" s="3">
        <v>4046503</v>
      </c>
      <c r="F4235" s="3">
        <v>4047462</v>
      </c>
      <c r="G4235" s="1" t="s">
        <v>9</v>
      </c>
      <c r="H4235" s="1" t="b">
        <f t="shared" si="162"/>
        <v>1</v>
      </c>
    </row>
    <row r="4236" spans="1:8" ht="21" x14ac:dyDescent="0.25">
      <c r="A4236" s="2" t="str">
        <f t="shared" si="163"/>
        <v>BSGatlas-operon-2217</v>
      </c>
      <c r="B4236" s="2" t="str">
        <f>HYPERLINK("https://rth.dk/resources/bsgatlas/details.php?id=BSGatlas-gene-4579","BSGatlas-gene-4579")</f>
        <v>BSGatlas-gene-4579</v>
      </c>
      <c r="C4236" s="1" t="s">
        <v>4188</v>
      </c>
      <c r="D4236" s="1" t="s">
        <v>8</v>
      </c>
      <c r="E4236" s="3">
        <v>4047538</v>
      </c>
      <c r="F4236" s="3">
        <v>4048965</v>
      </c>
      <c r="G4236" s="1" t="s">
        <v>9</v>
      </c>
      <c r="H4236" s="1" t="b">
        <f t="shared" si="162"/>
        <v>1</v>
      </c>
    </row>
    <row r="4237" spans="1:8" ht="21" x14ac:dyDescent="0.25">
      <c r="A4237" s="2" t="str">
        <f>HYPERLINK("https://rth.dk/resources/bsgatlas/details.php?id=BSGatlas-operon-2218","BSGatlas-operon-2218")</f>
        <v>BSGatlas-operon-2218</v>
      </c>
      <c r="B4237" s="2" t="str">
        <f>HYPERLINK("https://rth.dk/resources/bsgatlas/details.php?id=BSGatlas-gene-4580","BSGatlas-gene-4580")</f>
        <v>BSGatlas-gene-4580</v>
      </c>
      <c r="C4237" s="1" t="s">
        <v>4189</v>
      </c>
      <c r="D4237" s="1" t="s">
        <v>8</v>
      </c>
      <c r="E4237" s="3">
        <v>4049009</v>
      </c>
      <c r="F4237" s="3">
        <v>4050310</v>
      </c>
      <c r="G4237" s="1" t="s">
        <v>13</v>
      </c>
      <c r="H4237" s="1" t="b">
        <f t="shared" si="162"/>
        <v>0</v>
      </c>
    </row>
    <row r="4238" spans="1:8" ht="21" x14ac:dyDescent="0.25">
      <c r="A4238" s="2" t="str">
        <f>HYPERLINK("https://rth.dk/resources/bsgatlas/details.php?id=BSGatlas-operon-2218","BSGatlas-operon-2218")</f>
        <v>BSGatlas-operon-2218</v>
      </c>
      <c r="B4238" s="2" t="str">
        <f>HYPERLINK("https://rth.dk/resources/bsgatlas/details.php?id=BSGatlas-gene-4581","BSGatlas-gene-4581")</f>
        <v>BSGatlas-gene-4581</v>
      </c>
      <c r="C4238" s="1" t="s">
        <v>4190</v>
      </c>
      <c r="D4238" s="1" t="s">
        <v>8</v>
      </c>
      <c r="E4238" s="3">
        <v>4050340</v>
      </c>
      <c r="F4238" s="3">
        <v>4051521</v>
      </c>
      <c r="G4238" s="1" t="s">
        <v>13</v>
      </c>
      <c r="H4238" s="1" t="b">
        <f t="shared" si="162"/>
        <v>0</v>
      </c>
    </row>
    <row r="4239" spans="1:8" ht="21" x14ac:dyDescent="0.25">
      <c r="A4239" s="2" t="str">
        <f>HYPERLINK("https://rth.dk/resources/bsgatlas/details.php?id=BSGatlas-operon-2218","BSGatlas-operon-2218")</f>
        <v>BSGatlas-operon-2218</v>
      </c>
      <c r="B4239" s="2" t="str">
        <f>HYPERLINK("https://rth.dk/resources/bsgatlas/details.php?id=BSGatlas-gene-4582","BSGatlas-gene-4582")</f>
        <v>BSGatlas-gene-4582</v>
      </c>
      <c r="C4239" s="1" t="s">
        <v>4191</v>
      </c>
      <c r="D4239" s="1" t="s">
        <v>8</v>
      </c>
      <c r="E4239" s="3">
        <v>4051602</v>
      </c>
      <c r="F4239" s="3">
        <v>4052273</v>
      </c>
      <c r="G4239" s="1" t="s">
        <v>13</v>
      </c>
      <c r="H4239" s="1" t="b">
        <f t="shared" si="162"/>
        <v>0</v>
      </c>
    </row>
    <row r="4240" spans="1:8" ht="21" x14ac:dyDescent="0.25">
      <c r="A4240" s="2" t="str">
        <f>HYPERLINK("https://rth.dk/resources/bsgatlas/details.php?id=BSGatlas-operon-2218","BSGatlas-operon-2218")</f>
        <v>BSGatlas-operon-2218</v>
      </c>
      <c r="B4240" s="2" t="str">
        <f>HYPERLINK("https://rth.dk/resources/bsgatlas/details.php?id=BSGatlas-gene-4583","BSGatlas-gene-4583")</f>
        <v>BSGatlas-gene-4583</v>
      </c>
      <c r="C4240" s="1" t="s">
        <v>4192</v>
      </c>
      <c r="D4240" s="1" t="s">
        <v>8</v>
      </c>
      <c r="E4240" s="3">
        <v>4052379</v>
      </c>
      <c r="F4240" s="3">
        <v>4053320</v>
      </c>
      <c r="G4240" s="1" t="s">
        <v>13</v>
      </c>
      <c r="H4240" s="1" t="b">
        <f t="shared" si="162"/>
        <v>0</v>
      </c>
    </row>
    <row r="4241" spans="1:8" ht="21" x14ac:dyDescent="0.25">
      <c r="A4241" s="2" t="str">
        <f>HYPERLINK("https://rth.dk/resources/bsgatlas/details.php?id=BSGatlas-operon-2219","BSGatlas-operon-2219")</f>
        <v>BSGatlas-operon-2219</v>
      </c>
      <c r="B4241" s="2" t="str">
        <f>HYPERLINK("https://rth.dk/resources/bsgatlas/details.php?id=BSGatlas-gene-4584","BSGatlas-gene-4584")</f>
        <v>BSGatlas-gene-4584</v>
      </c>
      <c r="C4241" s="1" t="s">
        <v>4193</v>
      </c>
      <c r="D4241" s="1" t="s">
        <v>8</v>
      </c>
      <c r="E4241" s="3">
        <v>4053454</v>
      </c>
      <c r="F4241" s="3">
        <v>4054281</v>
      </c>
      <c r="G4241" s="1" t="s">
        <v>13</v>
      </c>
      <c r="H4241" s="1" t="b">
        <f t="shared" si="162"/>
        <v>1</v>
      </c>
    </row>
    <row r="4242" spans="1:8" ht="21" x14ac:dyDescent="0.25">
      <c r="A4242" s="2" t="str">
        <f>HYPERLINK("https://rth.dk/resources/bsgatlas/details.php?id=BSGatlas-operon-2219","BSGatlas-operon-2219")</f>
        <v>BSGatlas-operon-2219</v>
      </c>
      <c r="B4242" s="2" t="str">
        <f>HYPERLINK("https://rth.dk/resources/bsgatlas/details.php?id=BSGatlas-gene-4585","BSGatlas-gene-4585")</f>
        <v>BSGatlas-gene-4585</v>
      </c>
      <c r="C4242" s="1" t="s">
        <v>4194</v>
      </c>
      <c r="D4242" s="1" t="s">
        <v>8</v>
      </c>
      <c r="E4242" s="3">
        <v>4054354</v>
      </c>
      <c r="F4242" s="3">
        <v>4055466</v>
      </c>
      <c r="G4242" s="1" t="s">
        <v>13</v>
      </c>
      <c r="H4242" s="1" t="b">
        <f t="shared" si="162"/>
        <v>1</v>
      </c>
    </row>
    <row r="4243" spans="1:8" ht="21" x14ac:dyDescent="0.25">
      <c r="A4243" s="2" t="str">
        <f t="shared" ref="A4243:A4249" si="164">HYPERLINK("https://rth.dk/resources/bsgatlas/details.php?id=BSGatlas-operon-2220","BSGatlas-operon-2220")</f>
        <v>BSGatlas-operon-2220</v>
      </c>
      <c r="B4243" s="2" t="str">
        <f>HYPERLINK("https://rth.dk/resources/bsgatlas/details.php?id=BSGatlas-gene-4586","BSGatlas-gene-4586")</f>
        <v>BSGatlas-gene-4586</v>
      </c>
      <c r="C4243" s="1" t="s">
        <v>4195</v>
      </c>
      <c r="D4243" s="1" t="s">
        <v>8</v>
      </c>
      <c r="E4243" s="3">
        <v>4055536</v>
      </c>
      <c r="F4243" s="3">
        <v>4056873</v>
      </c>
      <c r="G4243" s="1" t="s">
        <v>13</v>
      </c>
      <c r="H4243" s="1" t="b">
        <f t="shared" si="162"/>
        <v>0</v>
      </c>
    </row>
    <row r="4244" spans="1:8" ht="21" x14ac:dyDescent="0.25">
      <c r="A4244" s="2" t="str">
        <f t="shared" si="164"/>
        <v>BSGatlas-operon-2220</v>
      </c>
      <c r="B4244" s="2" t="str">
        <f>HYPERLINK("https://rth.dk/resources/bsgatlas/details.php?id=BSGatlas-gene-4587","BSGatlas-gene-4587")</f>
        <v>BSGatlas-gene-4587</v>
      </c>
      <c r="C4244" s="1" t="s">
        <v>4196</v>
      </c>
      <c r="D4244" s="1" t="s">
        <v>8</v>
      </c>
      <c r="E4244" s="3">
        <v>4056870</v>
      </c>
      <c r="F4244" s="3">
        <v>4058012</v>
      </c>
      <c r="G4244" s="1" t="s">
        <v>13</v>
      </c>
      <c r="H4244" s="1" t="b">
        <f t="shared" si="162"/>
        <v>0</v>
      </c>
    </row>
    <row r="4245" spans="1:8" ht="21" x14ac:dyDescent="0.25">
      <c r="A4245" s="2" t="str">
        <f t="shared" si="164"/>
        <v>BSGatlas-operon-2220</v>
      </c>
      <c r="B4245" s="2" t="str">
        <f>HYPERLINK("https://rth.dk/resources/bsgatlas/details.php?id=BSGatlas-gene-4588","BSGatlas-gene-4588")</f>
        <v>BSGatlas-gene-4588</v>
      </c>
      <c r="C4245" s="1" t="s">
        <v>4197</v>
      </c>
      <c r="D4245" s="1" t="s">
        <v>8</v>
      </c>
      <c r="E4245" s="3">
        <v>4058029</v>
      </c>
      <c r="F4245" s="3">
        <v>4058778</v>
      </c>
      <c r="G4245" s="1" t="s">
        <v>13</v>
      </c>
      <c r="H4245" s="1" t="b">
        <f t="shared" si="162"/>
        <v>0</v>
      </c>
    </row>
    <row r="4246" spans="1:8" ht="21" x14ac:dyDescent="0.25">
      <c r="A4246" s="2" t="str">
        <f t="shared" si="164"/>
        <v>BSGatlas-operon-2220</v>
      </c>
      <c r="B4246" s="2" t="str">
        <f>HYPERLINK("https://rth.dk/resources/bsgatlas/details.php?id=BSGatlas-gene-4589","BSGatlas-gene-4589")</f>
        <v>BSGatlas-gene-4589</v>
      </c>
      <c r="C4246" s="1" t="s">
        <v>4198</v>
      </c>
      <c r="D4246" s="1" t="s">
        <v>8</v>
      </c>
      <c r="E4246" s="3">
        <v>4058791</v>
      </c>
      <c r="F4246" s="3">
        <v>4059465</v>
      </c>
      <c r="G4246" s="1" t="s">
        <v>13</v>
      </c>
      <c r="H4246" s="1" t="b">
        <f t="shared" si="162"/>
        <v>0</v>
      </c>
    </row>
    <row r="4247" spans="1:8" ht="21" x14ac:dyDescent="0.25">
      <c r="A4247" s="2" t="str">
        <f t="shared" si="164"/>
        <v>BSGatlas-operon-2220</v>
      </c>
      <c r="B4247" s="2" t="str">
        <f>HYPERLINK("https://rth.dk/resources/bsgatlas/details.php?id=BSGatlas-gene-4590","BSGatlas-gene-4590")</f>
        <v>BSGatlas-gene-4590</v>
      </c>
      <c r="C4247" s="1" t="s">
        <v>4199</v>
      </c>
      <c r="D4247" s="1" t="s">
        <v>8</v>
      </c>
      <c r="E4247" s="3">
        <v>4059488</v>
      </c>
      <c r="F4247" s="3">
        <v>4060282</v>
      </c>
      <c r="G4247" s="1" t="s">
        <v>13</v>
      </c>
      <c r="H4247" s="1" t="b">
        <f t="shared" si="162"/>
        <v>0</v>
      </c>
    </row>
    <row r="4248" spans="1:8" ht="21" x14ac:dyDescent="0.25">
      <c r="A4248" s="2" t="str">
        <f t="shared" si="164"/>
        <v>BSGatlas-operon-2220</v>
      </c>
      <c r="B4248" s="2" t="str">
        <f>HYPERLINK("https://rth.dk/resources/bsgatlas/details.php?id=BSGatlas-gene-4591","BSGatlas-gene-4591")</f>
        <v>BSGatlas-gene-4591</v>
      </c>
      <c r="C4248" s="1" t="s">
        <v>4200</v>
      </c>
      <c r="D4248" s="1" t="s">
        <v>8</v>
      </c>
      <c r="E4248" s="3">
        <v>4060307</v>
      </c>
      <c r="F4248" s="3">
        <v>4060804</v>
      </c>
      <c r="G4248" s="1" t="s">
        <v>13</v>
      </c>
      <c r="H4248" s="1" t="b">
        <f t="shared" si="162"/>
        <v>0</v>
      </c>
    </row>
    <row r="4249" spans="1:8" ht="21" x14ac:dyDescent="0.25">
      <c r="A4249" s="2" t="str">
        <f t="shared" si="164"/>
        <v>BSGatlas-operon-2220</v>
      </c>
      <c r="B4249" s="2" t="str">
        <f>HYPERLINK("https://rth.dk/resources/bsgatlas/details.php?id=BSGatlas-gene-4592","BSGatlas-gene-4592")</f>
        <v>BSGatlas-gene-4592</v>
      </c>
      <c r="C4249" s="1" t="s">
        <v>4201</v>
      </c>
      <c r="D4249" s="1" t="s">
        <v>8</v>
      </c>
      <c r="E4249" s="3">
        <v>4060818</v>
      </c>
      <c r="F4249" s="3">
        <v>4062143</v>
      </c>
      <c r="G4249" s="1" t="s">
        <v>13</v>
      </c>
      <c r="H4249" s="1" t="b">
        <f t="shared" si="162"/>
        <v>0</v>
      </c>
    </row>
    <row r="4250" spans="1:8" ht="21" x14ac:dyDescent="0.25">
      <c r="A4250" s="2" t="str">
        <f>HYPERLINK("https://rth.dk/resources/bsgatlas/details.php?id=BSGatlas-operon-2221","BSGatlas-operon-2221")</f>
        <v>BSGatlas-operon-2221</v>
      </c>
      <c r="B4250" s="2" t="str">
        <f>HYPERLINK("https://rth.dk/resources/bsgatlas/details.php?id=BSGatlas-gene-4593","BSGatlas-gene-4593")</f>
        <v>BSGatlas-gene-4593</v>
      </c>
      <c r="C4250" s="1" t="s">
        <v>4202</v>
      </c>
      <c r="D4250" s="1" t="s">
        <v>8</v>
      </c>
      <c r="E4250" s="3">
        <v>4062329</v>
      </c>
      <c r="F4250" s="3">
        <v>4062556</v>
      </c>
      <c r="G4250" s="1" t="s">
        <v>13</v>
      </c>
      <c r="H4250" s="1" t="b">
        <f t="shared" si="162"/>
        <v>1</v>
      </c>
    </row>
    <row r="4251" spans="1:8" ht="21" x14ac:dyDescent="0.25">
      <c r="A4251" s="2" t="str">
        <f>HYPERLINK("https://rth.dk/resources/bsgatlas/details.php?id=BSGatlas-operon-2221","BSGatlas-operon-2221")</f>
        <v>BSGatlas-operon-2221</v>
      </c>
      <c r="B4251" s="2" t="str">
        <f>HYPERLINK("https://rth.dk/resources/bsgatlas/details.php?id=BSGatlas-gene-4594","BSGatlas-gene-4594")</f>
        <v>BSGatlas-gene-4594</v>
      </c>
      <c r="C4251" s="1" t="s">
        <v>4203</v>
      </c>
      <c r="D4251" s="1" t="s">
        <v>8</v>
      </c>
      <c r="E4251" s="3">
        <v>4062543</v>
      </c>
      <c r="F4251" s="3">
        <v>4063529</v>
      </c>
      <c r="G4251" s="1" t="s">
        <v>13</v>
      </c>
      <c r="H4251" s="1" t="b">
        <f t="shared" si="162"/>
        <v>1</v>
      </c>
    </row>
    <row r="4252" spans="1:8" ht="21" x14ac:dyDescent="0.25">
      <c r="A4252" s="2" t="str">
        <f>HYPERLINK("https://rth.dk/resources/bsgatlas/details.php?id=BSGatlas-operon-2222","BSGatlas-operon-2222")</f>
        <v>BSGatlas-operon-2222</v>
      </c>
      <c r="B4252" s="2" t="str">
        <f>HYPERLINK("https://rth.dk/resources/bsgatlas/details.php?id=BSGatlas-gene-4595","BSGatlas-gene-4595")</f>
        <v>BSGatlas-gene-4595</v>
      </c>
      <c r="C4252" s="1" t="s">
        <v>4204</v>
      </c>
      <c r="D4252" s="1" t="s">
        <v>12</v>
      </c>
      <c r="E4252" s="3">
        <v>4062713</v>
      </c>
      <c r="F4252" s="3">
        <v>4063346</v>
      </c>
      <c r="G4252" s="1" t="s">
        <v>9</v>
      </c>
      <c r="H4252" s="1" t="b">
        <f t="shared" si="162"/>
        <v>0</v>
      </c>
    </row>
    <row r="4253" spans="1:8" ht="21" x14ac:dyDescent="0.25">
      <c r="A4253" s="2" t="str">
        <f>HYPERLINK("https://rth.dk/resources/bsgatlas/details.php?id=BSGatlas-operon-2223","BSGatlas-operon-2223")</f>
        <v>BSGatlas-operon-2223</v>
      </c>
      <c r="B4253" s="2" t="str">
        <f>HYPERLINK("https://rth.dk/resources/bsgatlas/details.php?id=BSGatlas-gene-4596","BSGatlas-gene-4596")</f>
        <v>BSGatlas-gene-4596</v>
      </c>
      <c r="C4253" s="1" t="s">
        <v>4205</v>
      </c>
      <c r="D4253" s="1" t="s">
        <v>8</v>
      </c>
      <c r="E4253" s="3">
        <v>4063684</v>
      </c>
      <c r="F4253" s="3">
        <v>4064496</v>
      </c>
      <c r="G4253" s="1" t="s">
        <v>13</v>
      </c>
      <c r="H4253" s="1" t="b">
        <f t="shared" si="162"/>
        <v>1</v>
      </c>
    </row>
    <row r="4254" spans="1:8" ht="21" x14ac:dyDescent="0.25">
      <c r="A4254" s="2" t="str">
        <f>HYPERLINK("https://rth.dk/resources/bsgatlas/details.php?id=BSGatlas-operon-2223","BSGatlas-operon-2223")</f>
        <v>BSGatlas-operon-2223</v>
      </c>
      <c r="B4254" s="2" t="str">
        <f>HYPERLINK("https://rth.dk/resources/bsgatlas/details.php?id=BSGatlas-gene-4597","BSGatlas-gene-4597")</f>
        <v>BSGatlas-gene-4597</v>
      </c>
      <c r="C4254" s="1" t="s">
        <v>4206</v>
      </c>
      <c r="D4254" s="1" t="s">
        <v>8</v>
      </c>
      <c r="E4254" s="3">
        <v>4064536</v>
      </c>
      <c r="F4254" s="3">
        <v>4065093</v>
      </c>
      <c r="G4254" s="1" t="s">
        <v>13</v>
      </c>
      <c r="H4254" s="1" t="b">
        <f t="shared" si="162"/>
        <v>1</v>
      </c>
    </row>
    <row r="4255" spans="1:8" ht="21" x14ac:dyDescent="0.25">
      <c r="A4255" s="2" t="str">
        <f>HYPERLINK("https://rth.dk/resources/bsgatlas/details.php?id=BSGatlas-operon-2223","BSGatlas-operon-2223")</f>
        <v>BSGatlas-operon-2223</v>
      </c>
      <c r="B4255" s="2" t="str">
        <f>HYPERLINK("https://rth.dk/resources/bsgatlas/details.php?id=BSGatlas-gene-4598","BSGatlas-gene-4598")</f>
        <v>BSGatlas-gene-4598</v>
      </c>
      <c r="C4255" s="1" t="s">
        <v>4207</v>
      </c>
      <c r="D4255" s="1" t="s">
        <v>8</v>
      </c>
      <c r="E4255" s="3">
        <v>4065074</v>
      </c>
      <c r="F4255" s="3">
        <v>4065508</v>
      </c>
      <c r="G4255" s="1" t="s">
        <v>13</v>
      </c>
      <c r="H4255" s="1" t="b">
        <f t="shared" si="162"/>
        <v>1</v>
      </c>
    </row>
    <row r="4256" spans="1:8" ht="21" x14ac:dyDescent="0.25">
      <c r="A4256" s="2" t="str">
        <f>HYPERLINK("https://rth.dk/resources/bsgatlas/details.php?id=BSGatlas-operon-2224","BSGatlas-operon-2224")</f>
        <v>BSGatlas-operon-2224</v>
      </c>
      <c r="B4256" s="2" t="str">
        <f>HYPERLINK("https://rth.dk/resources/bsgatlas/details.php?id=BSGatlas-gene-4599","BSGatlas-gene-4599")</f>
        <v>BSGatlas-gene-4599</v>
      </c>
      <c r="C4256" s="1" t="s">
        <v>4208</v>
      </c>
      <c r="D4256" s="1" t="s">
        <v>8</v>
      </c>
      <c r="E4256" s="3">
        <v>4065597</v>
      </c>
      <c r="F4256" s="3">
        <v>4065962</v>
      </c>
      <c r="G4256" s="1" t="s">
        <v>9</v>
      </c>
      <c r="H4256" s="1" t="b">
        <f t="shared" si="162"/>
        <v>0</v>
      </c>
    </row>
    <row r="4257" spans="1:8" ht="21" x14ac:dyDescent="0.25">
      <c r="A4257" s="2" t="str">
        <f>HYPERLINK("https://rth.dk/resources/bsgatlas/details.php?id=BSGatlas-operon-2225","BSGatlas-operon-2225")</f>
        <v>BSGatlas-operon-2225</v>
      </c>
      <c r="B4257" s="2" t="str">
        <f>HYPERLINK("https://rth.dk/resources/bsgatlas/details.php?id=BSGatlas-gene-4600","BSGatlas-gene-4600")</f>
        <v>BSGatlas-gene-4600</v>
      </c>
      <c r="C4257" s="1" t="s">
        <v>4209</v>
      </c>
      <c r="D4257" s="1" t="s">
        <v>8</v>
      </c>
      <c r="E4257" s="3">
        <v>4066210</v>
      </c>
      <c r="F4257" s="3">
        <v>4066563</v>
      </c>
      <c r="G4257" s="1" t="s">
        <v>9</v>
      </c>
      <c r="H4257" s="1" t="b">
        <f t="shared" si="162"/>
        <v>1</v>
      </c>
    </row>
    <row r="4258" spans="1:8" ht="21" x14ac:dyDescent="0.25">
      <c r="A4258" s="2" t="str">
        <f>HYPERLINK("https://rth.dk/resources/bsgatlas/details.php?id=BSGatlas-operon-2226","BSGatlas-operon-2226")</f>
        <v>BSGatlas-operon-2226</v>
      </c>
      <c r="B4258" s="2" t="str">
        <f>HYPERLINK("https://rth.dk/resources/bsgatlas/details.php?id=BSGatlas-gene-4601","BSGatlas-gene-4601")</f>
        <v>BSGatlas-gene-4601</v>
      </c>
      <c r="C4258" s="1" t="s">
        <v>4210</v>
      </c>
      <c r="D4258" s="1" t="s">
        <v>8</v>
      </c>
      <c r="E4258" s="3">
        <v>4066607</v>
      </c>
      <c r="F4258" s="3">
        <v>4067005</v>
      </c>
      <c r="G4258" s="1" t="s">
        <v>13</v>
      </c>
      <c r="H4258" s="1" t="b">
        <f t="shared" si="162"/>
        <v>0</v>
      </c>
    </row>
    <row r="4259" spans="1:8" ht="21" x14ac:dyDescent="0.25">
      <c r="A4259" s="2" t="str">
        <f>HYPERLINK("https://rth.dk/resources/bsgatlas/details.php?id=BSGatlas-operon-2227","BSGatlas-operon-2227")</f>
        <v>BSGatlas-operon-2227</v>
      </c>
      <c r="B4259" s="2" t="str">
        <f>HYPERLINK("https://rth.dk/resources/bsgatlas/details.php?id=BSGatlas-gene-4602","BSGatlas-gene-4602")</f>
        <v>BSGatlas-gene-4602</v>
      </c>
      <c r="C4259" s="1" t="s">
        <v>4211</v>
      </c>
      <c r="D4259" s="1" t="s">
        <v>8</v>
      </c>
      <c r="E4259" s="3">
        <v>4067183</v>
      </c>
      <c r="F4259" s="3">
        <v>4068148</v>
      </c>
      <c r="G4259" s="1" t="s">
        <v>9</v>
      </c>
      <c r="H4259" s="1" t="b">
        <f t="shared" si="162"/>
        <v>1</v>
      </c>
    </row>
    <row r="4260" spans="1:8" ht="21" x14ac:dyDescent="0.25">
      <c r="A4260" s="2" t="str">
        <f>HYPERLINK("https://rth.dk/resources/bsgatlas/details.php?id=BSGatlas-operon-2228","BSGatlas-operon-2228")</f>
        <v>BSGatlas-operon-2228</v>
      </c>
      <c r="B4260" s="2" t="str">
        <f>HYPERLINK("https://rth.dk/resources/bsgatlas/details.php?id=BSGatlas-gene-4603","BSGatlas-gene-4603")</f>
        <v>BSGatlas-gene-4603</v>
      </c>
      <c r="C4260" s="1" t="s">
        <v>4212</v>
      </c>
      <c r="D4260" s="1" t="s">
        <v>8</v>
      </c>
      <c r="E4260" s="3">
        <v>4068189</v>
      </c>
      <c r="F4260" s="3">
        <v>4068536</v>
      </c>
      <c r="G4260" s="1" t="s">
        <v>13</v>
      </c>
      <c r="H4260" s="1" t="b">
        <f t="shared" si="162"/>
        <v>0</v>
      </c>
    </row>
    <row r="4261" spans="1:8" ht="21" x14ac:dyDescent="0.25">
      <c r="A4261" s="2" t="str">
        <f>HYPERLINK("https://rth.dk/resources/bsgatlas/details.php?id=BSGatlas-operon-2228","BSGatlas-operon-2228")</f>
        <v>BSGatlas-operon-2228</v>
      </c>
      <c r="B4261" s="2" t="str">
        <f>HYPERLINK("https://rth.dk/resources/bsgatlas/details.php?id=BSGatlas-gene-4604","BSGatlas-gene-4604")</f>
        <v>BSGatlas-gene-4604</v>
      </c>
      <c r="C4261" s="1" t="s">
        <v>4213</v>
      </c>
      <c r="D4261" s="1" t="s">
        <v>8</v>
      </c>
      <c r="E4261" s="3">
        <v>4068550</v>
      </c>
      <c r="F4261" s="3">
        <v>4070418</v>
      </c>
      <c r="G4261" s="1" t="s">
        <v>13</v>
      </c>
      <c r="H4261" s="1" t="b">
        <f t="shared" si="162"/>
        <v>0</v>
      </c>
    </row>
    <row r="4262" spans="1:8" ht="21" x14ac:dyDescent="0.25">
      <c r="A4262" s="2" t="str">
        <f>HYPERLINK("https://rth.dk/resources/bsgatlas/details.php?id=BSGatlas-operon-2228","BSGatlas-operon-2228")</f>
        <v>BSGatlas-operon-2228</v>
      </c>
      <c r="B4262" s="2" t="str">
        <f>HYPERLINK("https://rth.dk/resources/bsgatlas/details.php?id=BSGatlas-gene-4605","BSGatlas-gene-4605")</f>
        <v>BSGatlas-gene-4605</v>
      </c>
      <c r="C4262" s="1" t="s">
        <v>4214</v>
      </c>
      <c r="D4262" s="1" t="s">
        <v>8</v>
      </c>
      <c r="E4262" s="3">
        <v>4070393</v>
      </c>
      <c r="F4262" s="3">
        <v>4071166</v>
      </c>
      <c r="G4262" s="1" t="s">
        <v>13</v>
      </c>
      <c r="H4262" s="1" t="b">
        <f t="shared" si="162"/>
        <v>0</v>
      </c>
    </row>
    <row r="4263" spans="1:8" ht="21" x14ac:dyDescent="0.25">
      <c r="A4263" s="2" t="str">
        <f>HYPERLINK("https://rth.dk/resources/bsgatlas/details.php?id=BSGatlas-operon-2229","BSGatlas-operon-2229")</f>
        <v>BSGatlas-operon-2229</v>
      </c>
      <c r="B4263" s="2" t="str">
        <f>HYPERLINK("https://rth.dk/resources/bsgatlas/details.php?id=BSGatlas-gene-4606","BSGatlas-gene-4606")</f>
        <v>BSGatlas-gene-4606</v>
      </c>
      <c r="C4263" s="1" t="s">
        <v>4215</v>
      </c>
      <c r="D4263" s="1" t="s">
        <v>8</v>
      </c>
      <c r="E4263" s="3">
        <v>4071310</v>
      </c>
      <c r="F4263" s="3">
        <v>4072287</v>
      </c>
      <c r="G4263" s="1" t="s">
        <v>13</v>
      </c>
      <c r="H4263" s="1" t="b">
        <f t="shared" si="162"/>
        <v>1</v>
      </c>
    </row>
    <row r="4264" spans="1:8" ht="21" x14ac:dyDescent="0.25">
      <c r="A4264" s="2" t="str">
        <f>HYPERLINK("https://rth.dk/resources/bsgatlas/details.php?id=BSGatlas-operon-2229","BSGatlas-operon-2229")</f>
        <v>BSGatlas-operon-2229</v>
      </c>
      <c r="B4264" s="2" t="str">
        <f>HYPERLINK("https://rth.dk/resources/bsgatlas/details.php?id=BSGatlas-gene-4607","BSGatlas-gene-4607")</f>
        <v>BSGatlas-gene-4607</v>
      </c>
      <c r="C4264" s="1" t="s">
        <v>4216</v>
      </c>
      <c r="D4264" s="1" t="s">
        <v>8</v>
      </c>
      <c r="E4264" s="3">
        <v>4072284</v>
      </c>
      <c r="F4264" s="3">
        <v>4072973</v>
      </c>
      <c r="G4264" s="1" t="s">
        <v>13</v>
      </c>
      <c r="H4264" s="1" t="b">
        <f t="shared" si="162"/>
        <v>1</v>
      </c>
    </row>
    <row r="4265" spans="1:8" ht="21" x14ac:dyDescent="0.25">
      <c r="A4265" s="2" t="str">
        <f t="shared" ref="A4265:A4274" si="165">HYPERLINK("https://rth.dk/resources/bsgatlas/details.php?id=BSGatlas-operon-2230","BSGatlas-operon-2230")</f>
        <v>BSGatlas-operon-2230</v>
      </c>
      <c r="B4265" s="2" t="str">
        <f>HYPERLINK("https://rth.dk/resources/bsgatlas/details.php?id=BSGatlas-gene-4608","BSGatlas-gene-4608")</f>
        <v>BSGatlas-gene-4608</v>
      </c>
      <c r="C4265" s="1" t="s">
        <v>4217</v>
      </c>
      <c r="D4265" s="1" t="s">
        <v>8</v>
      </c>
      <c r="E4265" s="3">
        <v>4073081</v>
      </c>
      <c r="F4265" s="3">
        <v>4073953</v>
      </c>
      <c r="G4265" s="1" t="s">
        <v>13</v>
      </c>
      <c r="H4265" s="1" t="b">
        <f t="shared" si="162"/>
        <v>0</v>
      </c>
    </row>
    <row r="4266" spans="1:8" ht="21" x14ac:dyDescent="0.25">
      <c r="A4266" s="2" t="str">
        <f t="shared" si="165"/>
        <v>BSGatlas-operon-2230</v>
      </c>
      <c r="B4266" s="2" t="str">
        <f>HYPERLINK("https://rth.dk/resources/bsgatlas/details.php?id=BSGatlas-gene-4609","BSGatlas-gene-4609")</f>
        <v>BSGatlas-gene-4609</v>
      </c>
      <c r="C4266" s="1" t="s">
        <v>4218</v>
      </c>
      <c r="D4266" s="1" t="s">
        <v>8</v>
      </c>
      <c r="E4266" s="3">
        <v>4073974</v>
      </c>
      <c r="F4266" s="3">
        <v>4074810</v>
      </c>
      <c r="G4266" s="1" t="s">
        <v>13</v>
      </c>
      <c r="H4266" s="1" t="b">
        <f t="shared" si="162"/>
        <v>0</v>
      </c>
    </row>
    <row r="4267" spans="1:8" ht="21" x14ac:dyDescent="0.25">
      <c r="A4267" s="2" t="str">
        <f t="shared" si="165"/>
        <v>BSGatlas-operon-2230</v>
      </c>
      <c r="B4267" s="2" t="str">
        <f>HYPERLINK("https://rth.dk/resources/bsgatlas/details.php?id=BSGatlas-gene-4610","BSGatlas-gene-4610")</f>
        <v>BSGatlas-gene-4610</v>
      </c>
      <c r="C4267" s="1" t="s">
        <v>4219</v>
      </c>
      <c r="D4267" s="1" t="s">
        <v>8</v>
      </c>
      <c r="E4267" s="3">
        <v>4074896</v>
      </c>
      <c r="F4267" s="3">
        <v>4075765</v>
      </c>
      <c r="G4267" s="1" t="s">
        <v>13</v>
      </c>
      <c r="H4267" s="1" t="b">
        <f t="shared" si="162"/>
        <v>0</v>
      </c>
    </row>
    <row r="4268" spans="1:8" ht="21" x14ac:dyDescent="0.25">
      <c r="A4268" s="2" t="str">
        <f t="shared" si="165"/>
        <v>BSGatlas-operon-2230</v>
      </c>
      <c r="B4268" s="2" t="str">
        <f>HYPERLINK("https://rth.dk/resources/bsgatlas/details.php?id=BSGatlas-gene-4611","BSGatlas-gene-4611")</f>
        <v>BSGatlas-gene-4611</v>
      </c>
      <c r="C4268" s="1" t="s">
        <v>4220</v>
      </c>
      <c r="D4268" s="1" t="s">
        <v>8</v>
      </c>
      <c r="E4268" s="3">
        <v>4075785</v>
      </c>
      <c r="F4268" s="3">
        <v>4076819</v>
      </c>
      <c r="G4268" s="1" t="s">
        <v>13</v>
      </c>
      <c r="H4268" s="1" t="b">
        <f t="shared" si="162"/>
        <v>0</v>
      </c>
    </row>
    <row r="4269" spans="1:8" ht="21" x14ac:dyDescent="0.25">
      <c r="A4269" s="2" t="str">
        <f t="shared" si="165"/>
        <v>BSGatlas-operon-2230</v>
      </c>
      <c r="B4269" s="2" t="str">
        <f>HYPERLINK("https://rth.dk/resources/bsgatlas/details.php?id=BSGatlas-gene-4612","BSGatlas-gene-4612")</f>
        <v>BSGatlas-gene-4612</v>
      </c>
      <c r="C4269" s="1" t="s">
        <v>4221</v>
      </c>
      <c r="D4269" s="1" t="s">
        <v>8</v>
      </c>
      <c r="E4269" s="3">
        <v>4076842</v>
      </c>
      <c r="F4269" s="3">
        <v>4078158</v>
      </c>
      <c r="G4269" s="1" t="s">
        <v>13</v>
      </c>
      <c r="H4269" s="1" t="b">
        <f t="shared" si="162"/>
        <v>0</v>
      </c>
    </row>
    <row r="4270" spans="1:8" ht="21" x14ac:dyDescent="0.25">
      <c r="A4270" s="2" t="str">
        <f t="shared" si="165"/>
        <v>BSGatlas-operon-2230</v>
      </c>
      <c r="B4270" s="2" t="str">
        <f>HYPERLINK("https://rth.dk/resources/bsgatlas/details.php?id=BSGatlas-gene-4613","BSGatlas-gene-4613")</f>
        <v>BSGatlas-gene-4613</v>
      </c>
      <c r="C4270" s="1" t="s">
        <v>4222</v>
      </c>
      <c r="D4270" s="1" t="s">
        <v>8</v>
      </c>
      <c r="E4270" s="3">
        <v>4078173</v>
      </c>
      <c r="F4270" s="3">
        <v>4079066</v>
      </c>
      <c r="G4270" s="1" t="s">
        <v>13</v>
      </c>
      <c r="H4270" s="1" t="b">
        <f t="shared" si="162"/>
        <v>0</v>
      </c>
    </row>
    <row r="4271" spans="1:8" ht="21" x14ac:dyDescent="0.25">
      <c r="A4271" s="2" t="str">
        <f t="shared" si="165"/>
        <v>BSGatlas-operon-2230</v>
      </c>
      <c r="B4271" s="2" t="str">
        <f>HYPERLINK("https://rth.dk/resources/bsgatlas/details.php?id=BSGatlas-gene-4614","BSGatlas-gene-4614")</f>
        <v>BSGatlas-gene-4614</v>
      </c>
      <c r="C4271" s="1" t="s">
        <v>4223</v>
      </c>
      <c r="D4271" s="1" t="s">
        <v>8</v>
      </c>
      <c r="E4271" s="3">
        <v>4079083</v>
      </c>
      <c r="F4271" s="3">
        <v>4080996</v>
      </c>
      <c r="G4271" s="1" t="s">
        <v>13</v>
      </c>
      <c r="H4271" s="1" t="b">
        <f t="shared" si="162"/>
        <v>0</v>
      </c>
    </row>
    <row r="4272" spans="1:8" ht="21" x14ac:dyDescent="0.25">
      <c r="A4272" s="2" t="str">
        <f t="shared" si="165"/>
        <v>BSGatlas-operon-2230</v>
      </c>
      <c r="B4272" s="2" t="str">
        <f>HYPERLINK("https://rth.dk/resources/bsgatlas/details.php?id=BSGatlas-gene-4615","BSGatlas-gene-4615")</f>
        <v>BSGatlas-gene-4615</v>
      </c>
      <c r="C4272" s="1" t="s">
        <v>4224</v>
      </c>
      <c r="D4272" s="1" t="s">
        <v>8</v>
      </c>
      <c r="E4272" s="3">
        <v>4081029</v>
      </c>
      <c r="F4272" s="3">
        <v>4082006</v>
      </c>
      <c r="G4272" s="1" t="s">
        <v>13</v>
      </c>
      <c r="H4272" s="1" t="b">
        <f t="shared" si="162"/>
        <v>0</v>
      </c>
    </row>
    <row r="4273" spans="1:8" ht="21" x14ac:dyDescent="0.25">
      <c r="A4273" s="2" t="str">
        <f t="shared" si="165"/>
        <v>BSGatlas-operon-2230</v>
      </c>
      <c r="B4273" s="2" t="str">
        <f>HYPERLINK("https://rth.dk/resources/bsgatlas/details.php?id=BSGatlas-gene-4616","BSGatlas-gene-4616")</f>
        <v>BSGatlas-gene-4616</v>
      </c>
      <c r="C4273" s="1" t="s">
        <v>4225</v>
      </c>
      <c r="D4273" s="1" t="s">
        <v>8</v>
      </c>
      <c r="E4273" s="3">
        <v>4082030</v>
      </c>
      <c r="F4273" s="3">
        <v>4082845</v>
      </c>
      <c r="G4273" s="1" t="s">
        <v>13</v>
      </c>
      <c r="H4273" s="1" t="b">
        <f t="shared" si="162"/>
        <v>0</v>
      </c>
    </row>
    <row r="4274" spans="1:8" ht="21" x14ac:dyDescent="0.25">
      <c r="A4274" s="2" t="str">
        <f t="shared" si="165"/>
        <v>BSGatlas-operon-2230</v>
      </c>
      <c r="B4274" s="2" t="str">
        <f>HYPERLINK("https://rth.dk/resources/bsgatlas/details.php?id=BSGatlas-gene-4617","BSGatlas-gene-4617")</f>
        <v>BSGatlas-gene-4617</v>
      </c>
      <c r="C4274" s="1" t="s">
        <v>4226</v>
      </c>
      <c r="D4274" s="1" t="s">
        <v>8</v>
      </c>
      <c r="E4274" s="3">
        <v>4082920</v>
      </c>
      <c r="F4274" s="3">
        <v>4084383</v>
      </c>
      <c r="G4274" s="1" t="s">
        <v>13</v>
      </c>
      <c r="H4274" s="1" t="b">
        <f t="shared" si="162"/>
        <v>0</v>
      </c>
    </row>
    <row r="4275" spans="1:8" ht="21" x14ac:dyDescent="0.25">
      <c r="A4275" s="2" t="str">
        <f>HYPERLINK("https://rth.dk/resources/bsgatlas/details.php?id=BSGatlas-operon-2231","BSGatlas-operon-2231")</f>
        <v>BSGatlas-operon-2231</v>
      </c>
      <c r="B4275" s="2" t="str">
        <f>HYPERLINK("https://rth.dk/resources/bsgatlas/details.php?id=BSGatlas-gene-4618","BSGatlas-gene-4618")</f>
        <v>BSGatlas-gene-4618</v>
      </c>
      <c r="C4275" s="1" t="s">
        <v>4227</v>
      </c>
      <c r="D4275" s="1" t="s">
        <v>8</v>
      </c>
      <c r="E4275" s="3">
        <v>4084799</v>
      </c>
      <c r="F4275" s="3">
        <v>4085554</v>
      </c>
      <c r="G4275" s="1" t="s">
        <v>9</v>
      </c>
      <c r="H4275" s="1" t="b">
        <f t="shared" si="162"/>
        <v>1</v>
      </c>
    </row>
    <row r="4276" spans="1:8" ht="21" x14ac:dyDescent="0.25">
      <c r="A4276" s="2" t="str">
        <f>HYPERLINK("https://rth.dk/resources/bsgatlas/details.php?id=BSGatlas-operon-2231","BSGatlas-operon-2231")</f>
        <v>BSGatlas-operon-2231</v>
      </c>
      <c r="B4276" s="2" t="str">
        <f>HYPERLINK("https://rth.dk/resources/bsgatlas/details.php?id=BSGatlas-gene-4619","BSGatlas-gene-4619")</f>
        <v>BSGatlas-gene-4619</v>
      </c>
      <c r="C4276" s="1" t="s">
        <v>4228</v>
      </c>
      <c r="D4276" s="1" t="s">
        <v>8</v>
      </c>
      <c r="E4276" s="3">
        <v>4085608</v>
      </c>
      <c r="F4276" s="3">
        <v>4086540</v>
      </c>
      <c r="G4276" s="1" t="s">
        <v>9</v>
      </c>
      <c r="H4276" s="1" t="b">
        <f t="shared" si="162"/>
        <v>1</v>
      </c>
    </row>
    <row r="4277" spans="1:8" ht="21" x14ac:dyDescent="0.25">
      <c r="A4277" s="2" t="str">
        <f>HYPERLINK("https://rth.dk/resources/bsgatlas/details.php?id=BSGatlas-operon-2232","BSGatlas-operon-2232")</f>
        <v>BSGatlas-operon-2232</v>
      </c>
      <c r="B4277" s="2" t="str">
        <f>HYPERLINK("https://rth.dk/resources/bsgatlas/details.php?id=BSGatlas-gene-4620","BSGatlas-gene-4620")</f>
        <v>BSGatlas-gene-4620</v>
      </c>
      <c r="C4277" s="1" t="s">
        <v>4229</v>
      </c>
      <c r="D4277" s="1" t="s">
        <v>8</v>
      </c>
      <c r="E4277" s="3">
        <v>4086802</v>
      </c>
      <c r="F4277" s="3">
        <v>4087452</v>
      </c>
      <c r="G4277" s="1" t="s">
        <v>9</v>
      </c>
      <c r="H4277" s="1" t="b">
        <f t="shared" si="162"/>
        <v>0</v>
      </c>
    </row>
    <row r="4278" spans="1:8" ht="21" x14ac:dyDescent="0.25">
      <c r="A4278" s="2" t="str">
        <f>HYPERLINK("https://rth.dk/resources/bsgatlas/details.php?id=BSGatlas-operon-2232","BSGatlas-operon-2232")</f>
        <v>BSGatlas-operon-2232</v>
      </c>
      <c r="B4278" s="2" t="str">
        <f>HYPERLINK("https://rth.dk/resources/bsgatlas/details.php?id=BSGatlas-gene-4621","BSGatlas-gene-4621")</f>
        <v>BSGatlas-gene-4621</v>
      </c>
      <c r="C4278" s="1" t="s">
        <v>4230</v>
      </c>
      <c r="D4278" s="1" t="s">
        <v>8</v>
      </c>
      <c r="E4278" s="3">
        <v>4087456</v>
      </c>
      <c r="F4278" s="3">
        <v>4087764</v>
      </c>
      <c r="G4278" s="1" t="s">
        <v>9</v>
      </c>
      <c r="H4278" s="1" t="b">
        <f t="shared" si="162"/>
        <v>0</v>
      </c>
    </row>
    <row r="4279" spans="1:8" ht="21" x14ac:dyDescent="0.25">
      <c r="A4279" s="2" t="str">
        <f>HYPERLINK("https://rth.dk/resources/bsgatlas/details.php?id=BSGatlas-operon-2233","BSGatlas-operon-2233")</f>
        <v>BSGatlas-operon-2233</v>
      </c>
      <c r="B4279" s="2" t="str">
        <f>HYPERLINK("https://rth.dk/resources/bsgatlas/details.php?id=BSGatlas-gene-4622","BSGatlas-gene-4622")</f>
        <v>BSGatlas-gene-4622</v>
      </c>
      <c r="C4279" s="1" t="s">
        <v>4231</v>
      </c>
      <c r="D4279" s="1" t="s">
        <v>8</v>
      </c>
      <c r="E4279" s="3">
        <v>4088002</v>
      </c>
      <c r="F4279" s="3">
        <v>4089387</v>
      </c>
      <c r="G4279" s="1" t="s">
        <v>9</v>
      </c>
      <c r="H4279" s="1" t="b">
        <f t="shared" si="162"/>
        <v>1</v>
      </c>
    </row>
    <row r="4280" spans="1:8" ht="21" x14ac:dyDescent="0.25">
      <c r="A4280" s="2" t="str">
        <f>HYPERLINK("https://rth.dk/resources/bsgatlas/details.php?id=BSGatlas-operon-2234","BSGatlas-operon-2234")</f>
        <v>BSGatlas-operon-2234</v>
      </c>
      <c r="B4280" s="2" t="str">
        <f>HYPERLINK("https://rth.dk/resources/bsgatlas/details.php?id=BSGatlas-gene-4623","BSGatlas-gene-4623")</f>
        <v>BSGatlas-gene-4623</v>
      </c>
      <c r="C4280" s="1" t="s">
        <v>4232</v>
      </c>
      <c r="D4280" s="1" t="s">
        <v>8</v>
      </c>
      <c r="E4280" s="3">
        <v>4089429</v>
      </c>
      <c r="F4280" s="3">
        <v>4091309</v>
      </c>
      <c r="G4280" s="1" t="s">
        <v>13</v>
      </c>
      <c r="H4280" s="1" t="b">
        <f t="shared" si="162"/>
        <v>0</v>
      </c>
    </row>
    <row r="4281" spans="1:8" ht="21" x14ac:dyDescent="0.25">
      <c r="A4281" s="2" t="str">
        <f>HYPERLINK("https://rth.dk/resources/bsgatlas/details.php?id=BSGatlas-operon-2235","BSGatlas-operon-2235")</f>
        <v>BSGatlas-operon-2235</v>
      </c>
      <c r="B4281" s="2" t="str">
        <f>HYPERLINK("https://rth.dk/resources/bsgatlas/details.php?id=BSGatlas-gene-4624","BSGatlas-gene-4624")</f>
        <v>BSGatlas-gene-4624</v>
      </c>
      <c r="C4281" s="1" t="s">
        <v>4233</v>
      </c>
      <c r="D4281" s="1" t="s">
        <v>8</v>
      </c>
      <c r="E4281" s="3">
        <v>4091477</v>
      </c>
      <c r="F4281" s="3">
        <v>4091728</v>
      </c>
      <c r="G4281" s="1" t="s">
        <v>13</v>
      </c>
      <c r="H4281" s="1" t="b">
        <f t="shared" si="162"/>
        <v>1</v>
      </c>
    </row>
    <row r="4282" spans="1:8" ht="21" x14ac:dyDescent="0.25">
      <c r="A4282" s="2" t="str">
        <f>HYPERLINK("https://rth.dk/resources/bsgatlas/details.php?id=BSGatlas-operon-2236","BSGatlas-operon-2236")</f>
        <v>BSGatlas-operon-2236</v>
      </c>
      <c r="B4282" s="2" t="str">
        <f>HYPERLINK("https://rth.dk/resources/bsgatlas/details.php?id=BSGatlas-gene-4625","BSGatlas-gene-4625")</f>
        <v>BSGatlas-gene-4625</v>
      </c>
      <c r="C4282" s="1" t="s">
        <v>4234</v>
      </c>
      <c r="D4282" s="1" t="s">
        <v>8</v>
      </c>
      <c r="E4282" s="3">
        <v>4091845</v>
      </c>
      <c r="F4282" s="3">
        <v>4092666</v>
      </c>
      <c r="G4282" s="1" t="s">
        <v>9</v>
      </c>
      <c r="H4282" s="1" t="b">
        <f t="shared" si="162"/>
        <v>0</v>
      </c>
    </row>
    <row r="4283" spans="1:8" ht="21" x14ac:dyDescent="0.25">
      <c r="A4283" s="2" t="str">
        <f>HYPERLINK("https://rth.dk/resources/bsgatlas/details.php?id=BSGatlas-operon-2237","BSGatlas-operon-2237")</f>
        <v>BSGatlas-operon-2237</v>
      </c>
      <c r="B4283" s="2" t="str">
        <f>HYPERLINK("https://rth.dk/resources/bsgatlas/details.php?id=BSGatlas-gene-4626","BSGatlas-gene-4626")</f>
        <v>BSGatlas-gene-4626</v>
      </c>
      <c r="C4283" s="1" t="s">
        <v>4235</v>
      </c>
      <c r="D4283" s="1" t="s">
        <v>8</v>
      </c>
      <c r="E4283" s="3">
        <v>4092695</v>
      </c>
      <c r="F4283" s="3">
        <v>4093837</v>
      </c>
      <c r="G4283" s="1" t="s">
        <v>13</v>
      </c>
      <c r="H4283" s="1" t="b">
        <f t="shared" si="162"/>
        <v>1</v>
      </c>
    </row>
    <row r="4284" spans="1:8" ht="21" x14ac:dyDescent="0.25">
      <c r="A4284" s="2" t="str">
        <f>HYPERLINK("https://rth.dk/resources/bsgatlas/details.php?id=BSGatlas-operon-2238","BSGatlas-operon-2238")</f>
        <v>BSGatlas-operon-2238</v>
      </c>
      <c r="B4284" s="2" t="str">
        <f>HYPERLINK("https://rth.dk/resources/bsgatlas/details.php?id=BSGatlas-gene-4627","BSGatlas-gene-4627")</f>
        <v>BSGatlas-gene-4627</v>
      </c>
      <c r="C4284" s="1" t="s">
        <v>4236</v>
      </c>
      <c r="D4284" s="1" t="s">
        <v>8</v>
      </c>
      <c r="E4284" s="3">
        <v>4093980</v>
      </c>
      <c r="F4284" s="3">
        <v>4095317</v>
      </c>
      <c r="G4284" s="1" t="s">
        <v>9</v>
      </c>
      <c r="H4284" s="1" t="b">
        <f t="shared" si="162"/>
        <v>0</v>
      </c>
    </row>
    <row r="4285" spans="1:8" ht="21" x14ac:dyDescent="0.25">
      <c r="A4285" s="2" t="str">
        <f>HYPERLINK("https://rth.dk/resources/bsgatlas/details.php?id=BSGatlas-operon-2239","BSGatlas-operon-2239")</f>
        <v>BSGatlas-operon-2239</v>
      </c>
      <c r="B4285" s="2" t="str">
        <f>HYPERLINK("https://rth.dk/resources/bsgatlas/details.php?id=BSGatlas-gene-4628","BSGatlas-gene-4628")</f>
        <v>BSGatlas-gene-4628</v>
      </c>
      <c r="C4285" s="1" t="s">
        <v>4237</v>
      </c>
      <c r="D4285" s="1" t="s">
        <v>8</v>
      </c>
      <c r="E4285" s="3">
        <v>4095356</v>
      </c>
      <c r="F4285" s="3">
        <v>4095835</v>
      </c>
      <c r="G4285" s="1" t="s">
        <v>13</v>
      </c>
      <c r="H4285" s="1" t="b">
        <f t="shared" si="162"/>
        <v>1</v>
      </c>
    </row>
    <row r="4286" spans="1:8" ht="21" x14ac:dyDescent="0.25">
      <c r="A4286" s="2" t="str">
        <f>HYPERLINK("https://rth.dk/resources/bsgatlas/details.php?id=BSGatlas-operon-2239","BSGatlas-operon-2239")</f>
        <v>BSGatlas-operon-2239</v>
      </c>
      <c r="B4286" s="2" t="str">
        <f>HYPERLINK("https://rth.dk/resources/bsgatlas/details.php?id=BSGatlas-gene-4629","BSGatlas-gene-4629")</f>
        <v>BSGatlas-gene-4629</v>
      </c>
      <c r="C4286" s="1" t="s">
        <v>4238</v>
      </c>
      <c r="D4286" s="1" t="s">
        <v>8</v>
      </c>
      <c r="E4286" s="3">
        <v>4095915</v>
      </c>
      <c r="F4286" s="3">
        <v>4096907</v>
      </c>
      <c r="G4286" s="1" t="s">
        <v>13</v>
      </c>
      <c r="H4286" s="1" t="b">
        <f t="shared" si="162"/>
        <v>1</v>
      </c>
    </row>
    <row r="4287" spans="1:8" ht="21" x14ac:dyDescent="0.25">
      <c r="A4287" s="2" t="str">
        <f>HYPERLINK("https://rth.dk/resources/bsgatlas/details.php?id=BSGatlas-operon-2240","BSGatlas-operon-2240")</f>
        <v>BSGatlas-operon-2240</v>
      </c>
      <c r="B4287" s="2" t="str">
        <f>HYPERLINK("https://rth.dk/resources/bsgatlas/details.php?id=BSGatlas-gene-4630","BSGatlas-gene-4630")</f>
        <v>BSGatlas-gene-4630</v>
      </c>
      <c r="C4287" s="1" t="s">
        <v>4239</v>
      </c>
      <c r="D4287" s="1" t="s">
        <v>12</v>
      </c>
      <c r="E4287" s="3">
        <v>4096997</v>
      </c>
      <c r="F4287" s="3">
        <v>4097409</v>
      </c>
      <c r="G4287" s="1" t="s">
        <v>9</v>
      </c>
      <c r="H4287" s="1" t="b">
        <f t="shared" si="162"/>
        <v>0</v>
      </c>
    </row>
    <row r="4288" spans="1:8" ht="21" x14ac:dyDescent="0.25">
      <c r="A4288" s="2" t="str">
        <f>HYPERLINK("https://rth.dk/resources/bsgatlas/details.php?id=BSGatlas-operon-2241","BSGatlas-operon-2241")</f>
        <v>BSGatlas-operon-2241</v>
      </c>
      <c r="B4288" s="2" t="str">
        <f>HYPERLINK("https://rth.dk/resources/bsgatlas/details.php?id=BSGatlas-gene-4631","BSGatlas-gene-4631")</f>
        <v>BSGatlas-gene-4631</v>
      </c>
      <c r="C4288" s="1" t="s">
        <v>4240</v>
      </c>
      <c r="D4288" s="1" t="s">
        <v>8</v>
      </c>
      <c r="E4288" s="3">
        <v>4097416</v>
      </c>
      <c r="F4288" s="3">
        <v>4098150</v>
      </c>
      <c r="G4288" s="1" t="s">
        <v>9</v>
      </c>
      <c r="H4288" s="1" t="b">
        <f t="shared" si="162"/>
        <v>1</v>
      </c>
    </row>
    <row r="4289" spans="1:8" ht="21" x14ac:dyDescent="0.25">
      <c r="A4289" s="2" t="str">
        <f>HYPERLINK("https://rth.dk/resources/bsgatlas/details.php?id=BSGatlas-operon-2241","BSGatlas-operon-2241")</f>
        <v>BSGatlas-operon-2241</v>
      </c>
      <c r="B4289" s="2" t="str">
        <f>HYPERLINK("https://rth.dk/resources/bsgatlas/details.php?id=BSGatlas-gene-4632","BSGatlas-gene-4632")</f>
        <v>BSGatlas-gene-4632</v>
      </c>
      <c r="C4289" s="1" t="s">
        <v>4241</v>
      </c>
      <c r="D4289" s="1" t="s">
        <v>8</v>
      </c>
      <c r="E4289" s="3">
        <v>4098150</v>
      </c>
      <c r="F4289" s="3">
        <v>4098419</v>
      </c>
      <c r="G4289" s="1" t="s">
        <v>9</v>
      </c>
      <c r="H4289" s="1" t="b">
        <f t="shared" si="162"/>
        <v>1</v>
      </c>
    </row>
    <row r="4290" spans="1:8" ht="21" x14ac:dyDescent="0.25">
      <c r="A4290" s="2" t="str">
        <f>HYPERLINK("https://rth.dk/resources/bsgatlas/details.php?id=BSGatlas-operon-2241","BSGatlas-operon-2241")</f>
        <v>BSGatlas-operon-2241</v>
      </c>
      <c r="B4290" s="2" t="str">
        <f>HYPERLINK("https://rth.dk/resources/bsgatlas/details.php?id=BSGatlas-gene-4633","BSGatlas-gene-4633")</f>
        <v>BSGatlas-gene-4633</v>
      </c>
      <c r="C4290" s="1" t="s">
        <v>4242</v>
      </c>
      <c r="D4290" s="1" t="s">
        <v>8</v>
      </c>
      <c r="E4290" s="3">
        <v>4098423</v>
      </c>
      <c r="F4290" s="3">
        <v>4098905</v>
      </c>
      <c r="G4290" s="1" t="s">
        <v>9</v>
      </c>
      <c r="H4290" s="1" t="b">
        <f t="shared" ref="H4290:H4353" si="166">_xlfn.XOR(A4289&lt;&gt;A4290,H4289)</f>
        <v>1</v>
      </c>
    </row>
    <row r="4291" spans="1:8" ht="21" x14ac:dyDescent="0.25">
      <c r="A4291" s="2" t="str">
        <f>HYPERLINK("https://rth.dk/resources/bsgatlas/details.php?id=BSGatlas-operon-2241","BSGatlas-operon-2241")</f>
        <v>BSGatlas-operon-2241</v>
      </c>
      <c r="B4291" s="2" t="str">
        <f>HYPERLINK("https://rth.dk/resources/bsgatlas/details.php?id=BSGatlas-gene-4634","BSGatlas-gene-4634")</f>
        <v>BSGatlas-gene-4634</v>
      </c>
      <c r="C4291" s="1" t="s">
        <v>4243</v>
      </c>
      <c r="D4291" s="1" t="s">
        <v>8</v>
      </c>
      <c r="E4291" s="3">
        <v>4098926</v>
      </c>
      <c r="F4291" s="3">
        <v>4101169</v>
      </c>
      <c r="G4291" s="1" t="s">
        <v>9</v>
      </c>
      <c r="H4291" s="1" t="b">
        <f t="shared" si="166"/>
        <v>1</v>
      </c>
    </row>
    <row r="4292" spans="1:8" ht="21" x14ac:dyDescent="0.25">
      <c r="A4292" s="2" t="str">
        <f>HYPERLINK("https://rth.dk/resources/bsgatlas/details.php?id=BSGatlas-operon-2241","BSGatlas-operon-2241")</f>
        <v>BSGatlas-operon-2241</v>
      </c>
      <c r="B4292" s="2" t="str">
        <f>HYPERLINK("https://rth.dk/resources/bsgatlas/details.php?id=BSGatlas-gene-4635","BSGatlas-gene-4635")</f>
        <v>BSGatlas-gene-4635</v>
      </c>
      <c r="C4292" s="1" t="s">
        <v>4244</v>
      </c>
      <c r="D4292" s="1" t="s">
        <v>8</v>
      </c>
      <c r="E4292" s="3">
        <v>4101166</v>
      </c>
      <c r="F4292" s="3">
        <v>4102365</v>
      </c>
      <c r="G4292" s="1" t="s">
        <v>9</v>
      </c>
      <c r="H4292" s="1" t="b">
        <f t="shared" si="166"/>
        <v>1</v>
      </c>
    </row>
    <row r="4293" spans="1:8" ht="21" x14ac:dyDescent="0.25">
      <c r="A4293" s="2" t="str">
        <f>HYPERLINK("https://rth.dk/resources/bsgatlas/details.php?id=BSGatlas-operon-2242","BSGatlas-operon-2242")</f>
        <v>BSGatlas-operon-2242</v>
      </c>
      <c r="B4293" s="2" t="str">
        <f>HYPERLINK("https://rth.dk/resources/bsgatlas/details.php?id=BSGatlas-gene-4636","BSGatlas-gene-4636")</f>
        <v>BSGatlas-gene-4636</v>
      </c>
      <c r="C4293" s="1" t="s">
        <v>4245</v>
      </c>
      <c r="D4293" s="1" t="s">
        <v>8</v>
      </c>
      <c r="E4293" s="3">
        <v>4102429</v>
      </c>
      <c r="F4293" s="3">
        <v>4103661</v>
      </c>
      <c r="G4293" s="1" t="s">
        <v>13</v>
      </c>
      <c r="H4293" s="1" t="b">
        <f t="shared" si="166"/>
        <v>0</v>
      </c>
    </row>
    <row r="4294" spans="1:8" ht="21" x14ac:dyDescent="0.25">
      <c r="A4294" s="2" t="str">
        <f>HYPERLINK("https://rth.dk/resources/bsgatlas/details.php?id=BSGatlas-operon-2242","BSGatlas-operon-2242")</f>
        <v>BSGatlas-operon-2242</v>
      </c>
      <c r="B4294" s="2" t="str">
        <f>HYPERLINK("https://rth.dk/resources/bsgatlas/details.php?id=BSGatlas-gene-4637","BSGatlas-gene-4637")</f>
        <v>BSGatlas-gene-4637</v>
      </c>
      <c r="C4294" s="1" t="s">
        <v>4246</v>
      </c>
      <c r="D4294" s="1" t="s">
        <v>8</v>
      </c>
      <c r="E4294" s="3">
        <v>4103762</v>
      </c>
      <c r="F4294" s="3">
        <v>4104187</v>
      </c>
      <c r="G4294" s="1" t="s">
        <v>13</v>
      </c>
      <c r="H4294" s="1" t="b">
        <f t="shared" si="166"/>
        <v>0</v>
      </c>
    </row>
    <row r="4295" spans="1:8" ht="21" x14ac:dyDescent="0.25">
      <c r="A4295" s="2" t="str">
        <f>HYPERLINK("https://rth.dk/resources/bsgatlas/details.php?id=BSGatlas-operon-2243","BSGatlas-operon-2243")</f>
        <v>BSGatlas-operon-2243</v>
      </c>
      <c r="B4295" s="2" t="str">
        <f>HYPERLINK("https://rth.dk/resources/bsgatlas/details.php?id=BSGatlas-gene-4638","BSGatlas-gene-4638")</f>
        <v>BSGatlas-gene-4638</v>
      </c>
      <c r="C4295" s="1" t="s">
        <v>4247</v>
      </c>
      <c r="D4295" s="1" t="s">
        <v>8</v>
      </c>
      <c r="E4295" s="3">
        <v>4104444</v>
      </c>
      <c r="F4295" s="3">
        <v>4104899</v>
      </c>
      <c r="G4295" s="1" t="s">
        <v>9</v>
      </c>
      <c r="H4295" s="1" t="b">
        <f t="shared" si="166"/>
        <v>1</v>
      </c>
    </row>
    <row r="4296" spans="1:8" ht="21" x14ac:dyDescent="0.25">
      <c r="A4296" s="2" t="str">
        <f>HYPERLINK("https://rth.dk/resources/bsgatlas/details.php?id=BSGatlas-operon-2244","BSGatlas-operon-2244")</f>
        <v>BSGatlas-operon-2244</v>
      </c>
      <c r="B4296" s="2" t="str">
        <f>HYPERLINK("https://rth.dk/resources/bsgatlas/details.php?id=BSGatlas-gene-4639","BSGatlas-gene-4639")</f>
        <v>BSGatlas-gene-4639</v>
      </c>
      <c r="C4296" s="1" t="s">
        <v>4248</v>
      </c>
      <c r="D4296" s="1" t="s">
        <v>8</v>
      </c>
      <c r="E4296" s="3">
        <v>4104929</v>
      </c>
      <c r="F4296" s="3">
        <v>4106137</v>
      </c>
      <c r="G4296" s="1" t="s">
        <v>13</v>
      </c>
      <c r="H4296" s="1" t="b">
        <f t="shared" si="166"/>
        <v>0</v>
      </c>
    </row>
    <row r="4297" spans="1:8" ht="21" x14ac:dyDescent="0.25">
      <c r="A4297" s="2" t="str">
        <f>HYPERLINK("https://rth.dk/resources/bsgatlas/details.php?id=BSGatlas-operon-2244","BSGatlas-operon-2244")</f>
        <v>BSGatlas-operon-2244</v>
      </c>
      <c r="B4297" s="2" t="str">
        <f>HYPERLINK("https://rth.dk/resources/bsgatlas/details.php?id=BSGatlas-gene-4640","BSGatlas-gene-4640")</f>
        <v>BSGatlas-gene-4640</v>
      </c>
      <c r="C4297" s="1" t="s">
        <v>4249</v>
      </c>
      <c r="D4297" s="1" t="s">
        <v>8</v>
      </c>
      <c r="E4297" s="3">
        <v>4106245</v>
      </c>
      <c r="F4297" s="3">
        <v>4107258</v>
      </c>
      <c r="G4297" s="1" t="s">
        <v>13</v>
      </c>
      <c r="H4297" s="1" t="b">
        <f t="shared" si="166"/>
        <v>0</v>
      </c>
    </row>
    <row r="4298" spans="1:8" ht="21" x14ac:dyDescent="0.25">
      <c r="A4298" s="2" t="str">
        <f>HYPERLINK("https://rth.dk/resources/bsgatlas/details.php?id=BSGatlas-operon-2245","BSGatlas-operon-2245")</f>
        <v>BSGatlas-operon-2245</v>
      </c>
      <c r="B4298" s="2" t="str">
        <f>HYPERLINK("https://rth.dk/resources/bsgatlas/details.php?id=BSGatlas-gene-4641","BSGatlas-gene-4641")</f>
        <v>BSGatlas-gene-4641</v>
      </c>
      <c r="C4298" s="1" t="s">
        <v>4250</v>
      </c>
      <c r="D4298" s="1" t="s">
        <v>8</v>
      </c>
      <c r="E4298" s="3">
        <v>4107352</v>
      </c>
      <c r="F4298" s="3">
        <v>4107927</v>
      </c>
      <c r="G4298" s="1" t="s">
        <v>13</v>
      </c>
      <c r="H4298" s="1" t="b">
        <f t="shared" si="166"/>
        <v>1</v>
      </c>
    </row>
    <row r="4299" spans="1:8" ht="21" x14ac:dyDescent="0.25">
      <c r="A4299" s="2" t="str">
        <f>HYPERLINK("https://rth.dk/resources/bsgatlas/details.php?id=BSGatlas-operon-2246","BSGatlas-operon-2246")</f>
        <v>BSGatlas-operon-2246</v>
      </c>
      <c r="B4299" s="2" t="str">
        <f>HYPERLINK("https://rth.dk/resources/bsgatlas/details.php?id=BSGatlas-gene-4642","BSGatlas-gene-4642")</f>
        <v>BSGatlas-gene-4642</v>
      </c>
      <c r="C4299" s="1" t="s">
        <v>4251</v>
      </c>
      <c r="D4299" s="1" t="s">
        <v>8</v>
      </c>
      <c r="E4299" s="3">
        <v>4108058</v>
      </c>
      <c r="F4299" s="3">
        <v>4109128</v>
      </c>
      <c r="G4299" s="1" t="s">
        <v>9</v>
      </c>
      <c r="H4299" s="1" t="b">
        <f t="shared" si="166"/>
        <v>0</v>
      </c>
    </row>
    <row r="4300" spans="1:8" ht="21" x14ac:dyDescent="0.25">
      <c r="A4300" s="2" t="str">
        <f>HYPERLINK("https://rth.dk/resources/bsgatlas/details.php?id=BSGatlas-operon-2247","BSGatlas-operon-2247")</f>
        <v>BSGatlas-operon-2247</v>
      </c>
      <c r="B4300" s="2" t="str">
        <f>HYPERLINK("https://rth.dk/resources/bsgatlas/details.php?id=BSGatlas-gene-4643","BSGatlas-gene-4643")</f>
        <v>BSGatlas-gene-4643</v>
      </c>
      <c r="C4300" s="1" t="s">
        <v>4252</v>
      </c>
      <c r="D4300" s="1" t="s">
        <v>8</v>
      </c>
      <c r="E4300" s="3">
        <v>4109185</v>
      </c>
      <c r="F4300" s="3">
        <v>4109616</v>
      </c>
      <c r="G4300" s="1" t="s">
        <v>13</v>
      </c>
      <c r="H4300" s="1" t="b">
        <f t="shared" si="166"/>
        <v>1</v>
      </c>
    </row>
    <row r="4301" spans="1:8" ht="21" x14ac:dyDescent="0.25">
      <c r="A4301" s="2" t="str">
        <f>HYPERLINK("https://rth.dk/resources/bsgatlas/details.php?id=BSGatlas-operon-2248","BSGatlas-operon-2248")</f>
        <v>BSGatlas-operon-2248</v>
      </c>
      <c r="B4301" s="2" t="str">
        <f>HYPERLINK("https://rth.dk/resources/bsgatlas/details.php?id=BSGatlas-gene-4644","BSGatlas-gene-4644")</f>
        <v>BSGatlas-gene-4644</v>
      </c>
      <c r="C4301" s="1" t="s">
        <v>4253</v>
      </c>
      <c r="D4301" s="1" t="s">
        <v>8</v>
      </c>
      <c r="E4301" s="3">
        <v>4109843</v>
      </c>
      <c r="F4301" s="3">
        <v>4110247</v>
      </c>
      <c r="G4301" s="1" t="s">
        <v>9</v>
      </c>
      <c r="H4301" s="1" t="b">
        <f t="shared" si="166"/>
        <v>0</v>
      </c>
    </row>
    <row r="4302" spans="1:8" ht="21" x14ac:dyDescent="0.25">
      <c r="A4302" s="2" t="str">
        <f>HYPERLINK("https://rth.dk/resources/bsgatlas/details.php?id=BSGatlas-operon-2248","BSGatlas-operon-2248")</f>
        <v>BSGatlas-operon-2248</v>
      </c>
      <c r="B4302" s="2" t="str">
        <f>HYPERLINK("https://rth.dk/resources/bsgatlas/details.php?id=BSGatlas-gene-4645","BSGatlas-gene-4645")</f>
        <v>BSGatlas-gene-4645</v>
      </c>
      <c r="C4302" s="1" t="s">
        <v>4254</v>
      </c>
      <c r="D4302" s="1" t="s">
        <v>8</v>
      </c>
      <c r="E4302" s="3">
        <v>4110217</v>
      </c>
      <c r="F4302" s="3">
        <v>4110909</v>
      </c>
      <c r="G4302" s="1" t="s">
        <v>9</v>
      </c>
      <c r="H4302" s="1" t="b">
        <f t="shared" si="166"/>
        <v>0</v>
      </c>
    </row>
    <row r="4303" spans="1:8" ht="21" x14ac:dyDescent="0.25">
      <c r="A4303" s="2" t="str">
        <f>HYPERLINK("https://rth.dk/resources/bsgatlas/details.php?id=BSGatlas-operon-2249","BSGatlas-operon-2249")</f>
        <v>BSGatlas-operon-2249</v>
      </c>
      <c r="B4303" s="2" t="str">
        <f>HYPERLINK("https://rth.dk/resources/bsgatlas/details.php?id=BSGatlas-gene-4646","BSGatlas-gene-4646")</f>
        <v>BSGatlas-gene-4646</v>
      </c>
      <c r="C4303" s="1" t="s">
        <v>4255</v>
      </c>
      <c r="D4303" s="1" t="s">
        <v>8</v>
      </c>
      <c r="E4303" s="3">
        <v>4110949</v>
      </c>
      <c r="F4303" s="3">
        <v>4111980</v>
      </c>
      <c r="G4303" s="1" t="s">
        <v>13</v>
      </c>
      <c r="H4303" s="1" t="b">
        <f t="shared" si="166"/>
        <v>1</v>
      </c>
    </row>
    <row r="4304" spans="1:8" ht="21" x14ac:dyDescent="0.25">
      <c r="A4304" s="2" t="str">
        <f>HYPERLINK("https://rth.dk/resources/bsgatlas/details.php?id=BSGatlas-operon-2249","BSGatlas-operon-2249")</f>
        <v>BSGatlas-operon-2249</v>
      </c>
      <c r="B4304" s="2" t="str">
        <f>HYPERLINK("https://rth.dk/resources/bsgatlas/details.php?id=BSGatlas-gene-4647","BSGatlas-gene-4647")</f>
        <v>BSGatlas-gene-4647</v>
      </c>
      <c r="C4304" s="1" t="s">
        <v>4256</v>
      </c>
      <c r="D4304" s="1" t="s">
        <v>8</v>
      </c>
      <c r="E4304" s="3">
        <v>4112073</v>
      </c>
      <c r="F4304" s="3">
        <v>4113221</v>
      </c>
      <c r="G4304" s="1" t="s">
        <v>13</v>
      </c>
      <c r="H4304" s="1" t="b">
        <f t="shared" si="166"/>
        <v>1</v>
      </c>
    </row>
    <row r="4305" spans="1:8" ht="21" x14ac:dyDescent="0.25">
      <c r="A4305" s="2" t="str">
        <f>HYPERLINK("https://rth.dk/resources/bsgatlas/details.php?id=BSGatlas-operon-2250","BSGatlas-operon-2250")</f>
        <v>BSGatlas-operon-2250</v>
      </c>
      <c r="B4305" s="2" t="str">
        <f>HYPERLINK("https://rth.dk/resources/bsgatlas/details.php?id=BSGatlas-gene-4648","BSGatlas-gene-4648")</f>
        <v>BSGatlas-gene-4648</v>
      </c>
      <c r="C4305" s="1" t="s">
        <v>4257</v>
      </c>
      <c r="D4305" s="1" t="s">
        <v>8</v>
      </c>
      <c r="E4305" s="3">
        <v>4113417</v>
      </c>
      <c r="F4305" s="3">
        <v>4114148</v>
      </c>
      <c r="G4305" s="1" t="s">
        <v>9</v>
      </c>
      <c r="H4305" s="1" t="b">
        <f t="shared" si="166"/>
        <v>0</v>
      </c>
    </row>
    <row r="4306" spans="1:8" ht="21" x14ac:dyDescent="0.25">
      <c r="A4306" s="2" t="str">
        <f>HYPERLINK("https://rth.dk/resources/bsgatlas/details.php?id=BSGatlas-operon-2250","BSGatlas-operon-2250")</f>
        <v>BSGatlas-operon-2250</v>
      </c>
      <c r="B4306" s="2" t="str">
        <f>HYPERLINK("https://rth.dk/resources/bsgatlas/details.php?id=BSGatlas-gene-4649","BSGatlas-gene-4649")</f>
        <v>BSGatlas-gene-4649</v>
      </c>
      <c r="C4306" s="1" t="s">
        <v>4258</v>
      </c>
      <c r="D4306" s="1" t="s">
        <v>8</v>
      </c>
      <c r="E4306" s="3">
        <v>4114141</v>
      </c>
      <c r="F4306" s="3">
        <v>4115682</v>
      </c>
      <c r="G4306" s="1" t="s">
        <v>9</v>
      </c>
      <c r="H4306" s="1" t="b">
        <f t="shared" si="166"/>
        <v>0</v>
      </c>
    </row>
    <row r="4307" spans="1:8" ht="21" x14ac:dyDescent="0.25">
      <c r="A4307" s="2" t="str">
        <f>HYPERLINK("https://rth.dk/resources/bsgatlas/details.php?id=BSGatlas-operon-2250","BSGatlas-operon-2250")</f>
        <v>BSGatlas-operon-2250</v>
      </c>
      <c r="B4307" s="2" t="str">
        <f>HYPERLINK("https://rth.dk/resources/bsgatlas/details.php?id=BSGatlas-gene-4650","BSGatlas-gene-4650")</f>
        <v>BSGatlas-gene-4650</v>
      </c>
      <c r="C4307" s="1" t="s">
        <v>4259</v>
      </c>
      <c r="D4307" s="1" t="s">
        <v>8</v>
      </c>
      <c r="E4307" s="3">
        <v>4115711</v>
      </c>
      <c r="F4307" s="3">
        <v>4117057</v>
      </c>
      <c r="G4307" s="1" t="s">
        <v>9</v>
      </c>
      <c r="H4307" s="1" t="b">
        <f t="shared" si="166"/>
        <v>0</v>
      </c>
    </row>
    <row r="4308" spans="1:8" ht="21" x14ac:dyDescent="0.25">
      <c r="A4308" s="2" t="str">
        <f>HYPERLINK("https://rth.dk/resources/bsgatlas/details.php?id=BSGatlas-operon-2250","BSGatlas-operon-2250")</f>
        <v>BSGatlas-operon-2250</v>
      </c>
      <c r="B4308" s="2" t="str">
        <f>HYPERLINK("https://rth.dk/resources/bsgatlas/details.php?id=BSGatlas-gene-4651","BSGatlas-gene-4651")</f>
        <v>BSGatlas-gene-4651</v>
      </c>
      <c r="C4308" s="1" t="s">
        <v>4260</v>
      </c>
      <c r="D4308" s="1" t="s">
        <v>8</v>
      </c>
      <c r="E4308" s="3">
        <v>4117080</v>
      </c>
      <c r="F4308" s="3">
        <v>4118486</v>
      </c>
      <c r="G4308" s="1" t="s">
        <v>9</v>
      </c>
      <c r="H4308" s="1" t="b">
        <f t="shared" si="166"/>
        <v>0</v>
      </c>
    </row>
    <row r="4309" spans="1:8" ht="21" x14ac:dyDescent="0.25">
      <c r="A4309" s="2" t="str">
        <f>HYPERLINK("https://rth.dk/resources/bsgatlas/details.php?id=BSGatlas-operon-2251","BSGatlas-operon-2251")</f>
        <v>BSGatlas-operon-2251</v>
      </c>
      <c r="B4309" s="2" t="str">
        <f>HYPERLINK("https://rth.dk/resources/bsgatlas/details.php?id=BSGatlas-gene-4652","BSGatlas-gene-4652")</f>
        <v>BSGatlas-gene-4652</v>
      </c>
      <c r="C4309" s="1" t="s">
        <v>4261</v>
      </c>
      <c r="D4309" s="1" t="s">
        <v>8</v>
      </c>
      <c r="E4309" s="3">
        <v>4118950</v>
      </c>
      <c r="F4309" s="3">
        <v>4119513</v>
      </c>
      <c r="G4309" s="1" t="s">
        <v>9</v>
      </c>
      <c r="H4309" s="1" t="b">
        <f t="shared" si="166"/>
        <v>1</v>
      </c>
    </row>
    <row r="4310" spans="1:8" ht="21" x14ac:dyDescent="0.25">
      <c r="A4310" s="2" t="str">
        <f>HYPERLINK("https://rth.dk/resources/bsgatlas/details.php?id=BSGatlas-operon-2251","BSGatlas-operon-2251")</f>
        <v>BSGatlas-operon-2251</v>
      </c>
      <c r="B4310" s="2" t="str">
        <f>HYPERLINK("https://rth.dk/resources/bsgatlas/details.php?id=BSGatlas-gene-4653","BSGatlas-gene-4653")</f>
        <v>BSGatlas-gene-4653</v>
      </c>
      <c r="C4310" s="1" t="s">
        <v>4262</v>
      </c>
      <c r="D4310" s="1" t="s">
        <v>8</v>
      </c>
      <c r="E4310" s="3">
        <v>4119527</v>
      </c>
      <c r="F4310" s="3">
        <v>4121056</v>
      </c>
      <c r="G4310" s="1" t="s">
        <v>9</v>
      </c>
      <c r="H4310" s="1" t="b">
        <f t="shared" si="166"/>
        <v>1</v>
      </c>
    </row>
    <row r="4311" spans="1:8" ht="21" x14ac:dyDescent="0.25">
      <c r="A4311" s="2" t="str">
        <f>HYPERLINK("https://rth.dk/resources/bsgatlas/details.php?id=BSGatlas-operon-2252","BSGatlas-operon-2252")</f>
        <v>BSGatlas-operon-2252</v>
      </c>
      <c r="B4311" s="2" t="str">
        <f>HYPERLINK("https://rth.dk/resources/bsgatlas/details.php?id=BSGatlas-gene-4654","BSGatlas-gene-4654")</f>
        <v>BSGatlas-gene-4654</v>
      </c>
      <c r="C4311" s="1" t="s">
        <v>4263</v>
      </c>
      <c r="D4311" s="1" t="s">
        <v>8</v>
      </c>
      <c r="E4311" s="3">
        <v>4121166</v>
      </c>
      <c r="F4311" s="3">
        <v>4122605</v>
      </c>
      <c r="G4311" s="1" t="s">
        <v>13</v>
      </c>
      <c r="H4311" s="1" t="b">
        <f t="shared" si="166"/>
        <v>0</v>
      </c>
    </row>
    <row r="4312" spans="1:8" ht="21" x14ac:dyDescent="0.25">
      <c r="A4312" s="2" t="str">
        <f>HYPERLINK("https://rth.dk/resources/bsgatlas/details.php?id=BSGatlas-operon-2252","BSGatlas-operon-2252")</f>
        <v>BSGatlas-operon-2252</v>
      </c>
      <c r="B4312" s="2" t="str">
        <f>HYPERLINK("https://rth.dk/resources/bsgatlas/details.php?id=BSGatlas-gene-4655","BSGatlas-gene-4655")</f>
        <v>BSGatlas-gene-4655</v>
      </c>
      <c r="C4312" s="1" t="s">
        <v>4264</v>
      </c>
      <c r="D4312" s="1" t="s">
        <v>8</v>
      </c>
      <c r="E4312" s="3">
        <v>4122619</v>
      </c>
      <c r="F4312" s="3">
        <v>4122849</v>
      </c>
      <c r="G4312" s="1" t="s">
        <v>13</v>
      </c>
      <c r="H4312" s="1" t="b">
        <f t="shared" si="166"/>
        <v>0</v>
      </c>
    </row>
    <row r="4313" spans="1:8" ht="21" x14ac:dyDescent="0.25">
      <c r="A4313" s="2" t="str">
        <f>HYPERLINK("https://rth.dk/resources/bsgatlas/details.php?id=BSGatlas-operon-2253","BSGatlas-operon-2253")</f>
        <v>BSGatlas-operon-2253</v>
      </c>
      <c r="B4313" s="2" t="str">
        <f>HYPERLINK("https://rth.dk/resources/bsgatlas/details.php?id=BSGatlas-gene-4656","BSGatlas-gene-4656")</f>
        <v>BSGatlas-gene-4656</v>
      </c>
      <c r="C4313" s="1" t="s">
        <v>4265</v>
      </c>
      <c r="D4313" s="1" t="s">
        <v>12</v>
      </c>
      <c r="E4313" s="3">
        <v>4122960</v>
      </c>
      <c r="F4313" s="3">
        <v>4123062</v>
      </c>
      <c r="G4313" s="1" t="s">
        <v>13</v>
      </c>
      <c r="H4313" s="1" t="b">
        <f t="shared" si="166"/>
        <v>1</v>
      </c>
    </row>
    <row r="4314" spans="1:8" ht="21" x14ac:dyDescent="0.25">
      <c r="A4314" s="2" t="str">
        <f>HYPERLINK("https://rth.dk/resources/bsgatlas/details.php?id=BSGatlas-operon-2254","BSGatlas-operon-2254")</f>
        <v>BSGatlas-operon-2254</v>
      </c>
      <c r="B4314" s="2" t="str">
        <f>HYPERLINK("https://rth.dk/resources/bsgatlas/details.php?id=BSGatlas-gene-4657","BSGatlas-gene-4657")</f>
        <v>BSGatlas-gene-4657</v>
      </c>
      <c r="C4314" s="1" t="s">
        <v>4266</v>
      </c>
      <c r="D4314" s="1" t="s">
        <v>8</v>
      </c>
      <c r="E4314" s="3">
        <v>4123193</v>
      </c>
      <c r="F4314" s="3">
        <v>4123903</v>
      </c>
      <c r="G4314" s="1" t="s">
        <v>9</v>
      </c>
      <c r="H4314" s="1" t="b">
        <f t="shared" si="166"/>
        <v>0</v>
      </c>
    </row>
    <row r="4315" spans="1:8" ht="21" x14ac:dyDescent="0.25">
      <c r="A4315" s="2" t="str">
        <f>HYPERLINK("https://rth.dk/resources/bsgatlas/details.php?id=BSGatlas-operon-2254","BSGatlas-operon-2254")</f>
        <v>BSGatlas-operon-2254</v>
      </c>
      <c r="B4315" s="2" t="str">
        <f>HYPERLINK("https://rth.dk/resources/bsgatlas/details.php?id=BSGatlas-gene-4658","BSGatlas-gene-4658")</f>
        <v>BSGatlas-gene-4658</v>
      </c>
      <c r="C4315" s="1" t="s">
        <v>4267</v>
      </c>
      <c r="D4315" s="1" t="s">
        <v>8</v>
      </c>
      <c r="E4315" s="3">
        <v>4123931</v>
      </c>
      <c r="F4315" s="3">
        <v>4124089</v>
      </c>
      <c r="G4315" s="1" t="s">
        <v>9</v>
      </c>
      <c r="H4315" s="1" t="b">
        <f t="shared" si="166"/>
        <v>0</v>
      </c>
    </row>
    <row r="4316" spans="1:8" ht="21" x14ac:dyDescent="0.25">
      <c r="A4316" s="2" t="str">
        <f>HYPERLINK("https://rth.dk/resources/bsgatlas/details.php?id=BSGatlas-operon-2255","BSGatlas-operon-2255")</f>
        <v>BSGatlas-operon-2255</v>
      </c>
      <c r="B4316" s="2" t="str">
        <f>HYPERLINK("https://rth.dk/resources/bsgatlas/details.php?id=BSGatlas-gene-4659","BSGatlas-gene-4659")</f>
        <v>BSGatlas-gene-4659</v>
      </c>
      <c r="C4316" s="1" t="s">
        <v>4268</v>
      </c>
      <c r="D4316" s="1" t="s">
        <v>8</v>
      </c>
      <c r="E4316" s="3">
        <v>4124220</v>
      </c>
      <c r="F4316" s="3">
        <v>4124942</v>
      </c>
      <c r="G4316" s="1" t="s">
        <v>13</v>
      </c>
      <c r="H4316" s="1" t="b">
        <f t="shared" si="166"/>
        <v>1</v>
      </c>
    </row>
    <row r="4317" spans="1:8" ht="21" x14ac:dyDescent="0.25">
      <c r="A4317" s="2" t="str">
        <f>HYPERLINK("https://rth.dk/resources/bsgatlas/details.php?id=BSGatlas-operon-2255","BSGatlas-operon-2255")</f>
        <v>BSGatlas-operon-2255</v>
      </c>
      <c r="B4317" s="2" t="str">
        <f>HYPERLINK("https://rth.dk/resources/bsgatlas/details.php?id=BSGatlas-gene-4660","BSGatlas-gene-4660")</f>
        <v>BSGatlas-gene-4660</v>
      </c>
      <c r="C4317" s="1" t="s">
        <v>4269</v>
      </c>
      <c r="D4317" s="1" t="s">
        <v>8</v>
      </c>
      <c r="E4317" s="3">
        <v>4124963</v>
      </c>
      <c r="F4317" s="3">
        <v>4125592</v>
      </c>
      <c r="G4317" s="1" t="s">
        <v>13</v>
      </c>
      <c r="H4317" s="1" t="b">
        <f t="shared" si="166"/>
        <v>1</v>
      </c>
    </row>
    <row r="4318" spans="1:8" ht="21" x14ac:dyDescent="0.25">
      <c r="A4318" s="2" t="str">
        <f>HYPERLINK("https://rth.dk/resources/bsgatlas/details.php?id=BSGatlas-operon-2255","BSGatlas-operon-2255")</f>
        <v>BSGatlas-operon-2255</v>
      </c>
      <c r="B4318" s="2" t="str">
        <f>HYPERLINK("https://rth.dk/resources/bsgatlas/details.php?id=BSGatlas-gene-4661","BSGatlas-gene-4661")</f>
        <v>BSGatlas-gene-4661</v>
      </c>
      <c r="C4318" s="1" t="s">
        <v>4270</v>
      </c>
      <c r="D4318" s="1" t="s">
        <v>8</v>
      </c>
      <c r="E4318" s="3">
        <v>4125742</v>
      </c>
      <c r="F4318" s="3">
        <v>4126500</v>
      </c>
      <c r="G4318" s="1" t="s">
        <v>13</v>
      </c>
      <c r="H4318" s="1" t="b">
        <f t="shared" si="166"/>
        <v>1</v>
      </c>
    </row>
    <row r="4319" spans="1:8" ht="21" x14ac:dyDescent="0.25">
      <c r="A4319" s="2" t="str">
        <f>HYPERLINK("https://rth.dk/resources/bsgatlas/details.php?id=BSGatlas-operon-2255","BSGatlas-operon-2255")</f>
        <v>BSGatlas-operon-2255</v>
      </c>
      <c r="B4319" s="2" t="str">
        <f>HYPERLINK("https://rth.dk/resources/bsgatlas/details.php?id=BSGatlas-gene-4662","BSGatlas-gene-4662")</f>
        <v>BSGatlas-gene-4662</v>
      </c>
      <c r="C4319" s="1" t="s">
        <v>4271</v>
      </c>
      <c r="D4319" s="1" t="s">
        <v>8</v>
      </c>
      <c r="E4319" s="3">
        <v>4126481</v>
      </c>
      <c r="F4319" s="3">
        <v>4127440</v>
      </c>
      <c r="G4319" s="1" t="s">
        <v>13</v>
      </c>
      <c r="H4319" s="1" t="b">
        <f t="shared" si="166"/>
        <v>1</v>
      </c>
    </row>
    <row r="4320" spans="1:8" ht="21" x14ac:dyDescent="0.25">
      <c r="A4320" s="2" t="str">
        <f>HYPERLINK("https://rth.dk/resources/bsgatlas/details.php?id=BSGatlas-operon-2255","BSGatlas-operon-2255")</f>
        <v>BSGatlas-operon-2255</v>
      </c>
      <c r="B4320" s="2" t="str">
        <f>HYPERLINK("https://rth.dk/resources/bsgatlas/details.php?id=BSGatlas-gene-4663","BSGatlas-gene-4663")</f>
        <v>BSGatlas-gene-4663</v>
      </c>
      <c r="C4320" s="1" t="s">
        <v>4272</v>
      </c>
      <c r="D4320" s="1" t="s">
        <v>8</v>
      </c>
      <c r="E4320" s="3">
        <v>4127498</v>
      </c>
      <c r="F4320" s="3">
        <v>4127647</v>
      </c>
      <c r="G4320" s="1" t="s">
        <v>13</v>
      </c>
      <c r="H4320" s="1" t="b">
        <f t="shared" si="166"/>
        <v>1</v>
      </c>
    </row>
    <row r="4321" spans="1:8" ht="21" x14ac:dyDescent="0.25">
      <c r="A4321" s="2" t="str">
        <f>HYPERLINK("https://rth.dk/resources/bsgatlas/details.php?id=BSGatlas-operon-2256","BSGatlas-operon-2256")</f>
        <v>BSGatlas-operon-2256</v>
      </c>
      <c r="B4321" s="2" t="str">
        <f>HYPERLINK("https://rth.dk/resources/bsgatlas/details.php?id=BSGatlas-gene-4664","BSGatlas-gene-4664")</f>
        <v>BSGatlas-gene-4664</v>
      </c>
      <c r="C4321" s="1" t="s">
        <v>4273</v>
      </c>
      <c r="D4321" s="1" t="s">
        <v>8</v>
      </c>
      <c r="E4321" s="3">
        <v>4128119</v>
      </c>
      <c r="F4321" s="3">
        <v>4130044</v>
      </c>
      <c r="G4321" s="1" t="s">
        <v>9</v>
      </c>
      <c r="H4321" s="1" t="b">
        <f t="shared" si="166"/>
        <v>0</v>
      </c>
    </row>
    <row r="4322" spans="1:8" ht="21" x14ac:dyDescent="0.25">
      <c r="A4322" s="2" t="str">
        <f>HYPERLINK("https://rth.dk/resources/bsgatlas/details.php?id=BSGatlas-operon-2257","BSGatlas-operon-2257")</f>
        <v>BSGatlas-operon-2257</v>
      </c>
      <c r="B4322" s="2" t="str">
        <f>HYPERLINK("https://rth.dk/resources/bsgatlas/details.php?id=BSGatlas-gene-4665","BSGatlas-gene-4665")</f>
        <v>BSGatlas-gene-4665</v>
      </c>
      <c r="C4322" s="1" t="s">
        <v>4274</v>
      </c>
      <c r="D4322" s="1" t="s">
        <v>8</v>
      </c>
      <c r="E4322" s="3">
        <v>4130578</v>
      </c>
      <c r="F4322" s="3">
        <v>4132338</v>
      </c>
      <c r="G4322" s="1" t="s">
        <v>13</v>
      </c>
      <c r="H4322" s="1" t="b">
        <f t="shared" si="166"/>
        <v>1</v>
      </c>
    </row>
    <row r="4323" spans="1:8" ht="21" x14ac:dyDescent="0.25">
      <c r="A4323" s="2" t="str">
        <f>HYPERLINK("https://rth.dk/resources/bsgatlas/details.php?id=BSGatlas-operon-2257","BSGatlas-operon-2257")</f>
        <v>BSGatlas-operon-2257</v>
      </c>
      <c r="B4323" s="2" t="str">
        <f>HYPERLINK("https://rth.dk/resources/bsgatlas/details.php?id=BSGatlas-gene-4666","BSGatlas-gene-4666")</f>
        <v>BSGatlas-gene-4666</v>
      </c>
      <c r="C4323" s="1" t="s">
        <v>4275</v>
      </c>
      <c r="D4323" s="1" t="s">
        <v>8</v>
      </c>
      <c r="E4323" s="3">
        <v>4132338</v>
      </c>
      <c r="F4323" s="3">
        <v>4132736</v>
      </c>
      <c r="G4323" s="1" t="s">
        <v>13</v>
      </c>
      <c r="H4323" s="1" t="b">
        <f t="shared" si="166"/>
        <v>1</v>
      </c>
    </row>
    <row r="4324" spans="1:8" ht="21" x14ac:dyDescent="0.25">
      <c r="A4324" s="2" t="str">
        <f>HYPERLINK("https://rth.dk/resources/bsgatlas/details.php?id=BSGatlas-operon-2257","BSGatlas-operon-2257")</f>
        <v>BSGatlas-operon-2257</v>
      </c>
      <c r="B4324" s="2" t="str">
        <f>HYPERLINK("https://rth.dk/resources/bsgatlas/details.php?id=BSGatlas-gene-4667","BSGatlas-gene-4667")</f>
        <v>BSGatlas-gene-4667</v>
      </c>
      <c r="C4324" s="1" t="s">
        <v>4276</v>
      </c>
      <c r="D4324" s="1" t="s">
        <v>8</v>
      </c>
      <c r="E4324" s="3">
        <v>4132729</v>
      </c>
      <c r="F4324" s="3">
        <v>4134174</v>
      </c>
      <c r="G4324" s="1" t="s">
        <v>13</v>
      </c>
      <c r="H4324" s="1" t="b">
        <f t="shared" si="166"/>
        <v>1</v>
      </c>
    </row>
    <row r="4325" spans="1:8" ht="21" x14ac:dyDescent="0.25">
      <c r="A4325" s="2" t="str">
        <f>HYPERLINK("https://rth.dk/resources/bsgatlas/details.php?id=BSGatlas-operon-2257","BSGatlas-operon-2257")</f>
        <v>BSGatlas-operon-2257</v>
      </c>
      <c r="B4325" s="2" t="str">
        <f>HYPERLINK("https://rth.dk/resources/bsgatlas/details.php?id=BSGatlas-gene-4669","BSGatlas-gene-4669")</f>
        <v>BSGatlas-gene-4669</v>
      </c>
      <c r="C4325" s="1" t="s">
        <v>4277</v>
      </c>
      <c r="D4325" s="1" t="s">
        <v>8</v>
      </c>
      <c r="E4325" s="3">
        <v>4134436</v>
      </c>
      <c r="F4325" s="3">
        <v>4134915</v>
      </c>
      <c r="G4325" s="1" t="s">
        <v>13</v>
      </c>
      <c r="H4325" s="1" t="b">
        <f t="shared" si="166"/>
        <v>1</v>
      </c>
    </row>
    <row r="4326" spans="1:8" ht="21" x14ac:dyDescent="0.25">
      <c r="A4326" s="2" t="str">
        <f>HYPERLINK("https://rth.dk/resources/bsgatlas/details.php?id=BSGatlas-operon-2257","BSGatlas-operon-2257")</f>
        <v>BSGatlas-operon-2257</v>
      </c>
      <c r="B4326" s="2" t="str">
        <f>HYPERLINK("https://rth.dk/resources/bsgatlas/details.php?id=BSGatlas-gene-4670","BSGatlas-gene-4670")</f>
        <v>BSGatlas-gene-4670</v>
      </c>
      <c r="C4326" s="1" t="s">
        <v>4278</v>
      </c>
      <c r="D4326" s="1" t="s">
        <v>8</v>
      </c>
      <c r="E4326" s="3">
        <v>4134996</v>
      </c>
      <c r="F4326" s="3">
        <v>4135166</v>
      </c>
      <c r="G4326" s="1" t="s">
        <v>13</v>
      </c>
      <c r="H4326" s="1" t="b">
        <f t="shared" si="166"/>
        <v>1</v>
      </c>
    </row>
    <row r="4327" spans="1:8" ht="21" x14ac:dyDescent="0.25">
      <c r="A4327" s="2" t="str">
        <f>HYPERLINK("https://rth.dk/resources/bsgatlas/details.php?id=BSGatlas-operon-2258","BSGatlas-operon-2258")</f>
        <v>BSGatlas-operon-2258</v>
      </c>
      <c r="B4327" s="2" t="str">
        <f>HYPERLINK("https://rth.dk/resources/bsgatlas/details.php?id=BSGatlas-gene-4668","BSGatlas-gene-4668")</f>
        <v>BSGatlas-gene-4668</v>
      </c>
      <c r="C4327" s="1" t="s">
        <v>4279</v>
      </c>
      <c r="D4327" s="1" t="s">
        <v>12</v>
      </c>
      <c r="E4327" s="3">
        <v>4133453</v>
      </c>
      <c r="F4327" s="3">
        <v>4134502</v>
      </c>
      <c r="G4327" s="1" t="s">
        <v>9</v>
      </c>
      <c r="H4327" s="1" t="b">
        <f t="shared" si="166"/>
        <v>0</v>
      </c>
    </row>
    <row r="4328" spans="1:8" ht="21" x14ac:dyDescent="0.25">
      <c r="A4328" s="2" t="str">
        <f>HYPERLINK("https://rth.dk/resources/bsgatlas/details.php?id=BSGatlas-operon-2259","BSGatlas-operon-2259")</f>
        <v>BSGatlas-operon-2259</v>
      </c>
      <c r="B4328" s="2" t="str">
        <f>HYPERLINK("https://rth.dk/resources/bsgatlas/details.php?id=BSGatlas-gene-4671","BSGatlas-gene-4671")</f>
        <v>BSGatlas-gene-4671</v>
      </c>
      <c r="C4328" s="1" t="s">
        <v>4280</v>
      </c>
      <c r="D4328" s="1" t="s">
        <v>8</v>
      </c>
      <c r="E4328" s="3">
        <v>4135351</v>
      </c>
      <c r="F4328" s="3">
        <v>4135764</v>
      </c>
      <c r="G4328" s="1" t="s">
        <v>9</v>
      </c>
      <c r="H4328" s="1" t="b">
        <f t="shared" si="166"/>
        <v>1</v>
      </c>
    </row>
    <row r="4329" spans="1:8" ht="21" x14ac:dyDescent="0.25">
      <c r="A4329" s="2" t="str">
        <f>HYPERLINK("https://rth.dk/resources/bsgatlas/details.php?id=BSGatlas-operon-2260","BSGatlas-operon-2260")</f>
        <v>BSGatlas-operon-2260</v>
      </c>
      <c r="B4329" s="2" t="str">
        <f>HYPERLINK("https://rth.dk/resources/bsgatlas/details.php?id=BSGatlas-gene-4672","BSGatlas-gene-4672")</f>
        <v>BSGatlas-gene-4672</v>
      </c>
      <c r="C4329" s="1" t="s">
        <v>4281</v>
      </c>
      <c r="D4329" s="1" t="s">
        <v>8</v>
      </c>
      <c r="E4329" s="3">
        <v>4135798</v>
      </c>
      <c r="F4329" s="3">
        <v>4137024</v>
      </c>
      <c r="G4329" s="1" t="s">
        <v>13</v>
      </c>
      <c r="H4329" s="1" t="b">
        <f t="shared" si="166"/>
        <v>0</v>
      </c>
    </row>
    <row r="4330" spans="1:8" ht="21" x14ac:dyDescent="0.25">
      <c r="A4330" s="2" t="str">
        <f>HYPERLINK("https://rth.dk/resources/bsgatlas/details.php?id=BSGatlas-operon-2261","BSGatlas-operon-2261")</f>
        <v>BSGatlas-operon-2261</v>
      </c>
      <c r="B4330" s="2" t="str">
        <f>HYPERLINK("https://rth.dk/resources/bsgatlas/details.php?id=BSGatlas-gene-4673","BSGatlas-gene-4673")</f>
        <v>BSGatlas-gene-4673</v>
      </c>
      <c r="C4330" s="1" t="s">
        <v>4282</v>
      </c>
      <c r="D4330" s="1" t="s">
        <v>8</v>
      </c>
      <c r="E4330" s="3">
        <v>4137087</v>
      </c>
      <c r="F4330" s="3">
        <v>4137257</v>
      </c>
      <c r="G4330" s="1" t="s">
        <v>13</v>
      </c>
      <c r="H4330" s="1" t="b">
        <f t="shared" si="166"/>
        <v>1</v>
      </c>
    </row>
    <row r="4331" spans="1:8" ht="21" x14ac:dyDescent="0.25">
      <c r="A4331" s="2" t="str">
        <f>HYPERLINK("https://rth.dk/resources/bsgatlas/details.php?id=BSGatlas-operon-2262","BSGatlas-operon-2262")</f>
        <v>BSGatlas-operon-2262</v>
      </c>
      <c r="B4331" s="2" t="str">
        <f>HYPERLINK("https://rth.dk/resources/bsgatlas/details.php?id=BSGatlas-gene-4674","BSGatlas-gene-4674")</f>
        <v>BSGatlas-gene-4674</v>
      </c>
      <c r="C4331" s="1" t="s">
        <v>4283</v>
      </c>
      <c r="D4331" s="1" t="s">
        <v>8</v>
      </c>
      <c r="E4331" s="3">
        <v>4137362</v>
      </c>
      <c r="F4331" s="3">
        <v>4137610</v>
      </c>
      <c r="G4331" s="1" t="s">
        <v>13</v>
      </c>
      <c r="H4331" s="1" t="b">
        <f t="shared" si="166"/>
        <v>0</v>
      </c>
    </row>
    <row r="4332" spans="1:8" ht="21" x14ac:dyDescent="0.25">
      <c r="A4332" s="2" t="str">
        <f>HYPERLINK("https://rth.dk/resources/bsgatlas/details.php?id=BSGatlas-operon-2262","BSGatlas-operon-2262")</f>
        <v>BSGatlas-operon-2262</v>
      </c>
      <c r="B4332" s="2" t="str">
        <f>HYPERLINK("https://rth.dk/resources/bsgatlas/details.php?id=BSGatlas-gene-4675","BSGatlas-gene-4675")</f>
        <v>BSGatlas-gene-4675</v>
      </c>
      <c r="C4332" s="1" t="s">
        <v>4284</v>
      </c>
      <c r="D4332" s="1" t="s">
        <v>8</v>
      </c>
      <c r="E4332" s="3">
        <v>4137626</v>
      </c>
      <c r="F4332" s="3">
        <v>4138789</v>
      </c>
      <c r="G4332" s="1" t="s">
        <v>13</v>
      </c>
      <c r="H4332" s="1" t="b">
        <f t="shared" si="166"/>
        <v>0</v>
      </c>
    </row>
    <row r="4333" spans="1:8" ht="21" x14ac:dyDescent="0.25">
      <c r="A4333" s="2" t="str">
        <f>HYPERLINK("https://rth.dk/resources/bsgatlas/details.php?id=BSGatlas-operon-2262","BSGatlas-operon-2262")</f>
        <v>BSGatlas-operon-2262</v>
      </c>
      <c r="B4333" s="2" t="str">
        <f>HYPERLINK("https://rth.dk/resources/bsgatlas/details.php?id=BSGatlas-gene-4676","BSGatlas-gene-4676")</f>
        <v>BSGatlas-gene-4676</v>
      </c>
      <c r="C4333" s="1" t="s">
        <v>4285</v>
      </c>
      <c r="D4333" s="1" t="s">
        <v>8</v>
      </c>
      <c r="E4333" s="3">
        <v>4138800</v>
      </c>
      <c r="F4333" s="3">
        <v>4139537</v>
      </c>
      <c r="G4333" s="1" t="s">
        <v>13</v>
      </c>
      <c r="H4333" s="1" t="b">
        <f t="shared" si="166"/>
        <v>0</v>
      </c>
    </row>
    <row r="4334" spans="1:8" ht="21" x14ac:dyDescent="0.25">
      <c r="A4334" s="2" t="str">
        <f>HYPERLINK("https://rth.dk/resources/bsgatlas/details.php?id=BSGatlas-operon-2263","BSGatlas-operon-2263")</f>
        <v>BSGatlas-operon-2263</v>
      </c>
      <c r="B4334" s="2" t="str">
        <f>HYPERLINK("https://rth.dk/resources/bsgatlas/details.php?id=BSGatlas-gene-4677","BSGatlas-gene-4677")</f>
        <v>BSGatlas-gene-4677</v>
      </c>
      <c r="C4334" s="1" t="s">
        <v>4286</v>
      </c>
      <c r="D4334" s="1" t="s">
        <v>8</v>
      </c>
      <c r="E4334" s="3">
        <v>4139679</v>
      </c>
      <c r="F4334" s="3">
        <v>4140149</v>
      </c>
      <c r="G4334" s="1" t="s">
        <v>13</v>
      </c>
      <c r="H4334" s="1" t="b">
        <f t="shared" si="166"/>
        <v>1</v>
      </c>
    </row>
    <row r="4335" spans="1:8" ht="21" x14ac:dyDescent="0.25">
      <c r="A4335" s="2" t="str">
        <f>HYPERLINK("https://rth.dk/resources/bsgatlas/details.php?id=BSGatlas-operon-2264","BSGatlas-operon-2264")</f>
        <v>BSGatlas-operon-2264</v>
      </c>
      <c r="B4335" s="2" t="str">
        <f>HYPERLINK("https://rth.dk/resources/bsgatlas/details.php?id=BSGatlas-gene-4678","BSGatlas-gene-4678")</f>
        <v>BSGatlas-gene-4678</v>
      </c>
      <c r="C4335" s="1" t="s">
        <v>4287</v>
      </c>
      <c r="D4335" s="1" t="s">
        <v>8</v>
      </c>
      <c r="E4335" s="3">
        <v>4140260</v>
      </c>
      <c r="F4335" s="3">
        <v>4141357</v>
      </c>
      <c r="G4335" s="1" t="s">
        <v>9</v>
      </c>
      <c r="H4335" s="1" t="b">
        <f t="shared" si="166"/>
        <v>0</v>
      </c>
    </row>
    <row r="4336" spans="1:8" ht="21" x14ac:dyDescent="0.25">
      <c r="A4336" s="2" t="str">
        <f>HYPERLINK("https://rth.dk/resources/bsgatlas/details.php?id=BSGatlas-operon-2264","BSGatlas-operon-2264")</f>
        <v>BSGatlas-operon-2264</v>
      </c>
      <c r="B4336" s="2" t="str">
        <f>HYPERLINK("https://rth.dk/resources/bsgatlas/details.php?id=BSGatlas-gene-4679","BSGatlas-gene-4679")</f>
        <v>BSGatlas-gene-4679</v>
      </c>
      <c r="C4336" s="1" t="s">
        <v>4288</v>
      </c>
      <c r="D4336" s="1" t="s">
        <v>8</v>
      </c>
      <c r="E4336" s="3">
        <v>4141358</v>
      </c>
      <c r="F4336" s="3">
        <v>4141474</v>
      </c>
      <c r="G4336" s="1" t="s">
        <v>9</v>
      </c>
      <c r="H4336" s="1" t="b">
        <f t="shared" si="166"/>
        <v>0</v>
      </c>
    </row>
    <row r="4337" spans="1:8" ht="21" x14ac:dyDescent="0.25">
      <c r="A4337" s="2" t="str">
        <f>HYPERLINK("https://rth.dk/resources/bsgatlas/details.php?id=BSGatlas-operon-2265","BSGatlas-operon-2265")</f>
        <v>BSGatlas-operon-2265</v>
      </c>
      <c r="B4337" s="2" t="str">
        <f>HYPERLINK("https://rth.dk/resources/bsgatlas/details.php?id=BSGatlas-gene-4680","BSGatlas-gene-4680")</f>
        <v>BSGatlas-gene-4680</v>
      </c>
      <c r="C4337" s="1" t="s">
        <v>4289</v>
      </c>
      <c r="D4337" s="1" t="s">
        <v>8</v>
      </c>
      <c r="E4337" s="3">
        <v>4141711</v>
      </c>
      <c r="F4337" s="3">
        <v>4142601</v>
      </c>
      <c r="G4337" s="1" t="s">
        <v>13</v>
      </c>
      <c r="H4337" s="1" t="b">
        <f t="shared" si="166"/>
        <v>1</v>
      </c>
    </row>
    <row r="4338" spans="1:8" ht="21" x14ac:dyDescent="0.25">
      <c r="A4338" s="2" t="str">
        <f>HYPERLINK("https://rth.dk/resources/bsgatlas/details.php?id=BSGatlas-operon-2265","BSGatlas-operon-2265")</f>
        <v>BSGatlas-operon-2265</v>
      </c>
      <c r="B4338" s="2" t="str">
        <f>HYPERLINK("https://rth.dk/resources/bsgatlas/details.php?id=BSGatlas-gene-4681","BSGatlas-gene-4681")</f>
        <v>BSGatlas-gene-4681</v>
      </c>
      <c r="C4338" s="1" t="s">
        <v>4290</v>
      </c>
      <c r="D4338" s="1" t="s">
        <v>8</v>
      </c>
      <c r="E4338" s="3">
        <v>4142675</v>
      </c>
      <c r="F4338" s="3">
        <v>4144078</v>
      </c>
      <c r="G4338" s="1" t="s">
        <v>13</v>
      </c>
      <c r="H4338" s="1" t="b">
        <f t="shared" si="166"/>
        <v>1</v>
      </c>
    </row>
    <row r="4339" spans="1:8" ht="21" x14ac:dyDescent="0.25">
      <c r="A4339" s="2" t="str">
        <f>HYPERLINK("https://rth.dk/resources/bsgatlas/details.php?id=BSGatlas-operon-2265","BSGatlas-operon-2265")</f>
        <v>BSGatlas-operon-2265</v>
      </c>
      <c r="B4339" s="2" t="str">
        <f>HYPERLINK("https://rth.dk/resources/bsgatlas/details.php?id=BSGatlas-gene-4682","BSGatlas-gene-4682")</f>
        <v>BSGatlas-gene-4682</v>
      </c>
      <c r="C4339" s="1" t="s">
        <v>4291</v>
      </c>
      <c r="D4339" s="1" t="s">
        <v>8</v>
      </c>
      <c r="E4339" s="3">
        <v>4144301</v>
      </c>
      <c r="F4339" s="3">
        <v>4145506</v>
      </c>
      <c r="G4339" s="1" t="s">
        <v>13</v>
      </c>
      <c r="H4339" s="1" t="b">
        <f t="shared" si="166"/>
        <v>1</v>
      </c>
    </row>
    <row r="4340" spans="1:8" ht="21" x14ac:dyDescent="0.25">
      <c r="A4340" s="2" t="str">
        <f>HYPERLINK("https://rth.dk/resources/bsgatlas/details.php?id=BSGatlas-operon-2266","BSGatlas-operon-2266")</f>
        <v>BSGatlas-operon-2266</v>
      </c>
      <c r="B4340" s="2" t="str">
        <f>HYPERLINK("https://rth.dk/resources/bsgatlas/details.php?id=BSGatlas-gene-4683","BSGatlas-gene-4683")</f>
        <v>BSGatlas-gene-4683</v>
      </c>
      <c r="C4340" s="1" t="s">
        <v>4292</v>
      </c>
      <c r="D4340" s="1" t="s">
        <v>8</v>
      </c>
      <c r="E4340" s="3">
        <v>4145747</v>
      </c>
      <c r="F4340" s="3">
        <v>4147132</v>
      </c>
      <c r="G4340" s="1" t="s">
        <v>9</v>
      </c>
      <c r="H4340" s="1" t="b">
        <f t="shared" si="166"/>
        <v>0</v>
      </c>
    </row>
    <row r="4341" spans="1:8" ht="21" x14ac:dyDescent="0.25">
      <c r="A4341" s="2" t="str">
        <f t="shared" ref="A4341:A4346" si="167">HYPERLINK("https://rth.dk/resources/bsgatlas/details.php?id=BSGatlas-operon-2267","BSGatlas-operon-2267")</f>
        <v>BSGatlas-operon-2267</v>
      </c>
      <c r="B4341" s="2" t="str">
        <f>HYPERLINK("https://rth.dk/resources/bsgatlas/details.php?id=BSGatlas-gene-4686","BSGatlas-gene-4686")</f>
        <v>BSGatlas-gene-4686</v>
      </c>
      <c r="C4341" s="1" t="s">
        <v>4293</v>
      </c>
      <c r="D4341" s="1" t="s">
        <v>8</v>
      </c>
      <c r="E4341" s="3">
        <v>4147567</v>
      </c>
      <c r="F4341" s="3">
        <v>4148769</v>
      </c>
      <c r="G4341" s="1" t="s">
        <v>13</v>
      </c>
      <c r="H4341" s="1" t="b">
        <f t="shared" si="166"/>
        <v>1</v>
      </c>
    </row>
    <row r="4342" spans="1:8" ht="21" x14ac:dyDescent="0.25">
      <c r="A4342" s="2" t="str">
        <f t="shared" si="167"/>
        <v>BSGatlas-operon-2267</v>
      </c>
      <c r="B4342" s="2" t="str">
        <f>HYPERLINK("https://rth.dk/resources/bsgatlas/details.php?id=BSGatlas-gene-4687","BSGatlas-gene-4687")</f>
        <v>BSGatlas-gene-4687</v>
      </c>
      <c r="C4342" s="1" t="s">
        <v>4294</v>
      </c>
      <c r="D4342" s="1" t="s">
        <v>8</v>
      </c>
      <c r="E4342" s="3">
        <v>4148851</v>
      </c>
      <c r="F4342" s="3">
        <v>4149645</v>
      </c>
      <c r="G4342" s="1" t="s">
        <v>13</v>
      </c>
      <c r="H4342" s="1" t="b">
        <f t="shared" si="166"/>
        <v>1</v>
      </c>
    </row>
    <row r="4343" spans="1:8" ht="21" x14ac:dyDescent="0.25">
      <c r="A4343" s="2" t="str">
        <f t="shared" si="167"/>
        <v>BSGatlas-operon-2267</v>
      </c>
      <c r="B4343" s="2" t="str">
        <f>HYPERLINK("https://rth.dk/resources/bsgatlas/details.php?id=BSGatlas-gene-4688","BSGatlas-gene-4688")</f>
        <v>BSGatlas-gene-4688</v>
      </c>
      <c r="C4343" s="1" t="s">
        <v>4295</v>
      </c>
      <c r="D4343" s="1" t="s">
        <v>8</v>
      </c>
      <c r="E4343" s="3">
        <v>4149667</v>
      </c>
      <c r="F4343" s="3">
        <v>4150509</v>
      </c>
      <c r="G4343" s="1" t="s">
        <v>13</v>
      </c>
      <c r="H4343" s="1" t="b">
        <f t="shared" si="166"/>
        <v>1</v>
      </c>
    </row>
    <row r="4344" spans="1:8" ht="21" x14ac:dyDescent="0.25">
      <c r="A4344" s="2" t="str">
        <f t="shared" si="167"/>
        <v>BSGatlas-operon-2267</v>
      </c>
      <c r="B4344" s="2" t="str">
        <f>HYPERLINK("https://rth.dk/resources/bsgatlas/details.php?id=BSGatlas-gene-4689","BSGatlas-gene-4689")</f>
        <v>BSGatlas-gene-4689</v>
      </c>
      <c r="C4344" s="1" t="s">
        <v>4296</v>
      </c>
      <c r="D4344" s="1" t="s">
        <v>8</v>
      </c>
      <c r="E4344" s="3">
        <v>4150496</v>
      </c>
      <c r="F4344" s="3">
        <v>4151863</v>
      </c>
      <c r="G4344" s="1" t="s">
        <v>13</v>
      </c>
      <c r="H4344" s="1" t="b">
        <f t="shared" si="166"/>
        <v>1</v>
      </c>
    </row>
    <row r="4345" spans="1:8" ht="21" x14ac:dyDescent="0.25">
      <c r="A4345" s="2" t="str">
        <f t="shared" si="167"/>
        <v>BSGatlas-operon-2267</v>
      </c>
      <c r="B4345" s="2" t="str">
        <f>HYPERLINK("https://rth.dk/resources/bsgatlas/details.php?id=BSGatlas-gene-4690","BSGatlas-gene-4690")</f>
        <v>BSGatlas-gene-4690</v>
      </c>
      <c r="C4345" s="1" t="s">
        <v>4297</v>
      </c>
      <c r="D4345" s="1" t="s">
        <v>8</v>
      </c>
      <c r="E4345" s="3">
        <v>4151853</v>
      </c>
      <c r="F4345" s="3">
        <v>4153688</v>
      </c>
      <c r="G4345" s="1" t="s">
        <v>13</v>
      </c>
      <c r="H4345" s="1" t="b">
        <f t="shared" si="166"/>
        <v>1</v>
      </c>
    </row>
    <row r="4346" spans="1:8" ht="21" x14ac:dyDescent="0.25">
      <c r="A4346" s="2" t="str">
        <f t="shared" si="167"/>
        <v>BSGatlas-operon-2267</v>
      </c>
      <c r="B4346" s="2" t="str">
        <f>HYPERLINK("https://rth.dk/resources/bsgatlas/details.php?id=BSGatlas-gene-4691","BSGatlas-gene-4691")</f>
        <v>BSGatlas-gene-4691</v>
      </c>
      <c r="C4346" s="1" t="s">
        <v>4298</v>
      </c>
      <c r="D4346" s="1" t="s">
        <v>8</v>
      </c>
      <c r="E4346" s="3">
        <v>4153696</v>
      </c>
      <c r="F4346" s="3">
        <v>4154403</v>
      </c>
      <c r="G4346" s="1" t="s">
        <v>13</v>
      </c>
      <c r="H4346" s="1" t="b">
        <f t="shared" si="166"/>
        <v>1</v>
      </c>
    </row>
    <row r="4347" spans="1:8" ht="21" x14ac:dyDescent="0.25">
      <c r="A4347" s="2" t="str">
        <f>HYPERLINK("https://rth.dk/resources/bsgatlas/details.php?id=BSGatlas-operon-2268","BSGatlas-operon-2268")</f>
        <v>BSGatlas-operon-2268</v>
      </c>
      <c r="B4347" s="2" t="str">
        <f>HYPERLINK("https://rth.dk/resources/bsgatlas/details.php?id=BSGatlas-gene-4692","BSGatlas-gene-4692")</f>
        <v>BSGatlas-gene-4692</v>
      </c>
      <c r="C4347" s="1" t="s">
        <v>4299</v>
      </c>
      <c r="D4347" s="1" t="s">
        <v>23</v>
      </c>
      <c r="E4347" s="3">
        <v>4154786</v>
      </c>
      <c r="F4347" s="3">
        <v>4154859</v>
      </c>
      <c r="G4347" s="1" t="s">
        <v>13</v>
      </c>
      <c r="H4347" s="1" t="b">
        <f t="shared" si="166"/>
        <v>0</v>
      </c>
    </row>
    <row r="4348" spans="1:8" ht="21" x14ac:dyDescent="0.25">
      <c r="A4348" s="2" t="str">
        <f>HYPERLINK("https://rth.dk/resources/bsgatlas/details.php?id=BSGatlas-operon-2269","BSGatlas-operon-2269")</f>
        <v>BSGatlas-operon-2269</v>
      </c>
      <c r="B4348" s="2" t="str">
        <f>HYPERLINK("https://rth.dk/resources/bsgatlas/details.php?id=BSGatlas-gene-4695","BSGatlas-gene-4695")</f>
        <v>BSGatlas-gene-4695</v>
      </c>
      <c r="C4348" s="1" t="s">
        <v>4300</v>
      </c>
      <c r="D4348" s="1" t="s">
        <v>23</v>
      </c>
      <c r="E4348" s="3">
        <v>4155134</v>
      </c>
      <c r="F4348" s="3">
        <v>4155209</v>
      </c>
      <c r="G4348" s="1" t="s">
        <v>13</v>
      </c>
      <c r="H4348" s="1" t="b">
        <f t="shared" si="166"/>
        <v>1</v>
      </c>
    </row>
    <row r="4349" spans="1:8" ht="21" x14ac:dyDescent="0.25">
      <c r="A4349" s="2" t="str">
        <f>HYPERLINK("https://rth.dk/resources/bsgatlas/details.php?id=BSGatlas-operon-2270","BSGatlas-operon-2270")</f>
        <v>BSGatlas-operon-2270</v>
      </c>
      <c r="B4349" s="2" t="str">
        <f>HYPERLINK("https://rth.dk/resources/bsgatlas/details.php?id=BSGatlas-gene-4696","BSGatlas-gene-4696")</f>
        <v>BSGatlas-gene-4696</v>
      </c>
      <c r="C4349" s="1" t="s">
        <v>4301</v>
      </c>
      <c r="D4349" s="1" t="s">
        <v>8</v>
      </c>
      <c r="E4349" s="3">
        <v>4155433</v>
      </c>
      <c r="F4349" s="3">
        <v>4156725</v>
      </c>
      <c r="G4349" s="1" t="s">
        <v>13</v>
      </c>
      <c r="H4349" s="1" t="b">
        <f t="shared" si="166"/>
        <v>0</v>
      </c>
    </row>
    <row r="4350" spans="1:8" ht="21" x14ac:dyDescent="0.25">
      <c r="A4350" s="2" t="str">
        <f>HYPERLINK("https://rth.dk/resources/bsgatlas/details.php?id=BSGatlas-operon-2270","BSGatlas-operon-2270")</f>
        <v>BSGatlas-operon-2270</v>
      </c>
      <c r="B4350" s="2" t="str">
        <f>HYPERLINK("https://rth.dk/resources/bsgatlas/details.php?id=BSGatlas-gene-4697","BSGatlas-gene-4697")</f>
        <v>BSGatlas-gene-4697</v>
      </c>
      <c r="C4350" s="1" t="s">
        <v>4302</v>
      </c>
      <c r="D4350" s="1" t="s">
        <v>8</v>
      </c>
      <c r="E4350" s="3">
        <v>4156931</v>
      </c>
      <c r="F4350" s="3">
        <v>4157350</v>
      </c>
      <c r="G4350" s="1" t="s">
        <v>13</v>
      </c>
      <c r="H4350" s="1" t="b">
        <f t="shared" si="166"/>
        <v>0</v>
      </c>
    </row>
    <row r="4351" spans="1:8" ht="21" x14ac:dyDescent="0.25">
      <c r="A4351" s="2" t="str">
        <f>HYPERLINK("https://rth.dk/resources/bsgatlas/details.php?id=BSGatlas-operon-2271","BSGatlas-operon-2271")</f>
        <v>BSGatlas-operon-2271</v>
      </c>
      <c r="B4351" s="2" t="str">
        <f>HYPERLINK("https://rth.dk/resources/bsgatlas/details.php?id=BSGatlas-gene-4698","BSGatlas-gene-4698")</f>
        <v>BSGatlas-gene-4698</v>
      </c>
      <c r="C4351" s="1" t="s">
        <v>4303</v>
      </c>
      <c r="D4351" s="1" t="s">
        <v>8</v>
      </c>
      <c r="E4351" s="3">
        <v>4157471</v>
      </c>
      <c r="F4351" s="3">
        <v>4158835</v>
      </c>
      <c r="G4351" s="1" t="s">
        <v>13</v>
      </c>
      <c r="H4351" s="1" t="b">
        <f t="shared" si="166"/>
        <v>1</v>
      </c>
    </row>
    <row r="4352" spans="1:8" ht="21" x14ac:dyDescent="0.25">
      <c r="A4352" s="2" t="str">
        <f>HYPERLINK("https://rth.dk/resources/bsgatlas/details.php?id=BSGatlas-operon-2272","BSGatlas-operon-2272")</f>
        <v>BSGatlas-operon-2272</v>
      </c>
      <c r="B4352" s="2" t="str">
        <f>HYPERLINK("https://rth.dk/resources/bsgatlas/details.php?id=BSGatlas-gene-4699","BSGatlas-gene-4699")</f>
        <v>BSGatlas-gene-4699</v>
      </c>
      <c r="C4352" s="1" t="s">
        <v>4304</v>
      </c>
      <c r="D4352" s="1" t="s">
        <v>8</v>
      </c>
      <c r="E4352" s="3">
        <v>4159005</v>
      </c>
      <c r="F4352" s="3">
        <v>4159205</v>
      </c>
      <c r="G4352" s="1" t="s">
        <v>9</v>
      </c>
      <c r="H4352" s="1" t="b">
        <f t="shared" si="166"/>
        <v>0</v>
      </c>
    </row>
    <row r="4353" spans="1:8" ht="21" x14ac:dyDescent="0.25">
      <c r="A4353" s="2" t="str">
        <f>HYPERLINK("https://rth.dk/resources/bsgatlas/details.php?id=BSGatlas-operon-2273","BSGatlas-operon-2273")</f>
        <v>BSGatlas-operon-2273</v>
      </c>
      <c r="B4353" s="2" t="str">
        <f>HYPERLINK("https://rth.dk/resources/bsgatlas/details.php?id=BSGatlas-gene-4700","BSGatlas-gene-4700")</f>
        <v>BSGatlas-gene-4700</v>
      </c>
      <c r="C4353" s="1" t="s">
        <v>4305</v>
      </c>
      <c r="D4353" s="1" t="s">
        <v>8</v>
      </c>
      <c r="E4353" s="3">
        <v>4159253</v>
      </c>
      <c r="F4353" s="3">
        <v>4159456</v>
      </c>
      <c r="G4353" s="1" t="s">
        <v>13</v>
      </c>
      <c r="H4353" s="1" t="b">
        <f t="shared" si="166"/>
        <v>1</v>
      </c>
    </row>
    <row r="4354" spans="1:8" ht="21" x14ac:dyDescent="0.25">
      <c r="A4354" s="2" t="str">
        <f>HYPERLINK("https://rth.dk/resources/bsgatlas/details.php?id=BSGatlas-operon-2274","BSGatlas-operon-2274")</f>
        <v>BSGatlas-operon-2274</v>
      </c>
      <c r="B4354" s="2" t="str">
        <f>HYPERLINK("https://rth.dk/resources/bsgatlas/details.php?id=BSGatlas-gene-4701","BSGatlas-gene-4701")</f>
        <v>BSGatlas-gene-4701</v>
      </c>
      <c r="C4354" s="1" t="s">
        <v>4306</v>
      </c>
      <c r="D4354" s="1" t="s">
        <v>8</v>
      </c>
      <c r="E4354" s="3">
        <v>4159577</v>
      </c>
      <c r="F4354" s="3">
        <v>4159717</v>
      </c>
      <c r="G4354" s="1" t="s">
        <v>9</v>
      </c>
      <c r="H4354" s="1" t="b">
        <f t="shared" ref="H4354:H4417" si="168">_xlfn.XOR(A4353&lt;&gt;A4354,H4353)</f>
        <v>0</v>
      </c>
    </row>
    <row r="4355" spans="1:8" ht="21" x14ac:dyDescent="0.25">
      <c r="A4355" s="2" t="str">
        <f>HYPERLINK("https://rth.dk/resources/bsgatlas/details.php?id=BSGatlas-operon-2274","BSGatlas-operon-2274")</f>
        <v>BSGatlas-operon-2274</v>
      </c>
      <c r="B4355" s="2" t="str">
        <f>HYPERLINK("https://rth.dk/resources/bsgatlas/details.php?id=BSGatlas-gene-4702","BSGatlas-gene-4702")</f>
        <v>BSGatlas-gene-4702</v>
      </c>
      <c r="C4355" s="1" t="s">
        <v>4307</v>
      </c>
      <c r="D4355" s="1" t="s">
        <v>8</v>
      </c>
      <c r="E4355" s="3">
        <v>4159790</v>
      </c>
      <c r="F4355" s="3">
        <v>4160998</v>
      </c>
      <c r="G4355" s="1" t="s">
        <v>9</v>
      </c>
      <c r="H4355" s="1" t="b">
        <f t="shared" si="168"/>
        <v>0</v>
      </c>
    </row>
    <row r="4356" spans="1:8" ht="21" x14ac:dyDescent="0.25">
      <c r="A4356" s="2" t="str">
        <f>HYPERLINK("https://rth.dk/resources/bsgatlas/details.php?id=BSGatlas-operon-2274","BSGatlas-operon-2274")</f>
        <v>BSGatlas-operon-2274</v>
      </c>
      <c r="B4356" s="2" t="str">
        <f>HYPERLINK("https://rth.dk/resources/bsgatlas/details.php?id=BSGatlas-gene-4703","BSGatlas-gene-4703")</f>
        <v>BSGatlas-gene-4703</v>
      </c>
      <c r="C4356" s="1" t="s">
        <v>4308</v>
      </c>
      <c r="D4356" s="1" t="s">
        <v>8</v>
      </c>
      <c r="E4356" s="3">
        <v>4161103</v>
      </c>
      <c r="F4356" s="3">
        <v>4163160</v>
      </c>
      <c r="G4356" s="1" t="s">
        <v>9</v>
      </c>
      <c r="H4356" s="1" t="b">
        <f t="shared" si="168"/>
        <v>0</v>
      </c>
    </row>
    <row r="4357" spans="1:8" ht="21" x14ac:dyDescent="0.25">
      <c r="A4357" s="2" t="str">
        <f>HYPERLINK("https://rth.dk/resources/bsgatlas/details.php?id=BSGatlas-operon-2275","BSGatlas-operon-2275")</f>
        <v>BSGatlas-operon-2275</v>
      </c>
      <c r="B4357" s="2" t="str">
        <f>HYPERLINK("https://rth.dk/resources/bsgatlas/details.php?id=BSGatlas-gene-4704","BSGatlas-gene-4704")</f>
        <v>BSGatlas-gene-4704</v>
      </c>
      <c r="C4357" s="1" t="s">
        <v>4309</v>
      </c>
      <c r="D4357" s="1" t="s">
        <v>8</v>
      </c>
      <c r="E4357" s="3">
        <v>4163197</v>
      </c>
      <c r="F4357" s="3">
        <v>4163646</v>
      </c>
      <c r="G4357" s="1" t="s">
        <v>13</v>
      </c>
      <c r="H4357" s="1" t="b">
        <f t="shared" si="168"/>
        <v>1</v>
      </c>
    </row>
    <row r="4358" spans="1:8" ht="21" x14ac:dyDescent="0.25">
      <c r="A4358" s="2" t="str">
        <f>HYPERLINK("https://rth.dk/resources/bsgatlas/details.php?id=BSGatlas-operon-2275","BSGatlas-operon-2275")</f>
        <v>BSGatlas-operon-2275</v>
      </c>
      <c r="B4358" s="2" t="str">
        <f>HYPERLINK("https://rth.dk/resources/bsgatlas/details.php?id=BSGatlas-gene-4705","BSGatlas-gene-4705")</f>
        <v>BSGatlas-gene-4705</v>
      </c>
      <c r="C4358" s="1" t="s">
        <v>4310</v>
      </c>
      <c r="D4358" s="1" t="s">
        <v>8</v>
      </c>
      <c r="E4358" s="3">
        <v>4163643</v>
      </c>
      <c r="F4358" s="3">
        <v>4165622</v>
      </c>
      <c r="G4358" s="1" t="s">
        <v>13</v>
      </c>
      <c r="H4358" s="1" t="b">
        <f t="shared" si="168"/>
        <v>1</v>
      </c>
    </row>
    <row r="4359" spans="1:8" ht="21" x14ac:dyDescent="0.25">
      <c r="A4359" s="2" t="str">
        <f>HYPERLINK("https://rth.dk/resources/bsgatlas/details.php?id=BSGatlas-operon-2275","BSGatlas-operon-2275")</f>
        <v>BSGatlas-operon-2275</v>
      </c>
      <c r="B4359" s="2" t="str">
        <f>HYPERLINK("https://rth.dk/resources/bsgatlas/details.php?id=BSGatlas-gene-4707","BSGatlas-gene-4707")</f>
        <v>BSGatlas-gene-4707</v>
      </c>
      <c r="C4359" s="1" t="s">
        <v>4311</v>
      </c>
      <c r="D4359" s="1" t="s">
        <v>8</v>
      </c>
      <c r="E4359" s="3">
        <v>4165659</v>
      </c>
      <c r="F4359" s="3">
        <v>4166588</v>
      </c>
      <c r="G4359" s="1" t="s">
        <v>13</v>
      </c>
      <c r="H4359" s="1" t="b">
        <f t="shared" si="168"/>
        <v>1</v>
      </c>
    </row>
    <row r="4360" spans="1:8" ht="21" x14ac:dyDescent="0.25">
      <c r="A4360" s="2" t="str">
        <f>HYPERLINK("https://rth.dk/resources/bsgatlas/details.php?id=BSGatlas-operon-2276","BSGatlas-operon-2276")</f>
        <v>BSGatlas-operon-2276</v>
      </c>
      <c r="B4360" s="2" t="str">
        <f>HYPERLINK("https://rth.dk/resources/bsgatlas/details.php?id=BSGatlas-gene-4706","BSGatlas-gene-4706")</f>
        <v>BSGatlas-gene-4706</v>
      </c>
      <c r="C4360" s="1" t="s">
        <v>4312</v>
      </c>
      <c r="D4360" s="1" t="s">
        <v>12</v>
      </c>
      <c r="E4360" s="3">
        <v>4164565</v>
      </c>
      <c r="F4360" s="3">
        <v>4165231</v>
      </c>
      <c r="G4360" s="1" t="s">
        <v>9</v>
      </c>
      <c r="H4360" s="1" t="b">
        <f t="shared" si="168"/>
        <v>0</v>
      </c>
    </row>
    <row r="4361" spans="1:8" ht="21" x14ac:dyDescent="0.25">
      <c r="A4361" s="2" t="str">
        <f>HYPERLINK("https://rth.dk/resources/bsgatlas/details.php?id=BSGatlas-operon-2277","BSGatlas-operon-2277")</f>
        <v>BSGatlas-operon-2277</v>
      </c>
      <c r="B4361" s="2" t="str">
        <f>HYPERLINK("https://rth.dk/resources/bsgatlas/details.php?id=BSGatlas-gene-4709","BSGatlas-gene-4709")</f>
        <v>BSGatlas-gene-4709</v>
      </c>
      <c r="C4361" s="1" t="s">
        <v>4313</v>
      </c>
      <c r="D4361" s="1" t="s">
        <v>8</v>
      </c>
      <c r="E4361" s="3">
        <v>4166815</v>
      </c>
      <c r="F4361" s="3">
        <v>4166964</v>
      </c>
      <c r="G4361" s="1" t="s">
        <v>13</v>
      </c>
      <c r="H4361" s="1" t="b">
        <f t="shared" si="168"/>
        <v>1</v>
      </c>
    </row>
    <row r="4362" spans="1:8" ht="21" x14ac:dyDescent="0.25">
      <c r="A4362" s="2" t="str">
        <f>HYPERLINK("https://rth.dk/resources/bsgatlas/details.php?id=BSGatlas-operon-2278","BSGatlas-operon-2278")</f>
        <v>BSGatlas-operon-2278</v>
      </c>
      <c r="B4362" s="2" t="str">
        <f>HYPERLINK("https://rth.dk/resources/bsgatlas/details.php?id=BSGatlas-gene-4710","BSGatlas-gene-4710")</f>
        <v>BSGatlas-gene-4710</v>
      </c>
      <c r="C4362" s="1" t="s">
        <v>4314</v>
      </c>
      <c r="D4362" s="1" t="s">
        <v>8</v>
      </c>
      <c r="E4362" s="3">
        <v>4167110</v>
      </c>
      <c r="F4362" s="3">
        <v>4167592</v>
      </c>
      <c r="G4362" s="1" t="s">
        <v>9</v>
      </c>
      <c r="H4362" s="1" t="b">
        <f t="shared" si="168"/>
        <v>0</v>
      </c>
    </row>
    <row r="4363" spans="1:8" ht="21" x14ac:dyDescent="0.25">
      <c r="A4363" s="2" t="str">
        <f>HYPERLINK("https://rth.dk/resources/bsgatlas/details.php?id=BSGatlas-operon-2279","BSGatlas-operon-2279")</f>
        <v>BSGatlas-operon-2279</v>
      </c>
      <c r="B4363" s="2" t="str">
        <f>HYPERLINK("https://rth.dk/resources/bsgatlas/details.php?id=BSGatlas-gene-4711","BSGatlas-gene-4711")</f>
        <v>BSGatlas-gene-4711</v>
      </c>
      <c r="C4363" s="1" t="s">
        <v>4315</v>
      </c>
      <c r="D4363" s="1" t="s">
        <v>8</v>
      </c>
      <c r="E4363" s="3">
        <v>4167622</v>
      </c>
      <c r="F4363" s="3">
        <v>4167999</v>
      </c>
      <c r="G4363" s="1" t="s">
        <v>13</v>
      </c>
      <c r="H4363" s="1" t="b">
        <f t="shared" si="168"/>
        <v>1</v>
      </c>
    </row>
    <row r="4364" spans="1:8" ht="21" x14ac:dyDescent="0.25">
      <c r="A4364" s="2" t="str">
        <f>HYPERLINK("https://rth.dk/resources/bsgatlas/details.php?id=BSGatlas-operon-2280","BSGatlas-operon-2280")</f>
        <v>BSGatlas-operon-2280</v>
      </c>
      <c r="B4364" s="2" t="str">
        <f>HYPERLINK("https://rth.dk/resources/bsgatlas/details.php?id=BSGatlas-gene-4712","BSGatlas-gene-4712")</f>
        <v>BSGatlas-gene-4712</v>
      </c>
      <c r="C4364" s="1" t="s">
        <v>4316</v>
      </c>
      <c r="D4364" s="1" t="s">
        <v>8</v>
      </c>
      <c r="E4364" s="3">
        <v>4168204</v>
      </c>
      <c r="F4364" s="3">
        <v>4169133</v>
      </c>
      <c r="G4364" s="1" t="s">
        <v>9</v>
      </c>
      <c r="H4364" s="1" t="b">
        <f t="shared" si="168"/>
        <v>0</v>
      </c>
    </row>
    <row r="4365" spans="1:8" ht="21" x14ac:dyDescent="0.25">
      <c r="A4365" s="2" t="str">
        <f>HYPERLINK("https://rth.dk/resources/bsgatlas/details.php?id=BSGatlas-operon-2281","BSGatlas-operon-2281")</f>
        <v>BSGatlas-operon-2281</v>
      </c>
      <c r="B4365" s="2" t="str">
        <f>HYPERLINK("https://rth.dk/resources/bsgatlas/details.php?id=BSGatlas-gene-4713","BSGatlas-gene-4713")</f>
        <v>BSGatlas-gene-4713</v>
      </c>
      <c r="C4365" s="1" t="s">
        <v>4317</v>
      </c>
      <c r="D4365" s="1" t="s">
        <v>8</v>
      </c>
      <c r="E4365" s="3">
        <v>4169166</v>
      </c>
      <c r="F4365" s="3">
        <v>4169612</v>
      </c>
      <c r="G4365" s="1" t="s">
        <v>13</v>
      </c>
      <c r="H4365" s="1" t="b">
        <f t="shared" si="168"/>
        <v>1</v>
      </c>
    </row>
    <row r="4366" spans="1:8" ht="21" x14ac:dyDescent="0.25">
      <c r="A4366" s="2" t="str">
        <f>HYPERLINK("https://rth.dk/resources/bsgatlas/details.php?id=BSGatlas-operon-2282","BSGatlas-operon-2282")</f>
        <v>BSGatlas-operon-2282</v>
      </c>
      <c r="B4366" s="2" t="str">
        <f>HYPERLINK("https://rth.dk/resources/bsgatlas/details.php?id=BSGatlas-gene-4715","BSGatlas-gene-4715")</f>
        <v>BSGatlas-gene-4715</v>
      </c>
      <c r="C4366" s="1" t="s">
        <v>4318</v>
      </c>
      <c r="D4366" s="1" t="s">
        <v>8</v>
      </c>
      <c r="E4366" s="3">
        <v>4170045</v>
      </c>
      <c r="F4366" s="3">
        <v>4171352</v>
      </c>
      <c r="G4366" s="1" t="s">
        <v>9</v>
      </c>
      <c r="H4366" s="1" t="b">
        <f t="shared" si="168"/>
        <v>0</v>
      </c>
    </row>
    <row r="4367" spans="1:8" ht="21" x14ac:dyDescent="0.25">
      <c r="A4367" s="2" t="str">
        <f>HYPERLINK("https://rth.dk/resources/bsgatlas/details.php?id=BSGatlas-operon-2283","BSGatlas-operon-2283")</f>
        <v>BSGatlas-operon-2283</v>
      </c>
      <c r="B4367" s="2" t="str">
        <f>HYPERLINK("https://rth.dk/resources/bsgatlas/details.php?id=BSGatlas-gene-4716","BSGatlas-gene-4716")</f>
        <v>BSGatlas-gene-4716</v>
      </c>
      <c r="C4367" s="1" t="s">
        <v>4319</v>
      </c>
      <c r="D4367" s="1" t="s">
        <v>276</v>
      </c>
      <c r="E4367" s="3">
        <v>4171396</v>
      </c>
      <c r="F4367" s="3">
        <v>4171635</v>
      </c>
      <c r="G4367" s="1" t="s">
        <v>13</v>
      </c>
      <c r="H4367" s="1" t="b">
        <f t="shared" si="168"/>
        <v>1</v>
      </c>
    </row>
    <row r="4368" spans="1:8" ht="21" x14ac:dyDescent="0.25">
      <c r="A4368" s="2" t="str">
        <f>HYPERLINK("https://rth.dk/resources/bsgatlas/details.php?id=BSGatlas-operon-2284","BSGatlas-operon-2284")</f>
        <v>BSGatlas-operon-2284</v>
      </c>
      <c r="B4368" s="2" t="str">
        <f>HYPERLINK("https://rth.dk/resources/bsgatlas/details.php?id=BSGatlas-gene-4720","BSGatlas-gene-4720")</f>
        <v>BSGatlas-gene-4720</v>
      </c>
      <c r="C4368" s="1" t="s">
        <v>4320</v>
      </c>
      <c r="D4368" s="1" t="s">
        <v>276</v>
      </c>
      <c r="E4368" s="3">
        <v>4172387</v>
      </c>
      <c r="F4368" s="3">
        <v>4172536</v>
      </c>
      <c r="G4368" s="1" t="s">
        <v>13</v>
      </c>
      <c r="H4368" s="1" t="b">
        <f t="shared" si="168"/>
        <v>0</v>
      </c>
    </row>
    <row r="4369" spans="1:8" ht="21" x14ac:dyDescent="0.25">
      <c r="A4369" s="2" t="str">
        <f>HYPERLINK("https://rth.dk/resources/bsgatlas/details.php?id=BSGatlas-operon-2285","BSGatlas-operon-2285")</f>
        <v>BSGatlas-operon-2285</v>
      </c>
      <c r="B4369" s="2" t="str">
        <f>HYPERLINK("https://rth.dk/resources/bsgatlas/details.php?id=BSGatlas-gene-4721","BSGatlas-gene-4721")</f>
        <v>BSGatlas-gene-4721</v>
      </c>
      <c r="C4369" s="1" t="s">
        <v>4321</v>
      </c>
      <c r="D4369" s="1" t="s">
        <v>8</v>
      </c>
      <c r="E4369" s="3">
        <v>4173114</v>
      </c>
      <c r="F4369" s="3">
        <v>4173551</v>
      </c>
      <c r="G4369" s="1" t="s">
        <v>9</v>
      </c>
      <c r="H4369" s="1" t="b">
        <f t="shared" si="168"/>
        <v>1</v>
      </c>
    </row>
    <row r="4370" spans="1:8" ht="21" x14ac:dyDescent="0.25">
      <c r="A4370" s="2" t="str">
        <f>HYPERLINK("https://rth.dk/resources/bsgatlas/details.php?id=BSGatlas-operon-2285","BSGatlas-operon-2285")</f>
        <v>BSGatlas-operon-2285</v>
      </c>
      <c r="B4370" s="2" t="str">
        <f>HYPERLINK("https://rth.dk/resources/bsgatlas/details.php?id=BSGatlas-gene-4722","BSGatlas-gene-4722")</f>
        <v>BSGatlas-gene-4722</v>
      </c>
      <c r="C4370" s="1" t="s">
        <v>4322</v>
      </c>
      <c r="D4370" s="1" t="s">
        <v>8</v>
      </c>
      <c r="E4370" s="3">
        <v>4173665</v>
      </c>
      <c r="F4370" s="3">
        <v>4174420</v>
      </c>
      <c r="G4370" s="1" t="s">
        <v>9</v>
      </c>
      <c r="H4370" s="1" t="b">
        <f t="shared" si="168"/>
        <v>1</v>
      </c>
    </row>
    <row r="4371" spans="1:8" ht="21" x14ac:dyDescent="0.25">
      <c r="A4371" s="2" t="str">
        <f>HYPERLINK("https://rth.dk/resources/bsgatlas/details.php?id=BSGatlas-operon-2285","BSGatlas-operon-2285")</f>
        <v>BSGatlas-operon-2285</v>
      </c>
      <c r="B4371" s="2" t="str">
        <f>HYPERLINK("https://rth.dk/resources/bsgatlas/details.php?id=BSGatlas-gene-4723","BSGatlas-gene-4723")</f>
        <v>BSGatlas-gene-4723</v>
      </c>
      <c r="C4371" s="1" t="s">
        <v>4323</v>
      </c>
      <c r="D4371" s="1" t="s">
        <v>8</v>
      </c>
      <c r="E4371" s="3">
        <v>4174410</v>
      </c>
      <c r="F4371" s="3">
        <v>4175120</v>
      </c>
      <c r="G4371" s="1" t="s">
        <v>9</v>
      </c>
      <c r="H4371" s="1" t="b">
        <f t="shared" si="168"/>
        <v>1</v>
      </c>
    </row>
    <row r="4372" spans="1:8" ht="21" x14ac:dyDescent="0.25">
      <c r="A4372" s="2" t="str">
        <f>HYPERLINK("https://rth.dk/resources/bsgatlas/details.php?id=BSGatlas-operon-2285","BSGatlas-operon-2285")</f>
        <v>BSGatlas-operon-2285</v>
      </c>
      <c r="B4372" s="2" t="str">
        <f>HYPERLINK("https://rth.dk/resources/bsgatlas/details.php?id=BSGatlas-gene-4724","BSGatlas-gene-4724")</f>
        <v>BSGatlas-gene-4724</v>
      </c>
      <c r="C4372" s="1" t="s">
        <v>4324</v>
      </c>
      <c r="D4372" s="1" t="s">
        <v>8</v>
      </c>
      <c r="E4372" s="3">
        <v>4175117</v>
      </c>
      <c r="F4372" s="3">
        <v>4175872</v>
      </c>
      <c r="G4372" s="1" t="s">
        <v>9</v>
      </c>
      <c r="H4372" s="1" t="b">
        <f t="shared" si="168"/>
        <v>1</v>
      </c>
    </row>
    <row r="4373" spans="1:8" ht="21" x14ac:dyDescent="0.25">
      <c r="A4373" s="2" t="str">
        <f>HYPERLINK("https://rth.dk/resources/bsgatlas/details.php?id=BSGatlas-operon-2285","BSGatlas-operon-2285")</f>
        <v>BSGatlas-operon-2285</v>
      </c>
      <c r="B4373" s="2" t="str">
        <f>HYPERLINK("https://rth.dk/resources/bsgatlas/details.php?id=BSGatlas-gene-4725","BSGatlas-gene-4725")</f>
        <v>BSGatlas-gene-4725</v>
      </c>
      <c r="C4373" s="1" t="s">
        <v>4325</v>
      </c>
      <c r="D4373" s="1" t="s">
        <v>8</v>
      </c>
      <c r="E4373" s="3">
        <v>4175869</v>
      </c>
      <c r="F4373" s="3">
        <v>4176525</v>
      </c>
      <c r="G4373" s="1" t="s">
        <v>9</v>
      </c>
      <c r="H4373" s="1" t="b">
        <f t="shared" si="168"/>
        <v>1</v>
      </c>
    </row>
    <row r="4374" spans="1:8" ht="21" x14ac:dyDescent="0.25">
      <c r="A4374" s="2" t="str">
        <f>HYPERLINK("https://rth.dk/resources/bsgatlas/details.php?id=BSGatlas-operon-2286","BSGatlas-operon-2286")</f>
        <v>BSGatlas-operon-2286</v>
      </c>
      <c r="B4374" s="2" t="str">
        <f>HYPERLINK("https://rth.dk/resources/bsgatlas/details.php?id=BSGatlas-gene-4726","BSGatlas-gene-4726")</f>
        <v>BSGatlas-gene-4726</v>
      </c>
      <c r="C4374" s="1" t="s">
        <v>4326</v>
      </c>
      <c r="D4374" s="1" t="s">
        <v>8</v>
      </c>
      <c r="E4374" s="3">
        <v>4176900</v>
      </c>
      <c r="F4374" s="3">
        <v>4177688</v>
      </c>
      <c r="G4374" s="1" t="s">
        <v>13</v>
      </c>
      <c r="H4374" s="1" t="b">
        <f t="shared" si="168"/>
        <v>0</v>
      </c>
    </row>
    <row r="4375" spans="1:8" ht="21" x14ac:dyDescent="0.25">
      <c r="A4375" s="2" t="str">
        <f>HYPERLINK("https://rth.dk/resources/bsgatlas/details.php?id=BSGatlas-operon-2286","BSGatlas-operon-2286")</f>
        <v>BSGatlas-operon-2286</v>
      </c>
      <c r="B4375" s="2" t="str">
        <f>HYPERLINK("https://rth.dk/resources/bsgatlas/details.php?id=BSGatlas-gene-4727","BSGatlas-gene-4727")</f>
        <v>BSGatlas-gene-4727</v>
      </c>
      <c r="C4375" s="1" t="s">
        <v>4327</v>
      </c>
      <c r="D4375" s="1" t="s">
        <v>8</v>
      </c>
      <c r="E4375" s="3">
        <v>4177756</v>
      </c>
      <c r="F4375" s="3">
        <v>4178145</v>
      </c>
      <c r="G4375" s="1" t="s">
        <v>13</v>
      </c>
      <c r="H4375" s="1" t="b">
        <f t="shared" si="168"/>
        <v>0</v>
      </c>
    </row>
    <row r="4376" spans="1:8" ht="21" x14ac:dyDescent="0.25">
      <c r="A4376" s="2" t="str">
        <f>HYPERLINK("https://rth.dk/resources/bsgatlas/details.php?id=BSGatlas-operon-2287","BSGatlas-operon-2287")</f>
        <v>BSGatlas-operon-2287</v>
      </c>
      <c r="B4376" s="2" t="str">
        <f>HYPERLINK("https://rth.dk/resources/bsgatlas/details.php?id=BSGatlas-gene-4728","BSGatlas-gene-4728")</f>
        <v>BSGatlas-gene-4728</v>
      </c>
      <c r="C4376" s="1" t="s">
        <v>4328</v>
      </c>
      <c r="D4376" s="1" t="s">
        <v>8</v>
      </c>
      <c r="E4376" s="3">
        <v>4178291</v>
      </c>
      <c r="F4376" s="3">
        <v>4179130</v>
      </c>
      <c r="G4376" s="1" t="s">
        <v>9</v>
      </c>
      <c r="H4376" s="1" t="b">
        <f t="shared" si="168"/>
        <v>1</v>
      </c>
    </row>
    <row r="4377" spans="1:8" ht="21" x14ac:dyDescent="0.25">
      <c r="A4377" s="2" t="str">
        <f>HYPERLINK("https://rth.dk/resources/bsgatlas/details.php?id=BSGatlas-operon-2288","BSGatlas-operon-2288")</f>
        <v>BSGatlas-operon-2288</v>
      </c>
      <c r="B4377" s="2" t="str">
        <f>HYPERLINK("https://rth.dk/resources/bsgatlas/details.php?id=BSGatlas-gene-4729","BSGatlas-gene-4729")</f>
        <v>BSGatlas-gene-4729</v>
      </c>
      <c r="C4377" s="1" t="s">
        <v>4329</v>
      </c>
      <c r="D4377" s="1" t="s">
        <v>8</v>
      </c>
      <c r="E4377" s="3">
        <v>4179163</v>
      </c>
      <c r="F4377" s="3">
        <v>4180377</v>
      </c>
      <c r="G4377" s="1" t="s">
        <v>13</v>
      </c>
      <c r="H4377" s="1" t="b">
        <f t="shared" si="168"/>
        <v>0</v>
      </c>
    </row>
    <row r="4378" spans="1:8" ht="21" x14ac:dyDescent="0.25">
      <c r="A4378" s="2" t="str">
        <f>HYPERLINK("https://rth.dk/resources/bsgatlas/details.php?id=BSGatlas-operon-2289","BSGatlas-operon-2289")</f>
        <v>BSGatlas-operon-2289</v>
      </c>
      <c r="B4378" s="2" t="str">
        <f>HYPERLINK("https://rth.dk/resources/bsgatlas/details.php?id=BSGatlas-gene-4730","BSGatlas-gene-4730")</f>
        <v>BSGatlas-gene-4730</v>
      </c>
      <c r="C4378" s="1" t="s">
        <v>4330</v>
      </c>
      <c r="D4378" s="1" t="s">
        <v>8</v>
      </c>
      <c r="E4378" s="3">
        <v>4180564</v>
      </c>
      <c r="F4378" s="3">
        <v>4181442</v>
      </c>
      <c r="G4378" s="1" t="s">
        <v>9</v>
      </c>
      <c r="H4378" s="1" t="b">
        <f t="shared" si="168"/>
        <v>1</v>
      </c>
    </row>
    <row r="4379" spans="1:8" ht="21" x14ac:dyDescent="0.25">
      <c r="A4379" s="2" t="str">
        <f>HYPERLINK("https://rth.dk/resources/bsgatlas/details.php?id=BSGatlas-operon-2289","BSGatlas-operon-2289")</f>
        <v>BSGatlas-operon-2289</v>
      </c>
      <c r="B4379" s="2" t="str">
        <f>HYPERLINK("https://rth.dk/resources/bsgatlas/details.php?id=BSGatlas-gene-4731","BSGatlas-gene-4731")</f>
        <v>BSGatlas-gene-4731</v>
      </c>
      <c r="C4379" s="1" t="s">
        <v>4331</v>
      </c>
      <c r="D4379" s="1" t="s">
        <v>8</v>
      </c>
      <c r="E4379" s="3">
        <v>4181456</v>
      </c>
      <c r="F4379" s="3">
        <v>4181899</v>
      </c>
      <c r="G4379" s="1" t="s">
        <v>9</v>
      </c>
      <c r="H4379" s="1" t="b">
        <f t="shared" si="168"/>
        <v>1</v>
      </c>
    </row>
    <row r="4380" spans="1:8" ht="21" x14ac:dyDescent="0.25">
      <c r="A4380" s="2" t="str">
        <f>HYPERLINK("https://rth.dk/resources/bsgatlas/details.php?id=BSGatlas-operon-2289","BSGatlas-operon-2289")</f>
        <v>BSGatlas-operon-2289</v>
      </c>
      <c r="B4380" s="2" t="str">
        <f>HYPERLINK("https://rth.dk/resources/bsgatlas/details.php?id=BSGatlas-gene-4732","BSGatlas-gene-4732")</f>
        <v>BSGatlas-gene-4732</v>
      </c>
      <c r="C4380" s="1" t="s">
        <v>4332</v>
      </c>
      <c r="D4380" s="1" t="s">
        <v>8</v>
      </c>
      <c r="E4380" s="3">
        <v>4181982</v>
      </c>
      <c r="F4380" s="3">
        <v>4182461</v>
      </c>
      <c r="G4380" s="1" t="s">
        <v>9</v>
      </c>
      <c r="H4380" s="1" t="b">
        <f t="shared" si="168"/>
        <v>1</v>
      </c>
    </row>
    <row r="4381" spans="1:8" ht="21" x14ac:dyDescent="0.25">
      <c r="A4381" s="2" t="str">
        <f>HYPERLINK("https://rth.dk/resources/bsgatlas/details.php?id=BSGatlas-operon-2290","BSGatlas-operon-2290")</f>
        <v>BSGatlas-operon-2290</v>
      </c>
      <c r="B4381" s="2" t="str">
        <f>HYPERLINK("https://rth.dk/resources/bsgatlas/details.php?id=BSGatlas-gene-4734","BSGatlas-gene-4734")</f>
        <v>BSGatlas-gene-4734</v>
      </c>
      <c r="C4381" s="1" t="s">
        <v>4333</v>
      </c>
      <c r="D4381" s="1" t="s">
        <v>8</v>
      </c>
      <c r="E4381" s="3">
        <v>4183445</v>
      </c>
      <c r="F4381" s="3">
        <v>4183897</v>
      </c>
      <c r="G4381" s="1" t="s">
        <v>13</v>
      </c>
      <c r="H4381" s="1" t="b">
        <f t="shared" si="168"/>
        <v>0</v>
      </c>
    </row>
    <row r="4382" spans="1:8" ht="21" x14ac:dyDescent="0.25">
      <c r="A4382" s="2" t="str">
        <f>HYPERLINK("https://rth.dk/resources/bsgatlas/details.php?id=BSGatlas-operon-2291","BSGatlas-operon-2291")</f>
        <v>BSGatlas-operon-2291</v>
      </c>
      <c r="B4382" s="2" t="str">
        <f>HYPERLINK("https://rth.dk/resources/bsgatlas/details.php?id=BSGatlas-gene-4735","BSGatlas-gene-4735")</f>
        <v>BSGatlas-gene-4735</v>
      </c>
      <c r="C4382" s="1" t="s">
        <v>4334</v>
      </c>
      <c r="D4382" s="1" t="s">
        <v>8</v>
      </c>
      <c r="E4382" s="3">
        <v>4184017</v>
      </c>
      <c r="F4382" s="3">
        <v>4184463</v>
      </c>
      <c r="G4382" s="1" t="s">
        <v>9</v>
      </c>
      <c r="H4382" s="1" t="b">
        <f t="shared" si="168"/>
        <v>1</v>
      </c>
    </row>
    <row r="4383" spans="1:8" ht="21" x14ac:dyDescent="0.25">
      <c r="A4383" s="2" t="str">
        <f>HYPERLINK("https://rth.dk/resources/bsgatlas/details.php?id=BSGatlas-operon-2291","BSGatlas-operon-2291")</f>
        <v>BSGatlas-operon-2291</v>
      </c>
      <c r="B4383" s="2" t="str">
        <f>HYPERLINK("https://rth.dk/resources/bsgatlas/details.php?id=BSGatlas-gene-4736","BSGatlas-gene-4736")</f>
        <v>BSGatlas-gene-4736</v>
      </c>
      <c r="C4383" s="1" t="s">
        <v>4335</v>
      </c>
      <c r="D4383" s="1" t="s">
        <v>8</v>
      </c>
      <c r="E4383" s="3">
        <v>4184460</v>
      </c>
      <c r="F4383" s="3">
        <v>4185065</v>
      </c>
      <c r="G4383" s="1" t="s">
        <v>9</v>
      </c>
      <c r="H4383" s="1" t="b">
        <f t="shared" si="168"/>
        <v>1</v>
      </c>
    </row>
    <row r="4384" spans="1:8" ht="21" x14ac:dyDescent="0.25">
      <c r="A4384" s="2" t="str">
        <f>HYPERLINK("https://rth.dk/resources/bsgatlas/details.php?id=BSGatlas-operon-2292","BSGatlas-operon-2292")</f>
        <v>BSGatlas-operon-2292</v>
      </c>
      <c r="B4384" s="2" t="str">
        <f>HYPERLINK("https://rth.dk/resources/bsgatlas/details.php?id=BSGatlas-gene-4737","BSGatlas-gene-4737")</f>
        <v>BSGatlas-gene-4737</v>
      </c>
      <c r="C4384" s="1" t="s">
        <v>4336</v>
      </c>
      <c r="D4384" s="1" t="s">
        <v>8</v>
      </c>
      <c r="E4384" s="3">
        <v>4185160</v>
      </c>
      <c r="F4384" s="3">
        <v>4185681</v>
      </c>
      <c r="G4384" s="1" t="s">
        <v>13</v>
      </c>
      <c r="H4384" s="1" t="b">
        <f t="shared" si="168"/>
        <v>0</v>
      </c>
    </row>
    <row r="4385" spans="1:8" ht="21" x14ac:dyDescent="0.25">
      <c r="A4385" s="2" t="str">
        <f>HYPERLINK("https://rth.dk/resources/bsgatlas/details.php?id=BSGatlas-operon-2293","BSGatlas-operon-2293")</f>
        <v>BSGatlas-operon-2293</v>
      </c>
      <c r="B4385" s="2" t="str">
        <f>HYPERLINK("https://rth.dk/resources/bsgatlas/details.php?id=BSGatlas-gene-4738","BSGatlas-gene-4738")</f>
        <v>BSGatlas-gene-4738</v>
      </c>
      <c r="C4385" s="1" t="s">
        <v>4337</v>
      </c>
      <c r="D4385" s="1" t="s">
        <v>8</v>
      </c>
      <c r="E4385" s="3">
        <v>4186092</v>
      </c>
      <c r="F4385" s="3">
        <v>4186448</v>
      </c>
      <c r="G4385" s="1" t="s">
        <v>9</v>
      </c>
      <c r="H4385" s="1" t="b">
        <f t="shared" si="168"/>
        <v>1</v>
      </c>
    </row>
    <row r="4386" spans="1:8" ht="21" x14ac:dyDescent="0.25">
      <c r="A4386" s="2" t="str">
        <f>HYPERLINK("https://rth.dk/resources/bsgatlas/details.php?id=BSGatlas-operon-2294","BSGatlas-operon-2294")</f>
        <v>BSGatlas-operon-2294</v>
      </c>
      <c r="B4386" s="2" t="str">
        <f>HYPERLINK("https://rth.dk/resources/bsgatlas/details.php?id=BSGatlas-gene-4740","BSGatlas-gene-4740")</f>
        <v>BSGatlas-gene-4740</v>
      </c>
      <c r="C4386" s="1" t="s">
        <v>4338</v>
      </c>
      <c r="D4386" s="1" t="s">
        <v>8</v>
      </c>
      <c r="E4386" s="3">
        <v>4187681</v>
      </c>
      <c r="F4386" s="3">
        <v>4189057</v>
      </c>
      <c r="G4386" s="1" t="s">
        <v>13</v>
      </c>
      <c r="H4386" s="1" t="b">
        <f t="shared" si="168"/>
        <v>0</v>
      </c>
    </row>
    <row r="4387" spans="1:8" ht="21" x14ac:dyDescent="0.25">
      <c r="A4387" s="2" t="str">
        <f>HYPERLINK("https://rth.dk/resources/bsgatlas/details.php?id=BSGatlas-operon-2294","BSGatlas-operon-2294")</f>
        <v>BSGatlas-operon-2294</v>
      </c>
      <c r="B4387" s="2" t="str">
        <f>HYPERLINK("https://rth.dk/resources/bsgatlas/details.php?id=BSGatlas-gene-4741","BSGatlas-gene-4741")</f>
        <v>BSGatlas-gene-4741</v>
      </c>
      <c r="C4387" s="1" t="s">
        <v>4339</v>
      </c>
      <c r="D4387" s="1" t="s">
        <v>8</v>
      </c>
      <c r="E4387" s="3">
        <v>4189091</v>
      </c>
      <c r="F4387" s="3">
        <v>4189153</v>
      </c>
      <c r="G4387" s="1" t="s">
        <v>13</v>
      </c>
      <c r="H4387" s="1" t="b">
        <f t="shared" si="168"/>
        <v>0</v>
      </c>
    </row>
    <row r="4388" spans="1:8" ht="21" x14ac:dyDescent="0.25">
      <c r="A4388" s="2" t="str">
        <f>HYPERLINK("https://rth.dk/resources/bsgatlas/details.php?id=BSGatlas-operon-2295","BSGatlas-operon-2295")</f>
        <v>BSGatlas-operon-2295</v>
      </c>
      <c r="B4388" s="2" t="str">
        <f>HYPERLINK("https://rth.dk/resources/bsgatlas/details.php?id=BSGatlas-gene-4742","BSGatlas-gene-4742")</f>
        <v>BSGatlas-gene-4742</v>
      </c>
      <c r="C4388" s="1" t="s">
        <v>4340</v>
      </c>
      <c r="D4388" s="1" t="s">
        <v>8</v>
      </c>
      <c r="E4388" s="3">
        <v>4189406</v>
      </c>
      <c r="F4388" s="3">
        <v>4189645</v>
      </c>
      <c r="G4388" s="1" t="s">
        <v>9</v>
      </c>
      <c r="H4388" s="1" t="b">
        <f t="shared" si="168"/>
        <v>1</v>
      </c>
    </row>
    <row r="4389" spans="1:8" ht="21" x14ac:dyDescent="0.25">
      <c r="A4389" s="2" t="str">
        <f>HYPERLINK("https://rth.dk/resources/bsgatlas/details.php?id=BSGatlas-operon-2296","BSGatlas-operon-2296")</f>
        <v>BSGatlas-operon-2296</v>
      </c>
      <c r="B4389" s="2" t="str">
        <f>HYPERLINK("https://rth.dk/resources/bsgatlas/details.php?id=BSGatlas-gene-4743","BSGatlas-gene-4743")</f>
        <v>BSGatlas-gene-4743</v>
      </c>
      <c r="C4389" s="1" t="s">
        <v>4341</v>
      </c>
      <c r="D4389" s="1" t="s">
        <v>8</v>
      </c>
      <c r="E4389" s="3">
        <v>4189796</v>
      </c>
      <c r="F4389" s="3">
        <v>4190212</v>
      </c>
      <c r="G4389" s="1" t="s">
        <v>9</v>
      </c>
      <c r="H4389" s="1" t="b">
        <f t="shared" si="168"/>
        <v>0</v>
      </c>
    </row>
    <row r="4390" spans="1:8" ht="21" x14ac:dyDescent="0.25">
      <c r="A4390" s="2" t="str">
        <f>HYPERLINK("https://rth.dk/resources/bsgatlas/details.php?id=BSGatlas-operon-2296","BSGatlas-operon-2296")</f>
        <v>BSGatlas-operon-2296</v>
      </c>
      <c r="B4390" s="2" t="str">
        <f>HYPERLINK("https://rth.dk/resources/bsgatlas/details.php?id=BSGatlas-gene-4744","BSGatlas-gene-4744")</f>
        <v>BSGatlas-gene-4744</v>
      </c>
      <c r="C4390" s="1" t="s">
        <v>4342</v>
      </c>
      <c r="D4390" s="1" t="s">
        <v>8</v>
      </c>
      <c r="E4390" s="3">
        <v>4190209</v>
      </c>
      <c r="F4390" s="3">
        <v>4191126</v>
      </c>
      <c r="G4390" s="1" t="s">
        <v>9</v>
      </c>
      <c r="H4390" s="1" t="b">
        <f t="shared" si="168"/>
        <v>0</v>
      </c>
    </row>
    <row r="4391" spans="1:8" ht="21" x14ac:dyDescent="0.25">
      <c r="A4391" s="2" t="str">
        <f>HYPERLINK("https://rth.dk/resources/bsgatlas/details.php?id=BSGatlas-operon-2296","BSGatlas-operon-2296")</f>
        <v>BSGatlas-operon-2296</v>
      </c>
      <c r="B4391" s="2" t="str">
        <f>HYPERLINK("https://rth.dk/resources/bsgatlas/details.php?id=BSGatlas-gene-4745","BSGatlas-gene-4745")</f>
        <v>BSGatlas-gene-4745</v>
      </c>
      <c r="C4391" s="1" t="s">
        <v>4343</v>
      </c>
      <c r="D4391" s="1" t="s">
        <v>8</v>
      </c>
      <c r="E4391" s="3">
        <v>4191198</v>
      </c>
      <c r="F4391" s="3">
        <v>4193267</v>
      </c>
      <c r="G4391" s="1" t="s">
        <v>9</v>
      </c>
      <c r="H4391" s="1" t="b">
        <f t="shared" si="168"/>
        <v>0</v>
      </c>
    </row>
    <row r="4392" spans="1:8" ht="21" x14ac:dyDescent="0.25">
      <c r="A4392" s="2" t="str">
        <f>HYPERLINK("https://rth.dk/resources/bsgatlas/details.php?id=BSGatlas-operon-2297","BSGatlas-operon-2297")</f>
        <v>BSGatlas-operon-2297</v>
      </c>
      <c r="B4392" s="2" t="str">
        <f>HYPERLINK("https://rth.dk/resources/bsgatlas/details.php?id=BSGatlas-gene-4746","BSGatlas-gene-4746")</f>
        <v>BSGatlas-gene-4746</v>
      </c>
      <c r="C4392" s="1" t="s">
        <v>4344</v>
      </c>
      <c r="D4392" s="1" t="s">
        <v>8</v>
      </c>
      <c r="E4392" s="3">
        <v>4193264</v>
      </c>
      <c r="F4392" s="3">
        <v>4194163</v>
      </c>
      <c r="G4392" s="1" t="s">
        <v>13</v>
      </c>
      <c r="H4392" s="1" t="b">
        <f t="shared" si="168"/>
        <v>1</v>
      </c>
    </row>
    <row r="4393" spans="1:8" ht="21" x14ac:dyDescent="0.25">
      <c r="A4393" s="2" t="str">
        <f>HYPERLINK("https://rth.dk/resources/bsgatlas/details.php?id=BSGatlas-operon-2298","BSGatlas-operon-2298")</f>
        <v>BSGatlas-operon-2298</v>
      </c>
      <c r="B4393" s="2" t="str">
        <f>HYPERLINK("https://rth.dk/resources/bsgatlas/details.php?id=BSGatlas-gene-4747","BSGatlas-gene-4747")</f>
        <v>BSGatlas-gene-4747</v>
      </c>
      <c r="C4393" s="1" t="s">
        <v>4345</v>
      </c>
      <c r="D4393" s="1" t="s">
        <v>8</v>
      </c>
      <c r="E4393" s="3">
        <v>4194389</v>
      </c>
      <c r="F4393" s="3">
        <v>4195744</v>
      </c>
      <c r="G4393" s="1" t="s">
        <v>9</v>
      </c>
      <c r="H4393" s="1" t="b">
        <f t="shared" si="168"/>
        <v>0</v>
      </c>
    </row>
    <row r="4394" spans="1:8" ht="21" x14ac:dyDescent="0.25">
      <c r="A4394" s="2" t="str">
        <f>HYPERLINK("https://rth.dk/resources/bsgatlas/details.php?id=BSGatlas-operon-2299","BSGatlas-operon-2299")</f>
        <v>BSGatlas-operon-2299</v>
      </c>
      <c r="B4394" s="2" t="str">
        <f>HYPERLINK("https://rth.dk/resources/bsgatlas/details.php?id=BSGatlas-gene-4750","BSGatlas-gene-4750")</f>
        <v>BSGatlas-gene-4750</v>
      </c>
      <c r="C4394" s="1" t="s">
        <v>4346</v>
      </c>
      <c r="D4394" s="1" t="s">
        <v>8</v>
      </c>
      <c r="E4394" s="3">
        <v>4196786</v>
      </c>
      <c r="F4394" s="3">
        <v>4197721</v>
      </c>
      <c r="G4394" s="1" t="s">
        <v>13</v>
      </c>
      <c r="H4394" s="1" t="b">
        <f t="shared" si="168"/>
        <v>1</v>
      </c>
    </row>
    <row r="4395" spans="1:8" ht="21" x14ac:dyDescent="0.25">
      <c r="A4395" s="2" t="str">
        <f>HYPERLINK("https://rth.dk/resources/bsgatlas/details.php?id=BSGatlas-operon-2299","BSGatlas-operon-2299")</f>
        <v>BSGatlas-operon-2299</v>
      </c>
      <c r="B4395" s="2" t="str">
        <f>HYPERLINK("https://rth.dk/resources/bsgatlas/details.php?id=BSGatlas-gene-4751","BSGatlas-gene-4751")</f>
        <v>BSGatlas-gene-4751</v>
      </c>
      <c r="C4395" s="1" t="s">
        <v>4347</v>
      </c>
      <c r="D4395" s="1" t="s">
        <v>8</v>
      </c>
      <c r="E4395" s="3">
        <v>4197780</v>
      </c>
      <c r="F4395" s="3">
        <v>4198538</v>
      </c>
      <c r="G4395" s="1" t="s">
        <v>13</v>
      </c>
      <c r="H4395" s="1" t="b">
        <f t="shared" si="168"/>
        <v>1</v>
      </c>
    </row>
    <row r="4396" spans="1:8" ht="21" x14ac:dyDescent="0.25">
      <c r="A4396" s="2" t="str">
        <f>HYPERLINK("https://rth.dk/resources/bsgatlas/details.php?id=BSGatlas-operon-2300","BSGatlas-operon-2300")</f>
        <v>BSGatlas-operon-2300</v>
      </c>
      <c r="B4396" s="2" t="str">
        <f>HYPERLINK("https://rth.dk/resources/bsgatlas/details.php?id=BSGatlas-gene-4752","BSGatlas-gene-4752")</f>
        <v>BSGatlas-gene-4752</v>
      </c>
      <c r="C4396" s="1" t="s">
        <v>4348</v>
      </c>
      <c r="D4396" s="1" t="s">
        <v>12</v>
      </c>
      <c r="E4396" s="3">
        <v>4198071</v>
      </c>
      <c r="F4396" s="3">
        <v>4198574</v>
      </c>
      <c r="G4396" s="1" t="s">
        <v>9</v>
      </c>
      <c r="H4396" s="1" t="b">
        <f t="shared" si="168"/>
        <v>0</v>
      </c>
    </row>
    <row r="4397" spans="1:8" ht="21" x14ac:dyDescent="0.25">
      <c r="A4397" s="2" t="str">
        <f t="shared" ref="A4397:A4402" si="169">HYPERLINK("https://rth.dk/resources/bsgatlas/details.php?id=BSGatlas-operon-2301","BSGatlas-operon-2301")</f>
        <v>BSGatlas-operon-2301</v>
      </c>
      <c r="B4397" s="2" t="str">
        <f>HYPERLINK("https://rth.dk/resources/bsgatlas/details.php?id=BSGatlas-gene-4753","BSGatlas-gene-4753")</f>
        <v>BSGatlas-gene-4753</v>
      </c>
      <c r="C4397" s="1" t="s">
        <v>4349</v>
      </c>
      <c r="D4397" s="1" t="s">
        <v>8</v>
      </c>
      <c r="E4397" s="3">
        <v>4198603</v>
      </c>
      <c r="F4397" s="3">
        <v>4198842</v>
      </c>
      <c r="G4397" s="1" t="s">
        <v>13</v>
      </c>
      <c r="H4397" s="1" t="b">
        <f t="shared" si="168"/>
        <v>1</v>
      </c>
    </row>
    <row r="4398" spans="1:8" ht="21" x14ac:dyDescent="0.25">
      <c r="A4398" s="2" t="str">
        <f t="shared" si="169"/>
        <v>BSGatlas-operon-2301</v>
      </c>
      <c r="B4398" s="2" t="str">
        <f>HYPERLINK("https://rth.dk/resources/bsgatlas/details.php?id=BSGatlas-gene-4754","BSGatlas-gene-4754")</f>
        <v>BSGatlas-gene-4754</v>
      </c>
      <c r="C4398" s="1" t="s">
        <v>4350</v>
      </c>
      <c r="D4398" s="1" t="s">
        <v>8</v>
      </c>
      <c r="E4398" s="3">
        <v>4198886</v>
      </c>
      <c r="F4398" s="3">
        <v>4199404</v>
      </c>
      <c r="G4398" s="1" t="s">
        <v>13</v>
      </c>
      <c r="H4398" s="1" t="b">
        <f t="shared" si="168"/>
        <v>1</v>
      </c>
    </row>
    <row r="4399" spans="1:8" ht="21" x14ac:dyDescent="0.25">
      <c r="A4399" s="2" t="str">
        <f t="shared" si="169"/>
        <v>BSGatlas-operon-2301</v>
      </c>
      <c r="B4399" s="2" t="str">
        <f>HYPERLINK("https://rth.dk/resources/bsgatlas/details.php?id=BSGatlas-gene-4755","BSGatlas-gene-4755")</f>
        <v>BSGatlas-gene-4755</v>
      </c>
      <c r="C4399" s="1" t="s">
        <v>4351</v>
      </c>
      <c r="D4399" s="1" t="s">
        <v>8</v>
      </c>
      <c r="E4399" s="3">
        <v>4199445</v>
      </c>
      <c r="F4399" s="3">
        <v>4199732</v>
      </c>
      <c r="G4399" s="1" t="s">
        <v>13</v>
      </c>
      <c r="H4399" s="1" t="b">
        <f t="shared" si="168"/>
        <v>1</v>
      </c>
    </row>
    <row r="4400" spans="1:8" ht="21" x14ac:dyDescent="0.25">
      <c r="A4400" s="2" t="str">
        <f t="shared" si="169"/>
        <v>BSGatlas-operon-2301</v>
      </c>
      <c r="B4400" s="2" t="str">
        <f>HYPERLINK("https://rth.dk/resources/bsgatlas/details.php?id=BSGatlas-gene-4756","BSGatlas-gene-4756")</f>
        <v>BSGatlas-gene-4756</v>
      </c>
      <c r="C4400" s="1" t="s">
        <v>4352</v>
      </c>
      <c r="D4400" s="1" t="s">
        <v>8</v>
      </c>
      <c r="E4400" s="3">
        <v>4199843</v>
      </c>
      <c r="F4400" s="3">
        <v>4200943</v>
      </c>
      <c r="G4400" s="1" t="s">
        <v>13</v>
      </c>
      <c r="H4400" s="1" t="b">
        <f t="shared" si="168"/>
        <v>1</v>
      </c>
    </row>
    <row r="4401" spans="1:8" ht="21" x14ac:dyDescent="0.25">
      <c r="A4401" s="2" t="str">
        <f t="shared" si="169"/>
        <v>BSGatlas-operon-2301</v>
      </c>
      <c r="B4401" s="2" t="str">
        <f>HYPERLINK("https://rth.dk/resources/bsgatlas/details.php?id=BSGatlas-gene-4757","BSGatlas-gene-4757")</f>
        <v>BSGatlas-gene-4757</v>
      </c>
      <c r="C4401" s="1" t="s">
        <v>4353</v>
      </c>
      <c r="D4401" s="1" t="s">
        <v>8</v>
      </c>
      <c r="E4401" s="3">
        <v>4201070</v>
      </c>
      <c r="F4401" s="3">
        <v>4203073</v>
      </c>
      <c r="G4401" s="1" t="s">
        <v>13</v>
      </c>
      <c r="H4401" s="1" t="b">
        <f t="shared" si="168"/>
        <v>1</v>
      </c>
    </row>
    <row r="4402" spans="1:8" ht="21" x14ac:dyDescent="0.25">
      <c r="A4402" s="2" t="str">
        <f t="shared" si="169"/>
        <v>BSGatlas-operon-2301</v>
      </c>
      <c r="B4402" s="2" t="str">
        <f>HYPERLINK("https://rth.dk/resources/bsgatlas/details.php?id=BSGatlas-gene-4758","BSGatlas-gene-4758")</f>
        <v>BSGatlas-gene-4758</v>
      </c>
      <c r="C4402" s="1" t="s">
        <v>4354</v>
      </c>
      <c r="D4402" s="1" t="s">
        <v>8</v>
      </c>
      <c r="E4402" s="3">
        <v>4203124</v>
      </c>
      <c r="F4402" s="3">
        <v>4203330</v>
      </c>
      <c r="G4402" s="1" t="s">
        <v>13</v>
      </c>
      <c r="H4402" s="1" t="b">
        <f t="shared" si="168"/>
        <v>1</v>
      </c>
    </row>
    <row r="4403" spans="1:8" ht="21" x14ac:dyDescent="0.25">
      <c r="A4403" s="2" t="str">
        <f>HYPERLINK("https://rth.dk/resources/bsgatlas/details.php?id=BSGatlas-operon-2302","BSGatlas-operon-2302")</f>
        <v>BSGatlas-operon-2302</v>
      </c>
      <c r="B4403" s="2" t="str">
        <f>HYPERLINK("https://rth.dk/resources/bsgatlas/details.php?id=BSGatlas-gene-4759","BSGatlas-gene-4759")</f>
        <v>BSGatlas-gene-4759</v>
      </c>
      <c r="C4403" s="1" t="s">
        <v>4355</v>
      </c>
      <c r="D4403" s="1" t="s">
        <v>8</v>
      </c>
      <c r="E4403" s="3">
        <v>4203424</v>
      </c>
      <c r="F4403" s="3">
        <v>4204440</v>
      </c>
      <c r="G4403" s="1" t="s">
        <v>13</v>
      </c>
      <c r="H4403" s="1" t="b">
        <f t="shared" si="168"/>
        <v>0</v>
      </c>
    </row>
    <row r="4404" spans="1:8" ht="21" x14ac:dyDescent="0.25">
      <c r="A4404" s="2" t="str">
        <f>HYPERLINK("https://rth.dk/resources/bsgatlas/details.php?id=BSGatlas-operon-2303","BSGatlas-operon-2303")</f>
        <v>BSGatlas-operon-2303</v>
      </c>
      <c r="B4404" s="2" t="str">
        <f>HYPERLINK("https://rth.dk/resources/bsgatlas/details.php?id=BSGatlas-gene-4761","BSGatlas-gene-4761")</f>
        <v>BSGatlas-gene-4761</v>
      </c>
      <c r="C4404" s="1" t="s">
        <v>4356</v>
      </c>
      <c r="D4404" s="1" t="s">
        <v>8</v>
      </c>
      <c r="E4404" s="3">
        <v>4205556</v>
      </c>
      <c r="F4404" s="3">
        <v>4206404</v>
      </c>
      <c r="G4404" s="1" t="s">
        <v>13</v>
      </c>
      <c r="H4404" s="1" t="b">
        <f t="shared" si="168"/>
        <v>1</v>
      </c>
    </row>
    <row r="4405" spans="1:8" ht="21" x14ac:dyDescent="0.25">
      <c r="A4405" s="2" t="str">
        <f>HYPERLINK("https://rth.dk/resources/bsgatlas/details.php?id=BSGatlas-operon-2303","BSGatlas-operon-2303")</f>
        <v>BSGatlas-operon-2303</v>
      </c>
      <c r="B4405" s="2" t="str">
        <f>HYPERLINK("https://rth.dk/resources/bsgatlas/details.php?id=BSGatlas-gene-4762","BSGatlas-gene-4762")</f>
        <v>BSGatlas-gene-4762</v>
      </c>
      <c r="C4405" s="1" t="s">
        <v>4357</v>
      </c>
      <c r="D4405" s="1" t="s">
        <v>8</v>
      </c>
      <c r="E4405" s="3">
        <v>4206397</v>
      </c>
      <c r="F4405" s="3">
        <v>4207158</v>
      </c>
      <c r="G4405" s="1" t="s">
        <v>13</v>
      </c>
      <c r="H4405" s="1" t="b">
        <f t="shared" si="168"/>
        <v>1</v>
      </c>
    </row>
    <row r="4406" spans="1:8" ht="21" x14ac:dyDescent="0.25">
      <c r="A4406" s="2" t="str">
        <f>HYPERLINK("https://rth.dk/resources/bsgatlas/details.php?id=BSGatlas-operon-2304","BSGatlas-operon-2304")</f>
        <v>BSGatlas-operon-2304</v>
      </c>
      <c r="B4406" s="2" t="str">
        <f>HYPERLINK("https://rth.dk/resources/bsgatlas/details.php?id=BSGatlas-gene-4760","BSGatlas-gene-4760")</f>
        <v>BSGatlas-gene-4760</v>
      </c>
      <c r="C4406" s="1" t="s">
        <v>4358</v>
      </c>
      <c r="D4406" s="1" t="s">
        <v>8</v>
      </c>
      <c r="E4406" s="3">
        <v>4204900</v>
      </c>
      <c r="F4406" s="3">
        <v>4205517</v>
      </c>
      <c r="G4406" s="1" t="s">
        <v>9</v>
      </c>
      <c r="H4406" s="1" t="b">
        <f t="shared" si="168"/>
        <v>0</v>
      </c>
    </row>
    <row r="4407" spans="1:8" ht="21" x14ac:dyDescent="0.25">
      <c r="A4407" s="2" t="str">
        <f>HYPERLINK("https://rth.dk/resources/bsgatlas/details.php?id=BSGatlas-operon-2305","BSGatlas-operon-2305")</f>
        <v>BSGatlas-operon-2305</v>
      </c>
      <c r="B4407" s="2" t="str">
        <f>HYPERLINK("https://rth.dk/resources/bsgatlas/details.php?id=BSGatlas-gene-4763","BSGatlas-gene-4763")</f>
        <v>BSGatlas-gene-4763</v>
      </c>
      <c r="C4407" s="1" t="s">
        <v>4359</v>
      </c>
      <c r="D4407" s="1" t="s">
        <v>8</v>
      </c>
      <c r="E4407" s="3">
        <v>4207406</v>
      </c>
      <c r="F4407" s="3">
        <v>4207846</v>
      </c>
      <c r="G4407" s="1" t="s">
        <v>9</v>
      </c>
      <c r="H4407" s="1" t="b">
        <f t="shared" si="168"/>
        <v>1</v>
      </c>
    </row>
    <row r="4408" spans="1:8" ht="21" x14ac:dyDescent="0.25">
      <c r="A4408" s="2" t="str">
        <f>HYPERLINK("https://rth.dk/resources/bsgatlas/details.php?id=BSGatlas-operon-2306","BSGatlas-operon-2306")</f>
        <v>BSGatlas-operon-2306</v>
      </c>
      <c r="B4408" s="2" t="str">
        <f>HYPERLINK("https://rth.dk/resources/bsgatlas/details.php?id=BSGatlas-gene-4764","BSGatlas-gene-4764")</f>
        <v>BSGatlas-gene-4764</v>
      </c>
      <c r="C4408" s="1" t="s">
        <v>4360</v>
      </c>
      <c r="D4408" s="1" t="s">
        <v>8</v>
      </c>
      <c r="E4408" s="3">
        <v>4207897</v>
      </c>
      <c r="F4408" s="3">
        <v>4208748</v>
      </c>
      <c r="G4408" s="1" t="s">
        <v>13</v>
      </c>
      <c r="H4408" s="1" t="b">
        <f t="shared" si="168"/>
        <v>0</v>
      </c>
    </row>
    <row r="4409" spans="1:8" ht="21" x14ac:dyDescent="0.25">
      <c r="A4409" s="2" t="str">
        <f>HYPERLINK("https://rth.dk/resources/bsgatlas/details.php?id=BSGatlas-operon-2306","BSGatlas-operon-2306")</f>
        <v>BSGatlas-operon-2306</v>
      </c>
      <c r="B4409" s="2" t="str">
        <f>HYPERLINK("https://rth.dk/resources/bsgatlas/details.php?id=BSGatlas-gene-4765","BSGatlas-gene-4765")</f>
        <v>BSGatlas-gene-4765</v>
      </c>
      <c r="C4409" s="1" t="s">
        <v>4361</v>
      </c>
      <c r="D4409" s="1" t="s">
        <v>8</v>
      </c>
      <c r="E4409" s="3">
        <v>4208870</v>
      </c>
      <c r="F4409" s="3">
        <v>4209589</v>
      </c>
      <c r="G4409" s="1" t="s">
        <v>13</v>
      </c>
      <c r="H4409" s="1" t="b">
        <f t="shared" si="168"/>
        <v>0</v>
      </c>
    </row>
    <row r="4410" spans="1:8" ht="21" x14ac:dyDescent="0.25">
      <c r="A4410" s="2" t="str">
        <f>HYPERLINK("https://rth.dk/resources/bsgatlas/details.php?id=BSGatlas-operon-2306","BSGatlas-operon-2306")</f>
        <v>BSGatlas-operon-2306</v>
      </c>
      <c r="B4410" s="2" t="str">
        <f>HYPERLINK("https://rth.dk/resources/bsgatlas/details.php?id=BSGatlas-gene-4766","BSGatlas-gene-4766")</f>
        <v>BSGatlas-gene-4766</v>
      </c>
      <c r="C4410" s="1" t="s">
        <v>4362</v>
      </c>
      <c r="D4410" s="1" t="s">
        <v>8</v>
      </c>
      <c r="E4410" s="3">
        <v>4209603</v>
      </c>
      <c r="F4410" s="3">
        <v>4211489</v>
      </c>
      <c r="G4410" s="1" t="s">
        <v>13</v>
      </c>
      <c r="H4410" s="1" t="b">
        <f t="shared" si="168"/>
        <v>0</v>
      </c>
    </row>
    <row r="4411" spans="1:8" ht="21" x14ac:dyDescent="0.25">
      <c r="A4411" s="2" t="str">
        <f>HYPERLINK("https://rth.dk/resources/bsgatlas/details.php?id=BSGatlas-operon-2306","BSGatlas-operon-2306")</f>
        <v>BSGatlas-operon-2306</v>
      </c>
      <c r="B4411" s="2" t="str">
        <f>HYPERLINK("https://rth.dk/resources/bsgatlas/details.php?id=BSGatlas-gene-4767","BSGatlas-gene-4767")</f>
        <v>BSGatlas-gene-4767</v>
      </c>
      <c r="C4411" s="1" t="s">
        <v>4363</v>
      </c>
      <c r="D4411" s="1" t="s">
        <v>8</v>
      </c>
      <c r="E4411" s="3">
        <v>4211510</v>
      </c>
      <c r="F4411" s="3">
        <v>4212889</v>
      </c>
      <c r="G4411" s="1" t="s">
        <v>13</v>
      </c>
      <c r="H4411" s="1" t="b">
        <f t="shared" si="168"/>
        <v>0</v>
      </c>
    </row>
    <row r="4412" spans="1:8" ht="21" x14ac:dyDescent="0.25">
      <c r="A4412" s="2" t="str">
        <f>HYPERLINK("https://rth.dk/resources/bsgatlas/details.php?id=BSGatlas-operon-2307","BSGatlas-operon-2307")</f>
        <v>BSGatlas-operon-2307</v>
      </c>
      <c r="B4412" s="2" t="str">
        <f>HYPERLINK("https://rth.dk/resources/bsgatlas/details.php?id=BSGatlas-gene-4769","BSGatlas-gene-4769")</f>
        <v>BSGatlas-gene-4769</v>
      </c>
      <c r="C4412" s="1" t="s">
        <v>4364</v>
      </c>
      <c r="D4412" s="1" t="s">
        <v>8</v>
      </c>
      <c r="E4412" s="3">
        <v>4213200</v>
      </c>
      <c r="F4412" s="3">
        <v>4213826</v>
      </c>
      <c r="G4412" s="1" t="s">
        <v>13</v>
      </c>
      <c r="H4412" s="1" t="b">
        <f t="shared" si="168"/>
        <v>1</v>
      </c>
    </row>
    <row r="4413" spans="1:8" ht="21" x14ac:dyDescent="0.25">
      <c r="A4413" s="2" t="str">
        <f>HYPERLINK("https://rth.dk/resources/bsgatlas/details.php?id=BSGatlas-operon-2307","BSGatlas-operon-2307")</f>
        <v>BSGatlas-operon-2307</v>
      </c>
      <c r="B4413" s="2" t="str">
        <f>HYPERLINK("https://rth.dk/resources/bsgatlas/details.php?id=BSGatlas-gene-4770","BSGatlas-gene-4770")</f>
        <v>BSGatlas-gene-4770</v>
      </c>
      <c r="C4413" s="1" t="s">
        <v>4365</v>
      </c>
      <c r="D4413" s="1" t="s">
        <v>8</v>
      </c>
      <c r="E4413" s="3">
        <v>4213823</v>
      </c>
      <c r="F4413" s="3">
        <v>4214608</v>
      </c>
      <c r="G4413" s="1" t="s">
        <v>13</v>
      </c>
      <c r="H4413" s="1" t="b">
        <f t="shared" si="168"/>
        <v>1</v>
      </c>
    </row>
    <row r="4414" spans="1:8" ht="21" x14ac:dyDescent="0.25">
      <c r="A4414" s="2" t="str">
        <f>HYPERLINK("https://rth.dk/resources/bsgatlas/details.php?id=BSGatlas-operon-2307","BSGatlas-operon-2307")</f>
        <v>BSGatlas-operon-2307</v>
      </c>
      <c r="B4414" s="2" t="str">
        <f>HYPERLINK("https://rth.dk/resources/bsgatlas/details.php?id=BSGatlas-gene-4771","BSGatlas-gene-4771")</f>
        <v>BSGatlas-gene-4771</v>
      </c>
      <c r="C4414" s="1" t="s">
        <v>4366</v>
      </c>
      <c r="D4414" s="1" t="s">
        <v>8</v>
      </c>
      <c r="E4414" s="3">
        <v>4214753</v>
      </c>
      <c r="F4414" s="3">
        <v>4215103</v>
      </c>
      <c r="G4414" s="1" t="s">
        <v>13</v>
      </c>
      <c r="H4414" s="1" t="b">
        <f t="shared" si="168"/>
        <v>1</v>
      </c>
    </row>
    <row r="4415" spans="1:8" ht="21" x14ac:dyDescent="0.25">
      <c r="A4415" s="2" t="str">
        <f>HYPERLINK("https://rth.dk/resources/bsgatlas/details.php?id=BSGatlas-operon-2307","BSGatlas-operon-2307")</f>
        <v>BSGatlas-operon-2307</v>
      </c>
      <c r="B4415" s="2" t="str">
        <f>HYPERLINK("https://rth.dk/resources/bsgatlas/details.php?id=BSGatlas-gene-4772","BSGatlas-gene-4772")</f>
        <v>BSGatlas-gene-4772</v>
      </c>
      <c r="C4415" s="1" t="s">
        <v>4367</v>
      </c>
      <c r="D4415" s="1" t="s">
        <v>8</v>
      </c>
      <c r="E4415" s="3">
        <v>4215255</v>
      </c>
      <c r="F4415" s="3">
        <v>4215389</v>
      </c>
      <c r="G4415" s="1" t="s">
        <v>13</v>
      </c>
      <c r="H4415" s="1" t="b">
        <f t="shared" si="168"/>
        <v>1</v>
      </c>
    </row>
    <row r="4416" spans="1:8" ht="21" x14ac:dyDescent="0.25">
      <c r="A4416" s="2" t="str">
        <f>HYPERLINK("https://rth.dk/resources/bsgatlas/details.php?id=BSGatlas-operon-2308","BSGatlas-operon-2308")</f>
        <v>BSGatlas-operon-2308</v>
      </c>
      <c r="B4416" s="2" t="str">
        <f>HYPERLINK("https://rth.dk/resources/bsgatlas/details.php?id=BSGatlas-gene-4768","BSGatlas-gene-4768")</f>
        <v>BSGatlas-gene-4768</v>
      </c>
      <c r="C4416" s="1" t="s">
        <v>4368</v>
      </c>
      <c r="D4416" s="1" t="s">
        <v>12</v>
      </c>
      <c r="E4416" s="3">
        <v>4213186</v>
      </c>
      <c r="F4416" s="3">
        <v>4215471</v>
      </c>
      <c r="G4416" s="1" t="s">
        <v>9</v>
      </c>
      <c r="H4416" s="1" t="b">
        <f t="shared" si="168"/>
        <v>0</v>
      </c>
    </row>
    <row r="4417" spans="1:8" ht="21" x14ac:dyDescent="0.25">
      <c r="A4417" s="2" t="str">
        <f>HYPERLINK("https://rth.dk/resources/bsgatlas/details.php?id=BSGatlas-operon-2309","BSGatlas-operon-2309")</f>
        <v>BSGatlas-operon-2309</v>
      </c>
      <c r="B4417" s="2" t="str">
        <f>HYPERLINK("https://rth.dk/resources/bsgatlas/details.php?id=BSGatlas-gene-4773","BSGatlas-gene-4773")</f>
        <v>BSGatlas-gene-4773</v>
      </c>
      <c r="C4417" s="1" t="s">
        <v>4369</v>
      </c>
      <c r="D4417" s="1" t="s">
        <v>12</v>
      </c>
      <c r="E4417" s="3">
        <v>4215473</v>
      </c>
      <c r="F4417" s="3">
        <v>4215670</v>
      </c>
      <c r="G4417" s="1" t="s">
        <v>9</v>
      </c>
      <c r="H4417" s="1" t="b">
        <f t="shared" si="168"/>
        <v>1</v>
      </c>
    </row>
  </sheetData>
  <conditionalFormatting sqref="A2:H4417">
    <cfRule type="expression" dxfId="64" priority="1">
      <formula>$H2</formula>
    </cfRule>
  </conditionalFormatting>
  <pageMargins left="0.75" right="0.75" top="1" bottom="1" header="0.5" footer="0.5"/>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5627E-8ED8-D14B-B4AB-AD574BDC750D}">
  <dimension ref="A1:K4805"/>
  <sheetViews>
    <sheetView zoomScale="110" workbookViewId="0">
      <selection activeCell="B29" sqref="B29"/>
    </sheetView>
  </sheetViews>
  <sheetFormatPr baseColWidth="10" defaultRowHeight="16" x14ac:dyDescent="0.2"/>
  <cols>
    <col min="1" max="1" width="28.6640625" style="10" bestFit="1" customWidth="1"/>
    <col min="2" max="2" width="109.33203125" customWidth="1"/>
    <col min="3" max="4" width="11.83203125" bestFit="1" customWidth="1"/>
    <col min="5" max="5" width="11" bestFit="1" customWidth="1"/>
    <col min="6" max="6" width="26" bestFit="1" customWidth="1"/>
    <col min="7" max="8" width="19" bestFit="1" customWidth="1"/>
    <col min="9" max="9" width="36.5" bestFit="1" customWidth="1"/>
    <col min="10" max="10" width="21.6640625" bestFit="1" customWidth="1"/>
    <col min="11" max="11" width="30" bestFit="1" customWidth="1"/>
  </cols>
  <sheetData>
    <row r="1" spans="1:11" ht="21" x14ac:dyDescent="0.25">
      <c r="A1" s="5" t="s">
        <v>11397</v>
      </c>
      <c r="B1" s="1" t="s">
        <v>11398</v>
      </c>
      <c r="C1" s="3" t="s">
        <v>4</v>
      </c>
      <c r="D1" s="3" t="s">
        <v>5</v>
      </c>
      <c r="E1" s="1" t="s">
        <v>6</v>
      </c>
      <c r="F1" s="1" t="s">
        <v>11399</v>
      </c>
      <c r="G1" s="1" t="s">
        <v>11400</v>
      </c>
      <c r="H1" s="1" t="s">
        <v>11401</v>
      </c>
      <c r="I1" s="1" t="s">
        <v>11402</v>
      </c>
      <c r="J1" s="1" t="s">
        <v>11403</v>
      </c>
      <c r="K1" s="1" t="s">
        <v>11404</v>
      </c>
    </row>
    <row r="2" spans="1:11" ht="21" x14ac:dyDescent="0.25">
      <c r="A2" s="11" t="str">
        <f>HYPERLINK("https://rth.dk/resources/bsgatlas/details.php?id=BSGatlas-transcript-1","BSGatlas-transcript-1")</f>
        <v>BSGatlas-transcript-1</v>
      </c>
      <c r="B2" s="1" t="s">
        <v>4371</v>
      </c>
      <c r="C2" s="3">
        <v>1</v>
      </c>
      <c r="D2" s="3">
        <v>3075</v>
      </c>
      <c r="E2" s="1" t="s">
        <v>9</v>
      </c>
      <c r="F2" s="1">
        <v>1</v>
      </c>
      <c r="G2" s="1">
        <v>410</v>
      </c>
      <c r="H2" s="1" t="s">
        <v>4372</v>
      </c>
      <c r="I2" s="1" t="s">
        <v>4373</v>
      </c>
      <c r="J2" s="1" t="s">
        <v>4374</v>
      </c>
      <c r="K2" s="1" t="s">
        <v>4375</v>
      </c>
    </row>
    <row r="3" spans="1:11" ht="21" x14ac:dyDescent="0.25">
      <c r="A3" s="11" t="str">
        <f>HYPERLINK("https://rth.dk/resources/bsgatlas/details.php?id=BSGatlas-transcript-2","BSGatlas-transcript-2")</f>
        <v>BSGatlas-transcript-2</v>
      </c>
      <c r="B3" s="1" t="s">
        <v>4371</v>
      </c>
      <c r="C3" s="3">
        <v>1</v>
      </c>
      <c r="D3" s="3">
        <v>3121</v>
      </c>
      <c r="E3" s="1" t="s">
        <v>9</v>
      </c>
      <c r="F3" s="1">
        <v>1</v>
      </c>
      <c r="G3" s="1">
        <v>410</v>
      </c>
      <c r="H3" s="1">
        <v>47</v>
      </c>
      <c r="I3" s="1" t="s">
        <v>4373</v>
      </c>
      <c r="J3" s="1" t="s">
        <v>4374</v>
      </c>
      <c r="K3" s="1" t="s">
        <v>4376</v>
      </c>
    </row>
    <row r="4" spans="1:11" ht="21" x14ac:dyDescent="0.25">
      <c r="A4" s="11" t="str">
        <f>HYPERLINK("https://rth.dk/resources/bsgatlas/details.php?id=BSGatlas-transcript-3","BSGatlas-transcript-3")</f>
        <v>BSGatlas-transcript-3</v>
      </c>
      <c r="B4" s="1" t="s">
        <v>11</v>
      </c>
      <c r="C4" s="3">
        <v>24</v>
      </c>
      <c r="D4" s="3">
        <v>297</v>
      </c>
      <c r="E4" s="1" t="s">
        <v>13</v>
      </c>
      <c r="F4" s="1">
        <v>0</v>
      </c>
      <c r="G4" s="1" t="s">
        <v>4372</v>
      </c>
      <c r="H4" s="1" t="s">
        <v>4372</v>
      </c>
      <c r="I4" s="1" t="s">
        <v>4377</v>
      </c>
      <c r="J4" s="1" t="s">
        <v>4378</v>
      </c>
      <c r="K4" s="1" t="s">
        <v>318</v>
      </c>
    </row>
    <row r="5" spans="1:11" ht="21" x14ac:dyDescent="0.25">
      <c r="A5" s="11" t="str">
        <f>HYPERLINK("https://rth.dk/resources/bsgatlas/details.php?id=BSGatlas-transcript-4","BSGatlas-transcript-4")</f>
        <v>BSGatlas-transcript-4</v>
      </c>
      <c r="B5" s="1" t="s">
        <v>4371</v>
      </c>
      <c r="C5" s="3">
        <v>157</v>
      </c>
      <c r="D5" s="3">
        <v>3075</v>
      </c>
      <c r="E5" s="1" t="s">
        <v>9</v>
      </c>
      <c r="F5" s="1">
        <v>1</v>
      </c>
      <c r="G5" s="1">
        <v>254</v>
      </c>
      <c r="H5" s="1" t="s">
        <v>4372</v>
      </c>
      <c r="I5" s="1" t="s">
        <v>4373</v>
      </c>
      <c r="J5" s="1" t="s">
        <v>4379</v>
      </c>
      <c r="K5" s="1" t="s">
        <v>4375</v>
      </c>
    </row>
    <row r="6" spans="1:11" ht="21" x14ac:dyDescent="0.25">
      <c r="A6" s="11" t="str">
        <f>HYPERLINK("https://rth.dk/resources/bsgatlas/details.php?id=BSGatlas-transcript-5","BSGatlas-transcript-5")</f>
        <v>BSGatlas-transcript-5</v>
      </c>
      <c r="B6" s="1" t="s">
        <v>4371</v>
      </c>
      <c r="C6" s="3">
        <v>157</v>
      </c>
      <c r="D6" s="3">
        <v>3121</v>
      </c>
      <c r="E6" s="1" t="s">
        <v>9</v>
      </c>
      <c r="F6" s="1">
        <v>1</v>
      </c>
      <c r="G6" s="1">
        <v>254</v>
      </c>
      <c r="H6" s="1">
        <v>47</v>
      </c>
      <c r="I6" s="1" t="s">
        <v>4373</v>
      </c>
      <c r="J6" s="1" t="s">
        <v>4379</v>
      </c>
      <c r="K6" s="1" t="s">
        <v>4376</v>
      </c>
    </row>
    <row r="7" spans="1:11" ht="21" x14ac:dyDescent="0.25">
      <c r="A7" s="11" t="str">
        <f>HYPERLINK("https://rth.dk/resources/bsgatlas/details.php?id=BSGatlas-transcript-6","BSGatlas-transcript-6")</f>
        <v>BSGatlas-transcript-6</v>
      </c>
      <c r="B7" s="1" t="s">
        <v>14</v>
      </c>
      <c r="C7" s="3">
        <v>299</v>
      </c>
      <c r="D7" s="3">
        <v>1067</v>
      </c>
      <c r="E7" s="1" t="s">
        <v>13</v>
      </c>
      <c r="F7" s="1">
        <v>0</v>
      </c>
      <c r="G7" s="1" t="s">
        <v>4372</v>
      </c>
      <c r="H7" s="1" t="s">
        <v>4372</v>
      </c>
      <c r="I7" s="1" t="s">
        <v>4377</v>
      </c>
      <c r="J7" s="1" t="s">
        <v>4380</v>
      </c>
      <c r="K7" s="1" t="s">
        <v>318</v>
      </c>
    </row>
    <row r="8" spans="1:11" ht="21" x14ac:dyDescent="0.25">
      <c r="A8" s="11" t="str">
        <f>HYPERLINK("https://rth.dk/resources/bsgatlas/details.php?id=BSGatlas-transcript-7","BSGatlas-transcript-7")</f>
        <v>BSGatlas-transcript-7</v>
      </c>
      <c r="B8" s="1" t="s">
        <v>4381</v>
      </c>
      <c r="C8" s="3">
        <v>3180</v>
      </c>
      <c r="D8" s="3">
        <v>6833</v>
      </c>
      <c r="E8" s="1" t="s">
        <v>9</v>
      </c>
      <c r="F8" s="1">
        <v>2</v>
      </c>
      <c r="G8" s="1">
        <v>27</v>
      </c>
      <c r="H8" s="1">
        <v>51</v>
      </c>
      <c r="I8" s="1" t="s">
        <v>4382</v>
      </c>
      <c r="J8" s="1" t="s">
        <v>4383</v>
      </c>
      <c r="K8" s="1" t="s">
        <v>4384</v>
      </c>
    </row>
    <row r="9" spans="1:11" ht="21" x14ac:dyDescent="0.25">
      <c r="A9" s="11" t="str">
        <f>HYPERLINK("https://rth.dk/resources/bsgatlas/details.php?id=BSGatlas-transcript-8","BSGatlas-transcript-8")</f>
        <v>BSGatlas-transcript-8</v>
      </c>
      <c r="B9" s="1" t="s">
        <v>4385</v>
      </c>
      <c r="C9" s="3">
        <v>3180</v>
      </c>
      <c r="D9" s="3">
        <v>9501</v>
      </c>
      <c r="E9" s="1" t="s">
        <v>9</v>
      </c>
      <c r="F9" s="1">
        <v>3</v>
      </c>
      <c r="G9" s="1">
        <v>27</v>
      </c>
      <c r="H9" s="1">
        <v>43</v>
      </c>
      <c r="I9" s="1" t="s">
        <v>4386</v>
      </c>
      <c r="J9" s="1" t="s">
        <v>4383</v>
      </c>
      <c r="K9" s="1" t="s">
        <v>4387</v>
      </c>
    </row>
    <row r="10" spans="1:11" ht="21" x14ac:dyDescent="0.25">
      <c r="A10" s="11" t="str">
        <f>HYPERLINK("https://rth.dk/resources/bsgatlas/details.php?id=BSGatlas-transcript-9","BSGatlas-transcript-9")</f>
        <v>BSGatlas-transcript-9</v>
      </c>
      <c r="B10" s="1" t="s">
        <v>4388</v>
      </c>
      <c r="C10" s="3">
        <v>3437</v>
      </c>
      <c r="D10" s="3">
        <v>6833</v>
      </c>
      <c r="E10" s="1" t="s">
        <v>9</v>
      </c>
      <c r="F10" s="1">
        <v>2</v>
      </c>
      <c r="G10" s="1" t="s">
        <v>4372</v>
      </c>
      <c r="H10" s="1">
        <v>51</v>
      </c>
      <c r="I10" s="1" t="s">
        <v>4377</v>
      </c>
      <c r="J10" s="1" t="s">
        <v>4389</v>
      </c>
      <c r="K10" s="1" t="s">
        <v>4384</v>
      </c>
    </row>
    <row r="11" spans="1:11" ht="21" x14ac:dyDescent="0.25">
      <c r="A11" s="11" t="str">
        <f>HYPERLINK("https://rth.dk/resources/bsgatlas/details.php?id=BSGatlas-transcript-10","BSGatlas-transcript-10")</f>
        <v>BSGatlas-transcript-10</v>
      </c>
      <c r="B11" s="1" t="s">
        <v>4390</v>
      </c>
      <c r="C11" s="3">
        <v>3437</v>
      </c>
      <c r="D11" s="3">
        <v>9501</v>
      </c>
      <c r="E11" s="1" t="s">
        <v>9</v>
      </c>
      <c r="F11" s="1">
        <v>3</v>
      </c>
      <c r="G11" s="1" t="s">
        <v>4372</v>
      </c>
      <c r="H11" s="1">
        <v>43</v>
      </c>
      <c r="I11" s="1" t="s">
        <v>4377</v>
      </c>
      <c r="J11" s="1" t="s">
        <v>4389</v>
      </c>
      <c r="K11" s="1" t="s">
        <v>4387</v>
      </c>
    </row>
    <row r="12" spans="1:11" ht="21" x14ac:dyDescent="0.25">
      <c r="A12" s="11" t="str">
        <f>HYPERLINK("https://rth.dk/resources/bsgatlas/details.php?id=BSGatlas-transcript-11","BSGatlas-transcript-11")</f>
        <v>BSGatlas-transcript-11</v>
      </c>
      <c r="B12" s="1" t="s">
        <v>19</v>
      </c>
      <c r="C12" s="3">
        <v>6916</v>
      </c>
      <c r="D12" s="3">
        <v>9501</v>
      </c>
      <c r="E12" s="1" t="s">
        <v>9</v>
      </c>
      <c r="F12" s="1">
        <v>0</v>
      </c>
      <c r="G12" s="1" t="s">
        <v>4372</v>
      </c>
      <c r="H12" s="1" t="s">
        <v>4372</v>
      </c>
      <c r="I12" s="1" t="s">
        <v>4382</v>
      </c>
      <c r="J12" s="1" t="s">
        <v>4391</v>
      </c>
      <c r="K12" s="1" t="s">
        <v>4387</v>
      </c>
    </row>
    <row r="13" spans="1:11" ht="21" x14ac:dyDescent="0.25">
      <c r="A13" s="11" t="str">
        <f>HYPERLINK("https://rth.dk/resources/bsgatlas/details.php?id=BSGatlas-transcript-12","BSGatlas-transcript-12")</f>
        <v>BSGatlas-transcript-12</v>
      </c>
      <c r="B13" s="1" t="s">
        <v>4392</v>
      </c>
      <c r="C13" s="3">
        <v>9374</v>
      </c>
      <c r="D13" s="3">
        <v>14850</v>
      </c>
      <c r="E13" s="1" t="s">
        <v>9</v>
      </c>
      <c r="F13" s="1">
        <v>3</v>
      </c>
      <c r="G13" s="1">
        <v>437</v>
      </c>
      <c r="H13" s="1">
        <v>41</v>
      </c>
      <c r="I13" s="1" t="s">
        <v>4382</v>
      </c>
      <c r="J13" s="1" t="s">
        <v>4393</v>
      </c>
      <c r="K13" s="1" t="s">
        <v>4394</v>
      </c>
    </row>
    <row r="14" spans="1:11" ht="21" x14ac:dyDescent="0.25">
      <c r="A14" s="11" t="str">
        <f>HYPERLINK("https://rth.dk/resources/bsgatlas/details.php?id=BSGatlas-transcript-13","BSGatlas-transcript-13")</f>
        <v>BSGatlas-transcript-13</v>
      </c>
      <c r="B14" s="1" t="s">
        <v>4392</v>
      </c>
      <c r="C14" s="3">
        <v>9540</v>
      </c>
      <c r="D14" s="3">
        <v>14850</v>
      </c>
      <c r="E14" s="1" t="s">
        <v>9</v>
      </c>
      <c r="F14" s="1">
        <v>3</v>
      </c>
      <c r="G14" s="1">
        <v>271</v>
      </c>
      <c r="H14" s="1">
        <v>41</v>
      </c>
      <c r="I14" s="1" t="s">
        <v>4382</v>
      </c>
      <c r="J14" s="1" t="s">
        <v>4395</v>
      </c>
      <c r="K14" s="1" t="s">
        <v>4394</v>
      </c>
    </row>
    <row r="15" spans="1:11" ht="21" x14ac:dyDescent="0.25">
      <c r="A15" s="11" t="str">
        <f>HYPERLINK("https://rth.dk/resources/bsgatlas/details.php?id=BSGatlas-transcript-14","BSGatlas-transcript-14")</f>
        <v>BSGatlas-transcript-14</v>
      </c>
      <c r="B15" s="1" t="s">
        <v>4392</v>
      </c>
      <c r="C15" s="3">
        <v>9637</v>
      </c>
      <c r="D15" s="3">
        <v>14850</v>
      </c>
      <c r="E15" s="1" t="s">
        <v>9</v>
      </c>
      <c r="F15" s="1">
        <v>3</v>
      </c>
      <c r="G15" s="1">
        <v>174</v>
      </c>
      <c r="H15" s="1">
        <v>41</v>
      </c>
      <c r="I15" s="1" t="s">
        <v>4382</v>
      </c>
      <c r="J15" s="1" t="s">
        <v>4396</v>
      </c>
      <c r="K15" s="1" t="s">
        <v>4394</v>
      </c>
    </row>
    <row r="16" spans="1:11" ht="21" x14ac:dyDescent="0.25">
      <c r="A16" s="11" t="str">
        <f>HYPERLINK("https://rth.dk/resources/bsgatlas/details.php?id=BSGatlas-transcript-15","BSGatlas-transcript-15")</f>
        <v>BSGatlas-transcript-15</v>
      </c>
      <c r="B16" s="1" t="s">
        <v>27</v>
      </c>
      <c r="C16" s="3">
        <v>14847</v>
      </c>
      <c r="D16" s="3">
        <v>15875</v>
      </c>
      <c r="E16" s="1" t="s">
        <v>13</v>
      </c>
      <c r="F16" s="1">
        <v>0</v>
      </c>
      <c r="G16" s="1" t="s">
        <v>4372</v>
      </c>
      <c r="H16" s="1" t="s">
        <v>4372</v>
      </c>
      <c r="I16" s="1" t="s">
        <v>4397</v>
      </c>
      <c r="J16" s="1" t="s">
        <v>4398</v>
      </c>
      <c r="K16" s="1" t="s">
        <v>318</v>
      </c>
    </row>
    <row r="17" spans="1:11" ht="21" x14ac:dyDescent="0.25">
      <c r="A17" s="11" t="str">
        <f>HYPERLINK("https://rth.dk/resources/bsgatlas/details.php?id=BSGatlas-transcript-16","BSGatlas-transcript-16")</f>
        <v>BSGatlas-transcript-16</v>
      </c>
      <c r="B17" s="1" t="s">
        <v>27</v>
      </c>
      <c r="C17" s="3">
        <v>14847</v>
      </c>
      <c r="D17" s="3">
        <v>15985</v>
      </c>
      <c r="E17" s="1" t="s">
        <v>13</v>
      </c>
      <c r="F17" s="1">
        <v>0</v>
      </c>
      <c r="G17" s="1" t="s">
        <v>4372</v>
      </c>
      <c r="H17" s="1" t="s">
        <v>4372</v>
      </c>
      <c r="I17" s="1" t="s">
        <v>4397</v>
      </c>
      <c r="J17" s="1" t="s">
        <v>4399</v>
      </c>
      <c r="K17" s="1" t="s">
        <v>318</v>
      </c>
    </row>
    <row r="18" spans="1:11" ht="21" x14ac:dyDescent="0.25">
      <c r="A18" s="11" t="str">
        <f>HYPERLINK("https://rth.dk/resources/bsgatlas/details.php?id=BSGatlas-transcript-17","BSGatlas-transcript-17")</f>
        <v>BSGatlas-transcript-17</v>
      </c>
      <c r="B18" s="1" t="s">
        <v>28</v>
      </c>
      <c r="C18" s="3">
        <v>15870</v>
      </c>
      <c r="D18" s="3">
        <v>17381</v>
      </c>
      <c r="E18" s="1" t="s">
        <v>9</v>
      </c>
      <c r="F18" s="1">
        <v>0</v>
      </c>
      <c r="G18" s="1" t="s">
        <v>4372</v>
      </c>
      <c r="H18" s="1" t="s">
        <v>4372</v>
      </c>
      <c r="I18" s="1" t="s">
        <v>4373</v>
      </c>
      <c r="J18" s="1" t="s">
        <v>4400</v>
      </c>
      <c r="K18" s="1" t="s">
        <v>4401</v>
      </c>
    </row>
    <row r="19" spans="1:11" ht="21" x14ac:dyDescent="0.25">
      <c r="A19" s="11" t="str">
        <f>HYPERLINK("https://rth.dk/resources/bsgatlas/details.php?id=BSGatlas-transcript-18","BSGatlas-transcript-18")</f>
        <v>BSGatlas-transcript-18</v>
      </c>
      <c r="B19" s="1" t="s">
        <v>28</v>
      </c>
      <c r="C19" s="3">
        <v>15870</v>
      </c>
      <c r="D19" s="3">
        <v>17445</v>
      </c>
      <c r="E19" s="1" t="s">
        <v>9</v>
      </c>
      <c r="F19" s="1">
        <v>0</v>
      </c>
      <c r="G19" s="1" t="s">
        <v>4372</v>
      </c>
      <c r="H19" s="1" t="s">
        <v>4372</v>
      </c>
      <c r="I19" s="1" t="s">
        <v>4373</v>
      </c>
      <c r="J19" s="1" t="s">
        <v>4400</v>
      </c>
      <c r="K19" s="1" t="s">
        <v>4402</v>
      </c>
    </row>
    <row r="20" spans="1:11" ht="21" x14ac:dyDescent="0.25">
      <c r="A20" s="11" t="str">
        <f>HYPERLINK("https://rth.dk/resources/bsgatlas/details.php?id=BSGatlas-transcript-19","BSGatlas-transcript-19")</f>
        <v>BSGatlas-transcript-19</v>
      </c>
      <c r="B20" s="1" t="s">
        <v>29</v>
      </c>
      <c r="C20" s="3">
        <v>15897</v>
      </c>
      <c r="D20" s="3">
        <v>17833</v>
      </c>
      <c r="E20" s="1" t="s">
        <v>13</v>
      </c>
      <c r="F20" s="1">
        <v>0</v>
      </c>
      <c r="G20" s="1" t="s">
        <v>4372</v>
      </c>
      <c r="H20" s="1" t="s">
        <v>4372</v>
      </c>
      <c r="I20" s="1" t="s">
        <v>4377</v>
      </c>
      <c r="J20" s="1" t="s">
        <v>4403</v>
      </c>
      <c r="K20" s="1" t="s">
        <v>4404</v>
      </c>
    </row>
    <row r="21" spans="1:11" ht="21" x14ac:dyDescent="0.25">
      <c r="A21" s="11" t="str">
        <f>HYPERLINK("https://rth.dk/resources/bsgatlas/details.php?id=BSGatlas-transcript-20","BSGatlas-transcript-20")</f>
        <v>BSGatlas-transcript-20</v>
      </c>
      <c r="B21" s="1" t="s">
        <v>30</v>
      </c>
      <c r="C21" s="3">
        <v>17453</v>
      </c>
      <c r="D21" s="3">
        <v>18865</v>
      </c>
      <c r="E21" s="1" t="s">
        <v>9</v>
      </c>
      <c r="F21" s="1">
        <v>0</v>
      </c>
      <c r="G21" s="1" t="s">
        <v>4372</v>
      </c>
      <c r="H21" s="1" t="s">
        <v>4372</v>
      </c>
      <c r="I21" s="1" t="s">
        <v>4377</v>
      </c>
      <c r="J21" s="1" t="s">
        <v>4405</v>
      </c>
      <c r="K21" s="1" t="s">
        <v>4406</v>
      </c>
    </row>
    <row r="22" spans="1:11" ht="21" x14ac:dyDescent="0.25">
      <c r="A22" s="11" t="str">
        <f>HYPERLINK("https://rth.dk/resources/bsgatlas/details.php?id=BSGatlas-transcript-21","BSGatlas-transcript-21")</f>
        <v>BSGatlas-transcript-21</v>
      </c>
      <c r="B22" s="1" t="s">
        <v>4407</v>
      </c>
      <c r="C22" s="3">
        <v>17453</v>
      </c>
      <c r="D22" s="3">
        <v>20853</v>
      </c>
      <c r="E22" s="1" t="s">
        <v>9</v>
      </c>
      <c r="F22" s="1">
        <v>3</v>
      </c>
      <c r="G22" s="1">
        <v>82</v>
      </c>
      <c r="H22" s="1">
        <v>31</v>
      </c>
      <c r="I22" s="1" t="s">
        <v>4377</v>
      </c>
      <c r="J22" s="1" t="s">
        <v>4405</v>
      </c>
      <c r="K22" s="1" t="s">
        <v>4408</v>
      </c>
    </row>
    <row r="23" spans="1:11" ht="21" x14ac:dyDescent="0.25">
      <c r="A23" s="11" t="str">
        <f>HYPERLINK("https://rth.dk/resources/bsgatlas/details.php?id=BSGatlas-transcript-22","BSGatlas-transcript-22")</f>
        <v>BSGatlas-transcript-22</v>
      </c>
      <c r="B23" s="1" t="s">
        <v>4409</v>
      </c>
      <c r="C23" s="3">
        <v>17453</v>
      </c>
      <c r="D23" s="3">
        <v>22204</v>
      </c>
      <c r="E23" s="1" t="s">
        <v>9</v>
      </c>
      <c r="F23" s="1">
        <v>4</v>
      </c>
      <c r="G23" s="1">
        <v>82</v>
      </c>
      <c r="H23" s="1">
        <v>48</v>
      </c>
      <c r="I23" s="1" t="s">
        <v>4386</v>
      </c>
      <c r="J23" s="1" t="s">
        <v>4405</v>
      </c>
      <c r="K23" s="1" t="s">
        <v>4410</v>
      </c>
    </row>
    <row r="24" spans="1:11" ht="21" x14ac:dyDescent="0.25">
      <c r="A24" s="11" t="str">
        <f>HYPERLINK("https://rth.dk/resources/bsgatlas/details.php?id=BSGatlas-transcript-23","BSGatlas-transcript-23")</f>
        <v>BSGatlas-transcript-23</v>
      </c>
      <c r="B24" s="1" t="s">
        <v>4411</v>
      </c>
      <c r="C24" s="3">
        <v>18976</v>
      </c>
      <c r="D24" s="3">
        <v>20558</v>
      </c>
      <c r="E24" s="1" t="s">
        <v>9</v>
      </c>
      <c r="F24" s="1">
        <v>1</v>
      </c>
      <c r="G24" s="1">
        <v>87</v>
      </c>
      <c r="H24" s="1" t="s">
        <v>4372</v>
      </c>
      <c r="I24" s="1" t="s">
        <v>4373</v>
      </c>
      <c r="J24" s="1" t="s">
        <v>4412</v>
      </c>
      <c r="K24" s="1" t="s">
        <v>318</v>
      </c>
    </row>
    <row r="25" spans="1:11" ht="21" x14ac:dyDescent="0.25">
      <c r="A25" s="11" t="str">
        <f>HYPERLINK("https://rth.dk/resources/bsgatlas/details.php?id=BSGatlas-transcript-24","BSGatlas-transcript-24")</f>
        <v>BSGatlas-transcript-24</v>
      </c>
      <c r="B25" s="1" t="s">
        <v>4413</v>
      </c>
      <c r="C25" s="3">
        <v>18976</v>
      </c>
      <c r="D25" s="3">
        <v>20853</v>
      </c>
      <c r="E25" s="1" t="s">
        <v>9</v>
      </c>
      <c r="F25" s="1">
        <v>2</v>
      </c>
      <c r="G25" s="1">
        <v>87</v>
      </c>
      <c r="H25" s="1">
        <v>31</v>
      </c>
      <c r="I25" s="1" t="s">
        <v>4377</v>
      </c>
      <c r="J25" s="1" t="s">
        <v>4412</v>
      </c>
      <c r="K25" s="1" t="s">
        <v>4408</v>
      </c>
    </row>
    <row r="26" spans="1:11" ht="21" x14ac:dyDescent="0.25">
      <c r="A26" s="11" t="str">
        <f>HYPERLINK("https://rth.dk/resources/bsgatlas/details.php?id=BSGatlas-transcript-25","BSGatlas-transcript-25")</f>
        <v>BSGatlas-transcript-25</v>
      </c>
      <c r="B26" s="1" t="s">
        <v>4414</v>
      </c>
      <c r="C26" s="3">
        <v>18976</v>
      </c>
      <c r="D26" s="3">
        <v>22204</v>
      </c>
      <c r="E26" s="1" t="s">
        <v>9</v>
      </c>
      <c r="F26" s="1">
        <v>3</v>
      </c>
      <c r="G26" s="1">
        <v>87</v>
      </c>
      <c r="H26" s="1">
        <v>48</v>
      </c>
      <c r="I26" s="1" t="s">
        <v>4386</v>
      </c>
      <c r="J26" s="1" t="s">
        <v>4412</v>
      </c>
      <c r="K26" s="1" t="s">
        <v>4410</v>
      </c>
    </row>
    <row r="27" spans="1:11" ht="21" x14ac:dyDescent="0.25">
      <c r="A27" s="11" t="str">
        <f>HYPERLINK("https://rth.dk/resources/bsgatlas/details.php?id=BSGatlas-transcript-26","BSGatlas-transcript-26")</f>
        <v>BSGatlas-transcript-26</v>
      </c>
      <c r="B27" s="1" t="s">
        <v>36</v>
      </c>
      <c r="C27" s="3">
        <v>19194</v>
      </c>
      <c r="D27" s="3">
        <v>19923</v>
      </c>
      <c r="E27" s="1" t="s">
        <v>13</v>
      </c>
      <c r="F27" s="1">
        <v>0</v>
      </c>
      <c r="G27" s="1" t="s">
        <v>4372</v>
      </c>
      <c r="H27" s="1" t="s">
        <v>4372</v>
      </c>
      <c r="I27" s="1" t="s">
        <v>4377</v>
      </c>
      <c r="J27" s="1" t="s">
        <v>4415</v>
      </c>
      <c r="K27" s="1" t="s">
        <v>318</v>
      </c>
    </row>
    <row r="28" spans="1:11" ht="21" x14ac:dyDescent="0.25">
      <c r="A28" s="11" t="str">
        <f>HYPERLINK("https://rth.dk/resources/bsgatlas/details.php?id=BSGatlas-transcript-27","BSGatlas-transcript-27")</f>
        <v>BSGatlas-transcript-27</v>
      </c>
      <c r="B28" s="1" t="s">
        <v>35</v>
      </c>
      <c r="C28" s="3">
        <v>20880</v>
      </c>
      <c r="D28" s="3">
        <v>22204</v>
      </c>
      <c r="E28" s="1" t="s">
        <v>9</v>
      </c>
      <c r="F28" s="1">
        <v>0</v>
      </c>
      <c r="G28" s="1" t="s">
        <v>4372</v>
      </c>
      <c r="H28" s="1" t="s">
        <v>4372</v>
      </c>
      <c r="I28" s="1" t="s">
        <v>4373</v>
      </c>
      <c r="J28" s="1" t="s">
        <v>318</v>
      </c>
      <c r="K28" s="1" t="s">
        <v>4410</v>
      </c>
    </row>
    <row r="29" spans="1:11" ht="21" x14ac:dyDescent="0.25">
      <c r="A29" s="11" t="str">
        <f>HYPERLINK("https://rth.dk/resources/bsgatlas/details.php?id=BSGatlas-transcript-28","BSGatlas-transcript-28")</f>
        <v>BSGatlas-transcript-28</v>
      </c>
      <c r="B29" s="1" t="s">
        <v>37</v>
      </c>
      <c r="C29" s="3">
        <v>22268</v>
      </c>
      <c r="D29" s="3">
        <v>22429</v>
      </c>
      <c r="E29" s="1" t="s">
        <v>9</v>
      </c>
      <c r="F29" s="1">
        <v>0</v>
      </c>
      <c r="G29" s="1" t="s">
        <v>4372</v>
      </c>
      <c r="H29" s="1" t="s">
        <v>4372</v>
      </c>
      <c r="I29" s="1" t="s">
        <v>4377</v>
      </c>
      <c r="J29" s="1" t="s">
        <v>4416</v>
      </c>
      <c r="K29" s="1" t="s">
        <v>4417</v>
      </c>
    </row>
    <row r="30" spans="1:11" ht="21" x14ac:dyDescent="0.25">
      <c r="A30" s="11" t="str">
        <f>HYPERLINK("https://rth.dk/resources/bsgatlas/details.php?id=BSGatlas-transcript-29","BSGatlas-transcript-29")</f>
        <v>BSGatlas-transcript-29</v>
      </c>
      <c r="B30" s="1" t="s">
        <v>37</v>
      </c>
      <c r="C30" s="3">
        <v>22268</v>
      </c>
      <c r="D30" s="3">
        <v>22562</v>
      </c>
      <c r="E30" s="1" t="s">
        <v>9</v>
      </c>
      <c r="F30" s="1">
        <v>0</v>
      </c>
      <c r="G30" s="1" t="s">
        <v>4372</v>
      </c>
      <c r="H30" s="1" t="s">
        <v>4372</v>
      </c>
      <c r="I30" s="1" t="s">
        <v>4377</v>
      </c>
      <c r="J30" s="1" t="s">
        <v>4416</v>
      </c>
      <c r="K30" s="1" t="s">
        <v>4418</v>
      </c>
    </row>
    <row r="31" spans="1:11" ht="21" x14ac:dyDescent="0.25">
      <c r="A31" s="11" t="str">
        <f>HYPERLINK("https://rth.dk/resources/bsgatlas/details.php?id=BSGatlas-transcript-30","BSGatlas-transcript-30")</f>
        <v>BSGatlas-transcript-30</v>
      </c>
      <c r="B31" s="1" t="s">
        <v>37</v>
      </c>
      <c r="C31" s="3">
        <v>22268</v>
      </c>
      <c r="D31" s="3">
        <v>23200</v>
      </c>
      <c r="E31" s="1" t="s">
        <v>9</v>
      </c>
      <c r="F31" s="1">
        <v>0</v>
      </c>
      <c r="G31" s="1" t="s">
        <v>4372</v>
      </c>
      <c r="H31" s="1" t="s">
        <v>4372</v>
      </c>
      <c r="I31" s="1" t="s">
        <v>4377</v>
      </c>
      <c r="J31" s="1" t="s">
        <v>4416</v>
      </c>
      <c r="K31" s="1" t="s">
        <v>4419</v>
      </c>
    </row>
    <row r="32" spans="1:11" ht="21" x14ac:dyDescent="0.25">
      <c r="A32" s="11" t="str">
        <f>HYPERLINK("https://rth.dk/resources/bsgatlas/details.php?id=BSGatlas-transcript-31","BSGatlas-transcript-31")</f>
        <v>BSGatlas-transcript-31</v>
      </c>
      <c r="B32" s="1" t="s">
        <v>4420</v>
      </c>
      <c r="C32" s="3">
        <v>22463</v>
      </c>
      <c r="D32" s="3">
        <v>23828</v>
      </c>
      <c r="E32" s="1" t="s">
        <v>13</v>
      </c>
      <c r="F32" s="1">
        <v>0</v>
      </c>
      <c r="G32" s="1" t="s">
        <v>4372</v>
      </c>
      <c r="H32" s="1" t="s">
        <v>4372</v>
      </c>
      <c r="I32" s="1" t="s">
        <v>4373</v>
      </c>
      <c r="J32" s="1" t="s">
        <v>4421</v>
      </c>
      <c r="K32" s="1" t="s">
        <v>4422</v>
      </c>
    </row>
    <row r="33" spans="1:11" ht="21" x14ac:dyDescent="0.25">
      <c r="A33" s="11" t="str">
        <f>HYPERLINK("https://rth.dk/resources/bsgatlas/details.php?id=BSGatlas-transcript-32","BSGatlas-transcript-32")</f>
        <v>BSGatlas-transcript-32</v>
      </c>
      <c r="B33" s="1" t="s">
        <v>40</v>
      </c>
      <c r="C33" s="3">
        <v>23841</v>
      </c>
      <c r="D33" s="3">
        <v>25184</v>
      </c>
      <c r="E33" s="1" t="s">
        <v>13</v>
      </c>
      <c r="F33" s="1">
        <v>0</v>
      </c>
      <c r="G33" s="1" t="s">
        <v>4372</v>
      </c>
      <c r="H33" s="1" t="s">
        <v>4372</v>
      </c>
      <c r="I33" s="1" t="s">
        <v>4373</v>
      </c>
      <c r="J33" s="1" t="s">
        <v>4423</v>
      </c>
      <c r="K33" s="1" t="s">
        <v>4424</v>
      </c>
    </row>
    <row r="34" spans="1:11" ht="21" x14ac:dyDescent="0.25">
      <c r="A34" s="11" t="str">
        <f>HYPERLINK("https://rth.dk/resources/bsgatlas/details.php?id=BSGatlas-transcript-33","BSGatlas-transcript-33")</f>
        <v>BSGatlas-transcript-33</v>
      </c>
      <c r="B34" s="1" t="s">
        <v>4425</v>
      </c>
      <c r="C34" s="3">
        <v>23841</v>
      </c>
      <c r="D34" s="3">
        <v>25810</v>
      </c>
      <c r="E34" s="1" t="s">
        <v>13</v>
      </c>
      <c r="F34" s="1">
        <v>1</v>
      </c>
      <c r="G34" s="1">
        <v>45</v>
      </c>
      <c r="H34" s="1">
        <v>28</v>
      </c>
      <c r="I34" s="1" t="s">
        <v>4386</v>
      </c>
      <c r="J34" s="1" t="s">
        <v>4426</v>
      </c>
      <c r="K34" s="1" t="s">
        <v>4424</v>
      </c>
    </row>
    <row r="35" spans="1:11" ht="21" x14ac:dyDescent="0.25">
      <c r="A35" s="11" t="str">
        <f>HYPERLINK("https://rth.dk/resources/bsgatlas/details.php?id=BSGatlas-transcript-34","BSGatlas-transcript-34")</f>
        <v>BSGatlas-transcript-34</v>
      </c>
      <c r="B35" s="1" t="s">
        <v>4427</v>
      </c>
      <c r="C35" s="3">
        <v>25657</v>
      </c>
      <c r="D35" s="3">
        <v>26732</v>
      </c>
      <c r="E35" s="1" t="s">
        <v>9</v>
      </c>
      <c r="F35" s="1">
        <v>1</v>
      </c>
      <c r="G35" s="1">
        <v>196</v>
      </c>
      <c r="H35" s="1" t="s">
        <v>4372</v>
      </c>
      <c r="I35" s="1" t="s">
        <v>4373</v>
      </c>
      <c r="J35" s="1" t="s">
        <v>4428</v>
      </c>
      <c r="K35" s="1" t="s">
        <v>4429</v>
      </c>
    </row>
    <row r="36" spans="1:11" ht="21" x14ac:dyDescent="0.25">
      <c r="A36" s="11" t="str">
        <f>HYPERLINK("https://rth.dk/resources/bsgatlas/details.php?id=BSGatlas-transcript-35","BSGatlas-transcript-35")</f>
        <v>BSGatlas-transcript-35</v>
      </c>
      <c r="B36" s="1" t="s">
        <v>43</v>
      </c>
      <c r="C36" s="3">
        <v>26379</v>
      </c>
      <c r="D36" s="3">
        <v>26732</v>
      </c>
      <c r="E36" s="1" t="s">
        <v>9</v>
      </c>
      <c r="F36" s="1">
        <v>0</v>
      </c>
      <c r="G36" s="1" t="s">
        <v>4372</v>
      </c>
      <c r="H36" s="1" t="s">
        <v>4372</v>
      </c>
      <c r="I36" s="1" t="s">
        <v>4377</v>
      </c>
      <c r="J36" s="1" t="s">
        <v>4430</v>
      </c>
      <c r="K36" s="1" t="s">
        <v>4429</v>
      </c>
    </row>
    <row r="37" spans="1:11" ht="21" x14ac:dyDescent="0.25">
      <c r="A37" s="11" t="str">
        <f>HYPERLINK("https://rth.dk/resources/bsgatlas/details.php?id=BSGatlas-transcript-36","BSGatlas-transcript-36")</f>
        <v>BSGatlas-transcript-36</v>
      </c>
      <c r="B37" s="1" t="s">
        <v>4431</v>
      </c>
      <c r="C37" s="3">
        <v>26779</v>
      </c>
      <c r="D37" s="3">
        <v>30035</v>
      </c>
      <c r="E37" s="1" t="s">
        <v>9</v>
      </c>
      <c r="F37" s="1">
        <v>3</v>
      </c>
      <c r="G37" s="1">
        <v>36</v>
      </c>
      <c r="H37" s="1" t="s">
        <v>4372</v>
      </c>
      <c r="I37" s="1" t="s">
        <v>4386</v>
      </c>
      <c r="J37" s="1" t="s">
        <v>4432</v>
      </c>
      <c r="K37" s="1" t="s">
        <v>318</v>
      </c>
    </row>
    <row r="38" spans="1:11" ht="21" x14ac:dyDescent="0.25">
      <c r="A38" s="11" t="str">
        <f>HYPERLINK("https://rth.dk/resources/bsgatlas/details.php?id=BSGatlas-transcript-37","BSGatlas-transcript-37")</f>
        <v>BSGatlas-transcript-37</v>
      </c>
      <c r="B38" s="1" t="s">
        <v>49</v>
      </c>
      <c r="C38" s="3">
        <v>29744</v>
      </c>
      <c r="D38" s="3">
        <v>30035</v>
      </c>
      <c r="E38" s="1" t="s">
        <v>9</v>
      </c>
      <c r="F38" s="1">
        <v>0</v>
      </c>
      <c r="G38" s="1" t="s">
        <v>4372</v>
      </c>
      <c r="H38" s="1" t="s">
        <v>4372</v>
      </c>
      <c r="I38" s="1" t="s">
        <v>4373</v>
      </c>
      <c r="J38" s="1" t="s">
        <v>4433</v>
      </c>
      <c r="K38" s="1" t="s">
        <v>318</v>
      </c>
    </row>
    <row r="39" spans="1:11" ht="21" x14ac:dyDescent="0.25">
      <c r="A39" s="11" t="str">
        <f>HYPERLINK("https://rth.dk/resources/bsgatlas/details.php?id=BSGatlas-transcript-38","BSGatlas-transcript-38")</f>
        <v>BSGatlas-transcript-38</v>
      </c>
      <c r="B39" s="1" t="s">
        <v>4434</v>
      </c>
      <c r="C39" s="3">
        <v>30085</v>
      </c>
      <c r="D39" s="3">
        <v>35395</v>
      </c>
      <c r="E39" s="1" t="s">
        <v>9</v>
      </c>
      <c r="F39" s="1">
        <v>3</v>
      </c>
      <c r="G39" s="1">
        <v>195</v>
      </c>
      <c r="H39" s="1">
        <v>41</v>
      </c>
      <c r="I39" s="1" t="s">
        <v>4382</v>
      </c>
      <c r="J39" s="1" t="s">
        <v>4435</v>
      </c>
      <c r="K39" s="1" t="s">
        <v>4436</v>
      </c>
    </row>
    <row r="40" spans="1:11" ht="21" x14ac:dyDescent="0.25">
      <c r="A40" s="11" t="str">
        <f>HYPERLINK("https://rth.dk/resources/bsgatlas/details.php?id=BSGatlas-transcript-39","BSGatlas-transcript-39")</f>
        <v>BSGatlas-transcript-39</v>
      </c>
      <c r="B40" s="1" t="s">
        <v>4434</v>
      </c>
      <c r="C40" s="3">
        <v>30168</v>
      </c>
      <c r="D40" s="3">
        <v>35395</v>
      </c>
      <c r="E40" s="1" t="s">
        <v>9</v>
      </c>
      <c r="F40" s="1">
        <v>3</v>
      </c>
      <c r="G40" s="1">
        <v>112</v>
      </c>
      <c r="H40" s="1">
        <v>41</v>
      </c>
      <c r="I40" s="1" t="s">
        <v>4382</v>
      </c>
      <c r="J40" s="1" t="s">
        <v>4437</v>
      </c>
      <c r="K40" s="1" t="s">
        <v>4436</v>
      </c>
    </row>
    <row r="41" spans="1:11" ht="21" x14ac:dyDescent="0.25">
      <c r="A41" s="11" t="str">
        <f>HYPERLINK("https://rth.dk/resources/bsgatlas/details.php?id=BSGatlas-transcript-40","BSGatlas-transcript-40")</f>
        <v>BSGatlas-transcript-40</v>
      </c>
      <c r="B41" s="1" t="s">
        <v>57</v>
      </c>
      <c r="C41" s="3">
        <v>35460</v>
      </c>
      <c r="D41" s="3">
        <v>35753</v>
      </c>
      <c r="E41" s="1" t="s">
        <v>9</v>
      </c>
      <c r="F41" s="1">
        <v>0</v>
      </c>
      <c r="G41" s="1" t="s">
        <v>4372</v>
      </c>
      <c r="H41" s="1" t="s">
        <v>4372</v>
      </c>
      <c r="I41" s="1" t="s">
        <v>4373</v>
      </c>
      <c r="J41" s="1" t="s">
        <v>4438</v>
      </c>
      <c r="K41" s="1" t="s">
        <v>4439</v>
      </c>
    </row>
    <row r="42" spans="1:11" ht="21" x14ac:dyDescent="0.25">
      <c r="A42" s="11" t="str">
        <f>HYPERLINK("https://rth.dk/resources/bsgatlas/details.php?id=BSGatlas-transcript-41","BSGatlas-transcript-41")</f>
        <v>BSGatlas-transcript-41</v>
      </c>
      <c r="B42" s="1" t="s">
        <v>4440</v>
      </c>
      <c r="C42" s="3">
        <v>35797</v>
      </c>
      <c r="D42" s="3">
        <v>37638</v>
      </c>
      <c r="E42" s="1" t="s">
        <v>9</v>
      </c>
      <c r="F42" s="1">
        <v>1</v>
      </c>
      <c r="G42" s="1">
        <v>49</v>
      </c>
      <c r="H42" s="1" t="s">
        <v>4372</v>
      </c>
      <c r="I42" s="1" t="s">
        <v>4382</v>
      </c>
      <c r="J42" s="1" t="s">
        <v>4441</v>
      </c>
      <c r="K42" s="1" t="s">
        <v>318</v>
      </c>
    </row>
    <row r="43" spans="1:11" ht="21" x14ac:dyDescent="0.25">
      <c r="A43" s="11" t="str">
        <f>HYPERLINK("https://rth.dk/resources/bsgatlas/details.php?id=BSGatlas-transcript-42","BSGatlas-transcript-42")</f>
        <v>BSGatlas-transcript-42</v>
      </c>
      <c r="B43" s="1" t="s">
        <v>4442</v>
      </c>
      <c r="C43" s="3">
        <v>35797</v>
      </c>
      <c r="D43" s="3">
        <v>39162</v>
      </c>
      <c r="E43" s="1" t="s">
        <v>9</v>
      </c>
      <c r="F43" s="1">
        <v>2</v>
      </c>
      <c r="G43" s="1">
        <v>49</v>
      </c>
      <c r="H43" s="1" t="s">
        <v>4372</v>
      </c>
      <c r="I43" s="1" t="s">
        <v>4386</v>
      </c>
      <c r="J43" s="1" t="s">
        <v>4441</v>
      </c>
      <c r="K43" s="1" t="s">
        <v>318</v>
      </c>
    </row>
    <row r="44" spans="1:11" ht="21" x14ac:dyDescent="0.25">
      <c r="A44" s="11" t="str">
        <f>HYPERLINK("https://rth.dk/resources/bsgatlas/details.php?id=BSGatlas-transcript-43","BSGatlas-transcript-43")</f>
        <v>BSGatlas-transcript-43</v>
      </c>
      <c r="B44" s="1" t="s">
        <v>4443</v>
      </c>
      <c r="C44" s="3">
        <v>35797</v>
      </c>
      <c r="D44" s="3">
        <v>44799</v>
      </c>
      <c r="E44" s="1" t="s">
        <v>9</v>
      </c>
      <c r="F44" s="1">
        <v>4</v>
      </c>
      <c r="G44" s="1">
        <v>49</v>
      </c>
      <c r="H44" s="1" t="s">
        <v>4372</v>
      </c>
      <c r="I44" s="1" t="s">
        <v>4386</v>
      </c>
      <c r="J44" s="1" t="s">
        <v>4441</v>
      </c>
      <c r="K44" s="1" t="s">
        <v>4444</v>
      </c>
    </row>
    <row r="45" spans="1:11" ht="21" x14ac:dyDescent="0.25">
      <c r="A45" s="11" t="str">
        <f>HYPERLINK("https://rth.dk/resources/bsgatlas/details.php?id=BSGatlas-transcript-44","BSGatlas-transcript-44")</f>
        <v>BSGatlas-transcript-44</v>
      </c>
      <c r="B45" s="1" t="s">
        <v>4443</v>
      </c>
      <c r="C45" s="3">
        <v>35797</v>
      </c>
      <c r="D45" s="3">
        <v>45191</v>
      </c>
      <c r="E45" s="1" t="s">
        <v>9</v>
      </c>
      <c r="F45" s="1">
        <v>4</v>
      </c>
      <c r="G45" s="1">
        <v>49</v>
      </c>
      <c r="H45" s="1">
        <v>393</v>
      </c>
      <c r="I45" s="1" t="s">
        <v>4386</v>
      </c>
      <c r="J45" s="1" t="s">
        <v>4441</v>
      </c>
      <c r="K45" s="1" t="s">
        <v>4445</v>
      </c>
    </row>
    <row r="46" spans="1:11" ht="21" x14ac:dyDescent="0.25">
      <c r="A46" s="11" t="str">
        <f>HYPERLINK("https://rth.dk/resources/bsgatlas/details.php?id=BSGatlas-transcript-45","BSGatlas-transcript-45")</f>
        <v>BSGatlas-transcript-45</v>
      </c>
      <c r="B46" s="1" t="s">
        <v>4446</v>
      </c>
      <c r="C46" s="3">
        <v>39112</v>
      </c>
      <c r="D46" s="3">
        <v>44799</v>
      </c>
      <c r="E46" s="1" t="s">
        <v>9</v>
      </c>
      <c r="F46" s="1">
        <v>2</v>
      </c>
      <c r="G46" s="1">
        <v>48</v>
      </c>
      <c r="H46" s="1" t="s">
        <v>4372</v>
      </c>
      <c r="I46" s="1" t="s">
        <v>4386</v>
      </c>
      <c r="J46" s="1" t="s">
        <v>4447</v>
      </c>
      <c r="K46" s="1" t="s">
        <v>4444</v>
      </c>
    </row>
    <row r="47" spans="1:11" ht="21" x14ac:dyDescent="0.25">
      <c r="A47" s="11" t="str">
        <f>HYPERLINK("https://rth.dk/resources/bsgatlas/details.php?id=BSGatlas-transcript-46","BSGatlas-transcript-46")</f>
        <v>BSGatlas-transcript-46</v>
      </c>
      <c r="B47" s="1" t="s">
        <v>4446</v>
      </c>
      <c r="C47" s="3">
        <v>39112</v>
      </c>
      <c r="D47" s="3">
        <v>45191</v>
      </c>
      <c r="E47" s="1" t="s">
        <v>9</v>
      </c>
      <c r="F47" s="1">
        <v>2</v>
      </c>
      <c r="G47" s="1">
        <v>48</v>
      </c>
      <c r="H47" s="1">
        <v>393</v>
      </c>
      <c r="I47" s="1" t="s">
        <v>4386</v>
      </c>
      <c r="J47" s="1" t="s">
        <v>4447</v>
      </c>
      <c r="K47" s="1" t="s">
        <v>4445</v>
      </c>
    </row>
    <row r="48" spans="1:11" ht="21" x14ac:dyDescent="0.25">
      <c r="A48" s="11" t="str">
        <f>HYPERLINK("https://rth.dk/resources/bsgatlas/details.php?id=BSGatlas-transcript-47","BSGatlas-transcript-47")</f>
        <v>BSGatlas-transcript-47</v>
      </c>
      <c r="B48" s="1" t="s">
        <v>4448</v>
      </c>
      <c r="C48" s="3">
        <v>39823</v>
      </c>
      <c r="D48" s="3">
        <v>44799</v>
      </c>
      <c r="E48" s="1" t="s">
        <v>9</v>
      </c>
      <c r="F48" s="1">
        <v>1</v>
      </c>
      <c r="G48" s="1">
        <v>49</v>
      </c>
      <c r="H48" s="1" t="s">
        <v>4372</v>
      </c>
      <c r="I48" s="1" t="s">
        <v>4386</v>
      </c>
      <c r="J48" s="1" t="s">
        <v>4449</v>
      </c>
      <c r="K48" s="1" t="s">
        <v>4444</v>
      </c>
    </row>
    <row r="49" spans="1:11" ht="21" x14ac:dyDescent="0.25">
      <c r="A49" s="11" t="str">
        <f>HYPERLINK("https://rth.dk/resources/bsgatlas/details.php?id=BSGatlas-transcript-48","BSGatlas-transcript-48")</f>
        <v>BSGatlas-transcript-48</v>
      </c>
      <c r="B49" s="1" t="s">
        <v>4448</v>
      </c>
      <c r="C49" s="3">
        <v>39823</v>
      </c>
      <c r="D49" s="3">
        <v>45191</v>
      </c>
      <c r="E49" s="1" t="s">
        <v>9</v>
      </c>
      <c r="F49" s="1">
        <v>1</v>
      </c>
      <c r="G49" s="1">
        <v>49</v>
      </c>
      <c r="H49" s="1">
        <v>393</v>
      </c>
      <c r="I49" s="1" t="s">
        <v>4386</v>
      </c>
      <c r="J49" s="1" t="s">
        <v>4449</v>
      </c>
      <c r="K49" s="1" t="s">
        <v>4445</v>
      </c>
    </row>
    <row r="50" spans="1:11" ht="21" x14ac:dyDescent="0.25">
      <c r="A50" s="11" t="str">
        <f>HYPERLINK("https://rth.dk/resources/bsgatlas/details.php?id=BSGatlas-transcript-49","BSGatlas-transcript-49")</f>
        <v>BSGatlas-transcript-49</v>
      </c>
      <c r="B50" s="1" t="s">
        <v>70</v>
      </c>
      <c r="C50" s="3">
        <v>44790</v>
      </c>
      <c r="D50" s="3">
        <v>45207</v>
      </c>
      <c r="E50" s="1" t="s">
        <v>13</v>
      </c>
      <c r="F50" s="1">
        <v>0</v>
      </c>
      <c r="G50" s="1" t="s">
        <v>4372</v>
      </c>
      <c r="H50" s="1" t="s">
        <v>4372</v>
      </c>
      <c r="I50" s="1" t="s">
        <v>4373</v>
      </c>
      <c r="J50" s="1" t="s">
        <v>4450</v>
      </c>
      <c r="K50" s="1" t="s">
        <v>4451</v>
      </c>
    </row>
    <row r="51" spans="1:11" ht="21" x14ac:dyDescent="0.25">
      <c r="A51" s="11" t="str">
        <f>HYPERLINK("https://rth.dk/resources/bsgatlas/details.php?id=BSGatlas-transcript-50","BSGatlas-transcript-50")</f>
        <v>BSGatlas-transcript-50</v>
      </c>
      <c r="B51" s="1" t="s">
        <v>70</v>
      </c>
      <c r="C51" s="3">
        <v>44790</v>
      </c>
      <c r="D51" s="3">
        <v>45221</v>
      </c>
      <c r="E51" s="1" t="s">
        <v>13</v>
      </c>
      <c r="F51" s="1">
        <v>0</v>
      </c>
      <c r="G51" s="1" t="s">
        <v>4372</v>
      </c>
      <c r="H51" s="1" t="s">
        <v>4372</v>
      </c>
      <c r="I51" s="1" t="s">
        <v>4373</v>
      </c>
      <c r="J51" s="1" t="s">
        <v>4452</v>
      </c>
      <c r="K51" s="1" t="s">
        <v>4451</v>
      </c>
    </row>
    <row r="52" spans="1:11" ht="21" x14ac:dyDescent="0.25">
      <c r="A52" s="11" t="str">
        <f>HYPERLINK("https://rth.dk/resources/bsgatlas/details.php?id=BSGatlas-transcript-51","BSGatlas-transcript-51")</f>
        <v>BSGatlas-transcript-51</v>
      </c>
      <c r="B52" s="1" t="s">
        <v>70</v>
      </c>
      <c r="C52" s="3">
        <v>44790</v>
      </c>
      <c r="D52" s="3">
        <v>45399</v>
      </c>
      <c r="E52" s="1" t="s">
        <v>13</v>
      </c>
      <c r="F52" s="1">
        <v>0</v>
      </c>
      <c r="G52" s="1" t="s">
        <v>4372</v>
      </c>
      <c r="H52" s="1" t="s">
        <v>4372</v>
      </c>
      <c r="I52" s="1" t="s">
        <v>4373</v>
      </c>
      <c r="J52" s="1" t="s">
        <v>4453</v>
      </c>
      <c r="K52" s="1" t="s">
        <v>4451</v>
      </c>
    </row>
    <row r="53" spans="1:11" ht="21" x14ac:dyDescent="0.25">
      <c r="A53" s="11" t="str">
        <f>HYPERLINK("https://rth.dk/resources/bsgatlas/details.php?id=BSGatlas-transcript-52","BSGatlas-transcript-52")</f>
        <v>BSGatlas-transcript-52</v>
      </c>
      <c r="B53" s="1" t="s">
        <v>70</v>
      </c>
      <c r="C53" s="3">
        <v>44790</v>
      </c>
      <c r="D53" s="3">
        <v>46389</v>
      </c>
      <c r="E53" s="1" t="s">
        <v>13</v>
      </c>
      <c r="F53" s="1">
        <v>0</v>
      </c>
      <c r="G53" s="1" t="s">
        <v>4372</v>
      </c>
      <c r="H53" s="1" t="s">
        <v>4372</v>
      </c>
      <c r="I53" s="1" t="s">
        <v>4373</v>
      </c>
      <c r="J53" s="1" t="s">
        <v>4454</v>
      </c>
      <c r="K53" s="1" t="s">
        <v>4451</v>
      </c>
    </row>
    <row r="54" spans="1:11" ht="21" x14ac:dyDescent="0.25">
      <c r="A54" s="11" t="str">
        <f>HYPERLINK("https://rth.dk/resources/bsgatlas/details.php?id=BSGatlas-transcript-53","BSGatlas-transcript-53")</f>
        <v>BSGatlas-transcript-53</v>
      </c>
      <c r="B54" s="1" t="s">
        <v>71</v>
      </c>
      <c r="C54" s="3">
        <v>45524</v>
      </c>
      <c r="D54" s="3">
        <v>47627</v>
      </c>
      <c r="E54" s="1" t="s">
        <v>9</v>
      </c>
      <c r="F54" s="1">
        <v>0</v>
      </c>
      <c r="G54" s="1" t="s">
        <v>4372</v>
      </c>
      <c r="H54" s="1" t="s">
        <v>4372</v>
      </c>
      <c r="I54" s="1" t="s">
        <v>4373</v>
      </c>
      <c r="J54" s="1" t="s">
        <v>4455</v>
      </c>
      <c r="K54" s="1" t="s">
        <v>4456</v>
      </c>
    </row>
    <row r="55" spans="1:11" ht="21" x14ac:dyDescent="0.25">
      <c r="A55" s="11" t="str">
        <f>HYPERLINK("https://rth.dk/resources/bsgatlas/details.php?id=BSGatlas-transcript-54","BSGatlas-transcript-54")</f>
        <v>BSGatlas-transcript-54</v>
      </c>
      <c r="B55" s="1" t="s">
        <v>71</v>
      </c>
      <c r="C55" s="3">
        <v>45524</v>
      </c>
      <c r="D55" s="3">
        <v>47686</v>
      </c>
      <c r="E55" s="1" t="s">
        <v>9</v>
      </c>
      <c r="F55" s="1">
        <v>0</v>
      </c>
      <c r="G55" s="1" t="s">
        <v>4372</v>
      </c>
      <c r="H55" s="1" t="s">
        <v>4372</v>
      </c>
      <c r="I55" s="1" t="s">
        <v>4373</v>
      </c>
      <c r="J55" s="1" t="s">
        <v>4455</v>
      </c>
      <c r="K55" s="1" t="s">
        <v>4457</v>
      </c>
    </row>
    <row r="56" spans="1:11" ht="21" x14ac:dyDescent="0.25">
      <c r="A56" s="11" t="str">
        <f>HYPERLINK("https://rth.dk/resources/bsgatlas/details.php?id=BSGatlas-transcript-55","BSGatlas-transcript-55")</f>
        <v>BSGatlas-transcript-55</v>
      </c>
      <c r="B56" s="1" t="s">
        <v>4458</v>
      </c>
      <c r="C56" s="3">
        <v>45524</v>
      </c>
      <c r="D56" s="3">
        <v>48473</v>
      </c>
      <c r="E56" s="1" t="s">
        <v>9</v>
      </c>
      <c r="F56" s="1">
        <v>1</v>
      </c>
      <c r="G56" s="1">
        <v>110</v>
      </c>
      <c r="H56" s="1" t="s">
        <v>4372</v>
      </c>
      <c r="I56" s="1" t="s">
        <v>4386</v>
      </c>
      <c r="J56" s="1" t="s">
        <v>4455</v>
      </c>
      <c r="K56" s="1" t="s">
        <v>318</v>
      </c>
    </row>
    <row r="57" spans="1:11" ht="21" x14ac:dyDescent="0.25">
      <c r="A57" s="11" t="str">
        <f>HYPERLINK("https://rth.dk/resources/bsgatlas/details.php?id=BSGatlas-transcript-56","BSGatlas-transcript-56")</f>
        <v>BSGatlas-transcript-56</v>
      </c>
      <c r="B57" s="1" t="s">
        <v>73</v>
      </c>
      <c r="C57" s="3">
        <v>47673</v>
      </c>
      <c r="D57" s="3">
        <v>50019</v>
      </c>
      <c r="E57" s="1" t="s">
        <v>13</v>
      </c>
      <c r="F57" s="1">
        <v>0</v>
      </c>
      <c r="G57" s="1" t="s">
        <v>4372</v>
      </c>
      <c r="H57" s="1" t="s">
        <v>4372</v>
      </c>
      <c r="I57" s="1" t="s">
        <v>4377</v>
      </c>
      <c r="J57" s="1" t="s">
        <v>4459</v>
      </c>
      <c r="K57" s="1" t="s">
        <v>318</v>
      </c>
    </row>
    <row r="58" spans="1:11" ht="21" x14ac:dyDescent="0.25">
      <c r="A58" s="11" t="str">
        <f>HYPERLINK("https://rth.dk/resources/bsgatlas/details.php?id=BSGatlas-transcript-57","BSGatlas-transcript-57")</f>
        <v>BSGatlas-transcript-57</v>
      </c>
      <c r="B58" s="1" t="s">
        <v>74</v>
      </c>
      <c r="C58" s="3">
        <v>48556</v>
      </c>
      <c r="D58" s="3">
        <v>49942</v>
      </c>
      <c r="E58" s="1" t="s">
        <v>9</v>
      </c>
      <c r="F58" s="1">
        <v>0</v>
      </c>
      <c r="G58" s="1" t="s">
        <v>4372</v>
      </c>
      <c r="H58" s="1" t="s">
        <v>4372</v>
      </c>
      <c r="I58" s="1" t="s">
        <v>4373</v>
      </c>
      <c r="J58" s="1" t="s">
        <v>4460</v>
      </c>
      <c r="K58" s="1" t="s">
        <v>4461</v>
      </c>
    </row>
    <row r="59" spans="1:11" ht="21" x14ac:dyDescent="0.25">
      <c r="A59" s="11" t="str">
        <f>HYPERLINK("https://rth.dk/resources/bsgatlas/details.php?id=BSGatlas-transcript-58","BSGatlas-transcript-58")</f>
        <v>BSGatlas-transcript-58</v>
      </c>
      <c r="B59" s="1" t="s">
        <v>74</v>
      </c>
      <c r="C59" s="3">
        <v>48556</v>
      </c>
      <c r="D59" s="3">
        <v>49994</v>
      </c>
      <c r="E59" s="1" t="s">
        <v>9</v>
      </c>
      <c r="F59" s="1">
        <v>0</v>
      </c>
      <c r="G59" s="1" t="s">
        <v>4372</v>
      </c>
      <c r="H59" s="1" t="s">
        <v>4372</v>
      </c>
      <c r="I59" s="1" t="s">
        <v>4373</v>
      </c>
      <c r="J59" s="1" t="s">
        <v>4460</v>
      </c>
      <c r="K59" s="1" t="s">
        <v>4462</v>
      </c>
    </row>
    <row r="60" spans="1:11" ht="21" x14ac:dyDescent="0.25">
      <c r="A60" s="11" t="str">
        <f>HYPERLINK("https://rth.dk/resources/bsgatlas/details.php?id=BSGatlas-transcript-59","BSGatlas-transcript-59")</f>
        <v>BSGatlas-transcript-59</v>
      </c>
      <c r="B60" s="1" t="s">
        <v>74</v>
      </c>
      <c r="C60" s="3">
        <v>48629</v>
      </c>
      <c r="D60" s="3">
        <v>49942</v>
      </c>
      <c r="E60" s="1" t="s">
        <v>9</v>
      </c>
      <c r="F60" s="1">
        <v>0</v>
      </c>
      <c r="G60" s="1" t="s">
        <v>4372</v>
      </c>
      <c r="H60" s="1" t="s">
        <v>4372</v>
      </c>
      <c r="I60" s="1" t="s">
        <v>4373</v>
      </c>
      <c r="J60" s="1" t="s">
        <v>4463</v>
      </c>
      <c r="K60" s="1" t="s">
        <v>4461</v>
      </c>
    </row>
    <row r="61" spans="1:11" ht="21" x14ac:dyDescent="0.25">
      <c r="A61" s="11" t="str">
        <f>HYPERLINK("https://rth.dk/resources/bsgatlas/details.php?id=BSGatlas-transcript-60","BSGatlas-transcript-60")</f>
        <v>BSGatlas-transcript-60</v>
      </c>
      <c r="B61" s="1" t="s">
        <v>74</v>
      </c>
      <c r="C61" s="3">
        <v>48629</v>
      </c>
      <c r="D61" s="3">
        <v>49942</v>
      </c>
      <c r="E61" s="1" t="s">
        <v>9</v>
      </c>
      <c r="F61" s="1">
        <v>0</v>
      </c>
      <c r="G61" s="1" t="s">
        <v>4372</v>
      </c>
      <c r="H61" s="1" t="s">
        <v>4372</v>
      </c>
      <c r="I61" s="1" t="s">
        <v>4373</v>
      </c>
      <c r="J61" s="1" t="s">
        <v>4464</v>
      </c>
      <c r="K61" s="1" t="s">
        <v>4461</v>
      </c>
    </row>
    <row r="62" spans="1:11" ht="21" x14ac:dyDescent="0.25">
      <c r="A62" s="11" t="str">
        <f>HYPERLINK("https://rth.dk/resources/bsgatlas/details.php?id=BSGatlas-transcript-61","BSGatlas-transcript-61")</f>
        <v>BSGatlas-transcript-61</v>
      </c>
      <c r="B62" s="1" t="s">
        <v>74</v>
      </c>
      <c r="C62" s="3">
        <v>48629</v>
      </c>
      <c r="D62" s="3">
        <v>49994</v>
      </c>
      <c r="E62" s="1" t="s">
        <v>9</v>
      </c>
      <c r="F62" s="1">
        <v>0</v>
      </c>
      <c r="G62" s="1" t="s">
        <v>4372</v>
      </c>
      <c r="H62" s="1" t="s">
        <v>4372</v>
      </c>
      <c r="I62" s="1" t="s">
        <v>4373</v>
      </c>
      <c r="J62" s="1" t="s">
        <v>4463</v>
      </c>
      <c r="K62" s="1" t="s">
        <v>4462</v>
      </c>
    </row>
    <row r="63" spans="1:11" ht="21" x14ac:dyDescent="0.25">
      <c r="A63" s="11" t="str">
        <f>HYPERLINK("https://rth.dk/resources/bsgatlas/details.php?id=BSGatlas-transcript-62","BSGatlas-transcript-62")</f>
        <v>BSGatlas-transcript-62</v>
      </c>
      <c r="B63" s="1" t="s">
        <v>74</v>
      </c>
      <c r="C63" s="3">
        <v>48629</v>
      </c>
      <c r="D63" s="3">
        <v>49994</v>
      </c>
      <c r="E63" s="1" t="s">
        <v>9</v>
      </c>
      <c r="F63" s="1">
        <v>0</v>
      </c>
      <c r="G63" s="1" t="s">
        <v>4372</v>
      </c>
      <c r="H63" s="1" t="s">
        <v>4372</v>
      </c>
      <c r="I63" s="1" t="s">
        <v>4373</v>
      </c>
      <c r="J63" s="1" t="s">
        <v>4464</v>
      </c>
      <c r="K63" s="1" t="s">
        <v>4462</v>
      </c>
    </row>
    <row r="64" spans="1:11" ht="21" x14ac:dyDescent="0.25">
      <c r="A64" s="11" t="str">
        <f>HYPERLINK("https://rth.dk/resources/bsgatlas/details.php?id=BSGatlas-transcript-63","BSGatlas-transcript-63")</f>
        <v>BSGatlas-transcript-63</v>
      </c>
      <c r="B64" s="1" t="s">
        <v>4465</v>
      </c>
      <c r="C64" s="3">
        <v>49987</v>
      </c>
      <c r="D64" s="3">
        <v>51539</v>
      </c>
      <c r="E64" s="1" t="s">
        <v>9</v>
      </c>
      <c r="F64" s="1">
        <v>0</v>
      </c>
      <c r="G64" s="1" t="s">
        <v>4372</v>
      </c>
      <c r="H64" s="1" t="s">
        <v>4372</v>
      </c>
      <c r="I64" s="1" t="s">
        <v>4373</v>
      </c>
      <c r="J64" s="1" t="s">
        <v>4466</v>
      </c>
      <c r="K64" s="1" t="s">
        <v>4467</v>
      </c>
    </row>
    <row r="65" spans="1:11" ht="21" x14ac:dyDescent="0.25">
      <c r="A65" s="11" t="str">
        <f>HYPERLINK("https://rth.dk/resources/bsgatlas/details.php?id=BSGatlas-transcript-64","BSGatlas-transcript-64")</f>
        <v>BSGatlas-transcript-64</v>
      </c>
      <c r="B65" s="1" t="s">
        <v>4465</v>
      </c>
      <c r="C65" s="3">
        <v>50087</v>
      </c>
      <c r="D65" s="3">
        <v>51539</v>
      </c>
      <c r="E65" s="1" t="s">
        <v>9</v>
      </c>
      <c r="F65" s="1">
        <v>0</v>
      </c>
      <c r="G65" s="1" t="s">
        <v>4372</v>
      </c>
      <c r="H65" s="1" t="s">
        <v>4372</v>
      </c>
      <c r="I65" s="1" t="s">
        <v>4373</v>
      </c>
      <c r="J65" s="1" t="s">
        <v>4468</v>
      </c>
      <c r="K65" s="1" t="s">
        <v>4467</v>
      </c>
    </row>
    <row r="66" spans="1:11" ht="21" x14ac:dyDescent="0.25">
      <c r="A66" s="11" t="str">
        <f>HYPERLINK("https://rth.dk/resources/bsgatlas/details.php?id=BSGatlas-transcript-65","BSGatlas-transcript-65")</f>
        <v>BSGatlas-transcript-65</v>
      </c>
      <c r="B66" s="1" t="s">
        <v>77</v>
      </c>
      <c r="C66" s="3">
        <v>51571</v>
      </c>
      <c r="D66" s="3">
        <v>52600</v>
      </c>
      <c r="E66" s="1" t="s">
        <v>9</v>
      </c>
      <c r="F66" s="1">
        <v>0</v>
      </c>
      <c r="G66" s="1" t="s">
        <v>4372</v>
      </c>
      <c r="H66" s="1" t="s">
        <v>4372</v>
      </c>
      <c r="I66" s="1" t="s">
        <v>4373</v>
      </c>
      <c r="J66" s="1" t="s">
        <v>4469</v>
      </c>
      <c r="K66" s="1" t="s">
        <v>4470</v>
      </c>
    </row>
    <row r="67" spans="1:11" ht="21" x14ac:dyDescent="0.25">
      <c r="A67" s="11" t="str">
        <f>HYPERLINK("https://rth.dk/resources/bsgatlas/details.php?id=BSGatlas-transcript-66","BSGatlas-transcript-66")</f>
        <v>BSGatlas-transcript-66</v>
      </c>
      <c r="B67" s="1" t="s">
        <v>78</v>
      </c>
      <c r="C67" s="3">
        <v>52649</v>
      </c>
      <c r="D67" s="3">
        <v>53023</v>
      </c>
      <c r="E67" s="1" t="s">
        <v>9</v>
      </c>
      <c r="F67" s="1">
        <v>0</v>
      </c>
      <c r="G67" s="1" t="s">
        <v>4372</v>
      </c>
      <c r="H67" s="1" t="s">
        <v>4372</v>
      </c>
      <c r="I67" s="1" t="s">
        <v>4373</v>
      </c>
      <c r="J67" s="1" t="s">
        <v>4471</v>
      </c>
      <c r="K67" s="1" t="s">
        <v>4472</v>
      </c>
    </row>
    <row r="68" spans="1:11" ht="21" x14ac:dyDescent="0.25">
      <c r="A68" s="11" t="str">
        <f>HYPERLINK("https://rth.dk/resources/bsgatlas/details.php?id=BSGatlas-transcript-67","BSGatlas-transcript-67")</f>
        <v>BSGatlas-transcript-67</v>
      </c>
      <c r="B68" s="1" t="s">
        <v>78</v>
      </c>
      <c r="C68" s="3">
        <v>52649</v>
      </c>
      <c r="D68" s="3">
        <v>53064</v>
      </c>
      <c r="E68" s="1" t="s">
        <v>9</v>
      </c>
      <c r="F68" s="1">
        <v>0</v>
      </c>
      <c r="G68" s="1" t="s">
        <v>4372</v>
      </c>
      <c r="H68" s="1" t="s">
        <v>4372</v>
      </c>
      <c r="I68" s="1" t="s">
        <v>4373</v>
      </c>
      <c r="J68" s="1" t="s">
        <v>4471</v>
      </c>
      <c r="K68" s="1" t="s">
        <v>4473</v>
      </c>
    </row>
    <row r="69" spans="1:11" ht="21" x14ac:dyDescent="0.25">
      <c r="A69" s="11" t="str">
        <f>HYPERLINK("https://rth.dk/resources/bsgatlas/details.php?id=BSGatlas-transcript-68","BSGatlas-transcript-68")</f>
        <v>BSGatlas-transcript-68</v>
      </c>
      <c r="B69" s="1" t="s">
        <v>78</v>
      </c>
      <c r="C69" s="3">
        <v>52721</v>
      </c>
      <c r="D69" s="3">
        <v>53023</v>
      </c>
      <c r="E69" s="1" t="s">
        <v>9</v>
      </c>
      <c r="F69" s="1">
        <v>0</v>
      </c>
      <c r="G69" s="1" t="s">
        <v>4372</v>
      </c>
      <c r="H69" s="1" t="s">
        <v>4372</v>
      </c>
      <c r="I69" s="1" t="s">
        <v>4373</v>
      </c>
      <c r="J69" s="1" t="s">
        <v>4474</v>
      </c>
      <c r="K69" s="1" t="s">
        <v>4472</v>
      </c>
    </row>
    <row r="70" spans="1:11" ht="21" x14ac:dyDescent="0.25">
      <c r="A70" s="11" t="str">
        <f>HYPERLINK("https://rth.dk/resources/bsgatlas/details.php?id=BSGatlas-transcript-69","BSGatlas-transcript-69")</f>
        <v>BSGatlas-transcript-69</v>
      </c>
      <c r="B70" s="1" t="s">
        <v>78</v>
      </c>
      <c r="C70" s="3">
        <v>52721</v>
      </c>
      <c r="D70" s="3">
        <v>53064</v>
      </c>
      <c r="E70" s="1" t="s">
        <v>9</v>
      </c>
      <c r="F70" s="1">
        <v>0</v>
      </c>
      <c r="G70" s="1" t="s">
        <v>4372</v>
      </c>
      <c r="H70" s="1" t="s">
        <v>4372</v>
      </c>
      <c r="I70" s="1" t="s">
        <v>4373</v>
      </c>
      <c r="J70" s="1" t="s">
        <v>4474</v>
      </c>
      <c r="K70" s="1" t="s">
        <v>4473</v>
      </c>
    </row>
    <row r="71" spans="1:11" ht="21" x14ac:dyDescent="0.25">
      <c r="A71" s="11" t="str">
        <f>HYPERLINK("https://rth.dk/resources/bsgatlas/details.php?id=BSGatlas-transcript-70","BSGatlas-transcript-70")</f>
        <v>BSGatlas-transcript-70</v>
      </c>
      <c r="B71" s="1" t="s">
        <v>78</v>
      </c>
      <c r="C71" s="3">
        <v>52748</v>
      </c>
      <c r="D71" s="3">
        <v>53023</v>
      </c>
      <c r="E71" s="1" t="s">
        <v>9</v>
      </c>
      <c r="F71" s="1">
        <v>0</v>
      </c>
      <c r="G71" s="1" t="s">
        <v>4372</v>
      </c>
      <c r="H71" s="1" t="s">
        <v>4372</v>
      </c>
      <c r="I71" s="1" t="s">
        <v>4373</v>
      </c>
      <c r="J71" s="1" t="s">
        <v>4475</v>
      </c>
      <c r="K71" s="1" t="s">
        <v>4472</v>
      </c>
    </row>
    <row r="72" spans="1:11" ht="21" x14ac:dyDescent="0.25">
      <c r="A72" s="11" t="str">
        <f>HYPERLINK("https://rth.dk/resources/bsgatlas/details.php?id=BSGatlas-transcript-71","BSGatlas-transcript-71")</f>
        <v>BSGatlas-transcript-71</v>
      </c>
      <c r="B72" s="1" t="s">
        <v>78</v>
      </c>
      <c r="C72" s="3">
        <v>52748</v>
      </c>
      <c r="D72" s="3">
        <v>53064</v>
      </c>
      <c r="E72" s="1" t="s">
        <v>9</v>
      </c>
      <c r="F72" s="1">
        <v>0</v>
      </c>
      <c r="G72" s="1" t="s">
        <v>4372</v>
      </c>
      <c r="H72" s="1" t="s">
        <v>4372</v>
      </c>
      <c r="I72" s="1" t="s">
        <v>4373</v>
      </c>
      <c r="J72" s="1" t="s">
        <v>4475</v>
      </c>
      <c r="K72" s="1" t="s">
        <v>4473</v>
      </c>
    </row>
    <row r="73" spans="1:11" ht="21" x14ac:dyDescent="0.25">
      <c r="A73" s="11" t="str">
        <f>HYPERLINK("https://rth.dk/resources/bsgatlas/details.php?id=BSGatlas-transcript-72","BSGatlas-transcript-72")</f>
        <v>BSGatlas-transcript-72</v>
      </c>
      <c r="B73" s="1" t="s">
        <v>79</v>
      </c>
      <c r="C73" s="3">
        <v>53122</v>
      </c>
      <c r="D73" s="3">
        <v>53415</v>
      </c>
      <c r="E73" s="1" t="s">
        <v>9</v>
      </c>
      <c r="F73" s="1">
        <v>0</v>
      </c>
      <c r="G73" s="1" t="s">
        <v>4372</v>
      </c>
      <c r="H73" s="1" t="s">
        <v>4372</v>
      </c>
      <c r="I73" s="1" t="s">
        <v>4373</v>
      </c>
      <c r="J73" s="1" t="s">
        <v>4476</v>
      </c>
      <c r="K73" s="1" t="s">
        <v>4477</v>
      </c>
    </row>
    <row r="74" spans="1:11" ht="21" x14ac:dyDescent="0.25">
      <c r="A74" s="11" t="str">
        <f>HYPERLINK("https://rth.dk/resources/bsgatlas/details.php?id=BSGatlas-transcript-73","BSGatlas-transcript-73")</f>
        <v>BSGatlas-transcript-73</v>
      </c>
      <c r="B74" s="1" t="s">
        <v>80</v>
      </c>
      <c r="C74" s="3">
        <v>53363</v>
      </c>
      <c r="D74" s="3">
        <v>55717</v>
      </c>
      <c r="E74" s="1" t="s">
        <v>13</v>
      </c>
      <c r="F74" s="1">
        <v>0</v>
      </c>
      <c r="G74" s="1" t="s">
        <v>4372</v>
      </c>
      <c r="H74" s="1" t="s">
        <v>4372</v>
      </c>
      <c r="I74" s="1" t="s">
        <v>4377</v>
      </c>
      <c r="J74" s="1" t="s">
        <v>4478</v>
      </c>
      <c r="K74" s="1" t="s">
        <v>318</v>
      </c>
    </row>
    <row r="75" spans="1:11" ht="21" x14ac:dyDescent="0.25">
      <c r="A75" s="11" t="str">
        <f>HYPERLINK("https://rth.dk/resources/bsgatlas/details.php?id=BSGatlas-transcript-74","BSGatlas-transcript-74")</f>
        <v>BSGatlas-transcript-74</v>
      </c>
      <c r="B75" s="1" t="s">
        <v>4479</v>
      </c>
      <c r="C75" s="3">
        <v>53469</v>
      </c>
      <c r="D75" s="3">
        <v>55720</v>
      </c>
      <c r="E75" s="1" t="s">
        <v>9</v>
      </c>
      <c r="F75" s="1">
        <v>1</v>
      </c>
      <c r="G75" s="1">
        <v>48</v>
      </c>
      <c r="H75" s="1">
        <v>49</v>
      </c>
      <c r="I75" s="1" t="s">
        <v>4386</v>
      </c>
      <c r="J75" s="1" t="s">
        <v>4480</v>
      </c>
      <c r="K75" s="1" t="s">
        <v>4481</v>
      </c>
    </row>
    <row r="76" spans="1:11" ht="21" x14ac:dyDescent="0.25">
      <c r="A76" s="11" t="str">
        <f>HYPERLINK("https://rth.dk/resources/bsgatlas/details.php?id=BSGatlas-transcript-75","BSGatlas-transcript-75")</f>
        <v>BSGatlas-transcript-75</v>
      </c>
      <c r="B76" s="1" t="s">
        <v>4482</v>
      </c>
      <c r="C76" s="3">
        <v>54441</v>
      </c>
      <c r="D76" s="3">
        <v>55720</v>
      </c>
      <c r="E76" s="1" t="s">
        <v>9</v>
      </c>
      <c r="F76" s="1">
        <v>0</v>
      </c>
      <c r="G76" s="1" t="s">
        <v>4372</v>
      </c>
      <c r="H76" s="1" t="s">
        <v>4372</v>
      </c>
      <c r="I76" s="1" t="s">
        <v>4382</v>
      </c>
      <c r="J76" s="1" t="s">
        <v>318</v>
      </c>
      <c r="K76" s="1" t="s">
        <v>4481</v>
      </c>
    </row>
    <row r="77" spans="1:11" ht="21" x14ac:dyDescent="0.25">
      <c r="A77" s="11" t="str">
        <f>HYPERLINK("https://rth.dk/resources/bsgatlas/details.php?id=BSGatlas-transcript-76","BSGatlas-transcript-76")</f>
        <v>BSGatlas-transcript-76</v>
      </c>
      <c r="B77" s="1" t="s">
        <v>84</v>
      </c>
      <c r="C77" s="3">
        <v>55830</v>
      </c>
      <c r="D77" s="3">
        <v>56159</v>
      </c>
      <c r="E77" s="1" t="s">
        <v>9</v>
      </c>
      <c r="F77" s="1">
        <v>0</v>
      </c>
      <c r="G77" s="1" t="s">
        <v>4372</v>
      </c>
      <c r="H77" s="1" t="s">
        <v>4372</v>
      </c>
      <c r="I77" s="1" t="s">
        <v>4373</v>
      </c>
      <c r="J77" s="1" t="s">
        <v>4483</v>
      </c>
      <c r="K77" s="1" t="s">
        <v>4484</v>
      </c>
    </row>
    <row r="78" spans="1:11" ht="21" x14ac:dyDescent="0.25">
      <c r="A78" s="11" t="str">
        <f>HYPERLINK("https://rth.dk/resources/bsgatlas/details.php?id=BSGatlas-transcript-77","BSGatlas-transcript-77")</f>
        <v>BSGatlas-transcript-77</v>
      </c>
      <c r="B78" s="1" t="s">
        <v>84</v>
      </c>
      <c r="C78" s="3">
        <v>55830</v>
      </c>
      <c r="D78" s="3">
        <v>56234</v>
      </c>
      <c r="E78" s="1" t="s">
        <v>9</v>
      </c>
      <c r="F78" s="1">
        <v>0</v>
      </c>
      <c r="G78" s="1" t="s">
        <v>4372</v>
      </c>
      <c r="H78" s="1" t="s">
        <v>4372</v>
      </c>
      <c r="I78" s="1" t="s">
        <v>4373</v>
      </c>
      <c r="J78" s="1" t="s">
        <v>4483</v>
      </c>
      <c r="K78" s="1" t="s">
        <v>4485</v>
      </c>
    </row>
    <row r="79" spans="1:11" ht="21" x14ac:dyDescent="0.25">
      <c r="A79" s="11" t="str">
        <f>HYPERLINK("https://rth.dk/resources/bsgatlas/details.php?id=BSGatlas-transcript-78","BSGatlas-transcript-78")</f>
        <v>BSGatlas-transcript-78</v>
      </c>
      <c r="B79" s="1" t="s">
        <v>84</v>
      </c>
      <c r="C79" s="3">
        <v>55831</v>
      </c>
      <c r="D79" s="3">
        <v>56159</v>
      </c>
      <c r="E79" s="1" t="s">
        <v>9</v>
      </c>
      <c r="F79" s="1">
        <v>0</v>
      </c>
      <c r="G79" s="1" t="s">
        <v>4372</v>
      </c>
      <c r="H79" s="1" t="s">
        <v>4372</v>
      </c>
      <c r="I79" s="1" t="s">
        <v>4373</v>
      </c>
      <c r="J79" s="1" t="s">
        <v>4486</v>
      </c>
      <c r="K79" s="1" t="s">
        <v>4484</v>
      </c>
    </row>
    <row r="80" spans="1:11" ht="21" x14ac:dyDescent="0.25">
      <c r="A80" s="11" t="str">
        <f>HYPERLINK("https://rth.dk/resources/bsgatlas/details.php?id=BSGatlas-transcript-79","BSGatlas-transcript-79")</f>
        <v>BSGatlas-transcript-79</v>
      </c>
      <c r="B80" s="1" t="s">
        <v>84</v>
      </c>
      <c r="C80" s="3">
        <v>55831</v>
      </c>
      <c r="D80" s="3">
        <v>56234</v>
      </c>
      <c r="E80" s="1" t="s">
        <v>9</v>
      </c>
      <c r="F80" s="1">
        <v>0</v>
      </c>
      <c r="G80" s="1" t="s">
        <v>4372</v>
      </c>
      <c r="H80" s="1" t="s">
        <v>4372</v>
      </c>
      <c r="I80" s="1" t="s">
        <v>4373</v>
      </c>
      <c r="J80" s="1" t="s">
        <v>4486</v>
      </c>
      <c r="K80" s="1" t="s">
        <v>4485</v>
      </c>
    </row>
    <row r="81" spans="1:11" ht="21" x14ac:dyDescent="0.25">
      <c r="A81" s="11" t="str">
        <f>HYPERLINK("https://rth.dk/resources/bsgatlas/details.php?id=BSGatlas-transcript-80","BSGatlas-transcript-80")</f>
        <v>BSGatlas-transcript-80</v>
      </c>
      <c r="B81" s="1" t="s">
        <v>4487</v>
      </c>
      <c r="C81" s="3">
        <v>56324</v>
      </c>
      <c r="D81" s="3">
        <v>59445</v>
      </c>
      <c r="E81" s="1" t="s">
        <v>9</v>
      </c>
      <c r="F81" s="1">
        <v>2</v>
      </c>
      <c r="G81" s="1">
        <v>29</v>
      </c>
      <c r="H81" s="1">
        <v>49</v>
      </c>
      <c r="I81" s="1" t="s">
        <v>4373</v>
      </c>
      <c r="J81" s="1" t="s">
        <v>4488</v>
      </c>
      <c r="K81" s="1" t="s">
        <v>4489</v>
      </c>
    </row>
    <row r="82" spans="1:11" ht="21" x14ac:dyDescent="0.25">
      <c r="A82" s="11" t="str">
        <f>HYPERLINK("https://rth.dk/resources/bsgatlas/details.php?id=BSGatlas-transcript-81","BSGatlas-transcript-81")</f>
        <v>BSGatlas-transcript-81</v>
      </c>
      <c r="B82" s="1" t="s">
        <v>4490</v>
      </c>
      <c r="C82" s="3">
        <v>56324</v>
      </c>
      <c r="D82" s="3">
        <v>64661</v>
      </c>
      <c r="E82" s="1" t="s">
        <v>9</v>
      </c>
      <c r="F82" s="1">
        <v>6</v>
      </c>
      <c r="G82" s="1">
        <v>29</v>
      </c>
      <c r="H82" s="1">
        <v>27</v>
      </c>
      <c r="I82" s="1" t="s">
        <v>4377</v>
      </c>
      <c r="J82" s="1" t="s">
        <v>4488</v>
      </c>
      <c r="K82" s="1" t="s">
        <v>4491</v>
      </c>
    </row>
    <row r="83" spans="1:11" ht="21" x14ac:dyDescent="0.25">
      <c r="A83" s="11" t="str">
        <f>HYPERLINK("https://rth.dk/resources/bsgatlas/details.php?id=BSGatlas-transcript-82","BSGatlas-transcript-82")</f>
        <v>BSGatlas-transcript-82</v>
      </c>
      <c r="B83" s="1" t="s">
        <v>4490</v>
      </c>
      <c r="C83" s="3">
        <v>56324</v>
      </c>
      <c r="D83" s="3">
        <v>64710</v>
      </c>
      <c r="E83" s="1" t="s">
        <v>9</v>
      </c>
      <c r="F83" s="1">
        <v>6</v>
      </c>
      <c r="G83" s="1">
        <v>29</v>
      </c>
      <c r="H83" s="1">
        <v>76</v>
      </c>
      <c r="I83" s="1" t="s">
        <v>4377</v>
      </c>
      <c r="J83" s="1" t="s">
        <v>4488</v>
      </c>
      <c r="K83" s="1" t="s">
        <v>4492</v>
      </c>
    </row>
    <row r="84" spans="1:11" ht="21" x14ac:dyDescent="0.25">
      <c r="A84" s="11" t="str">
        <f>HYPERLINK("https://rth.dk/resources/bsgatlas/details.php?id=BSGatlas-transcript-83","BSGatlas-transcript-83")</f>
        <v>BSGatlas-transcript-83</v>
      </c>
      <c r="B84" s="1" t="s">
        <v>87</v>
      </c>
      <c r="C84" s="3">
        <v>58748</v>
      </c>
      <c r="D84" s="3">
        <v>59445</v>
      </c>
      <c r="E84" s="1" t="s">
        <v>9</v>
      </c>
      <c r="F84" s="1">
        <v>0</v>
      </c>
      <c r="G84" s="1" t="s">
        <v>4372</v>
      </c>
      <c r="H84" s="1" t="s">
        <v>4372</v>
      </c>
      <c r="I84" s="1" t="s">
        <v>4386</v>
      </c>
      <c r="J84" s="1" t="s">
        <v>4493</v>
      </c>
      <c r="K84" s="1" t="s">
        <v>4489</v>
      </c>
    </row>
    <row r="85" spans="1:11" ht="21" x14ac:dyDescent="0.25">
      <c r="A85" s="11" t="str">
        <f>HYPERLINK("https://rth.dk/resources/bsgatlas/details.php?id=BSGatlas-transcript-84","BSGatlas-transcript-84")</f>
        <v>BSGatlas-transcript-84</v>
      </c>
      <c r="B85" s="1" t="s">
        <v>4494</v>
      </c>
      <c r="C85" s="3">
        <v>58748</v>
      </c>
      <c r="D85" s="3">
        <v>60360</v>
      </c>
      <c r="E85" s="1" t="s">
        <v>9</v>
      </c>
      <c r="F85" s="1">
        <v>2</v>
      </c>
      <c r="G85" s="1">
        <v>36</v>
      </c>
      <c r="H85" s="1" t="s">
        <v>4372</v>
      </c>
      <c r="I85" s="1" t="s">
        <v>4386</v>
      </c>
      <c r="J85" s="1" t="s">
        <v>4493</v>
      </c>
      <c r="K85" s="1" t="s">
        <v>318</v>
      </c>
    </row>
    <row r="86" spans="1:11" ht="21" x14ac:dyDescent="0.25">
      <c r="A86" s="11" t="str">
        <f>HYPERLINK("https://rth.dk/resources/bsgatlas/details.php?id=BSGatlas-transcript-85","BSGatlas-transcript-85")</f>
        <v>BSGatlas-transcript-85</v>
      </c>
      <c r="B86" s="1" t="s">
        <v>4495</v>
      </c>
      <c r="C86" s="3">
        <v>58748</v>
      </c>
      <c r="D86" s="3">
        <v>64661</v>
      </c>
      <c r="E86" s="1" t="s">
        <v>9</v>
      </c>
      <c r="F86" s="1">
        <v>4</v>
      </c>
      <c r="G86" s="1">
        <v>36</v>
      </c>
      <c r="H86" s="1">
        <v>27</v>
      </c>
      <c r="I86" s="1" t="s">
        <v>4377</v>
      </c>
      <c r="J86" s="1" t="s">
        <v>4493</v>
      </c>
      <c r="K86" s="1" t="s">
        <v>4491</v>
      </c>
    </row>
    <row r="87" spans="1:11" ht="21" x14ac:dyDescent="0.25">
      <c r="A87" s="11" t="str">
        <f>HYPERLINK("https://rth.dk/resources/bsgatlas/details.php?id=BSGatlas-transcript-86","BSGatlas-transcript-86")</f>
        <v>BSGatlas-transcript-86</v>
      </c>
      <c r="B87" s="1" t="s">
        <v>4495</v>
      </c>
      <c r="C87" s="3">
        <v>58748</v>
      </c>
      <c r="D87" s="3">
        <v>64710</v>
      </c>
      <c r="E87" s="1" t="s">
        <v>9</v>
      </c>
      <c r="F87" s="1">
        <v>4</v>
      </c>
      <c r="G87" s="1">
        <v>36</v>
      </c>
      <c r="H87" s="1">
        <v>76</v>
      </c>
      <c r="I87" s="1" t="s">
        <v>4377</v>
      </c>
      <c r="J87" s="1" t="s">
        <v>4493</v>
      </c>
      <c r="K87" s="1" t="s">
        <v>4492</v>
      </c>
    </row>
    <row r="88" spans="1:11" ht="21" x14ac:dyDescent="0.25">
      <c r="A88" s="11" t="str">
        <f>HYPERLINK("https://rth.dk/resources/bsgatlas/details.php?id=BSGatlas-transcript-87","BSGatlas-transcript-87")</f>
        <v>BSGatlas-transcript-87</v>
      </c>
      <c r="B88" s="1" t="s">
        <v>4496</v>
      </c>
      <c r="C88" s="3">
        <v>59504</v>
      </c>
      <c r="D88" s="3">
        <v>64661</v>
      </c>
      <c r="E88" s="1" t="s">
        <v>9</v>
      </c>
      <c r="F88" s="1">
        <v>3</v>
      </c>
      <c r="G88" s="1" t="s">
        <v>4372</v>
      </c>
      <c r="H88" s="1">
        <v>27</v>
      </c>
      <c r="I88" s="1" t="s">
        <v>4377</v>
      </c>
      <c r="J88" s="1" t="s">
        <v>4497</v>
      </c>
      <c r="K88" s="1" t="s">
        <v>4491</v>
      </c>
    </row>
    <row r="89" spans="1:11" ht="21" x14ac:dyDescent="0.25">
      <c r="A89" s="11" t="str">
        <f>HYPERLINK("https://rth.dk/resources/bsgatlas/details.php?id=BSGatlas-transcript-88","BSGatlas-transcript-88")</f>
        <v>BSGatlas-transcript-88</v>
      </c>
      <c r="B89" s="1" t="s">
        <v>4496</v>
      </c>
      <c r="C89" s="3">
        <v>59504</v>
      </c>
      <c r="D89" s="3">
        <v>64710</v>
      </c>
      <c r="E89" s="1" t="s">
        <v>9</v>
      </c>
      <c r="F89" s="1">
        <v>3</v>
      </c>
      <c r="G89" s="1" t="s">
        <v>4372</v>
      </c>
      <c r="H89" s="1">
        <v>76</v>
      </c>
      <c r="I89" s="1" t="s">
        <v>4377</v>
      </c>
      <c r="J89" s="1" t="s">
        <v>4497</v>
      </c>
      <c r="K89" s="1" t="s">
        <v>4492</v>
      </c>
    </row>
    <row r="90" spans="1:11" ht="21" x14ac:dyDescent="0.25">
      <c r="A90" s="11" t="str">
        <f>HYPERLINK("https://rth.dk/resources/bsgatlas/details.php?id=BSGatlas-transcript-89","BSGatlas-transcript-89")</f>
        <v>BSGatlas-transcript-89</v>
      </c>
      <c r="B90" s="1" t="s">
        <v>89</v>
      </c>
      <c r="C90" s="3">
        <v>60130</v>
      </c>
      <c r="D90" s="3">
        <v>60360</v>
      </c>
      <c r="E90" s="1" t="s">
        <v>9</v>
      </c>
      <c r="F90" s="1">
        <v>0</v>
      </c>
      <c r="G90" s="1" t="s">
        <v>4372</v>
      </c>
      <c r="H90" s="1" t="s">
        <v>4372</v>
      </c>
      <c r="I90" s="1" t="s">
        <v>4397</v>
      </c>
      <c r="J90" s="1" t="s">
        <v>318</v>
      </c>
      <c r="K90" s="1" t="s">
        <v>318</v>
      </c>
    </row>
    <row r="91" spans="1:11" ht="21" x14ac:dyDescent="0.25">
      <c r="A91" s="11" t="str">
        <f>HYPERLINK("https://rth.dk/resources/bsgatlas/details.php?id=BSGatlas-transcript-90","BSGatlas-transcript-90")</f>
        <v>BSGatlas-transcript-90</v>
      </c>
      <c r="B91" s="1" t="s">
        <v>4498</v>
      </c>
      <c r="C91" s="3">
        <v>60130</v>
      </c>
      <c r="D91" s="3">
        <v>64661</v>
      </c>
      <c r="E91" s="1" t="s">
        <v>9</v>
      </c>
      <c r="F91" s="1">
        <v>2</v>
      </c>
      <c r="G91" s="1" t="s">
        <v>4372</v>
      </c>
      <c r="H91" s="1">
        <v>27</v>
      </c>
      <c r="I91" s="1" t="s">
        <v>4386</v>
      </c>
      <c r="J91" s="1" t="s">
        <v>318</v>
      </c>
      <c r="K91" s="1" t="s">
        <v>4491</v>
      </c>
    </row>
    <row r="92" spans="1:11" ht="21" x14ac:dyDescent="0.25">
      <c r="A92" s="11" t="str">
        <f>HYPERLINK("https://rth.dk/resources/bsgatlas/details.php?id=BSGatlas-transcript-91","BSGatlas-transcript-91")</f>
        <v>BSGatlas-transcript-91</v>
      </c>
      <c r="B92" s="1" t="s">
        <v>4498</v>
      </c>
      <c r="C92" s="3">
        <v>60130</v>
      </c>
      <c r="D92" s="3">
        <v>64710</v>
      </c>
      <c r="E92" s="1" t="s">
        <v>9</v>
      </c>
      <c r="F92" s="1">
        <v>2</v>
      </c>
      <c r="G92" s="1" t="s">
        <v>4372</v>
      </c>
      <c r="H92" s="1">
        <v>76</v>
      </c>
      <c r="I92" s="1" t="s">
        <v>4386</v>
      </c>
      <c r="J92" s="1" t="s">
        <v>318</v>
      </c>
      <c r="K92" s="1" t="s">
        <v>4492</v>
      </c>
    </row>
    <row r="93" spans="1:11" ht="21" x14ac:dyDescent="0.25">
      <c r="A93" s="11" t="str">
        <f>HYPERLINK("https://rth.dk/resources/bsgatlas/details.php?id=BSGatlas-transcript-92","BSGatlas-transcript-92")</f>
        <v>BSGatlas-transcript-92</v>
      </c>
      <c r="B93" s="1" t="s">
        <v>91</v>
      </c>
      <c r="C93" s="3">
        <v>64016</v>
      </c>
      <c r="D93" s="3">
        <v>64661</v>
      </c>
      <c r="E93" s="1" t="s">
        <v>9</v>
      </c>
      <c r="F93" s="1">
        <v>0</v>
      </c>
      <c r="G93" s="1" t="s">
        <v>4372</v>
      </c>
      <c r="H93" s="1" t="s">
        <v>4372</v>
      </c>
      <c r="I93" s="1" t="s">
        <v>4373</v>
      </c>
      <c r="J93" s="1" t="s">
        <v>4499</v>
      </c>
      <c r="K93" s="1" t="s">
        <v>4491</v>
      </c>
    </row>
    <row r="94" spans="1:11" ht="21" x14ac:dyDescent="0.25">
      <c r="A94" s="11" t="str">
        <f>HYPERLINK("https://rth.dk/resources/bsgatlas/details.php?id=BSGatlas-transcript-93","BSGatlas-transcript-93")</f>
        <v>BSGatlas-transcript-93</v>
      </c>
      <c r="B94" s="1" t="s">
        <v>91</v>
      </c>
      <c r="C94" s="3">
        <v>64016</v>
      </c>
      <c r="D94" s="3">
        <v>64710</v>
      </c>
      <c r="E94" s="1" t="s">
        <v>9</v>
      </c>
      <c r="F94" s="1">
        <v>0</v>
      </c>
      <c r="G94" s="1" t="s">
        <v>4372</v>
      </c>
      <c r="H94" s="1" t="s">
        <v>4372</v>
      </c>
      <c r="I94" s="1" t="s">
        <v>4373</v>
      </c>
      <c r="J94" s="1" t="s">
        <v>4499</v>
      </c>
      <c r="K94" s="1" t="s">
        <v>4492</v>
      </c>
    </row>
    <row r="95" spans="1:11" ht="21" x14ac:dyDescent="0.25">
      <c r="A95" s="11" t="str">
        <f>HYPERLINK("https://rth.dk/resources/bsgatlas/details.php?id=BSGatlas-transcript-94","BSGatlas-transcript-94")</f>
        <v>BSGatlas-transcript-94</v>
      </c>
      <c r="B95" s="1" t="s">
        <v>4500</v>
      </c>
      <c r="C95" s="3">
        <v>64746</v>
      </c>
      <c r="D95" s="3">
        <v>70028</v>
      </c>
      <c r="E95" s="1" t="s">
        <v>9</v>
      </c>
      <c r="F95" s="1">
        <v>3</v>
      </c>
      <c r="G95" s="1">
        <v>72</v>
      </c>
      <c r="H95" s="1">
        <v>17</v>
      </c>
      <c r="I95" s="1" t="s">
        <v>4373</v>
      </c>
      <c r="J95" s="1" t="s">
        <v>4501</v>
      </c>
      <c r="K95" s="1" t="s">
        <v>4502</v>
      </c>
    </row>
    <row r="96" spans="1:11" ht="21" x14ac:dyDescent="0.25">
      <c r="A96" s="11" t="str">
        <f>HYPERLINK("https://rth.dk/resources/bsgatlas/details.php?id=BSGatlas-transcript-95","BSGatlas-transcript-95")</f>
        <v>BSGatlas-transcript-95</v>
      </c>
      <c r="B96" s="1" t="s">
        <v>4500</v>
      </c>
      <c r="C96" s="3">
        <v>64746</v>
      </c>
      <c r="D96" s="3">
        <v>70078</v>
      </c>
      <c r="E96" s="1" t="s">
        <v>9</v>
      </c>
      <c r="F96" s="1">
        <v>3</v>
      </c>
      <c r="G96" s="1">
        <v>72</v>
      </c>
      <c r="H96" s="1">
        <v>67</v>
      </c>
      <c r="I96" s="1" t="s">
        <v>4373</v>
      </c>
      <c r="J96" s="1" t="s">
        <v>4501</v>
      </c>
      <c r="K96" s="1" t="s">
        <v>4503</v>
      </c>
    </row>
    <row r="97" spans="1:11" ht="21" x14ac:dyDescent="0.25">
      <c r="A97" s="11" t="str">
        <f>HYPERLINK("https://rth.dk/resources/bsgatlas/details.php?id=BSGatlas-transcript-96","BSGatlas-transcript-96")</f>
        <v>BSGatlas-transcript-96</v>
      </c>
      <c r="B97" s="1" t="s">
        <v>4504</v>
      </c>
      <c r="C97" s="3">
        <v>66322</v>
      </c>
      <c r="D97" s="3">
        <v>70028</v>
      </c>
      <c r="E97" s="1" t="s">
        <v>9</v>
      </c>
      <c r="F97" s="1">
        <v>3</v>
      </c>
      <c r="G97" s="1">
        <v>84</v>
      </c>
      <c r="H97" s="1">
        <v>17</v>
      </c>
      <c r="I97" s="1" t="s">
        <v>4377</v>
      </c>
      <c r="J97" s="1" t="s">
        <v>4505</v>
      </c>
      <c r="K97" s="1" t="s">
        <v>4502</v>
      </c>
    </row>
    <row r="98" spans="1:11" ht="21" x14ac:dyDescent="0.25">
      <c r="A98" s="11" t="str">
        <f>HYPERLINK("https://rth.dk/resources/bsgatlas/details.php?id=BSGatlas-transcript-97","BSGatlas-transcript-97")</f>
        <v>BSGatlas-transcript-97</v>
      </c>
      <c r="B98" s="1" t="s">
        <v>4504</v>
      </c>
      <c r="C98" s="3">
        <v>66322</v>
      </c>
      <c r="D98" s="3">
        <v>70078</v>
      </c>
      <c r="E98" s="1" t="s">
        <v>9</v>
      </c>
      <c r="F98" s="1">
        <v>3</v>
      </c>
      <c r="G98" s="1">
        <v>84</v>
      </c>
      <c r="H98" s="1">
        <v>67</v>
      </c>
      <c r="I98" s="1" t="s">
        <v>4377</v>
      </c>
      <c r="J98" s="1" t="s">
        <v>4505</v>
      </c>
      <c r="K98" s="1" t="s">
        <v>4503</v>
      </c>
    </row>
    <row r="99" spans="1:11" ht="21" x14ac:dyDescent="0.25">
      <c r="A99" s="11" t="str">
        <f>HYPERLINK("https://rth.dk/resources/bsgatlas/details.php?id=BSGatlas-transcript-98","BSGatlas-transcript-98")</f>
        <v>BSGatlas-transcript-98</v>
      </c>
      <c r="B99" s="1" t="s">
        <v>4504</v>
      </c>
      <c r="C99" s="3">
        <v>66405</v>
      </c>
      <c r="D99" s="3">
        <v>70028</v>
      </c>
      <c r="E99" s="1" t="s">
        <v>9</v>
      </c>
      <c r="F99" s="1">
        <v>3</v>
      </c>
      <c r="G99" s="1" t="s">
        <v>4372</v>
      </c>
      <c r="H99" s="1">
        <v>17</v>
      </c>
      <c r="I99" s="1" t="s">
        <v>4377</v>
      </c>
      <c r="J99" s="1" t="s">
        <v>4506</v>
      </c>
      <c r="K99" s="1" t="s">
        <v>4502</v>
      </c>
    </row>
    <row r="100" spans="1:11" ht="21" x14ac:dyDescent="0.25">
      <c r="A100" s="11" t="str">
        <f>HYPERLINK("https://rth.dk/resources/bsgatlas/details.php?id=BSGatlas-transcript-99","BSGatlas-transcript-99")</f>
        <v>BSGatlas-transcript-99</v>
      </c>
      <c r="B100" s="1" t="s">
        <v>4504</v>
      </c>
      <c r="C100" s="3">
        <v>66405</v>
      </c>
      <c r="D100" s="3">
        <v>70078</v>
      </c>
      <c r="E100" s="1" t="s">
        <v>9</v>
      </c>
      <c r="F100" s="1">
        <v>3</v>
      </c>
      <c r="G100" s="1" t="s">
        <v>4372</v>
      </c>
      <c r="H100" s="1">
        <v>67</v>
      </c>
      <c r="I100" s="1" t="s">
        <v>4377</v>
      </c>
      <c r="J100" s="1" t="s">
        <v>4506</v>
      </c>
      <c r="K100" s="1" t="s">
        <v>4503</v>
      </c>
    </row>
    <row r="101" spans="1:11" ht="21" x14ac:dyDescent="0.25">
      <c r="A101" s="11" t="str">
        <f>HYPERLINK("https://rth.dk/resources/bsgatlas/details.php?id=BSGatlas-transcript-100","BSGatlas-transcript-100")</f>
        <v>BSGatlas-transcript-100</v>
      </c>
      <c r="B101" s="1" t="s">
        <v>4507</v>
      </c>
      <c r="C101" s="3">
        <v>68178</v>
      </c>
      <c r="D101" s="3">
        <v>70028</v>
      </c>
      <c r="E101" s="1" t="s">
        <v>9</v>
      </c>
      <c r="F101" s="1">
        <v>2</v>
      </c>
      <c r="G101" s="1">
        <v>39</v>
      </c>
      <c r="H101" s="1">
        <v>17</v>
      </c>
      <c r="I101" s="1" t="s">
        <v>4386</v>
      </c>
      <c r="J101" s="1" t="s">
        <v>4508</v>
      </c>
      <c r="K101" s="1" t="s">
        <v>4502</v>
      </c>
    </row>
    <row r="102" spans="1:11" ht="21" x14ac:dyDescent="0.25">
      <c r="A102" s="11" t="str">
        <f>HYPERLINK("https://rth.dk/resources/bsgatlas/details.php?id=BSGatlas-transcript-101","BSGatlas-transcript-101")</f>
        <v>BSGatlas-transcript-101</v>
      </c>
      <c r="B102" s="1" t="s">
        <v>4507</v>
      </c>
      <c r="C102" s="3">
        <v>68178</v>
      </c>
      <c r="D102" s="3">
        <v>70078</v>
      </c>
      <c r="E102" s="1" t="s">
        <v>9</v>
      </c>
      <c r="F102" s="1">
        <v>2</v>
      </c>
      <c r="G102" s="1">
        <v>39</v>
      </c>
      <c r="H102" s="1">
        <v>67</v>
      </c>
      <c r="I102" s="1" t="s">
        <v>4386</v>
      </c>
      <c r="J102" s="1" t="s">
        <v>4508</v>
      </c>
      <c r="K102" s="1" t="s">
        <v>4503</v>
      </c>
    </row>
    <row r="103" spans="1:11" ht="21" x14ac:dyDescent="0.25">
      <c r="A103" s="11" t="str">
        <f>HYPERLINK("https://rth.dk/resources/bsgatlas/details.php?id=BSGatlas-transcript-102","BSGatlas-transcript-102")</f>
        <v>BSGatlas-transcript-102</v>
      </c>
      <c r="B103" s="1" t="s">
        <v>4509</v>
      </c>
      <c r="C103" s="3">
        <v>69054</v>
      </c>
      <c r="D103" s="3">
        <v>70028</v>
      </c>
      <c r="E103" s="1" t="s">
        <v>9</v>
      </c>
      <c r="F103" s="1">
        <v>1</v>
      </c>
      <c r="G103" s="1">
        <v>115</v>
      </c>
      <c r="H103" s="1">
        <v>17</v>
      </c>
      <c r="I103" s="1" t="s">
        <v>4386</v>
      </c>
      <c r="J103" s="1" t="s">
        <v>4510</v>
      </c>
      <c r="K103" s="1" t="s">
        <v>4502</v>
      </c>
    </row>
    <row r="104" spans="1:11" ht="21" x14ac:dyDescent="0.25">
      <c r="A104" s="11" t="str">
        <f>HYPERLINK("https://rth.dk/resources/bsgatlas/details.php?id=BSGatlas-transcript-103","BSGatlas-transcript-103")</f>
        <v>BSGatlas-transcript-103</v>
      </c>
      <c r="B104" s="1" t="s">
        <v>4509</v>
      </c>
      <c r="C104" s="3">
        <v>69054</v>
      </c>
      <c r="D104" s="3">
        <v>70078</v>
      </c>
      <c r="E104" s="1" t="s">
        <v>9</v>
      </c>
      <c r="F104" s="1">
        <v>1</v>
      </c>
      <c r="G104" s="1">
        <v>115</v>
      </c>
      <c r="H104" s="1">
        <v>67</v>
      </c>
      <c r="I104" s="1" t="s">
        <v>4386</v>
      </c>
      <c r="J104" s="1" t="s">
        <v>4510</v>
      </c>
      <c r="K104" s="1" t="s">
        <v>4503</v>
      </c>
    </row>
    <row r="105" spans="1:11" ht="21" x14ac:dyDescent="0.25">
      <c r="A105" s="11" t="str">
        <f>HYPERLINK("https://rth.dk/resources/bsgatlas/details.php?id=BSGatlas-transcript-104","BSGatlas-transcript-104")</f>
        <v>BSGatlas-transcript-104</v>
      </c>
      <c r="B105" s="1" t="s">
        <v>4509</v>
      </c>
      <c r="C105" s="3">
        <v>69105</v>
      </c>
      <c r="D105" s="3">
        <v>70028</v>
      </c>
      <c r="E105" s="1" t="s">
        <v>9</v>
      </c>
      <c r="F105" s="1">
        <v>1</v>
      </c>
      <c r="G105" s="1">
        <v>64</v>
      </c>
      <c r="H105" s="1">
        <v>17</v>
      </c>
      <c r="I105" s="1" t="s">
        <v>4386</v>
      </c>
      <c r="J105" s="1" t="s">
        <v>4511</v>
      </c>
      <c r="K105" s="1" t="s">
        <v>4502</v>
      </c>
    </row>
    <row r="106" spans="1:11" ht="21" x14ac:dyDescent="0.25">
      <c r="A106" s="11" t="str">
        <f>HYPERLINK("https://rth.dk/resources/bsgatlas/details.php?id=BSGatlas-transcript-105","BSGatlas-transcript-105")</f>
        <v>BSGatlas-transcript-105</v>
      </c>
      <c r="B106" s="1" t="s">
        <v>4509</v>
      </c>
      <c r="C106" s="3">
        <v>69105</v>
      </c>
      <c r="D106" s="3">
        <v>70078</v>
      </c>
      <c r="E106" s="1" t="s">
        <v>9</v>
      </c>
      <c r="F106" s="1">
        <v>1</v>
      </c>
      <c r="G106" s="1">
        <v>64</v>
      </c>
      <c r="H106" s="1">
        <v>67</v>
      </c>
      <c r="I106" s="1" t="s">
        <v>4386</v>
      </c>
      <c r="J106" s="1" t="s">
        <v>4511</v>
      </c>
      <c r="K106" s="1" t="s">
        <v>4503</v>
      </c>
    </row>
    <row r="107" spans="1:11" ht="21" x14ac:dyDescent="0.25">
      <c r="A107" s="11" t="str">
        <f>HYPERLINK("https://rth.dk/resources/bsgatlas/details.php?id=BSGatlas-transcript-106","BSGatlas-transcript-106")</f>
        <v>BSGatlas-transcript-106</v>
      </c>
      <c r="B107" s="1" t="s">
        <v>99</v>
      </c>
      <c r="C107" s="3">
        <v>70156</v>
      </c>
      <c r="D107" s="3">
        <v>70257</v>
      </c>
      <c r="E107" s="1" t="s">
        <v>9</v>
      </c>
      <c r="F107" s="1">
        <v>0</v>
      </c>
      <c r="G107" s="1" t="s">
        <v>4372</v>
      </c>
      <c r="H107" s="1" t="s">
        <v>4372</v>
      </c>
      <c r="I107" s="1" t="s">
        <v>4377</v>
      </c>
      <c r="J107" s="1" t="s">
        <v>4512</v>
      </c>
      <c r="K107" s="1" t="s">
        <v>318</v>
      </c>
    </row>
    <row r="108" spans="1:11" ht="21" x14ac:dyDescent="0.25">
      <c r="A108" s="11" t="str">
        <f>HYPERLINK("https://rth.dk/resources/bsgatlas/details.php?id=BSGatlas-transcript-107","BSGatlas-transcript-107")</f>
        <v>BSGatlas-transcript-107</v>
      </c>
      <c r="B108" s="1" t="s">
        <v>100</v>
      </c>
      <c r="C108" s="3">
        <v>70266</v>
      </c>
      <c r="D108" s="3">
        <v>70386</v>
      </c>
      <c r="E108" s="1" t="s">
        <v>9</v>
      </c>
      <c r="F108" s="1">
        <v>0</v>
      </c>
      <c r="G108" s="1" t="s">
        <v>4372</v>
      </c>
      <c r="H108" s="1" t="s">
        <v>4372</v>
      </c>
      <c r="I108" s="1" t="s">
        <v>4382</v>
      </c>
      <c r="J108" s="1" t="s">
        <v>318</v>
      </c>
      <c r="K108" s="1" t="s">
        <v>4513</v>
      </c>
    </row>
    <row r="109" spans="1:11" ht="21" x14ac:dyDescent="0.25">
      <c r="A109" s="11" t="str">
        <f>HYPERLINK("https://rth.dk/resources/bsgatlas/details.php?id=BSGatlas-transcript-108","BSGatlas-transcript-108")</f>
        <v>BSGatlas-transcript-108</v>
      </c>
      <c r="B109" s="1" t="s">
        <v>100</v>
      </c>
      <c r="C109" s="3">
        <v>70266</v>
      </c>
      <c r="D109" s="3">
        <v>70601</v>
      </c>
      <c r="E109" s="1" t="s">
        <v>9</v>
      </c>
      <c r="F109" s="1">
        <v>0</v>
      </c>
      <c r="G109" s="1" t="s">
        <v>4372</v>
      </c>
      <c r="H109" s="1" t="s">
        <v>4372</v>
      </c>
      <c r="I109" s="1" t="s">
        <v>4382</v>
      </c>
      <c r="J109" s="1" t="s">
        <v>318</v>
      </c>
      <c r="K109" s="1" t="s">
        <v>4514</v>
      </c>
    </row>
    <row r="110" spans="1:11" ht="21" x14ac:dyDescent="0.25">
      <c r="A110" s="11" t="str">
        <f>HYPERLINK("https://rth.dk/resources/bsgatlas/details.php?id=BSGatlas-transcript-109","BSGatlas-transcript-109")</f>
        <v>BSGatlas-transcript-109</v>
      </c>
      <c r="B110" s="1" t="s">
        <v>101</v>
      </c>
      <c r="C110" s="3">
        <v>70509</v>
      </c>
      <c r="D110" s="3">
        <v>73021</v>
      </c>
      <c r="E110" s="1" t="s">
        <v>9</v>
      </c>
      <c r="F110" s="1">
        <v>0</v>
      </c>
      <c r="G110" s="1" t="s">
        <v>4372</v>
      </c>
      <c r="H110" s="1" t="s">
        <v>4372</v>
      </c>
      <c r="I110" s="1" t="s">
        <v>4373</v>
      </c>
      <c r="J110" s="1" t="s">
        <v>4515</v>
      </c>
      <c r="K110" s="1" t="s">
        <v>318</v>
      </c>
    </row>
    <row r="111" spans="1:11" ht="21" x14ac:dyDescent="0.25">
      <c r="A111" s="11" t="str">
        <f>HYPERLINK("https://rth.dk/resources/bsgatlas/details.php?id=BSGatlas-transcript-110","BSGatlas-transcript-110")</f>
        <v>BSGatlas-transcript-110</v>
      </c>
      <c r="B111" s="1" t="s">
        <v>4516</v>
      </c>
      <c r="C111" s="3">
        <v>70509</v>
      </c>
      <c r="D111" s="3">
        <v>78953</v>
      </c>
      <c r="E111" s="1" t="s">
        <v>9</v>
      </c>
      <c r="F111" s="1">
        <v>3</v>
      </c>
      <c r="G111" s="1">
        <v>30</v>
      </c>
      <c r="H111" s="1">
        <v>57</v>
      </c>
      <c r="I111" s="1" t="s">
        <v>4386</v>
      </c>
      <c r="J111" s="1" t="s">
        <v>4515</v>
      </c>
      <c r="K111" s="1" t="s">
        <v>4517</v>
      </c>
    </row>
    <row r="112" spans="1:11" ht="21" x14ac:dyDescent="0.25">
      <c r="A112" s="11" t="str">
        <f>HYPERLINK("https://rth.dk/resources/bsgatlas/details.php?id=BSGatlas-transcript-111","BSGatlas-transcript-111")</f>
        <v>BSGatlas-transcript-111</v>
      </c>
      <c r="B112" s="1" t="s">
        <v>107</v>
      </c>
      <c r="C112" s="3">
        <v>71190</v>
      </c>
      <c r="D112" s="3">
        <v>71799</v>
      </c>
      <c r="E112" s="1" t="s">
        <v>13</v>
      </c>
      <c r="F112" s="1">
        <v>0</v>
      </c>
      <c r="G112" s="1" t="s">
        <v>4372</v>
      </c>
      <c r="H112" s="1" t="s">
        <v>4372</v>
      </c>
      <c r="I112" s="1" t="s">
        <v>4377</v>
      </c>
      <c r="J112" s="1" t="s">
        <v>4518</v>
      </c>
      <c r="K112" s="1" t="s">
        <v>4519</v>
      </c>
    </row>
    <row r="113" spans="1:11" ht="21" x14ac:dyDescent="0.25">
      <c r="A113" s="11" t="str">
        <f>HYPERLINK("https://rth.dk/resources/bsgatlas/details.php?id=BSGatlas-transcript-112","BSGatlas-transcript-112")</f>
        <v>BSGatlas-transcript-112</v>
      </c>
      <c r="B113" s="1" t="s">
        <v>4520</v>
      </c>
      <c r="C113" s="3">
        <v>72031</v>
      </c>
      <c r="D113" s="3">
        <v>78953</v>
      </c>
      <c r="E113" s="1" t="s">
        <v>9</v>
      </c>
      <c r="F113" s="1">
        <v>2</v>
      </c>
      <c r="G113" s="1">
        <v>1076</v>
      </c>
      <c r="H113" s="1">
        <v>57</v>
      </c>
      <c r="I113" s="1" t="s">
        <v>4377</v>
      </c>
      <c r="J113" s="1" t="s">
        <v>4521</v>
      </c>
      <c r="K113" s="1" t="s">
        <v>4517</v>
      </c>
    </row>
    <row r="114" spans="1:11" ht="21" x14ac:dyDescent="0.25">
      <c r="A114" s="11" t="str">
        <f>HYPERLINK("https://rth.dk/resources/bsgatlas/details.php?id=BSGatlas-transcript-113","BSGatlas-transcript-113")</f>
        <v>BSGatlas-transcript-113</v>
      </c>
      <c r="B114" s="1" t="s">
        <v>4520</v>
      </c>
      <c r="C114" s="3">
        <v>73065</v>
      </c>
      <c r="D114" s="3">
        <v>78953</v>
      </c>
      <c r="E114" s="1" t="s">
        <v>9</v>
      </c>
      <c r="F114" s="1">
        <v>2</v>
      </c>
      <c r="G114" s="1">
        <v>42</v>
      </c>
      <c r="H114" s="1">
        <v>57</v>
      </c>
      <c r="I114" s="1" t="s">
        <v>4377</v>
      </c>
      <c r="J114" s="1" t="s">
        <v>4522</v>
      </c>
      <c r="K114" s="1" t="s">
        <v>4517</v>
      </c>
    </row>
    <row r="115" spans="1:11" ht="21" x14ac:dyDescent="0.25">
      <c r="A115" s="11" t="str">
        <f>HYPERLINK("https://rth.dk/resources/bsgatlas/details.php?id=BSGatlas-transcript-114","BSGatlas-transcript-114")</f>
        <v>BSGatlas-transcript-114</v>
      </c>
      <c r="B115" s="1" t="s">
        <v>4523</v>
      </c>
      <c r="C115" s="3">
        <v>74385</v>
      </c>
      <c r="D115" s="3">
        <v>78953</v>
      </c>
      <c r="E115" s="1" t="s">
        <v>9</v>
      </c>
      <c r="F115" s="1">
        <v>1</v>
      </c>
      <c r="G115" s="1">
        <v>545</v>
      </c>
      <c r="H115" s="1">
        <v>57</v>
      </c>
      <c r="I115" s="1" t="s">
        <v>4386</v>
      </c>
      <c r="J115" s="1" t="s">
        <v>4524</v>
      </c>
      <c r="K115" s="1" t="s">
        <v>4517</v>
      </c>
    </row>
    <row r="116" spans="1:11" ht="21" x14ac:dyDescent="0.25">
      <c r="A116" s="11" t="str">
        <f>HYPERLINK("https://rth.dk/resources/bsgatlas/details.php?id=BSGatlas-transcript-115","BSGatlas-transcript-115")</f>
        <v>BSGatlas-transcript-115</v>
      </c>
      <c r="B116" s="1" t="s">
        <v>4523</v>
      </c>
      <c r="C116" s="3">
        <v>74886</v>
      </c>
      <c r="D116" s="3">
        <v>78953</v>
      </c>
      <c r="E116" s="1" t="s">
        <v>9</v>
      </c>
      <c r="F116" s="1">
        <v>1</v>
      </c>
      <c r="G116" s="1">
        <v>44</v>
      </c>
      <c r="H116" s="1">
        <v>57</v>
      </c>
      <c r="I116" s="1" t="s">
        <v>4386</v>
      </c>
      <c r="J116" s="1" t="s">
        <v>4525</v>
      </c>
      <c r="K116" s="1" t="s">
        <v>4517</v>
      </c>
    </row>
    <row r="117" spans="1:11" ht="21" x14ac:dyDescent="0.25">
      <c r="A117" s="11" t="str">
        <f>HYPERLINK("https://rth.dk/resources/bsgatlas/details.php?id=BSGatlas-transcript-116","BSGatlas-transcript-116")</f>
        <v>BSGatlas-transcript-116</v>
      </c>
      <c r="B117" s="1" t="s">
        <v>4526</v>
      </c>
      <c r="C117" s="3">
        <v>75749</v>
      </c>
      <c r="D117" s="3">
        <v>78953</v>
      </c>
      <c r="E117" s="1" t="s">
        <v>9</v>
      </c>
      <c r="F117" s="1">
        <v>1</v>
      </c>
      <c r="G117" s="1">
        <v>596</v>
      </c>
      <c r="H117" s="1">
        <v>57</v>
      </c>
      <c r="I117" s="1" t="s">
        <v>4377</v>
      </c>
      <c r="J117" s="1" t="s">
        <v>4527</v>
      </c>
      <c r="K117" s="1" t="s">
        <v>4517</v>
      </c>
    </row>
    <row r="118" spans="1:11" ht="21" x14ac:dyDescent="0.25">
      <c r="A118" s="11" t="str">
        <f>HYPERLINK("https://rth.dk/resources/bsgatlas/details.php?id=BSGatlas-transcript-117","BSGatlas-transcript-117")</f>
        <v>BSGatlas-transcript-117</v>
      </c>
      <c r="B118" s="1" t="s">
        <v>106</v>
      </c>
      <c r="C118" s="3">
        <v>76954</v>
      </c>
      <c r="D118" s="3">
        <v>78953</v>
      </c>
      <c r="E118" s="1" t="s">
        <v>9</v>
      </c>
      <c r="F118" s="1">
        <v>0</v>
      </c>
      <c r="G118" s="1" t="s">
        <v>4372</v>
      </c>
      <c r="H118" s="1" t="s">
        <v>4372</v>
      </c>
      <c r="I118" s="1" t="s">
        <v>4373</v>
      </c>
      <c r="J118" s="1" t="s">
        <v>4528</v>
      </c>
      <c r="K118" s="1" t="s">
        <v>4517</v>
      </c>
    </row>
    <row r="119" spans="1:11" ht="21" x14ac:dyDescent="0.25">
      <c r="A119" s="11" t="str">
        <f>HYPERLINK("https://rth.dk/resources/bsgatlas/details.php?id=BSGatlas-transcript-118","BSGatlas-transcript-118")</f>
        <v>BSGatlas-transcript-118</v>
      </c>
      <c r="B119" s="1" t="s">
        <v>4529</v>
      </c>
      <c r="C119" s="3">
        <v>79027</v>
      </c>
      <c r="D119" s="3">
        <v>80755</v>
      </c>
      <c r="E119" s="1" t="s">
        <v>9</v>
      </c>
      <c r="F119" s="1">
        <v>0</v>
      </c>
      <c r="G119" s="1" t="s">
        <v>4372</v>
      </c>
      <c r="H119" s="1" t="s">
        <v>4372</v>
      </c>
      <c r="I119" s="1" t="s">
        <v>4386</v>
      </c>
      <c r="J119" s="1" t="s">
        <v>4530</v>
      </c>
      <c r="K119" s="1" t="s">
        <v>318</v>
      </c>
    </row>
    <row r="120" spans="1:11" ht="21" x14ac:dyDescent="0.25">
      <c r="A120" s="11" t="str">
        <f>HYPERLINK("https://rth.dk/resources/bsgatlas/details.php?id=BSGatlas-transcript-119","BSGatlas-transcript-119")</f>
        <v>BSGatlas-transcript-119</v>
      </c>
      <c r="B120" s="1" t="s">
        <v>4531</v>
      </c>
      <c r="C120" s="3">
        <v>79027</v>
      </c>
      <c r="D120" s="3">
        <v>82742</v>
      </c>
      <c r="E120" s="1" t="s">
        <v>9</v>
      </c>
      <c r="F120" s="1">
        <v>2</v>
      </c>
      <c r="G120" s="1">
        <v>66</v>
      </c>
      <c r="H120" s="1">
        <v>46</v>
      </c>
      <c r="I120" s="1" t="s">
        <v>4386</v>
      </c>
      <c r="J120" s="1" t="s">
        <v>4530</v>
      </c>
      <c r="K120" s="1" t="s">
        <v>4532</v>
      </c>
    </row>
    <row r="121" spans="1:11" ht="21" x14ac:dyDescent="0.25">
      <c r="A121" s="11" t="str">
        <f>HYPERLINK("https://rth.dk/resources/bsgatlas/details.php?id=BSGatlas-transcript-120","BSGatlas-transcript-120")</f>
        <v>BSGatlas-transcript-120</v>
      </c>
      <c r="B121" s="1" t="s">
        <v>111</v>
      </c>
      <c r="C121" s="3">
        <v>81448</v>
      </c>
      <c r="D121" s="3">
        <v>82742</v>
      </c>
      <c r="E121" s="1" t="s">
        <v>9</v>
      </c>
      <c r="F121" s="1">
        <v>0</v>
      </c>
      <c r="G121" s="1" t="s">
        <v>4372</v>
      </c>
      <c r="H121" s="1" t="s">
        <v>4372</v>
      </c>
      <c r="I121" s="1" t="s">
        <v>4373</v>
      </c>
      <c r="J121" s="1" t="s">
        <v>4533</v>
      </c>
      <c r="K121" s="1" t="s">
        <v>4532</v>
      </c>
    </row>
    <row r="122" spans="1:11" ht="21" x14ac:dyDescent="0.25">
      <c r="A122" s="11" t="str">
        <f>HYPERLINK("https://rth.dk/resources/bsgatlas/details.php?id=BSGatlas-transcript-121","BSGatlas-transcript-121")</f>
        <v>BSGatlas-transcript-121</v>
      </c>
      <c r="B122" s="1" t="s">
        <v>111</v>
      </c>
      <c r="C122" s="3">
        <v>81731</v>
      </c>
      <c r="D122" s="3">
        <v>82742</v>
      </c>
      <c r="E122" s="1" t="s">
        <v>9</v>
      </c>
      <c r="F122" s="1">
        <v>0</v>
      </c>
      <c r="G122" s="1" t="s">
        <v>4372</v>
      </c>
      <c r="H122" s="1" t="s">
        <v>4372</v>
      </c>
      <c r="I122" s="1" t="s">
        <v>4373</v>
      </c>
      <c r="J122" s="1" t="s">
        <v>4534</v>
      </c>
      <c r="K122" s="1" t="s">
        <v>4532</v>
      </c>
    </row>
    <row r="123" spans="1:11" ht="21" x14ac:dyDescent="0.25">
      <c r="A123" s="11" t="str">
        <f>HYPERLINK("https://rth.dk/resources/bsgatlas/details.php?id=BSGatlas-transcript-122","BSGatlas-transcript-122")</f>
        <v>BSGatlas-transcript-122</v>
      </c>
      <c r="B123" s="1" t="s">
        <v>4535</v>
      </c>
      <c r="C123" s="3">
        <v>82768</v>
      </c>
      <c r="D123" s="3">
        <v>88694</v>
      </c>
      <c r="E123" s="1" t="s">
        <v>9</v>
      </c>
      <c r="F123" s="1">
        <v>1</v>
      </c>
      <c r="G123" s="1">
        <v>97</v>
      </c>
      <c r="H123" s="1">
        <v>60</v>
      </c>
      <c r="I123" s="1" t="s">
        <v>4377</v>
      </c>
      <c r="J123" s="1" t="s">
        <v>4536</v>
      </c>
      <c r="K123" s="1" t="s">
        <v>4537</v>
      </c>
    </row>
    <row r="124" spans="1:11" ht="21" x14ac:dyDescent="0.25">
      <c r="A124" s="11" t="str">
        <f>HYPERLINK("https://rth.dk/resources/bsgatlas/details.php?id=BSGatlas-transcript-123","BSGatlas-transcript-123")</f>
        <v>BSGatlas-transcript-123</v>
      </c>
      <c r="B124" s="1" t="s">
        <v>4538</v>
      </c>
      <c r="C124" s="3">
        <v>82768</v>
      </c>
      <c r="D124" s="3">
        <v>90282</v>
      </c>
      <c r="E124" s="1" t="s">
        <v>9</v>
      </c>
      <c r="F124" s="1">
        <v>2</v>
      </c>
      <c r="G124" s="1">
        <v>97</v>
      </c>
      <c r="H124" s="1">
        <v>57</v>
      </c>
      <c r="I124" s="1" t="s">
        <v>4373</v>
      </c>
      <c r="J124" s="1" t="s">
        <v>4536</v>
      </c>
      <c r="K124" s="1" t="s">
        <v>4539</v>
      </c>
    </row>
    <row r="125" spans="1:11" ht="21" x14ac:dyDescent="0.25">
      <c r="A125" s="11" t="str">
        <f>HYPERLINK("https://rth.dk/resources/bsgatlas/details.php?id=BSGatlas-transcript-124","BSGatlas-transcript-124")</f>
        <v>BSGatlas-transcript-124</v>
      </c>
      <c r="B125" s="1" t="s">
        <v>4535</v>
      </c>
      <c r="C125" s="3">
        <v>82831</v>
      </c>
      <c r="D125" s="3">
        <v>88694</v>
      </c>
      <c r="E125" s="1" t="s">
        <v>9</v>
      </c>
      <c r="F125" s="1">
        <v>1</v>
      </c>
      <c r="G125" s="1">
        <v>34</v>
      </c>
      <c r="H125" s="1">
        <v>60</v>
      </c>
      <c r="I125" s="1" t="s">
        <v>4377</v>
      </c>
      <c r="J125" s="1" t="s">
        <v>4540</v>
      </c>
      <c r="K125" s="1" t="s">
        <v>4537</v>
      </c>
    </row>
    <row r="126" spans="1:11" ht="21" x14ac:dyDescent="0.25">
      <c r="A126" s="11" t="str">
        <f>HYPERLINK("https://rth.dk/resources/bsgatlas/details.php?id=BSGatlas-transcript-125","BSGatlas-transcript-125")</f>
        <v>BSGatlas-transcript-125</v>
      </c>
      <c r="B126" s="1" t="s">
        <v>4538</v>
      </c>
      <c r="C126" s="3">
        <v>82831</v>
      </c>
      <c r="D126" s="3">
        <v>90282</v>
      </c>
      <c r="E126" s="1" t="s">
        <v>9</v>
      </c>
      <c r="F126" s="1">
        <v>2</v>
      </c>
      <c r="G126" s="1">
        <v>34</v>
      </c>
      <c r="H126" s="1">
        <v>57</v>
      </c>
      <c r="I126" s="1" t="s">
        <v>4373</v>
      </c>
      <c r="J126" s="1" t="s">
        <v>4540</v>
      </c>
      <c r="K126" s="1" t="s">
        <v>4539</v>
      </c>
    </row>
    <row r="127" spans="1:11" ht="21" x14ac:dyDescent="0.25">
      <c r="A127" s="11" t="str">
        <f>HYPERLINK("https://rth.dk/resources/bsgatlas/details.php?id=BSGatlas-transcript-126","BSGatlas-transcript-126")</f>
        <v>BSGatlas-transcript-126</v>
      </c>
      <c r="B127" s="1" t="s">
        <v>4541</v>
      </c>
      <c r="C127" s="3">
        <v>83692</v>
      </c>
      <c r="D127" s="3">
        <v>88694</v>
      </c>
      <c r="E127" s="1" t="s">
        <v>9</v>
      </c>
      <c r="F127" s="1">
        <v>1</v>
      </c>
      <c r="G127" s="1">
        <v>599</v>
      </c>
      <c r="H127" s="1">
        <v>60</v>
      </c>
      <c r="I127" s="1" t="s">
        <v>4377</v>
      </c>
      <c r="J127" s="1" t="s">
        <v>4542</v>
      </c>
      <c r="K127" s="1" t="s">
        <v>4537</v>
      </c>
    </row>
    <row r="128" spans="1:11" ht="21" x14ac:dyDescent="0.25">
      <c r="A128" s="11" t="str">
        <f>HYPERLINK("https://rth.dk/resources/bsgatlas/details.php?id=BSGatlas-transcript-127","BSGatlas-transcript-127")</f>
        <v>BSGatlas-transcript-127</v>
      </c>
      <c r="B128" s="1" t="s">
        <v>4543</v>
      </c>
      <c r="C128" s="3">
        <v>83692</v>
      </c>
      <c r="D128" s="3">
        <v>90282</v>
      </c>
      <c r="E128" s="1" t="s">
        <v>9</v>
      </c>
      <c r="F128" s="1">
        <v>2</v>
      </c>
      <c r="G128" s="1">
        <v>599</v>
      </c>
      <c r="H128" s="1">
        <v>57</v>
      </c>
      <c r="I128" s="1" t="s">
        <v>4377</v>
      </c>
      <c r="J128" s="1" t="s">
        <v>4542</v>
      </c>
      <c r="K128" s="1" t="s">
        <v>4539</v>
      </c>
    </row>
    <row r="129" spans="1:11" ht="21" x14ac:dyDescent="0.25">
      <c r="A129" s="11" t="str">
        <f>HYPERLINK("https://rth.dk/resources/bsgatlas/details.php?id=BSGatlas-transcript-128","BSGatlas-transcript-128")</f>
        <v>BSGatlas-transcript-128</v>
      </c>
      <c r="B129" s="1" t="s">
        <v>4541</v>
      </c>
      <c r="C129" s="3">
        <v>84066</v>
      </c>
      <c r="D129" s="3">
        <v>88694</v>
      </c>
      <c r="E129" s="1" t="s">
        <v>9</v>
      </c>
      <c r="F129" s="1">
        <v>1</v>
      </c>
      <c r="G129" s="1">
        <v>225</v>
      </c>
      <c r="H129" s="1">
        <v>60</v>
      </c>
      <c r="I129" s="1" t="s">
        <v>4377</v>
      </c>
      <c r="J129" s="1" t="s">
        <v>4544</v>
      </c>
      <c r="K129" s="1" t="s">
        <v>4537</v>
      </c>
    </row>
    <row r="130" spans="1:11" ht="21" x14ac:dyDescent="0.25">
      <c r="A130" s="11" t="str">
        <f>HYPERLINK("https://rth.dk/resources/bsgatlas/details.php?id=BSGatlas-transcript-129","BSGatlas-transcript-129")</f>
        <v>BSGatlas-transcript-129</v>
      </c>
      <c r="B130" s="1" t="s">
        <v>4543</v>
      </c>
      <c r="C130" s="3">
        <v>84066</v>
      </c>
      <c r="D130" s="3">
        <v>90282</v>
      </c>
      <c r="E130" s="1" t="s">
        <v>9</v>
      </c>
      <c r="F130" s="1">
        <v>2</v>
      </c>
      <c r="G130" s="1">
        <v>225</v>
      </c>
      <c r="H130" s="1">
        <v>57</v>
      </c>
      <c r="I130" s="1" t="s">
        <v>4377</v>
      </c>
      <c r="J130" s="1" t="s">
        <v>4544</v>
      </c>
      <c r="K130" s="1" t="s">
        <v>4539</v>
      </c>
    </row>
    <row r="131" spans="1:11" ht="21" x14ac:dyDescent="0.25">
      <c r="A131" s="11" t="str">
        <f>HYPERLINK("https://rth.dk/resources/bsgatlas/details.php?id=BSGatlas-transcript-130","BSGatlas-transcript-130")</f>
        <v>BSGatlas-transcript-130</v>
      </c>
      <c r="B131" s="1" t="s">
        <v>121</v>
      </c>
      <c r="C131" s="3">
        <v>88050</v>
      </c>
      <c r="D131" s="3">
        <v>89566</v>
      </c>
      <c r="E131" s="1" t="s">
        <v>13</v>
      </c>
      <c r="F131" s="1">
        <v>0</v>
      </c>
      <c r="G131" s="1" t="s">
        <v>4372</v>
      </c>
      <c r="H131" s="1" t="s">
        <v>4372</v>
      </c>
      <c r="I131" s="1" t="s">
        <v>4377</v>
      </c>
      <c r="J131" s="1" t="s">
        <v>4545</v>
      </c>
      <c r="K131" s="1" t="s">
        <v>318</v>
      </c>
    </row>
    <row r="132" spans="1:11" ht="21" x14ac:dyDescent="0.25">
      <c r="A132" s="11" t="str">
        <f>HYPERLINK("https://rth.dk/resources/bsgatlas/details.php?id=BSGatlas-transcript-131","BSGatlas-transcript-131")</f>
        <v>BSGatlas-transcript-131</v>
      </c>
      <c r="B132" s="1" t="s">
        <v>120</v>
      </c>
      <c r="C132" s="3">
        <v>88727</v>
      </c>
      <c r="D132" s="3">
        <v>90282</v>
      </c>
      <c r="E132" s="1" t="s">
        <v>9</v>
      </c>
      <c r="F132" s="1">
        <v>0</v>
      </c>
      <c r="G132" s="1" t="s">
        <v>4372</v>
      </c>
      <c r="H132" s="1" t="s">
        <v>4372</v>
      </c>
      <c r="I132" s="1" t="s">
        <v>4386</v>
      </c>
      <c r="J132" s="1" t="s">
        <v>318</v>
      </c>
      <c r="K132" s="1" t="s">
        <v>4539</v>
      </c>
    </row>
    <row r="133" spans="1:11" ht="21" x14ac:dyDescent="0.25">
      <c r="A133" s="11" t="str">
        <f>HYPERLINK("https://rth.dk/resources/bsgatlas/details.php?id=BSGatlas-transcript-132","BSGatlas-transcript-132")</f>
        <v>BSGatlas-transcript-132</v>
      </c>
      <c r="B133" s="1" t="s">
        <v>4546</v>
      </c>
      <c r="C133" s="3">
        <v>90318</v>
      </c>
      <c r="D133" s="3">
        <v>96221</v>
      </c>
      <c r="E133" s="1" t="s">
        <v>9</v>
      </c>
      <c r="F133" s="1">
        <v>6</v>
      </c>
      <c r="G133" s="1">
        <v>219</v>
      </c>
      <c r="H133" s="1" t="s">
        <v>4372</v>
      </c>
      <c r="I133" s="1" t="s">
        <v>4547</v>
      </c>
      <c r="J133" s="1" t="s">
        <v>4548</v>
      </c>
      <c r="K133" s="1" t="s">
        <v>318</v>
      </c>
    </row>
    <row r="134" spans="1:11" ht="21" x14ac:dyDescent="0.25">
      <c r="A134" s="11" t="str">
        <f>HYPERLINK("https://rth.dk/resources/bsgatlas/details.php?id=BSGatlas-transcript-133","BSGatlas-transcript-133")</f>
        <v>BSGatlas-transcript-133</v>
      </c>
      <c r="B134" s="1" t="s">
        <v>4549</v>
      </c>
      <c r="C134" s="3">
        <v>101291</v>
      </c>
      <c r="D134" s="3">
        <v>106021</v>
      </c>
      <c r="E134" s="1" t="s">
        <v>9</v>
      </c>
      <c r="F134" s="1">
        <v>0</v>
      </c>
      <c r="G134" s="1" t="s">
        <v>4372</v>
      </c>
      <c r="H134" s="1" t="s">
        <v>4372</v>
      </c>
      <c r="I134" s="1" t="s">
        <v>4377</v>
      </c>
      <c r="J134" s="1" t="s">
        <v>4550</v>
      </c>
      <c r="K134" s="1" t="s">
        <v>4551</v>
      </c>
    </row>
    <row r="135" spans="1:11" ht="21" x14ac:dyDescent="0.25">
      <c r="A135" s="11" t="str">
        <f>HYPERLINK("https://rth.dk/resources/bsgatlas/details.php?id=BSGatlas-transcript-134","BSGatlas-transcript-134")</f>
        <v>BSGatlas-transcript-134</v>
      </c>
      <c r="B135" s="1" t="s">
        <v>4552</v>
      </c>
      <c r="C135" s="3">
        <v>101291</v>
      </c>
      <c r="D135" s="3">
        <v>108614</v>
      </c>
      <c r="E135" s="1" t="s">
        <v>9</v>
      </c>
      <c r="F135" s="1">
        <v>1</v>
      </c>
      <c r="G135" s="1">
        <v>159</v>
      </c>
      <c r="H135" s="1">
        <v>57</v>
      </c>
      <c r="I135" s="1" t="s">
        <v>4373</v>
      </c>
      <c r="J135" s="1" t="s">
        <v>4550</v>
      </c>
      <c r="K135" s="1" t="s">
        <v>4553</v>
      </c>
    </row>
    <row r="136" spans="1:11" ht="21" x14ac:dyDescent="0.25">
      <c r="A136" s="11" t="str">
        <f>HYPERLINK("https://rth.dk/resources/bsgatlas/details.php?id=BSGatlas-transcript-135","BSGatlas-transcript-135")</f>
        <v>BSGatlas-transcript-135</v>
      </c>
      <c r="B136" s="1" t="s">
        <v>4549</v>
      </c>
      <c r="C136" s="3">
        <v>101360</v>
      </c>
      <c r="D136" s="3">
        <v>106021</v>
      </c>
      <c r="E136" s="1" t="s">
        <v>9</v>
      </c>
      <c r="F136" s="1">
        <v>0</v>
      </c>
      <c r="G136" s="1" t="s">
        <v>4372</v>
      </c>
      <c r="H136" s="1" t="s">
        <v>4372</v>
      </c>
      <c r="I136" s="1" t="s">
        <v>4377</v>
      </c>
      <c r="J136" s="1" t="s">
        <v>4554</v>
      </c>
      <c r="K136" s="1" t="s">
        <v>4551</v>
      </c>
    </row>
    <row r="137" spans="1:11" ht="21" x14ac:dyDescent="0.25">
      <c r="A137" s="11" t="str">
        <f>HYPERLINK("https://rth.dk/resources/bsgatlas/details.php?id=BSGatlas-transcript-136","BSGatlas-transcript-136")</f>
        <v>BSGatlas-transcript-136</v>
      </c>
      <c r="B137" s="1" t="s">
        <v>4552</v>
      </c>
      <c r="C137" s="3">
        <v>101360</v>
      </c>
      <c r="D137" s="3">
        <v>108614</v>
      </c>
      <c r="E137" s="1" t="s">
        <v>9</v>
      </c>
      <c r="F137" s="1">
        <v>1</v>
      </c>
      <c r="G137" s="1">
        <v>90</v>
      </c>
      <c r="H137" s="1">
        <v>57</v>
      </c>
      <c r="I137" s="1" t="s">
        <v>4373</v>
      </c>
      <c r="J137" s="1" t="s">
        <v>4554</v>
      </c>
      <c r="K137" s="1" t="s">
        <v>4553</v>
      </c>
    </row>
    <row r="138" spans="1:11" ht="21" x14ac:dyDescent="0.25">
      <c r="A138" s="11" t="str">
        <f>HYPERLINK("https://rth.dk/resources/bsgatlas/details.php?id=BSGatlas-transcript-137","BSGatlas-transcript-137")</f>
        <v>BSGatlas-transcript-137</v>
      </c>
      <c r="B138" s="1" t="s">
        <v>4549</v>
      </c>
      <c r="C138" s="3">
        <v>101409</v>
      </c>
      <c r="D138" s="3">
        <v>106021</v>
      </c>
      <c r="E138" s="1" t="s">
        <v>9</v>
      </c>
      <c r="F138" s="1">
        <v>0</v>
      </c>
      <c r="G138" s="1" t="s">
        <v>4372</v>
      </c>
      <c r="H138" s="1" t="s">
        <v>4372</v>
      </c>
      <c r="I138" s="1" t="s">
        <v>4377</v>
      </c>
      <c r="J138" s="1" t="s">
        <v>4555</v>
      </c>
      <c r="K138" s="1" t="s">
        <v>4551</v>
      </c>
    </row>
    <row r="139" spans="1:11" ht="21" x14ac:dyDescent="0.25">
      <c r="A139" s="11" t="str">
        <f>HYPERLINK("https://rth.dk/resources/bsgatlas/details.php?id=BSGatlas-transcript-138","BSGatlas-transcript-138")</f>
        <v>BSGatlas-transcript-138</v>
      </c>
      <c r="B139" s="1" t="s">
        <v>4552</v>
      </c>
      <c r="C139" s="3">
        <v>101409</v>
      </c>
      <c r="D139" s="3">
        <v>108614</v>
      </c>
      <c r="E139" s="1" t="s">
        <v>9</v>
      </c>
      <c r="F139" s="1">
        <v>1</v>
      </c>
      <c r="G139" s="1">
        <v>41</v>
      </c>
      <c r="H139" s="1">
        <v>57</v>
      </c>
      <c r="I139" s="1" t="s">
        <v>4373</v>
      </c>
      <c r="J139" s="1" t="s">
        <v>4555</v>
      </c>
      <c r="K139" s="1" t="s">
        <v>4553</v>
      </c>
    </row>
    <row r="140" spans="1:11" ht="21" x14ac:dyDescent="0.25">
      <c r="A140" s="11" t="str">
        <f>HYPERLINK("https://rth.dk/resources/bsgatlas/details.php?id=BSGatlas-transcript-139","BSGatlas-transcript-139")</f>
        <v>BSGatlas-transcript-139</v>
      </c>
      <c r="B140" s="1" t="s">
        <v>4556</v>
      </c>
      <c r="C140" s="3">
        <v>106096</v>
      </c>
      <c r="D140" s="3">
        <v>108614</v>
      </c>
      <c r="E140" s="1" t="s">
        <v>9</v>
      </c>
      <c r="F140" s="1">
        <v>0</v>
      </c>
      <c r="G140" s="1" t="s">
        <v>4372</v>
      </c>
      <c r="H140" s="1" t="s">
        <v>4372</v>
      </c>
      <c r="I140" s="1" t="s">
        <v>4377</v>
      </c>
      <c r="J140" s="1" t="s">
        <v>4557</v>
      </c>
      <c r="K140" s="1" t="s">
        <v>4553</v>
      </c>
    </row>
    <row r="141" spans="1:11" ht="21" x14ac:dyDescent="0.25">
      <c r="A141" s="11" t="str">
        <f>HYPERLINK("https://rth.dk/resources/bsgatlas/details.php?id=BSGatlas-transcript-140","BSGatlas-transcript-140")</f>
        <v>BSGatlas-transcript-140</v>
      </c>
      <c r="B141" s="1" t="s">
        <v>139</v>
      </c>
      <c r="C141" s="3">
        <v>107476</v>
      </c>
      <c r="D141" s="3">
        <v>108614</v>
      </c>
      <c r="E141" s="1" t="s">
        <v>9</v>
      </c>
      <c r="F141" s="1">
        <v>0</v>
      </c>
      <c r="G141" s="1" t="s">
        <v>4372</v>
      </c>
      <c r="H141" s="1" t="s">
        <v>4372</v>
      </c>
      <c r="I141" s="1" t="s">
        <v>4386</v>
      </c>
      <c r="J141" s="1" t="s">
        <v>318</v>
      </c>
      <c r="K141" s="1" t="s">
        <v>4553</v>
      </c>
    </row>
    <row r="142" spans="1:11" ht="21" x14ac:dyDescent="0.25">
      <c r="A142" s="11" t="str">
        <f>HYPERLINK("https://rth.dk/resources/bsgatlas/details.php?id=BSGatlas-transcript-141","BSGatlas-transcript-141")</f>
        <v>BSGatlas-transcript-141</v>
      </c>
      <c r="B142" s="1" t="s">
        <v>4558</v>
      </c>
      <c r="C142" s="3">
        <v>108598</v>
      </c>
      <c r="D142" s="3">
        <v>110956</v>
      </c>
      <c r="E142" s="1" t="s">
        <v>9</v>
      </c>
      <c r="F142" s="1">
        <v>0</v>
      </c>
      <c r="G142" s="1" t="s">
        <v>4372</v>
      </c>
      <c r="H142" s="1" t="s">
        <v>4372</v>
      </c>
      <c r="I142" s="1" t="s">
        <v>4373</v>
      </c>
      <c r="J142" s="1" t="s">
        <v>4559</v>
      </c>
      <c r="K142" s="1" t="s">
        <v>318</v>
      </c>
    </row>
    <row r="143" spans="1:11" ht="21" x14ac:dyDescent="0.25">
      <c r="A143" s="11" t="str">
        <f>HYPERLINK("https://rth.dk/resources/bsgatlas/details.php?id=BSGatlas-transcript-142","BSGatlas-transcript-142")</f>
        <v>BSGatlas-transcript-142</v>
      </c>
      <c r="B143" s="1" t="s">
        <v>4560</v>
      </c>
      <c r="C143" s="3">
        <v>111003</v>
      </c>
      <c r="D143" s="3">
        <v>112766</v>
      </c>
      <c r="E143" s="1" t="s">
        <v>9</v>
      </c>
      <c r="F143" s="1">
        <v>0</v>
      </c>
      <c r="G143" s="1" t="s">
        <v>4372</v>
      </c>
      <c r="H143" s="1" t="s">
        <v>4372</v>
      </c>
      <c r="I143" s="1" t="s">
        <v>4377</v>
      </c>
      <c r="J143" s="1" t="s">
        <v>4561</v>
      </c>
      <c r="K143" s="1" t="s">
        <v>4562</v>
      </c>
    </row>
    <row r="144" spans="1:11" ht="21" x14ac:dyDescent="0.25">
      <c r="A144" s="11" t="str">
        <f>HYPERLINK("https://rth.dk/resources/bsgatlas/details.php?id=BSGatlas-transcript-143","BSGatlas-transcript-143")</f>
        <v>BSGatlas-transcript-143</v>
      </c>
      <c r="B144" s="1" t="s">
        <v>4563</v>
      </c>
      <c r="C144" s="3">
        <v>111003</v>
      </c>
      <c r="D144" s="3">
        <v>116537</v>
      </c>
      <c r="E144" s="1" t="s">
        <v>9</v>
      </c>
      <c r="F144" s="1">
        <v>1</v>
      </c>
      <c r="G144" s="1">
        <v>45</v>
      </c>
      <c r="H144" s="1" t="s">
        <v>4372</v>
      </c>
      <c r="I144" s="1" t="s">
        <v>4373</v>
      </c>
      <c r="J144" s="1" t="s">
        <v>4561</v>
      </c>
      <c r="K144" s="1" t="s">
        <v>318</v>
      </c>
    </row>
    <row r="145" spans="1:11" ht="21" x14ac:dyDescent="0.25">
      <c r="A145" s="11" t="str">
        <f>HYPERLINK("https://rth.dk/resources/bsgatlas/details.php?id=BSGatlas-transcript-144","BSGatlas-transcript-144")</f>
        <v>BSGatlas-transcript-144</v>
      </c>
      <c r="B145" s="1" t="s">
        <v>150</v>
      </c>
      <c r="C145" s="3">
        <v>116575</v>
      </c>
      <c r="D145" s="3">
        <v>117256</v>
      </c>
      <c r="E145" s="1" t="s">
        <v>9</v>
      </c>
      <c r="F145" s="1">
        <v>0</v>
      </c>
      <c r="G145" s="1" t="s">
        <v>4372</v>
      </c>
      <c r="H145" s="1" t="s">
        <v>4372</v>
      </c>
      <c r="I145" s="1" t="s">
        <v>4382</v>
      </c>
      <c r="J145" s="1" t="s">
        <v>4564</v>
      </c>
      <c r="K145" s="1" t="s">
        <v>318</v>
      </c>
    </row>
    <row r="146" spans="1:11" ht="21" x14ac:dyDescent="0.25">
      <c r="A146" s="11" t="str">
        <f>HYPERLINK("https://rth.dk/resources/bsgatlas/details.php?id=BSGatlas-transcript-145","BSGatlas-transcript-145")</f>
        <v>BSGatlas-transcript-145</v>
      </c>
      <c r="B146" s="1" t="s">
        <v>4565</v>
      </c>
      <c r="C146" s="3">
        <v>116575</v>
      </c>
      <c r="D146" s="3">
        <v>117711</v>
      </c>
      <c r="E146" s="1" t="s">
        <v>9</v>
      </c>
      <c r="F146" s="1">
        <v>2</v>
      </c>
      <c r="G146" s="1">
        <v>26</v>
      </c>
      <c r="H146" s="1" t="s">
        <v>4372</v>
      </c>
      <c r="I146" s="1" t="s">
        <v>4386</v>
      </c>
      <c r="J146" s="1" t="s">
        <v>4564</v>
      </c>
      <c r="K146" s="1" t="s">
        <v>318</v>
      </c>
    </row>
    <row r="147" spans="1:11" ht="21" x14ac:dyDescent="0.25">
      <c r="A147" s="11" t="str">
        <f>HYPERLINK("https://rth.dk/resources/bsgatlas/details.php?id=BSGatlas-transcript-146","BSGatlas-transcript-146")</f>
        <v>BSGatlas-transcript-146</v>
      </c>
      <c r="B147" s="1" t="s">
        <v>4566</v>
      </c>
      <c r="C147" s="3">
        <v>118452</v>
      </c>
      <c r="D147" s="3">
        <v>119995</v>
      </c>
      <c r="E147" s="1" t="s">
        <v>9</v>
      </c>
      <c r="F147" s="1">
        <v>2</v>
      </c>
      <c r="G147" s="1">
        <v>140</v>
      </c>
      <c r="H147" s="1" t="s">
        <v>4372</v>
      </c>
      <c r="I147" s="1" t="s">
        <v>4377</v>
      </c>
      <c r="J147" s="1" t="s">
        <v>4567</v>
      </c>
      <c r="K147" s="1" t="s">
        <v>4568</v>
      </c>
    </row>
    <row r="148" spans="1:11" ht="21" x14ac:dyDescent="0.25">
      <c r="A148" s="11" t="str">
        <f>HYPERLINK("https://rth.dk/resources/bsgatlas/details.php?id=BSGatlas-transcript-147","BSGatlas-transcript-147")</f>
        <v>BSGatlas-transcript-147</v>
      </c>
      <c r="B148" s="1" t="s">
        <v>4569</v>
      </c>
      <c r="C148" s="3">
        <v>118452</v>
      </c>
      <c r="D148" s="3">
        <v>120978</v>
      </c>
      <c r="E148" s="1" t="s">
        <v>9</v>
      </c>
      <c r="F148" s="1">
        <v>4</v>
      </c>
      <c r="G148" s="1">
        <v>140</v>
      </c>
      <c r="H148" s="1" t="s">
        <v>4372</v>
      </c>
      <c r="I148" s="1" t="s">
        <v>4386</v>
      </c>
      <c r="J148" s="1" t="s">
        <v>4567</v>
      </c>
      <c r="K148" s="1" t="s">
        <v>4570</v>
      </c>
    </row>
    <row r="149" spans="1:11" ht="21" x14ac:dyDescent="0.25">
      <c r="A149" s="11" t="str">
        <f>HYPERLINK("https://rth.dk/resources/bsgatlas/details.php?id=BSGatlas-transcript-148","BSGatlas-transcript-148")</f>
        <v>BSGatlas-transcript-148</v>
      </c>
      <c r="B149" s="1" t="s">
        <v>4569</v>
      </c>
      <c r="C149" s="3">
        <v>118452</v>
      </c>
      <c r="D149" s="3">
        <v>120978</v>
      </c>
      <c r="E149" s="1" t="s">
        <v>9</v>
      </c>
      <c r="F149" s="1">
        <v>4</v>
      </c>
      <c r="G149" s="1">
        <v>140</v>
      </c>
      <c r="H149" s="1" t="s">
        <v>4372</v>
      </c>
      <c r="I149" s="1" t="s">
        <v>4386</v>
      </c>
      <c r="J149" s="1" t="s">
        <v>4567</v>
      </c>
      <c r="K149" s="1" t="s">
        <v>4571</v>
      </c>
    </row>
    <row r="150" spans="1:11" ht="21" x14ac:dyDescent="0.25">
      <c r="A150" s="11" t="str">
        <f>HYPERLINK("https://rth.dk/resources/bsgatlas/details.php?id=BSGatlas-transcript-149","BSGatlas-transcript-149")</f>
        <v>BSGatlas-transcript-149</v>
      </c>
      <c r="B150" s="1" t="s">
        <v>4572</v>
      </c>
      <c r="C150" s="3">
        <v>120061</v>
      </c>
      <c r="D150" s="3">
        <v>120978</v>
      </c>
      <c r="E150" s="1" t="s">
        <v>9</v>
      </c>
      <c r="F150" s="1">
        <v>1</v>
      </c>
      <c r="G150" s="1" t="s">
        <v>4372</v>
      </c>
      <c r="H150" s="1" t="s">
        <v>4372</v>
      </c>
      <c r="I150" s="1" t="s">
        <v>4397</v>
      </c>
      <c r="J150" s="1" t="s">
        <v>318</v>
      </c>
      <c r="K150" s="1" t="s">
        <v>4570</v>
      </c>
    </row>
    <row r="151" spans="1:11" ht="21" x14ac:dyDescent="0.25">
      <c r="A151" s="11" t="str">
        <f>HYPERLINK("https://rth.dk/resources/bsgatlas/details.php?id=BSGatlas-transcript-150","BSGatlas-transcript-150")</f>
        <v>BSGatlas-transcript-150</v>
      </c>
      <c r="B151" s="1" t="s">
        <v>4572</v>
      </c>
      <c r="C151" s="3">
        <v>120061</v>
      </c>
      <c r="D151" s="3">
        <v>120978</v>
      </c>
      <c r="E151" s="1" t="s">
        <v>9</v>
      </c>
      <c r="F151" s="1">
        <v>1</v>
      </c>
      <c r="G151" s="1" t="s">
        <v>4372</v>
      </c>
      <c r="H151" s="1" t="s">
        <v>4372</v>
      </c>
      <c r="I151" s="1" t="s">
        <v>4397</v>
      </c>
      <c r="J151" s="1" t="s">
        <v>318</v>
      </c>
      <c r="K151" s="1" t="s">
        <v>4571</v>
      </c>
    </row>
    <row r="152" spans="1:11" ht="21" x14ac:dyDescent="0.25">
      <c r="A152" s="11" t="str">
        <f>HYPERLINK("https://rth.dk/resources/bsgatlas/details.php?id=BSGatlas-transcript-151","BSGatlas-transcript-151")</f>
        <v>BSGatlas-transcript-151</v>
      </c>
      <c r="B152" s="1" t="s">
        <v>158</v>
      </c>
      <c r="C152" s="3">
        <v>121706</v>
      </c>
      <c r="D152" s="3">
        <v>125500</v>
      </c>
      <c r="E152" s="1" t="s">
        <v>9</v>
      </c>
      <c r="F152" s="1">
        <v>0</v>
      </c>
      <c r="G152" s="1" t="s">
        <v>4372</v>
      </c>
      <c r="H152" s="1" t="s">
        <v>4372</v>
      </c>
      <c r="I152" s="1" t="s">
        <v>4382</v>
      </c>
      <c r="J152" s="1" t="s">
        <v>4573</v>
      </c>
      <c r="K152" s="1" t="s">
        <v>318</v>
      </c>
    </row>
    <row r="153" spans="1:11" ht="21" x14ac:dyDescent="0.25">
      <c r="A153" s="11" t="str">
        <f>HYPERLINK("https://rth.dk/resources/bsgatlas/details.php?id=BSGatlas-transcript-152","BSGatlas-transcript-152")</f>
        <v>BSGatlas-transcript-152</v>
      </c>
      <c r="B153" s="1" t="s">
        <v>4574</v>
      </c>
      <c r="C153" s="3">
        <v>121706</v>
      </c>
      <c r="D153" s="3">
        <v>129161</v>
      </c>
      <c r="E153" s="1" t="s">
        <v>9</v>
      </c>
      <c r="F153" s="1">
        <v>1</v>
      </c>
      <c r="G153" s="1">
        <v>214</v>
      </c>
      <c r="H153" s="1" t="s">
        <v>4372</v>
      </c>
      <c r="I153" s="1" t="s">
        <v>4386</v>
      </c>
      <c r="J153" s="1" t="s">
        <v>4573</v>
      </c>
      <c r="K153" s="1" t="s">
        <v>318</v>
      </c>
    </row>
    <row r="154" spans="1:11" ht="21" x14ac:dyDescent="0.25">
      <c r="A154" s="11" t="str">
        <f>HYPERLINK("https://rth.dk/resources/bsgatlas/details.php?id=BSGatlas-transcript-153","BSGatlas-transcript-153")</f>
        <v>BSGatlas-transcript-153</v>
      </c>
      <c r="B154" s="1" t="s">
        <v>4575</v>
      </c>
      <c r="C154" s="3">
        <v>129285</v>
      </c>
      <c r="D154" s="3">
        <v>134089</v>
      </c>
      <c r="E154" s="1" t="s">
        <v>9</v>
      </c>
      <c r="F154" s="1">
        <v>4</v>
      </c>
      <c r="G154" s="1">
        <v>56</v>
      </c>
      <c r="H154" s="1">
        <v>18</v>
      </c>
      <c r="I154" s="1" t="s">
        <v>4386</v>
      </c>
      <c r="J154" s="1" t="s">
        <v>4576</v>
      </c>
      <c r="K154" s="1" t="s">
        <v>4577</v>
      </c>
    </row>
    <row r="155" spans="1:11" ht="21" x14ac:dyDescent="0.25">
      <c r="A155" s="11" t="str">
        <f>HYPERLINK("https://rth.dk/resources/bsgatlas/details.php?id=BSGatlas-transcript-154","BSGatlas-transcript-154")</f>
        <v>BSGatlas-transcript-154</v>
      </c>
      <c r="B155" s="1" t="s">
        <v>165</v>
      </c>
      <c r="C155" s="3">
        <v>134136</v>
      </c>
      <c r="D155" s="3">
        <v>135127</v>
      </c>
      <c r="E155" s="1" t="s">
        <v>9</v>
      </c>
      <c r="F155" s="1">
        <v>0</v>
      </c>
      <c r="G155" s="1" t="s">
        <v>4372</v>
      </c>
      <c r="H155" s="1" t="s">
        <v>4372</v>
      </c>
      <c r="I155" s="1" t="s">
        <v>4377</v>
      </c>
      <c r="J155" s="1" t="s">
        <v>4578</v>
      </c>
      <c r="K155" s="1" t="s">
        <v>318</v>
      </c>
    </row>
    <row r="156" spans="1:11" ht="21" x14ac:dyDescent="0.25">
      <c r="A156" s="11" t="str">
        <f>HYPERLINK("https://rth.dk/resources/bsgatlas/details.php?id=BSGatlas-transcript-155","BSGatlas-transcript-155")</f>
        <v>BSGatlas-transcript-155</v>
      </c>
      <c r="B156" s="1" t="s">
        <v>4579</v>
      </c>
      <c r="C156" s="3">
        <v>135170</v>
      </c>
      <c r="D156" s="3">
        <v>150339</v>
      </c>
      <c r="E156" s="1" t="s">
        <v>9</v>
      </c>
      <c r="F156" s="1">
        <v>23</v>
      </c>
      <c r="G156" s="1">
        <v>195</v>
      </c>
      <c r="H156" s="1">
        <v>25</v>
      </c>
      <c r="I156" s="1" t="s">
        <v>4386</v>
      </c>
      <c r="J156" s="1" t="s">
        <v>4580</v>
      </c>
      <c r="K156" s="1" t="s">
        <v>4581</v>
      </c>
    </row>
    <row r="157" spans="1:11" ht="21" x14ac:dyDescent="0.25">
      <c r="A157" s="11" t="str">
        <f>HYPERLINK("https://rth.dk/resources/bsgatlas/details.php?id=BSGatlas-transcript-156","BSGatlas-transcript-156")</f>
        <v>BSGatlas-transcript-156</v>
      </c>
      <c r="B157" s="1" t="s">
        <v>4582</v>
      </c>
      <c r="C157" s="3">
        <v>144085</v>
      </c>
      <c r="D157" s="3">
        <v>147273</v>
      </c>
      <c r="E157" s="1" t="s">
        <v>9</v>
      </c>
      <c r="F157" s="1">
        <v>1</v>
      </c>
      <c r="G157" s="1" t="s">
        <v>4372</v>
      </c>
      <c r="H157" s="1" t="s">
        <v>4372</v>
      </c>
      <c r="I157" s="1" t="s">
        <v>4386</v>
      </c>
      <c r="J157" s="1" t="s">
        <v>318</v>
      </c>
      <c r="K157" s="1" t="s">
        <v>318</v>
      </c>
    </row>
    <row r="158" spans="1:11" ht="21" x14ac:dyDescent="0.25">
      <c r="A158" s="11" t="str">
        <f>HYPERLINK("https://rth.dk/resources/bsgatlas/details.php?id=BSGatlas-transcript-157","BSGatlas-transcript-157")</f>
        <v>BSGatlas-transcript-157</v>
      </c>
      <c r="B158" s="1" t="s">
        <v>4583</v>
      </c>
      <c r="C158" s="3">
        <v>152937</v>
      </c>
      <c r="D158" s="3">
        <v>154692</v>
      </c>
      <c r="E158" s="1" t="s">
        <v>9</v>
      </c>
      <c r="F158" s="1">
        <v>3</v>
      </c>
      <c r="G158" s="1" t="s">
        <v>4372</v>
      </c>
      <c r="H158" s="1" t="s">
        <v>4372</v>
      </c>
      <c r="I158" s="1" t="s">
        <v>4386</v>
      </c>
      <c r="J158" s="1" t="s">
        <v>4584</v>
      </c>
      <c r="K158" s="1" t="s">
        <v>4585</v>
      </c>
    </row>
    <row r="159" spans="1:11" ht="21" x14ac:dyDescent="0.25">
      <c r="A159" s="11" t="str">
        <f>HYPERLINK("https://rth.dk/resources/bsgatlas/details.php?id=BSGatlas-transcript-158","BSGatlas-transcript-158")</f>
        <v>BSGatlas-transcript-158</v>
      </c>
      <c r="B159" s="1" t="s">
        <v>201</v>
      </c>
      <c r="C159" s="3">
        <v>153039</v>
      </c>
      <c r="D159" s="3">
        <v>153529</v>
      </c>
      <c r="E159" s="1" t="s">
        <v>13</v>
      </c>
      <c r="F159" s="1">
        <v>0</v>
      </c>
      <c r="G159" s="1" t="s">
        <v>4372</v>
      </c>
      <c r="H159" s="1" t="s">
        <v>4372</v>
      </c>
      <c r="I159" s="1" t="s">
        <v>4377</v>
      </c>
      <c r="J159" s="1" t="s">
        <v>4586</v>
      </c>
      <c r="K159" s="1" t="s">
        <v>318</v>
      </c>
    </row>
    <row r="160" spans="1:11" ht="21" x14ac:dyDescent="0.25">
      <c r="A160" s="11" t="str">
        <f>HYPERLINK("https://rth.dk/resources/bsgatlas/details.php?id=BSGatlas-transcript-159","BSGatlas-transcript-159")</f>
        <v>BSGatlas-transcript-159</v>
      </c>
      <c r="B160" s="1" t="s">
        <v>4587</v>
      </c>
      <c r="C160" s="3">
        <v>153725</v>
      </c>
      <c r="D160" s="3">
        <v>154692</v>
      </c>
      <c r="E160" s="1" t="s">
        <v>9</v>
      </c>
      <c r="F160" s="1">
        <v>1</v>
      </c>
      <c r="G160" s="1">
        <v>118</v>
      </c>
      <c r="H160" s="1" t="s">
        <v>4372</v>
      </c>
      <c r="I160" s="1" t="s">
        <v>4386</v>
      </c>
      <c r="J160" s="1" t="s">
        <v>4588</v>
      </c>
      <c r="K160" s="1" t="s">
        <v>4585</v>
      </c>
    </row>
    <row r="161" spans="1:11" ht="21" x14ac:dyDescent="0.25">
      <c r="A161" s="11" t="str">
        <f>HYPERLINK("https://rth.dk/resources/bsgatlas/details.php?id=BSGatlas-transcript-160","BSGatlas-transcript-160")</f>
        <v>BSGatlas-transcript-160</v>
      </c>
      <c r="B161" s="1" t="s">
        <v>202</v>
      </c>
      <c r="C161" s="3">
        <v>154838</v>
      </c>
      <c r="D161" s="3">
        <v>155923</v>
      </c>
      <c r="E161" s="1" t="s">
        <v>9</v>
      </c>
      <c r="F161" s="1">
        <v>0</v>
      </c>
      <c r="G161" s="1" t="s">
        <v>4372</v>
      </c>
      <c r="H161" s="1" t="s">
        <v>4372</v>
      </c>
      <c r="I161" s="1" t="s">
        <v>4386</v>
      </c>
      <c r="J161" s="1" t="s">
        <v>4589</v>
      </c>
      <c r="K161" s="1" t="s">
        <v>4590</v>
      </c>
    </row>
    <row r="162" spans="1:11" ht="21" x14ac:dyDescent="0.25">
      <c r="A162" s="11" t="str">
        <f>HYPERLINK("https://rth.dk/resources/bsgatlas/details.php?id=BSGatlas-transcript-161","BSGatlas-transcript-161")</f>
        <v>BSGatlas-transcript-161</v>
      </c>
      <c r="B162" s="1" t="s">
        <v>202</v>
      </c>
      <c r="C162" s="3">
        <v>155121</v>
      </c>
      <c r="D162" s="3">
        <v>155923</v>
      </c>
      <c r="E162" s="1" t="s">
        <v>9</v>
      </c>
      <c r="F162" s="1">
        <v>0</v>
      </c>
      <c r="G162" s="1" t="s">
        <v>4372</v>
      </c>
      <c r="H162" s="1" t="s">
        <v>4372</v>
      </c>
      <c r="I162" s="1" t="s">
        <v>4386</v>
      </c>
      <c r="J162" s="1" t="s">
        <v>4591</v>
      </c>
      <c r="K162" s="1" t="s">
        <v>4590</v>
      </c>
    </row>
    <row r="163" spans="1:11" ht="21" x14ac:dyDescent="0.25">
      <c r="A163" s="11" t="str">
        <f>HYPERLINK("https://rth.dk/resources/bsgatlas/details.php?id=BSGatlas-transcript-162","BSGatlas-transcript-162")</f>
        <v>BSGatlas-transcript-162</v>
      </c>
      <c r="B163" s="1" t="s">
        <v>4592</v>
      </c>
      <c r="C163" s="3">
        <v>156089</v>
      </c>
      <c r="D163" s="3">
        <v>157347</v>
      </c>
      <c r="E163" s="1" t="s">
        <v>9</v>
      </c>
      <c r="F163" s="1">
        <v>1</v>
      </c>
      <c r="G163" s="1">
        <v>21</v>
      </c>
      <c r="H163" s="1">
        <v>23</v>
      </c>
      <c r="I163" s="1" t="s">
        <v>4373</v>
      </c>
      <c r="J163" s="1" t="s">
        <v>4593</v>
      </c>
      <c r="K163" s="1" t="s">
        <v>4594</v>
      </c>
    </row>
    <row r="164" spans="1:11" ht="21" x14ac:dyDescent="0.25">
      <c r="A164" s="11" t="str">
        <f>HYPERLINK("https://rth.dk/resources/bsgatlas/details.php?id=BSGatlas-transcript-163","BSGatlas-transcript-163")</f>
        <v>BSGatlas-transcript-163</v>
      </c>
      <c r="B164" s="1" t="s">
        <v>204</v>
      </c>
      <c r="C164" s="3">
        <v>156588</v>
      </c>
      <c r="D164" s="3">
        <v>157347</v>
      </c>
      <c r="E164" s="1" t="s">
        <v>9</v>
      </c>
      <c r="F164" s="1">
        <v>0</v>
      </c>
      <c r="G164" s="1" t="s">
        <v>4372</v>
      </c>
      <c r="H164" s="1" t="s">
        <v>4372</v>
      </c>
      <c r="I164" s="1" t="s">
        <v>4386</v>
      </c>
      <c r="J164" s="1" t="s">
        <v>4595</v>
      </c>
      <c r="K164" s="1" t="s">
        <v>4594</v>
      </c>
    </row>
    <row r="165" spans="1:11" ht="21" x14ac:dyDescent="0.25">
      <c r="A165" s="11" t="str">
        <f>HYPERLINK("https://rth.dk/resources/bsgatlas/details.php?id=BSGatlas-transcript-164","BSGatlas-transcript-164")</f>
        <v>BSGatlas-transcript-164</v>
      </c>
      <c r="B165" s="1" t="s">
        <v>205</v>
      </c>
      <c r="C165" s="3">
        <v>157370</v>
      </c>
      <c r="D165" s="3">
        <v>158479</v>
      </c>
      <c r="E165" s="1" t="s">
        <v>9</v>
      </c>
      <c r="F165" s="1">
        <v>0</v>
      </c>
      <c r="G165" s="1" t="s">
        <v>4372</v>
      </c>
      <c r="H165" s="1" t="s">
        <v>4372</v>
      </c>
      <c r="I165" s="1" t="s">
        <v>4386</v>
      </c>
      <c r="J165" s="1" t="s">
        <v>4596</v>
      </c>
      <c r="K165" s="1" t="s">
        <v>4597</v>
      </c>
    </row>
    <row r="166" spans="1:11" ht="21" x14ac:dyDescent="0.25">
      <c r="A166" s="11" t="str">
        <f>HYPERLINK("https://rth.dk/resources/bsgatlas/details.php?id=BSGatlas-transcript-165","BSGatlas-transcript-165")</f>
        <v>BSGatlas-transcript-165</v>
      </c>
      <c r="B166" s="1" t="s">
        <v>206</v>
      </c>
      <c r="C166" s="3">
        <v>158017</v>
      </c>
      <c r="D166" s="3">
        <v>159100</v>
      </c>
      <c r="E166" s="1" t="s">
        <v>13</v>
      </c>
      <c r="F166" s="1">
        <v>0</v>
      </c>
      <c r="G166" s="1" t="s">
        <v>4372</v>
      </c>
      <c r="H166" s="1" t="s">
        <v>4372</v>
      </c>
      <c r="I166" s="1" t="s">
        <v>4373</v>
      </c>
      <c r="J166" s="1" t="s">
        <v>4598</v>
      </c>
      <c r="K166" s="1" t="s">
        <v>4599</v>
      </c>
    </row>
    <row r="167" spans="1:11" ht="21" x14ac:dyDescent="0.25">
      <c r="A167" s="11" t="str">
        <f>HYPERLINK("https://rth.dk/resources/bsgatlas/details.php?id=BSGatlas-transcript-166","BSGatlas-transcript-166")</f>
        <v>BSGatlas-transcript-166</v>
      </c>
      <c r="B167" s="1" t="s">
        <v>206</v>
      </c>
      <c r="C167" s="3">
        <v>158467</v>
      </c>
      <c r="D167" s="3">
        <v>159100</v>
      </c>
      <c r="E167" s="1" t="s">
        <v>13</v>
      </c>
      <c r="F167" s="1">
        <v>0</v>
      </c>
      <c r="G167" s="1" t="s">
        <v>4372</v>
      </c>
      <c r="H167" s="1" t="s">
        <v>4372</v>
      </c>
      <c r="I167" s="1" t="s">
        <v>4373</v>
      </c>
      <c r="J167" s="1" t="s">
        <v>4598</v>
      </c>
      <c r="K167" s="1" t="s">
        <v>4600</v>
      </c>
    </row>
    <row r="168" spans="1:11" ht="21" x14ac:dyDescent="0.25">
      <c r="A168" s="11" t="str">
        <f>HYPERLINK("https://rth.dk/resources/bsgatlas/details.php?id=BSGatlas-transcript-167","BSGatlas-transcript-167")</f>
        <v>BSGatlas-transcript-167</v>
      </c>
      <c r="B168" s="1" t="s">
        <v>207</v>
      </c>
      <c r="C168" s="3">
        <v>159116</v>
      </c>
      <c r="D168" s="3">
        <v>160581</v>
      </c>
      <c r="E168" s="1" t="s">
        <v>13</v>
      </c>
      <c r="F168" s="1">
        <v>0</v>
      </c>
      <c r="G168" s="1" t="s">
        <v>4372</v>
      </c>
      <c r="H168" s="1" t="s">
        <v>4372</v>
      </c>
      <c r="I168" s="1" t="s">
        <v>4373</v>
      </c>
      <c r="J168" s="1" t="s">
        <v>4601</v>
      </c>
      <c r="K168" s="1" t="s">
        <v>4602</v>
      </c>
    </row>
    <row r="169" spans="1:11" ht="21" x14ac:dyDescent="0.25">
      <c r="A169" s="11" t="str">
        <f>HYPERLINK("https://rth.dk/resources/bsgatlas/details.php?id=BSGatlas-transcript-168","BSGatlas-transcript-168")</f>
        <v>BSGatlas-transcript-168</v>
      </c>
      <c r="B169" s="1" t="s">
        <v>208</v>
      </c>
      <c r="C169" s="3">
        <v>159182</v>
      </c>
      <c r="D169" s="3">
        <v>159778</v>
      </c>
      <c r="E169" s="1" t="s">
        <v>9</v>
      </c>
      <c r="F169" s="1">
        <v>0</v>
      </c>
      <c r="G169" s="1" t="s">
        <v>4372</v>
      </c>
      <c r="H169" s="1" t="s">
        <v>4372</v>
      </c>
      <c r="I169" s="1" t="s">
        <v>4547</v>
      </c>
      <c r="J169" s="1" t="s">
        <v>318</v>
      </c>
      <c r="K169" s="1" t="s">
        <v>318</v>
      </c>
    </row>
    <row r="170" spans="1:11" ht="21" x14ac:dyDescent="0.25">
      <c r="A170" s="11" t="str">
        <f>HYPERLINK("https://rth.dk/resources/bsgatlas/details.php?id=BSGatlas-transcript-169","BSGatlas-transcript-169")</f>
        <v>BSGatlas-transcript-169</v>
      </c>
      <c r="B170" s="1" t="s">
        <v>207</v>
      </c>
      <c r="C170" s="3">
        <v>159586</v>
      </c>
      <c r="D170" s="3">
        <v>160581</v>
      </c>
      <c r="E170" s="1" t="s">
        <v>13</v>
      </c>
      <c r="F170" s="1">
        <v>0</v>
      </c>
      <c r="G170" s="1" t="s">
        <v>4372</v>
      </c>
      <c r="H170" s="1" t="s">
        <v>4372</v>
      </c>
      <c r="I170" s="1" t="s">
        <v>4373</v>
      </c>
      <c r="J170" s="1" t="s">
        <v>4601</v>
      </c>
      <c r="K170" s="1" t="s">
        <v>4603</v>
      </c>
    </row>
    <row r="171" spans="1:11" ht="21" x14ac:dyDescent="0.25">
      <c r="A171" s="11" t="str">
        <f>HYPERLINK("https://rth.dk/resources/bsgatlas/details.php?id=BSGatlas-transcript-170","BSGatlas-transcript-170")</f>
        <v>BSGatlas-transcript-170</v>
      </c>
      <c r="B171" s="1" t="s">
        <v>209</v>
      </c>
      <c r="C171" s="3">
        <v>160675</v>
      </c>
      <c r="D171" s="3">
        <v>162445</v>
      </c>
      <c r="E171" s="1" t="s">
        <v>9</v>
      </c>
      <c r="F171" s="1">
        <v>0</v>
      </c>
      <c r="G171" s="1" t="s">
        <v>4372</v>
      </c>
      <c r="H171" s="1" t="s">
        <v>4372</v>
      </c>
      <c r="I171" s="1" t="s">
        <v>4377</v>
      </c>
      <c r="J171" s="1" t="s">
        <v>4604</v>
      </c>
      <c r="K171" s="1" t="s">
        <v>318</v>
      </c>
    </row>
    <row r="172" spans="1:11" ht="21" x14ac:dyDescent="0.25">
      <c r="A172" s="11" t="str">
        <f>HYPERLINK("https://rth.dk/resources/bsgatlas/details.php?id=BSGatlas-transcript-171","BSGatlas-transcript-171")</f>
        <v>BSGatlas-transcript-171</v>
      </c>
      <c r="B172" s="1" t="s">
        <v>210</v>
      </c>
      <c r="C172" s="3">
        <v>176926</v>
      </c>
      <c r="D172" s="3">
        <v>178519</v>
      </c>
      <c r="E172" s="1" t="s">
        <v>9</v>
      </c>
      <c r="F172" s="1">
        <v>0</v>
      </c>
      <c r="G172" s="1" t="s">
        <v>4372</v>
      </c>
      <c r="H172" s="1" t="s">
        <v>4372</v>
      </c>
      <c r="I172" s="1" t="s">
        <v>4386</v>
      </c>
      <c r="J172" s="1" t="s">
        <v>4605</v>
      </c>
      <c r="K172" s="1" t="s">
        <v>4606</v>
      </c>
    </row>
    <row r="173" spans="1:11" ht="21" x14ac:dyDescent="0.25">
      <c r="A173" s="11" t="str">
        <f>HYPERLINK("https://rth.dk/resources/bsgatlas/details.php?id=BSGatlas-transcript-172","BSGatlas-transcript-172")</f>
        <v>BSGatlas-transcript-172</v>
      </c>
      <c r="B173" s="1" t="s">
        <v>211</v>
      </c>
      <c r="C173" s="3">
        <v>178598</v>
      </c>
      <c r="D173" s="3">
        <v>179585</v>
      </c>
      <c r="E173" s="1" t="s">
        <v>9</v>
      </c>
      <c r="F173" s="1">
        <v>0</v>
      </c>
      <c r="G173" s="1" t="s">
        <v>4372</v>
      </c>
      <c r="H173" s="1" t="s">
        <v>4372</v>
      </c>
      <c r="I173" s="1" t="s">
        <v>4386</v>
      </c>
      <c r="J173" s="1" t="s">
        <v>4607</v>
      </c>
      <c r="K173" s="1" t="s">
        <v>4608</v>
      </c>
    </row>
    <row r="174" spans="1:11" ht="21" x14ac:dyDescent="0.25">
      <c r="A174" s="11" t="str">
        <f>HYPERLINK("https://rth.dk/resources/bsgatlas/details.php?id=BSGatlas-transcript-173","BSGatlas-transcript-173")</f>
        <v>BSGatlas-transcript-173</v>
      </c>
      <c r="B174" s="1" t="s">
        <v>4609</v>
      </c>
      <c r="C174" s="3">
        <v>179576</v>
      </c>
      <c r="D174" s="3">
        <v>183358</v>
      </c>
      <c r="E174" s="1" t="s">
        <v>13</v>
      </c>
      <c r="F174" s="1">
        <v>1</v>
      </c>
      <c r="G174" s="1">
        <v>36</v>
      </c>
      <c r="H174" s="1">
        <v>20</v>
      </c>
      <c r="I174" s="1" t="s">
        <v>4373</v>
      </c>
      <c r="J174" s="1" t="s">
        <v>4610</v>
      </c>
      <c r="K174" s="1" t="s">
        <v>4611</v>
      </c>
    </row>
    <row r="175" spans="1:11" ht="21" x14ac:dyDescent="0.25">
      <c r="A175" s="11" t="str">
        <f>HYPERLINK("https://rth.dk/resources/bsgatlas/details.php?id=BSGatlas-transcript-174","BSGatlas-transcript-174")</f>
        <v>BSGatlas-transcript-174</v>
      </c>
      <c r="B175" s="1" t="s">
        <v>4609</v>
      </c>
      <c r="C175" s="3">
        <v>179576</v>
      </c>
      <c r="D175" s="3">
        <v>183361</v>
      </c>
      <c r="E175" s="1" t="s">
        <v>13</v>
      </c>
      <c r="F175" s="1">
        <v>1</v>
      </c>
      <c r="G175" s="1">
        <v>39</v>
      </c>
      <c r="H175" s="1">
        <v>20</v>
      </c>
      <c r="I175" s="1" t="s">
        <v>4373</v>
      </c>
      <c r="J175" s="1" t="s">
        <v>4612</v>
      </c>
      <c r="K175" s="1" t="s">
        <v>4611</v>
      </c>
    </row>
    <row r="176" spans="1:11" ht="21" x14ac:dyDescent="0.25">
      <c r="A176" s="11" t="str">
        <f>HYPERLINK("https://rth.dk/resources/bsgatlas/details.php?id=BSGatlas-transcript-175","BSGatlas-transcript-175")</f>
        <v>BSGatlas-transcript-175</v>
      </c>
      <c r="B176" s="1" t="s">
        <v>4609</v>
      </c>
      <c r="C176" s="3">
        <v>179576</v>
      </c>
      <c r="D176" s="3">
        <v>183364</v>
      </c>
      <c r="E176" s="1" t="s">
        <v>13</v>
      </c>
      <c r="F176" s="1">
        <v>1</v>
      </c>
      <c r="G176" s="1">
        <v>42</v>
      </c>
      <c r="H176" s="1">
        <v>20</v>
      </c>
      <c r="I176" s="1" t="s">
        <v>4373</v>
      </c>
      <c r="J176" s="1" t="s">
        <v>4613</v>
      </c>
      <c r="K176" s="1" t="s">
        <v>4611</v>
      </c>
    </row>
    <row r="177" spans="1:11" ht="21" x14ac:dyDescent="0.25">
      <c r="A177" s="11" t="str">
        <f>HYPERLINK("https://rth.dk/resources/bsgatlas/details.php?id=BSGatlas-transcript-176","BSGatlas-transcript-176")</f>
        <v>BSGatlas-transcript-176</v>
      </c>
      <c r="B177" s="1" t="s">
        <v>216</v>
      </c>
      <c r="C177" s="3">
        <v>183414</v>
      </c>
      <c r="D177" s="3">
        <v>185056</v>
      </c>
      <c r="E177" s="1" t="s">
        <v>13</v>
      </c>
      <c r="F177" s="1">
        <v>0</v>
      </c>
      <c r="G177" s="1" t="s">
        <v>4372</v>
      </c>
      <c r="H177" s="1" t="s">
        <v>4372</v>
      </c>
      <c r="I177" s="1" t="s">
        <v>4373</v>
      </c>
      <c r="J177" s="1" t="s">
        <v>4614</v>
      </c>
      <c r="K177" s="1" t="s">
        <v>318</v>
      </c>
    </row>
    <row r="178" spans="1:11" ht="21" x14ac:dyDescent="0.25">
      <c r="A178" s="11" t="str">
        <f>HYPERLINK("https://rth.dk/resources/bsgatlas/details.php?id=BSGatlas-transcript-177","BSGatlas-transcript-177")</f>
        <v>BSGatlas-transcript-177</v>
      </c>
      <c r="B178" s="1" t="s">
        <v>4615</v>
      </c>
      <c r="C178" s="3">
        <v>185143</v>
      </c>
      <c r="D178" s="3">
        <v>193009</v>
      </c>
      <c r="E178" s="1" t="s">
        <v>13</v>
      </c>
      <c r="F178" s="1">
        <v>4</v>
      </c>
      <c r="G178" s="1">
        <v>45</v>
      </c>
      <c r="H178" s="1">
        <v>52</v>
      </c>
      <c r="I178" s="1" t="s">
        <v>4386</v>
      </c>
      <c r="J178" s="1" t="s">
        <v>4616</v>
      </c>
      <c r="K178" s="1" t="s">
        <v>4617</v>
      </c>
    </row>
    <row r="179" spans="1:11" ht="21" x14ac:dyDescent="0.25">
      <c r="A179" s="11" t="str">
        <f>HYPERLINK("https://rth.dk/resources/bsgatlas/details.php?id=BSGatlas-transcript-178","BSGatlas-transcript-178")</f>
        <v>BSGatlas-transcript-178</v>
      </c>
      <c r="B179" s="1" t="s">
        <v>4615</v>
      </c>
      <c r="C179" s="3">
        <v>185194</v>
      </c>
      <c r="D179" s="3">
        <v>193009</v>
      </c>
      <c r="E179" s="1" t="s">
        <v>13</v>
      </c>
      <c r="F179" s="1">
        <v>4</v>
      </c>
      <c r="G179" s="1">
        <v>45</v>
      </c>
      <c r="H179" s="1" t="s">
        <v>4372</v>
      </c>
      <c r="I179" s="1" t="s">
        <v>4386</v>
      </c>
      <c r="J179" s="1" t="s">
        <v>4616</v>
      </c>
      <c r="K179" s="1" t="s">
        <v>4618</v>
      </c>
    </row>
    <row r="180" spans="1:11" ht="21" x14ac:dyDescent="0.25">
      <c r="A180" s="11" t="str">
        <f>HYPERLINK("https://rth.dk/resources/bsgatlas/details.php?id=BSGatlas-transcript-179","BSGatlas-transcript-179")</f>
        <v>BSGatlas-transcript-179</v>
      </c>
      <c r="B180" s="1" t="s">
        <v>223</v>
      </c>
      <c r="C180" s="3">
        <v>193570</v>
      </c>
      <c r="D180" s="3">
        <v>194072</v>
      </c>
      <c r="E180" s="1" t="s">
        <v>13</v>
      </c>
      <c r="F180" s="1">
        <v>0</v>
      </c>
      <c r="G180" s="1" t="s">
        <v>4372</v>
      </c>
      <c r="H180" s="1" t="s">
        <v>4372</v>
      </c>
      <c r="I180" s="1" t="s">
        <v>4377</v>
      </c>
      <c r="J180" s="1" t="s">
        <v>4619</v>
      </c>
      <c r="K180" s="1" t="s">
        <v>318</v>
      </c>
    </row>
    <row r="181" spans="1:11" ht="21" x14ac:dyDescent="0.25">
      <c r="A181" s="11" t="str">
        <f>HYPERLINK("https://rth.dk/resources/bsgatlas/details.php?id=BSGatlas-transcript-180","BSGatlas-transcript-180")</f>
        <v>BSGatlas-transcript-180</v>
      </c>
      <c r="B181" s="1" t="s">
        <v>4620</v>
      </c>
      <c r="C181" s="3">
        <v>194178</v>
      </c>
      <c r="D181" s="3">
        <v>194661</v>
      </c>
      <c r="E181" s="1" t="s">
        <v>9</v>
      </c>
      <c r="F181" s="1">
        <v>1</v>
      </c>
      <c r="G181" s="1">
        <v>27</v>
      </c>
      <c r="H181" s="1">
        <v>41</v>
      </c>
      <c r="I181" s="1" t="s">
        <v>4382</v>
      </c>
      <c r="J181" s="1" t="s">
        <v>4621</v>
      </c>
      <c r="K181" s="1" t="s">
        <v>4622</v>
      </c>
    </row>
    <row r="182" spans="1:11" ht="21" x14ac:dyDescent="0.25">
      <c r="A182" s="11" t="str">
        <f>HYPERLINK("https://rth.dk/resources/bsgatlas/details.php?id=BSGatlas-transcript-181","BSGatlas-transcript-181")</f>
        <v>BSGatlas-transcript-181</v>
      </c>
      <c r="B182" s="1" t="s">
        <v>4623</v>
      </c>
      <c r="C182" s="3">
        <v>194788</v>
      </c>
      <c r="D182" s="3">
        <v>196088</v>
      </c>
      <c r="E182" s="1" t="s">
        <v>9</v>
      </c>
      <c r="F182" s="1">
        <v>0</v>
      </c>
      <c r="G182" s="1" t="s">
        <v>4372</v>
      </c>
      <c r="H182" s="1" t="s">
        <v>4372</v>
      </c>
      <c r="I182" s="1" t="s">
        <v>4373</v>
      </c>
      <c r="J182" s="1" t="s">
        <v>4624</v>
      </c>
      <c r="K182" s="1" t="s">
        <v>4625</v>
      </c>
    </row>
    <row r="183" spans="1:11" ht="21" x14ac:dyDescent="0.25">
      <c r="A183" s="11" t="str">
        <f>HYPERLINK("https://rth.dk/resources/bsgatlas/details.php?id=BSGatlas-transcript-182","BSGatlas-transcript-182")</f>
        <v>BSGatlas-transcript-182</v>
      </c>
      <c r="B183" s="1" t="s">
        <v>4623</v>
      </c>
      <c r="C183" s="3">
        <v>194821</v>
      </c>
      <c r="D183" s="3">
        <v>196088</v>
      </c>
      <c r="E183" s="1" t="s">
        <v>9</v>
      </c>
      <c r="F183" s="1">
        <v>0</v>
      </c>
      <c r="G183" s="1" t="s">
        <v>4372</v>
      </c>
      <c r="H183" s="1" t="s">
        <v>4372</v>
      </c>
      <c r="I183" s="1" t="s">
        <v>4373</v>
      </c>
      <c r="J183" s="1" t="s">
        <v>4626</v>
      </c>
      <c r="K183" s="1" t="s">
        <v>4625</v>
      </c>
    </row>
    <row r="184" spans="1:11" ht="21" x14ac:dyDescent="0.25">
      <c r="A184" s="11" t="str">
        <f>HYPERLINK("https://rth.dk/resources/bsgatlas/details.php?id=BSGatlas-transcript-183","BSGatlas-transcript-183")</f>
        <v>BSGatlas-transcript-183</v>
      </c>
      <c r="B184" s="1" t="s">
        <v>4627</v>
      </c>
      <c r="C184" s="3">
        <v>196132</v>
      </c>
      <c r="D184" s="3">
        <v>199860</v>
      </c>
      <c r="E184" s="1" t="s">
        <v>9</v>
      </c>
      <c r="F184" s="1">
        <v>1</v>
      </c>
      <c r="G184" s="1">
        <v>82</v>
      </c>
      <c r="H184" s="1">
        <v>18</v>
      </c>
      <c r="I184" s="1" t="s">
        <v>4547</v>
      </c>
      <c r="J184" s="1" t="s">
        <v>4628</v>
      </c>
      <c r="K184" s="1" t="s">
        <v>4629</v>
      </c>
    </row>
    <row r="185" spans="1:11" ht="21" x14ac:dyDescent="0.25">
      <c r="A185" s="11" t="str">
        <f>HYPERLINK("https://rth.dk/resources/bsgatlas/details.php?id=BSGatlas-transcript-184","BSGatlas-transcript-184")</f>
        <v>BSGatlas-transcript-184</v>
      </c>
      <c r="B185" s="1" t="s">
        <v>4630</v>
      </c>
      <c r="C185" s="3">
        <v>196132</v>
      </c>
      <c r="D185" s="3">
        <v>202079</v>
      </c>
      <c r="E185" s="1" t="s">
        <v>9</v>
      </c>
      <c r="F185" s="1">
        <v>3</v>
      </c>
      <c r="G185" s="1">
        <v>82</v>
      </c>
      <c r="H185" s="1" t="s">
        <v>4372</v>
      </c>
      <c r="I185" s="1" t="s">
        <v>4386</v>
      </c>
      <c r="J185" s="1" t="s">
        <v>4628</v>
      </c>
      <c r="K185" s="1" t="s">
        <v>4631</v>
      </c>
    </row>
    <row r="186" spans="1:11" ht="21" x14ac:dyDescent="0.25">
      <c r="A186" s="11" t="str">
        <f>HYPERLINK("https://rth.dk/resources/bsgatlas/details.php?id=BSGatlas-transcript-185","BSGatlas-transcript-185")</f>
        <v>BSGatlas-transcript-185</v>
      </c>
      <c r="B186" s="1" t="s">
        <v>235</v>
      </c>
      <c r="C186" s="3">
        <v>199878</v>
      </c>
      <c r="D186" s="3">
        <v>202079</v>
      </c>
      <c r="E186" s="1" t="s">
        <v>9</v>
      </c>
      <c r="F186" s="1">
        <v>0</v>
      </c>
      <c r="G186" s="1" t="s">
        <v>4372</v>
      </c>
      <c r="H186" s="1" t="s">
        <v>4372</v>
      </c>
      <c r="I186" s="1" t="s">
        <v>4547</v>
      </c>
      <c r="J186" s="1" t="s">
        <v>4632</v>
      </c>
      <c r="K186" s="1" t="s">
        <v>4631</v>
      </c>
    </row>
    <row r="187" spans="1:11" ht="21" x14ac:dyDescent="0.25">
      <c r="A187" s="11" t="str">
        <f>HYPERLINK("https://rth.dk/resources/bsgatlas/details.php?id=BSGatlas-transcript-186","BSGatlas-transcript-186")</f>
        <v>BSGatlas-transcript-186</v>
      </c>
      <c r="B187" s="1" t="s">
        <v>235</v>
      </c>
      <c r="C187" s="3">
        <v>199957</v>
      </c>
      <c r="D187" s="3">
        <v>202079</v>
      </c>
      <c r="E187" s="1" t="s">
        <v>9</v>
      </c>
      <c r="F187" s="1">
        <v>0</v>
      </c>
      <c r="G187" s="1" t="s">
        <v>4372</v>
      </c>
      <c r="H187" s="1" t="s">
        <v>4372</v>
      </c>
      <c r="I187" s="1" t="s">
        <v>4547</v>
      </c>
      <c r="J187" s="1" t="s">
        <v>4633</v>
      </c>
      <c r="K187" s="1" t="s">
        <v>4631</v>
      </c>
    </row>
    <row r="188" spans="1:11" ht="21" x14ac:dyDescent="0.25">
      <c r="A188" s="11" t="str">
        <f>HYPERLINK("https://rth.dk/resources/bsgatlas/details.php?id=BSGatlas-transcript-187","BSGatlas-transcript-187")</f>
        <v>BSGatlas-transcript-187</v>
      </c>
      <c r="B188" s="1" t="s">
        <v>235</v>
      </c>
      <c r="C188" s="3">
        <v>200014</v>
      </c>
      <c r="D188" s="3">
        <v>202079</v>
      </c>
      <c r="E188" s="1" t="s">
        <v>9</v>
      </c>
      <c r="F188" s="1">
        <v>0</v>
      </c>
      <c r="G188" s="1" t="s">
        <v>4372</v>
      </c>
      <c r="H188" s="1" t="s">
        <v>4372</v>
      </c>
      <c r="I188" s="1" t="s">
        <v>4547</v>
      </c>
      <c r="J188" s="1" t="s">
        <v>4634</v>
      </c>
      <c r="K188" s="1" t="s">
        <v>4631</v>
      </c>
    </row>
    <row r="189" spans="1:11" ht="21" x14ac:dyDescent="0.25">
      <c r="A189" s="11" t="str">
        <f>HYPERLINK("https://rth.dk/resources/bsgatlas/details.php?id=BSGatlas-transcript-188","BSGatlas-transcript-188")</f>
        <v>BSGatlas-transcript-188</v>
      </c>
      <c r="B189" s="1" t="s">
        <v>236</v>
      </c>
      <c r="C189" s="3">
        <v>201769</v>
      </c>
      <c r="D189" s="3">
        <v>203507</v>
      </c>
      <c r="E189" s="1" t="s">
        <v>13</v>
      </c>
      <c r="F189" s="1">
        <v>0</v>
      </c>
      <c r="G189" s="1" t="s">
        <v>4372</v>
      </c>
      <c r="H189" s="1" t="s">
        <v>4372</v>
      </c>
      <c r="I189" s="1" t="s">
        <v>4373</v>
      </c>
      <c r="J189" s="1" t="s">
        <v>4635</v>
      </c>
      <c r="K189" s="1" t="s">
        <v>4636</v>
      </c>
    </row>
    <row r="190" spans="1:11" ht="21" x14ac:dyDescent="0.25">
      <c r="A190" s="11" t="str">
        <f>HYPERLINK("https://rth.dk/resources/bsgatlas/details.php?id=BSGatlas-transcript-189","BSGatlas-transcript-189")</f>
        <v>BSGatlas-transcript-189</v>
      </c>
      <c r="B190" s="1" t="s">
        <v>4637</v>
      </c>
      <c r="C190" s="3">
        <v>203608</v>
      </c>
      <c r="D190" s="3">
        <v>204890</v>
      </c>
      <c r="E190" s="1" t="s">
        <v>9</v>
      </c>
      <c r="F190" s="1">
        <v>0</v>
      </c>
      <c r="G190" s="1" t="s">
        <v>4372</v>
      </c>
      <c r="H190" s="1" t="s">
        <v>4372</v>
      </c>
      <c r="I190" s="1" t="s">
        <v>4373</v>
      </c>
      <c r="J190" s="1" t="s">
        <v>4638</v>
      </c>
      <c r="K190" s="1" t="s">
        <v>318</v>
      </c>
    </row>
    <row r="191" spans="1:11" ht="21" x14ac:dyDescent="0.25">
      <c r="A191" s="11" t="str">
        <f>HYPERLINK("https://rth.dk/resources/bsgatlas/details.php?id=BSGatlas-transcript-190","BSGatlas-transcript-190")</f>
        <v>BSGatlas-transcript-190</v>
      </c>
      <c r="B191" s="1" t="s">
        <v>239</v>
      </c>
      <c r="C191" s="3">
        <v>204991</v>
      </c>
      <c r="D191" s="3">
        <v>205238</v>
      </c>
      <c r="E191" s="1" t="s">
        <v>9</v>
      </c>
      <c r="F191" s="1">
        <v>0</v>
      </c>
      <c r="G191" s="1" t="s">
        <v>4372</v>
      </c>
      <c r="H191" s="1" t="s">
        <v>4372</v>
      </c>
      <c r="I191" s="1" t="s">
        <v>4377</v>
      </c>
      <c r="J191" s="1" t="s">
        <v>4639</v>
      </c>
      <c r="K191" s="1" t="s">
        <v>4640</v>
      </c>
    </row>
    <row r="192" spans="1:11" ht="21" x14ac:dyDescent="0.25">
      <c r="A192" s="11" t="str">
        <f>HYPERLINK("https://rth.dk/resources/bsgatlas/details.php?id=BSGatlas-transcript-191","BSGatlas-transcript-191")</f>
        <v>BSGatlas-transcript-191</v>
      </c>
      <c r="B192" s="1" t="s">
        <v>239</v>
      </c>
      <c r="C192" s="3">
        <v>204991</v>
      </c>
      <c r="D192" s="3">
        <v>205308</v>
      </c>
      <c r="E192" s="1" t="s">
        <v>9</v>
      </c>
      <c r="F192" s="1">
        <v>0</v>
      </c>
      <c r="G192" s="1" t="s">
        <v>4372</v>
      </c>
      <c r="H192" s="1" t="s">
        <v>4372</v>
      </c>
      <c r="I192" s="1" t="s">
        <v>4377</v>
      </c>
      <c r="J192" s="1" t="s">
        <v>4639</v>
      </c>
      <c r="K192" s="1" t="s">
        <v>4641</v>
      </c>
    </row>
    <row r="193" spans="1:11" ht="21" x14ac:dyDescent="0.25">
      <c r="A193" s="11" t="str">
        <f>HYPERLINK("https://rth.dk/resources/bsgatlas/details.php?id=BSGatlas-transcript-192","BSGatlas-transcript-192")</f>
        <v>BSGatlas-transcript-192</v>
      </c>
      <c r="B193" s="1" t="s">
        <v>4642</v>
      </c>
      <c r="C193" s="3">
        <v>205409</v>
      </c>
      <c r="D193" s="3">
        <v>210946</v>
      </c>
      <c r="E193" s="1" t="s">
        <v>9</v>
      </c>
      <c r="F193" s="1">
        <v>3</v>
      </c>
      <c r="G193" s="1" t="s">
        <v>4372</v>
      </c>
      <c r="H193" s="1" t="s">
        <v>4372</v>
      </c>
      <c r="I193" s="1" t="s">
        <v>4386</v>
      </c>
      <c r="J193" s="1" t="s">
        <v>318</v>
      </c>
      <c r="K193" s="1" t="s">
        <v>318</v>
      </c>
    </row>
    <row r="194" spans="1:11" ht="21" x14ac:dyDescent="0.25">
      <c r="A194" s="11" t="str">
        <f>HYPERLINK("https://rth.dk/resources/bsgatlas/details.php?id=BSGatlas-transcript-193","BSGatlas-transcript-193")</f>
        <v>BSGatlas-transcript-193</v>
      </c>
      <c r="B194" s="1" t="s">
        <v>245</v>
      </c>
      <c r="C194" s="3">
        <v>211414</v>
      </c>
      <c r="D194" s="3">
        <v>211746</v>
      </c>
      <c r="E194" s="1" t="s">
        <v>9</v>
      </c>
      <c r="F194" s="1">
        <v>0</v>
      </c>
      <c r="G194" s="1" t="s">
        <v>4372</v>
      </c>
      <c r="H194" s="1" t="s">
        <v>4372</v>
      </c>
      <c r="I194" s="1" t="s">
        <v>4386</v>
      </c>
      <c r="J194" s="1" t="s">
        <v>4643</v>
      </c>
      <c r="K194" s="1" t="s">
        <v>4644</v>
      </c>
    </row>
    <row r="195" spans="1:11" ht="21" x14ac:dyDescent="0.25">
      <c r="A195" s="11" t="str">
        <f>HYPERLINK("https://rth.dk/resources/bsgatlas/details.php?id=BSGatlas-transcript-194","BSGatlas-transcript-194")</f>
        <v>BSGatlas-transcript-194</v>
      </c>
      <c r="B195" s="1" t="s">
        <v>246</v>
      </c>
      <c r="C195" s="3">
        <v>211859</v>
      </c>
      <c r="D195" s="3">
        <v>213031</v>
      </c>
      <c r="E195" s="1" t="s">
        <v>9</v>
      </c>
      <c r="F195" s="1">
        <v>0</v>
      </c>
      <c r="G195" s="1" t="s">
        <v>4372</v>
      </c>
      <c r="H195" s="1" t="s">
        <v>4372</v>
      </c>
      <c r="I195" s="1" t="s">
        <v>4373</v>
      </c>
      <c r="J195" s="1" t="s">
        <v>4645</v>
      </c>
      <c r="K195" s="1" t="s">
        <v>4646</v>
      </c>
    </row>
    <row r="196" spans="1:11" ht="21" x14ac:dyDescent="0.25">
      <c r="A196" s="11" t="str">
        <f>HYPERLINK("https://rth.dk/resources/bsgatlas/details.php?id=BSGatlas-transcript-195","BSGatlas-transcript-195")</f>
        <v>BSGatlas-transcript-195</v>
      </c>
      <c r="B196" s="1" t="s">
        <v>246</v>
      </c>
      <c r="C196" s="3">
        <v>211859</v>
      </c>
      <c r="D196" s="3">
        <v>213086</v>
      </c>
      <c r="E196" s="1" t="s">
        <v>9</v>
      </c>
      <c r="F196" s="1">
        <v>0</v>
      </c>
      <c r="G196" s="1" t="s">
        <v>4372</v>
      </c>
      <c r="H196" s="1" t="s">
        <v>4372</v>
      </c>
      <c r="I196" s="1" t="s">
        <v>4373</v>
      </c>
      <c r="J196" s="1" t="s">
        <v>4645</v>
      </c>
      <c r="K196" s="1" t="s">
        <v>4647</v>
      </c>
    </row>
    <row r="197" spans="1:11" ht="21" x14ac:dyDescent="0.25">
      <c r="A197" s="11" t="str">
        <f>HYPERLINK("https://rth.dk/resources/bsgatlas/details.php?id=BSGatlas-transcript-196","BSGatlas-transcript-196")</f>
        <v>BSGatlas-transcript-196</v>
      </c>
      <c r="B197" s="1" t="s">
        <v>247</v>
      </c>
      <c r="C197" s="3">
        <v>213155</v>
      </c>
      <c r="D197" s="3">
        <v>213469</v>
      </c>
      <c r="E197" s="1" t="s">
        <v>9</v>
      </c>
      <c r="F197" s="1">
        <v>0</v>
      </c>
      <c r="G197" s="1" t="s">
        <v>4372</v>
      </c>
      <c r="H197" s="1" t="s">
        <v>4372</v>
      </c>
      <c r="I197" s="1" t="s">
        <v>4377</v>
      </c>
      <c r="J197" s="1" t="s">
        <v>4648</v>
      </c>
      <c r="K197" s="1" t="s">
        <v>4649</v>
      </c>
    </row>
    <row r="198" spans="1:11" ht="21" x14ac:dyDescent="0.25">
      <c r="A198" s="11" t="str">
        <f>HYPERLINK("https://rth.dk/resources/bsgatlas/details.php?id=BSGatlas-transcript-197","BSGatlas-transcript-197")</f>
        <v>BSGatlas-transcript-197</v>
      </c>
      <c r="B198" s="1" t="s">
        <v>248</v>
      </c>
      <c r="C198" s="3">
        <v>213888</v>
      </c>
      <c r="D198" s="3">
        <v>214163</v>
      </c>
      <c r="E198" s="1" t="s">
        <v>9</v>
      </c>
      <c r="F198" s="1">
        <v>0</v>
      </c>
      <c r="G198" s="1" t="s">
        <v>4372</v>
      </c>
      <c r="H198" s="1" t="s">
        <v>4372</v>
      </c>
      <c r="I198" s="1" t="s">
        <v>4377</v>
      </c>
      <c r="J198" s="1" t="s">
        <v>4650</v>
      </c>
      <c r="K198" s="1" t="s">
        <v>4651</v>
      </c>
    </row>
    <row r="199" spans="1:11" ht="21" x14ac:dyDescent="0.25">
      <c r="A199" s="11" t="str">
        <f>HYPERLINK("https://rth.dk/resources/bsgatlas/details.php?id=BSGatlas-transcript-198","BSGatlas-transcript-198")</f>
        <v>BSGatlas-transcript-198</v>
      </c>
      <c r="B199" s="1" t="s">
        <v>4652</v>
      </c>
      <c r="C199" s="3">
        <v>213888</v>
      </c>
      <c r="D199" s="3">
        <v>220119</v>
      </c>
      <c r="E199" s="1" t="s">
        <v>9</v>
      </c>
      <c r="F199" s="1">
        <v>4</v>
      </c>
      <c r="G199" s="1">
        <v>54</v>
      </c>
      <c r="H199" s="1">
        <v>88</v>
      </c>
      <c r="I199" s="1" t="s">
        <v>4373</v>
      </c>
      <c r="J199" s="1" t="s">
        <v>4650</v>
      </c>
      <c r="K199" s="1" t="s">
        <v>4653</v>
      </c>
    </row>
    <row r="200" spans="1:11" ht="21" x14ac:dyDescent="0.25">
      <c r="A200" s="11" t="str">
        <f>HYPERLINK("https://rth.dk/resources/bsgatlas/details.php?id=BSGatlas-transcript-199","BSGatlas-transcript-199")</f>
        <v>BSGatlas-transcript-199</v>
      </c>
      <c r="B200" s="1" t="s">
        <v>4654</v>
      </c>
      <c r="C200" s="3">
        <v>216321</v>
      </c>
      <c r="D200" s="3">
        <v>220119</v>
      </c>
      <c r="E200" s="1" t="s">
        <v>9</v>
      </c>
      <c r="F200" s="1">
        <v>2</v>
      </c>
      <c r="G200" s="1">
        <v>593</v>
      </c>
      <c r="H200" s="1">
        <v>88</v>
      </c>
      <c r="I200" s="1" t="s">
        <v>4377</v>
      </c>
      <c r="J200" s="1" t="s">
        <v>4655</v>
      </c>
      <c r="K200" s="1" t="s">
        <v>4653</v>
      </c>
    </row>
    <row r="201" spans="1:11" ht="21" x14ac:dyDescent="0.25">
      <c r="A201" s="11" t="str">
        <f>HYPERLINK("https://rth.dk/resources/bsgatlas/details.php?id=BSGatlas-transcript-200","BSGatlas-transcript-200")</f>
        <v>BSGatlas-transcript-200</v>
      </c>
      <c r="B201" s="1" t="s">
        <v>255</v>
      </c>
      <c r="C201" s="3">
        <v>221861</v>
      </c>
      <c r="D201" s="3">
        <v>222912</v>
      </c>
      <c r="E201" s="1" t="s">
        <v>9</v>
      </c>
      <c r="F201" s="1">
        <v>0</v>
      </c>
      <c r="G201" s="1" t="s">
        <v>4372</v>
      </c>
      <c r="H201" s="1" t="s">
        <v>4372</v>
      </c>
      <c r="I201" s="1" t="s">
        <v>4373</v>
      </c>
      <c r="J201" s="1" t="s">
        <v>4656</v>
      </c>
      <c r="K201" s="1" t="s">
        <v>318</v>
      </c>
    </row>
    <row r="202" spans="1:11" ht="21" x14ac:dyDescent="0.25">
      <c r="A202" s="11" t="str">
        <f>HYPERLINK("https://rth.dk/resources/bsgatlas/details.php?id=BSGatlas-transcript-201","BSGatlas-transcript-201")</f>
        <v>BSGatlas-transcript-201</v>
      </c>
      <c r="B202" s="1" t="s">
        <v>256</v>
      </c>
      <c r="C202" s="3">
        <v>222945</v>
      </c>
      <c r="D202" s="3">
        <v>223234</v>
      </c>
      <c r="E202" s="1" t="s">
        <v>9</v>
      </c>
      <c r="F202" s="1">
        <v>0</v>
      </c>
      <c r="G202" s="1" t="s">
        <v>4372</v>
      </c>
      <c r="H202" s="1" t="s">
        <v>4372</v>
      </c>
      <c r="I202" s="1" t="s">
        <v>4377</v>
      </c>
      <c r="J202" s="1" t="s">
        <v>4657</v>
      </c>
      <c r="K202" s="1" t="s">
        <v>4658</v>
      </c>
    </row>
    <row r="203" spans="1:11" ht="21" x14ac:dyDescent="0.25">
      <c r="A203" s="11" t="str">
        <f>HYPERLINK("https://rth.dk/resources/bsgatlas/details.php?id=BSGatlas-transcript-202","BSGatlas-transcript-202")</f>
        <v>BSGatlas-transcript-202</v>
      </c>
      <c r="B203" s="1" t="s">
        <v>257</v>
      </c>
      <c r="C203" s="3">
        <v>223219</v>
      </c>
      <c r="D203" s="3">
        <v>224181</v>
      </c>
      <c r="E203" s="1" t="s">
        <v>13</v>
      </c>
      <c r="F203" s="1">
        <v>0</v>
      </c>
      <c r="G203" s="1" t="s">
        <v>4372</v>
      </c>
      <c r="H203" s="1" t="s">
        <v>4372</v>
      </c>
      <c r="I203" s="1" t="s">
        <v>4377</v>
      </c>
      <c r="J203" s="1" t="s">
        <v>4659</v>
      </c>
      <c r="K203" s="1" t="s">
        <v>318</v>
      </c>
    </row>
    <row r="204" spans="1:11" ht="21" x14ac:dyDescent="0.25">
      <c r="A204" s="11" t="str">
        <f>HYPERLINK("https://rth.dk/resources/bsgatlas/details.php?id=BSGatlas-transcript-203","BSGatlas-transcript-203")</f>
        <v>BSGatlas-transcript-203</v>
      </c>
      <c r="B204" s="1" t="s">
        <v>258</v>
      </c>
      <c r="C204" s="3">
        <v>224075</v>
      </c>
      <c r="D204" s="3">
        <v>224970</v>
      </c>
      <c r="E204" s="1" t="s">
        <v>13</v>
      </c>
      <c r="F204" s="1">
        <v>0</v>
      </c>
      <c r="G204" s="1" t="s">
        <v>4372</v>
      </c>
      <c r="H204" s="1" t="s">
        <v>4372</v>
      </c>
      <c r="I204" s="1" t="s">
        <v>4386</v>
      </c>
      <c r="J204" s="1" t="s">
        <v>4660</v>
      </c>
      <c r="K204" s="1" t="s">
        <v>4661</v>
      </c>
    </row>
    <row r="205" spans="1:11" ht="21" x14ac:dyDescent="0.25">
      <c r="A205" s="11" t="str">
        <f>HYPERLINK("https://rth.dk/resources/bsgatlas/details.php?id=BSGatlas-transcript-204","BSGatlas-transcript-204")</f>
        <v>BSGatlas-transcript-204</v>
      </c>
      <c r="B205" s="1" t="s">
        <v>259</v>
      </c>
      <c r="C205" s="3">
        <v>225023</v>
      </c>
      <c r="D205" s="3">
        <v>226289</v>
      </c>
      <c r="E205" s="1" t="s">
        <v>9</v>
      </c>
      <c r="F205" s="1">
        <v>0</v>
      </c>
      <c r="G205" s="1" t="s">
        <v>4372</v>
      </c>
      <c r="H205" s="1" t="s">
        <v>4372</v>
      </c>
      <c r="I205" s="1" t="s">
        <v>4373</v>
      </c>
      <c r="J205" s="1" t="s">
        <v>4662</v>
      </c>
      <c r="K205" s="1" t="s">
        <v>4663</v>
      </c>
    </row>
    <row r="206" spans="1:11" ht="21" x14ac:dyDescent="0.25">
      <c r="A206" s="11" t="str">
        <f>HYPERLINK("https://rth.dk/resources/bsgatlas/details.php?id=BSGatlas-transcript-205","BSGatlas-transcript-205")</f>
        <v>BSGatlas-transcript-205</v>
      </c>
      <c r="B206" s="1" t="s">
        <v>260</v>
      </c>
      <c r="C206" s="3">
        <v>226436</v>
      </c>
      <c r="D206" s="3">
        <v>227999</v>
      </c>
      <c r="E206" s="1" t="s">
        <v>9</v>
      </c>
      <c r="F206" s="1">
        <v>0</v>
      </c>
      <c r="G206" s="1" t="s">
        <v>4372</v>
      </c>
      <c r="H206" s="1" t="s">
        <v>4372</v>
      </c>
      <c r="I206" s="1" t="s">
        <v>4373</v>
      </c>
      <c r="J206" s="1" t="s">
        <v>4664</v>
      </c>
      <c r="K206" s="1" t="s">
        <v>4665</v>
      </c>
    </row>
    <row r="207" spans="1:11" ht="21" x14ac:dyDescent="0.25">
      <c r="A207" s="11" t="str">
        <f>HYPERLINK("https://rth.dk/resources/bsgatlas/details.php?id=BSGatlas-transcript-206","BSGatlas-transcript-206")</f>
        <v>BSGatlas-transcript-206</v>
      </c>
      <c r="B207" s="1" t="s">
        <v>4666</v>
      </c>
      <c r="C207" s="3">
        <v>228021</v>
      </c>
      <c r="D207" s="3">
        <v>228557</v>
      </c>
      <c r="E207" s="1" t="s">
        <v>9</v>
      </c>
      <c r="F207" s="1">
        <v>1</v>
      </c>
      <c r="G207" s="1">
        <v>46</v>
      </c>
      <c r="H207" s="1">
        <v>36</v>
      </c>
      <c r="I207" s="1" t="s">
        <v>4373</v>
      </c>
      <c r="J207" s="1" t="s">
        <v>4667</v>
      </c>
      <c r="K207" s="1" t="s">
        <v>4668</v>
      </c>
    </row>
    <row r="208" spans="1:11" ht="21" x14ac:dyDescent="0.25">
      <c r="A208" s="11" t="str">
        <f>HYPERLINK("https://rth.dk/resources/bsgatlas/details.php?id=BSGatlas-transcript-207","BSGatlas-transcript-207")</f>
        <v>BSGatlas-transcript-207</v>
      </c>
      <c r="B208" s="1" t="s">
        <v>263</v>
      </c>
      <c r="C208" s="3">
        <v>228230</v>
      </c>
      <c r="D208" s="3">
        <v>229382</v>
      </c>
      <c r="E208" s="1" t="s">
        <v>13</v>
      </c>
      <c r="F208" s="1">
        <v>0</v>
      </c>
      <c r="G208" s="1" t="s">
        <v>4372</v>
      </c>
      <c r="H208" s="1" t="s">
        <v>4372</v>
      </c>
      <c r="I208" s="1" t="s">
        <v>4373</v>
      </c>
      <c r="J208" s="1" t="s">
        <v>4669</v>
      </c>
      <c r="K208" s="1" t="s">
        <v>4670</v>
      </c>
    </row>
    <row r="209" spans="1:11" ht="21" x14ac:dyDescent="0.25">
      <c r="A209" s="11" t="str">
        <f>HYPERLINK("https://rth.dk/resources/bsgatlas/details.php?id=BSGatlas-transcript-208","BSGatlas-transcript-208")</f>
        <v>BSGatlas-transcript-208</v>
      </c>
      <c r="B209" s="1" t="s">
        <v>264</v>
      </c>
      <c r="C209" s="3">
        <v>229493</v>
      </c>
      <c r="D209" s="3">
        <v>230826</v>
      </c>
      <c r="E209" s="1" t="s">
        <v>9</v>
      </c>
      <c r="F209" s="1">
        <v>0</v>
      </c>
      <c r="G209" s="1" t="s">
        <v>4372</v>
      </c>
      <c r="H209" s="1" t="s">
        <v>4372</v>
      </c>
      <c r="I209" s="1" t="s">
        <v>4373</v>
      </c>
      <c r="J209" s="1" t="s">
        <v>4671</v>
      </c>
      <c r="K209" s="1" t="s">
        <v>4672</v>
      </c>
    </row>
    <row r="210" spans="1:11" ht="21" x14ac:dyDescent="0.25">
      <c r="A210" s="11" t="str">
        <f>HYPERLINK("https://rth.dk/resources/bsgatlas/details.php?id=BSGatlas-transcript-209","BSGatlas-transcript-209")</f>
        <v>BSGatlas-transcript-209</v>
      </c>
      <c r="B210" s="1" t="s">
        <v>264</v>
      </c>
      <c r="C210" s="3">
        <v>229525</v>
      </c>
      <c r="D210" s="3">
        <v>230826</v>
      </c>
      <c r="E210" s="1" t="s">
        <v>9</v>
      </c>
      <c r="F210" s="1">
        <v>0</v>
      </c>
      <c r="G210" s="1" t="s">
        <v>4372</v>
      </c>
      <c r="H210" s="1" t="s">
        <v>4372</v>
      </c>
      <c r="I210" s="1" t="s">
        <v>4373</v>
      </c>
      <c r="J210" s="1" t="s">
        <v>4673</v>
      </c>
      <c r="K210" s="1" t="s">
        <v>4672</v>
      </c>
    </row>
    <row r="211" spans="1:11" ht="21" x14ac:dyDescent="0.25">
      <c r="A211" s="11" t="str">
        <f>HYPERLINK("https://rth.dk/resources/bsgatlas/details.php?id=BSGatlas-transcript-210","BSGatlas-transcript-210")</f>
        <v>BSGatlas-transcript-210</v>
      </c>
      <c r="B211" s="1" t="s">
        <v>265</v>
      </c>
      <c r="C211" s="3">
        <v>230772</v>
      </c>
      <c r="D211" s="3">
        <v>231118</v>
      </c>
      <c r="E211" s="1" t="s">
        <v>13</v>
      </c>
      <c r="F211" s="1">
        <v>0</v>
      </c>
      <c r="G211" s="1" t="s">
        <v>4372</v>
      </c>
      <c r="H211" s="1" t="s">
        <v>4372</v>
      </c>
      <c r="I211" s="1" t="s">
        <v>4373</v>
      </c>
      <c r="J211" s="1" t="s">
        <v>4674</v>
      </c>
      <c r="K211" s="1" t="s">
        <v>4675</v>
      </c>
    </row>
    <row r="212" spans="1:11" ht="21" x14ac:dyDescent="0.25">
      <c r="A212" s="11" t="str">
        <f>HYPERLINK("https://rth.dk/resources/bsgatlas/details.php?id=BSGatlas-transcript-211","BSGatlas-transcript-211")</f>
        <v>BSGatlas-transcript-211</v>
      </c>
      <c r="B212" s="1" t="s">
        <v>266</v>
      </c>
      <c r="C212" s="3">
        <v>231288</v>
      </c>
      <c r="D212" s="3">
        <v>232967</v>
      </c>
      <c r="E212" s="1" t="s">
        <v>9</v>
      </c>
      <c r="F212" s="1">
        <v>0</v>
      </c>
      <c r="G212" s="1" t="s">
        <v>4372</v>
      </c>
      <c r="H212" s="1" t="s">
        <v>4372</v>
      </c>
      <c r="I212" s="1" t="s">
        <v>4373</v>
      </c>
      <c r="J212" s="1" t="s">
        <v>4676</v>
      </c>
      <c r="K212" s="1" t="s">
        <v>4677</v>
      </c>
    </row>
    <row r="213" spans="1:11" ht="21" x14ac:dyDescent="0.25">
      <c r="A213" s="11" t="str">
        <f>HYPERLINK("https://rth.dk/resources/bsgatlas/details.php?id=BSGatlas-transcript-212","BSGatlas-transcript-212")</f>
        <v>BSGatlas-transcript-212</v>
      </c>
      <c r="B213" s="1" t="s">
        <v>266</v>
      </c>
      <c r="C213" s="3">
        <v>231288</v>
      </c>
      <c r="D213" s="3">
        <v>233018</v>
      </c>
      <c r="E213" s="1" t="s">
        <v>9</v>
      </c>
      <c r="F213" s="1">
        <v>0</v>
      </c>
      <c r="G213" s="1" t="s">
        <v>4372</v>
      </c>
      <c r="H213" s="1" t="s">
        <v>4372</v>
      </c>
      <c r="I213" s="1" t="s">
        <v>4373</v>
      </c>
      <c r="J213" s="1" t="s">
        <v>4676</v>
      </c>
      <c r="K213" s="1" t="s">
        <v>4678</v>
      </c>
    </row>
    <row r="214" spans="1:11" ht="21" x14ac:dyDescent="0.25">
      <c r="A214" s="11" t="str">
        <f>HYPERLINK("https://rth.dk/resources/bsgatlas/details.php?id=BSGatlas-transcript-213","BSGatlas-transcript-213")</f>
        <v>BSGatlas-transcript-213</v>
      </c>
      <c r="B214" s="1" t="s">
        <v>267</v>
      </c>
      <c r="C214" s="3">
        <v>232967</v>
      </c>
      <c r="D214" s="3">
        <v>233928</v>
      </c>
      <c r="E214" s="1" t="s">
        <v>13</v>
      </c>
      <c r="F214" s="1">
        <v>0</v>
      </c>
      <c r="G214" s="1" t="s">
        <v>4372</v>
      </c>
      <c r="H214" s="1" t="s">
        <v>4372</v>
      </c>
      <c r="I214" s="1" t="s">
        <v>4386</v>
      </c>
      <c r="J214" s="1" t="s">
        <v>4679</v>
      </c>
      <c r="K214" s="1" t="s">
        <v>4680</v>
      </c>
    </row>
    <row r="215" spans="1:11" ht="21" x14ac:dyDescent="0.25">
      <c r="A215" s="11" t="str">
        <f>HYPERLINK("https://rth.dk/resources/bsgatlas/details.php?id=BSGatlas-transcript-214","BSGatlas-transcript-214")</f>
        <v>BSGatlas-transcript-214</v>
      </c>
      <c r="B215" s="1" t="s">
        <v>4681</v>
      </c>
      <c r="C215" s="3">
        <v>232967</v>
      </c>
      <c r="D215" s="3">
        <v>235401</v>
      </c>
      <c r="E215" s="1" t="s">
        <v>13</v>
      </c>
      <c r="F215" s="1">
        <v>1</v>
      </c>
      <c r="G215" s="1">
        <v>74</v>
      </c>
      <c r="H215" s="1">
        <v>48</v>
      </c>
      <c r="I215" s="1" t="s">
        <v>4397</v>
      </c>
      <c r="J215" s="1" t="s">
        <v>4682</v>
      </c>
      <c r="K215" s="1" t="s">
        <v>4680</v>
      </c>
    </row>
    <row r="216" spans="1:11" ht="21" x14ac:dyDescent="0.25">
      <c r="A216" s="11" t="str">
        <f>HYPERLINK("https://rth.dk/resources/bsgatlas/details.php?id=BSGatlas-transcript-215","BSGatlas-transcript-215")</f>
        <v>BSGatlas-transcript-215</v>
      </c>
      <c r="B216" s="1" t="s">
        <v>4681</v>
      </c>
      <c r="C216" s="3">
        <v>232967</v>
      </c>
      <c r="D216" s="3">
        <v>235483</v>
      </c>
      <c r="E216" s="1" t="s">
        <v>13</v>
      </c>
      <c r="F216" s="1">
        <v>1</v>
      </c>
      <c r="G216" s="1">
        <v>156</v>
      </c>
      <c r="H216" s="1">
        <v>48</v>
      </c>
      <c r="I216" s="1" t="s">
        <v>4397</v>
      </c>
      <c r="J216" s="1" t="s">
        <v>4683</v>
      </c>
      <c r="K216" s="1" t="s">
        <v>4680</v>
      </c>
    </row>
    <row r="217" spans="1:11" ht="21" x14ac:dyDescent="0.25">
      <c r="A217" s="11" t="str">
        <f>HYPERLINK("https://rth.dk/resources/bsgatlas/details.php?id=BSGatlas-transcript-216","BSGatlas-transcript-216")</f>
        <v>BSGatlas-transcript-216</v>
      </c>
      <c r="B217" s="1" t="s">
        <v>268</v>
      </c>
      <c r="C217" s="3">
        <v>233994</v>
      </c>
      <c r="D217" s="3">
        <v>235401</v>
      </c>
      <c r="E217" s="1" t="s">
        <v>13</v>
      </c>
      <c r="F217" s="1">
        <v>0</v>
      </c>
      <c r="G217" s="1" t="s">
        <v>4372</v>
      </c>
      <c r="H217" s="1" t="s">
        <v>4372</v>
      </c>
      <c r="I217" s="1" t="s">
        <v>4684</v>
      </c>
      <c r="J217" s="1" t="s">
        <v>4682</v>
      </c>
      <c r="K217" s="1" t="s">
        <v>318</v>
      </c>
    </row>
    <row r="218" spans="1:11" ht="21" x14ac:dyDescent="0.25">
      <c r="A218" s="11" t="str">
        <f>HYPERLINK("https://rth.dk/resources/bsgatlas/details.php?id=BSGatlas-transcript-217","BSGatlas-transcript-217")</f>
        <v>BSGatlas-transcript-217</v>
      </c>
      <c r="B218" s="1" t="s">
        <v>268</v>
      </c>
      <c r="C218" s="3">
        <v>233994</v>
      </c>
      <c r="D218" s="3">
        <v>235483</v>
      </c>
      <c r="E218" s="1" t="s">
        <v>13</v>
      </c>
      <c r="F218" s="1">
        <v>0</v>
      </c>
      <c r="G218" s="1" t="s">
        <v>4372</v>
      </c>
      <c r="H218" s="1" t="s">
        <v>4372</v>
      </c>
      <c r="I218" s="1" t="s">
        <v>4684</v>
      </c>
      <c r="J218" s="1" t="s">
        <v>4683</v>
      </c>
      <c r="K218" s="1" t="s">
        <v>318</v>
      </c>
    </row>
    <row r="219" spans="1:11" ht="21" x14ac:dyDescent="0.25">
      <c r="A219" s="11" t="str">
        <f>HYPERLINK("https://rth.dk/resources/bsgatlas/details.php?id=BSGatlas-transcript-218","BSGatlas-transcript-218")</f>
        <v>BSGatlas-transcript-218</v>
      </c>
      <c r="B219" s="1" t="s">
        <v>269</v>
      </c>
      <c r="C219" s="3">
        <v>234998</v>
      </c>
      <c r="D219" s="3">
        <v>235624</v>
      </c>
      <c r="E219" s="1" t="s">
        <v>9</v>
      </c>
      <c r="F219" s="1">
        <v>0</v>
      </c>
      <c r="G219" s="1" t="s">
        <v>4372</v>
      </c>
      <c r="H219" s="1" t="s">
        <v>4372</v>
      </c>
      <c r="I219" s="1" t="s">
        <v>4377</v>
      </c>
      <c r="J219" s="1" t="s">
        <v>4685</v>
      </c>
      <c r="K219" s="1" t="s">
        <v>318</v>
      </c>
    </row>
    <row r="220" spans="1:11" ht="21" x14ac:dyDescent="0.25">
      <c r="A220" s="11" t="str">
        <f>HYPERLINK("https://rth.dk/resources/bsgatlas/details.php?id=BSGatlas-transcript-219","BSGatlas-transcript-219")</f>
        <v>BSGatlas-transcript-219</v>
      </c>
      <c r="B220" s="1" t="s">
        <v>270</v>
      </c>
      <c r="C220" s="3">
        <v>235390</v>
      </c>
      <c r="D220" s="3">
        <v>235481</v>
      </c>
      <c r="E220" s="1" t="s">
        <v>13</v>
      </c>
      <c r="F220" s="1">
        <v>0</v>
      </c>
      <c r="G220" s="1" t="s">
        <v>4372</v>
      </c>
      <c r="H220" s="1" t="s">
        <v>4372</v>
      </c>
      <c r="I220" s="1" t="s">
        <v>4377</v>
      </c>
      <c r="J220" s="1" t="s">
        <v>318</v>
      </c>
      <c r="K220" s="1" t="s">
        <v>4686</v>
      </c>
    </row>
    <row r="221" spans="1:11" ht="21" x14ac:dyDescent="0.25">
      <c r="A221" s="11" t="str">
        <f>HYPERLINK("https://rth.dk/resources/bsgatlas/details.php?id=BSGatlas-transcript-220","BSGatlas-transcript-220")</f>
        <v>BSGatlas-transcript-220</v>
      </c>
      <c r="B221" s="1" t="s">
        <v>4687</v>
      </c>
      <c r="C221" s="3">
        <v>235625</v>
      </c>
      <c r="D221" s="3">
        <v>238129</v>
      </c>
      <c r="E221" s="1" t="s">
        <v>9</v>
      </c>
      <c r="F221" s="1">
        <v>1</v>
      </c>
      <c r="G221" s="1" t="s">
        <v>4372</v>
      </c>
      <c r="H221" s="1" t="s">
        <v>4372</v>
      </c>
      <c r="I221" s="1" t="s">
        <v>4386</v>
      </c>
      <c r="J221" s="1" t="s">
        <v>318</v>
      </c>
      <c r="K221" s="1" t="s">
        <v>4688</v>
      </c>
    </row>
    <row r="222" spans="1:11" ht="21" x14ac:dyDescent="0.25">
      <c r="A222" s="11" t="str">
        <f>HYPERLINK("https://rth.dk/resources/bsgatlas/details.php?id=BSGatlas-transcript-221","BSGatlas-transcript-221")</f>
        <v>BSGatlas-transcript-221</v>
      </c>
      <c r="B222" s="1" t="s">
        <v>4689</v>
      </c>
      <c r="C222" s="3">
        <v>235904</v>
      </c>
      <c r="D222" s="3">
        <v>238129</v>
      </c>
      <c r="E222" s="1" t="s">
        <v>9</v>
      </c>
      <c r="F222" s="1">
        <v>0</v>
      </c>
      <c r="G222" s="1" t="s">
        <v>4372</v>
      </c>
      <c r="H222" s="1" t="s">
        <v>4372</v>
      </c>
      <c r="I222" s="1" t="s">
        <v>4386</v>
      </c>
      <c r="J222" s="1" t="s">
        <v>4690</v>
      </c>
      <c r="K222" s="1" t="s">
        <v>4688</v>
      </c>
    </row>
    <row r="223" spans="1:11" ht="21" x14ac:dyDescent="0.25">
      <c r="A223" s="11" t="str">
        <f>HYPERLINK("https://rth.dk/resources/bsgatlas/details.php?id=BSGatlas-transcript-222","BSGatlas-transcript-222")</f>
        <v>BSGatlas-transcript-222</v>
      </c>
      <c r="B223" s="1" t="s">
        <v>4691</v>
      </c>
      <c r="C223" s="3">
        <v>238164</v>
      </c>
      <c r="D223" s="3">
        <v>238569</v>
      </c>
      <c r="E223" s="1" t="s">
        <v>13</v>
      </c>
      <c r="F223" s="1">
        <v>0</v>
      </c>
      <c r="G223" s="1" t="s">
        <v>4372</v>
      </c>
      <c r="H223" s="1" t="s">
        <v>4372</v>
      </c>
      <c r="I223" s="1" t="s">
        <v>4377</v>
      </c>
      <c r="J223" s="1" t="s">
        <v>4692</v>
      </c>
      <c r="K223" s="1" t="s">
        <v>4693</v>
      </c>
    </row>
    <row r="224" spans="1:11" ht="21" x14ac:dyDescent="0.25">
      <c r="A224" s="11" t="str">
        <f>HYPERLINK("https://rth.dk/resources/bsgatlas/details.php?id=BSGatlas-transcript-223","BSGatlas-transcript-223")</f>
        <v>BSGatlas-transcript-223</v>
      </c>
      <c r="B224" s="1" t="s">
        <v>4694</v>
      </c>
      <c r="C224" s="3">
        <v>238164</v>
      </c>
      <c r="D224" s="3">
        <v>241889</v>
      </c>
      <c r="E224" s="1" t="s">
        <v>13</v>
      </c>
      <c r="F224" s="1">
        <v>2</v>
      </c>
      <c r="G224" s="1">
        <v>48</v>
      </c>
      <c r="H224" s="1" t="s">
        <v>4372</v>
      </c>
      <c r="I224" s="1" t="s">
        <v>4386</v>
      </c>
      <c r="J224" s="1" t="s">
        <v>4695</v>
      </c>
      <c r="K224" s="1" t="s">
        <v>4693</v>
      </c>
    </row>
    <row r="225" spans="1:11" ht="21" x14ac:dyDescent="0.25">
      <c r="A225" s="11" t="str">
        <f>HYPERLINK("https://rth.dk/resources/bsgatlas/details.php?id=BSGatlas-transcript-224","BSGatlas-transcript-224")</f>
        <v>BSGatlas-transcript-224</v>
      </c>
      <c r="B225" s="1" t="s">
        <v>4696</v>
      </c>
      <c r="C225" s="3">
        <v>241917</v>
      </c>
      <c r="D225" s="3">
        <v>243695</v>
      </c>
      <c r="E225" s="1" t="s">
        <v>13</v>
      </c>
      <c r="F225" s="1">
        <v>0</v>
      </c>
      <c r="G225" s="1" t="s">
        <v>4372</v>
      </c>
      <c r="H225" s="1" t="s">
        <v>4372</v>
      </c>
      <c r="I225" s="1" t="s">
        <v>4386</v>
      </c>
      <c r="J225" s="1" t="s">
        <v>4697</v>
      </c>
      <c r="K225" s="1" t="s">
        <v>318</v>
      </c>
    </row>
    <row r="226" spans="1:11" ht="21" x14ac:dyDescent="0.25">
      <c r="A226" s="11" t="str">
        <f>HYPERLINK("https://rth.dk/resources/bsgatlas/details.php?id=BSGatlas-transcript-225","BSGatlas-transcript-225")</f>
        <v>BSGatlas-transcript-225</v>
      </c>
      <c r="B226" s="1" t="s">
        <v>281</v>
      </c>
      <c r="C226" s="3">
        <v>243871</v>
      </c>
      <c r="D226" s="3">
        <v>245095</v>
      </c>
      <c r="E226" s="1" t="s">
        <v>9</v>
      </c>
      <c r="F226" s="1">
        <v>0</v>
      </c>
      <c r="G226" s="1" t="s">
        <v>4372</v>
      </c>
      <c r="H226" s="1" t="s">
        <v>4372</v>
      </c>
      <c r="I226" s="1" t="s">
        <v>4373</v>
      </c>
      <c r="J226" s="1" t="s">
        <v>4698</v>
      </c>
      <c r="K226" s="1" t="s">
        <v>4699</v>
      </c>
    </row>
    <row r="227" spans="1:11" ht="21" x14ac:dyDescent="0.25">
      <c r="A227" s="11" t="str">
        <f>HYPERLINK("https://rth.dk/resources/bsgatlas/details.php?id=BSGatlas-transcript-226","BSGatlas-transcript-226")</f>
        <v>BSGatlas-transcript-226</v>
      </c>
      <c r="B227" s="1" t="s">
        <v>282</v>
      </c>
      <c r="C227" s="3">
        <v>245121</v>
      </c>
      <c r="D227" s="3">
        <v>246131</v>
      </c>
      <c r="E227" s="1" t="s">
        <v>9</v>
      </c>
      <c r="F227" s="1">
        <v>0</v>
      </c>
      <c r="G227" s="1" t="s">
        <v>4372</v>
      </c>
      <c r="H227" s="1" t="s">
        <v>4372</v>
      </c>
      <c r="I227" s="1" t="s">
        <v>4547</v>
      </c>
      <c r="J227" s="1" t="s">
        <v>4700</v>
      </c>
      <c r="K227" s="1" t="s">
        <v>318</v>
      </c>
    </row>
    <row r="228" spans="1:11" ht="21" x14ac:dyDescent="0.25">
      <c r="A228" s="11" t="str">
        <f>HYPERLINK("https://rth.dk/resources/bsgatlas/details.php?id=BSGatlas-transcript-227","BSGatlas-transcript-227")</f>
        <v>BSGatlas-transcript-227</v>
      </c>
      <c r="B228" s="1" t="s">
        <v>4701</v>
      </c>
      <c r="C228" s="3">
        <v>245121</v>
      </c>
      <c r="D228" s="3">
        <v>246492</v>
      </c>
      <c r="E228" s="1" t="s">
        <v>9</v>
      </c>
      <c r="F228" s="1">
        <v>0</v>
      </c>
      <c r="G228" s="1" t="s">
        <v>4372</v>
      </c>
      <c r="H228" s="1" t="s">
        <v>4372</v>
      </c>
      <c r="I228" s="1" t="s">
        <v>4386</v>
      </c>
      <c r="J228" s="1" t="s">
        <v>4700</v>
      </c>
      <c r="K228" s="1" t="s">
        <v>4702</v>
      </c>
    </row>
    <row r="229" spans="1:11" ht="21" x14ac:dyDescent="0.25">
      <c r="A229" s="11" t="str">
        <f>HYPERLINK("https://rth.dk/resources/bsgatlas/details.php?id=BSGatlas-transcript-228","BSGatlas-transcript-228")</f>
        <v>BSGatlas-transcript-228</v>
      </c>
      <c r="B229" s="1" t="s">
        <v>282</v>
      </c>
      <c r="C229" s="3">
        <v>245190</v>
      </c>
      <c r="D229" s="3">
        <v>246131</v>
      </c>
      <c r="E229" s="1" t="s">
        <v>9</v>
      </c>
      <c r="F229" s="1">
        <v>0</v>
      </c>
      <c r="G229" s="1" t="s">
        <v>4372</v>
      </c>
      <c r="H229" s="1" t="s">
        <v>4372</v>
      </c>
      <c r="I229" s="1" t="s">
        <v>4547</v>
      </c>
      <c r="J229" s="1" t="s">
        <v>4703</v>
      </c>
      <c r="K229" s="1" t="s">
        <v>318</v>
      </c>
    </row>
    <row r="230" spans="1:11" ht="21" x14ac:dyDescent="0.25">
      <c r="A230" s="11" t="str">
        <f>HYPERLINK("https://rth.dk/resources/bsgatlas/details.php?id=BSGatlas-transcript-229","BSGatlas-transcript-229")</f>
        <v>BSGatlas-transcript-229</v>
      </c>
      <c r="B230" s="1" t="s">
        <v>4701</v>
      </c>
      <c r="C230" s="3">
        <v>245190</v>
      </c>
      <c r="D230" s="3">
        <v>246492</v>
      </c>
      <c r="E230" s="1" t="s">
        <v>9</v>
      </c>
      <c r="F230" s="1">
        <v>0</v>
      </c>
      <c r="G230" s="1" t="s">
        <v>4372</v>
      </c>
      <c r="H230" s="1" t="s">
        <v>4372</v>
      </c>
      <c r="I230" s="1" t="s">
        <v>4386</v>
      </c>
      <c r="J230" s="1" t="s">
        <v>4703</v>
      </c>
      <c r="K230" s="1" t="s">
        <v>4702</v>
      </c>
    </row>
    <row r="231" spans="1:11" ht="21" x14ac:dyDescent="0.25">
      <c r="A231" s="11" t="str">
        <f>HYPERLINK("https://rth.dk/resources/bsgatlas/details.php?id=BSGatlas-transcript-230","BSGatlas-transcript-230")</f>
        <v>BSGatlas-transcript-230</v>
      </c>
      <c r="B231" s="1" t="s">
        <v>4704</v>
      </c>
      <c r="C231" s="3">
        <v>246583</v>
      </c>
      <c r="D231" s="3">
        <v>249540</v>
      </c>
      <c r="E231" s="1" t="s">
        <v>9</v>
      </c>
      <c r="F231" s="1">
        <v>1</v>
      </c>
      <c r="G231" s="1">
        <v>76</v>
      </c>
      <c r="H231" s="1" t="s">
        <v>4372</v>
      </c>
      <c r="I231" s="1" t="s">
        <v>4386</v>
      </c>
      <c r="J231" s="1" t="s">
        <v>4705</v>
      </c>
      <c r="K231" s="1" t="s">
        <v>4706</v>
      </c>
    </row>
    <row r="232" spans="1:11" ht="21" x14ac:dyDescent="0.25">
      <c r="A232" s="11" t="str">
        <f>HYPERLINK("https://rth.dk/resources/bsgatlas/details.php?id=BSGatlas-transcript-231","BSGatlas-transcript-231")</f>
        <v>BSGatlas-transcript-231</v>
      </c>
      <c r="B232" s="1" t="s">
        <v>4704</v>
      </c>
      <c r="C232" s="3">
        <v>246583</v>
      </c>
      <c r="D232" s="3">
        <v>249585</v>
      </c>
      <c r="E232" s="1" t="s">
        <v>9</v>
      </c>
      <c r="F232" s="1">
        <v>1</v>
      </c>
      <c r="G232" s="1">
        <v>76</v>
      </c>
      <c r="H232" s="1">
        <v>46</v>
      </c>
      <c r="I232" s="1" t="s">
        <v>4386</v>
      </c>
      <c r="J232" s="1" t="s">
        <v>4705</v>
      </c>
      <c r="K232" s="1" t="s">
        <v>4707</v>
      </c>
    </row>
    <row r="233" spans="1:11" ht="21" x14ac:dyDescent="0.25">
      <c r="A233" s="11" t="str">
        <f>HYPERLINK("https://rth.dk/resources/bsgatlas/details.php?id=BSGatlas-transcript-232","BSGatlas-transcript-232")</f>
        <v>BSGatlas-transcript-232</v>
      </c>
      <c r="B233" s="1" t="s">
        <v>4704</v>
      </c>
      <c r="C233" s="3">
        <v>246658</v>
      </c>
      <c r="D233" s="3">
        <v>249540</v>
      </c>
      <c r="E233" s="1" t="s">
        <v>9</v>
      </c>
      <c r="F233" s="1">
        <v>1</v>
      </c>
      <c r="G233" s="1" t="s">
        <v>4372</v>
      </c>
      <c r="H233" s="1" t="s">
        <v>4372</v>
      </c>
      <c r="I233" s="1" t="s">
        <v>4386</v>
      </c>
      <c r="J233" s="1" t="s">
        <v>4708</v>
      </c>
      <c r="K233" s="1" t="s">
        <v>4706</v>
      </c>
    </row>
    <row r="234" spans="1:11" ht="21" x14ac:dyDescent="0.25">
      <c r="A234" s="11" t="str">
        <f>HYPERLINK("https://rth.dk/resources/bsgatlas/details.php?id=BSGatlas-transcript-233","BSGatlas-transcript-233")</f>
        <v>BSGatlas-transcript-233</v>
      </c>
      <c r="B234" s="1" t="s">
        <v>4704</v>
      </c>
      <c r="C234" s="3">
        <v>246658</v>
      </c>
      <c r="D234" s="3">
        <v>249585</v>
      </c>
      <c r="E234" s="1" t="s">
        <v>9</v>
      </c>
      <c r="F234" s="1">
        <v>1</v>
      </c>
      <c r="G234" s="1" t="s">
        <v>4372</v>
      </c>
      <c r="H234" s="1">
        <v>46</v>
      </c>
      <c r="I234" s="1" t="s">
        <v>4386</v>
      </c>
      <c r="J234" s="1" t="s">
        <v>4708</v>
      </c>
      <c r="K234" s="1" t="s">
        <v>4707</v>
      </c>
    </row>
    <row r="235" spans="1:11" ht="21" x14ac:dyDescent="0.25">
      <c r="A235" s="11" t="str">
        <f>HYPERLINK("https://rth.dk/resources/bsgatlas/details.php?id=BSGatlas-transcript-234","BSGatlas-transcript-234")</f>
        <v>BSGatlas-transcript-234</v>
      </c>
      <c r="B235" s="1" t="s">
        <v>4709</v>
      </c>
      <c r="C235" s="3">
        <v>247711</v>
      </c>
      <c r="D235" s="3">
        <v>249540</v>
      </c>
      <c r="E235" s="1" t="s">
        <v>9</v>
      </c>
      <c r="F235" s="1">
        <v>0</v>
      </c>
      <c r="G235" s="1" t="s">
        <v>4372</v>
      </c>
      <c r="H235" s="1" t="s">
        <v>4372</v>
      </c>
      <c r="I235" s="1" t="s">
        <v>4382</v>
      </c>
      <c r="J235" s="1" t="s">
        <v>4710</v>
      </c>
      <c r="K235" s="1" t="s">
        <v>4706</v>
      </c>
    </row>
    <row r="236" spans="1:11" ht="21" x14ac:dyDescent="0.25">
      <c r="A236" s="11" t="str">
        <f>HYPERLINK("https://rth.dk/resources/bsgatlas/details.php?id=BSGatlas-transcript-235","BSGatlas-transcript-235")</f>
        <v>BSGatlas-transcript-235</v>
      </c>
      <c r="B236" s="1" t="s">
        <v>4709</v>
      </c>
      <c r="C236" s="3">
        <v>247711</v>
      </c>
      <c r="D236" s="3">
        <v>249585</v>
      </c>
      <c r="E236" s="1" t="s">
        <v>9</v>
      </c>
      <c r="F236" s="1">
        <v>0</v>
      </c>
      <c r="G236" s="1" t="s">
        <v>4372</v>
      </c>
      <c r="H236" s="1" t="s">
        <v>4372</v>
      </c>
      <c r="I236" s="1" t="s">
        <v>4382</v>
      </c>
      <c r="J236" s="1" t="s">
        <v>4710</v>
      </c>
      <c r="K236" s="1" t="s">
        <v>4707</v>
      </c>
    </row>
    <row r="237" spans="1:11" ht="21" x14ac:dyDescent="0.25">
      <c r="A237" s="11" t="str">
        <f>HYPERLINK("https://rth.dk/resources/bsgatlas/details.php?id=BSGatlas-transcript-236","BSGatlas-transcript-236")</f>
        <v>BSGatlas-transcript-236</v>
      </c>
      <c r="B237" s="1" t="s">
        <v>288</v>
      </c>
      <c r="C237" s="3">
        <v>249934</v>
      </c>
      <c r="D237" s="3">
        <v>251361</v>
      </c>
      <c r="E237" s="1" t="s">
        <v>9</v>
      </c>
      <c r="F237" s="1">
        <v>0</v>
      </c>
      <c r="G237" s="1" t="s">
        <v>4372</v>
      </c>
      <c r="H237" s="1" t="s">
        <v>4372</v>
      </c>
      <c r="I237" s="1" t="s">
        <v>4373</v>
      </c>
      <c r="J237" s="1" t="s">
        <v>4711</v>
      </c>
      <c r="K237" s="1" t="s">
        <v>4712</v>
      </c>
    </row>
    <row r="238" spans="1:11" ht="21" x14ac:dyDescent="0.25">
      <c r="A238" s="11" t="str">
        <f>HYPERLINK("https://rth.dk/resources/bsgatlas/details.php?id=BSGatlas-transcript-237","BSGatlas-transcript-237")</f>
        <v>BSGatlas-transcript-237</v>
      </c>
      <c r="B238" s="1" t="s">
        <v>4713</v>
      </c>
      <c r="C238" s="3">
        <v>249934</v>
      </c>
      <c r="D238" s="3">
        <v>252314</v>
      </c>
      <c r="E238" s="1" t="s">
        <v>9</v>
      </c>
      <c r="F238" s="1">
        <v>1</v>
      </c>
      <c r="G238" s="1">
        <v>46</v>
      </c>
      <c r="H238" s="1" t="s">
        <v>4372</v>
      </c>
      <c r="I238" s="1" t="s">
        <v>4386</v>
      </c>
      <c r="J238" s="1" t="s">
        <v>4711</v>
      </c>
      <c r="K238" s="1" t="s">
        <v>318</v>
      </c>
    </row>
    <row r="239" spans="1:11" ht="21" x14ac:dyDescent="0.25">
      <c r="A239" s="11" t="str">
        <f>HYPERLINK("https://rth.dk/resources/bsgatlas/details.php?id=BSGatlas-transcript-238","BSGatlas-transcript-238")</f>
        <v>BSGatlas-transcript-238</v>
      </c>
      <c r="B239" s="1" t="s">
        <v>4714</v>
      </c>
      <c r="C239" s="3">
        <v>249934</v>
      </c>
      <c r="D239" s="3">
        <v>253501</v>
      </c>
      <c r="E239" s="1" t="s">
        <v>9</v>
      </c>
      <c r="F239" s="1">
        <v>2</v>
      </c>
      <c r="G239" s="1">
        <v>46</v>
      </c>
      <c r="H239" s="1">
        <v>20</v>
      </c>
      <c r="I239" s="1" t="s">
        <v>4386</v>
      </c>
      <c r="J239" s="1" t="s">
        <v>4711</v>
      </c>
      <c r="K239" s="1" t="s">
        <v>4715</v>
      </c>
    </row>
    <row r="240" spans="1:11" ht="21" x14ac:dyDescent="0.25">
      <c r="A240" s="11" t="str">
        <f>HYPERLINK("https://rth.dk/resources/bsgatlas/details.php?id=BSGatlas-transcript-239","BSGatlas-transcript-239")</f>
        <v>BSGatlas-transcript-239</v>
      </c>
      <c r="B240" s="1" t="s">
        <v>4716</v>
      </c>
      <c r="C240" s="3">
        <v>251385</v>
      </c>
      <c r="D240" s="3">
        <v>253501</v>
      </c>
      <c r="E240" s="1" t="s">
        <v>9</v>
      </c>
      <c r="F240" s="1">
        <v>1</v>
      </c>
      <c r="G240" s="1">
        <v>43</v>
      </c>
      <c r="H240" s="1">
        <v>20</v>
      </c>
      <c r="I240" s="1" t="s">
        <v>4377</v>
      </c>
      <c r="J240" s="1" t="s">
        <v>4717</v>
      </c>
      <c r="K240" s="1" t="s">
        <v>4715</v>
      </c>
    </row>
    <row r="241" spans="1:11" ht="21" x14ac:dyDescent="0.25">
      <c r="A241" s="11" t="str">
        <f>HYPERLINK("https://rth.dk/resources/bsgatlas/details.php?id=BSGatlas-transcript-240","BSGatlas-transcript-240")</f>
        <v>BSGatlas-transcript-240</v>
      </c>
      <c r="B241" s="1" t="s">
        <v>290</v>
      </c>
      <c r="C241" s="3">
        <v>252460</v>
      </c>
      <c r="D241" s="3">
        <v>253501</v>
      </c>
      <c r="E241" s="1" t="s">
        <v>9</v>
      </c>
      <c r="F241" s="1">
        <v>0</v>
      </c>
      <c r="G241" s="1" t="s">
        <v>4372</v>
      </c>
      <c r="H241" s="1" t="s">
        <v>4372</v>
      </c>
      <c r="I241" s="1" t="s">
        <v>4377</v>
      </c>
      <c r="J241" s="1" t="s">
        <v>4718</v>
      </c>
      <c r="K241" s="1" t="s">
        <v>4715</v>
      </c>
    </row>
    <row r="242" spans="1:11" ht="21" x14ac:dyDescent="0.25">
      <c r="A242" s="11" t="str">
        <f>HYPERLINK("https://rth.dk/resources/bsgatlas/details.php?id=BSGatlas-transcript-241","BSGatlas-transcript-241")</f>
        <v>BSGatlas-transcript-241</v>
      </c>
      <c r="B242" s="1" t="s">
        <v>291</v>
      </c>
      <c r="C242" s="3">
        <v>253496</v>
      </c>
      <c r="D242" s="3">
        <v>254805</v>
      </c>
      <c r="E242" s="1" t="s">
        <v>13</v>
      </c>
      <c r="F242" s="1">
        <v>0</v>
      </c>
      <c r="G242" s="1" t="s">
        <v>4372</v>
      </c>
      <c r="H242" s="1" t="s">
        <v>4372</v>
      </c>
      <c r="I242" s="1" t="s">
        <v>4386</v>
      </c>
      <c r="J242" s="1" t="s">
        <v>4719</v>
      </c>
      <c r="K242" s="1" t="s">
        <v>4720</v>
      </c>
    </row>
    <row r="243" spans="1:11" ht="21" x14ac:dyDescent="0.25">
      <c r="A243" s="11" t="str">
        <f>HYPERLINK("https://rth.dk/resources/bsgatlas/details.php?id=BSGatlas-transcript-242","BSGatlas-transcript-242")</f>
        <v>BSGatlas-transcript-242</v>
      </c>
      <c r="B243" s="1" t="s">
        <v>291</v>
      </c>
      <c r="C243" s="3">
        <v>253496</v>
      </c>
      <c r="D243" s="3">
        <v>254849</v>
      </c>
      <c r="E243" s="1" t="s">
        <v>13</v>
      </c>
      <c r="F243" s="1">
        <v>0</v>
      </c>
      <c r="G243" s="1" t="s">
        <v>4372</v>
      </c>
      <c r="H243" s="1" t="s">
        <v>4372</v>
      </c>
      <c r="I243" s="1" t="s">
        <v>4386</v>
      </c>
      <c r="J243" s="1" t="s">
        <v>4721</v>
      </c>
      <c r="K243" s="1" t="s">
        <v>4720</v>
      </c>
    </row>
    <row r="244" spans="1:11" ht="21" x14ac:dyDescent="0.25">
      <c r="A244" s="11" t="str">
        <f>HYPERLINK("https://rth.dk/resources/bsgatlas/details.php?id=BSGatlas-transcript-243","BSGatlas-transcript-243")</f>
        <v>BSGatlas-transcript-243</v>
      </c>
      <c r="B244" s="1" t="s">
        <v>4722</v>
      </c>
      <c r="C244" s="3">
        <v>254907</v>
      </c>
      <c r="D244" s="3">
        <v>257635</v>
      </c>
      <c r="E244" s="1" t="s">
        <v>13</v>
      </c>
      <c r="F244" s="1">
        <v>1</v>
      </c>
      <c r="G244" s="1">
        <v>64</v>
      </c>
      <c r="H244" s="1" t="s">
        <v>4372</v>
      </c>
      <c r="I244" s="1" t="s">
        <v>4397</v>
      </c>
      <c r="J244" s="1" t="s">
        <v>4723</v>
      </c>
      <c r="K244" s="1" t="s">
        <v>4724</v>
      </c>
    </row>
    <row r="245" spans="1:11" ht="21" x14ac:dyDescent="0.25">
      <c r="A245" s="11" t="str">
        <f>HYPERLINK("https://rth.dk/resources/bsgatlas/details.php?id=BSGatlas-transcript-244","BSGatlas-transcript-244")</f>
        <v>BSGatlas-transcript-244</v>
      </c>
      <c r="B245" s="1" t="s">
        <v>4722</v>
      </c>
      <c r="C245" s="3">
        <v>254907</v>
      </c>
      <c r="D245" s="3">
        <v>258596</v>
      </c>
      <c r="E245" s="1" t="s">
        <v>13</v>
      </c>
      <c r="F245" s="1">
        <v>1</v>
      </c>
      <c r="G245" s="1">
        <v>1025</v>
      </c>
      <c r="H245" s="1" t="s">
        <v>4372</v>
      </c>
      <c r="I245" s="1" t="s">
        <v>4397</v>
      </c>
      <c r="J245" s="1" t="s">
        <v>4725</v>
      </c>
      <c r="K245" s="1" t="s">
        <v>4724</v>
      </c>
    </row>
    <row r="246" spans="1:11" ht="21" x14ac:dyDescent="0.25">
      <c r="A246" s="11" t="str">
        <f>HYPERLINK("https://rth.dk/resources/bsgatlas/details.php?id=BSGatlas-transcript-245","BSGatlas-transcript-245")</f>
        <v>BSGatlas-transcript-245</v>
      </c>
      <c r="B246" s="1" t="s">
        <v>4726</v>
      </c>
      <c r="C246" s="3">
        <v>256685</v>
      </c>
      <c r="D246" s="3">
        <v>258849</v>
      </c>
      <c r="E246" s="1" t="s">
        <v>9</v>
      </c>
      <c r="F246" s="1">
        <v>1</v>
      </c>
      <c r="G246" s="1">
        <v>1107</v>
      </c>
      <c r="H246" s="1">
        <v>43</v>
      </c>
      <c r="I246" s="1" t="s">
        <v>4397</v>
      </c>
      <c r="J246" s="1" t="s">
        <v>4727</v>
      </c>
      <c r="K246" s="1" t="s">
        <v>4728</v>
      </c>
    </row>
    <row r="247" spans="1:11" ht="21" x14ac:dyDescent="0.25">
      <c r="A247" s="11" t="str">
        <f>HYPERLINK("https://rth.dk/resources/bsgatlas/details.php?id=BSGatlas-transcript-246","BSGatlas-transcript-246")</f>
        <v>BSGatlas-transcript-246</v>
      </c>
      <c r="B247" s="1" t="s">
        <v>4726</v>
      </c>
      <c r="C247" s="3">
        <v>257545</v>
      </c>
      <c r="D247" s="3">
        <v>258849</v>
      </c>
      <c r="E247" s="1" t="s">
        <v>9</v>
      </c>
      <c r="F247" s="1">
        <v>1</v>
      </c>
      <c r="G247" s="1">
        <v>247</v>
      </c>
      <c r="H247" s="1">
        <v>43</v>
      </c>
      <c r="I247" s="1" t="s">
        <v>4397</v>
      </c>
      <c r="J247" s="1" t="s">
        <v>4729</v>
      </c>
      <c r="K247" s="1" t="s">
        <v>4728</v>
      </c>
    </row>
    <row r="248" spans="1:11" ht="21" x14ac:dyDescent="0.25">
      <c r="A248" s="11" t="str">
        <f>HYPERLINK("https://rth.dk/resources/bsgatlas/details.php?id=BSGatlas-transcript-247","BSGatlas-transcript-247")</f>
        <v>BSGatlas-transcript-247</v>
      </c>
      <c r="B248" s="1" t="s">
        <v>4726</v>
      </c>
      <c r="C248" s="3">
        <v>257750</v>
      </c>
      <c r="D248" s="3">
        <v>258849</v>
      </c>
      <c r="E248" s="1" t="s">
        <v>9</v>
      </c>
      <c r="F248" s="1">
        <v>1</v>
      </c>
      <c r="G248" s="1">
        <v>42</v>
      </c>
      <c r="H248" s="1">
        <v>43</v>
      </c>
      <c r="I248" s="1" t="s">
        <v>4397</v>
      </c>
      <c r="J248" s="1" t="s">
        <v>4730</v>
      </c>
      <c r="K248" s="1" t="s">
        <v>4728</v>
      </c>
    </row>
    <row r="249" spans="1:11" ht="21" x14ac:dyDescent="0.25">
      <c r="A249" s="11" t="str">
        <f>HYPERLINK("https://rth.dk/resources/bsgatlas/details.php?id=BSGatlas-transcript-248","BSGatlas-transcript-248")</f>
        <v>BSGatlas-transcript-248</v>
      </c>
      <c r="B249" s="1" t="s">
        <v>295</v>
      </c>
      <c r="C249" s="3">
        <v>258492</v>
      </c>
      <c r="D249" s="3">
        <v>258849</v>
      </c>
      <c r="E249" s="1" t="s">
        <v>9</v>
      </c>
      <c r="F249" s="1">
        <v>0</v>
      </c>
      <c r="G249" s="1" t="s">
        <v>4372</v>
      </c>
      <c r="H249" s="1" t="s">
        <v>4372</v>
      </c>
      <c r="I249" s="1" t="s">
        <v>4373</v>
      </c>
      <c r="J249" s="1" t="s">
        <v>4731</v>
      </c>
      <c r="K249" s="1" t="s">
        <v>4728</v>
      </c>
    </row>
    <row r="250" spans="1:11" ht="21" x14ac:dyDescent="0.25">
      <c r="A250" s="11" t="str">
        <f>HYPERLINK("https://rth.dk/resources/bsgatlas/details.php?id=BSGatlas-transcript-249","BSGatlas-transcript-249")</f>
        <v>BSGatlas-transcript-249</v>
      </c>
      <c r="B250" s="1" t="s">
        <v>296</v>
      </c>
      <c r="C250" s="3">
        <v>258889</v>
      </c>
      <c r="D250" s="3">
        <v>260134</v>
      </c>
      <c r="E250" s="1" t="s">
        <v>9</v>
      </c>
      <c r="F250" s="1">
        <v>0</v>
      </c>
      <c r="G250" s="1" t="s">
        <v>4372</v>
      </c>
      <c r="H250" s="1" t="s">
        <v>4372</v>
      </c>
      <c r="I250" s="1" t="s">
        <v>4373</v>
      </c>
      <c r="J250" s="1" t="s">
        <v>4732</v>
      </c>
      <c r="K250" s="1" t="s">
        <v>4733</v>
      </c>
    </row>
    <row r="251" spans="1:11" ht="21" x14ac:dyDescent="0.25">
      <c r="A251" s="11" t="str">
        <f>HYPERLINK("https://rth.dk/resources/bsgatlas/details.php?id=BSGatlas-transcript-250","BSGatlas-transcript-250")</f>
        <v>BSGatlas-transcript-250</v>
      </c>
      <c r="B251" s="1" t="s">
        <v>297</v>
      </c>
      <c r="C251" s="3">
        <v>260123</v>
      </c>
      <c r="D251" s="3">
        <v>261647</v>
      </c>
      <c r="E251" s="1" t="s">
        <v>13</v>
      </c>
      <c r="F251" s="1">
        <v>0</v>
      </c>
      <c r="G251" s="1" t="s">
        <v>4372</v>
      </c>
      <c r="H251" s="1" t="s">
        <v>4372</v>
      </c>
      <c r="I251" s="1" t="s">
        <v>4386</v>
      </c>
      <c r="J251" s="1" t="s">
        <v>4734</v>
      </c>
      <c r="K251" s="1" t="s">
        <v>4735</v>
      </c>
    </row>
    <row r="252" spans="1:11" ht="21" x14ac:dyDescent="0.25">
      <c r="A252" s="11" t="str">
        <f>HYPERLINK("https://rth.dk/resources/bsgatlas/details.php?id=BSGatlas-transcript-251","BSGatlas-transcript-251")</f>
        <v>BSGatlas-transcript-251</v>
      </c>
      <c r="B252" s="1" t="s">
        <v>4736</v>
      </c>
      <c r="C252" s="3">
        <v>260123</v>
      </c>
      <c r="D252" s="3">
        <v>262658</v>
      </c>
      <c r="E252" s="1" t="s">
        <v>13</v>
      </c>
      <c r="F252" s="1">
        <v>1</v>
      </c>
      <c r="G252" s="1">
        <v>56</v>
      </c>
      <c r="H252" s="1" t="s">
        <v>4372</v>
      </c>
      <c r="I252" s="1" t="s">
        <v>4386</v>
      </c>
      <c r="J252" s="1" t="s">
        <v>4737</v>
      </c>
      <c r="K252" s="1" t="s">
        <v>4735</v>
      </c>
    </row>
    <row r="253" spans="1:11" ht="21" x14ac:dyDescent="0.25">
      <c r="A253" s="11" t="str">
        <f>HYPERLINK("https://rth.dk/resources/bsgatlas/details.php?id=BSGatlas-transcript-252","BSGatlas-transcript-252")</f>
        <v>BSGatlas-transcript-252</v>
      </c>
      <c r="B253" s="1" t="s">
        <v>298</v>
      </c>
      <c r="C253" s="3">
        <v>261568</v>
      </c>
      <c r="D253" s="3">
        <v>262658</v>
      </c>
      <c r="E253" s="1" t="s">
        <v>13</v>
      </c>
      <c r="F253" s="1">
        <v>0</v>
      </c>
      <c r="G253" s="1" t="s">
        <v>4372</v>
      </c>
      <c r="H253" s="1" t="s">
        <v>4372</v>
      </c>
      <c r="I253" s="1" t="s">
        <v>4373</v>
      </c>
      <c r="J253" s="1" t="s">
        <v>4737</v>
      </c>
      <c r="K253" s="1" t="s">
        <v>4738</v>
      </c>
    </row>
    <row r="254" spans="1:11" ht="21" x14ac:dyDescent="0.25">
      <c r="A254" s="11" t="str">
        <f>HYPERLINK("https://rth.dk/resources/bsgatlas/details.php?id=BSGatlas-transcript-253","BSGatlas-transcript-253")</f>
        <v>BSGatlas-transcript-253</v>
      </c>
      <c r="B254" s="1" t="s">
        <v>4739</v>
      </c>
      <c r="C254" s="3">
        <v>262684</v>
      </c>
      <c r="D254" s="3">
        <v>265269</v>
      </c>
      <c r="E254" s="1" t="s">
        <v>13</v>
      </c>
      <c r="F254" s="1">
        <v>1</v>
      </c>
      <c r="G254" s="1">
        <v>96</v>
      </c>
      <c r="H254" s="1">
        <v>49</v>
      </c>
      <c r="I254" s="1" t="s">
        <v>4373</v>
      </c>
      <c r="J254" s="1" t="s">
        <v>4740</v>
      </c>
      <c r="K254" s="1" t="s">
        <v>4741</v>
      </c>
    </row>
    <row r="255" spans="1:11" ht="21" x14ac:dyDescent="0.25">
      <c r="A255" s="11" t="str">
        <f>HYPERLINK("https://rth.dk/resources/bsgatlas/details.php?id=BSGatlas-transcript-254","BSGatlas-transcript-254")</f>
        <v>BSGatlas-transcript-254</v>
      </c>
      <c r="B255" s="1" t="s">
        <v>4742</v>
      </c>
      <c r="C255" s="3">
        <v>265279</v>
      </c>
      <c r="D255" s="3">
        <v>267663</v>
      </c>
      <c r="E255" s="1" t="s">
        <v>9</v>
      </c>
      <c r="F255" s="1">
        <v>0</v>
      </c>
      <c r="G255" s="1" t="s">
        <v>4372</v>
      </c>
      <c r="H255" s="1" t="s">
        <v>4372</v>
      </c>
      <c r="I255" s="1" t="s">
        <v>4386</v>
      </c>
      <c r="J255" s="1" t="s">
        <v>4743</v>
      </c>
      <c r="K255" s="1" t="s">
        <v>4744</v>
      </c>
    </row>
    <row r="256" spans="1:11" ht="21" x14ac:dyDescent="0.25">
      <c r="A256" s="11" t="str">
        <f>HYPERLINK("https://rth.dk/resources/bsgatlas/details.php?id=BSGatlas-transcript-255","BSGatlas-transcript-255")</f>
        <v>BSGatlas-transcript-255</v>
      </c>
      <c r="B256" s="1" t="s">
        <v>4745</v>
      </c>
      <c r="C256" s="3">
        <v>267772</v>
      </c>
      <c r="D256" s="3">
        <v>273954</v>
      </c>
      <c r="E256" s="1" t="s">
        <v>9</v>
      </c>
      <c r="F256" s="1">
        <v>4</v>
      </c>
      <c r="G256" s="1">
        <v>119</v>
      </c>
      <c r="H256" s="1">
        <v>17</v>
      </c>
      <c r="I256" s="1" t="s">
        <v>4377</v>
      </c>
      <c r="J256" s="1" t="s">
        <v>4746</v>
      </c>
      <c r="K256" s="1" t="s">
        <v>4747</v>
      </c>
    </row>
    <row r="257" spans="1:11" ht="21" x14ac:dyDescent="0.25">
      <c r="A257" s="11" t="str">
        <f>HYPERLINK("https://rth.dk/resources/bsgatlas/details.php?id=BSGatlas-transcript-256","BSGatlas-transcript-256")</f>
        <v>BSGatlas-transcript-256</v>
      </c>
      <c r="B257" s="1" t="s">
        <v>4748</v>
      </c>
      <c r="C257" s="3">
        <v>267772</v>
      </c>
      <c r="D257" s="3">
        <v>276758</v>
      </c>
      <c r="E257" s="1" t="s">
        <v>9</v>
      </c>
      <c r="F257" s="1">
        <v>7</v>
      </c>
      <c r="G257" s="1">
        <v>119</v>
      </c>
      <c r="H257" s="1" t="s">
        <v>4372</v>
      </c>
      <c r="I257" s="1" t="s">
        <v>4373</v>
      </c>
      <c r="J257" s="1" t="s">
        <v>4746</v>
      </c>
      <c r="K257" s="1" t="s">
        <v>318</v>
      </c>
    </row>
    <row r="258" spans="1:11" ht="21" x14ac:dyDescent="0.25">
      <c r="A258" s="11" t="str">
        <f>HYPERLINK("https://rth.dk/resources/bsgatlas/details.php?id=BSGatlas-transcript-257","BSGatlas-transcript-257")</f>
        <v>BSGatlas-transcript-257</v>
      </c>
      <c r="B258" s="1" t="s">
        <v>307</v>
      </c>
      <c r="C258" s="3">
        <v>273206</v>
      </c>
      <c r="D258" s="3">
        <v>273954</v>
      </c>
      <c r="E258" s="1" t="s">
        <v>9</v>
      </c>
      <c r="F258" s="1">
        <v>0</v>
      </c>
      <c r="G258" s="1" t="s">
        <v>4372</v>
      </c>
      <c r="H258" s="1" t="s">
        <v>4372</v>
      </c>
      <c r="I258" s="1" t="s">
        <v>4377</v>
      </c>
      <c r="J258" s="1" t="s">
        <v>4749</v>
      </c>
      <c r="K258" s="1" t="s">
        <v>4747</v>
      </c>
    </row>
    <row r="259" spans="1:11" ht="21" x14ac:dyDescent="0.25">
      <c r="A259" s="11" t="str">
        <f>HYPERLINK("https://rth.dk/resources/bsgatlas/details.php?id=BSGatlas-transcript-258","BSGatlas-transcript-258")</f>
        <v>BSGatlas-transcript-258</v>
      </c>
      <c r="B259" s="1" t="s">
        <v>311</v>
      </c>
      <c r="C259" s="3">
        <v>276798</v>
      </c>
      <c r="D259" s="3">
        <v>277408</v>
      </c>
      <c r="E259" s="1" t="s">
        <v>9</v>
      </c>
      <c r="F259" s="1">
        <v>0</v>
      </c>
      <c r="G259" s="1" t="s">
        <v>4372</v>
      </c>
      <c r="H259" s="1" t="s">
        <v>4372</v>
      </c>
      <c r="I259" s="1" t="s">
        <v>4377</v>
      </c>
      <c r="J259" s="1" t="s">
        <v>4750</v>
      </c>
      <c r="K259" s="1" t="s">
        <v>4751</v>
      </c>
    </row>
    <row r="260" spans="1:11" ht="21" x14ac:dyDescent="0.25">
      <c r="A260" s="11" t="str">
        <f>HYPERLINK("https://rth.dk/resources/bsgatlas/details.php?id=BSGatlas-transcript-259","BSGatlas-transcript-259")</f>
        <v>BSGatlas-transcript-259</v>
      </c>
      <c r="B260" s="1" t="s">
        <v>4752</v>
      </c>
      <c r="C260" s="3">
        <v>276798</v>
      </c>
      <c r="D260" s="3">
        <v>278348</v>
      </c>
      <c r="E260" s="1" t="s">
        <v>9</v>
      </c>
      <c r="F260" s="1">
        <v>1</v>
      </c>
      <c r="G260" s="1">
        <v>363</v>
      </c>
      <c r="H260" s="1">
        <v>69</v>
      </c>
      <c r="I260" s="1" t="s">
        <v>4373</v>
      </c>
      <c r="J260" s="1" t="s">
        <v>4750</v>
      </c>
      <c r="K260" s="1" t="s">
        <v>4753</v>
      </c>
    </row>
    <row r="261" spans="1:11" ht="21" x14ac:dyDescent="0.25">
      <c r="A261" s="11" t="str">
        <f>HYPERLINK("https://rth.dk/resources/bsgatlas/details.php?id=BSGatlas-transcript-260","BSGatlas-transcript-260")</f>
        <v>BSGatlas-transcript-260</v>
      </c>
      <c r="B261" s="1" t="s">
        <v>313</v>
      </c>
      <c r="C261" s="3">
        <v>276814</v>
      </c>
      <c r="D261" s="3">
        <v>277089</v>
      </c>
      <c r="E261" s="1" t="s">
        <v>9</v>
      </c>
      <c r="F261" s="1">
        <v>0</v>
      </c>
      <c r="G261" s="1" t="s">
        <v>4372</v>
      </c>
      <c r="H261" s="1" t="s">
        <v>4372</v>
      </c>
      <c r="I261" s="1" t="s">
        <v>4377</v>
      </c>
      <c r="J261" s="1" t="s">
        <v>318</v>
      </c>
      <c r="K261" s="1" t="s">
        <v>4754</v>
      </c>
    </row>
    <row r="262" spans="1:11" ht="21" x14ac:dyDescent="0.25">
      <c r="A262" s="11" t="str">
        <f>HYPERLINK("https://rth.dk/resources/bsgatlas/details.php?id=BSGatlas-transcript-261","BSGatlas-transcript-261")</f>
        <v>BSGatlas-transcript-261</v>
      </c>
      <c r="B262" s="1" t="s">
        <v>312</v>
      </c>
      <c r="C262" s="3">
        <v>277298</v>
      </c>
      <c r="D262" s="3">
        <v>278348</v>
      </c>
      <c r="E262" s="1" t="s">
        <v>9</v>
      </c>
      <c r="F262" s="1">
        <v>0</v>
      </c>
      <c r="G262" s="1" t="s">
        <v>4372</v>
      </c>
      <c r="H262" s="1" t="s">
        <v>4372</v>
      </c>
      <c r="I262" s="1" t="s">
        <v>4377</v>
      </c>
      <c r="J262" s="1" t="s">
        <v>4755</v>
      </c>
      <c r="K262" s="1" t="s">
        <v>4753</v>
      </c>
    </row>
    <row r="263" spans="1:11" ht="21" x14ac:dyDescent="0.25">
      <c r="A263" s="11" t="str">
        <f>HYPERLINK("https://rth.dk/resources/bsgatlas/details.php?id=BSGatlas-transcript-262","BSGatlas-transcript-262")</f>
        <v>BSGatlas-transcript-262</v>
      </c>
      <c r="B263" s="1" t="s">
        <v>4756</v>
      </c>
      <c r="C263" s="3">
        <v>278308</v>
      </c>
      <c r="D263" s="3">
        <v>279994</v>
      </c>
      <c r="E263" s="1" t="s">
        <v>9</v>
      </c>
      <c r="F263" s="1">
        <v>0</v>
      </c>
      <c r="G263" s="1" t="s">
        <v>4372</v>
      </c>
      <c r="H263" s="1" t="s">
        <v>4372</v>
      </c>
      <c r="I263" s="1" t="s">
        <v>4382</v>
      </c>
      <c r="J263" s="1" t="s">
        <v>4757</v>
      </c>
      <c r="K263" s="1" t="s">
        <v>318</v>
      </c>
    </row>
    <row r="264" spans="1:11" ht="21" x14ac:dyDescent="0.25">
      <c r="A264" s="11" t="str">
        <f>HYPERLINK("https://rth.dk/resources/bsgatlas/details.php?id=BSGatlas-transcript-263","BSGatlas-transcript-263")</f>
        <v>BSGatlas-transcript-263</v>
      </c>
      <c r="B264" s="1" t="s">
        <v>4758</v>
      </c>
      <c r="C264" s="3">
        <v>278308</v>
      </c>
      <c r="D264" s="3">
        <v>281731</v>
      </c>
      <c r="E264" s="1" t="s">
        <v>9</v>
      </c>
      <c r="F264" s="1">
        <v>2</v>
      </c>
      <c r="G264" s="1">
        <v>70</v>
      </c>
      <c r="H264" s="1">
        <v>18</v>
      </c>
      <c r="I264" s="1" t="s">
        <v>4386</v>
      </c>
      <c r="J264" s="1" t="s">
        <v>4757</v>
      </c>
      <c r="K264" s="1" t="s">
        <v>4759</v>
      </c>
    </row>
    <row r="265" spans="1:11" ht="21" x14ac:dyDescent="0.25">
      <c r="A265" s="11" t="str">
        <f>HYPERLINK("https://rth.dk/resources/bsgatlas/details.php?id=BSGatlas-transcript-264","BSGatlas-transcript-264")</f>
        <v>BSGatlas-transcript-264</v>
      </c>
      <c r="B265" s="1" t="s">
        <v>4760</v>
      </c>
      <c r="C265" s="3">
        <v>280523</v>
      </c>
      <c r="D265" s="3">
        <v>281809</v>
      </c>
      <c r="E265" s="1" t="s">
        <v>13</v>
      </c>
      <c r="F265" s="1">
        <v>0</v>
      </c>
      <c r="G265" s="1" t="s">
        <v>4372</v>
      </c>
      <c r="H265" s="1" t="s">
        <v>4372</v>
      </c>
      <c r="I265" s="1" t="s">
        <v>4377</v>
      </c>
      <c r="J265" s="1" t="s">
        <v>318</v>
      </c>
      <c r="K265" s="1" t="s">
        <v>4761</v>
      </c>
    </row>
    <row r="266" spans="1:11" ht="21" x14ac:dyDescent="0.25">
      <c r="A266" s="11" t="str">
        <f>HYPERLINK("https://rth.dk/resources/bsgatlas/details.php?id=BSGatlas-transcript-265","BSGatlas-transcript-265")</f>
        <v>BSGatlas-transcript-265</v>
      </c>
      <c r="B266" s="1" t="s">
        <v>319</v>
      </c>
      <c r="C266" s="3">
        <v>281769</v>
      </c>
      <c r="D266" s="3">
        <v>282200</v>
      </c>
      <c r="E266" s="1" t="s">
        <v>13</v>
      </c>
      <c r="F266" s="1">
        <v>0</v>
      </c>
      <c r="G266" s="1" t="s">
        <v>4372</v>
      </c>
      <c r="H266" s="1" t="s">
        <v>4372</v>
      </c>
      <c r="I266" s="1" t="s">
        <v>4397</v>
      </c>
      <c r="J266" s="1" t="s">
        <v>4762</v>
      </c>
      <c r="K266" s="1" t="s">
        <v>4763</v>
      </c>
    </row>
    <row r="267" spans="1:11" ht="21" x14ac:dyDescent="0.25">
      <c r="A267" s="11" t="str">
        <f>HYPERLINK("https://rth.dk/resources/bsgatlas/details.php?id=BSGatlas-transcript-266","BSGatlas-transcript-266")</f>
        <v>BSGatlas-transcript-266</v>
      </c>
      <c r="B267" s="1" t="s">
        <v>319</v>
      </c>
      <c r="C267" s="3">
        <v>281769</v>
      </c>
      <c r="D267" s="3">
        <v>282445</v>
      </c>
      <c r="E267" s="1" t="s">
        <v>13</v>
      </c>
      <c r="F267" s="1">
        <v>0</v>
      </c>
      <c r="G267" s="1" t="s">
        <v>4372</v>
      </c>
      <c r="H267" s="1" t="s">
        <v>4372</v>
      </c>
      <c r="I267" s="1" t="s">
        <v>4397</v>
      </c>
      <c r="J267" s="1" t="s">
        <v>4764</v>
      </c>
      <c r="K267" s="1" t="s">
        <v>4763</v>
      </c>
    </row>
    <row r="268" spans="1:11" ht="21" x14ac:dyDescent="0.25">
      <c r="A268" s="11" t="str">
        <f>HYPERLINK("https://rth.dk/resources/bsgatlas/details.php?id=BSGatlas-transcript-267","BSGatlas-transcript-267")</f>
        <v>BSGatlas-transcript-267</v>
      </c>
      <c r="B268" s="1" t="s">
        <v>319</v>
      </c>
      <c r="C268" s="3">
        <v>281769</v>
      </c>
      <c r="D268" s="3">
        <v>283231</v>
      </c>
      <c r="E268" s="1" t="s">
        <v>13</v>
      </c>
      <c r="F268" s="1">
        <v>0</v>
      </c>
      <c r="G268" s="1" t="s">
        <v>4372</v>
      </c>
      <c r="H268" s="1" t="s">
        <v>4372</v>
      </c>
      <c r="I268" s="1" t="s">
        <v>4397</v>
      </c>
      <c r="J268" s="1" t="s">
        <v>4765</v>
      </c>
      <c r="K268" s="1" t="s">
        <v>4763</v>
      </c>
    </row>
    <row r="269" spans="1:11" ht="21" x14ac:dyDescent="0.25">
      <c r="A269" s="11" t="str">
        <f>HYPERLINK("https://rth.dk/resources/bsgatlas/details.php?id=BSGatlas-transcript-268","BSGatlas-transcript-268")</f>
        <v>BSGatlas-transcript-268</v>
      </c>
      <c r="B269" s="1" t="s">
        <v>319</v>
      </c>
      <c r="C269" s="3">
        <v>281769</v>
      </c>
      <c r="D269" s="3">
        <v>284071</v>
      </c>
      <c r="E269" s="1" t="s">
        <v>13</v>
      </c>
      <c r="F269" s="1">
        <v>0</v>
      </c>
      <c r="G269" s="1" t="s">
        <v>4372</v>
      </c>
      <c r="H269" s="1" t="s">
        <v>4372</v>
      </c>
      <c r="I269" s="1" t="s">
        <v>4397</v>
      </c>
      <c r="J269" s="1" t="s">
        <v>4766</v>
      </c>
      <c r="K269" s="1" t="s">
        <v>4763</v>
      </c>
    </row>
    <row r="270" spans="1:11" ht="21" x14ac:dyDescent="0.25">
      <c r="A270" s="11" t="str">
        <f>HYPERLINK("https://rth.dk/resources/bsgatlas/details.php?id=BSGatlas-transcript-269","BSGatlas-transcript-269")</f>
        <v>BSGatlas-transcript-269</v>
      </c>
      <c r="B270" s="1" t="s">
        <v>320</v>
      </c>
      <c r="C270" s="3">
        <v>282446</v>
      </c>
      <c r="D270" s="3">
        <v>282897</v>
      </c>
      <c r="E270" s="1" t="s">
        <v>9</v>
      </c>
      <c r="F270" s="1">
        <v>0</v>
      </c>
      <c r="G270" s="1" t="s">
        <v>4372</v>
      </c>
      <c r="H270" s="1" t="s">
        <v>4372</v>
      </c>
      <c r="I270" s="1" t="s">
        <v>4373</v>
      </c>
      <c r="J270" s="1" t="s">
        <v>4767</v>
      </c>
      <c r="K270" s="1" t="s">
        <v>4768</v>
      </c>
    </row>
    <row r="271" spans="1:11" ht="21" x14ac:dyDescent="0.25">
      <c r="A271" s="11" t="str">
        <f>HYPERLINK("https://rth.dk/resources/bsgatlas/details.php?id=BSGatlas-transcript-270","BSGatlas-transcript-270")</f>
        <v>BSGatlas-transcript-270</v>
      </c>
      <c r="B271" s="1" t="s">
        <v>320</v>
      </c>
      <c r="C271" s="3">
        <v>282446</v>
      </c>
      <c r="D271" s="3">
        <v>282941</v>
      </c>
      <c r="E271" s="1" t="s">
        <v>9</v>
      </c>
      <c r="F271" s="1">
        <v>0</v>
      </c>
      <c r="G271" s="1" t="s">
        <v>4372</v>
      </c>
      <c r="H271" s="1" t="s">
        <v>4372</v>
      </c>
      <c r="I271" s="1" t="s">
        <v>4373</v>
      </c>
      <c r="J271" s="1" t="s">
        <v>4767</v>
      </c>
      <c r="K271" s="1" t="s">
        <v>4769</v>
      </c>
    </row>
    <row r="272" spans="1:11" ht="21" x14ac:dyDescent="0.25">
      <c r="A272" s="11" t="str">
        <f>HYPERLINK("https://rth.dk/resources/bsgatlas/details.php?id=BSGatlas-transcript-271","BSGatlas-transcript-271")</f>
        <v>BSGatlas-transcript-271</v>
      </c>
      <c r="B272" s="1" t="s">
        <v>321</v>
      </c>
      <c r="C272" s="3">
        <v>282963</v>
      </c>
      <c r="D272" s="3">
        <v>283734</v>
      </c>
      <c r="E272" s="1" t="s">
        <v>9</v>
      </c>
      <c r="F272" s="1">
        <v>0</v>
      </c>
      <c r="G272" s="1" t="s">
        <v>4372</v>
      </c>
      <c r="H272" s="1" t="s">
        <v>4372</v>
      </c>
      <c r="I272" s="1" t="s">
        <v>4373</v>
      </c>
      <c r="J272" s="1" t="s">
        <v>4770</v>
      </c>
      <c r="K272" s="1" t="s">
        <v>4771</v>
      </c>
    </row>
    <row r="273" spans="1:11" ht="21" x14ac:dyDescent="0.25">
      <c r="A273" s="11" t="str">
        <f>HYPERLINK("https://rth.dk/resources/bsgatlas/details.php?id=BSGatlas-transcript-272","BSGatlas-transcript-272")</f>
        <v>BSGatlas-transcript-272</v>
      </c>
      <c r="B273" s="1" t="s">
        <v>321</v>
      </c>
      <c r="C273" s="3">
        <v>282963</v>
      </c>
      <c r="D273" s="3">
        <v>283776</v>
      </c>
      <c r="E273" s="1" t="s">
        <v>9</v>
      </c>
      <c r="F273" s="1">
        <v>0</v>
      </c>
      <c r="G273" s="1" t="s">
        <v>4372</v>
      </c>
      <c r="H273" s="1" t="s">
        <v>4372</v>
      </c>
      <c r="I273" s="1" t="s">
        <v>4373</v>
      </c>
      <c r="J273" s="1" t="s">
        <v>4770</v>
      </c>
      <c r="K273" s="1" t="s">
        <v>4772</v>
      </c>
    </row>
    <row r="274" spans="1:11" ht="21" x14ac:dyDescent="0.25">
      <c r="A274" s="11" t="str">
        <f>HYPERLINK("https://rth.dk/resources/bsgatlas/details.php?id=BSGatlas-transcript-273","BSGatlas-transcript-273")</f>
        <v>BSGatlas-transcript-273</v>
      </c>
      <c r="B274" s="1" t="s">
        <v>322</v>
      </c>
      <c r="C274" s="3">
        <v>283984</v>
      </c>
      <c r="D274" s="3">
        <v>285762</v>
      </c>
      <c r="E274" s="1" t="s">
        <v>9</v>
      </c>
      <c r="F274" s="1">
        <v>0</v>
      </c>
      <c r="G274" s="1" t="s">
        <v>4372</v>
      </c>
      <c r="H274" s="1" t="s">
        <v>4372</v>
      </c>
      <c r="I274" s="1" t="s">
        <v>4382</v>
      </c>
      <c r="J274" s="1" t="s">
        <v>4773</v>
      </c>
      <c r="K274" s="1" t="s">
        <v>318</v>
      </c>
    </row>
    <row r="275" spans="1:11" ht="21" x14ac:dyDescent="0.25">
      <c r="A275" s="11" t="str">
        <f>HYPERLINK("https://rth.dk/resources/bsgatlas/details.php?id=BSGatlas-transcript-274","BSGatlas-transcript-274")</f>
        <v>BSGatlas-transcript-274</v>
      </c>
      <c r="B275" s="1" t="s">
        <v>4774</v>
      </c>
      <c r="C275" s="3">
        <v>283984</v>
      </c>
      <c r="D275" s="3">
        <v>286776</v>
      </c>
      <c r="E275" s="1" t="s">
        <v>9</v>
      </c>
      <c r="F275" s="1">
        <v>1</v>
      </c>
      <c r="G275" s="1">
        <v>28</v>
      </c>
      <c r="H275" s="1" t="s">
        <v>4372</v>
      </c>
      <c r="I275" s="1" t="s">
        <v>4386</v>
      </c>
      <c r="J275" s="1" t="s">
        <v>4773</v>
      </c>
      <c r="K275" s="1" t="s">
        <v>318</v>
      </c>
    </row>
    <row r="276" spans="1:11" ht="21" x14ac:dyDescent="0.25">
      <c r="A276" s="11" t="str">
        <f>HYPERLINK("https://rth.dk/resources/bsgatlas/details.php?id=BSGatlas-transcript-275","BSGatlas-transcript-275")</f>
        <v>BSGatlas-transcript-275</v>
      </c>
      <c r="B276" s="1" t="s">
        <v>325</v>
      </c>
      <c r="C276" s="3">
        <v>286034</v>
      </c>
      <c r="D276" s="3">
        <v>287449</v>
      </c>
      <c r="E276" s="1" t="s">
        <v>13</v>
      </c>
      <c r="F276" s="1">
        <v>0</v>
      </c>
      <c r="G276" s="1" t="s">
        <v>4372</v>
      </c>
      <c r="H276" s="1" t="s">
        <v>4372</v>
      </c>
      <c r="I276" s="1" t="s">
        <v>4397</v>
      </c>
      <c r="J276" s="1" t="s">
        <v>4775</v>
      </c>
      <c r="K276" s="1" t="s">
        <v>4776</v>
      </c>
    </row>
    <row r="277" spans="1:11" ht="21" x14ac:dyDescent="0.25">
      <c r="A277" s="11" t="str">
        <f>HYPERLINK("https://rth.dk/resources/bsgatlas/details.php?id=BSGatlas-transcript-276","BSGatlas-transcript-276")</f>
        <v>BSGatlas-transcript-276</v>
      </c>
      <c r="B277" s="1" t="s">
        <v>325</v>
      </c>
      <c r="C277" s="3">
        <v>286034</v>
      </c>
      <c r="D277" s="3">
        <v>287845</v>
      </c>
      <c r="E277" s="1" t="s">
        <v>13</v>
      </c>
      <c r="F277" s="1">
        <v>0</v>
      </c>
      <c r="G277" s="1" t="s">
        <v>4372</v>
      </c>
      <c r="H277" s="1" t="s">
        <v>4372</v>
      </c>
      <c r="I277" s="1" t="s">
        <v>4397</v>
      </c>
      <c r="J277" s="1" t="s">
        <v>4777</v>
      </c>
      <c r="K277" s="1" t="s">
        <v>4776</v>
      </c>
    </row>
    <row r="278" spans="1:11" ht="21" x14ac:dyDescent="0.25">
      <c r="A278" s="11" t="str">
        <f>HYPERLINK("https://rth.dk/resources/bsgatlas/details.php?id=BSGatlas-transcript-277","BSGatlas-transcript-277")</f>
        <v>BSGatlas-transcript-277</v>
      </c>
      <c r="B278" s="1" t="s">
        <v>326</v>
      </c>
      <c r="C278" s="3">
        <v>287471</v>
      </c>
      <c r="D278" s="3">
        <v>288659</v>
      </c>
      <c r="E278" s="1" t="s">
        <v>9</v>
      </c>
      <c r="F278" s="1">
        <v>0</v>
      </c>
      <c r="G278" s="1" t="s">
        <v>4372</v>
      </c>
      <c r="H278" s="1" t="s">
        <v>4372</v>
      </c>
      <c r="I278" s="1" t="s">
        <v>4373</v>
      </c>
      <c r="J278" s="1" t="s">
        <v>4778</v>
      </c>
      <c r="K278" s="1" t="s">
        <v>4779</v>
      </c>
    </row>
    <row r="279" spans="1:11" ht="21" x14ac:dyDescent="0.25">
      <c r="A279" s="11" t="str">
        <f>HYPERLINK("https://rth.dk/resources/bsgatlas/details.php?id=BSGatlas-transcript-278","BSGatlas-transcript-278")</f>
        <v>BSGatlas-transcript-278</v>
      </c>
      <c r="B279" s="1" t="s">
        <v>4780</v>
      </c>
      <c r="C279" s="3">
        <v>288607</v>
      </c>
      <c r="D279" s="3">
        <v>290740</v>
      </c>
      <c r="E279" s="1" t="s">
        <v>13</v>
      </c>
      <c r="F279" s="1">
        <v>1</v>
      </c>
      <c r="G279" s="1">
        <v>43</v>
      </c>
      <c r="H279" s="1">
        <v>47</v>
      </c>
      <c r="I279" s="1" t="s">
        <v>4373</v>
      </c>
      <c r="J279" s="1" t="s">
        <v>4781</v>
      </c>
      <c r="K279" s="1" t="s">
        <v>4782</v>
      </c>
    </row>
    <row r="280" spans="1:11" ht="21" x14ac:dyDescent="0.25">
      <c r="A280" s="11" t="str">
        <f>HYPERLINK("https://rth.dk/resources/bsgatlas/details.php?id=BSGatlas-transcript-279","BSGatlas-transcript-279")</f>
        <v>BSGatlas-transcript-279</v>
      </c>
      <c r="B280" s="1" t="s">
        <v>329</v>
      </c>
      <c r="C280" s="3">
        <v>290888</v>
      </c>
      <c r="D280" s="3">
        <v>292042</v>
      </c>
      <c r="E280" s="1" t="s">
        <v>9</v>
      </c>
      <c r="F280" s="1">
        <v>0</v>
      </c>
      <c r="G280" s="1" t="s">
        <v>4372</v>
      </c>
      <c r="H280" s="1" t="s">
        <v>4372</v>
      </c>
      <c r="I280" s="1" t="s">
        <v>4373</v>
      </c>
      <c r="J280" s="1" t="s">
        <v>4783</v>
      </c>
      <c r="K280" s="1" t="s">
        <v>4784</v>
      </c>
    </row>
    <row r="281" spans="1:11" ht="21" x14ac:dyDescent="0.25">
      <c r="A281" s="11" t="str">
        <f>HYPERLINK("https://rth.dk/resources/bsgatlas/details.php?id=BSGatlas-transcript-280","BSGatlas-transcript-280")</f>
        <v>BSGatlas-transcript-280</v>
      </c>
      <c r="B281" s="1" t="s">
        <v>329</v>
      </c>
      <c r="C281" s="3">
        <v>290888</v>
      </c>
      <c r="D281" s="3">
        <v>292081</v>
      </c>
      <c r="E281" s="1" t="s">
        <v>9</v>
      </c>
      <c r="F281" s="1">
        <v>0</v>
      </c>
      <c r="G281" s="1" t="s">
        <v>4372</v>
      </c>
      <c r="H281" s="1" t="s">
        <v>4372</v>
      </c>
      <c r="I281" s="1" t="s">
        <v>4373</v>
      </c>
      <c r="J281" s="1" t="s">
        <v>4783</v>
      </c>
      <c r="K281" s="1" t="s">
        <v>4785</v>
      </c>
    </row>
    <row r="282" spans="1:11" ht="21" x14ac:dyDescent="0.25">
      <c r="A282" s="11" t="str">
        <f>HYPERLINK("https://rth.dk/resources/bsgatlas/details.php?id=BSGatlas-transcript-281","BSGatlas-transcript-281")</f>
        <v>BSGatlas-transcript-281</v>
      </c>
      <c r="B282" s="1" t="s">
        <v>330</v>
      </c>
      <c r="C282" s="3">
        <v>292159</v>
      </c>
      <c r="D282" s="3">
        <v>292895</v>
      </c>
      <c r="E282" s="1" t="s">
        <v>9</v>
      </c>
      <c r="F282" s="1">
        <v>0</v>
      </c>
      <c r="G282" s="1" t="s">
        <v>4372</v>
      </c>
      <c r="H282" s="1" t="s">
        <v>4372</v>
      </c>
      <c r="I282" s="1" t="s">
        <v>4373</v>
      </c>
      <c r="J282" s="1" t="s">
        <v>4786</v>
      </c>
      <c r="K282" s="1" t="s">
        <v>4787</v>
      </c>
    </row>
    <row r="283" spans="1:11" ht="21" x14ac:dyDescent="0.25">
      <c r="A283" s="11" t="str">
        <f>HYPERLINK("https://rth.dk/resources/bsgatlas/details.php?id=BSGatlas-transcript-282","BSGatlas-transcript-282")</f>
        <v>BSGatlas-transcript-282</v>
      </c>
      <c r="B283" s="1" t="s">
        <v>331</v>
      </c>
      <c r="C283" s="3">
        <v>292881</v>
      </c>
      <c r="D283" s="3">
        <v>293301</v>
      </c>
      <c r="E283" s="1" t="s">
        <v>13</v>
      </c>
      <c r="F283" s="1">
        <v>0</v>
      </c>
      <c r="G283" s="1" t="s">
        <v>4372</v>
      </c>
      <c r="H283" s="1" t="s">
        <v>4372</v>
      </c>
      <c r="I283" s="1" t="s">
        <v>4397</v>
      </c>
      <c r="J283" s="1" t="s">
        <v>4788</v>
      </c>
      <c r="K283" s="1" t="s">
        <v>4789</v>
      </c>
    </row>
    <row r="284" spans="1:11" ht="21" x14ac:dyDescent="0.25">
      <c r="A284" s="11" t="str">
        <f>HYPERLINK("https://rth.dk/resources/bsgatlas/details.php?id=BSGatlas-transcript-283","BSGatlas-transcript-283")</f>
        <v>BSGatlas-transcript-283</v>
      </c>
      <c r="B284" s="1" t="s">
        <v>332</v>
      </c>
      <c r="C284" s="3">
        <v>293466</v>
      </c>
      <c r="D284" s="3">
        <v>294591</v>
      </c>
      <c r="E284" s="1" t="s">
        <v>9</v>
      </c>
      <c r="F284" s="1">
        <v>0</v>
      </c>
      <c r="G284" s="1" t="s">
        <v>4372</v>
      </c>
      <c r="H284" s="1" t="s">
        <v>4372</v>
      </c>
      <c r="I284" s="1" t="s">
        <v>4397</v>
      </c>
      <c r="J284" s="1" t="s">
        <v>4790</v>
      </c>
      <c r="K284" s="1" t="s">
        <v>4791</v>
      </c>
    </row>
    <row r="285" spans="1:11" ht="21" x14ac:dyDescent="0.25">
      <c r="A285" s="11" t="str">
        <f>HYPERLINK("https://rth.dk/resources/bsgatlas/details.php?id=BSGatlas-transcript-284","BSGatlas-transcript-284")</f>
        <v>BSGatlas-transcript-284</v>
      </c>
      <c r="B285" s="1" t="s">
        <v>333</v>
      </c>
      <c r="C285" s="3">
        <v>294570</v>
      </c>
      <c r="D285" s="3">
        <v>295571</v>
      </c>
      <c r="E285" s="1" t="s">
        <v>13</v>
      </c>
      <c r="F285" s="1">
        <v>0</v>
      </c>
      <c r="G285" s="1" t="s">
        <v>4372</v>
      </c>
      <c r="H285" s="1" t="s">
        <v>4372</v>
      </c>
      <c r="I285" s="1" t="s">
        <v>4382</v>
      </c>
      <c r="J285" s="1" t="s">
        <v>318</v>
      </c>
      <c r="K285" s="1" t="s">
        <v>4792</v>
      </c>
    </row>
    <row r="286" spans="1:11" ht="21" x14ac:dyDescent="0.25">
      <c r="A286" s="11" t="str">
        <f>HYPERLINK("https://rth.dk/resources/bsgatlas/details.php?id=BSGatlas-transcript-285","BSGatlas-transcript-285")</f>
        <v>BSGatlas-transcript-285</v>
      </c>
      <c r="B286" s="1" t="s">
        <v>4793</v>
      </c>
      <c r="C286" s="3">
        <v>294570</v>
      </c>
      <c r="D286" s="3">
        <v>296315</v>
      </c>
      <c r="E286" s="1" t="s">
        <v>13</v>
      </c>
      <c r="F286" s="1">
        <v>0</v>
      </c>
      <c r="G286" s="1" t="s">
        <v>4372</v>
      </c>
      <c r="H286" s="1" t="s">
        <v>4372</v>
      </c>
      <c r="I286" s="1" t="s">
        <v>4386</v>
      </c>
      <c r="J286" s="1" t="s">
        <v>4794</v>
      </c>
      <c r="K286" s="1" t="s">
        <v>4792</v>
      </c>
    </row>
    <row r="287" spans="1:11" ht="21" x14ac:dyDescent="0.25">
      <c r="A287" s="11" t="str">
        <f>HYPERLINK("https://rth.dk/resources/bsgatlas/details.php?id=BSGatlas-transcript-286","BSGatlas-transcript-286")</f>
        <v>BSGatlas-transcript-286</v>
      </c>
      <c r="B287" s="1" t="s">
        <v>333</v>
      </c>
      <c r="C287" s="3">
        <v>294615</v>
      </c>
      <c r="D287" s="3">
        <v>295571</v>
      </c>
      <c r="E287" s="1" t="s">
        <v>13</v>
      </c>
      <c r="F287" s="1">
        <v>0</v>
      </c>
      <c r="G287" s="1" t="s">
        <v>4372</v>
      </c>
      <c r="H287" s="1" t="s">
        <v>4372</v>
      </c>
      <c r="I287" s="1" t="s">
        <v>4382</v>
      </c>
      <c r="J287" s="1" t="s">
        <v>318</v>
      </c>
      <c r="K287" s="1" t="s">
        <v>4795</v>
      </c>
    </row>
    <row r="288" spans="1:11" ht="21" x14ac:dyDescent="0.25">
      <c r="A288" s="11" t="str">
        <f>HYPERLINK("https://rth.dk/resources/bsgatlas/details.php?id=BSGatlas-transcript-287","BSGatlas-transcript-287")</f>
        <v>BSGatlas-transcript-287</v>
      </c>
      <c r="B288" s="1" t="s">
        <v>4793</v>
      </c>
      <c r="C288" s="3">
        <v>294615</v>
      </c>
      <c r="D288" s="3">
        <v>296315</v>
      </c>
      <c r="E288" s="1" t="s">
        <v>13</v>
      </c>
      <c r="F288" s="1">
        <v>0</v>
      </c>
      <c r="G288" s="1" t="s">
        <v>4372</v>
      </c>
      <c r="H288" s="1" t="s">
        <v>4372</v>
      </c>
      <c r="I288" s="1" t="s">
        <v>4386</v>
      </c>
      <c r="J288" s="1" t="s">
        <v>4794</v>
      </c>
      <c r="K288" s="1" t="s">
        <v>4795</v>
      </c>
    </row>
    <row r="289" spans="1:11" ht="21" x14ac:dyDescent="0.25">
      <c r="A289" s="11" t="str">
        <f>HYPERLINK("https://rth.dk/resources/bsgatlas/details.php?id=BSGatlas-transcript-288","BSGatlas-transcript-288")</f>
        <v>BSGatlas-transcript-288</v>
      </c>
      <c r="B289" s="1" t="s">
        <v>334</v>
      </c>
      <c r="C289" s="3">
        <v>295584</v>
      </c>
      <c r="D289" s="3">
        <v>296315</v>
      </c>
      <c r="E289" s="1" t="s">
        <v>13</v>
      </c>
      <c r="F289" s="1">
        <v>0</v>
      </c>
      <c r="G289" s="1" t="s">
        <v>4372</v>
      </c>
      <c r="H289" s="1" t="s">
        <v>4372</v>
      </c>
      <c r="I289" s="1" t="s">
        <v>4382</v>
      </c>
      <c r="J289" s="1" t="s">
        <v>4794</v>
      </c>
      <c r="K289" s="1" t="s">
        <v>318</v>
      </c>
    </row>
    <row r="290" spans="1:11" ht="21" x14ac:dyDescent="0.25">
      <c r="A290" s="11" t="str">
        <f>HYPERLINK("https://rth.dk/resources/bsgatlas/details.php?id=BSGatlas-transcript-289","BSGatlas-transcript-289")</f>
        <v>BSGatlas-transcript-289</v>
      </c>
      <c r="B290" s="1" t="s">
        <v>4796</v>
      </c>
      <c r="C290" s="3">
        <v>296394</v>
      </c>
      <c r="D290" s="3">
        <v>298374</v>
      </c>
      <c r="E290" s="1" t="s">
        <v>9</v>
      </c>
      <c r="F290" s="1">
        <v>0</v>
      </c>
      <c r="G290" s="1" t="s">
        <v>4372</v>
      </c>
      <c r="H290" s="1" t="s">
        <v>4372</v>
      </c>
      <c r="I290" s="1" t="s">
        <v>4373</v>
      </c>
      <c r="J290" s="1" t="s">
        <v>4797</v>
      </c>
      <c r="K290" s="1" t="s">
        <v>4798</v>
      </c>
    </row>
    <row r="291" spans="1:11" ht="21" x14ac:dyDescent="0.25">
      <c r="A291" s="11" t="str">
        <f>HYPERLINK("https://rth.dk/resources/bsgatlas/details.php?id=BSGatlas-transcript-290","BSGatlas-transcript-290")</f>
        <v>BSGatlas-transcript-290</v>
      </c>
      <c r="B291" s="1" t="s">
        <v>337</v>
      </c>
      <c r="C291" s="3">
        <v>298401</v>
      </c>
      <c r="D291" s="3">
        <v>299437</v>
      </c>
      <c r="E291" s="1" t="s">
        <v>9</v>
      </c>
      <c r="F291" s="1">
        <v>0</v>
      </c>
      <c r="G291" s="1" t="s">
        <v>4372</v>
      </c>
      <c r="H291" s="1" t="s">
        <v>4372</v>
      </c>
      <c r="I291" s="1" t="s">
        <v>4373</v>
      </c>
      <c r="J291" s="1" t="s">
        <v>4799</v>
      </c>
      <c r="K291" s="1" t="s">
        <v>4800</v>
      </c>
    </row>
    <row r="292" spans="1:11" ht="21" x14ac:dyDescent="0.25">
      <c r="A292" s="11" t="str">
        <f>HYPERLINK("https://rth.dk/resources/bsgatlas/details.php?id=BSGatlas-transcript-291","BSGatlas-transcript-291")</f>
        <v>BSGatlas-transcript-291</v>
      </c>
      <c r="B292" s="1" t="s">
        <v>338</v>
      </c>
      <c r="C292" s="3">
        <v>299393</v>
      </c>
      <c r="D292" s="3">
        <v>300502</v>
      </c>
      <c r="E292" s="1" t="s">
        <v>13</v>
      </c>
      <c r="F292" s="1">
        <v>0</v>
      </c>
      <c r="G292" s="1" t="s">
        <v>4372</v>
      </c>
      <c r="H292" s="1" t="s">
        <v>4372</v>
      </c>
      <c r="I292" s="1" t="s">
        <v>4373</v>
      </c>
      <c r="J292" s="1" t="s">
        <v>318</v>
      </c>
      <c r="K292" s="1" t="s">
        <v>4801</v>
      </c>
    </row>
    <row r="293" spans="1:11" ht="21" x14ac:dyDescent="0.25">
      <c r="A293" s="11" t="str">
        <f>HYPERLINK("https://rth.dk/resources/bsgatlas/details.php?id=BSGatlas-transcript-292","BSGatlas-transcript-292")</f>
        <v>BSGatlas-transcript-292</v>
      </c>
      <c r="B293" s="1" t="s">
        <v>4760</v>
      </c>
      <c r="C293" s="3">
        <v>300525</v>
      </c>
      <c r="D293" s="3">
        <v>300698</v>
      </c>
      <c r="E293" s="1" t="s">
        <v>13</v>
      </c>
      <c r="F293" s="1">
        <v>0</v>
      </c>
      <c r="G293" s="1" t="s">
        <v>4372</v>
      </c>
      <c r="H293" s="1" t="s">
        <v>4372</v>
      </c>
      <c r="I293" s="1" t="s">
        <v>4377</v>
      </c>
      <c r="J293" s="1" t="s">
        <v>4802</v>
      </c>
      <c r="K293" s="1" t="s">
        <v>318</v>
      </c>
    </row>
    <row r="294" spans="1:11" ht="21" x14ac:dyDescent="0.25">
      <c r="A294" s="11" t="str">
        <f>HYPERLINK("https://rth.dk/resources/bsgatlas/details.php?id=BSGatlas-transcript-293","BSGatlas-transcript-293")</f>
        <v>BSGatlas-transcript-293</v>
      </c>
      <c r="B294" s="1" t="s">
        <v>4760</v>
      </c>
      <c r="C294" s="3">
        <v>300525</v>
      </c>
      <c r="D294" s="3">
        <v>302299</v>
      </c>
      <c r="E294" s="1" t="s">
        <v>13</v>
      </c>
      <c r="F294" s="1">
        <v>0</v>
      </c>
      <c r="G294" s="1" t="s">
        <v>4372</v>
      </c>
      <c r="H294" s="1" t="s">
        <v>4372</v>
      </c>
      <c r="I294" s="1" t="s">
        <v>4377</v>
      </c>
      <c r="J294" s="1" t="s">
        <v>4803</v>
      </c>
      <c r="K294" s="1" t="s">
        <v>318</v>
      </c>
    </row>
    <row r="295" spans="1:11" ht="21" x14ac:dyDescent="0.25">
      <c r="A295" s="11" t="str">
        <f>HYPERLINK("https://rth.dk/resources/bsgatlas/details.php?id=BSGatlas-transcript-294","BSGatlas-transcript-294")</f>
        <v>BSGatlas-transcript-294</v>
      </c>
      <c r="B295" s="1" t="s">
        <v>339</v>
      </c>
      <c r="C295" s="3">
        <v>300830</v>
      </c>
      <c r="D295" s="3">
        <v>302391</v>
      </c>
      <c r="E295" s="1" t="s">
        <v>9</v>
      </c>
      <c r="F295" s="1">
        <v>0</v>
      </c>
      <c r="G295" s="1" t="s">
        <v>4372</v>
      </c>
      <c r="H295" s="1" t="s">
        <v>4372</v>
      </c>
      <c r="I295" s="1" t="s">
        <v>4373</v>
      </c>
      <c r="J295" s="1" t="s">
        <v>318</v>
      </c>
      <c r="K295" s="1" t="s">
        <v>4804</v>
      </c>
    </row>
    <row r="296" spans="1:11" ht="21" x14ac:dyDescent="0.25">
      <c r="A296" s="11" t="str">
        <f>HYPERLINK("https://rth.dk/resources/bsgatlas/details.php?id=BSGatlas-transcript-295","BSGatlas-transcript-295")</f>
        <v>BSGatlas-transcript-295</v>
      </c>
      <c r="B296" s="1" t="s">
        <v>340</v>
      </c>
      <c r="C296" s="3">
        <v>302355</v>
      </c>
      <c r="D296" s="3">
        <v>303796</v>
      </c>
      <c r="E296" s="1" t="s">
        <v>9</v>
      </c>
      <c r="F296" s="1">
        <v>0</v>
      </c>
      <c r="G296" s="1" t="s">
        <v>4372</v>
      </c>
      <c r="H296" s="1" t="s">
        <v>4372</v>
      </c>
      <c r="I296" s="1" t="s">
        <v>4377</v>
      </c>
      <c r="J296" s="1" t="s">
        <v>4805</v>
      </c>
      <c r="K296" s="1" t="s">
        <v>318</v>
      </c>
    </row>
    <row r="297" spans="1:11" ht="21" x14ac:dyDescent="0.25">
      <c r="A297" s="11" t="str">
        <f>HYPERLINK("https://rth.dk/resources/bsgatlas/details.php?id=BSGatlas-transcript-296","BSGatlas-transcript-296")</f>
        <v>BSGatlas-transcript-296</v>
      </c>
      <c r="B297" s="1" t="s">
        <v>341</v>
      </c>
      <c r="C297" s="3">
        <v>303804</v>
      </c>
      <c r="D297" s="3">
        <v>304390</v>
      </c>
      <c r="E297" s="1" t="s">
        <v>13</v>
      </c>
      <c r="F297" s="1">
        <v>0</v>
      </c>
      <c r="G297" s="1" t="s">
        <v>4372</v>
      </c>
      <c r="H297" s="1" t="s">
        <v>4372</v>
      </c>
      <c r="I297" s="1" t="s">
        <v>4547</v>
      </c>
      <c r="J297" s="1" t="s">
        <v>4806</v>
      </c>
      <c r="K297" s="1" t="s">
        <v>318</v>
      </c>
    </row>
    <row r="298" spans="1:11" ht="21" x14ac:dyDescent="0.25">
      <c r="A298" s="11" t="str">
        <f>HYPERLINK("https://rth.dk/resources/bsgatlas/details.php?id=BSGatlas-transcript-297","BSGatlas-transcript-297")</f>
        <v>BSGatlas-transcript-297</v>
      </c>
      <c r="B298" s="1" t="s">
        <v>342</v>
      </c>
      <c r="C298" s="3">
        <v>304379</v>
      </c>
      <c r="D298" s="3">
        <v>305595</v>
      </c>
      <c r="E298" s="1" t="s">
        <v>9</v>
      </c>
      <c r="F298" s="1">
        <v>0</v>
      </c>
      <c r="G298" s="1" t="s">
        <v>4372</v>
      </c>
      <c r="H298" s="1" t="s">
        <v>4372</v>
      </c>
      <c r="I298" s="1" t="s">
        <v>4373</v>
      </c>
      <c r="J298" s="1" t="s">
        <v>4807</v>
      </c>
      <c r="K298" s="1" t="s">
        <v>4808</v>
      </c>
    </row>
    <row r="299" spans="1:11" ht="21" x14ac:dyDescent="0.25">
      <c r="A299" s="11" t="str">
        <f>HYPERLINK("https://rth.dk/resources/bsgatlas/details.php?id=BSGatlas-transcript-298","BSGatlas-transcript-298")</f>
        <v>BSGatlas-transcript-298</v>
      </c>
      <c r="B299" s="1" t="s">
        <v>4809</v>
      </c>
      <c r="C299" s="3">
        <v>305616</v>
      </c>
      <c r="D299" s="3">
        <v>308144</v>
      </c>
      <c r="E299" s="1" t="s">
        <v>9</v>
      </c>
      <c r="F299" s="1">
        <v>1</v>
      </c>
      <c r="G299" s="1">
        <v>43</v>
      </c>
      <c r="H299" s="1" t="s">
        <v>4372</v>
      </c>
      <c r="I299" s="1" t="s">
        <v>4386</v>
      </c>
      <c r="J299" s="1" t="s">
        <v>4810</v>
      </c>
      <c r="K299" s="1" t="s">
        <v>4811</v>
      </c>
    </row>
    <row r="300" spans="1:11" ht="21" x14ac:dyDescent="0.25">
      <c r="A300" s="11" t="str">
        <f>HYPERLINK("https://rth.dk/resources/bsgatlas/details.php?id=BSGatlas-transcript-299","BSGatlas-transcript-299")</f>
        <v>BSGatlas-transcript-299</v>
      </c>
      <c r="B300" s="1" t="s">
        <v>4809</v>
      </c>
      <c r="C300" s="3">
        <v>305616</v>
      </c>
      <c r="D300" s="3">
        <v>308163</v>
      </c>
      <c r="E300" s="1" t="s">
        <v>9</v>
      </c>
      <c r="F300" s="1">
        <v>1</v>
      </c>
      <c r="G300" s="1">
        <v>43</v>
      </c>
      <c r="H300" s="1">
        <v>20</v>
      </c>
      <c r="I300" s="1" t="s">
        <v>4386</v>
      </c>
      <c r="J300" s="1" t="s">
        <v>4810</v>
      </c>
      <c r="K300" s="1" t="s">
        <v>4812</v>
      </c>
    </row>
    <row r="301" spans="1:11" ht="21" x14ac:dyDescent="0.25">
      <c r="A301" s="11" t="str">
        <f>HYPERLINK("https://rth.dk/resources/bsgatlas/details.php?id=BSGatlas-transcript-300","BSGatlas-transcript-300")</f>
        <v>BSGatlas-transcript-300</v>
      </c>
      <c r="B301" s="1" t="s">
        <v>345</v>
      </c>
      <c r="C301" s="3">
        <v>307459</v>
      </c>
      <c r="D301" s="3">
        <v>309291</v>
      </c>
      <c r="E301" s="1" t="s">
        <v>9</v>
      </c>
      <c r="F301" s="1">
        <v>0</v>
      </c>
      <c r="G301" s="1" t="s">
        <v>4372</v>
      </c>
      <c r="H301" s="1" t="s">
        <v>4372</v>
      </c>
      <c r="I301" s="1" t="s">
        <v>4377</v>
      </c>
      <c r="J301" s="1" t="s">
        <v>4813</v>
      </c>
      <c r="K301" s="1" t="s">
        <v>4814</v>
      </c>
    </row>
    <row r="302" spans="1:11" ht="21" x14ac:dyDescent="0.25">
      <c r="A302" s="11" t="str">
        <f>HYPERLINK("https://rth.dk/resources/bsgatlas/details.php?id=BSGatlas-transcript-301","BSGatlas-transcript-301")</f>
        <v>BSGatlas-transcript-301</v>
      </c>
      <c r="B302" s="1" t="s">
        <v>4815</v>
      </c>
      <c r="C302" s="3">
        <v>307459</v>
      </c>
      <c r="D302" s="3">
        <v>310889</v>
      </c>
      <c r="E302" s="1" t="s">
        <v>9</v>
      </c>
      <c r="F302" s="1">
        <v>1</v>
      </c>
      <c r="G302" s="1">
        <v>874</v>
      </c>
      <c r="H302" s="1">
        <v>48</v>
      </c>
      <c r="I302" s="1" t="s">
        <v>4373</v>
      </c>
      <c r="J302" s="1" t="s">
        <v>4813</v>
      </c>
      <c r="K302" s="1" t="s">
        <v>4816</v>
      </c>
    </row>
    <row r="303" spans="1:11" ht="21" x14ac:dyDescent="0.25">
      <c r="A303" s="11" t="str">
        <f>HYPERLINK("https://rth.dk/resources/bsgatlas/details.php?id=BSGatlas-transcript-302","BSGatlas-transcript-302")</f>
        <v>BSGatlas-transcript-302</v>
      </c>
      <c r="B303" s="1" t="s">
        <v>345</v>
      </c>
      <c r="C303" s="3">
        <v>308272</v>
      </c>
      <c r="D303" s="3">
        <v>309291</v>
      </c>
      <c r="E303" s="1" t="s">
        <v>9</v>
      </c>
      <c r="F303" s="1">
        <v>0</v>
      </c>
      <c r="G303" s="1" t="s">
        <v>4372</v>
      </c>
      <c r="H303" s="1" t="s">
        <v>4372</v>
      </c>
      <c r="I303" s="1" t="s">
        <v>4377</v>
      </c>
      <c r="J303" s="1" t="s">
        <v>4817</v>
      </c>
      <c r="K303" s="1" t="s">
        <v>4814</v>
      </c>
    </row>
    <row r="304" spans="1:11" ht="21" x14ac:dyDescent="0.25">
      <c r="A304" s="11" t="str">
        <f>HYPERLINK("https://rth.dk/resources/bsgatlas/details.php?id=BSGatlas-transcript-303","BSGatlas-transcript-303")</f>
        <v>BSGatlas-transcript-303</v>
      </c>
      <c r="B304" s="1" t="s">
        <v>4815</v>
      </c>
      <c r="C304" s="3">
        <v>308272</v>
      </c>
      <c r="D304" s="3">
        <v>310889</v>
      </c>
      <c r="E304" s="1" t="s">
        <v>9</v>
      </c>
      <c r="F304" s="1">
        <v>1</v>
      </c>
      <c r="G304" s="1">
        <v>61</v>
      </c>
      <c r="H304" s="1">
        <v>48</v>
      </c>
      <c r="I304" s="1" t="s">
        <v>4373</v>
      </c>
      <c r="J304" s="1" t="s">
        <v>4817</v>
      </c>
      <c r="K304" s="1" t="s">
        <v>4816</v>
      </c>
    </row>
    <row r="305" spans="1:11" ht="21" x14ac:dyDescent="0.25">
      <c r="A305" s="11" t="str">
        <f>HYPERLINK("https://rth.dk/resources/bsgatlas/details.php?id=BSGatlas-transcript-304","BSGatlas-transcript-304")</f>
        <v>BSGatlas-transcript-304</v>
      </c>
      <c r="B305" s="1" t="s">
        <v>4818</v>
      </c>
      <c r="C305" s="3">
        <v>308911</v>
      </c>
      <c r="D305" s="3">
        <v>310889</v>
      </c>
      <c r="E305" s="1" t="s">
        <v>9</v>
      </c>
      <c r="F305" s="1">
        <v>0</v>
      </c>
      <c r="G305" s="1" t="s">
        <v>4372</v>
      </c>
      <c r="H305" s="1" t="s">
        <v>4372</v>
      </c>
      <c r="I305" s="1" t="s">
        <v>4377</v>
      </c>
      <c r="J305" s="1" t="s">
        <v>4819</v>
      </c>
      <c r="K305" s="1" t="s">
        <v>4816</v>
      </c>
    </row>
    <row r="306" spans="1:11" ht="21" x14ac:dyDescent="0.25">
      <c r="A306" s="11" t="str">
        <f>HYPERLINK("https://rth.dk/resources/bsgatlas/details.php?id=BSGatlas-transcript-305","BSGatlas-transcript-305")</f>
        <v>BSGatlas-transcript-305</v>
      </c>
      <c r="B306" s="1" t="s">
        <v>348</v>
      </c>
      <c r="C306" s="3">
        <v>310880</v>
      </c>
      <c r="D306" s="3">
        <v>311915</v>
      </c>
      <c r="E306" s="1" t="s">
        <v>13</v>
      </c>
      <c r="F306" s="1">
        <v>0</v>
      </c>
      <c r="G306" s="1" t="s">
        <v>4372</v>
      </c>
      <c r="H306" s="1" t="s">
        <v>4372</v>
      </c>
      <c r="I306" s="1" t="s">
        <v>4397</v>
      </c>
      <c r="J306" s="1" t="s">
        <v>4820</v>
      </c>
      <c r="K306" s="1" t="s">
        <v>318</v>
      </c>
    </row>
    <row r="307" spans="1:11" ht="21" x14ac:dyDescent="0.25">
      <c r="A307" s="11" t="str">
        <f>HYPERLINK("https://rth.dk/resources/bsgatlas/details.php?id=BSGatlas-transcript-306","BSGatlas-transcript-306")</f>
        <v>BSGatlas-transcript-306</v>
      </c>
      <c r="B307" s="1" t="s">
        <v>4821</v>
      </c>
      <c r="C307" s="3">
        <v>311859</v>
      </c>
      <c r="D307" s="3">
        <v>314798</v>
      </c>
      <c r="E307" s="1" t="s">
        <v>9</v>
      </c>
      <c r="F307" s="1">
        <v>3</v>
      </c>
      <c r="G307" s="1">
        <v>301</v>
      </c>
      <c r="H307" s="1" t="s">
        <v>4372</v>
      </c>
      <c r="I307" s="1" t="s">
        <v>4377</v>
      </c>
      <c r="J307" s="1" t="s">
        <v>4822</v>
      </c>
      <c r="K307" s="1" t="s">
        <v>4823</v>
      </c>
    </row>
    <row r="308" spans="1:11" ht="21" x14ac:dyDescent="0.25">
      <c r="A308" s="11" t="str">
        <f>HYPERLINK("https://rth.dk/resources/bsgatlas/details.php?id=BSGatlas-transcript-307","BSGatlas-transcript-307")</f>
        <v>BSGatlas-transcript-307</v>
      </c>
      <c r="B308" s="1" t="s">
        <v>4824</v>
      </c>
      <c r="C308" s="3">
        <v>311859</v>
      </c>
      <c r="D308" s="3">
        <v>317603</v>
      </c>
      <c r="E308" s="1" t="s">
        <v>9</v>
      </c>
      <c r="F308" s="1">
        <v>4</v>
      </c>
      <c r="G308" s="1">
        <v>301</v>
      </c>
      <c r="H308" s="1" t="s">
        <v>4372</v>
      </c>
      <c r="I308" s="1" t="s">
        <v>4373</v>
      </c>
      <c r="J308" s="1" t="s">
        <v>4822</v>
      </c>
      <c r="K308" s="1" t="s">
        <v>4825</v>
      </c>
    </row>
    <row r="309" spans="1:11" ht="21" x14ac:dyDescent="0.25">
      <c r="A309" s="11" t="str">
        <f>HYPERLINK("https://rth.dk/resources/bsgatlas/details.php?id=BSGatlas-transcript-308","BSGatlas-transcript-308")</f>
        <v>BSGatlas-transcript-308</v>
      </c>
      <c r="B309" s="1" t="s">
        <v>4824</v>
      </c>
      <c r="C309" s="3">
        <v>311859</v>
      </c>
      <c r="D309" s="3">
        <v>317651</v>
      </c>
      <c r="E309" s="1" t="s">
        <v>9</v>
      </c>
      <c r="F309" s="1">
        <v>4</v>
      </c>
      <c r="G309" s="1">
        <v>301</v>
      </c>
      <c r="H309" s="1">
        <v>49</v>
      </c>
      <c r="I309" s="1" t="s">
        <v>4373</v>
      </c>
      <c r="J309" s="1" t="s">
        <v>4822</v>
      </c>
      <c r="K309" s="1" t="s">
        <v>4826</v>
      </c>
    </row>
    <row r="310" spans="1:11" ht="21" x14ac:dyDescent="0.25">
      <c r="A310" s="11" t="str">
        <f>HYPERLINK("https://rth.dk/resources/bsgatlas/details.php?id=BSGatlas-transcript-309","BSGatlas-transcript-309")</f>
        <v>BSGatlas-transcript-309</v>
      </c>
      <c r="B310" s="1" t="s">
        <v>4821</v>
      </c>
      <c r="C310" s="3">
        <v>312067</v>
      </c>
      <c r="D310" s="3">
        <v>314798</v>
      </c>
      <c r="E310" s="1" t="s">
        <v>9</v>
      </c>
      <c r="F310" s="1">
        <v>3</v>
      </c>
      <c r="G310" s="1">
        <v>93</v>
      </c>
      <c r="H310" s="1" t="s">
        <v>4372</v>
      </c>
      <c r="I310" s="1" t="s">
        <v>4377</v>
      </c>
      <c r="J310" s="1" t="s">
        <v>4827</v>
      </c>
      <c r="K310" s="1" t="s">
        <v>4823</v>
      </c>
    </row>
    <row r="311" spans="1:11" ht="21" x14ac:dyDescent="0.25">
      <c r="A311" s="11" t="str">
        <f>HYPERLINK("https://rth.dk/resources/bsgatlas/details.php?id=BSGatlas-transcript-310","BSGatlas-transcript-310")</f>
        <v>BSGatlas-transcript-310</v>
      </c>
      <c r="B311" s="1" t="s">
        <v>4824</v>
      </c>
      <c r="C311" s="3">
        <v>312067</v>
      </c>
      <c r="D311" s="3">
        <v>317603</v>
      </c>
      <c r="E311" s="1" t="s">
        <v>9</v>
      </c>
      <c r="F311" s="1">
        <v>4</v>
      </c>
      <c r="G311" s="1">
        <v>93</v>
      </c>
      <c r="H311" s="1" t="s">
        <v>4372</v>
      </c>
      <c r="I311" s="1" t="s">
        <v>4373</v>
      </c>
      <c r="J311" s="1" t="s">
        <v>4827</v>
      </c>
      <c r="K311" s="1" t="s">
        <v>4825</v>
      </c>
    </row>
    <row r="312" spans="1:11" ht="21" x14ac:dyDescent="0.25">
      <c r="A312" s="11" t="str">
        <f>HYPERLINK("https://rth.dk/resources/bsgatlas/details.php?id=BSGatlas-transcript-311","BSGatlas-transcript-311")</f>
        <v>BSGatlas-transcript-311</v>
      </c>
      <c r="B312" s="1" t="s">
        <v>4824</v>
      </c>
      <c r="C312" s="3">
        <v>312067</v>
      </c>
      <c r="D312" s="3">
        <v>317651</v>
      </c>
      <c r="E312" s="1" t="s">
        <v>9</v>
      </c>
      <c r="F312" s="1">
        <v>4</v>
      </c>
      <c r="G312" s="1">
        <v>93</v>
      </c>
      <c r="H312" s="1">
        <v>49</v>
      </c>
      <c r="I312" s="1" t="s">
        <v>4373</v>
      </c>
      <c r="J312" s="1" t="s">
        <v>4827</v>
      </c>
      <c r="K312" s="1" t="s">
        <v>4826</v>
      </c>
    </row>
    <row r="313" spans="1:11" ht="21" x14ac:dyDescent="0.25">
      <c r="A313" s="11" t="str">
        <f>HYPERLINK("https://rth.dk/resources/bsgatlas/details.php?id=BSGatlas-transcript-312","BSGatlas-transcript-312")</f>
        <v>BSGatlas-transcript-312</v>
      </c>
      <c r="B313" s="1" t="s">
        <v>4821</v>
      </c>
      <c r="C313" s="3">
        <v>312080</v>
      </c>
      <c r="D313" s="3">
        <v>314798</v>
      </c>
      <c r="E313" s="1" t="s">
        <v>9</v>
      </c>
      <c r="F313" s="1">
        <v>3</v>
      </c>
      <c r="G313" s="1">
        <v>80</v>
      </c>
      <c r="H313" s="1" t="s">
        <v>4372</v>
      </c>
      <c r="I313" s="1" t="s">
        <v>4377</v>
      </c>
      <c r="J313" s="1" t="s">
        <v>4828</v>
      </c>
      <c r="K313" s="1" t="s">
        <v>4823</v>
      </c>
    </row>
    <row r="314" spans="1:11" ht="21" x14ac:dyDescent="0.25">
      <c r="A314" s="11" t="str">
        <f>HYPERLINK("https://rth.dk/resources/bsgatlas/details.php?id=BSGatlas-transcript-313","BSGatlas-transcript-313")</f>
        <v>BSGatlas-transcript-313</v>
      </c>
      <c r="B314" s="1" t="s">
        <v>4824</v>
      </c>
      <c r="C314" s="3">
        <v>312080</v>
      </c>
      <c r="D314" s="3">
        <v>317603</v>
      </c>
      <c r="E314" s="1" t="s">
        <v>9</v>
      </c>
      <c r="F314" s="1">
        <v>4</v>
      </c>
      <c r="G314" s="1">
        <v>80</v>
      </c>
      <c r="H314" s="1" t="s">
        <v>4372</v>
      </c>
      <c r="I314" s="1" t="s">
        <v>4373</v>
      </c>
      <c r="J314" s="1" t="s">
        <v>4828</v>
      </c>
      <c r="K314" s="1" t="s">
        <v>4825</v>
      </c>
    </row>
    <row r="315" spans="1:11" ht="21" x14ac:dyDescent="0.25">
      <c r="A315" s="11" t="str">
        <f>HYPERLINK("https://rth.dk/resources/bsgatlas/details.php?id=BSGatlas-transcript-314","BSGatlas-transcript-314")</f>
        <v>BSGatlas-transcript-314</v>
      </c>
      <c r="B315" s="1" t="s">
        <v>4824</v>
      </c>
      <c r="C315" s="3">
        <v>312080</v>
      </c>
      <c r="D315" s="3">
        <v>317651</v>
      </c>
      <c r="E315" s="1" t="s">
        <v>9</v>
      </c>
      <c r="F315" s="1">
        <v>4</v>
      </c>
      <c r="G315" s="1">
        <v>80</v>
      </c>
      <c r="H315" s="1">
        <v>49</v>
      </c>
      <c r="I315" s="1" t="s">
        <v>4373</v>
      </c>
      <c r="J315" s="1" t="s">
        <v>4828</v>
      </c>
      <c r="K315" s="1" t="s">
        <v>4826</v>
      </c>
    </row>
    <row r="316" spans="1:11" ht="21" x14ac:dyDescent="0.25">
      <c r="A316" s="11" t="str">
        <f>HYPERLINK("https://rth.dk/resources/bsgatlas/details.php?id=BSGatlas-transcript-315","BSGatlas-transcript-315")</f>
        <v>BSGatlas-transcript-315</v>
      </c>
      <c r="B316" s="1" t="s">
        <v>355</v>
      </c>
      <c r="C316" s="3">
        <v>317687</v>
      </c>
      <c r="D316" s="3">
        <v>318927</v>
      </c>
      <c r="E316" s="1" t="s">
        <v>9</v>
      </c>
      <c r="F316" s="1">
        <v>0</v>
      </c>
      <c r="G316" s="1" t="s">
        <v>4372</v>
      </c>
      <c r="H316" s="1" t="s">
        <v>4372</v>
      </c>
      <c r="I316" s="1" t="s">
        <v>4386</v>
      </c>
      <c r="J316" s="1" t="s">
        <v>4829</v>
      </c>
      <c r="K316" s="1" t="s">
        <v>4830</v>
      </c>
    </row>
    <row r="317" spans="1:11" ht="21" x14ac:dyDescent="0.25">
      <c r="A317" s="11" t="str">
        <f>HYPERLINK("https://rth.dk/resources/bsgatlas/details.php?id=BSGatlas-transcript-316","BSGatlas-transcript-316")</f>
        <v>BSGatlas-transcript-316</v>
      </c>
      <c r="B317" s="1" t="s">
        <v>356</v>
      </c>
      <c r="C317" s="3">
        <v>319180</v>
      </c>
      <c r="D317" s="3">
        <v>320352</v>
      </c>
      <c r="E317" s="1" t="s">
        <v>13</v>
      </c>
      <c r="F317" s="1">
        <v>0</v>
      </c>
      <c r="G317" s="1" t="s">
        <v>4372</v>
      </c>
      <c r="H317" s="1" t="s">
        <v>4372</v>
      </c>
      <c r="I317" s="1" t="s">
        <v>4377</v>
      </c>
      <c r="J317" s="1" t="s">
        <v>318</v>
      </c>
      <c r="K317" s="1" t="s">
        <v>4831</v>
      </c>
    </row>
    <row r="318" spans="1:11" ht="21" x14ac:dyDescent="0.25">
      <c r="A318" s="11" t="str">
        <f>HYPERLINK("https://rth.dk/resources/bsgatlas/details.php?id=BSGatlas-transcript-317","BSGatlas-transcript-317")</f>
        <v>BSGatlas-transcript-317</v>
      </c>
      <c r="B318" s="1" t="s">
        <v>357</v>
      </c>
      <c r="C318" s="3">
        <v>320421</v>
      </c>
      <c r="D318" s="3">
        <v>320723</v>
      </c>
      <c r="E318" s="1" t="s">
        <v>13</v>
      </c>
      <c r="F318" s="1">
        <v>0</v>
      </c>
      <c r="G318" s="1" t="s">
        <v>4372</v>
      </c>
      <c r="H318" s="1" t="s">
        <v>4372</v>
      </c>
      <c r="I318" s="1" t="s">
        <v>4373</v>
      </c>
      <c r="J318" s="1" t="s">
        <v>4832</v>
      </c>
      <c r="K318" s="1" t="s">
        <v>4833</v>
      </c>
    </row>
    <row r="319" spans="1:11" ht="21" x14ac:dyDescent="0.25">
      <c r="A319" s="11" t="str">
        <f>HYPERLINK("https://rth.dk/resources/bsgatlas/details.php?id=BSGatlas-transcript-318","BSGatlas-transcript-318")</f>
        <v>BSGatlas-transcript-318</v>
      </c>
      <c r="B319" s="1" t="s">
        <v>4834</v>
      </c>
      <c r="C319" s="3">
        <v>320952</v>
      </c>
      <c r="D319" s="3">
        <v>324000</v>
      </c>
      <c r="E319" s="1" t="s">
        <v>9</v>
      </c>
      <c r="F319" s="1">
        <v>0</v>
      </c>
      <c r="G319" s="1" t="s">
        <v>4372</v>
      </c>
      <c r="H319" s="1" t="s">
        <v>4372</v>
      </c>
      <c r="I319" s="1" t="s">
        <v>4373</v>
      </c>
      <c r="J319" s="1" t="s">
        <v>4835</v>
      </c>
      <c r="K319" s="1" t="s">
        <v>4836</v>
      </c>
    </row>
    <row r="320" spans="1:11" ht="21" x14ac:dyDescent="0.25">
      <c r="A320" s="11" t="str">
        <f>HYPERLINK("https://rth.dk/resources/bsgatlas/details.php?id=BSGatlas-transcript-319","BSGatlas-transcript-319")</f>
        <v>BSGatlas-transcript-319</v>
      </c>
      <c r="B320" s="1" t="s">
        <v>4834</v>
      </c>
      <c r="C320" s="3">
        <v>320952</v>
      </c>
      <c r="D320" s="3">
        <v>324042</v>
      </c>
      <c r="E320" s="1" t="s">
        <v>9</v>
      </c>
      <c r="F320" s="1">
        <v>0</v>
      </c>
      <c r="G320" s="1" t="s">
        <v>4372</v>
      </c>
      <c r="H320" s="1" t="s">
        <v>4372</v>
      </c>
      <c r="I320" s="1" t="s">
        <v>4373</v>
      </c>
      <c r="J320" s="1" t="s">
        <v>4835</v>
      </c>
      <c r="K320" s="1" t="s">
        <v>4837</v>
      </c>
    </row>
    <row r="321" spans="1:11" ht="21" x14ac:dyDescent="0.25">
      <c r="A321" s="11" t="str">
        <f>HYPERLINK("https://rth.dk/resources/bsgatlas/details.php?id=BSGatlas-transcript-320","BSGatlas-transcript-320")</f>
        <v>BSGatlas-transcript-320</v>
      </c>
      <c r="B321" s="1" t="s">
        <v>4834</v>
      </c>
      <c r="C321" s="3">
        <v>320989</v>
      </c>
      <c r="D321" s="3">
        <v>324000</v>
      </c>
      <c r="E321" s="1" t="s">
        <v>9</v>
      </c>
      <c r="F321" s="1">
        <v>0</v>
      </c>
      <c r="G321" s="1" t="s">
        <v>4372</v>
      </c>
      <c r="H321" s="1" t="s">
        <v>4372</v>
      </c>
      <c r="I321" s="1" t="s">
        <v>4373</v>
      </c>
      <c r="J321" s="1" t="s">
        <v>4838</v>
      </c>
      <c r="K321" s="1" t="s">
        <v>4836</v>
      </c>
    </row>
    <row r="322" spans="1:11" ht="21" x14ac:dyDescent="0.25">
      <c r="A322" s="11" t="str">
        <f>HYPERLINK("https://rth.dk/resources/bsgatlas/details.php?id=BSGatlas-transcript-321","BSGatlas-transcript-321")</f>
        <v>BSGatlas-transcript-321</v>
      </c>
      <c r="B322" s="1" t="s">
        <v>4834</v>
      </c>
      <c r="C322" s="3">
        <v>320989</v>
      </c>
      <c r="D322" s="3">
        <v>324042</v>
      </c>
      <c r="E322" s="1" t="s">
        <v>9</v>
      </c>
      <c r="F322" s="1">
        <v>0</v>
      </c>
      <c r="G322" s="1" t="s">
        <v>4372</v>
      </c>
      <c r="H322" s="1" t="s">
        <v>4372</v>
      </c>
      <c r="I322" s="1" t="s">
        <v>4373</v>
      </c>
      <c r="J322" s="1" t="s">
        <v>4838</v>
      </c>
      <c r="K322" s="1" t="s">
        <v>4837</v>
      </c>
    </row>
    <row r="323" spans="1:11" ht="21" x14ac:dyDescent="0.25">
      <c r="A323" s="11" t="str">
        <f>HYPERLINK("https://rth.dk/resources/bsgatlas/details.php?id=BSGatlas-transcript-322","BSGatlas-transcript-322")</f>
        <v>BSGatlas-transcript-322</v>
      </c>
      <c r="B323" s="1" t="s">
        <v>4834</v>
      </c>
      <c r="C323" s="3">
        <v>320990</v>
      </c>
      <c r="D323" s="3">
        <v>324000</v>
      </c>
      <c r="E323" s="1" t="s">
        <v>9</v>
      </c>
      <c r="F323" s="1">
        <v>0</v>
      </c>
      <c r="G323" s="1" t="s">
        <v>4372</v>
      </c>
      <c r="H323" s="1" t="s">
        <v>4372</v>
      </c>
      <c r="I323" s="1" t="s">
        <v>4373</v>
      </c>
      <c r="J323" s="1" t="s">
        <v>4839</v>
      </c>
      <c r="K323" s="1" t="s">
        <v>4836</v>
      </c>
    </row>
    <row r="324" spans="1:11" ht="21" x14ac:dyDescent="0.25">
      <c r="A324" s="11" t="str">
        <f>HYPERLINK("https://rth.dk/resources/bsgatlas/details.php?id=BSGatlas-transcript-323","BSGatlas-transcript-323")</f>
        <v>BSGatlas-transcript-323</v>
      </c>
      <c r="B324" s="1" t="s">
        <v>4834</v>
      </c>
      <c r="C324" s="3">
        <v>320990</v>
      </c>
      <c r="D324" s="3">
        <v>324042</v>
      </c>
      <c r="E324" s="1" t="s">
        <v>9</v>
      </c>
      <c r="F324" s="1">
        <v>0</v>
      </c>
      <c r="G324" s="1" t="s">
        <v>4372</v>
      </c>
      <c r="H324" s="1" t="s">
        <v>4372</v>
      </c>
      <c r="I324" s="1" t="s">
        <v>4373</v>
      </c>
      <c r="J324" s="1" t="s">
        <v>4839</v>
      </c>
      <c r="K324" s="1" t="s">
        <v>4837</v>
      </c>
    </row>
    <row r="325" spans="1:11" ht="21" x14ac:dyDescent="0.25">
      <c r="A325" s="11" t="str">
        <f>HYPERLINK("https://rth.dk/resources/bsgatlas/details.php?id=BSGatlas-transcript-324","BSGatlas-transcript-324")</f>
        <v>BSGatlas-transcript-324</v>
      </c>
      <c r="B325" s="1" t="s">
        <v>361</v>
      </c>
      <c r="C325" s="3">
        <v>323994</v>
      </c>
      <c r="D325" s="3">
        <v>325266</v>
      </c>
      <c r="E325" s="1" t="s">
        <v>13</v>
      </c>
      <c r="F325" s="1">
        <v>0</v>
      </c>
      <c r="G325" s="1" t="s">
        <v>4372</v>
      </c>
      <c r="H325" s="1" t="s">
        <v>4372</v>
      </c>
      <c r="I325" s="1" t="s">
        <v>4373</v>
      </c>
      <c r="J325" s="1" t="s">
        <v>4840</v>
      </c>
      <c r="K325" s="1" t="s">
        <v>4841</v>
      </c>
    </row>
    <row r="326" spans="1:11" ht="21" x14ac:dyDescent="0.25">
      <c r="A326" s="11" t="str">
        <f>HYPERLINK("https://rth.dk/resources/bsgatlas/details.php?id=BSGatlas-transcript-325","BSGatlas-transcript-325")</f>
        <v>BSGatlas-transcript-325</v>
      </c>
      <c r="B326" s="1" t="s">
        <v>362</v>
      </c>
      <c r="C326" s="3">
        <v>325280</v>
      </c>
      <c r="D326" s="3">
        <v>326818</v>
      </c>
      <c r="E326" s="1" t="s">
        <v>9</v>
      </c>
      <c r="F326" s="1">
        <v>0</v>
      </c>
      <c r="G326" s="1" t="s">
        <v>4372</v>
      </c>
      <c r="H326" s="1" t="s">
        <v>4372</v>
      </c>
      <c r="I326" s="1" t="s">
        <v>4373</v>
      </c>
      <c r="J326" s="1" t="s">
        <v>4842</v>
      </c>
      <c r="K326" s="1" t="s">
        <v>4843</v>
      </c>
    </row>
    <row r="327" spans="1:11" ht="21" x14ac:dyDescent="0.25">
      <c r="A327" s="11" t="str">
        <f>HYPERLINK("https://rth.dk/resources/bsgatlas/details.php?id=BSGatlas-transcript-326","BSGatlas-transcript-326")</f>
        <v>BSGatlas-transcript-326</v>
      </c>
      <c r="B327" s="1" t="s">
        <v>363</v>
      </c>
      <c r="C327" s="3">
        <v>326116</v>
      </c>
      <c r="D327" s="3">
        <v>327469</v>
      </c>
      <c r="E327" s="1" t="s">
        <v>9</v>
      </c>
      <c r="F327" s="1">
        <v>0</v>
      </c>
      <c r="G327" s="1" t="s">
        <v>4372</v>
      </c>
      <c r="H327" s="1" t="s">
        <v>4372</v>
      </c>
      <c r="I327" s="1" t="s">
        <v>4382</v>
      </c>
      <c r="J327" s="1" t="s">
        <v>4844</v>
      </c>
      <c r="K327" s="1" t="s">
        <v>318</v>
      </c>
    </row>
    <row r="328" spans="1:11" ht="21" x14ac:dyDescent="0.25">
      <c r="A328" s="11" t="str">
        <f>HYPERLINK("https://rth.dk/resources/bsgatlas/details.php?id=BSGatlas-transcript-327","BSGatlas-transcript-327")</f>
        <v>BSGatlas-transcript-327</v>
      </c>
      <c r="B328" s="1" t="s">
        <v>4845</v>
      </c>
      <c r="C328" s="3">
        <v>326116</v>
      </c>
      <c r="D328" s="3">
        <v>329661</v>
      </c>
      <c r="E328" s="1" t="s">
        <v>9</v>
      </c>
      <c r="F328" s="1">
        <v>1</v>
      </c>
      <c r="G328" s="1">
        <v>773</v>
      </c>
      <c r="H328" s="1">
        <v>65</v>
      </c>
      <c r="I328" s="1" t="s">
        <v>4386</v>
      </c>
      <c r="J328" s="1" t="s">
        <v>4844</v>
      </c>
      <c r="K328" s="1" t="s">
        <v>4846</v>
      </c>
    </row>
    <row r="329" spans="1:11" ht="21" x14ac:dyDescent="0.25">
      <c r="A329" s="11" t="str">
        <f>HYPERLINK("https://rth.dk/resources/bsgatlas/details.php?id=BSGatlas-transcript-328","BSGatlas-transcript-328")</f>
        <v>BSGatlas-transcript-328</v>
      </c>
      <c r="B329" s="1" t="s">
        <v>363</v>
      </c>
      <c r="C329" s="3">
        <v>326846</v>
      </c>
      <c r="D329" s="3">
        <v>327469</v>
      </c>
      <c r="E329" s="1" t="s">
        <v>9</v>
      </c>
      <c r="F329" s="1">
        <v>0</v>
      </c>
      <c r="G329" s="1" t="s">
        <v>4372</v>
      </c>
      <c r="H329" s="1" t="s">
        <v>4372</v>
      </c>
      <c r="I329" s="1" t="s">
        <v>4382</v>
      </c>
      <c r="J329" s="1" t="s">
        <v>4847</v>
      </c>
      <c r="K329" s="1" t="s">
        <v>318</v>
      </c>
    </row>
    <row r="330" spans="1:11" ht="21" x14ac:dyDescent="0.25">
      <c r="A330" s="11" t="str">
        <f>HYPERLINK("https://rth.dk/resources/bsgatlas/details.php?id=BSGatlas-transcript-329","BSGatlas-transcript-329")</f>
        <v>BSGatlas-transcript-329</v>
      </c>
      <c r="B330" s="1" t="s">
        <v>4845</v>
      </c>
      <c r="C330" s="3">
        <v>326846</v>
      </c>
      <c r="D330" s="3">
        <v>329661</v>
      </c>
      <c r="E330" s="1" t="s">
        <v>9</v>
      </c>
      <c r="F330" s="1">
        <v>1</v>
      </c>
      <c r="G330" s="1">
        <v>43</v>
      </c>
      <c r="H330" s="1">
        <v>65</v>
      </c>
      <c r="I330" s="1" t="s">
        <v>4386</v>
      </c>
      <c r="J330" s="1" t="s">
        <v>4847</v>
      </c>
      <c r="K330" s="1" t="s">
        <v>4846</v>
      </c>
    </row>
    <row r="331" spans="1:11" ht="21" x14ac:dyDescent="0.25">
      <c r="A331" s="11" t="str">
        <f>HYPERLINK("https://rth.dk/resources/bsgatlas/details.php?id=BSGatlas-transcript-330","BSGatlas-transcript-330")</f>
        <v>BSGatlas-transcript-330</v>
      </c>
      <c r="B331" s="1" t="s">
        <v>364</v>
      </c>
      <c r="C331" s="3">
        <v>327282</v>
      </c>
      <c r="D331" s="3">
        <v>329661</v>
      </c>
      <c r="E331" s="1" t="s">
        <v>9</v>
      </c>
      <c r="F331" s="1">
        <v>0</v>
      </c>
      <c r="G331" s="1" t="s">
        <v>4372</v>
      </c>
      <c r="H331" s="1" t="s">
        <v>4372</v>
      </c>
      <c r="I331" s="1" t="s">
        <v>4373</v>
      </c>
      <c r="J331" s="1" t="s">
        <v>4848</v>
      </c>
      <c r="K331" s="1" t="s">
        <v>4846</v>
      </c>
    </row>
    <row r="332" spans="1:11" ht="21" x14ac:dyDescent="0.25">
      <c r="A332" s="11" t="str">
        <f>HYPERLINK("https://rth.dk/resources/bsgatlas/details.php?id=BSGatlas-transcript-331","BSGatlas-transcript-331")</f>
        <v>BSGatlas-transcript-331</v>
      </c>
      <c r="B332" s="1" t="s">
        <v>364</v>
      </c>
      <c r="C332" s="3">
        <v>327497</v>
      </c>
      <c r="D332" s="3">
        <v>329661</v>
      </c>
      <c r="E332" s="1" t="s">
        <v>9</v>
      </c>
      <c r="F332" s="1">
        <v>0</v>
      </c>
      <c r="G332" s="1" t="s">
        <v>4372</v>
      </c>
      <c r="H332" s="1" t="s">
        <v>4372</v>
      </c>
      <c r="I332" s="1" t="s">
        <v>4373</v>
      </c>
      <c r="J332" s="1" t="s">
        <v>4849</v>
      </c>
      <c r="K332" s="1" t="s">
        <v>4846</v>
      </c>
    </row>
    <row r="333" spans="1:11" ht="21" x14ac:dyDescent="0.25">
      <c r="A333" s="11" t="str">
        <f>HYPERLINK("https://rth.dk/resources/bsgatlas/details.php?id=BSGatlas-transcript-332","BSGatlas-transcript-332")</f>
        <v>BSGatlas-transcript-332</v>
      </c>
      <c r="B333" s="1" t="s">
        <v>365</v>
      </c>
      <c r="C333" s="3">
        <v>329715</v>
      </c>
      <c r="D333" s="3">
        <v>330799</v>
      </c>
      <c r="E333" s="1" t="s">
        <v>9</v>
      </c>
      <c r="F333" s="1">
        <v>0</v>
      </c>
      <c r="G333" s="1" t="s">
        <v>4372</v>
      </c>
      <c r="H333" s="1" t="s">
        <v>4372</v>
      </c>
      <c r="I333" s="1" t="s">
        <v>4377</v>
      </c>
      <c r="J333" s="1" t="s">
        <v>4850</v>
      </c>
      <c r="K333" s="1" t="s">
        <v>4851</v>
      </c>
    </row>
    <row r="334" spans="1:11" ht="21" x14ac:dyDescent="0.25">
      <c r="A334" s="11" t="str">
        <f>HYPERLINK("https://rth.dk/resources/bsgatlas/details.php?id=BSGatlas-transcript-333","BSGatlas-transcript-333")</f>
        <v>BSGatlas-transcript-333</v>
      </c>
      <c r="B334" s="1" t="s">
        <v>4852</v>
      </c>
      <c r="C334" s="3">
        <v>329715</v>
      </c>
      <c r="D334" s="3">
        <v>332445</v>
      </c>
      <c r="E334" s="1" t="s">
        <v>9</v>
      </c>
      <c r="F334" s="1">
        <v>1</v>
      </c>
      <c r="G334" s="1">
        <v>60</v>
      </c>
      <c r="H334" s="1">
        <v>50</v>
      </c>
      <c r="I334" s="1" t="s">
        <v>4373</v>
      </c>
      <c r="J334" s="1" t="s">
        <v>4850</v>
      </c>
      <c r="K334" s="1" t="s">
        <v>4853</v>
      </c>
    </row>
    <row r="335" spans="1:11" ht="21" x14ac:dyDescent="0.25">
      <c r="A335" s="11" t="str">
        <f>HYPERLINK("https://rth.dk/resources/bsgatlas/details.php?id=BSGatlas-transcript-334","BSGatlas-transcript-334")</f>
        <v>BSGatlas-transcript-334</v>
      </c>
      <c r="B335" s="1" t="s">
        <v>367</v>
      </c>
      <c r="C335" s="3">
        <v>332391</v>
      </c>
      <c r="D335" s="3">
        <v>333979</v>
      </c>
      <c r="E335" s="1" t="s">
        <v>13</v>
      </c>
      <c r="F335" s="1">
        <v>0</v>
      </c>
      <c r="G335" s="1" t="s">
        <v>4372</v>
      </c>
      <c r="H335" s="1" t="s">
        <v>4372</v>
      </c>
      <c r="I335" s="1" t="s">
        <v>4382</v>
      </c>
      <c r="J335" s="1" t="s">
        <v>4854</v>
      </c>
      <c r="K335" s="1" t="s">
        <v>4855</v>
      </c>
    </row>
    <row r="336" spans="1:11" ht="21" x14ac:dyDescent="0.25">
      <c r="A336" s="11" t="str">
        <f>HYPERLINK("https://rth.dk/resources/bsgatlas/details.php?id=BSGatlas-transcript-335","BSGatlas-transcript-335")</f>
        <v>BSGatlas-transcript-335</v>
      </c>
      <c r="B336" s="1" t="s">
        <v>367</v>
      </c>
      <c r="C336" s="3">
        <v>332391</v>
      </c>
      <c r="D336" s="3">
        <v>334062</v>
      </c>
      <c r="E336" s="1" t="s">
        <v>13</v>
      </c>
      <c r="F336" s="1">
        <v>0</v>
      </c>
      <c r="G336" s="1" t="s">
        <v>4372</v>
      </c>
      <c r="H336" s="1" t="s">
        <v>4372</v>
      </c>
      <c r="I336" s="1" t="s">
        <v>4382</v>
      </c>
      <c r="J336" s="1" t="s">
        <v>4856</v>
      </c>
      <c r="K336" s="1" t="s">
        <v>4855</v>
      </c>
    </row>
    <row r="337" spans="1:11" ht="21" x14ac:dyDescent="0.25">
      <c r="A337" s="11" t="str">
        <f>HYPERLINK("https://rth.dk/resources/bsgatlas/details.php?id=BSGatlas-transcript-336","BSGatlas-transcript-336")</f>
        <v>BSGatlas-transcript-336</v>
      </c>
      <c r="B337" s="1" t="s">
        <v>367</v>
      </c>
      <c r="C337" s="3">
        <v>332441</v>
      </c>
      <c r="D337" s="3">
        <v>333979</v>
      </c>
      <c r="E337" s="1" t="s">
        <v>13</v>
      </c>
      <c r="F337" s="1">
        <v>0</v>
      </c>
      <c r="G337" s="1" t="s">
        <v>4372</v>
      </c>
      <c r="H337" s="1" t="s">
        <v>4372</v>
      </c>
      <c r="I337" s="1" t="s">
        <v>4382</v>
      </c>
      <c r="J337" s="1" t="s">
        <v>4854</v>
      </c>
      <c r="K337" s="1" t="s">
        <v>4857</v>
      </c>
    </row>
    <row r="338" spans="1:11" ht="21" x14ac:dyDescent="0.25">
      <c r="A338" s="11" t="str">
        <f>HYPERLINK("https://rth.dk/resources/bsgatlas/details.php?id=BSGatlas-transcript-337","BSGatlas-transcript-337")</f>
        <v>BSGatlas-transcript-337</v>
      </c>
      <c r="B338" s="1" t="s">
        <v>367</v>
      </c>
      <c r="C338" s="3">
        <v>332441</v>
      </c>
      <c r="D338" s="3">
        <v>334062</v>
      </c>
      <c r="E338" s="1" t="s">
        <v>13</v>
      </c>
      <c r="F338" s="1">
        <v>0</v>
      </c>
      <c r="G338" s="1" t="s">
        <v>4372</v>
      </c>
      <c r="H338" s="1" t="s">
        <v>4372</v>
      </c>
      <c r="I338" s="1" t="s">
        <v>4382</v>
      </c>
      <c r="J338" s="1" t="s">
        <v>4856</v>
      </c>
      <c r="K338" s="1" t="s">
        <v>4857</v>
      </c>
    </row>
    <row r="339" spans="1:11" ht="21" x14ac:dyDescent="0.25">
      <c r="A339" s="11" t="str">
        <f>HYPERLINK("https://rth.dk/resources/bsgatlas/details.php?id=BSGatlas-transcript-338","BSGatlas-transcript-338")</f>
        <v>BSGatlas-transcript-338</v>
      </c>
      <c r="B339" s="1" t="s">
        <v>4858</v>
      </c>
      <c r="C339" s="3">
        <v>334027</v>
      </c>
      <c r="D339" s="3">
        <v>336123</v>
      </c>
      <c r="E339" s="1" t="s">
        <v>9</v>
      </c>
      <c r="F339" s="1">
        <v>2</v>
      </c>
      <c r="G339" s="1">
        <v>66</v>
      </c>
      <c r="H339" s="1">
        <v>34</v>
      </c>
      <c r="I339" s="1" t="s">
        <v>4386</v>
      </c>
      <c r="J339" s="1" t="s">
        <v>4859</v>
      </c>
      <c r="K339" s="1" t="s">
        <v>4860</v>
      </c>
    </row>
    <row r="340" spans="1:11" ht="21" x14ac:dyDescent="0.25">
      <c r="A340" s="11" t="str">
        <f>HYPERLINK("https://rth.dk/resources/bsgatlas/details.php?id=BSGatlas-transcript-339","BSGatlas-transcript-339")</f>
        <v>BSGatlas-transcript-339</v>
      </c>
      <c r="B340" s="1" t="s">
        <v>4861</v>
      </c>
      <c r="C340" s="3">
        <v>334600</v>
      </c>
      <c r="D340" s="3">
        <v>336123</v>
      </c>
      <c r="E340" s="1" t="s">
        <v>9</v>
      </c>
      <c r="F340" s="1">
        <v>1</v>
      </c>
      <c r="G340" s="1">
        <v>31</v>
      </c>
      <c r="H340" s="1">
        <v>34</v>
      </c>
      <c r="I340" s="1" t="s">
        <v>4373</v>
      </c>
      <c r="J340" s="1" t="s">
        <v>4862</v>
      </c>
      <c r="K340" s="1" t="s">
        <v>4860</v>
      </c>
    </row>
    <row r="341" spans="1:11" ht="21" x14ac:dyDescent="0.25">
      <c r="A341" s="11" t="str">
        <f>HYPERLINK("https://rth.dk/resources/bsgatlas/details.php?id=BSGatlas-transcript-340","BSGatlas-transcript-340")</f>
        <v>BSGatlas-transcript-340</v>
      </c>
      <c r="B341" s="1" t="s">
        <v>370</v>
      </c>
      <c r="C341" s="3">
        <v>335301</v>
      </c>
      <c r="D341" s="3">
        <v>336123</v>
      </c>
      <c r="E341" s="1" t="s">
        <v>9</v>
      </c>
      <c r="F341" s="1">
        <v>0</v>
      </c>
      <c r="G341" s="1" t="s">
        <v>4372</v>
      </c>
      <c r="H341" s="1" t="s">
        <v>4372</v>
      </c>
      <c r="I341" s="1" t="s">
        <v>4386</v>
      </c>
      <c r="J341" s="1" t="s">
        <v>4863</v>
      </c>
      <c r="K341" s="1" t="s">
        <v>4860</v>
      </c>
    </row>
    <row r="342" spans="1:11" ht="21" x14ac:dyDescent="0.25">
      <c r="A342" s="11" t="str">
        <f>HYPERLINK("https://rth.dk/resources/bsgatlas/details.php?id=BSGatlas-transcript-341","BSGatlas-transcript-341")</f>
        <v>BSGatlas-transcript-341</v>
      </c>
      <c r="B342" s="1" t="s">
        <v>371</v>
      </c>
      <c r="C342" s="3">
        <v>335696</v>
      </c>
      <c r="D342" s="3">
        <v>337469</v>
      </c>
      <c r="E342" s="1" t="s">
        <v>13</v>
      </c>
      <c r="F342" s="1">
        <v>0</v>
      </c>
      <c r="G342" s="1" t="s">
        <v>4372</v>
      </c>
      <c r="H342" s="1" t="s">
        <v>4372</v>
      </c>
      <c r="I342" s="1" t="s">
        <v>4397</v>
      </c>
      <c r="J342" s="1" t="s">
        <v>4864</v>
      </c>
      <c r="K342" s="1" t="s">
        <v>4865</v>
      </c>
    </row>
    <row r="343" spans="1:11" ht="21" x14ac:dyDescent="0.25">
      <c r="A343" s="11" t="str">
        <f>HYPERLINK("https://rth.dk/resources/bsgatlas/details.php?id=BSGatlas-transcript-342","BSGatlas-transcript-342")</f>
        <v>BSGatlas-transcript-342</v>
      </c>
      <c r="B343" s="1" t="s">
        <v>372</v>
      </c>
      <c r="C343" s="3">
        <v>337525</v>
      </c>
      <c r="D343" s="3">
        <v>338158</v>
      </c>
      <c r="E343" s="1" t="s">
        <v>9</v>
      </c>
      <c r="F343" s="1">
        <v>0</v>
      </c>
      <c r="G343" s="1" t="s">
        <v>4372</v>
      </c>
      <c r="H343" s="1" t="s">
        <v>4372</v>
      </c>
      <c r="I343" s="1" t="s">
        <v>4373</v>
      </c>
      <c r="J343" s="1" t="s">
        <v>4866</v>
      </c>
      <c r="K343" s="1" t="s">
        <v>318</v>
      </c>
    </row>
    <row r="344" spans="1:11" ht="21" x14ac:dyDescent="0.25">
      <c r="A344" s="11" t="str">
        <f>HYPERLINK("https://rth.dk/resources/bsgatlas/details.php?id=BSGatlas-transcript-343","BSGatlas-transcript-343")</f>
        <v>BSGatlas-transcript-343</v>
      </c>
      <c r="B344" s="1" t="s">
        <v>373</v>
      </c>
      <c r="C344" s="3">
        <v>338204</v>
      </c>
      <c r="D344" s="3">
        <v>339106</v>
      </c>
      <c r="E344" s="1" t="s">
        <v>9</v>
      </c>
      <c r="F344" s="1">
        <v>0</v>
      </c>
      <c r="G344" s="1" t="s">
        <v>4372</v>
      </c>
      <c r="H344" s="1" t="s">
        <v>4372</v>
      </c>
      <c r="I344" s="1" t="s">
        <v>4373</v>
      </c>
      <c r="J344" s="1" t="s">
        <v>4867</v>
      </c>
      <c r="K344" s="1" t="s">
        <v>4868</v>
      </c>
    </row>
    <row r="345" spans="1:11" ht="21" x14ac:dyDescent="0.25">
      <c r="A345" s="11" t="str">
        <f>HYPERLINK("https://rth.dk/resources/bsgatlas/details.php?id=BSGatlas-transcript-344","BSGatlas-transcript-344")</f>
        <v>BSGatlas-transcript-344</v>
      </c>
      <c r="B345" s="1" t="s">
        <v>373</v>
      </c>
      <c r="C345" s="3">
        <v>338204</v>
      </c>
      <c r="D345" s="3">
        <v>339150</v>
      </c>
      <c r="E345" s="1" t="s">
        <v>9</v>
      </c>
      <c r="F345" s="1">
        <v>0</v>
      </c>
      <c r="G345" s="1" t="s">
        <v>4372</v>
      </c>
      <c r="H345" s="1" t="s">
        <v>4372</v>
      </c>
      <c r="I345" s="1" t="s">
        <v>4373</v>
      </c>
      <c r="J345" s="1" t="s">
        <v>4867</v>
      </c>
      <c r="K345" s="1" t="s">
        <v>4869</v>
      </c>
    </row>
    <row r="346" spans="1:11" ht="21" x14ac:dyDescent="0.25">
      <c r="A346" s="11" t="str">
        <f>HYPERLINK("https://rth.dk/resources/bsgatlas/details.php?id=BSGatlas-transcript-345","BSGatlas-transcript-345")</f>
        <v>BSGatlas-transcript-345</v>
      </c>
      <c r="B346" s="1" t="s">
        <v>373</v>
      </c>
      <c r="C346" s="3">
        <v>338255</v>
      </c>
      <c r="D346" s="3">
        <v>339106</v>
      </c>
      <c r="E346" s="1" t="s">
        <v>9</v>
      </c>
      <c r="F346" s="1">
        <v>0</v>
      </c>
      <c r="G346" s="1" t="s">
        <v>4372</v>
      </c>
      <c r="H346" s="1" t="s">
        <v>4372</v>
      </c>
      <c r="I346" s="1" t="s">
        <v>4373</v>
      </c>
      <c r="J346" s="1" t="s">
        <v>4870</v>
      </c>
      <c r="K346" s="1" t="s">
        <v>4868</v>
      </c>
    </row>
    <row r="347" spans="1:11" ht="21" x14ac:dyDescent="0.25">
      <c r="A347" s="11" t="str">
        <f>HYPERLINK("https://rth.dk/resources/bsgatlas/details.php?id=BSGatlas-transcript-346","BSGatlas-transcript-346")</f>
        <v>BSGatlas-transcript-346</v>
      </c>
      <c r="B347" s="1" t="s">
        <v>373</v>
      </c>
      <c r="C347" s="3">
        <v>338255</v>
      </c>
      <c r="D347" s="3">
        <v>339150</v>
      </c>
      <c r="E347" s="1" t="s">
        <v>9</v>
      </c>
      <c r="F347" s="1">
        <v>0</v>
      </c>
      <c r="G347" s="1" t="s">
        <v>4372</v>
      </c>
      <c r="H347" s="1" t="s">
        <v>4372</v>
      </c>
      <c r="I347" s="1" t="s">
        <v>4373</v>
      </c>
      <c r="J347" s="1" t="s">
        <v>4870</v>
      </c>
      <c r="K347" s="1" t="s">
        <v>4869</v>
      </c>
    </row>
    <row r="348" spans="1:11" ht="21" x14ac:dyDescent="0.25">
      <c r="A348" s="11" t="str">
        <f>HYPERLINK("https://rth.dk/resources/bsgatlas/details.php?id=BSGatlas-transcript-347","BSGatlas-transcript-347")</f>
        <v>BSGatlas-transcript-347</v>
      </c>
      <c r="B348" s="1" t="s">
        <v>374</v>
      </c>
      <c r="C348" s="3">
        <v>338261</v>
      </c>
      <c r="D348" s="3">
        <v>339779</v>
      </c>
      <c r="E348" s="1" t="s">
        <v>13</v>
      </c>
      <c r="F348" s="1">
        <v>0</v>
      </c>
      <c r="G348" s="1" t="s">
        <v>4372</v>
      </c>
      <c r="H348" s="1" t="s">
        <v>4372</v>
      </c>
      <c r="I348" s="1" t="s">
        <v>4373</v>
      </c>
      <c r="J348" s="1" t="s">
        <v>4871</v>
      </c>
      <c r="K348" s="1" t="s">
        <v>4872</v>
      </c>
    </row>
    <row r="349" spans="1:11" ht="21" x14ac:dyDescent="0.25">
      <c r="A349" s="11" t="str">
        <f>HYPERLINK("https://rth.dk/resources/bsgatlas/details.php?id=BSGatlas-transcript-348","BSGatlas-transcript-348")</f>
        <v>BSGatlas-transcript-348</v>
      </c>
      <c r="B349" s="1" t="s">
        <v>374</v>
      </c>
      <c r="C349" s="3">
        <v>339102</v>
      </c>
      <c r="D349" s="3">
        <v>339779</v>
      </c>
      <c r="E349" s="1" t="s">
        <v>13</v>
      </c>
      <c r="F349" s="1">
        <v>0</v>
      </c>
      <c r="G349" s="1" t="s">
        <v>4372</v>
      </c>
      <c r="H349" s="1" t="s">
        <v>4372</v>
      </c>
      <c r="I349" s="1" t="s">
        <v>4373</v>
      </c>
      <c r="J349" s="1" t="s">
        <v>4871</v>
      </c>
      <c r="K349" s="1" t="s">
        <v>4873</v>
      </c>
    </row>
    <row r="350" spans="1:11" ht="21" x14ac:dyDescent="0.25">
      <c r="A350" s="11" t="str">
        <f>HYPERLINK("https://rth.dk/resources/bsgatlas/details.php?id=BSGatlas-transcript-349","BSGatlas-transcript-349")</f>
        <v>BSGatlas-transcript-349</v>
      </c>
      <c r="B350" s="1" t="s">
        <v>374</v>
      </c>
      <c r="C350" s="3">
        <v>339141</v>
      </c>
      <c r="D350" s="3">
        <v>339779</v>
      </c>
      <c r="E350" s="1" t="s">
        <v>13</v>
      </c>
      <c r="F350" s="1">
        <v>0</v>
      </c>
      <c r="G350" s="1" t="s">
        <v>4372</v>
      </c>
      <c r="H350" s="1" t="s">
        <v>4372</v>
      </c>
      <c r="I350" s="1" t="s">
        <v>4373</v>
      </c>
      <c r="J350" s="1" t="s">
        <v>4871</v>
      </c>
      <c r="K350" s="1" t="s">
        <v>4874</v>
      </c>
    </row>
    <row r="351" spans="1:11" ht="21" x14ac:dyDescent="0.25">
      <c r="A351" s="11" t="str">
        <f>HYPERLINK("https://rth.dk/resources/bsgatlas/details.php?id=BSGatlas-transcript-350","BSGatlas-transcript-350")</f>
        <v>BSGatlas-transcript-350</v>
      </c>
      <c r="B351" s="1" t="s">
        <v>375</v>
      </c>
      <c r="C351" s="3">
        <v>339807</v>
      </c>
      <c r="D351" s="3">
        <v>339955</v>
      </c>
      <c r="E351" s="1" t="s">
        <v>13</v>
      </c>
      <c r="F351" s="1">
        <v>0</v>
      </c>
      <c r="G351" s="1" t="s">
        <v>4372</v>
      </c>
      <c r="H351" s="1" t="s">
        <v>4372</v>
      </c>
      <c r="I351" s="1" t="s">
        <v>4377</v>
      </c>
      <c r="J351" s="1" t="s">
        <v>4875</v>
      </c>
      <c r="K351" s="1" t="s">
        <v>318</v>
      </c>
    </row>
    <row r="352" spans="1:11" ht="21" x14ac:dyDescent="0.25">
      <c r="A352" s="11" t="str">
        <f>HYPERLINK("https://rth.dk/resources/bsgatlas/details.php?id=BSGatlas-transcript-351","BSGatlas-transcript-351")</f>
        <v>BSGatlas-transcript-351</v>
      </c>
      <c r="B352" s="1" t="s">
        <v>376</v>
      </c>
      <c r="C352" s="3">
        <v>339881</v>
      </c>
      <c r="D352" s="3">
        <v>340622</v>
      </c>
      <c r="E352" s="1" t="s">
        <v>9</v>
      </c>
      <c r="F352" s="1">
        <v>0</v>
      </c>
      <c r="G352" s="1" t="s">
        <v>4372</v>
      </c>
      <c r="H352" s="1" t="s">
        <v>4372</v>
      </c>
      <c r="I352" s="1" t="s">
        <v>4373</v>
      </c>
      <c r="J352" s="1" t="s">
        <v>4876</v>
      </c>
      <c r="K352" s="1" t="s">
        <v>4877</v>
      </c>
    </row>
    <row r="353" spans="1:11" ht="21" x14ac:dyDescent="0.25">
      <c r="A353" s="11" t="str">
        <f>HYPERLINK("https://rth.dk/resources/bsgatlas/details.php?id=BSGatlas-transcript-352","BSGatlas-transcript-352")</f>
        <v>BSGatlas-transcript-352</v>
      </c>
      <c r="B353" s="1" t="s">
        <v>376</v>
      </c>
      <c r="C353" s="3">
        <v>339989</v>
      </c>
      <c r="D353" s="3">
        <v>340622</v>
      </c>
      <c r="E353" s="1" t="s">
        <v>9</v>
      </c>
      <c r="F353" s="1">
        <v>0</v>
      </c>
      <c r="G353" s="1" t="s">
        <v>4372</v>
      </c>
      <c r="H353" s="1" t="s">
        <v>4372</v>
      </c>
      <c r="I353" s="1" t="s">
        <v>4373</v>
      </c>
      <c r="J353" s="1" t="s">
        <v>4878</v>
      </c>
      <c r="K353" s="1" t="s">
        <v>4877</v>
      </c>
    </row>
    <row r="354" spans="1:11" ht="21" x14ac:dyDescent="0.25">
      <c r="A354" s="11" t="str">
        <f>HYPERLINK("https://rth.dk/resources/bsgatlas/details.php?id=BSGatlas-transcript-353","BSGatlas-transcript-353")</f>
        <v>BSGatlas-transcript-353</v>
      </c>
      <c r="B354" s="1" t="s">
        <v>377</v>
      </c>
      <c r="C354" s="3">
        <v>340613</v>
      </c>
      <c r="D354" s="3">
        <v>341412</v>
      </c>
      <c r="E354" s="1" t="s">
        <v>13</v>
      </c>
      <c r="F354" s="1">
        <v>0</v>
      </c>
      <c r="G354" s="1" t="s">
        <v>4372</v>
      </c>
      <c r="H354" s="1" t="s">
        <v>4372</v>
      </c>
      <c r="I354" s="1" t="s">
        <v>4397</v>
      </c>
      <c r="J354" s="1" t="s">
        <v>4879</v>
      </c>
      <c r="K354" s="1" t="s">
        <v>4880</v>
      </c>
    </row>
    <row r="355" spans="1:11" ht="21" x14ac:dyDescent="0.25">
      <c r="A355" s="11" t="str">
        <f>HYPERLINK("https://rth.dk/resources/bsgatlas/details.php?id=BSGatlas-transcript-354","BSGatlas-transcript-354")</f>
        <v>BSGatlas-transcript-354</v>
      </c>
      <c r="B355" s="1" t="s">
        <v>4881</v>
      </c>
      <c r="C355" s="3">
        <v>341441</v>
      </c>
      <c r="D355" s="3">
        <v>343543</v>
      </c>
      <c r="E355" s="1" t="s">
        <v>9</v>
      </c>
      <c r="F355" s="1">
        <v>1</v>
      </c>
      <c r="G355" s="1">
        <v>52</v>
      </c>
      <c r="H355" s="1">
        <v>50</v>
      </c>
      <c r="I355" s="1" t="s">
        <v>4377</v>
      </c>
      <c r="J355" s="1" t="s">
        <v>4882</v>
      </c>
      <c r="K355" s="1" t="s">
        <v>4883</v>
      </c>
    </row>
    <row r="356" spans="1:11" ht="21" x14ac:dyDescent="0.25">
      <c r="A356" s="11" t="str">
        <f>HYPERLINK("https://rth.dk/resources/bsgatlas/details.php?id=BSGatlas-transcript-355","BSGatlas-transcript-355")</f>
        <v>BSGatlas-transcript-355</v>
      </c>
      <c r="B356" s="1" t="s">
        <v>4884</v>
      </c>
      <c r="C356" s="3">
        <v>341441</v>
      </c>
      <c r="D356" s="3">
        <v>344360</v>
      </c>
      <c r="E356" s="1" t="s">
        <v>9</v>
      </c>
      <c r="F356" s="1">
        <v>2</v>
      </c>
      <c r="G356" s="1">
        <v>52</v>
      </c>
      <c r="H356" s="1" t="s">
        <v>4372</v>
      </c>
      <c r="I356" s="1" t="s">
        <v>4386</v>
      </c>
      <c r="J356" s="1" t="s">
        <v>4882</v>
      </c>
      <c r="K356" s="1" t="s">
        <v>4885</v>
      </c>
    </row>
    <row r="357" spans="1:11" ht="21" x14ac:dyDescent="0.25">
      <c r="A357" s="11" t="str">
        <f>HYPERLINK("https://rth.dk/resources/bsgatlas/details.php?id=BSGatlas-transcript-356","BSGatlas-transcript-356")</f>
        <v>BSGatlas-transcript-356</v>
      </c>
      <c r="B357" s="1" t="s">
        <v>379</v>
      </c>
      <c r="C357" s="3">
        <v>342538</v>
      </c>
      <c r="D357" s="3">
        <v>343543</v>
      </c>
      <c r="E357" s="1" t="s">
        <v>9</v>
      </c>
      <c r="F357" s="1">
        <v>0</v>
      </c>
      <c r="G357" s="1" t="s">
        <v>4372</v>
      </c>
      <c r="H357" s="1" t="s">
        <v>4372</v>
      </c>
      <c r="I357" s="1" t="s">
        <v>4373</v>
      </c>
      <c r="J357" s="1" t="s">
        <v>4886</v>
      </c>
      <c r="K357" s="1" t="s">
        <v>4883</v>
      </c>
    </row>
    <row r="358" spans="1:11" ht="21" x14ac:dyDescent="0.25">
      <c r="A358" s="11" t="str">
        <f>HYPERLINK("https://rth.dk/resources/bsgatlas/details.php?id=BSGatlas-transcript-357","BSGatlas-transcript-357")</f>
        <v>BSGatlas-transcript-357</v>
      </c>
      <c r="B358" s="1" t="s">
        <v>4887</v>
      </c>
      <c r="C358" s="3">
        <v>342538</v>
      </c>
      <c r="D358" s="3">
        <v>344360</v>
      </c>
      <c r="E358" s="1" t="s">
        <v>9</v>
      </c>
      <c r="F358" s="1">
        <v>1</v>
      </c>
      <c r="G358" s="1" t="s">
        <v>4372</v>
      </c>
      <c r="H358" s="1" t="s">
        <v>4372</v>
      </c>
      <c r="I358" s="1" t="s">
        <v>4377</v>
      </c>
      <c r="J358" s="1" t="s">
        <v>4886</v>
      </c>
      <c r="K358" s="1" t="s">
        <v>4885</v>
      </c>
    </row>
    <row r="359" spans="1:11" ht="21" x14ac:dyDescent="0.25">
      <c r="A359" s="11" t="str">
        <f>HYPERLINK("https://rth.dk/resources/bsgatlas/details.php?id=BSGatlas-transcript-358","BSGatlas-transcript-358")</f>
        <v>BSGatlas-transcript-358</v>
      </c>
      <c r="B359" s="1" t="s">
        <v>380</v>
      </c>
      <c r="C359" s="3">
        <v>343578</v>
      </c>
      <c r="D359" s="3">
        <v>344360</v>
      </c>
      <c r="E359" s="1" t="s">
        <v>9</v>
      </c>
      <c r="F359" s="1">
        <v>0</v>
      </c>
      <c r="G359" s="1" t="s">
        <v>4372</v>
      </c>
      <c r="H359" s="1" t="s">
        <v>4372</v>
      </c>
      <c r="I359" s="1" t="s">
        <v>4377</v>
      </c>
      <c r="J359" s="1" t="s">
        <v>4888</v>
      </c>
      <c r="K359" s="1" t="s">
        <v>4885</v>
      </c>
    </row>
    <row r="360" spans="1:11" ht="21" x14ac:dyDescent="0.25">
      <c r="A360" s="11" t="str">
        <f>HYPERLINK("https://rth.dk/resources/bsgatlas/details.php?id=BSGatlas-transcript-359","BSGatlas-transcript-359")</f>
        <v>BSGatlas-transcript-359</v>
      </c>
      <c r="B360" s="1" t="s">
        <v>4889</v>
      </c>
      <c r="C360" s="3">
        <v>344499</v>
      </c>
      <c r="D360" s="3">
        <v>347065</v>
      </c>
      <c r="E360" s="1" t="s">
        <v>9</v>
      </c>
      <c r="F360" s="1">
        <v>1</v>
      </c>
      <c r="G360" s="1">
        <v>53</v>
      </c>
      <c r="H360" s="1">
        <v>40</v>
      </c>
      <c r="I360" s="1" t="s">
        <v>4547</v>
      </c>
      <c r="J360" s="1" t="s">
        <v>4890</v>
      </c>
      <c r="K360" s="1" t="s">
        <v>4891</v>
      </c>
    </row>
    <row r="361" spans="1:11" ht="21" x14ac:dyDescent="0.25">
      <c r="A361" s="11" t="str">
        <f>HYPERLINK("https://rth.dk/resources/bsgatlas/details.php?id=BSGatlas-transcript-360","BSGatlas-transcript-360")</f>
        <v>BSGatlas-transcript-360</v>
      </c>
      <c r="B361" s="1" t="s">
        <v>4892</v>
      </c>
      <c r="C361" s="3">
        <v>344499</v>
      </c>
      <c r="D361" s="3">
        <v>348571</v>
      </c>
      <c r="E361" s="1" t="s">
        <v>9</v>
      </c>
      <c r="F361" s="1">
        <v>2</v>
      </c>
      <c r="G361" s="1">
        <v>53</v>
      </c>
      <c r="H361" s="1" t="s">
        <v>4372</v>
      </c>
      <c r="I361" s="1" t="s">
        <v>4397</v>
      </c>
      <c r="J361" s="1" t="s">
        <v>4890</v>
      </c>
      <c r="K361" s="1" t="s">
        <v>4893</v>
      </c>
    </row>
    <row r="362" spans="1:11" ht="21" x14ac:dyDescent="0.25">
      <c r="A362" s="11" t="str">
        <f>HYPERLINK("https://rth.dk/resources/bsgatlas/details.php?id=BSGatlas-transcript-361","BSGatlas-transcript-361")</f>
        <v>BSGatlas-transcript-361</v>
      </c>
      <c r="B362" s="1" t="s">
        <v>383</v>
      </c>
      <c r="C362" s="3">
        <v>346478</v>
      </c>
      <c r="D362" s="3">
        <v>348571</v>
      </c>
      <c r="E362" s="1" t="s">
        <v>9</v>
      </c>
      <c r="F362" s="1">
        <v>0</v>
      </c>
      <c r="G362" s="1" t="s">
        <v>4372</v>
      </c>
      <c r="H362" s="1" t="s">
        <v>4372</v>
      </c>
      <c r="I362" s="1" t="s">
        <v>4386</v>
      </c>
      <c r="J362" s="1" t="s">
        <v>4894</v>
      </c>
      <c r="K362" s="1" t="s">
        <v>4893</v>
      </c>
    </row>
    <row r="363" spans="1:11" ht="21" x14ac:dyDescent="0.25">
      <c r="A363" s="11" t="str">
        <f>HYPERLINK("https://rth.dk/resources/bsgatlas/details.php?id=BSGatlas-transcript-362","BSGatlas-transcript-362")</f>
        <v>BSGatlas-transcript-362</v>
      </c>
      <c r="B363" s="1" t="s">
        <v>383</v>
      </c>
      <c r="C363" s="3">
        <v>346589</v>
      </c>
      <c r="D363" s="3">
        <v>348571</v>
      </c>
      <c r="E363" s="1" t="s">
        <v>9</v>
      </c>
      <c r="F363" s="1">
        <v>0</v>
      </c>
      <c r="G363" s="1" t="s">
        <v>4372</v>
      </c>
      <c r="H363" s="1" t="s">
        <v>4372</v>
      </c>
      <c r="I363" s="1" t="s">
        <v>4386</v>
      </c>
      <c r="J363" s="1" t="s">
        <v>4895</v>
      </c>
      <c r="K363" s="1" t="s">
        <v>4893</v>
      </c>
    </row>
    <row r="364" spans="1:11" ht="21" x14ac:dyDescent="0.25">
      <c r="A364" s="11" t="str">
        <f>HYPERLINK("https://rth.dk/resources/bsgatlas/details.php?id=BSGatlas-transcript-363","BSGatlas-transcript-363")</f>
        <v>BSGatlas-transcript-363</v>
      </c>
      <c r="B364" s="1" t="s">
        <v>383</v>
      </c>
      <c r="C364" s="3">
        <v>347029</v>
      </c>
      <c r="D364" s="3">
        <v>348571</v>
      </c>
      <c r="E364" s="1" t="s">
        <v>9</v>
      </c>
      <c r="F364" s="1">
        <v>0</v>
      </c>
      <c r="G364" s="1" t="s">
        <v>4372</v>
      </c>
      <c r="H364" s="1" t="s">
        <v>4372</v>
      </c>
      <c r="I364" s="1" t="s">
        <v>4386</v>
      </c>
      <c r="J364" s="1" t="s">
        <v>4896</v>
      </c>
      <c r="K364" s="1" t="s">
        <v>4893</v>
      </c>
    </row>
    <row r="365" spans="1:11" ht="21" x14ac:dyDescent="0.25">
      <c r="A365" s="11" t="str">
        <f>HYPERLINK("https://rth.dk/resources/bsgatlas/details.php?id=BSGatlas-transcript-364","BSGatlas-transcript-364")</f>
        <v>BSGatlas-transcript-364</v>
      </c>
      <c r="B365" s="1" t="s">
        <v>384</v>
      </c>
      <c r="C365" s="3">
        <v>347670</v>
      </c>
      <c r="D365" s="3">
        <v>349525</v>
      </c>
      <c r="E365" s="1" t="s">
        <v>13</v>
      </c>
      <c r="F365" s="1">
        <v>0</v>
      </c>
      <c r="G365" s="1" t="s">
        <v>4372</v>
      </c>
      <c r="H365" s="1" t="s">
        <v>4372</v>
      </c>
      <c r="I365" s="1" t="s">
        <v>4377</v>
      </c>
      <c r="J365" s="1" t="s">
        <v>4897</v>
      </c>
      <c r="K365" s="1" t="s">
        <v>318</v>
      </c>
    </row>
    <row r="366" spans="1:11" ht="21" x14ac:dyDescent="0.25">
      <c r="A366" s="11" t="str">
        <f>HYPERLINK("https://rth.dk/resources/bsgatlas/details.php?id=BSGatlas-transcript-365","BSGatlas-transcript-365")</f>
        <v>BSGatlas-transcript-365</v>
      </c>
      <c r="B366" s="1" t="s">
        <v>385</v>
      </c>
      <c r="C366" s="3">
        <v>348694</v>
      </c>
      <c r="D366" s="3">
        <v>349959</v>
      </c>
      <c r="E366" s="1" t="s">
        <v>9</v>
      </c>
      <c r="F366" s="1">
        <v>0</v>
      </c>
      <c r="G366" s="1" t="s">
        <v>4372</v>
      </c>
      <c r="H366" s="1" t="s">
        <v>4372</v>
      </c>
      <c r="I366" s="1" t="s">
        <v>4397</v>
      </c>
      <c r="J366" s="1" t="s">
        <v>4898</v>
      </c>
      <c r="K366" s="1" t="s">
        <v>318</v>
      </c>
    </row>
    <row r="367" spans="1:11" ht="21" x14ac:dyDescent="0.25">
      <c r="A367" s="11" t="str">
        <f>HYPERLINK("https://rth.dk/resources/bsgatlas/details.php?id=BSGatlas-transcript-366","BSGatlas-transcript-366")</f>
        <v>BSGatlas-transcript-366</v>
      </c>
      <c r="B367" s="1" t="s">
        <v>4899</v>
      </c>
      <c r="C367" s="3">
        <v>349921</v>
      </c>
      <c r="D367" s="3">
        <v>351794</v>
      </c>
      <c r="E367" s="1" t="s">
        <v>13</v>
      </c>
      <c r="F367" s="1">
        <v>0</v>
      </c>
      <c r="G367" s="1" t="s">
        <v>4372</v>
      </c>
      <c r="H367" s="1" t="s">
        <v>4372</v>
      </c>
      <c r="I367" s="1" t="s">
        <v>4386</v>
      </c>
      <c r="J367" s="1" t="s">
        <v>4900</v>
      </c>
      <c r="K367" s="1" t="s">
        <v>4901</v>
      </c>
    </row>
    <row r="368" spans="1:11" ht="21" x14ac:dyDescent="0.25">
      <c r="A368" s="11" t="str">
        <f>HYPERLINK("https://rth.dk/resources/bsgatlas/details.php?id=BSGatlas-transcript-367","BSGatlas-transcript-367")</f>
        <v>BSGatlas-transcript-367</v>
      </c>
      <c r="B368" s="1" t="s">
        <v>4902</v>
      </c>
      <c r="C368" s="3">
        <v>349921</v>
      </c>
      <c r="D368" s="3">
        <v>352735</v>
      </c>
      <c r="E368" s="1" t="s">
        <v>13</v>
      </c>
      <c r="F368" s="1">
        <v>1</v>
      </c>
      <c r="G368" s="1">
        <v>40</v>
      </c>
      <c r="H368" s="1">
        <v>76</v>
      </c>
      <c r="I368" s="1" t="s">
        <v>4386</v>
      </c>
      <c r="J368" s="1" t="s">
        <v>4903</v>
      </c>
      <c r="K368" s="1" t="s">
        <v>4901</v>
      </c>
    </row>
    <row r="369" spans="1:11" ht="21" x14ac:dyDescent="0.25">
      <c r="A369" s="11" t="str">
        <f>HYPERLINK("https://rth.dk/resources/bsgatlas/details.php?id=BSGatlas-transcript-368","BSGatlas-transcript-368")</f>
        <v>BSGatlas-transcript-368</v>
      </c>
      <c r="B369" s="1" t="s">
        <v>4902</v>
      </c>
      <c r="C369" s="3">
        <v>349921</v>
      </c>
      <c r="D369" s="3">
        <v>352803</v>
      </c>
      <c r="E369" s="1" t="s">
        <v>13</v>
      </c>
      <c r="F369" s="1">
        <v>1</v>
      </c>
      <c r="G369" s="1">
        <v>108</v>
      </c>
      <c r="H369" s="1">
        <v>76</v>
      </c>
      <c r="I369" s="1" t="s">
        <v>4386</v>
      </c>
      <c r="J369" s="1" t="s">
        <v>4904</v>
      </c>
      <c r="K369" s="1" t="s">
        <v>4901</v>
      </c>
    </row>
    <row r="370" spans="1:11" ht="21" x14ac:dyDescent="0.25">
      <c r="A370" s="11" t="str">
        <f>HYPERLINK("https://rth.dk/resources/bsgatlas/details.php?id=BSGatlas-transcript-369","BSGatlas-transcript-369")</f>
        <v>BSGatlas-transcript-369</v>
      </c>
      <c r="B370" s="1" t="s">
        <v>4899</v>
      </c>
      <c r="C370" s="3">
        <v>349996</v>
      </c>
      <c r="D370" s="3">
        <v>351794</v>
      </c>
      <c r="E370" s="1" t="s">
        <v>13</v>
      </c>
      <c r="F370" s="1">
        <v>0</v>
      </c>
      <c r="G370" s="1" t="s">
        <v>4372</v>
      </c>
      <c r="H370" s="1" t="s">
        <v>4372</v>
      </c>
      <c r="I370" s="1" t="s">
        <v>4386</v>
      </c>
      <c r="J370" s="1" t="s">
        <v>4900</v>
      </c>
      <c r="K370" s="1" t="s">
        <v>4905</v>
      </c>
    </row>
    <row r="371" spans="1:11" ht="21" x14ac:dyDescent="0.25">
      <c r="A371" s="11" t="str">
        <f>HYPERLINK("https://rth.dk/resources/bsgatlas/details.php?id=BSGatlas-transcript-370","BSGatlas-transcript-370")</f>
        <v>BSGatlas-transcript-370</v>
      </c>
      <c r="B371" s="1" t="s">
        <v>4902</v>
      </c>
      <c r="C371" s="3">
        <v>349996</v>
      </c>
      <c r="D371" s="3">
        <v>352735</v>
      </c>
      <c r="E371" s="1" t="s">
        <v>13</v>
      </c>
      <c r="F371" s="1">
        <v>1</v>
      </c>
      <c r="G371" s="1">
        <v>40</v>
      </c>
      <c r="H371" s="1" t="s">
        <v>4372</v>
      </c>
      <c r="I371" s="1" t="s">
        <v>4386</v>
      </c>
      <c r="J371" s="1" t="s">
        <v>4903</v>
      </c>
      <c r="K371" s="1" t="s">
        <v>4905</v>
      </c>
    </row>
    <row r="372" spans="1:11" ht="21" x14ac:dyDescent="0.25">
      <c r="A372" s="11" t="str">
        <f>HYPERLINK("https://rth.dk/resources/bsgatlas/details.php?id=BSGatlas-transcript-371","BSGatlas-transcript-371")</f>
        <v>BSGatlas-transcript-371</v>
      </c>
      <c r="B372" s="1" t="s">
        <v>4902</v>
      </c>
      <c r="C372" s="3">
        <v>349996</v>
      </c>
      <c r="D372" s="3">
        <v>352803</v>
      </c>
      <c r="E372" s="1" t="s">
        <v>13</v>
      </c>
      <c r="F372" s="1">
        <v>1</v>
      </c>
      <c r="G372" s="1">
        <v>108</v>
      </c>
      <c r="H372" s="1" t="s">
        <v>4372</v>
      </c>
      <c r="I372" s="1" t="s">
        <v>4386</v>
      </c>
      <c r="J372" s="1" t="s">
        <v>4904</v>
      </c>
      <c r="K372" s="1" t="s">
        <v>4905</v>
      </c>
    </row>
    <row r="373" spans="1:11" ht="21" x14ac:dyDescent="0.25">
      <c r="A373" s="11" t="str">
        <f>HYPERLINK("https://rth.dk/resources/bsgatlas/details.php?id=BSGatlas-transcript-372","BSGatlas-transcript-372")</f>
        <v>BSGatlas-transcript-372</v>
      </c>
      <c r="B373" s="1" t="s">
        <v>389</v>
      </c>
      <c r="C373" s="3">
        <v>352794</v>
      </c>
      <c r="D373" s="3">
        <v>353929</v>
      </c>
      <c r="E373" s="1" t="s">
        <v>9</v>
      </c>
      <c r="F373" s="1">
        <v>0</v>
      </c>
      <c r="G373" s="1" t="s">
        <v>4372</v>
      </c>
      <c r="H373" s="1" t="s">
        <v>4372</v>
      </c>
      <c r="I373" s="1" t="s">
        <v>4373</v>
      </c>
      <c r="J373" s="1" t="s">
        <v>4906</v>
      </c>
      <c r="K373" s="1" t="s">
        <v>4907</v>
      </c>
    </row>
    <row r="374" spans="1:11" ht="21" x14ac:dyDescent="0.25">
      <c r="A374" s="11" t="str">
        <f>HYPERLINK("https://rth.dk/resources/bsgatlas/details.php?id=BSGatlas-transcript-373","BSGatlas-transcript-373")</f>
        <v>BSGatlas-transcript-373</v>
      </c>
      <c r="B374" s="1" t="s">
        <v>4908</v>
      </c>
      <c r="C374" s="3">
        <v>353856</v>
      </c>
      <c r="D374" s="3">
        <v>355732</v>
      </c>
      <c r="E374" s="1" t="s">
        <v>13</v>
      </c>
      <c r="F374" s="1">
        <v>1</v>
      </c>
      <c r="G374" s="1" t="s">
        <v>4372</v>
      </c>
      <c r="H374" s="1">
        <v>45</v>
      </c>
      <c r="I374" s="1" t="s">
        <v>4377</v>
      </c>
      <c r="J374" s="1" t="s">
        <v>4909</v>
      </c>
      <c r="K374" s="1" t="s">
        <v>4910</v>
      </c>
    </row>
    <row r="375" spans="1:11" ht="21" x14ac:dyDescent="0.25">
      <c r="A375" s="11" t="str">
        <f>HYPERLINK("https://rth.dk/resources/bsgatlas/details.php?id=BSGatlas-transcript-374","BSGatlas-transcript-374")</f>
        <v>BSGatlas-transcript-374</v>
      </c>
      <c r="B375" s="1" t="s">
        <v>4911</v>
      </c>
      <c r="C375" s="3">
        <v>353856</v>
      </c>
      <c r="D375" s="3">
        <v>358211</v>
      </c>
      <c r="E375" s="1" t="s">
        <v>13</v>
      </c>
      <c r="F375" s="1">
        <v>2</v>
      </c>
      <c r="G375" s="1">
        <v>31</v>
      </c>
      <c r="H375" s="1">
        <v>45</v>
      </c>
      <c r="I375" s="1" t="s">
        <v>4397</v>
      </c>
      <c r="J375" s="1" t="s">
        <v>4912</v>
      </c>
      <c r="K375" s="1" t="s">
        <v>4910</v>
      </c>
    </row>
    <row r="376" spans="1:11" ht="21" x14ac:dyDescent="0.25">
      <c r="A376" s="11" t="str">
        <f>HYPERLINK("https://rth.dk/resources/bsgatlas/details.php?id=BSGatlas-transcript-375","BSGatlas-transcript-375")</f>
        <v>BSGatlas-transcript-375</v>
      </c>
      <c r="B376" s="1" t="s">
        <v>4913</v>
      </c>
      <c r="C376" s="3">
        <v>353856</v>
      </c>
      <c r="D376" s="3">
        <v>362797</v>
      </c>
      <c r="E376" s="1" t="s">
        <v>13</v>
      </c>
      <c r="F376" s="1">
        <v>3</v>
      </c>
      <c r="G376" s="1">
        <v>41</v>
      </c>
      <c r="H376" s="1">
        <v>45</v>
      </c>
      <c r="I376" s="1" t="s">
        <v>4373</v>
      </c>
      <c r="J376" s="1" t="s">
        <v>4914</v>
      </c>
      <c r="K376" s="1" t="s">
        <v>4910</v>
      </c>
    </row>
    <row r="377" spans="1:11" ht="21" x14ac:dyDescent="0.25">
      <c r="A377" s="11" t="str">
        <f>HYPERLINK("https://rth.dk/resources/bsgatlas/details.php?id=BSGatlas-transcript-376","BSGatlas-transcript-376")</f>
        <v>BSGatlas-transcript-376</v>
      </c>
      <c r="B377" s="1" t="s">
        <v>395</v>
      </c>
      <c r="C377" s="3">
        <v>362897</v>
      </c>
      <c r="D377" s="3">
        <v>364187</v>
      </c>
      <c r="E377" s="1" t="s">
        <v>9</v>
      </c>
      <c r="F377" s="1">
        <v>0</v>
      </c>
      <c r="G377" s="1" t="s">
        <v>4372</v>
      </c>
      <c r="H377" s="1" t="s">
        <v>4372</v>
      </c>
      <c r="I377" s="1" t="s">
        <v>4373</v>
      </c>
      <c r="J377" s="1" t="s">
        <v>4915</v>
      </c>
      <c r="K377" s="1" t="s">
        <v>4916</v>
      </c>
    </row>
    <row r="378" spans="1:11" ht="21" x14ac:dyDescent="0.25">
      <c r="A378" s="11" t="str">
        <f>HYPERLINK("https://rth.dk/resources/bsgatlas/details.php?id=BSGatlas-transcript-377","BSGatlas-transcript-377")</f>
        <v>BSGatlas-transcript-377</v>
      </c>
      <c r="B378" s="1" t="s">
        <v>4917</v>
      </c>
      <c r="C378" s="3">
        <v>364221</v>
      </c>
      <c r="D378" s="3">
        <v>367298</v>
      </c>
      <c r="E378" s="1" t="s">
        <v>9</v>
      </c>
      <c r="F378" s="1">
        <v>2</v>
      </c>
      <c r="G378" s="1">
        <v>39</v>
      </c>
      <c r="H378" s="1">
        <v>43</v>
      </c>
      <c r="I378" s="1" t="s">
        <v>4373</v>
      </c>
      <c r="J378" s="1" t="s">
        <v>4918</v>
      </c>
      <c r="K378" s="1" t="s">
        <v>4919</v>
      </c>
    </row>
    <row r="379" spans="1:11" ht="21" x14ac:dyDescent="0.25">
      <c r="A379" s="11" t="str">
        <f>HYPERLINK("https://rth.dk/resources/bsgatlas/details.php?id=BSGatlas-transcript-378","BSGatlas-transcript-378")</f>
        <v>BSGatlas-transcript-378</v>
      </c>
      <c r="B379" s="1" t="s">
        <v>4920</v>
      </c>
      <c r="C379" s="3">
        <v>365802</v>
      </c>
      <c r="D379" s="3">
        <v>367298</v>
      </c>
      <c r="E379" s="1" t="s">
        <v>9</v>
      </c>
      <c r="F379" s="1">
        <v>1</v>
      </c>
      <c r="G379" s="1">
        <v>49</v>
      </c>
      <c r="H379" s="1">
        <v>43</v>
      </c>
      <c r="I379" s="1" t="s">
        <v>4397</v>
      </c>
      <c r="J379" s="1" t="s">
        <v>4921</v>
      </c>
      <c r="K379" s="1" t="s">
        <v>4919</v>
      </c>
    </row>
    <row r="380" spans="1:11" ht="21" x14ac:dyDescent="0.25">
      <c r="A380" s="11" t="str">
        <f>HYPERLINK("https://rth.dk/resources/bsgatlas/details.php?id=BSGatlas-transcript-379","BSGatlas-transcript-379")</f>
        <v>BSGatlas-transcript-379</v>
      </c>
      <c r="B380" s="1" t="s">
        <v>4922</v>
      </c>
      <c r="C380" s="3">
        <v>367289</v>
      </c>
      <c r="D380" s="3">
        <v>368892</v>
      </c>
      <c r="E380" s="1" t="s">
        <v>13</v>
      </c>
      <c r="F380" s="1">
        <v>0</v>
      </c>
      <c r="G380" s="1" t="s">
        <v>4372</v>
      </c>
      <c r="H380" s="1" t="s">
        <v>4372</v>
      </c>
      <c r="I380" s="1" t="s">
        <v>4386</v>
      </c>
      <c r="J380" s="1" t="s">
        <v>4923</v>
      </c>
      <c r="K380" s="1" t="s">
        <v>4924</v>
      </c>
    </row>
    <row r="381" spans="1:11" ht="21" x14ac:dyDescent="0.25">
      <c r="A381" s="11" t="str">
        <f>HYPERLINK("https://rth.dk/resources/bsgatlas/details.php?id=BSGatlas-transcript-380","BSGatlas-transcript-380")</f>
        <v>BSGatlas-transcript-380</v>
      </c>
      <c r="B381" s="1" t="s">
        <v>4760</v>
      </c>
      <c r="C381" s="3">
        <v>368964</v>
      </c>
      <c r="D381" s="3">
        <v>369217</v>
      </c>
      <c r="E381" s="1" t="s">
        <v>9</v>
      </c>
      <c r="F381" s="1">
        <v>0</v>
      </c>
      <c r="G381" s="1" t="s">
        <v>4372</v>
      </c>
      <c r="H381" s="1" t="s">
        <v>4372</v>
      </c>
      <c r="I381" s="1" t="s">
        <v>4377</v>
      </c>
      <c r="J381" s="1" t="s">
        <v>4925</v>
      </c>
      <c r="K381" s="1" t="s">
        <v>318</v>
      </c>
    </row>
    <row r="382" spans="1:11" ht="21" x14ac:dyDescent="0.25">
      <c r="A382" s="11" t="str">
        <f>HYPERLINK("https://rth.dk/resources/bsgatlas/details.php?id=BSGatlas-transcript-381","BSGatlas-transcript-381")</f>
        <v>BSGatlas-transcript-381</v>
      </c>
      <c r="B382" s="1" t="s">
        <v>402</v>
      </c>
      <c r="C382" s="3">
        <v>369188</v>
      </c>
      <c r="D382" s="3">
        <v>369716</v>
      </c>
      <c r="E382" s="1" t="s">
        <v>9</v>
      </c>
      <c r="F382" s="1">
        <v>0</v>
      </c>
      <c r="G382" s="1" t="s">
        <v>4372</v>
      </c>
      <c r="H382" s="1" t="s">
        <v>4372</v>
      </c>
      <c r="I382" s="1" t="s">
        <v>4373</v>
      </c>
      <c r="J382" s="1" t="s">
        <v>4926</v>
      </c>
      <c r="K382" s="1" t="s">
        <v>4927</v>
      </c>
    </row>
    <row r="383" spans="1:11" ht="21" x14ac:dyDescent="0.25">
      <c r="A383" s="11" t="str">
        <f>HYPERLINK("https://rth.dk/resources/bsgatlas/details.php?id=BSGatlas-transcript-382","BSGatlas-transcript-382")</f>
        <v>BSGatlas-transcript-382</v>
      </c>
      <c r="B383" s="1" t="s">
        <v>403</v>
      </c>
      <c r="C383" s="3">
        <v>369746</v>
      </c>
      <c r="D383" s="3">
        <v>370150</v>
      </c>
      <c r="E383" s="1" t="s">
        <v>9</v>
      </c>
      <c r="F383" s="1">
        <v>0</v>
      </c>
      <c r="G383" s="1" t="s">
        <v>4372</v>
      </c>
      <c r="H383" s="1" t="s">
        <v>4372</v>
      </c>
      <c r="I383" s="1" t="s">
        <v>4373</v>
      </c>
      <c r="J383" s="1" t="s">
        <v>4928</v>
      </c>
      <c r="K383" s="1" t="s">
        <v>4929</v>
      </c>
    </row>
    <row r="384" spans="1:11" ht="21" x14ac:dyDescent="0.25">
      <c r="A384" s="11" t="str">
        <f>HYPERLINK("https://rth.dk/resources/bsgatlas/details.php?id=BSGatlas-transcript-383","BSGatlas-transcript-383")</f>
        <v>BSGatlas-transcript-383</v>
      </c>
      <c r="B384" s="1" t="s">
        <v>404</v>
      </c>
      <c r="C384" s="3">
        <v>370218</v>
      </c>
      <c r="D384" s="3">
        <v>371736</v>
      </c>
      <c r="E384" s="1" t="s">
        <v>9</v>
      </c>
      <c r="F384" s="1">
        <v>0</v>
      </c>
      <c r="G384" s="1" t="s">
        <v>4372</v>
      </c>
      <c r="H384" s="1" t="s">
        <v>4372</v>
      </c>
      <c r="I384" s="1" t="s">
        <v>4373</v>
      </c>
      <c r="J384" s="1" t="s">
        <v>4930</v>
      </c>
      <c r="K384" s="1" t="s">
        <v>4931</v>
      </c>
    </row>
    <row r="385" spans="1:11" ht="21" x14ac:dyDescent="0.25">
      <c r="A385" s="11" t="str">
        <f>HYPERLINK("https://rth.dk/resources/bsgatlas/details.php?id=BSGatlas-transcript-384","BSGatlas-transcript-384")</f>
        <v>BSGatlas-transcript-384</v>
      </c>
      <c r="B385" s="1" t="s">
        <v>405</v>
      </c>
      <c r="C385" s="3">
        <v>371269</v>
      </c>
      <c r="D385" s="3">
        <v>372164</v>
      </c>
      <c r="E385" s="1" t="s">
        <v>13</v>
      </c>
      <c r="F385" s="1">
        <v>0</v>
      </c>
      <c r="G385" s="1" t="s">
        <v>4372</v>
      </c>
      <c r="H385" s="1" t="s">
        <v>4372</v>
      </c>
      <c r="I385" s="1" t="s">
        <v>4377</v>
      </c>
      <c r="J385" s="1" t="s">
        <v>4932</v>
      </c>
      <c r="K385" s="1" t="s">
        <v>4933</v>
      </c>
    </row>
    <row r="386" spans="1:11" ht="21" x14ac:dyDescent="0.25">
      <c r="A386" s="11" t="str">
        <f>HYPERLINK("https://rth.dk/resources/bsgatlas/details.php?id=BSGatlas-transcript-385","BSGatlas-transcript-385")</f>
        <v>BSGatlas-transcript-385</v>
      </c>
      <c r="B386" s="1" t="s">
        <v>4934</v>
      </c>
      <c r="C386" s="3">
        <v>371269</v>
      </c>
      <c r="D386" s="3">
        <v>372626</v>
      </c>
      <c r="E386" s="1" t="s">
        <v>13</v>
      </c>
      <c r="F386" s="1">
        <v>1</v>
      </c>
      <c r="G386" s="1">
        <v>24</v>
      </c>
      <c r="H386" s="1">
        <v>461</v>
      </c>
      <c r="I386" s="1" t="s">
        <v>4373</v>
      </c>
      <c r="J386" s="1" t="s">
        <v>4935</v>
      </c>
      <c r="K386" s="1" t="s">
        <v>4933</v>
      </c>
    </row>
    <row r="387" spans="1:11" ht="21" x14ac:dyDescent="0.25">
      <c r="A387" s="11" t="str">
        <f>HYPERLINK("https://rth.dk/resources/bsgatlas/details.php?id=BSGatlas-transcript-386","BSGatlas-transcript-386")</f>
        <v>BSGatlas-transcript-386</v>
      </c>
      <c r="B387" s="1" t="s">
        <v>4934</v>
      </c>
      <c r="C387" s="3">
        <v>371269</v>
      </c>
      <c r="D387" s="3">
        <v>372846</v>
      </c>
      <c r="E387" s="1" t="s">
        <v>13</v>
      </c>
      <c r="F387" s="1">
        <v>1</v>
      </c>
      <c r="G387" s="1">
        <v>244</v>
      </c>
      <c r="H387" s="1">
        <v>461</v>
      </c>
      <c r="I387" s="1" t="s">
        <v>4373</v>
      </c>
      <c r="J387" s="1" t="s">
        <v>4936</v>
      </c>
      <c r="K387" s="1" t="s">
        <v>4933</v>
      </c>
    </row>
    <row r="388" spans="1:11" ht="21" x14ac:dyDescent="0.25">
      <c r="A388" s="11" t="str">
        <f>HYPERLINK("https://rth.dk/resources/bsgatlas/details.php?id=BSGatlas-transcript-387","BSGatlas-transcript-387")</f>
        <v>BSGatlas-transcript-387</v>
      </c>
      <c r="B388" s="1" t="s">
        <v>405</v>
      </c>
      <c r="C388" s="3">
        <v>371681</v>
      </c>
      <c r="D388" s="3">
        <v>372164</v>
      </c>
      <c r="E388" s="1" t="s">
        <v>13</v>
      </c>
      <c r="F388" s="1">
        <v>0</v>
      </c>
      <c r="G388" s="1" t="s">
        <v>4372</v>
      </c>
      <c r="H388" s="1" t="s">
        <v>4372</v>
      </c>
      <c r="I388" s="1" t="s">
        <v>4377</v>
      </c>
      <c r="J388" s="1" t="s">
        <v>4932</v>
      </c>
      <c r="K388" s="1" t="s">
        <v>4937</v>
      </c>
    </row>
    <row r="389" spans="1:11" ht="21" x14ac:dyDescent="0.25">
      <c r="A389" s="11" t="str">
        <f>HYPERLINK("https://rth.dk/resources/bsgatlas/details.php?id=BSGatlas-transcript-388","BSGatlas-transcript-388")</f>
        <v>BSGatlas-transcript-388</v>
      </c>
      <c r="B389" s="1" t="s">
        <v>4934</v>
      </c>
      <c r="C389" s="3">
        <v>371681</v>
      </c>
      <c r="D389" s="3">
        <v>372626</v>
      </c>
      <c r="E389" s="1" t="s">
        <v>13</v>
      </c>
      <c r="F389" s="1">
        <v>1</v>
      </c>
      <c r="G389" s="1">
        <v>24</v>
      </c>
      <c r="H389" s="1">
        <v>49</v>
      </c>
      <c r="I389" s="1" t="s">
        <v>4373</v>
      </c>
      <c r="J389" s="1" t="s">
        <v>4935</v>
      </c>
      <c r="K389" s="1" t="s">
        <v>4937</v>
      </c>
    </row>
    <row r="390" spans="1:11" ht="21" x14ac:dyDescent="0.25">
      <c r="A390" s="11" t="str">
        <f>HYPERLINK("https://rth.dk/resources/bsgatlas/details.php?id=BSGatlas-transcript-389","BSGatlas-transcript-389")</f>
        <v>BSGatlas-transcript-389</v>
      </c>
      <c r="B390" s="1" t="s">
        <v>4934</v>
      </c>
      <c r="C390" s="3">
        <v>371681</v>
      </c>
      <c r="D390" s="3">
        <v>372846</v>
      </c>
      <c r="E390" s="1" t="s">
        <v>13</v>
      </c>
      <c r="F390" s="1">
        <v>1</v>
      </c>
      <c r="G390" s="1">
        <v>244</v>
      </c>
      <c r="H390" s="1">
        <v>49</v>
      </c>
      <c r="I390" s="1" t="s">
        <v>4373</v>
      </c>
      <c r="J390" s="1" t="s">
        <v>4936</v>
      </c>
      <c r="K390" s="1" t="s">
        <v>4937</v>
      </c>
    </row>
    <row r="391" spans="1:11" ht="21" x14ac:dyDescent="0.25">
      <c r="A391" s="11" t="str">
        <f>HYPERLINK("https://rth.dk/resources/bsgatlas/details.php?id=BSGatlas-transcript-390","BSGatlas-transcript-390")</f>
        <v>BSGatlas-transcript-390</v>
      </c>
      <c r="B391" s="1" t="s">
        <v>407</v>
      </c>
      <c r="C391" s="3">
        <v>372771</v>
      </c>
      <c r="D391" s="3">
        <v>374531</v>
      </c>
      <c r="E391" s="1" t="s">
        <v>13</v>
      </c>
      <c r="F391" s="1">
        <v>0</v>
      </c>
      <c r="G391" s="1" t="s">
        <v>4372</v>
      </c>
      <c r="H391" s="1" t="s">
        <v>4372</v>
      </c>
      <c r="I391" s="1" t="s">
        <v>4373</v>
      </c>
      <c r="J391" s="1" t="s">
        <v>4938</v>
      </c>
      <c r="K391" s="1" t="s">
        <v>318</v>
      </c>
    </row>
    <row r="392" spans="1:11" ht="21" x14ac:dyDescent="0.25">
      <c r="A392" s="11" t="str">
        <f>HYPERLINK("https://rth.dk/resources/bsgatlas/details.php?id=BSGatlas-transcript-391","BSGatlas-transcript-391")</f>
        <v>BSGatlas-transcript-391</v>
      </c>
      <c r="B392" s="1" t="s">
        <v>4939</v>
      </c>
      <c r="C392" s="3">
        <v>374557</v>
      </c>
      <c r="D392" s="3">
        <v>375839</v>
      </c>
      <c r="E392" s="1" t="s">
        <v>13</v>
      </c>
      <c r="F392" s="1">
        <v>0</v>
      </c>
      <c r="G392" s="1" t="s">
        <v>4372</v>
      </c>
      <c r="H392" s="1" t="s">
        <v>4372</v>
      </c>
      <c r="I392" s="1" t="s">
        <v>4373</v>
      </c>
      <c r="J392" s="1" t="s">
        <v>4940</v>
      </c>
      <c r="K392" s="1" t="s">
        <v>4941</v>
      </c>
    </row>
    <row r="393" spans="1:11" ht="21" x14ac:dyDescent="0.25">
      <c r="A393" s="11" t="str">
        <f>HYPERLINK("https://rth.dk/resources/bsgatlas/details.php?id=BSGatlas-transcript-392","BSGatlas-transcript-392")</f>
        <v>BSGatlas-transcript-392</v>
      </c>
      <c r="B393" s="1" t="s">
        <v>410</v>
      </c>
      <c r="C393" s="3">
        <v>375946</v>
      </c>
      <c r="D393" s="3">
        <v>376430</v>
      </c>
      <c r="E393" s="1" t="s">
        <v>9</v>
      </c>
      <c r="F393" s="1">
        <v>0</v>
      </c>
      <c r="G393" s="1" t="s">
        <v>4372</v>
      </c>
      <c r="H393" s="1" t="s">
        <v>4372</v>
      </c>
      <c r="I393" s="1" t="s">
        <v>4373</v>
      </c>
      <c r="J393" s="1" t="s">
        <v>4942</v>
      </c>
      <c r="K393" s="1" t="s">
        <v>4943</v>
      </c>
    </row>
    <row r="394" spans="1:11" ht="21" x14ac:dyDescent="0.25">
      <c r="A394" s="11" t="str">
        <f>HYPERLINK("https://rth.dk/resources/bsgatlas/details.php?id=BSGatlas-transcript-393","BSGatlas-transcript-393")</f>
        <v>BSGatlas-transcript-393</v>
      </c>
      <c r="B394" s="1" t="s">
        <v>411</v>
      </c>
      <c r="C394" s="3">
        <v>376678</v>
      </c>
      <c r="D394" s="3">
        <v>376925</v>
      </c>
      <c r="E394" s="1" t="s">
        <v>9</v>
      </c>
      <c r="F394" s="1">
        <v>0</v>
      </c>
      <c r="G394" s="1" t="s">
        <v>4372</v>
      </c>
      <c r="H394" s="1" t="s">
        <v>4372</v>
      </c>
      <c r="I394" s="1" t="s">
        <v>4377</v>
      </c>
      <c r="J394" s="1" t="s">
        <v>4944</v>
      </c>
      <c r="K394" s="1" t="s">
        <v>318</v>
      </c>
    </row>
    <row r="395" spans="1:11" ht="21" x14ac:dyDescent="0.25">
      <c r="A395" s="11" t="str">
        <f>HYPERLINK("https://rth.dk/resources/bsgatlas/details.php?id=BSGatlas-transcript-394","BSGatlas-transcript-394")</f>
        <v>BSGatlas-transcript-394</v>
      </c>
      <c r="B395" s="1" t="s">
        <v>4945</v>
      </c>
      <c r="C395" s="3">
        <v>376968</v>
      </c>
      <c r="D395" s="3">
        <v>403160</v>
      </c>
      <c r="E395" s="1" t="s">
        <v>9</v>
      </c>
      <c r="F395" s="1">
        <v>2</v>
      </c>
      <c r="G395" s="1" t="s">
        <v>4372</v>
      </c>
      <c r="H395" s="1">
        <v>45</v>
      </c>
      <c r="I395" s="1" t="s">
        <v>4373</v>
      </c>
      <c r="J395" s="1" t="s">
        <v>318</v>
      </c>
      <c r="K395" s="1" t="s">
        <v>4946</v>
      </c>
    </row>
    <row r="396" spans="1:11" ht="21" x14ac:dyDescent="0.25">
      <c r="A396" s="11" t="str">
        <f>HYPERLINK("https://rth.dk/resources/bsgatlas/details.php?id=BSGatlas-transcript-395","BSGatlas-transcript-395")</f>
        <v>BSGatlas-transcript-395</v>
      </c>
      <c r="B396" s="1" t="s">
        <v>417</v>
      </c>
      <c r="C396" s="3">
        <v>403164</v>
      </c>
      <c r="D396" s="3">
        <v>404485</v>
      </c>
      <c r="E396" s="1" t="s">
        <v>9</v>
      </c>
      <c r="F396" s="1">
        <v>0</v>
      </c>
      <c r="G396" s="1" t="s">
        <v>4372</v>
      </c>
      <c r="H396" s="1" t="s">
        <v>4372</v>
      </c>
      <c r="I396" s="1" t="s">
        <v>4373</v>
      </c>
      <c r="J396" s="1" t="s">
        <v>4947</v>
      </c>
      <c r="K396" s="1" t="s">
        <v>4948</v>
      </c>
    </row>
    <row r="397" spans="1:11" ht="21" x14ac:dyDescent="0.25">
      <c r="A397" s="11" t="str">
        <f>HYPERLINK("https://rth.dk/resources/bsgatlas/details.php?id=BSGatlas-transcript-396","BSGatlas-transcript-396")</f>
        <v>BSGatlas-transcript-396</v>
      </c>
      <c r="B397" s="1" t="s">
        <v>418</v>
      </c>
      <c r="C397" s="3">
        <v>404431</v>
      </c>
      <c r="D397" s="3">
        <v>405015</v>
      </c>
      <c r="E397" s="1" t="s">
        <v>13</v>
      </c>
      <c r="F397" s="1">
        <v>0</v>
      </c>
      <c r="G397" s="1" t="s">
        <v>4372</v>
      </c>
      <c r="H397" s="1" t="s">
        <v>4372</v>
      </c>
      <c r="I397" s="1" t="s">
        <v>4386</v>
      </c>
      <c r="J397" s="1" t="s">
        <v>4949</v>
      </c>
      <c r="K397" s="1" t="s">
        <v>4950</v>
      </c>
    </row>
    <row r="398" spans="1:11" ht="21" x14ac:dyDescent="0.25">
      <c r="A398" s="11" t="str">
        <f>HYPERLINK("https://rth.dk/resources/bsgatlas/details.php?id=BSGatlas-transcript-397","BSGatlas-transcript-397")</f>
        <v>BSGatlas-transcript-397</v>
      </c>
      <c r="B398" s="1" t="s">
        <v>418</v>
      </c>
      <c r="C398" s="3">
        <v>404431</v>
      </c>
      <c r="D398" s="3">
        <v>405046</v>
      </c>
      <c r="E398" s="1" t="s">
        <v>13</v>
      </c>
      <c r="F398" s="1">
        <v>0</v>
      </c>
      <c r="G398" s="1" t="s">
        <v>4372</v>
      </c>
      <c r="H398" s="1" t="s">
        <v>4372</v>
      </c>
      <c r="I398" s="1" t="s">
        <v>4386</v>
      </c>
      <c r="J398" s="1" t="s">
        <v>4951</v>
      </c>
      <c r="K398" s="1" t="s">
        <v>4950</v>
      </c>
    </row>
    <row r="399" spans="1:11" ht="21" x14ac:dyDescent="0.25">
      <c r="A399" s="11" t="str">
        <f>HYPERLINK("https://rth.dk/resources/bsgatlas/details.php?id=BSGatlas-transcript-398","BSGatlas-transcript-398")</f>
        <v>BSGatlas-transcript-398</v>
      </c>
      <c r="B399" s="1" t="s">
        <v>4952</v>
      </c>
      <c r="C399" s="3">
        <v>404431</v>
      </c>
      <c r="D399" s="3">
        <v>406053</v>
      </c>
      <c r="E399" s="1" t="s">
        <v>13</v>
      </c>
      <c r="F399" s="1">
        <v>1</v>
      </c>
      <c r="G399" s="1">
        <v>47</v>
      </c>
      <c r="H399" s="1">
        <v>28</v>
      </c>
      <c r="I399" s="1" t="s">
        <v>4373</v>
      </c>
      <c r="J399" s="1" t="s">
        <v>4953</v>
      </c>
      <c r="K399" s="1" t="s">
        <v>4950</v>
      </c>
    </row>
    <row r="400" spans="1:11" ht="21" x14ac:dyDescent="0.25">
      <c r="A400" s="11" t="str">
        <f>HYPERLINK("https://rth.dk/resources/bsgatlas/details.php?id=BSGatlas-transcript-399","BSGatlas-transcript-399")</f>
        <v>BSGatlas-transcript-399</v>
      </c>
      <c r="B400" s="1" t="s">
        <v>420</v>
      </c>
      <c r="C400" s="3">
        <v>406131</v>
      </c>
      <c r="D400" s="3">
        <v>407465</v>
      </c>
      <c r="E400" s="1" t="s">
        <v>9</v>
      </c>
      <c r="F400" s="1">
        <v>0</v>
      </c>
      <c r="G400" s="1" t="s">
        <v>4372</v>
      </c>
      <c r="H400" s="1" t="s">
        <v>4372</v>
      </c>
      <c r="I400" s="1" t="s">
        <v>4547</v>
      </c>
      <c r="J400" s="1" t="s">
        <v>318</v>
      </c>
      <c r="K400" s="1" t="s">
        <v>318</v>
      </c>
    </row>
    <row r="401" spans="1:11" ht="21" x14ac:dyDescent="0.25">
      <c r="A401" s="11" t="str">
        <f>HYPERLINK("https://rth.dk/resources/bsgatlas/details.php?id=BSGatlas-transcript-400","BSGatlas-transcript-400")</f>
        <v>BSGatlas-transcript-400</v>
      </c>
      <c r="B401" s="1" t="s">
        <v>421</v>
      </c>
      <c r="C401" s="3">
        <v>407638</v>
      </c>
      <c r="D401" s="3">
        <v>408174</v>
      </c>
      <c r="E401" s="1" t="s">
        <v>13</v>
      </c>
      <c r="F401" s="1">
        <v>0</v>
      </c>
      <c r="G401" s="1" t="s">
        <v>4372</v>
      </c>
      <c r="H401" s="1" t="s">
        <v>4372</v>
      </c>
      <c r="I401" s="1" t="s">
        <v>4377</v>
      </c>
      <c r="J401" s="1" t="s">
        <v>4954</v>
      </c>
      <c r="K401" s="1" t="s">
        <v>318</v>
      </c>
    </row>
    <row r="402" spans="1:11" ht="21" x14ac:dyDescent="0.25">
      <c r="A402" s="11" t="str">
        <f>HYPERLINK("https://rth.dk/resources/bsgatlas/details.php?id=BSGatlas-transcript-401","BSGatlas-transcript-401")</f>
        <v>BSGatlas-transcript-401</v>
      </c>
      <c r="B402" s="1" t="s">
        <v>422</v>
      </c>
      <c r="C402" s="3">
        <v>408204</v>
      </c>
      <c r="D402" s="3">
        <v>408919</v>
      </c>
      <c r="E402" s="1" t="s">
        <v>13</v>
      </c>
      <c r="F402" s="1">
        <v>0</v>
      </c>
      <c r="G402" s="1" t="s">
        <v>4372</v>
      </c>
      <c r="H402" s="1" t="s">
        <v>4372</v>
      </c>
      <c r="I402" s="1" t="s">
        <v>4373</v>
      </c>
      <c r="J402" s="1" t="s">
        <v>4955</v>
      </c>
      <c r="K402" s="1" t="s">
        <v>4956</v>
      </c>
    </row>
    <row r="403" spans="1:11" ht="21" x14ac:dyDescent="0.25">
      <c r="A403" s="11" t="str">
        <f>HYPERLINK("https://rth.dk/resources/bsgatlas/details.php?id=BSGatlas-transcript-402","BSGatlas-transcript-402")</f>
        <v>BSGatlas-transcript-402</v>
      </c>
      <c r="B403" s="1" t="s">
        <v>4957</v>
      </c>
      <c r="C403" s="3">
        <v>409023</v>
      </c>
      <c r="D403" s="3">
        <v>411523</v>
      </c>
      <c r="E403" s="1" t="s">
        <v>13</v>
      </c>
      <c r="F403" s="1">
        <v>0</v>
      </c>
      <c r="G403" s="1" t="s">
        <v>4372</v>
      </c>
      <c r="H403" s="1" t="s">
        <v>4372</v>
      </c>
      <c r="I403" s="1" t="s">
        <v>4373</v>
      </c>
      <c r="J403" s="1" t="s">
        <v>4958</v>
      </c>
      <c r="K403" s="1" t="s">
        <v>4959</v>
      </c>
    </row>
    <row r="404" spans="1:11" ht="21" x14ac:dyDescent="0.25">
      <c r="A404" s="11" t="str">
        <f>HYPERLINK("https://rth.dk/resources/bsgatlas/details.php?id=BSGatlas-transcript-403","BSGatlas-transcript-403")</f>
        <v>BSGatlas-transcript-403</v>
      </c>
      <c r="B404" s="1" t="s">
        <v>4957</v>
      </c>
      <c r="C404" s="3">
        <v>409122</v>
      </c>
      <c r="D404" s="3">
        <v>411523</v>
      </c>
      <c r="E404" s="1" t="s">
        <v>13</v>
      </c>
      <c r="F404" s="1">
        <v>0</v>
      </c>
      <c r="G404" s="1" t="s">
        <v>4372</v>
      </c>
      <c r="H404" s="1" t="s">
        <v>4372</v>
      </c>
      <c r="I404" s="1" t="s">
        <v>4373</v>
      </c>
      <c r="J404" s="1" t="s">
        <v>4958</v>
      </c>
      <c r="K404" s="1" t="s">
        <v>4960</v>
      </c>
    </row>
    <row r="405" spans="1:11" ht="21" x14ac:dyDescent="0.25">
      <c r="A405" s="11" t="str">
        <f>HYPERLINK("https://rth.dk/resources/bsgatlas/details.php?id=BSGatlas-transcript-404","BSGatlas-transcript-404")</f>
        <v>BSGatlas-transcript-404</v>
      </c>
      <c r="B405" s="1" t="s">
        <v>4957</v>
      </c>
      <c r="C405" s="3">
        <v>409208</v>
      </c>
      <c r="D405" s="3">
        <v>411523</v>
      </c>
      <c r="E405" s="1" t="s">
        <v>13</v>
      </c>
      <c r="F405" s="1">
        <v>0</v>
      </c>
      <c r="G405" s="1" t="s">
        <v>4372</v>
      </c>
      <c r="H405" s="1" t="s">
        <v>4372</v>
      </c>
      <c r="I405" s="1" t="s">
        <v>4373</v>
      </c>
      <c r="J405" s="1" t="s">
        <v>4958</v>
      </c>
      <c r="K405" s="1" t="s">
        <v>4961</v>
      </c>
    </row>
    <row r="406" spans="1:11" ht="21" x14ac:dyDescent="0.25">
      <c r="A406" s="11" t="str">
        <f>HYPERLINK("https://rth.dk/resources/bsgatlas/details.php?id=BSGatlas-transcript-405","BSGatlas-transcript-405")</f>
        <v>BSGatlas-transcript-405</v>
      </c>
      <c r="B406" s="1" t="s">
        <v>426</v>
      </c>
      <c r="C406" s="3">
        <v>411578</v>
      </c>
      <c r="D406" s="3">
        <v>412450</v>
      </c>
      <c r="E406" s="1" t="s">
        <v>13</v>
      </c>
      <c r="F406" s="1">
        <v>0</v>
      </c>
      <c r="G406" s="1" t="s">
        <v>4372</v>
      </c>
      <c r="H406" s="1" t="s">
        <v>4372</v>
      </c>
      <c r="I406" s="1" t="s">
        <v>4377</v>
      </c>
      <c r="J406" s="1" t="s">
        <v>4962</v>
      </c>
      <c r="K406" s="1" t="s">
        <v>318</v>
      </c>
    </row>
    <row r="407" spans="1:11" ht="21" x14ac:dyDescent="0.25">
      <c r="A407" s="11" t="str">
        <f>HYPERLINK("https://rth.dk/resources/bsgatlas/details.php?id=BSGatlas-transcript-406","BSGatlas-transcript-406")</f>
        <v>BSGatlas-transcript-406</v>
      </c>
      <c r="B407" s="1" t="s">
        <v>426</v>
      </c>
      <c r="C407" s="3">
        <v>411578</v>
      </c>
      <c r="D407" s="3">
        <v>412525</v>
      </c>
      <c r="E407" s="1" t="s">
        <v>13</v>
      </c>
      <c r="F407" s="1">
        <v>0</v>
      </c>
      <c r="G407" s="1" t="s">
        <v>4372</v>
      </c>
      <c r="H407" s="1" t="s">
        <v>4372</v>
      </c>
      <c r="I407" s="1" t="s">
        <v>4377</v>
      </c>
      <c r="J407" s="1" t="s">
        <v>4963</v>
      </c>
      <c r="K407" s="1" t="s">
        <v>318</v>
      </c>
    </row>
    <row r="408" spans="1:11" ht="21" x14ac:dyDescent="0.25">
      <c r="A408" s="11" t="str">
        <f>HYPERLINK("https://rth.dk/resources/bsgatlas/details.php?id=BSGatlas-transcript-407","BSGatlas-transcript-407")</f>
        <v>BSGatlas-transcript-407</v>
      </c>
      <c r="B408" s="1" t="s">
        <v>4964</v>
      </c>
      <c r="C408" s="3">
        <v>412540</v>
      </c>
      <c r="D408" s="3">
        <v>414822</v>
      </c>
      <c r="E408" s="1" t="s">
        <v>9</v>
      </c>
      <c r="F408" s="1">
        <v>1</v>
      </c>
      <c r="G408" s="1" t="s">
        <v>4372</v>
      </c>
      <c r="H408" s="1" t="s">
        <v>4372</v>
      </c>
      <c r="I408" s="1" t="s">
        <v>4386</v>
      </c>
      <c r="J408" s="1" t="s">
        <v>4965</v>
      </c>
      <c r="K408" s="1" t="s">
        <v>318</v>
      </c>
    </row>
    <row r="409" spans="1:11" ht="21" x14ac:dyDescent="0.25">
      <c r="A409" s="11" t="str">
        <f>HYPERLINK("https://rth.dk/resources/bsgatlas/details.php?id=BSGatlas-transcript-408","BSGatlas-transcript-408")</f>
        <v>BSGatlas-transcript-408</v>
      </c>
      <c r="B409" s="1" t="s">
        <v>430</v>
      </c>
      <c r="C409" s="3">
        <v>414819</v>
      </c>
      <c r="D409" s="3">
        <v>415283</v>
      </c>
      <c r="E409" s="1" t="s">
        <v>9</v>
      </c>
      <c r="F409" s="1">
        <v>0</v>
      </c>
      <c r="G409" s="1" t="s">
        <v>4372</v>
      </c>
      <c r="H409" s="1" t="s">
        <v>4372</v>
      </c>
      <c r="I409" s="1" t="s">
        <v>4377</v>
      </c>
      <c r="J409" s="1" t="s">
        <v>318</v>
      </c>
      <c r="K409" s="1" t="s">
        <v>4966</v>
      </c>
    </row>
    <row r="410" spans="1:11" ht="21" x14ac:dyDescent="0.25">
      <c r="A410" s="11" t="str">
        <f>HYPERLINK("https://rth.dk/resources/bsgatlas/details.php?id=BSGatlas-transcript-409","BSGatlas-transcript-409")</f>
        <v>BSGatlas-transcript-409</v>
      </c>
      <c r="B410" s="1" t="s">
        <v>431</v>
      </c>
      <c r="C410" s="3">
        <v>415291</v>
      </c>
      <c r="D410" s="3">
        <v>416242</v>
      </c>
      <c r="E410" s="1" t="s">
        <v>9</v>
      </c>
      <c r="F410" s="1">
        <v>0</v>
      </c>
      <c r="G410" s="1" t="s">
        <v>4372</v>
      </c>
      <c r="H410" s="1" t="s">
        <v>4372</v>
      </c>
      <c r="I410" s="1" t="s">
        <v>4373</v>
      </c>
      <c r="J410" s="1" t="s">
        <v>4967</v>
      </c>
      <c r="K410" s="1" t="s">
        <v>4968</v>
      </c>
    </row>
    <row r="411" spans="1:11" ht="21" x14ac:dyDescent="0.25">
      <c r="A411" s="11" t="str">
        <f>HYPERLINK("https://rth.dk/resources/bsgatlas/details.php?id=BSGatlas-transcript-410","BSGatlas-transcript-410")</f>
        <v>BSGatlas-transcript-410</v>
      </c>
      <c r="B411" s="1" t="s">
        <v>432</v>
      </c>
      <c r="C411" s="3">
        <v>416185</v>
      </c>
      <c r="D411" s="3">
        <v>417761</v>
      </c>
      <c r="E411" s="1" t="s">
        <v>13</v>
      </c>
      <c r="F411" s="1">
        <v>0</v>
      </c>
      <c r="G411" s="1" t="s">
        <v>4372</v>
      </c>
      <c r="H411" s="1" t="s">
        <v>4372</v>
      </c>
      <c r="I411" s="1" t="s">
        <v>4373</v>
      </c>
      <c r="J411" s="1" t="s">
        <v>4969</v>
      </c>
      <c r="K411" s="1" t="s">
        <v>4970</v>
      </c>
    </row>
    <row r="412" spans="1:11" ht="21" x14ac:dyDescent="0.25">
      <c r="A412" s="11" t="str">
        <f>HYPERLINK("https://rth.dk/resources/bsgatlas/details.php?id=BSGatlas-transcript-411","BSGatlas-transcript-411")</f>
        <v>BSGatlas-transcript-411</v>
      </c>
      <c r="B412" s="1" t="s">
        <v>432</v>
      </c>
      <c r="C412" s="3">
        <v>416185</v>
      </c>
      <c r="D412" s="3">
        <v>418277</v>
      </c>
      <c r="E412" s="1" t="s">
        <v>13</v>
      </c>
      <c r="F412" s="1">
        <v>0</v>
      </c>
      <c r="G412" s="1" t="s">
        <v>4372</v>
      </c>
      <c r="H412" s="1" t="s">
        <v>4372</v>
      </c>
      <c r="I412" s="1" t="s">
        <v>4373</v>
      </c>
      <c r="J412" s="1" t="s">
        <v>4971</v>
      </c>
      <c r="K412" s="1" t="s">
        <v>4970</v>
      </c>
    </row>
    <row r="413" spans="1:11" ht="21" x14ac:dyDescent="0.25">
      <c r="A413" s="11" t="str">
        <f>HYPERLINK("https://rth.dk/resources/bsgatlas/details.php?id=BSGatlas-transcript-412","BSGatlas-transcript-412")</f>
        <v>BSGatlas-transcript-412</v>
      </c>
      <c r="B413" s="1" t="s">
        <v>433</v>
      </c>
      <c r="C413" s="3">
        <v>417751</v>
      </c>
      <c r="D413" s="3">
        <v>419747</v>
      </c>
      <c r="E413" s="1" t="s">
        <v>9</v>
      </c>
      <c r="F413" s="1">
        <v>0</v>
      </c>
      <c r="G413" s="1" t="s">
        <v>4372</v>
      </c>
      <c r="H413" s="1" t="s">
        <v>4372</v>
      </c>
      <c r="I413" s="1" t="s">
        <v>4397</v>
      </c>
      <c r="J413" s="1" t="s">
        <v>4972</v>
      </c>
      <c r="K413" s="1" t="s">
        <v>4973</v>
      </c>
    </row>
    <row r="414" spans="1:11" ht="21" x14ac:dyDescent="0.25">
      <c r="A414" s="11" t="str">
        <f>HYPERLINK("https://rth.dk/resources/bsgatlas/details.php?id=BSGatlas-transcript-413","BSGatlas-transcript-413")</f>
        <v>BSGatlas-transcript-413</v>
      </c>
      <c r="B414" s="1" t="s">
        <v>433</v>
      </c>
      <c r="C414" s="3">
        <v>417954</v>
      </c>
      <c r="D414" s="3">
        <v>419747</v>
      </c>
      <c r="E414" s="1" t="s">
        <v>9</v>
      </c>
      <c r="F414" s="1">
        <v>0</v>
      </c>
      <c r="G414" s="1" t="s">
        <v>4372</v>
      </c>
      <c r="H414" s="1" t="s">
        <v>4372</v>
      </c>
      <c r="I414" s="1" t="s">
        <v>4397</v>
      </c>
      <c r="J414" s="1" t="s">
        <v>4974</v>
      </c>
      <c r="K414" s="1" t="s">
        <v>4973</v>
      </c>
    </row>
    <row r="415" spans="1:11" ht="21" x14ac:dyDescent="0.25">
      <c r="A415" s="11" t="str">
        <f>HYPERLINK("https://rth.dk/resources/bsgatlas/details.php?id=BSGatlas-transcript-414","BSGatlas-transcript-414")</f>
        <v>BSGatlas-transcript-414</v>
      </c>
      <c r="B415" s="1" t="s">
        <v>434</v>
      </c>
      <c r="C415" s="3">
        <v>419763</v>
      </c>
      <c r="D415" s="3">
        <v>420005</v>
      </c>
      <c r="E415" s="1" t="s">
        <v>13</v>
      </c>
      <c r="F415" s="1">
        <v>0</v>
      </c>
      <c r="G415" s="1" t="s">
        <v>4372</v>
      </c>
      <c r="H415" s="1" t="s">
        <v>4372</v>
      </c>
      <c r="I415" s="1" t="s">
        <v>4397</v>
      </c>
      <c r="J415" s="1" t="s">
        <v>4975</v>
      </c>
      <c r="K415" s="1" t="s">
        <v>318</v>
      </c>
    </row>
    <row r="416" spans="1:11" ht="21" x14ac:dyDescent="0.25">
      <c r="A416" s="11" t="str">
        <f>HYPERLINK("https://rth.dk/resources/bsgatlas/details.php?id=BSGatlas-transcript-415","BSGatlas-transcript-415")</f>
        <v>BSGatlas-transcript-415</v>
      </c>
      <c r="B416" s="1" t="s">
        <v>4976</v>
      </c>
      <c r="C416" s="3">
        <v>420089</v>
      </c>
      <c r="D416" s="3">
        <v>424149</v>
      </c>
      <c r="E416" s="1" t="s">
        <v>9</v>
      </c>
      <c r="F416" s="1">
        <v>1</v>
      </c>
      <c r="G416" s="1">
        <v>22</v>
      </c>
      <c r="H416" s="1">
        <v>47</v>
      </c>
      <c r="I416" s="1" t="s">
        <v>4373</v>
      </c>
      <c r="J416" s="1" t="s">
        <v>4977</v>
      </c>
      <c r="K416" s="1" t="s">
        <v>4978</v>
      </c>
    </row>
    <row r="417" spans="1:11" ht="21" x14ac:dyDescent="0.25">
      <c r="A417" s="11" t="str">
        <f>HYPERLINK("https://rth.dk/resources/bsgatlas/details.php?id=BSGatlas-transcript-416","BSGatlas-transcript-416")</f>
        <v>BSGatlas-transcript-416</v>
      </c>
      <c r="B417" s="1" t="s">
        <v>4979</v>
      </c>
      <c r="C417" s="3">
        <v>424208</v>
      </c>
      <c r="D417" s="3">
        <v>426364</v>
      </c>
      <c r="E417" s="1" t="s">
        <v>13</v>
      </c>
      <c r="F417" s="1">
        <v>0</v>
      </c>
      <c r="G417" s="1" t="s">
        <v>4372</v>
      </c>
      <c r="H417" s="1" t="s">
        <v>4372</v>
      </c>
      <c r="I417" s="1" t="s">
        <v>4386</v>
      </c>
      <c r="J417" s="1" t="s">
        <v>318</v>
      </c>
      <c r="K417" s="1" t="s">
        <v>318</v>
      </c>
    </row>
    <row r="418" spans="1:11" ht="21" x14ac:dyDescent="0.25">
      <c r="A418" s="11" t="str">
        <f>HYPERLINK("https://rth.dk/resources/bsgatlas/details.php?id=BSGatlas-transcript-417","BSGatlas-transcript-417")</f>
        <v>BSGatlas-transcript-417</v>
      </c>
      <c r="B418" s="1" t="s">
        <v>4980</v>
      </c>
      <c r="C418" s="3">
        <v>426537</v>
      </c>
      <c r="D418" s="3">
        <v>428668</v>
      </c>
      <c r="E418" s="1" t="s">
        <v>9</v>
      </c>
      <c r="F418" s="1">
        <v>0</v>
      </c>
      <c r="G418" s="1" t="s">
        <v>4372</v>
      </c>
      <c r="H418" s="1" t="s">
        <v>4372</v>
      </c>
      <c r="I418" s="1" t="s">
        <v>4386</v>
      </c>
      <c r="J418" s="1" t="s">
        <v>4981</v>
      </c>
      <c r="K418" s="1" t="s">
        <v>4982</v>
      </c>
    </row>
    <row r="419" spans="1:11" ht="21" x14ac:dyDescent="0.25">
      <c r="A419" s="11" t="str">
        <f>HYPERLINK("https://rth.dk/resources/bsgatlas/details.php?id=BSGatlas-transcript-418","BSGatlas-transcript-418")</f>
        <v>BSGatlas-transcript-418</v>
      </c>
      <c r="B419" s="1" t="s">
        <v>4983</v>
      </c>
      <c r="C419" s="3">
        <v>428799</v>
      </c>
      <c r="D419" s="3">
        <v>430131</v>
      </c>
      <c r="E419" s="1" t="s">
        <v>9</v>
      </c>
      <c r="F419" s="1">
        <v>0</v>
      </c>
      <c r="G419" s="1" t="s">
        <v>4372</v>
      </c>
      <c r="H419" s="1" t="s">
        <v>4372</v>
      </c>
      <c r="I419" s="1" t="s">
        <v>4373</v>
      </c>
      <c r="J419" s="1" t="s">
        <v>4984</v>
      </c>
      <c r="K419" s="1" t="s">
        <v>4985</v>
      </c>
    </row>
    <row r="420" spans="1:11" ht="21" x14ac:dyDescent="0.25">
      <c r="A420" s="11" t="str">
        <f>HYPERLINK("https://rth.dk/resources/bsgatlas/details.php?id=BSGatlas-transcript-419","BSGatlas-transcript-419")</f>
        <v>BSGatlas-transcript-419</v>
      </c>
      <c r="B420" s="1" t="s">
        <v>4986</v>
      </c>
      <c r="C420" s="3">
        <v>428805</v>
      </c>
      <c r="D420" s="3">
        <v>430501</v>
      </c>
      <c r="E420" s="1" t="s">
        <v>13</v>
      </c>
      <c r="F420" s="1">
        <v>1</v>
      </c>
      <c r="G420" s="1">
        <v>33</v>
      </c>
      <c r="H420" s="1">
        <v>1381</v>
      </c>
      <c r="I420" s="1" t="s">
        <v>4386</v>
      </c>
      <c r="J420" s="1" t="s">
        <v>4987</v>
      </c>
      <c r="K420" s="1" t="s">
        <v>4988</v>
      </c>
    </row>
    <row r="421" spans="1:11" ht="21" x14ac:dyDescent="0.25">
      <c r="A421" s="11" t="str">
        <f>HYPERLINK("https://rth.dk/resources/bsgatlas/details.php?id=BSGatlas-transcript-420","BSGatlas-transcript-420")</f>
        <v>BSGatlas-transcript-420</v>
      </c>
      <c r="B421" s="1" t="s">
        <v>443</v>
      </c>
      <c r="C421" s="3">
        <v>429697</v>
      </c>
      <c r="D421" s="3">
        <v>430131</v>
      </c>
      <c r="E421" s="1" t="s">
        <v>9</v>
      </c>
      <c r="F421" s="1">
        <v>0</v>
      </c>
      <c r="G421" s="1" t="s">
        <v>4372</v>
      </c>
      <c r="H421" s="1" t="s">
        <v>4372</v>
      </c>
      <c r="I421" s="1" t="s">
        <v>4386</v>
      </c>
      <c r="J421" s="1" t="s">
        <v>4989</v>
      </c>
      <c r="K421" s="1" t="s">
        <v>4985</v>
      </c>
    </row>
    <row r="422" spans="1:11" ht="21" x14ac:dyDescent="0.25">
      <c r="A422" s="11" t="str">
        <f>HYPERLINK("https://rth.dk/resources/bsgatlas/details.php?id=BSGatlas-transcript-421","BSGatlas-transcript-421")</f>
        <v>BSGatlas-transcript-421</v>
      </c>
      <c r="B422" s="1" t="s">
        <v>443</v>
      </c>
      <c r="C422" s="3">
        <v>429880</v>
      </c>
      <c r="D422" s="3">
        <v>430131</v>
      </c>
      <c r="E422" s="1" t="s">
        <v>9</v>
      </c>
      <c r="F422" s="1">
        <v>0</v>
      </c>
      <c r="G422" s="1" t="s">
        <v>4372</v>
      </c>
      <c r="H422" s="1" t="s">
        <v>4372</v>
      </c>
      <c r="I422" s="1" t="s">
        <v>4386</v>
      </c>
      <c r="J422" s="1" t="s">
        <v>4990</v>
      </c>
      <c r="K422" s="1" t="s">
        <v>4985</v>
      </c>
    </row>
    <row r="423" spans="1:11" ht="21" x14ac:dyDescent="0.25">
      <c r="A423" s="11" t="str">
        <f>HYPERLINK("https://rth.dk/resources/bsgatlas/details.php?id=BSGatlas-transcript-422","BSGatlas-transcript-422")</f>
        <v>BSGatlas-transcript-422</v>
      </c>
      <c r="B423" s="1" t="s">
        <v>4986</v>
      </c>
      <c r="C423" s="3">
        <v>430118</v>
      </c>
      <c r="D423" s="3">
        <v>430501</v>
      </c>
      <c r="E423" s="1" t="s">
        <v>13</v>
      </c>
      <c r="F423" s="1">
        <v>1</v>
      </c>
      <c r="G423" s="1">
        <v>33</v>
      </c>
      <c r="H423" s="1">
        <v>68</v>
      </c>
      <c r="I423" s="1" t="s">
        <v>4386</v>
      </c>
      <c r="J423" s="1" t="s">
        <v>4987</v>
      </c>
      <c r="K423" s="1" t="s">
        <v>4991</v>
      </c>
    </row>
    <row r="424" spans="1:11" ht="21" x14ac:dyDescent="0.25">
      <c r="A424" s="11" t="str">
        <f>HYPERLINK("https://rth.dk/resources/bsgatlas/details.php?id=BSGatlas-transcript-423","BSGatlas-transcript-423")</f>
        <v>BSGatlas-transcript-423</v>
      </c>
      <c r="B424" s="1" t="s">
        <v>445</v>
      </c>
      <c r="C424" s="3">
        <v>430323</v>
      </c>
      <c r="D424" s="3">
        <v>430501</v>
      </c>
      <c r="E424" s="1" t="s">
        <v>13</v>
      </c>
      <c r="F424" s="1">
        <v>0</v>
      </c>
      <c r="G424" s="1" t="s">
        <v>4372</v>
      </c>
      <c r="H424" s="1" t="s">
        <v>4372</v>
      </c>
      <c r="I424" s="1" t="s">
        <v>4386</v>
      </c>
      <c r="J424" s="1" t="s">
        <v>4987</v>
      </c>
      <c r="K424" s="1" t="s">
        <v>4992</v>
      </c>
    </row>
    <row r="425" spans="1:11" ht="21" x14ac:dyDescent="0.25">
      <c r="A425" s="11" t="str">
        <f>HYPERLINK("https://rth.dk/resources/bsgatlas/details.php?id=BSGatlas-transcript-424","BSGatlas-transcript-424")</f>
        <v>BSGatlas-transcript-424</v>
      </c>
      <c r="B425" s="1" t="s">
        <v>446</v>
      </c>
      <c r="C425" s="3">
        <v>430575</v>
      </c>
      <c r="D425" s="3">
        <v>432039</v>
      </c>
      <c r="E425" s="1" t="s">
        <v>13</v>
      </c>
      <c r="F425" s="1">
        <v>0</v>
      </c>
      <c r="G425" s="1" t="s">
        <v>4372</v>
      </c>
      <c r="H425" s="1" t="s">
        <v>4372</v>
      </c>
      <c r="I425" s="1" t="s">
        <v>4373</v>
      </c>
      <c r="J425" s="1" t="s">
        <v>4993</v>
      </c>
      <c r="K425" s="1" t="s">
        <v>4994</v>
      </c>
    </row>
    <row r="426" spans="1:11" ht="21" x14ac:dyDescent="0.25">
      <c r="A426" s="11" t="str">
        <f>HYPERLINK("https://rth.dk/resources/bsgatlas/details.php?id=BSGatlas-transcript-425","BSGatlas-transcript-425")</f>
        <v>BSGatlas-transcript-425</v>
      </c>
      <c r="B426" s="1" t="s">
        <v>4995</v>
      </c>
      <c r="C426" s="3">
        <v>432210</v>
      </c>
      <c r="D426" s="3">
        <v>436038</v>
      </c>
      <c r="E426" s="1" t="s">
        <v>9</v>
      </c>
      <c r="F426" s="1">
        <v>1</v>
      </c>
      <c r="G426" s="1">
        <v>163</v>
      </c>
      <c r="H426" s="1">
        <v>50</v>
      </c>
      <c r="I426" s="1" t="s">
        <v>4373</v>
      </c>
      <c r="J426" s="1" t="s">
        <v>4996</v>
      </c>
      <c r="K426" s="1" t="s">
        <v>4997</v>
      </c>
    </row>
    <row r="427" spans="1:11" ht="21" x14ac:dyDescent="0.25">
      <c r="A427" s="11" t="str">
        <f>HYPERLINK("https://rth.dk/resources/bsgatlas/details.php?id=BSGatlas-transcript-426","BSGatlas-transcript-426")</f>
        <v>BSGatlas-transcript-426</v>
      </c>
      <c r="B427" s="1" t="s">
        <v>4995</v>
      </c>
      <c r="C427" s="3">
        <v>432271</v>
      </c>
      <c r="D427" s="3">
        <v>436038</v>
      </c>
      <c r="E427" s="1" t="s">
        <v>9</v>
      </c>
      <c r="F427" s="1">
        <v>1</v>
      </c>
      <c r="G427" s="1">
        <v>102</v>
      </c>
      <c r="H427" s="1">
        <v>50</v>
      </c>
      <c r="I427" s="1" t="s">
        <v>4373</v>
      </c>
      <c r="J427" s="1" t="s">
        <v>4998</v>
      </c>
      <c r="K427" s="1" t="s">
        <v>4997</v>
      </c>
    </row>
    <row r="428" spans="1:11" ht="21" x14ac:dyDescent="0.25">
      <c r="A428" s="11" t="str">
        <f>HYPERLINK("https://rth.dk/resources/bsgatlas/details.php?id=BSGatlas-transcript-427","BSGatlas-transcript-427")</f>
        <v>BSGatlas-transcript-427</v>
      </c>
      <c r="B428" s="1" t="s">
        <v>4999</v>
      </c>
      <c r="C428" s="3">
        <v>435984</v>
      </c>
      <c r="D428" s="3">
        <v>438427</v>
      </c>
      <c r="E428" s="1" t="s">
        <v>13</v>
      </c>
      <c r="F428" s="1">
        <v>1</v>
      </c>
      <c r="G428" s="1">
        <v>76</v>
      </c>
      <c r="H428" s="1">
        <v>53</v>
      </c>
      <c r="I428" s="1" t="s">
        <v>4373</v>
      </c>
      <c r="J428" s="1" t="s">
        <v>5000</v>
      </c>
      <c r="K428" s="1" t="s">
        <v>5001</v>
      </c>
    </row>
    <row r="429" spans="1:11" ht="21" x14ac:dyDescent="0.25">
      <c r="A429" s="11" t="str">
        <f>HYPERLINK("https://rth.dk/resources/bsgatlas/details.php?id=BSGatlas-transcript-428","BSGatlas-transcript-428")</f>
        <v>BSGatlas-transcript-428</v>
      </c>
      <c r="B429" s="1" t="s">
        <v>4999</v>
      </c>
      <c r="C429" s="3">
        <v>436036</v>
      </c>
      <c r="D429" s="3">
        <v>438427</v>
      </c>
      <c r="E429" s="1" t="s">
        <v>13</v>
      </c>
      <c r="F429" s="1">
        <v>1</v>
      </c>
      <c r="G429" s="1">
        <v>76</v>
      </c>
      <c r="H429" s="1" t="s">
        <v>4372</v>
      </c>
      <c r="I429" s="1" t="s">
        <v>4373</v>
      </c>
      <c r="J429" s="1" t="s">
        <v>5000</v>
      </c>
      <c r="K429" s="1" t="s">
        <v>5002</v>
      </c>
    </row>
    <row r="430" spans="1:11" ht="21" x14ac:dyDescent="0.25">
      <c r="A430" s="11" t="str">
        <f>HYPERLINK("https://rth.dk/resources/bsgatlas/details.php?id=BSGatlas-transcript-429","BSGatlas-transcript-429")</f>
        <v>BSGatlas-transcript-429</v>
      </c>
      <c r="B430" s="1" t="s">
        <v>5003</v>
      </c>
      <c r="C430" s="3">
        <v>438466</v>
      </c>
      <c r="D430" s="3">
        <v>439629</v>
      </c>
      <c r="E430" s="1" t="s">
        <v>13</v>
      </c>
      <c r="F430" s="1">
        <v>1</v>
      </c>
      <c r="G430" s="1">
        <v>61</v>
      </c>
      <c r="H430" s="1">
        <v>51</v>
      </c>
      <c r="I430" s="1" t="s">
        <v>4373</v>
      </c>
      <c r="J430" s="1" t="s">
        <v>5004</v>
      </c>
      <c r="K430" s="1" t="s">
        <v>5005</v>
      </c>
    </row>
    <row r="431" spans="1:11" ht="21" x14ac:dyDescent="0.25">
      <c r="A431" s="11" t="str">
        <f>HYPERLINK("https://rth.dk/resources/bsgatlas/details.php?id=BSGatlas-transcript-430","BSGatlas-transcript-430")</f>
        <v>BSGatlas-transcript-430</v>
      </c>
      <c r="B431" s="1" t="s">
        <v>5003</v>
      </c>
      <c r="C431" s="3">
        <v>438466</v>
      </c>
      <c r="D431" s="3">
        <v>440355</v>
      </c>
      <c r="E431" s="1" t="s">
        <v>13</v>
      </c>
      <c r="F431" s="1">
        <v>1</v>
      </c>
      <c r="G431" s="1">
        <v>787</v>
      </c>
      <c r="H431" s="1">
        <v>51</v>
      </c>
      <c r="I431" s="1" t="s">
        <v>4373</v>
      </c>
      <c r="J431" s="1" t="s">
        <v>5006</v>
      </c>
      <c r="K431" s="1" t="s">
        <v>5005</v>
      </c>
    </row>
    <row r="432" spans="1:11" ht="21" x14ac:dyDescent="0.25">
      <c r="A432" s="11" t="str">
        <f>HYPERLINK("https://rth.dk/resources/bsgatlas/details.php?id=BSGatlas-transcript-431","BSGatlas-transcript-431")</f>
        <v>BSGatlas-transcript-431</v>
      </c>
      <c r="B432" s="1" t="s">
        <v>455</v>
      </c>
      <c r="C432" s="3">
        <v>439575</v>
      </c>
      <c r="D432" s="3">
        <v>440059</v>
      </c>
      <c r="E432" s="1" t="s">
        <v>9</v>
      </c>
      <c r="F432" s="1">
        <v>0</v>
      </c>
      <c r="G432" s="1" t="s">
        <v>4372</v>
      </c>
      <c r="H432" s="1" t="s">
        <v>4372</v>
      </c>
      <c r="I432" s="1" t="s">
        <v>4373</v>
      </c>
      <c r="J432" s="1" t="s">
        <v>5007</v>
      </c>
      <c r="K432" s="1" t="s">
        <v>5008</v>
      </c>
    </row>
    <row r="433" spans="1:11" ht="21" x14ac:dyDescent="0.25">
      <c r="A433" s="11" t="str">
        <f>HYPERLINK("https://rth.dk/resources/bsgatlas/details.php?id=BSGatlas-transcript-432","BSGatlas-transcript-432")</f>
        <v>BSGatlas-transcript-432</v>
      </c>
      <c r="B433" s="1" t="s">
        <v>455</v>
      </c>
      <c r="C433" s="3">
        <v>439686</v>
      </c>
      <c r="D433" s="3">
        <v>440059</v>
      </c>
      <c r="E433" s="1" t="s">
        <v>9</v>
      </c>
      <c r="F433" s="1">
        <v>0</v>
      </c>
      <c r="G433" s="1" t="s">
        <v>4372</v>
      </c>
      <c r="H433" s="1" t="s">
        <v>4372</v>
      </c>
      <c r="I433" s="1" t="s">
        <v>4373</v>
      </c>
      <c r="J433" s="1" t="s">
        <v>5009</v>
      </c>
      <c r="K433" s="1" t="s">
        <v>5008</v>
      </c>
    </row>
    <row r="434" spans="1:11" ht="21" x14ac:dyDescent="0.25">
      <c r="A434" s="11" t="str">
        <f>HYPERLINK("https://rth.dk/resources/bsgatlas/details.php?id=BSGatlas-transcript-433","BSGatlas-transcript-433")</f>
        <v>BSGatlas-transcript-433</v>
      </c>
      <c r="B434" s="1" t="s">
        <v>456</v>
      </c>
      <c r="C434" s="3">
        <v>439812</v>
      </c>
      <c r="D434" s="3">
        <v>441510</v>
      </c>
      <c r="E434" s="1" t="s">
        <v>13</v>
      </c>
      <c r="F434" s="1">
        <v>0</v>
      </c>
      <c r="G434" s="1" t="s">
        <v>4372</v>
      </c>
      <c r="H434" s="1" t="s">
        <v>4372</v>
      </c>
      <c r="I434" s="1" t="s">
        <v>4373</v>
      </c>
      <c r="J434" s="1" t="s">
        <v>5010</v>
      </c>
      <c r="K434" s="1" t="s">
        <v>5011</v>
      </c>
    </row>
    <row r="435" spans="1:11" ht="21" x14ac:dyDescent="0.25">
      <c r="A435" s="11" t="str">
        <f>HYPERLINK("https://rth.dk/resources/bsgatlas/details.php?id=BSGatlas-transcript-434","BSGatlas-transcript-434")</f>
        <v>BSGatlas-transcript-434</v>
      </c>
      <c r="B435" s="1" t="s">
        <v>5012</v>
      </c>
      <c r="C435" s="3">
        <v>441543</v>
      </c>
      <c r="D435" s="3">
        <v>444396</v>
      </c>
      <c r="E435" s="1" t="s">
        <v>9</v>
      </c>
      <c r="F435" s="1">
        <v>1</v>
      </c>
      <c r="G435" s="1">
        <v>29</v>
      </c>
      <c r="H435" s="1">
        <v>59</v>
      </c>
      <c r="I435" s="1" t="s">
        <v>4373</v>
      </c>
      <c r="J435" s="1" t="s">
        <v>5013</v>
      </c>
      <c r="K435" s="1" t="s">
        <v>5014</v>
      </c>
    </row>
    <row r="436" spans="1:11" ht="21" x14ac:dyDescent="0.25">
      <c r="A436" s="11" t="str">
        <f>HYPERLINK("https://rth.dk/resources/bsgatlas/details.php?id=BSGatlas-transcript-435","BSGatlas-transcript-435")</f>
        <v>BSGatlas-transcript-435</v>
      </c>
      <c r="B436" s="1" t="s">
        <v>458</v>
      </c>
      <c r="C436" s="3">
        <v>442793</v>
      </c>
      <c r="D436" s="3">
        <v>444396</v>
      </c>
      <c r="E436" s="1" t="s">
        <v>9</v>
      </c>
      <c r="F436" s="1">
        <v>0</v>
      </c>
      <c r="G436" s="1" t="s">
        <v>4372</v>
      </c>
      <c r="H436" s="1" t="s">
        <v>4372</v>
      </c>
      <c r="I436" s="1" t="s">
        <v>4386</v>
      </c>
      <c r="J436" s="1" t="s">
        <v>5015</v>
      </c>
      <c r="K436" s="1" t="s">
        <v>5014</v>
      </c>
    </row>
    <row r="437" spans="1:11" ht="21" x14ac:dyDescent="0.25">
      <c r="A437" s="11" t="str">
        <f>HYPERLINK("https://rth.dk/resources/bsgatlas/details.php?id=BSGatlas-transcript-436","BSGatlas-transcript-436")</f>
        <v>BSGatlas-transcript-436</v>
      </c>
      <c r="B437" s="1" t="s">
        <v>458</v>
      </c>
      <c r="C437" s="3">
        <v>442914</v>
      </c>
      <c r="D437" s="3">
        <v>444396</v>
      </c>
      <c r="E437" s="1" t="s">
        <v>9</v>
      </c>
      <c r="F437" s="1">
        <v>0</v>
      </c>
      <c r="G437" s="1" t="s">
        <v>4372</v>
      </c>
      <c r="H437" s="1" t="s">
        <v>4372</v>
      </c>
      <c r="I437" s="1" t="s">
        <v>4386</v>
      </c>
      <c r="J437" s="1" t="s">
        <v>5016</v>
      </c>
      <c r="K437" s="1" t="s">
        <v>5014</v>
      </c>
    </row>
    <row r="438" spans="1:11" ht="21" x14ac:dyDescent="0.25">
      <c r="A438" s="11" t="str">
        <f>HYPERLINK("https://rth.dk/resources/bsgatlas/details.php?id=BSGatlas-transcript-437","BSGatlas-transcript-437")</f>
        <v>BSGatlas-transcript-437</v>
      </c>
      <c r="B438" s="1" t="s">
        <v>459</v>
      </c>
      <c r="C438" s="3">
        <v>444430</v>
      </c>
      <c r="D438" s="3">
        <v>445559</v>
      </c>
      <c r="E438" s="1" t="s">
        <v>9</v>
      </c>
      <c r="F438" s="1">
        <v>0</v>
      </c>
      <c r="G438" s="1" t="s">
        <v>4372</v>
      </c>
      <c r="H438" s="1" t="s">
        <v>4372</v>
      </c>
      <c r="I438" s="1" t="s">
        <v>4377</v>
      </c>
      <c r="J438" s="1" t="s">
        <v>5017</v>
      </c>
      <c r="K438" s="1" t="s">
        <v>5018</v>
      </c>
    </row>
    <row r="439" spans="1:11" ht="21" x14ac:dyDescent="0.25">
      <c r="A439" s="11" t="str">
        <f>HYPERLINK("https://rth.dk/resources/bsgatlas/details.php?id=BSGatlas-transcript-438","BSGatlas-transcript-438")</f>
        <v>BSGatlas-transcript-438</v>
      </c>
      <c r="B439" s="1" t="s">
        <v>5019</v>
      </c>
      <c r="C439" s="3">
        <v>444430</v>
      </c>
      <c r="D439" s="3">
        <v>446180</v>
      </c>
      <c r="E439" s="1" t="s">
        <v>9</v>
      </c>
      <c r="F439" s="1">
        <v>1</v>
      </c>
      <c r="G439" s="1">
        <v>32</v>
      </c>
      <c r="H439" s="1">
        <v>52</v>
      </c>
      <c r="I439" s="1" t="s">
        <v>4373</v>
      </c>
      <c r="J439" s="1" t="s">
        <v>5017</v>
      </c>
      <c r="K439" s="1" t="s">
        <v>5020</v>
      </c>
    </row>
    <row r="440" spans="1:11" ht="21" x14ac:dyDescent="0.25">
      <c r="A440" s="11" t="str">
        <f>HYPERLINK("https://rth.dk/resources/bsgatlas/details.php?id=BSGatlas-transcript-439","BSGatlas-transcript-439")</f>
        <v>BSGatlas-transcript-439</v>
      </c>
      <c r="B440" s="1" t="s">
        <v>460</v>
      </c>
      <c r="C440" s="3">
        <v>445344</v>
      </c>
      <c r="D440" s="3">
        <v>446180</v>
      </c>
      <c r="E440" s="1" t="s">
        <v>9</v>
      </c>
      <c r="F440" s="1">
        <v>0</v>
      </c>
      <c r="G440" s="1" t="s">
        <v>4372</v>
      </c>
      <c r="H440" s="1" t="s">
        <v>4372</v>
      </c>
      <c r="I440" s="1" t="s">
        <v>4377</v>
      </c>
      <c r="J440" s="1" t="s">
        <v>5021</v>
      </c>
      <c r="K440" s="1" t="s">
        <v>5020</v>
      </c>
    </row>
    <row r="441" spans="1:11" ht="21" x14ac:dyDescent="0.25">
      <c r="A441" s="11" t="str">
        <f>HYPERLINK("https://rth.dk/resources/bsgatlas/details.php?id=BSGatlas-transcript-440","BSGatlas-transcript-440")</f>
        <v>BSGatlas-transcript-440</v>
      </c>
      <c r="B441" s="1" t="s">
        <v>5022</v>
      </c>
      <c r="C441" s="3">
        <v>446174</v>
      </c>
      <c r="D441" s="3">
        <v>449070</v>
      </c>
      <c r="E441" s="1" t="s">
        <v>13</v>
      </c>
      <c r="F441" s="1">
        <v>1</v>
      </c>
      <c r="G441" s="1">
        <v>38</v>
      </c>
      <c r="H441" s="1" t="s">
        <v>4372</v>
      </c>
      <c r="I441" s="1" t="s">
        <v>4386</v>
      </c>
      <c r="J441" s="1" t="s">
        <v>5023</v>
      </c>
      <c r="K441" s="1" t="s">
        <v>5024</v>
      </c>
    </row>
    <row r="442" spans="1:11" ht="21" x14ac:dyDescent="0.25">
      <c r="A442" s="11" t="str">
        <f>HYPERLINK("https://rth.dk/resources/bsgatlas/details.php?id=BSGatlas-transcript-441","BSGatlas-transcript-441")</f>
        <v>BSGatlas-transcript-441</v>
      </c>
      <c r="B442" s="1" t="s">
        <v>463</v>
      </c>
      <c r="C442" s="3">
        <v>448461</v>
      </c>
      <c r="D442" s="3">
        <v>449070</v>
      </c>
      <c r="E442" s="1" t="s">
        <v>13</v>
      </c>
      <c r="F442" s="1">
        <v>0</v>
      </c>
      <c r="G442" s="1" t="s">
        <v>4372</v>
      </c>
      <c r="H442" s="1" t="s">
        <v>4372</v>
      </c>
      <c r="I442" s="1" t="s">
        <v>4382</v>
      </c>
      <c r="J442" s="1" t="s">
        <v>5023</v>
      </c>
      <c r="K442" s="1" t="s">
        <v>318</v>
      </c>
    </row>
    <row r="443" spans="1:11" ht="21" x14ac:dyDescent="0.25">
      <c r="A443" s="11" t="str">
        <f>HYPERLINK("https://rth.dk/resources/bsgatlas/details.php?id=BSGatlas-transcript-442","BSGatlas-transcript-442")</f>
        <v>BSGatlas-transcript-442</v>
      </c>
      <c r="B443" s="1" t="s">
        <v>464</v>
      </c>
      <c r="C443" s="3">
        <v>449167</v>
      </c>
      <c r="D443" s="3">
        <v>449577</v>
      </c>
      <c r="E443" s="1" t="s">
        <v>9</v>
      </c>
      <c r="F443" s="1">
        <v>0</v>
      </c>
      <c r="G443" s="1" t="s">
        <v>4372</v>
      </c>
      <c r="H443" s="1" t="s">
        <v>4372</v>
      </c>
      <c r="I443" s="1" t="s">
        <v>4373</v>
      </c>
      <c r="J443" s="1" t="s">
        <v>5025</v>
      </c>
      <c r="K443" s="1" t="s">
        <v>5026</v>
      </c>
    </row>
    <row r="444" spans="1:11" ht="21" x14ac:dyDescent="0.25">
      <c r="A444" s="11" t="str">
        <f>HYPERLINK("https://rth.dk/resources/bsgatlas/details.php?id=BSGatlas-transcript-443","BSGatlas-transcript-443")</f>
        <v>BSGatlas-transcript-443</v>
      </c>
      <c r="B444" s="1" t="s">
        <v>5027</v>
      </c>
      <c r="C444" s="3">
        <v>449641</v>
      </c>
      <c r="D444" s="3">
        <v>452783</v>
      </c>
      <c r="E444" s="1" t="s">
        <v>9</v>
      </c>
      <c r="F444" s="1">
        <v>1</v>
      </c>
      <c r="G444" s="1">
        <v>84</v>
      </c>
      <c r="H444" s="1">
        <v>45</v>
      </c>
      <c r="I444" s="1" t="s">
        <v>4373</v>
      </c>
      <c r="J444" s="1" t="s">
        <v>5028</v>
      </c>
      <c r="K444" s="1" t="s">
        <v>5029</v>
      </c>
    </row>
    <row r="445" spans="1:11" ht="21" x14ac:dyDescent="0.25">
      <c r="A445" s="11" t="str">
        <f>HYPERLINK("https://rth.dk/resources/bsgatlas/details.php?id=BSGatlas-transcript-444","BSGatlas-transcript-444")</f>
        <v>BSGatlas-transcript-444</v>
      </c>
      <c r="B445" s="1" t="s">
        <v>468</v>
      </c>
      <c r="C445" s="3">
        <v>452789</v>
      </c>
      <c r="D445" s="3">
        <v>453930</v>
      </c>
      <c r="E445" s="1" t="s">
        <v>9</v>
      </c>
      <c r="F445" s="1">
        <v>0</v>
      </c>
      <c r="G445" s="1" t="s">
        <v>4372</v>
      </c>
      <c r="H445" s="1" t="s">
        <v>4372</v>
      </c>
      <c r="I445" s="1" t="s">
        <v>4373</v>
      </c>
      <c r="J445" s="1" t="s">
        <v>5030</v>
      </c>
      <c r="K445" s="1" t="s">
        <v>5031</v>
      </c>
    </row>
    <row r="446" spans="1:11" ht="21" x14ac:dyDescent="0.25">
      <c r="A446" s="11" t="str">
        <f>HYPERLINK("https://rth.dk/resources/bsgatlas/details.php?id=BSGatlas-transcript-445","BSGatlas-transcript-445")</f>
        <v>BSGatlas-transcript-445</v>
      </c>
      <c r="B446" s="1" t="s">
        <v>468</v>
      </c>
      <c r="C446" s="3">
        <v>452830</v>
      </c>
      <c r="D446" s="3">
        <v>453930</v>
      </c>
      <c r="E446" s="1" t="s">
        <v>9</v>
      </c>
      <c r="F446" s="1">
        <v>0</v>
      </c>
      <c r="G446" s="1" t="s">
        <v>4372</v>
      </c>
      <c r="H446" s="1" t="s">
        <v>4372</v>
      </c>
      <c r="I446" s="1" t="s">
        <v>4373</v>
      </c>
      <c r="J446" s="1" t="s">
        <v>5032</v>
      </c>
      <c r="K446" s="1" t="s">
        <v>5031</v>
      </c>
    </row>
    <row r="447" spans="1:11" ht="21" x14ac:dyDescent="0.25">
      <c r="A447" s="11" t="str">
        <f>HYPERLINK("https://rth.dk/resources/bsgatlas/details.php?id=BSGatlas-transcript-446","BSGatlas-transcript-446")</f>
        <v>BSGatlas-transcript-446</v>
      </c>
      <c r="B447" s="1" t="s">
        <v>469</v>
      </c>
      <c r="C447" s="3">
        <v>453994</v>
      </c>
      <c r="D447" s="3">
        <v>454712</v>
      </c>
      <c r="E447" s="1" t="s">
        <v>9</v>
      </c>
      <c r="F447" s="1">
        <v>0</v>
      </c>
      <c r="G447" s="1" t="s">
        <v>4372</v>
      </c>
      <c r="H447" s="1" t="s">
        <v>4372</v>
      </c>
      <c r="I447" s="1" t="s">
        <v>4373</v>
      </c>
      <c r="J447" s="1" t="s">
        <v>5033</v>
      </c>
      <c r="K447" s="1" t="s">
        <v>5034</v>
      </c>
    </row>
    <row r="448" spans="1:11" ht="21" x14ac:dyDescent="0.25">
      <c r="A448" s="11" t="str">
        <f>HYPERLINK("https://rth.dk/resources/bsgatlas/details.php?id=BSGatlas-transcript-447","BSGatlas-transcript-447")</f>
        <v>BSGatlas-transcript-447</v>
      </c>
      <c r="B448" s="1" t="s">
        <v>470</v>
      </c>
      <c r="C448" s="3">
        <v>454652</v>
      </c>
      <c r="D448" s="3">
        <v>455301</v>
      </c>
      <c r="E448" s="1" t="s">
        <v>13</v>
      </c>
      <c r="F448" s="1">
        <v>0</v>
      </c>
      <c r="G448" s="1" t="s">
        <v>4372</v>
      </c>
      <c r="H448" s="1" t="s">
        <v>4372</v>
      </c>
      <c r="I448" s="1" t="s">
        <v>4373</v>
      </c>
      <c r="J448" s="1" t="s">
        <v>5035</v>
      </c>
      <c r="K448" s="1" t="s">
        <v>318</v>
      </c>
    </row>
    <row r="449" spans="1:11" ht="21" x14ac:dyDescent="0.25">
      <c r="A449" s="11" t="str">
        <f>HYPERLINK("https://rth.dk/resources/bsgatlas/details.php?id=BSGatlas-transcript-448","BSGatlas-transcript-448")</f>
        <v>BSGatlas-transcript-448</v>
      </c>
      <c r="B449" s="1" t="s">
        <v>471</v>
      </c>
      <c r="C449" s="3">
        <v>455319</v>
      </c>
      <c r="D449" s="3">
        <v>455738</v>
      </c>
      <c r="E449" s="1" t="s">
        <v>9</v>
      </c>
      <c r="F449" s="1">
        <v>0</v>
      </c>
      <c r="G449" s="1" t="s">
        <v>4372</v>
      </c>
      <c r="H449" s="1" t="s">
        <v>4372</v>
      </c>
      <c r="I449" s="1" t="s">
        <v>4373</v>
      </c>
      <c r="J449" s="1" t="s">
        <v>5036</v>
      </c>
      <c r="K449" s="1" t="s">
        <v>5037</v>
      </c>
    </row>
    <row r="450" spans="1:11" ht="21" x14ac:dyDescent="0.25">
      <c r="A450" s="11" t="str">
        <f>HYPERLINK("https://rth.dk/resources/bsgatlas/details.php?id=BSGatlas-transcript-449","BSGatlas-transcript-449")</f>
        <v>BSGatlas-transcript-449</v>
      </c>
      <c r="B450" s="1" t="s">
        <v>471</v>
      </c>
      <c r="C450" s="3">
        <v>455319</v>
      </c>
      <c r="D450" s="3">
        <v>455788</v>
      </c>
      <c r="E450" s="1" t="s">
        <v>9</v>
      </c>
      <c r="F450" s="1">
        <v>0</v>
      </c>
      <c r="G450" s="1" t="s">
        <v>4372</v>
      </c>
      <c r="H450" s="1" t="s">
        <v>4372</v>
      </c>
      <c r="I450" s="1" t="s">
        <v>4373</v>
      </c>
      <c r="J450" s="1" t="s">
        <v>5036</v>
      </c>
      <c r="K450" s="1" t="s">
        <v>5038</v>
      </c>
    </row>
    <row r="451" spans="1:11" ht="21" x14ac:dyDescent="0.25">
      <c r="A451" s="11" t="str">
        <f>HYPERLINK("https://rth.dk/resources/bsgatlas/details.php?id=BSGatlas-transcript-450","BSGatlas-transcript-450")</f>
        <v>BSGatlas-transcript-450</v>
      </c>
      <c r="B451" s="1" t="s">
        <v>472</v>
      </c>
      <c r="C451" s="3">
        <v>455771</v>
      </c>
      <c r="D451" s="3">
        <v>455967</v>
      </c>
      <c r="E451" s="1" t="s">
        <v>13</v>
      </c>
      <c r="F451" s="1">
        <v>0</v>
      </c>
      <c r="G451" s="1" t="s">
        <v>4372</v>
      </c>
      <c r="H451" s="1" t="s">
        <v>4372</v>
      </c>
      <c r="I451" s="1" t="s">
        <v>4397</v>
      </c>
      <c r="J451" s="1" t="s">
        <v>5039</v>
      </c>
      <c r="K451" s="1" t="s">
        <v>5040</v>
      </c>
    </row>
    <row r="452" spans="1:11" ht="21" x14ac:dyDescent="0.25">
      <c r="A452" s="11" t="str">
        <f>HYPERLINK("https://rth.dk/resources/bsgatlas/details.php?id=BSGatlas-transcript-451","BSGatlas-transcript-451")</f>
        <v>BSGatlas-transcript-451</v>
      </c>
      <c r="B452" s="1" t="s">
        <v>473</v>
      </c>
      <c r="C452" s="3">
        <v>456021</v>
      </c>
      <c r="D452" s="3">
        <v>456817</v>
      </c>
      <c r="E452" s="1" t="s">
        <v>9</v>
      </c>
      <c r="F452" s="1">
        <v>0</v>
      </c>
      <c r="G452" s="1" t="s">
        <v>4372</v>
      </c>
      <c r="H452" s="1" t="s">
        <v>4372</v>
      </c>
      <c r="I452" s="1" t="s">
        <v>4373</v>
      </c>
      <c r="J452" s="1" t="s">
        <v>5041</v>
      </c>
      <c r="K452" s="1" t="s">
        <v>5042</v>
      </c>
    </row>
    <row r="453" spans="1:11" ht="21" x14ac:dyDescent="0.25">
      <c r="A453" s="11" t="str">
        <f>HYPERLINK("https://rth.dk/resources/bsgatlas/details.php?id=BSGatlas-transcript-452","BSGatlas-transcript-452")</f>
        <v>BSGatlas-transcript-452</v>
      </c>
      <c r="B453" s="1" t="s">
        <v>473</v>
      </c>
      <c r="C453" s="3">
        <v>456021</v>
      </c>
      <c r="D453" s="3">
        <v>456845</v>
      </c>
      <c r="E453" s="1" t="s">
        <v>9</v>
      </c>
      <c r="F453" s="1">
        <v>0</v>
      </c>
      <c r="G453" s="1" t="s">
        <v>4372</v>
      </c>
      <c r="H453" s="1" t="s">
        <v>4372</v>
      </c>
      <c r="I453" s="1" t="s">
        <v>4373</v>
      </c>
      <c r="J453" s="1" t="s">
        <v>5041</v>
      </c>
      <c r="K453" s="1" t="s">
        <v>5043</v>
      </c>
    </row>
    <row r="454" spans="1:11" ht="21" x14ac:dyDescent="0.25">
      <c r="A454" s="11" t="str">
        <f>HYPERLINK("https://rth.dk/resources/bsgatlas/details.php?id=BSGatlas-transcript-453","BSGatlas-transcript-453")</f>
        <v>BSGatlas-transcript-453</v>
      </c>
      <c r="B454" s="1" t="s">
        <v>5044</v>
      </c>
      <c r="C454" s="3">
        <v>456926</v>
      </c>
      <c r="D454" s="3">
        <v>461107</v>
      </c>
      <c r="E454" s="1" t="s">
        <v>9</v>
      </c>
      <c r="F454" s="1">
        <v>2</v>
      </c>
      <c r="G454" s="1">
        <v>98</v>
      </c>
      <c r="H454" s="1">
        <v>519</v>
      </c>
      <c r="I454" s="1" t="s">
        <v>4377</v>
      </c>
      <c r="J454" s="1" t="s">
        <v>5045</v>
      </c>
      <c r="K454" s="1" t="s">
        <v>5046</v>
      </c>
    </row>
    <row r="455" spans="1:11" ht="21" x14ac:dyDescent="0.25">
      <c r="A455" s="11" t="str">
        <f>HYPERLINK("https://rth.dk/resources/bsgatlas/details.php?id=BSGatlas-transcript-454","BSGatlas-transcript-454")</f>
        <v>BSGatlas-transcript-454</v>
      </c>
      <c r="B455" s="1" t="s">
        <v>5047</v>
      </c>
      <c r="C455" s="3">
        <v>456926</v>
      </c>
      <c r="D455" s="3">
        <v>463111</v>
      </c>
      <c r="E455" s="1" t="s">
        <v>9</v>
      </c>
      <c r="F455" s="1">
        <v>3</v>
      </c>
      <c r="G455" s="1">
        <v>98</v>
      </c>
      <c r="H455" s="1">
        <v>40</v>
      </c>
      <c r="I455" s="1" t="s">
        <v>4373</v>
      </c>
      <c r="J455" s="1" t="s">
        <v>5045</v>
      </c>
      <c r="K455" s="1" t="s">
        <v>5048</v>
      </c>
    </row>
    <row r="456" spans="1:11" ht="21" x14ac:dyDescent="0.25">
      <c r="A456" s="11" t="str">
        <f>HYPERLINK("https://rth.dk/resources/bsgatlas/details.php?id=BSGatlas-transcript-455","BSGatlas-transcript-455")</f>
        <v>BSGatlas-transcript-455</v>
      </c>
      <c r="B456" s="1" t="s">
        <v>5049</v>
      </c>
      <c r="C456" s="3">
        <v>461239</v>
      </c>
      <c r="D456" s="3">
        <v>463111</v>
      </c>
      <c r="E456" s="1" t="s">
        <v>9</v>
      </c>
      <c r="F456" s="1">
        <v>1</v>
      </c>
      <c r="G456" s="1">
        <v>377</v>
      </c>
      <c r="H456" s="1">
        <v>40</v>
      </c>
      <c r="I456" s="1" t="s">
        <v>4377</v>
      </c>
      <c r="J456" s="1" t="s">
        <v>5050</v>
      </c>
      <c r="K456" s="1" t="s">
        <v>5048</v>
      </c>
    </row>
    <row r="457" spans="1:11" ht="21" x14ac:dyDescent="0.25">
      <c r="A457" s="11" t="str">
        <f>HYPERLINK("https://rth.dk/resources/bsgatlas/details.php?id=BSGatlas-transcript-456","BSGatlas-transcript-456")</f>
        <v>BSGatlas-transcript-456</v>
      </c>
      <c r="B457" s="1" t="s">
        <v>480</v>
      </c>
      <c r="C457" s="3">
        <v>462398</v>
      </c>
      <c r="D457" s="3">
        <v>463111</v>
      </c>
      <c r="E457" s="1" t="s">
        <v>9</v>
      </c>
      <c r="F457" s="1">
        <v>0</v>
      </c>
      <c r="G457" s="1" t="s">
        <v>4372</v>
      </c>
      <c r="H457" s="1" t="s">
        <v>4372</v>
      </c>
      <c r="I457" s="1" t="s">
        <v>4386</v>
      </c>
      <c r="J457" s="1" t="s">
        <v>5051</v>
      </c>
      <c r="K457" s="1" t="s">
        <v>5048</v>
      </c>
    </row>
    <row r="458" spans="1:11" ht="21" x14ac:dyDescent="0.25">
      <c r="A458" s="11" t="str">
        <f>HYPERLINK("https://rth.dk/resources/bsgatlas/details.php?id=BSGatlas-transcript-457","BSGatlas-transcript-457")</f>
        <v>BSGatlas-transcript-457</v>
      </c>
      <c r="B458" s="1" t="s">
        <v>481</v>
      </c>
      <c r="C458" s="3">
        <v>463093</v>
      </c>
      <c r="D458" s="3">
        <v>463820</v>
      </c>
      <c r="E458" s="1" t="s">
        <v>13</v>
      </c>
      <c r="F458" s="1">
        <v>0</v>
      </c>
      <c r="G458" s="1" t="s">
        <v>4372</v>
      </c>
      <c r="H458" s="1" t="s">
        <v>4372</v>
      </c>
      <c r="I458" s="1" t="s">
        <v>4373</v>
      </c>
      <c r="J458" s="1" t="s">
        <v>5052</v>
      </c>
      <c r="K458" s="1" t="s">
        <v>5053</v>
      </c>
    </row>
    <row r="459" spans="1:11" ht="21" x14ac:dyDescent="0.25">
      <c r="A459" s="11" t="str">
        <f>HYPERLINK("https://rth.dk/resources/bsgatlas/details.php?id=BSGatlas-transcript-458","BSGatlas-transcript-458")</f>
        <v>BSGatlas-transcript-458</v>
      </c>
      <c r="B459" s="1" t="s">
        <v>482</v>
      </c>
      <c r="C459" s="3">
        <v>463169</v>
      </c>
      <c r="D459" s="3">
        <v>463490</v>
      </c>
      <c r="E459" s="1" t="s">
        <v>9</v>
      </c>
      <c r="F459" s="1">
        <v>0</v>
      </c>
      <c r="G459" s="1" t="s">
        <v>4372</v>
      </c>
      <c r="H459" s="1" t="s">
        <v>4372</v>
      </c>
      <c r="I459" s="1" t="s">
        <v>4373</v>
      </c>
      <c r="J459" s="1" t="s">
        <v>5054</v>
      </c>
      <c r="K459" s="1" t="s">
        <v>318</v>
      </c>
    </row>
    <row r="460" spans="1:11" ht="21" x14ac:dyDescent="0.25">
      <c r="A460" s="11" t="str">
        <f>HYPERLINK("https://rth.dk/resources/bsgatlas/details.php?id=BSGatlas-transcript-459","BSGatlas-transcript-459")</f>
        <v>BSGatlas-transcript-459</v>
      </c>
      <c r="B460" s="1" t="s">
        <v>481</v>
      </c>
      <c r="C460" s="3">
        <v>463391</v>
      </c>
      <c r="D460" s="3">
        <v>463820</v>
      </c>
      <c r="E460" s="1" t="s">
        <v>13</v>
      </c>
      <c r="F460" s="1">
        <v>0</v>
      </c>
      <c r="G460" s="1" t="s">
        <v>4372</v>
      </c>
      <c r="H460" s="1" t="s">
        <v>4372</v>
      </c>
      <c r="I460" s="1" t="s">
        <v>4373</v>
      </c>
      <c r="J460" s="1" t="s">
        <v>5052</v>
      </c>
      <c r="K460" s="1" t="s">
        <v>5055</v>
      </c>
    </row>
    <row r="461" spans="1:11" ht="21" x14ac:dyDescent="0.25">
      <c r="A461" s="11" t="str">
        <f>HYPERLINK("https://rth.dk/resources/bsgatlas/details.php?id=BSGatlas-transcript-460","BSGatlas-transcript-460")</f>
        <v>BSGatlas-transcript-460</v>
      </c>
      <c r="B461" s="1" t="s">
        <v>5056</v>
      </c>
      <c r="C461" s="3">
        <v>463903</v>
      </c>
      <c r="D461" s="3">
        <v>466944</v>
      </c>
      <c r="E461" s="1" t="s">
        <v>9</v>
      </c>
      <c r="F461" s="1">
        <v>1</v>
      </c>
      <c r="G461" s="1">
        <v>32</v>
      </c>
      <c r="H461" s="1" t="s">
        <v>4372</v>
      </c>
      <c r="I461" s="1" t="s">
        <v>4386</v>
      </c>
      <c r="J461" s="1" t="s">
        <v>5057</v>
      </c>
      <c r="K461" s="1" t="s">
        <v>5058</v>
      </c>
    </row>
    <row r="462" spans="1:11" ht="21" x14ac:dyDescent="0.25">
      <c r="A462" s="11" t="str">
        <f>HYPERLINK("https://rth.dk/resources/bsgatlas/details.php?id=BSGatlas-transcript-461","BSGatlas-transcript-461")</f>
        <v>BSGatlas-transcript-461</v>
      </c>
      <c r="B462" s="1" t="s">
        <v>485</v>
      </c>
      <c r="C462" s="3">
        <v>467042</v>
      </c>
      <c r="D462" s="3">
        <v>469263</v>
      </c>
      <c r="E462" s="1" t="s">
        <v>9</v>
      </c>
      <c r="F462" s="1">
        <v>0</v>
      </c>
      <c r="G462" s="1" t="s">
        <v>4372</v>
      </c>
      <c r="H462" s="1" t="s">
        <v>4372</v>
      </c>
      <c r="I462" s="1" t="s">
        <v>4373</v>
      </c>
      <c r="J462" s="1" t="s">
        <v>5059</v>
      </c>
      <c r="K462" s="1" t="s">
        <v>5060</v>
      </c>
    </row>
    <row r="463" spans="1:11" ht="21" x14ac:dyDescent="0.25">
      <c r="A463" s="11" t="str">
        <f>HYPERLINK("https://rth.dk/resources/bsgatlas/details.php?id=BSGatlas-transcript-462","BSGatlas-transcript-462")</f>
        <v>BSGatlas-transcript-462</v>
      </c>
      <c r="B463" s="1" t="s">
        <v>486</v>
      </c>
      <c r="C463" s="3">
        <v>469275</v>
      </c>
      <c r="D463" s="3">
        <v>470937</v>
      </c>
      <c r="E463" s="1" t="s">
        <v>9</v>
      </c>
      <c r="F463" s="1">
        <v>0</v>
      </c>
      <c r="G463" s="1" t="s">
        <v>4372</v>
      </c>
      <c r="H463" s="1" t="s">
        <v>4372</v>
      </c>
      <c r="I463" s="1" t="s">
        <v>4386</v>
      </c>
      <c r="J463" s="1" t="s">
        <v>5061</v>
      </c>
      <c r="K463" s="1" t="s">
        <v>5062</v>
      </c>
    </row>
    <row r="464" spans="1:11" ht="21" x14ac:dyDescent="0.25">
      <c r="A464" s="11" t="str">
        <f>HYPERLINK("https://rth.dk/resources/bsgatlas/details.php?id=BSGatlas-transcript-463","BSGatlas-transcript-463")</f>
        <v>BSGatlas-transcript-463</v>
      </c>
      <c r="B464" s="1" t="s">
        <v>486</v>
      </c>
      <c r="C464" s="3">
        <v>469369</v>
      </c>
      <c r="D464" s="3">
        <v>470937</v>
      </c>
      <c r="E464" s="1" t="s">
        <v>9</v>
      </c>
      <c r="F464" s="1">
        <v>0</v>
      </c>
      <c r="G464" s="1" t="s">
        <v>4372</v>
      </c>
      <c r="H464" s="1" t="s">
        <v>4372</v>
      </c>
      <c r="I464" s="1" t="s">
        <v>4386</v>
      </c>
      <c r="J464" s="1" t="s">
        <v>5063</v>
      </c>
      <c r="K464" s="1" t="s">
        <v>5062</v>
      </c>
    </row>
    <row r="465" spans="1:11" ht="21" x14ac:dyDescent="0.25">
      <c r="A465" s="11" t="str">
        <f>HYPERLINK("https://rth.dk/resources/bsgatlas/details.php?id=BSGatlas-transcript-464","BSGatlas-transcript-464")</f>
        <v>BSGatlas-transcript-464</v>
      </c>
      <c r="B465" s="1" t="s">
        <v>487</v>
      </c>
      <c r="C465" s="3">
        <v>470957</v>
      </c>
      <c r="D465" s="3">
        <v>471583</v>
      </c>
      <c r="E465" s="1" t="s">
        <v>13</v>
      </c>
      <c r="F465" s="1">
        <v>0</v>
      </c>
      <c r="G465" s="1" t="s">
        <v>4372</v>
      </c>
      <c r="H465" s="1" t="s">
        <v>4372</v>
      </c>
      <c r="I465" s="1" t="s">
        <v>4397</v>
      </c>
      <c r="J465" s="1" t="s">
        <v>5064</v>
      </c>
      <c r="K465" s="1" t="s">
        <v>5065</v>
      </c>
    </row>
    <row r="466" spans="1:11" ht="21" x14ac:dyDescent="0.25">
      <c r="A466" s="11" t="str">
        <f>HYPERLINK("https://rth.dk/resources/bsgatlas/details.php?id=BSGatlas-transcript-465","BSGatlas-transcript-465")</f>
        <v>BSGatlas-transcript-465</v>
      </c>
      <c r="B466" s="1" t="s">
        <v>5066</v>
      </c>
      <c r="C466" s="3">
        <v>471679</v>
      </c>
      <c r="D466" s="3">
        <v>473110</v>
      </c>
      <c r="E466" s="1" t="s">
        <v>9</v>
      </c>
      <c r="F466" s="1">
        <v>0</v>
      </c>
      <c r="G466" s="1" t="s">
        <v>4372</v>
      </c>
      <c r="H466" s="1" t="s">
        <v>4372</v>
      </c>
      <c r="I466" s="1" t="s">
        <v>4386</v>
      </c>
      <c r="J466" s="1" t="s">
        <v>5067</v>
      </c>
      <c r="K466" s="1" t="s">
        <v>5068</v>
      </c>
    </row>
    <row r="467" spans="1:11" ht="21" x14ac:dyDescent="0.25">
      <c r="A467" s="11" t="str">
        <f>HYPERLINK("https://rth.dk/resources/bsgatlas/details.php?id=BSGatlas-transcript-466","BSGatlas-transcript-466")</f>
        <v>BSGatlas-transcript-466</v>
      </c>
      <c r="B467" s="1" t="s">
        <v>5069</v>
      </c>
      <c r="C467" s="3">
        <v>471679</v>
      </c>
      <c r="D467" s="3">
        <v>474225</v>
      </c>
      <c r="E467" s="1" t="s">
        <v>9</v>
      </c>
      <c r="F467" s="1">
        <v>2</v>
      </c>
      <c r="G467" s="1">
        <v>31</v>
      </c>
      <c r="H467" s="1" t="s">
        <v>4372</v>
      </c>
      <c r="I467" s="1" t="s">
        <v>4373</v>
      </c>
      <c r="J467" s="1" t="s">
        <v>5067</v>
      </c>
      <c r="K467" s="1" t="s">
        <v>318</v>
      </c>
    </row>
    <row r="468" spans="1:11" ht="21" x14ac:dyDescent="0.25">
      <c r="A468" s="11" t="str">
        <f>HYPERLINK("https://rth.dk/resources/bsgatlas/details.php?id=BSGatlas-transcript-467","BSGatlas-transcript-467")</f>
        <v>BSGatlas-transcript-467</v>
      </c>
      <c r="B468" s="1" t="s">
        <v>5070</v>
      </c>
      <c r="C468" s="3">
        <v>473140</v>
      </c>
      <c r="D468" s="3">
        <v>474225</v>
      </c>
      <c r="E468" s="1" t="s">
        <v>9</v>
      </c>
      <c r="F468" s="1">
        <v>1</v>
      </c>
      <c r="G468" s="1">
        <v>35</v>
      </c>
      <c r="H468" s="1" t="s">
        <v>4372</v>
      </c>
      <c r="I468" s="1" t="s">
        <v>4386</v>
      </c>
      <c r="J468" s="1" t="s">
        <v>5071</v>
      </c>
      <c r="K468" s="1" t="s">
        <v>318</v>
      </c>
    </row>
    <row r="469" spans="1:11" ht="21" x14ac:dyDescent="0.25">
      <c r="A469" s="11" t="str">
        <f>HYPERLINK("https://rth.dk/resources/bsgatlas/details.php?id=BSGatlas-transcript-468","BSGatlas-transcript-468")</f>
        <v>BSGatlas-transcript-468</v>
      </c>
      <c r="B469" s="1" t="s">
        <v>491</v>
      </c>
      <c r="C469" s="3">
        <v>473775</v>
      </c>
      <c r="D469" s="3">
        <v>474225</v>
      </c>
      <c r="E469" s="1" t="s">
        <v>9</v>
      </c>
      <c r="F469" s="1">
        <v>0</v>
      </c>
      <c r="G469" s="1" t="s">
        <v>4372</v>
      </c>
      <c r="H469" s="1" t="s">
        <v>4372</v>
      </c>
      <c r="I469" s="1" t="s">
        <v>4386</v>
      </c>
      <c r="J469" s="1" t="s">
        <v>5072</v>
      </c>
      <c r="K469" s="1" t="s">
        <v>318</v>
      </c>
    </row>
    <row r="470" spans="1:11" ht="21" x14ac:dyDescent="0.25">
      <c r="A470" s="11" t="str">
        <f>HYPERLINK("https://rth.dk/resources/bsgatlas/details.php?id=BSGatlas-transcript-469","BSGatlas-transcript-469")</f>
        <v>BSGatlas-transcript-469</v>
      </c>
      <c r="B470" s="1" t="s">
        <v>492</v>
      </c>
      <c r="C470" s="3">
        <v>474268</v>
      </c>
      <c r="D470" s="3">
        <v>474634</v>
      </c>
      <c r="E470" s="1" t="s">
        <v>9</v>
      </c>
      <c r="F470" s="1">
        <v>0</v>
      </c>
      <c r="G470" s="1" t="s">
        <v>4372</v>
      </c>
      <c r="H470" s="1" t="s">
        <v>4372</v>
      </c>
      <c r="I470" s="1" t="s">
        <v>4377</v>
      </c>
      <c r="J470" s="1" t="s">
        <v>5073</v>
      </c>
      <c r="K470" s="1" t="s">
        <v>5074</v>
      </c>
    </row>
    <row r="471" spans="1:11" ht="21" x14ac:dyDescent="0.25">
      <c r="A471" s="11" t="str">
        <f>HYPERLINK("https://rth.dk/resources/bsgatlas/details.php?id=BSGatlas-transcript-470","BSGatlas-transcript-470")</f>
        <v>BSGatlas-transcript-470</v>
      </c>
      <c r="B471" s="1" t="s">
        <v>492</v>
      </c>
      <c r="C471" s="3">
        <v>474268</v>
      </c>
      <c r="D471" s="3">
        <v>474657</v>
      </c>
      <c r="E471" s="1" t="s">
        <v>9</v>
      </c>
      <c r="F471" s="1">
        <v>0</v>
      </c>
      <c r="G471" s="1" t="s">
        <v>4372</v>
      </c>
      <c r="H471" s="1" t="s">
        <v>4372</v>
      </c>
      <c r="I471" s="1" t="s">
        <v>4377</v>
      </c>
      <c r="J471" s="1" t="s">
        <v>5073</v>
      </c>
      <c r="K471" s="1" t="s">
        <v>5075</v>
      </c>
    </row>
    <row r="472" spans="1:11" ht="21" x14ac:dyDescent="0.25">
      <c r="A472" s="11" t="str">
        <f>HYPERLINK("https://rth.dk/resources/bsgatlas/details.php?id=BSGatlas-transcript-471","BSGatlas-transcript-471")</f>
        <v>BSGatlas-transcript-471</v>
      </c>
      <c r="B472" s="1" t="s">
        <v>493</v>
      </c>
      <c r="C472" s="3">
        <v>474329</v>
      </c>
      <c r="D472" s="3">
        <v>474597</v>
      </c>
      <c r="E472" s="1" t="s">
        <v>13</v>
      </c>
      <c r="F472" s="1">
        <v>0</v>
      </c>
      <c r="G472" s="1" t="s">
        <v>4372</v>
      </c>
      <c r="H472" s="1" t="s">
        <v>4372</v>
      </c>
      <c r="I472" s="1" t="s">
        <v>4547</v>
      </c>
      <c r="J472" s="1" t="s">
        <v>5076</v>
      </c>
      <c r="K472" s="1" t="s">
        <v>318</v>
      </c>
    </row>
    <row r="473" spans="1:11" ht="21" x14ac:dyDescent="0.25">
      <c r="A473" s="11" t="str">
        <f>HYPERLINK("https://rth.dk/resources/bsgatlas/details.php?id=BSGatlas-transcript-472","BSGatlas-transcript-472")</f>
        <v>BSGatlas-transcript-472</v>
      </c>
      <c r="B473" s="1" t="s">
        <v>494</v>
      </c>
      <c r="C473" s="3">
        <v>474698</v>
      </c>
      <c r="D473" s="3">
        <v>475540</v>
      </c>
      <c r="E473" s="1" t="s">
        <v>9</v>
      </c>
      <c r="F473" s="1">
        <v>0</v>
      </c>
      <c r="G473" s="1" t="s">
        <v>4372</v>
      </c>
      <c r="H473" s="1" t="s">
        <v>4372</v>
      </c>
      <c r="I473" s="1" t="s">
        <v>4397</v>
      </c>
      <c r="J473" s="1" t="s">
        <v>5077</v>
      </c>
      <c r="K473" s="1" t="s">
        <v>5078</v>
      </c>
    </row>
    <row r="474" spans="1:11" ht="21" x14ac:dyDescent="0.25">
      <c r="A474" s="11" t="str">
        <f>HYPERLINK("https://rth.dk/resources/bsgatlas/details.php?id=BSGatlas-transcript-473","BSGatlas-transcript-473")</f>
        <v>BSGatlas-transcript-473</v>
      </c>
      <c r="B474" s="1" t="s">
        <v>495</v>
      </c>
      <c r="C474" s="3">
        <v>475566</v>
      </c>
      <c r="D474" s="3">
        <v>475918</v>
      </c>
      <c r="E474" s="1" t="s">
        <v>13</v>
      </c>
      <c r="F474" s="1">
        <v>0</v>
      </c>
      <c r="G474" s="1" t="s">
        <v>4372</v>
      </c>
      <c r="H474" s="1" t="s">
        <v>4372</v>
      </c>
      <c r="I474" s="1" t="s">
        <v>4397</v>
      </c>
      <c r="J474" s="1" t="s">
        <v>5079</v>
      </c>
      <c r="K474" s="1" t="s">
        <v>5080</v>
      </c>
    </row>
    <row r="475" spans="1:11" ht="21" x14ac:dyDescent="0.25">
      <c r="A475" s="11" t="str">
        <f>HYPERLINK("https://rth.dk/resources/bsgatlas/details.php?id=BSGatlas-transcript-474","BSGatlas-transcript-474")</f>
        <v>BSGatlas-transcript-474</v>
      </c>
      <c r="B475" s="1" t="s">
        <v>496</v>
      </c>
      <c r="C475" s="3">
        <v>475908</v>
      </c>
      <c r="D475" s="3">
        <v>476493</v>
      </c>
      <c r="E475" s="1" t="s">
        <v>9</v>
      </c>
      <c r="F475" s="1">
        <v>0</v>
      </c>
      <c r="G475" s="1" t="s">
        <v>4372</v>
      </c>
      <c r="H475" s="1" t="s">
        <v>4372</v>
      </c>
      <c r="I475" s="1" t="s">
        <v>4382</v>
      </c>
      <c r="J475" s="1" t="s">
        <v>5081</v>
      </c>
      <c r="K475" s="1" t="s">
        <v>318</v>
      </c>
    </row>
    <row r="476" spans="1:11" ht="21" x14ac:dyDescent="0.25">
      <c r="A476" s="11" t="str">
        <f>HYPERLINK("https://rth.dk/resources/bsgatlas/details.php?id=BSGatlas-transcript-475","BSGatlas-transcript-475")</f>
        <v>BSGatlas-transcript-475</v>
      </c>
      <c r="B476" s="1" t="s">
        <v>5082</v>
      </c>
      <c r="C476" s="3">
        <v>475908</v>
      </c>
      <c r="D476" s="3">
        <v>478741</v>
      </c>
      <c r="E476" s="1" t="s">
        <v>9</v>
      </c>
      <c r="F476" s="1">
        <v>1</v>
      </c>
      <c r="G476" s="1">
        <v>152</v>
      </c>
      <c r="H476" s="1" t="s">
        <v>4372</v>
      </c>
      <c r="I476" s="1" t="s">
        <v>4386</v>
      </c>
      <c r="J476" s="1" t="s">
        <v>5081</v>
      </c>
      <c r="K476" s="1" t="s">
        <v>5083</v>
      </c>
    </row>
    <row r="477" spans="1:11" ht="21" x14ac:dyDescent="0.25">
      <c r="A477" s="11" t="str">
        <f>HYPERLINK("https://rth.dk/resources/bsgatlas/details.php?id=BSGatlas-transcript-476","BSGatlas-transcript-476")</f>
        <v>BSGatlas-transcript-476</v>
      </c>
      <c r="B477" s="1" t="s">
        <v>496</v>
      </c>
      <c r="C477" s="3">
        <v>476033</v>
      </c>
      <c r="D477" s="3">
        <v>476493</v>
      </c>
      <c r="E477" s="1" t="s">
        <v>9</v>
      </c>
      <c r="F477" s="1">
        <v>0</v>
      </c>
      <c r="G477" s="1" t="s">
        <v>4372</v>
      </c>
      <c r="H477" s="1" t="s">
        <v>4372</v>
      </c>
      <c r="I477" s="1" t="s">
        <v>4382</v>
      </c>
      <c r="J477" s="1" t="s">
        <v>5084</v>
      </c>
      <c r="K477" s="1" t="s">
        <v>318</v>
      </c>
    </row>
    <row r="478" spans="1:11" ht="21" x14ac:dyDescent="0.25">
      <c r="A478" s="11" t="str">
        <f>HYPERLINK("https://rth.dk/resources/bsgatlas/details.php?id=BSGatlas-transcript-477","BSGatlas-transcript-477")</f>
        <v>BSGatlas-transcript-477</v>
      </c>
      <c r="B478" s="1" t="s">
        <v>5082</v>
      </c>
      <c r="C478" s="3">
        <v>476033</v>
      </c>
      <c r="D478" s="3">
        <v>478741</v>
      </c>
      <c r="E478" s="1" t="s">
        <v>9</v>
      </c>
      <c r="F478" s="1">
        <v>1</v>
      </c>
      <c r="G478" s="1">
        <v>27</v>
      </c>
      <c r="H478" s="1" t="s">
        <v>4372</v>
      </c>
      <c r="I478" s="1" t="s">
        <v>4386</v>
      </c>
      <c r="J478" s="1" t="s">
        <v>5084</v>
      </c>
      <c r="K478" s="1" t="s">
        <v>5083</v>
      </c>
    </row>
    <row r="479" spans="1:11" ht="21" x14ac:dyDescent="0.25">
      <c r="A479" s="11" t="str">
        <f>HYPERLINK("https://rth.dk/resources/bsgatlas/details.php?id=BSGatlas-transcript-478","BSGatlas-transcript-478")</f>
        <v>BSGatlas-transcript-478</v>
      </c>
      <c r="B479" s="1" t="s">
        <v>497</v>
      </c>
      <c r="C479" s="3">
        <v>476502</v>
      </c>
      <c r="D479" s="3">
        <v>478741</v>
      </c>
      <c r="E479" s="1" t="s">
        <v>9</v>
      </c>
      <c r="F479" s="1">
        <v>0</v>
      </c>
      <c r="G479" s="1" t="s">
        <v>4372</v>
      </c>
      <c r="H479" s="1" t="s">
        <v>4372</v>
      </c>
      <c r="I479" s="1" t="s">
        <v>4386</v>
      </c>
      <c r="J479" s="1" t="s">
        <v>5085</v>
      </c>
      <c r="K479" s="1" t="s">
        <v>5083</v>
      </c>
    </row>
    <row r="480" spans="1:11" ht="21" x14ac:dyDescent="0.25">
      <c r="A480" s="11" t="str">
        <f>HYPERLINK("https://rth.dk/resources/bsgatlas/details.php?id=BSGatlas-transcript-479","BSGatlas-transcript-479")</f>
        <v>BSGatlas-transcript-479</v>
      </c>
      <c r="B480" s="1" t="s">
        <v>5086</v>
      </c>
      <c r="C480" s="3">
        <v>478812</v>
      </c>
      <c r="D480" s="3">
        <v>485956</v>
      </c>
      <c r="E480" s="1" t="s">
        <v>9</v>
      </c>
      <c r="F480" s="1">
        <v>0</v>
      </c>
      <c r="G480" s="1" t="s">
        <v>4372</v>
      </c>
      <c r="H480" s="1" t="s">
        <v>4372</v>
      </c>
      <c r="I480" s="1" t="s">
        <v>4397</v>
      </c>
      <c r="J480" s="1" t="s">
        <v>5087</v>
      </c>
      <c r="K480" s="1" t="s">
        <v>5088</v>
      </c>
    </row>
    <row r="481" spans="1:11" ht="21" x14ac:dyDescent="0.25">
      <c r="A481" s="11" t="str">
        <f>HYPERLINK("https://rth.dk/resources/bsgatlas/details.php?id=BSGatlas-transcript-480","BSGatlas-transcript-480")</f>
        <v>BSGatlas-transcript-480</v>
      </c>
      <c r="B481" s="1" t="s">
        <v>503</v>
      </c>
      <c r="C481" s="3">
        <v>486082</v>
      </c>
      <c r="D481" s="3">
        <v>488255</v>
      </c>
      <c r="E481" s="1" t="s">
        <v>9</v>
      </c>
      <c r="F481" s="1">
        <v>0</v>
      </c>
      <c r="G481" s="1" t="s">
        <v>4372</v>
      </c>
      <c r="H481" s="1" t="s">
        <v>4372</v>
      </c>
      <c r="I481" s="1" t="s">
        <v>4386</v>
      </c>
      <c r="J481" s="1" t="s">
        <v>5089</v>
      </c>
      <c r="K481" s="1" t="s">
        <v>5090</v>
      </c>
    </row>
    <row r="482" spans="1:11" ht="21" x14ac:dyDescent="0.25">
      <c r="A482" s="11" t="str">
        <f>HYPERLINK("https://rth.dk/resources/bsgatlas/details.php?id=BSGatlas-transcript-481","BSGatlas-transcript-481")</f>
        <v>BSGatlas-transcript-481</v>
      </c>
      <c r="B482" s="1" t="s">
        <v>504</v>
      </c>
      <c r="C482" s="3">
        <v>486091</v>
      </c>
      <c r="D482" s="3">
        <v>486255</v>
      </c>
      <c r="E482" s="1" t="s">
        <v>9</v>
      </c>
      <c r="F482" s="1">
        <v>0</v>
      </c>
      <c r="G482" s="1" t="s">
        <v>4372</v>
      </c>
      <c r="H482" s="1" t="s">
        <v>4372</v>
      </c>
      <c r="I482" s="1" t="s">
        <v>4377</v>
      </c>
      <c r="J482" s="1" t="s">
        <v>318</v>
      </c>
      <c r="K482" s="1" t="s">
        <v>5091</v>
      </c>
    </row>
    <row r="483" spans="1:11" ht="21" x14ac:dyDescent="0.25">
      <c r="A483" s="11" t="str">
        <f>HYPERLINK("https://rth.dk/resources/bsgatlas/details.php?id=BSGatlas-transcript-482","BSGatlas-transcript-482")</f>
        <v>BSGatlas-transcript-482</v>
      </c>
      <c r="B483" s="1" t="s">
        <v>505</v>
      </c>
      <c r="C483" s="3">
        <v>488811</v>
      </c>
      <c r="D483" s="3">
        <v>490596</v>
      </c>
      <c r="E483" s="1" t="s">
        <v>9</v>
      </c>
      <c r="F483" s="1">
        <v>0</v>
      </c>
      <c r="G483" s="1" t="s">
        <v>4372</v>
      </c>
      <c r="H483" s="1" t="s">
        <v>4372</v>
      </c>
      <c r="I483" s="1" t="s">
        <v>4373</v>
      </c>
      <c r="J483" s="1" t="s">
        <v>5092</v>
      </c>
      <c r="K483" s="1" t="s">
        <v>5093</v>
      </c>
    </row>
    <row r="484" spans="1:11" ht="21" x14ac:dyDescent="0.25">
      <c r="A484" s="11" t="str">
        <f>HYPERLINK("https://rth.dk/resources/bsgatlas/details.php?id=BSGatlas-transcript-483","BSGatlas-transcript-483")</f>
        <v>BSGatlas-transcript-483</v>
      </c>
      <c r="B484" s="1" t="s">
        <v>506</v>
      </c>
      <c r="C484" s="3">
        <v>489633</v>
      </c>
      <c r="D484" s="3">
        <v>490638</v>
      </c>
      <c r="E484" s="1" t="s">
        <v>13</v>
      </c>
      <c r="F484" s="1">
        <v>0</v>
      </c>
      <c r="G484" s="1" t="s">
        <v>4372</v>
      </c>
      <c r="H484" s="1" t="s">
        <v>4372</v>
      </c>
      <c r="I484" s="1" t="s">
        <v>4377</v>
      </c>
      <c r="J484" s="1" t="s">
        <v>5094</v>
      </c>
      <c r="K484" s="1" t="s">
        <v>5095</v>
      </c>
    </row>
    <row r="485" spans="1:11" ht="21" x14ac:dyDescent="0.25">
      <c r="A485" s="11" t="str">
        <f>HYPERLINK("https://rth.dk/resources/bsgatlas/details.php?id=BSGatlas-transcript-484","BSGatlas-transcript-484")</f>
        <v>BSGatlas-transcript-484</v>
      </c>
      <c r="B485" s="1" t="s">
        <v>4760</v>
      </c>
      <c r="C485" s="3">
        <v>490546</v>
      </c>
      <c r="D485" s="3">
        <v>490749</v>
      </c>
      <c r="E485" s="1" t="s">
        <v>13</v>
      </c>
      <c r="F485" s="1">
        <v>0</v>
      </c>
      <c r="G485" s="1" t="s">
        <v>4372</v>
      </c>
      <c r="H485" s="1" t="s">
        <v>4372</v>
      </c>
      <c r="I485" s="1" t="s">
        <v>4377</v>
      </c>
      <c r="J485" s="1" t="s">
        <v>318</v>
      </c>
      <c r="K485" s="1" t="s">
        <v>5096</v>
      </c>
    </row>
    <row r="486" spans="1:11" ht="21" x14ac:dyDescent="0.25">
      <c r="A486" s="11" t="str">
        <f>HYPERLINK("https://rth.dk/resources/bsgatlas/details.php?id=BSGatlas-transcript-485","BSGatlas-transcript-485")</f>
        <v>BSGatlas-transcript-485</v>
      </c>
      <c r="B486" s="1" t="s">
        <v>507</v>
      </c>
      <c r="C486" s="3">
        <v>490639</v>
      </c>
      <c r="D486" s="3">
        <v>490854</v>
      </c>
      <c r="E486" s="1" t="s">
        <v>9</v>
      </c>
      <c r="F486" s="1">
        <v>0</v>
      </c>
      <c r="G486" s="1" t="s">
        <v>4372</v>
      </c>
      <c r="H486" s="1" t="s">
        <v>4372</v>
      </c>
      <c r="I486" s="1" t="s">
        <v>4377</v>
      </c>
      <c r="J486" s="1" t="s">
        <v>5097</v>
      </c>
      <c r="K486" s="1" t="s">
        <v>318</v>
      </c>
    </row>
    <row r="487" spans="1:11" ht="21" x14ac:dyDescent="0.25">
      <c r="A487" s="11" t="str">
        <f>HYPERLINK("https://rth.dk/resources/bsgatlas/details.php?id=BSGatlas-transcript-486","BSGatlas-transcript-486")</f>
        <v>BSGatlas-transcript-486</v>
      </c>
      <c r="B487" s="1" t="s">
        <v>508</v>
      </c>
      <c r="C487" s="3">
        <v>490726</v>
      </c>
      <c r="D487" s="3">
        <v>491077</v>
      </c>
      <c r="E487" s="1" t="s">
        <v>13</v>
      </c>
      <c r="F487" s="1">
        <v>0</v>
      </c>
      <c r="G487" s="1" t="s">
        <v>4372</v>
      </c>
      <c r="H487" s="1" t="s">
        <v>4372</v>
      </c>
      <c r="I487" s="1" t="s">
        <v>4386</v>
      </c>
      <c r="J487" s="1" t="s">
        <v>5098</v>
      </c>
      <c r="K487" s="1" t="s">
        <v>5099</v>
      </c>
    </row>
    <row r="488" spans="1:11" ht="21" x14ac:dyDescent="0.25">
      <c r="A488" s="11" t="str">
        <f>HYPERLINK("https://rth.dk/resources/bsgatlas/details.php?id=BSGatlas-transcript-487","BSGatlas-transcript-487")</f>
        <v>BSGatlas-transcript-487</v>
      </c>
      <c r="B488" s="1" t="s">
        <v>509</v>
      </c>
      <c r="C488" s="3">
        <v>491110</v>
      </c>
      <c r="D488" s="3">
        <v>492498</v>
      </c>
      <c r="E488" s="1" t="s">
        <v>13</v>
      </c>
      <c r="F488" s="1">
        <v>0</v>
      </c>
      <c r="G488" s="1" t="s">
        <v>4372</v>
      </c>
      <c r="H488" s="1" t="s">
        <v>4372</v>
      </c>
      <c r="I488" s="1" t="s">
        <v>4373</v>
      </c>
      <c r="J488" s="1" t="s">
        <v>5100</v>
      </c>
      <c r="K488" s="1" t="s">
        <v>5101</v>
      </c>
    </row>
    <row r="489" spans="1:11" ht="21" x14ac:dyDescent="0.25">
      <c r="A489" s="11" t="str">
        <f>HYPERLINK("https://rth.dk/resources/bsgatlas/details.php?id=BSGatlas-transcript-488","BSGatlas-transcript-488")</f>
        <v>BSGatlas-transcript-488</v>
      </c>
      <c r="B489" s="1" t="s">
        <v>509</v>
      </c>
      <c r="C489" s="3">
        <v>491110</v>
      </c>
      <c r="D489" s="3">
        <v>492577</v>
      </c>
      <c r="E489" s="1" t="s">
        <v>13</v>
      </c>
      <c r="F489" s="1">
        <v>0</v>
      </c>
      <c r="G489" s="1" t="s">
        <v>4372</v>
      </c>
      <c r="H489" s="1" t="s">
        <v>4372</v>
      </c>
      <c r="I489" s="1" t="s">
        <v>4373</v>
      </c>
      <c r="J489" s="1" t="s">
        <v>5102</v>
      </c>
      <c r="K489" s="1" t="s">
        <v>5101</v>
      </c>
    </row>
    <row r="490" spans="1:11" ht="21" x14ac:dyDescent="0.25">
      <c r="A490" s="11" t="str">
        <f>HYPERLINK("https://rth.dk/resources/bsgatlas/details.php?id=BSGatlas-transcript-489","BSGatlas-transcript-489")</f>
        <v>BSGatlas-transcript-489</v>
      </c>
      <c r="B490" s="1" t="s">
        <v>510</v>
      </c>
      <c r="C490" s="3">
        <v>492595</v>
      </c>
      <c r="D490" s="3">
        <v>492911</v>
      </c>
      <c r="E490" s="1" t="s">
        <v>13</v>
      </c>
      <c r="F490" s="1">
        <v>0</v>
      </c>
      <c r="G490" s="1" t="s">
        <v>4372</v>
      </c>
      <c r="H490" s="1" t="s">
        <v>4372</v>
      </c>
      <c r="I490" s="1" t="s">
        <v>4386</v>
      </c>
      <c r="J490" s="1" t="s">
        <v>318</v>
      </c>
      <c r="K490" s="1" t="s">
        <v>5103</v>
      </c>
    </row>
    <row r="491" spans="1:11" ht="21" x14ac:dyDescent="0.25">
      <c r="A491" s="11" t="str">
        <f>HYPERLINK("https://rth.dk/resources/bsgatlas/details.php?id=BSGatlas-transcript-490","BSGatlas-transcript-490")</f>
        <v>BSGatlas-transcript-490</v>
      </c>
      <c r="B491" s="1" t="s">
        <v>5104</v>
      </c>
      <c r="C491" s="3">
        <v>492595</v>
      </c>
      <c r="D491" s="3">
        <v>493477</v>
      </c>
      <c r="E491" s="1" t="s">
        <v>13</v>
      </c>
      <c r="F491" s="1">
        <v>1</v>
      </c>
      <c r="G491" s="1">
        <v>37</v>
      </c>
      <c r="H491" s="1">
        <v>60</v>
      </c>
      <c r="I491" s="1" t="s">
        <v>4373</v>
      </c>
      <c r="J491" s="1" t="s">
        <v>5105</v>
      </c>
      <c r="K491" s="1" t="s">
        <v>5103</v>
      </c>
    </row>
    <row r="492" spans="1:11" ht="21" x14ac:dyDescent="0.25">
      <c r="A492" s="11" t="str">
        <f>HYPERLINK("https://rth.dk/resources/bsgatlas/details.php?id=BSGatlas-transcript-491","BSGatlas-transcript-491")</f>
        <v>BSGatlas-transcript-491</v>
      </c>
      <c r="B492" s="1" t="s">
        <v>5104</v>
      </c>
      <c r="C492" s="3">
        <v>492595</v>
      </c>
      <c r="D492" s="3">
        <v>494928</v>
      </c>
      <c r="E492" s="1" t="s">
        <v>13</v>
      </c>
      <c r="F492" s="1">
        <v>1</v>
      </c>
      <c r="G492" s="1">
        <v>1488</v>
      </c>
      <c r="H492" s="1">
        <v>60</v>
      </c>
      <c r="I492" s="1" t="s">
        <v>4373</v>
      </c>
      <c r="J492" s="1" t="s">
        <v>5106</v>
      </c>
      <c r="K492" s="1" t="s">
        <v>5103</v>
      </c>
    </row>
    <row r="493" spans="1:11" ht="21" x14ac:dyDescent="0.25">
      <c r="A493" s="11" t="str">
        <f>HYPERLINK("https://rth.dk/resources/bsgatlas/details.php?id=BSGatlas-transcript-492","BSGatlas-transcript-492")</f>
        <v>BSGatlas-transcript-492</v>
      </c>
      <c r="B493" s="1" t="s">
        <v>510</v>
      </c>
      <c r="C493" s="3">
        <v>492654</v>
      </c>
      <c r="D493" s="3">
        <v>492911</v>
      </c>
      <c r="E493" s="1" t="s">
        <v>13</v>
      </c>
      <c r="F493" s="1">
        <v>0</v>
      </c>
      <c r="G493" s="1" t="s">
        <v>4372</v>
      </c>
      <c r="H493" s="1" t="s">
        <v>4372</v>
      </c>
      <c r="I493" s="1" t="s">
        <v>4386</v>
      </c>
      <c r="J493" s="1" t="s">
        <v>318</v>
      </c>
      <c r="K493" s="1" t="s">
        <v>5107</v>
      </c>
    </row>
    <row r="494" spans="1:11" ht="21" x14ac:dyDescent="0.25">
      <c r="A494" s="11" t="str">
        <f>HYPERLINK("https://rth.dk/resources/bsgatlas/details.php?id=BSGatlas-transcript-493","BSGatlas-transcript-493")</f>
        <v>BSGatlas-transcript-493</v>
      </c>
      <c r="B494" s="1" t="s">
        <v>5104</v>
      </c>
      <c r="C494" s="3">
        <v>492654</v>
      </c>
      <c r="D494" s="3">
        <v>493477</v>
      </c>
      <c r="E494" s="1" t="s">
        <v>13</v>
      </c>
      <c r="F494" s="1">
        <v>1</v>
      </c>
      <c r="G494" s="1">
        <v>37</v>
      </c>
      <c r="H494" s="1" t="s">
        <v>4372</v>
      </c>
      <c r="I494" s="1" t="s">
        <v>4373</v>
      </c>
      <c r="J494" s="1" t="s">
        <v>5105</v>
      </c>
      <c r="K494" s="1" t="s">
        <v>5107</v>
      </c>
    </row>
    <row r="495" spans="1:11" ht="21" x14ac:dyDescent="0.25">
      <c r="A495" s="11" t="str">
        <f>HYPERLINK("https://rth.dk/resources/bsgatlas/details.php?id=BSGatlas-transcript-494","BSGatlas-transcript-494")</f>
        <v>BSGatlas-transcript-494</v>
      </c>
      <c r="B495" s="1" t="s">
        <v>5104</v>
      </c>
      <c r="C495" s="3">
        <v>492654</v>
      </c>
      <c r="D495" s="3">
        <v>494928</v>
      </c>
      <c r="E495" s="1" t="s">
        <v>13</v>
      </c>
      <c r="F495" s="1">
        <v>1</v>
      </c>
      <c r="G495" s="1">
        <v>1488</v>
      </c>
      <c r="H495" s="1" t="s">
        <v>4372</v>
      </c>
      <c r="I495" s="1" t="s">
        <v>4373</v>
      </c>
      <c r="J495" s="1" t="s">
        <v>5106</v>
      </c>
      <c r="K495" s="1" t="s">
        <v>5107</v>
      </c>
    </row>
    <row r="496" spans="1:11" ht="21" x14ac:dyDescent="0.25">
      <c r="A496" s="11" t="str">
        <f>HYPERLINK("https://rth.dk/resources/bsgatlas/details.php?id=BSGatlas-transcript-495","BSGatlas-transcript-495")</f>
        <v>BSGatlas-transcript-495</v>
      </c>
      <c r="B496" s="1" t="s">
        <v>512</v>
      </c>
      <c r="C496" s="3">
        <v>493510</v>
      </c>
      <c r="D496" s="3">
        <v>494424</v>
      </c>
      <c r="E496" s="1" t="s">
        <v>9</v>
      </c>
      <c r="F496" s="1">
        <v>0</v>
      </c>
      <c r="G496" s="1" t="s">
        <v>4372</v>
      </c>
      <c r="H496" s="1" t="s">
        <v>4372</v>
      </c>
      <c r="I496" s="1" t="s">
        <v>4373</v>
      </c>
      <c r="J496" s="1" t="s">
        <v>5108</v>
      </c>
      <c r="K496" s="1" t="s">
        <v>5109</v>
      </c>
    </row>
    <row r="497" spans="1:11" ht="21" x14ac:dyDescent="0.25">
      <c r="A497" s="11" t="str">
        <f>HYPERLINK("https://rth.dk/resources/bsgatlas/details.php?id=BSGatlas-transcript-496","BSGatlas-transcript-496")</f>
        <v>BSGatlas-transcript-496</v>
      </c>
      <c r="B497" s="1" t="s">
        <v>513</v>
      </c>
      <c r="C497" s="3">
        <v>494479</v>
      </c>
      <c r="D497" s="3">
        <v>494955</v>
      </c>
      <c r="E497" s="1" t="s">
        <v>9</v>
      </c>
      <c r="F497" s="1">
        <v>0</v>
      </c>
      <c r="G497" s="1" t="s">
        <v>4372</v>
      </c>
      <c r="H497" s="1" t="s">
        <v>4372</v>
      </c>
      <c r="I497" s="1" t="s">
        <v>4373</v>
      </c>
      <c r="J497" s="1" t="s">
        <v>5110</v>
      </c>
      <c r="K497" s="1" t="s">
        <v>5111</v>
      </c>
    </row>
    <row r="498" spans="1:11" ht="21" x14ac:dyDescent="0.25">
      <c r="A498" s="11" t="str">
        <f>HYPERLINK("https://rth.dk/resources/bsgatlas/details.php?id=BSGatlas-transcript-497","BSGatlas-transcript-497")</f>
        <v>BSGatlas-transcript-497</v>
      </c>
      <c r="B498" s="1" t="s">
        <v>514</v>
      </c>
      <c r="C498" s="3">
        <v>494488</v>
      </c>
      <c r="D498" s="3">
        <v>496586</v>
      </c>
      <c r="E498" s="1" t="s">
        <v>13</v>
      </c>
      <c r="F498" s="1">
        <v>0</v>
      </c>
      <c r="G498" s="1" t="s">
        <v>4372</v>
      </c>
      <c r="H498" s="1" t="s">
        <v>4372</v>
      </c>
      <c r="I498" s="1" t="s">
        <v>4386</v>
      </c>
      <c r="J498" s="1" t="s">
        <v>5112</v>
      </c>
      <c r="K498" s="1" t="s">
        <v>5113</v>
      </c>
    </row>
    <row r="499" spans="1:11" ht="21" x14ac:dyDescent="0.25">
      <c r="A499" s="11" t="str">
        <f>HYPERLINK("https://rth.dk/resources/bsgatlas/details.php?id=BSGatlas-transcript-498","BSGatlas-transcript-498")</f>
        <v>BSGatlas-transcript-498</v>
      </c>
      <c r="B499" s="1" t="s">
        <v>5114</v>
      </c>
      <c r="C499" s="3">
        <v>494488</v>
      </c>
      <c r="D499" s="3">
        <v>497716</v>
      </c>
      <c r="E499" s="1" t="s">
        <v>13</v>
      </c>
      <c r="F499" s="1">
        <v>1</v>
      </c>
      <c r="G499" s="1">
        <v>19</v>
      </c>
      <c r="H499" s="1">
        <v>1253</v>
      </c>
      <c r="I499" s="1" t="s">
        <v>4373</v>
      </c>
      <c r="J499" s="1" t="s">
        <v>5115</v>
      </c>
      <c r="K499" s="1" t="s">
        <v>5113</v>
      </c>
    </row>
    <row r="500" spans="1:11" ht="21" x14ac:dyDescent="0.25">
      <c r="A500" s="11" t="str">
        <f>HYPERLINK("https://rth.dk/resources/bsgatlas/details.php?id=BSGatlas-transcript-499","BSGatlas-transcript-499")</f>
        <v>BSGatlas-transcript-499</v>
      </c>
      <c r="B500" s="1" t="s">
        <v>5116</v>
      </c>
      <c r="C500" s="3">
        <v>494982</v>
      </c>
      <c r="D500" s="3">
        <v>495703</v>
      </c>
      <c r="E500" s="1" t="s">
        <v>9</v>
      </c>
      <c r="F500" s="1">
        <v>0</v>
      </c>
      <c r="G500" s="1" t="s">
        <v>4372</v>
      </c>
      <c r="H500" s="1" t="s">
        <v>4372</v>
      </c>
      <c r="I500" s="1" t="s">
        <v>4386</v>
      </c>
      <c r="J500" s="1" t="s">
        <v>5117</v>
      </c>
      <c r="K500" s="1" t="s">
        <v>5118</v>
      </c>
    </row>
    <row r="501" spans="1:11" ht="21" x14ac:dyDescent="0.25">
      <c r="A501" s="11" t="str">
        <f>HYPERLINK("https://rth.dk/resources/bsgatlas/details.php?id=BSGatlas-transcript-500","BSGatlas-transcript-500")</f>
        <v>BSGatlas-transcript-500</v>
      </c>
      <c r="B501" s="1" t="s">
        <v>514</v>
      </c>
      <c r="C501" s="3">
        <v>495373</v>
      </c>
      <c r="D501" s="3">
        <v>496586</v>
      </c>
      <c r="E501" s="1" t="s">
        <v>13</v>
      </c>
      <c r="F501" s="1">
        <v>0</v>
      </c>
      <c r="G501" s="1" t="s">
        <v>4372</v>
      </c>
      <c r="H501" s="1" t="s">
        <v>4372</v>
      </c>
      <c r="I501" s="1" t="s">
        <v>4386</v>
      </c>
      <c r="J501" s="1" t="s">
        <v>5112</v>
      </c>
      <c r="K501" s="1" t="s">
        <v>5119</v>
      </c>
    </row>
    <row r="502" spans="1:11" ht="21" x14ac:dyDescent="0.25">
      <c r="A502" s="11" t="str">
        <f>HYPERLINK("https://rth.dk/resources/bsgatlas/details.php?id=BSGatlas-transcript-501","BSGatlas-transcript-501")</f>
        <v>BSGatlas-transcript-501</v>
      </c>
      <c r="B502" s="1" t="s">
        <v>5114</v>
      </c>
      <c r="C502" s="3">
        <v>495373</v>
      </c>
      <c r="D502" s="3">
        <v>497716</v>
      </c>
      <c r="E502" s="1" t="s">
        <v>13</v>
      </c>
      <c r="F502" s="1">
        <v>1</v>
      </c>
      <c r="G502" s="1">
        <v>19</v>
      </c>
      <c r="H502" s="1">
        <v>368</v>
      </c>
      <c r="I502" s="1" t="s">
        <v>4373</v>
      </c>
      <c r="J502" s="1" t="s">
        <v>5115</v>
      </c>
      <c r="K502" s="1" t="s">
        <v>5119</v>
      </c>
    </row>
    <row r="503" spans="1:11" ht="21" x14ac:dyDescent="0.25">
      <c r="A503" s="11" t="str">
        <f>HYPERLINK("https://rth.dk/resources/bsgatlas/details.php?id=BSGatlas-transcript-502","BSGatlas-transcript-502")</f>
        <v>BSGatlas-transcript-502</v>
      </c>
      <c r="B503" s="1" t="s">
        <v>514</v>
      </c>
      <c r="C503" s="3">
        <v>495694</v>
      </c>
      <c r="D503" s="3">
        <v>496586</v>
      </c>
      <c r="E503" s="1" t="s">
        <v>13</v>
      </c>
      <c r="F503" s="1">
        <v>0</v>
      </c>
      <c r="G503" s="1" t="s">
        <v>4372</v>
      </c>
      <c r="H503" s="1" t="s">
        <v>4372</v>
      </c>
      <c r="I503" s="1" t="s">
        <v>4386</v>
      </c>
      <c r="J503" s="1" t="s">
        <v>5112</v>
      </c>
      <c r="K503" s="1" t="s">
        <v>5120</v>
      </c>
    </row>
    <row r="504" spans="1:11" ht="21" x14ac:dyDescent="0.25">
      <c r="A504" s="11" t="str">
        <f>HYPERLINK("https://rth.dk/resources/bsgatlas/details.php?id=BSGatlas-transcript-503","BSGatlas-transcript-503")</f>
        <v>BSGatlas-transcript-503</v>
      </c>
      <c r="B504" s="1" t="s">
        <v>5114</v>
      </c>
      <c r="C504" s="3">
        <v>495694</v>
      </c>
      <c r="D504" s="3">
        <v>497716</v>
      </c>
      <c r="E504" s="1" t="s">
        <v>13</v>
      </c>
      <c r="F504" s="1">
        <v>1</v>
      </c>
      <c r="G504" s="1">
        <v>19</v>
      </c>
      <c r="H504" s="1">
        <v>47</v>
      </c>
      <c r="I504" s="1" t="s">
        <v>4373</v>
      </c>
      <c r="J504" s="1" t="s">
        <v>5115</v>
      </c>
      <c r="K504" s="1" t="s">
        <v>5120</v>
      </c>
    </row>
    <row r="505" spans="1:11" ht="21" x14ac:dyDescent="0.25">
      <c r="A505" s="11" t="str">
        <f>HYPERLINK("https://rth.dk/resources/bsgatlas/details.php?id=BSGatlas-transcript-504","BSGatlas-transcript-504")</f>
        <v>BSGatlas-transcript-504</v>
      </c>
      <c r="B505" s="1" t="s">
        <v>5121</v>
      </c>
      <c r="C505" s="3">
        <v>496981</v>
      </c>
      <c r="D505" s="3">
        <v>501472</v>
      </c>
      <c r="E505" s="1" t="s">
        <v>9</v>
      </c>
      <c r="F505" s="1">
        <v>1</v>
      </c>
      <c r="G505" s="1">
        <v>788</v>
      </c>
      <c r="H505" s="1">
        <v>42</v>
      </c>
      <c r="I505" s="1" t="s">
        <v>4373</v>
      </c>
      <c r="J505" s="1" t="s">
        <v>5122</v>
      </c>
      <c r="K505" s="1" t="s">
        <v>5123</v>
      </c>
    </row>
    <row r="506" spans="1:11" ht="21" x14ac:dyDescent="0.25">
      <c r="A506" s="11" t="str">
        <f>HYPERLINK("https://rth.dk/resources/bsgatlas/details.php?id=BSGatlas-transcript-505","BSGatlas-transcript-505")</f>
        <v>BSGatlas-transcript-505</v>
      </c>
      <c r="B506" s="1" t="s">
        <v>520</v>
      </c>
      <c r="C506" s="3">
        <v>500124</v>
      </c>
      <c r="D506" s="3">
        <v>501472</v>
      </c>
      <c r="E506" s="1" t="s">
        <v>9</v>
      </c>
      <c r="F506" s="1">
        <v>0</v>
      </c>
      <c r="G506" s="1" t="s">
        <v>4372</v>
      </c>
      <c r="H506" s="1" t="s">
        <v>4372</v>
      </c>
      <c r="I506" s="1" t="s">
        <v>4386</v>
      </c>
      <c r="J506" s="1" t="s">
        <v>5124</v>
      </c>
      <c r="K506" s="1" t="s">
        <v>5123</v>
      </c>
    </row>
    <row r="507" spans="1:11" ht="21" x14ac:dyDescent="0.25">
      <c r="A507" s="11" t="str">
        <f>HYPERLINK("https://rth.dk/resources/bsgatlas/details.php?id=BSGatlas-transcript-506","BSGatlas-transcript-506")</f>
        <v>BSGatlas-transcript-506</v>
      </c>
      <c r="B507" s="1" t="s">
        <v>521</v>
      </c>
      <c r="C507" s="3">
        <v>501517</v>
      </c>
      <c r="D507" s="3">
        <v>502631</v>
      </c>
      <c r="E507" s="1" t="s">
        <v>9</v>
      </c>
      <c r="F507" s="1">
        <v>0</v>
      </c>
      <c r="G507" s="1" t="s">
        <v>4372</v>
      </c>
      <c r="H507" s="1" t="s">
        <v>4372</v>
      </c>
      <c r="I507" s="1" t="s">
        <v>4377</v>
      </c>
      <c r="J507" s="1" t="s">
        <v>5125</v>
      </c>
      <c r="K507" s="1" t="s">
        <v>318</v>
      </c>
    </row>
    <row r="508" spans="1:11" ht="21" x14ac:dyDescent="0.25">
      <c r="A508" s="11" t="str">
        <f>HYPERLINK("https://rth.dk/resources/bsgatlas/details.php?id=BSGatlas-transcript-507","BSGatlas-transcript-507")</f>
        <v>BSGatlas-transcript-507</v>
      </c>
      <c r="B508" s="1" t="s">
        <v>522</v>
      </c>
      <c r="C508" s="3">
        <v>502668</v>
      </c>
      <c r="D508" s="3">
        <v>502883</v>
      </c>
      <c r="E508" s="1" t="s">
        <v>9</v>
      </c>
      <c r="F508" s="1">
        <v>0</v>
      </c>
      <c r="G508" s="1" t="s">
        <v>4372</v>
      </c>
      <c r="H508" s="1" t="s">
        <v>4372</v>
      </c>
      <c r="I508" s="1" t="s">
        <v>4377</v>
      </c>
      <c r="J508" s="1" t="s">
        <v>318</v>
      </c>
      <c r="K508" s="1" t="s">
        <v>5126</v>
      </c>
    </row>
    <row r="509" spans="1:11" ht="21" x14ac:dyDescent="0.25">
      <c r="A509" s="11" t="str">
        <f>HYPERLINK("https://rth.dk/resources/bsgatlas/details.php?id=BSGatlas-transcript-508","BSGatlas-transcript-508")</f>
        <v>BSGatlas-transcript-508</v>
      </c>
      <c r="B509" s="1" t="s">
        <v>523</v>
      </c>
      <c r="C509" s="3">
        <v>504658</v>
      </c>
      <c r="D509" s="3">
        <v>505024</v>
      </c>
      <c r="E509" s="1" t="s">
        <v>9</v>
      </c>
      <c r="F509" s="1">
        <v>0</v>
      </c>
      <c r="G509" s="1" t="s">
        <v>4372</v>
      </c>
      <c r="H509" s="1" t="s">
        <v>4372</v>
      </c>
      <c r="I509" s="1" t="s">
        <v>4386</v>
      </c>
      <c r="J509" s="1" t="s">
        <v>5127</v>
      </c>
      <c r="K509" s="1" t="s">
        <v>5128</v>
      </c>
    </row>
    <row r="510" spans="1:11" ht="21" x14ac:dyDescent="0.25">
      <c r="A510" s="11" t="str">
        <f>HYPERLINK("https://rth.dk/resources/bsgatlas/details.php?id=BSGatlas-transcript-509","BSGatlas-transcript-509")</f>
        <v>BSGatlas-transcript-509</v>
      </c>
      <c r="B510" s="1" t="s">
        <v>524</v>
      </c>
      <c r="C510" s="3">
        <v>505114</v>
      </c>
      <c r="D510" s="3">
        <v>506333</v>
      </c>
      <c r="E510" s="1" t="s">
        <v>9</v>
      </c>
      <c r="F510" s="1">
        <v>0</v>
      </c>
      <c r="G510" s="1" t="s">
        <v>4372</v>
      </c>
      <c r="H510" s="1" t="s">
        <v>4372</v>
      </c>
      <c r="I510" s="1" t="s">
        <v>4373</v>
      </c>
      <c r="J510" s="1" t="s">
        <v>5129</v>
      </c>
      <c r="K510" s="1" t="s">
        <v>5130</v>
      </c>
    </row>
    <row r="511" spans="1:11" ht="21" x14ac:dyDescent="0.25">
      <c r="A511" s="11" t="str">
        <f>HYPERLINK("https://rth.dk/resources/bsgatlas/details.php?id=BSGatlas-transcript-510","BSGatlas-transcript-510")</f>
        <v>BSGatlas-transcript-510</v>
      </c>
      <c r="B511" s="1" t="s">
        <v>525</v>
      </c>
      <c r="C511" s="3">
        <v>506289</v>
      </c>
      <c r="D511" s="3">
        <v>506501</v>
      </c>
      <c r="E511" s="1" t="s">
        <v>13</v>
      </c>
      <c r="F511" s="1">
        <v>0</v>
      </c>
      <c r="G511" s="1" t="s">
        <v>4372</v>
      </c>
      <c r="H511" s="1" t="s">
        <v>4372</v>
      </c>
      <c r="I511" s="1" t="s">
        <v>4386</v>
      </c>
      <c r="J511" s="1" t="s">
        <v>318</v>
      </c>
      <c r="K511" s="1" t="s">
        <v>5131</v>
      </c>
    </row>
    <row r="512" spans="1:11" ht="21" x14ac:dyDescent="0.25">
      <c r="A512" s="11" t="str">
        <f>HYPERLINK("https://rth.dk/resources/bsgatlas/details.php?id=BSGatlas-transcript-511","BSGatlas-transcript-511")</f>
        <v>BSGatlas-transcript-511</v>
      </c>
      <c r="B512" s="1" t="s">
        <v>5132</v>
      </c>
      <c r="C512" s="3">
        <v>506289</v>
      </c>
      <c r="D512" s="3">
        <v>506672</v>
      </c>
      <c r="E512" s="1" t="s">
        <v>13</v>
      </c>
      <c r="F512" s="1">
        <v>0</v>
      </c>
      <c r="G512" s="1" t="s">
        <v>4372</v>
      </c>
      <c r="H512" s="1" t="s">
        <v>4372</v>
      </c>
      <c r="I512" s="1" t="s">
        <v>4547</v>
      </c>
      <c r="J512" s="1" t="s">
        <v>5133</v>
      </c>
      <c r="K512" s="1" t="s">
        <v>5131</v>
      </c>
    </row>
    <row r="513" spans="1:11" ht="21" x14ac:dyDescent="0.25">
      <c r="A513" s="11" t="str">
        <f>HYPERLINK("https://rth.dk/resources/bsgatlas/details.php?id=BSGatlas-transcript-512","BSGatlas-transcript-512")</f>
        <v>BSGatlas-transcript-512</v>
      </c>
      <c r="B513" s="1" t="s">
        <v>527</v>
      </c>
      <c r="C513" s="3">
        <v>506836</v>
      </c>
      <c r="D513" s="3">
        <v>507841</v>
      </c>
      <c r="E513" s="1" t="s">
        <v>9</v>
      </c>
      <c r="F513" s="1">
        <v>0</v>
      </c>
      <c r="G513" s="1" t="s">
        <v>4372</v>
      </c>
      <c r="H513" s="1" t="s">
        <v>4372</v>
      </c>
      <c r="I513" s="1" t="s">
        <v>4373</v>
      </c>
      <c r="J513" s="1" t="s">
        <v>5134</v>
      </c>
      <c r="K513" s="1" t="s">
        <v>5135</v>
      </c>
    </row>
    <row r="514" spans="1:11" ht="21" x14ac:dyDescent="0.25">
      <c r="A514" s="11" t="str">
        <f>HYPERLINK("https://rth.dk/resources/bsgatlas/details.php?id=BSGatlas-transcript-513","BSGatlas-transcript-513")</f>
        <v>BSGatlas-transcript-513</v>
      </c>
      <c r="B514" s="1" t="s">
        <v>527</v>
      </c>
      <c r="C514" s="3">
        <v>506866</v>
      </c>
      <c r="D514" s="3">
        <v>507841</v>
      </c>
      <c r="E514" s="1" t="s">
        <v>9</v>
      </c>
      <c r="F514" s="1">
        <v>0</v>
      </c>
      <c r="G514" s="1" t="s">
        <v>4372</v>
      </c>
      <c r="H514" s="1" t="s">
        <v>4372</v>
      </c>
      <c r="I514" s="1" t="s">
        <v>4373</v>
      </c>
      <c r="J514" s="1" t="s">
        <v>5136</v>
      </c>
      <c r="K514" s="1" t="s">
        <v>5135</v>
      </c>
    </row>
    <row r="515" spans="1:11" ht="21" x14ac:dyDescent="0.25">
      <c r="A515" s="11" t="str">
        <f>HYPERLINK("https://rth.dk/resources/bsgatlas/details.php?id=BSGatlas-transcript-514","BSGatlas-transcript-514")</f>
        <v>BSGatlas-transcript-514</v>
      </c>
      <c r="B515" s="1" t="s">
        <v>528</v>
      </c>
      <c r="C515" s="3">
        <v>507667</v>
      </c>
      <c r="D515" s="3">
        <v>508109</v>
      </c>
      <c r="E515" s="1" t="s">
        <v>13</v>
      </c>
      <c r="F515" s="1">
        <v>0</v>
      </c>
      <c r="G515" s="1" t="s">
        <v>4372</v>
      </c>
      <c r="H515" s="1" t="s">
        <v>4372</v>
      </c>
      <c r="I515" s="1" t="s">
        <v>4373</v>
      </c>
      <c r="J515" s="1" t="s">
        <v>5137</v>
      </c>
      <c r="K515" s="1" t="s">
        <v>5138</v>
      </c>
    </row>
    <row r="516" spans="1:11" ht="21" x14ac:dyDescent="0.25">
      <c r="A516" s="11" t="str">
        <f>HYPERLINK("https://rth.dk/resources/bsgatlas/details.php?id=BSGatlas-transcript-515","BSGatlas-transcript-515")</f>
        <v>BSGatlas-transcript-515</v>
      </c>
      <c r="B516" s="1" t="s">
        <v>529</v>
      </c>
      <c r="C516" s="3">
        <v>508090</v>
      </c>
      <c r="D516" s="3">
        <v>509312</v>
      </c>
      <c r="E516" s="1" t="s">
        <v>9</v>
      </c>
      <c r="F516" s="1">
        <v>0</v>
      </c>
      <c r="G516" s="1" t="s">
        <v>4372</v>
      </c>
      <c r="H516" s="1" t="s">
        <v>4372</v>
      </c>
      <c r="I516" s="1" t="s">
        <v>4377</v>
      </c>
      <c r="J516" s="1" t="s">
        <v>5139</v>
      </c>
      <c r="K516" s="1" t="s">
        <v>5140</v>
      </c>
    </row>
    <row r="517" spans="1:11" ht="21" x14ac:dyDescent="0.25">
      <c r="A517" s="11" t="str">
        <f>HYPERLINK("https://rth.dk/resources/bsgatlas/details.php?id=BSGatlas-transcript-516","BSGatlas-transcript-516")</f>
        <v>BSGatlas-transcript-516</v>
      </c>
      <c r="B517" s="1" t="s">
        <v>5141</v>
      </c>
      <c r="C517" s="3">
        <v>508090</v>
      </c>
      <c r="D517" s="3">
        <v>510757</v>
      </c>
      <c r="E517" s="1" t="s">
        <v>9</v>
      </c>
      <c r="F517" s="1">
        <v>1</v>
      </c>
      <c r="G517" s="1">
        <v>159</v>
      </c>
      <c r="H517" s="1" t="s">
        <v>4372</v>
      </c>
      <c r="I517" s="1" t="s">
        <v>4386</v>
      </c>
      <c r="J517" s="1" t="s">
        <v>5139</v>
      </c>
      <c r="K517" s="1" t="s">
        <v>318</v>
      </c>
    </row>
    <row r="518" spans="1:11" ht="21" x14ac:dyDescent="0.25">
      <c r="A518" s="11" t="str">
        <f>HYPERLINK("https://rth.dk/resources/bsgatlas/details.php?id=BSGatlas-transcript-517","BSGatlas-transcript-517")</f>
        <v>BSGatlas-transcript-517</v>
      </c>
      <c r="B518" s="1" t="s">
        <v>531</v>
      </c>
      <c r="C518" s="3">
        <v>510818</v>
      </c>
      <c r="D518" s="3">
        <v>512656</v>
      </c>
      <c r="E518" s="1" t="s">
        <v>9</v>
      </c>
      <c r="F518" s="1">
        <v>0</v>
      </c>
      <c r="G518" s="1" t="s">
        <v>4372</v>
      </c>
      <c r="H518" s="1" t="s">
        <v>4372</v>
      </c>
      <c r="I518" s="1" t="s">
        <v>4386</v>
      </c>
      <c r="J518" s="1" t="s">
        <v>5142</v>
      </c>
      <c r="K518" s="1" t="s">
        <v>5143</v>
      </c>
    </row>
    <row r="519" spans="1:11" ht="21" x14ac:dyDescent="0.25">
      <c r="A519" s="11" t="str">
        <f>HYPERLINK("https://rth.dk/resources/bsgatlas/details.php?id=BSGatlas-transcript-518","BSGatlas-transcript-518")</f>
        <v>BSGatlas-transcript-518</v>
      </c>
      <c r="B519" s="1" t="s">
        <v>531</v>
      </c>
      <c r="C519" s="3">
        <v>510862</v>
      </c>
      <c r="D519" s="3">
        <v>512656</v>
      </c>
      <c r="E519" s="1" t="s">
        <v>9</v>
      </c>
      <c r="F519" s="1">
        <v>0</v>
      </c>
      <c r="G519" s="1" t="s">
        <v>4372</v>
      </c>
      <c r="H519" s="1" t="s">
        <v>4372</v>
      </c>
      <c r="I519" s="1" t="s">
        <v>4386</v>
      </c>
      <c r="J519" s="1" t="s">
        <v>5144</v>
      </c>
      <c r="K519" s="1" t="s">
        <v>5143</v>
      </c>
    </row>
    <row r="520" spans="1:11" ht="21" x14ac:dyDescent="0.25">
      <c r="A520" s="11" t="str">
        <f>HYPERLINK("https://rth.dk/resources/bsgatlas/details.php?id=BSGatlas-transcript-519","BSGatlas-transcript-519")</f>
        <v>BSGatlas-transcript-519</v>
      </c>
      <c r="B520" s="1" t="s">
        <v>531</v>
      </c>
      <c r="C520" s="3">
        <v>511038</v>
      </c>
      <c r="D520" s="3">
        <v>512656</v>
      </c>
      <c r="E520" s="1" t="s">
        <v>9</v>
      </c>
      <c r="F520" s="1">
        <v>0</v>
      </c>
      <c r="G520" s="1" t="s">
        <v>4372</v>
      </c>
      <c r="H520" s="1" t="s">
        <v>4372</v>
      </c>
      <c r="I520" s="1" t="s">
        <v>4386</v>
      </c>
      <c r="J520" s="1" t="s">
        <v>5145</v>
      </c>
      <c r="K520" s="1" t="s">
        <v>5143</v>
      </c>
    </row>
    <row r="521" spans="1:11" ht="21" x14ac:dyDescent="0.25">
      <c r="A521" s="11" t="str">
        <f>HYPERLINK("https://rth.dk/resources/bsgatlas/details.php?id=BSGatlas-transcript-520","BSGatlas-transcript-520")</f>
        <v>BSGatlas-transcript-520</v>
      </c>
      <c r="B521" s="1" t="s">
        <v>5146</v>
      </c>
      <c r="C521" s="3">
        <v>512787</v>
      </c>
      <c r="D521" s="3">
        <v>514764</v>
      </c>
      <c r="E521" s="1" t="s">
        <v>9</v>
      </c>
      <c r="F521" s="1">
        <v>0</v>
      </c>
      <c r="G521" s="1" t="s">
        <v>4372</v>
      </c>
      <c r="H521" s="1" t="s">
        <v>4372</v>
      </c>
      <c r="I521" s="1" t="s">
        <v>4373</v>
      </c>
      <c r="J521" s="1" t="s">
        <v>5147</v>
      </c>
      <c r="K521" s="1" t="s">
        <v>5148</v>
      </c>
    </row>
    <row r="522" spans="1:11" ht="21" x14ac:dyDescent="0.25">
      <c r="A522" s="11" t="str">
        <f>HYPERLINK("https://rth.dk/resources/bsgatlas/details.php?id=BSGatlas-transcript-521","BSGatlas-transcript-521")</f>
        <v>BSGatlas-transcript-521</v>
      </c>
      <c r="B522" s="1" t="s">
        <v>534</v>
      </c>
      <c r="C522" s="3">
        <v>514766</v>
      </c>
      <c r="D522" s="3">
        <v>515649</v>
      </c>
      <c r="E522" s="1" t="s">
        <v>13</v>
      </c>
      <c r="F522" s="1">
        <v>0</v>
      </c>
      <c r="G522" s="1" t="s">
        <v>4372</v>
      </c>
      <c r="H522" s="1" t="s">
        <v>4372</v>
      </c>
      <c r="I522" s="1" t="s">
        <v>4373</v>
      </c>
      <c r="J522" s="1" t="s">
        <v>5149</v>
      </c>
      <c r="K522" s="1" t="s">
        <v>5150</v>
      </c>
    </row>
    <row r="523" spans="1:11" ht="21" x14ac:dyDescent="0.25">
      <c r="A523" s="11" t="str">
        <f>HYPERLINK("https://rth.dk/resources/bsgatlas/details.php?id=BSGatlas-transcript-522","BSGatlas-transcript-522")</f>
        <v>BSGatlas-transcript-522</v>
      </c>
      <c r="B523" s="1" t="s">
        <v>54</v>
      </c>
      <c r="C523" s="3">
        <v>514831</v>
      </c>
      <c r="D523" s="3">
        <v>515045</v>
      </c>
      <c r="E523" s="1" t="s">
        <v>9</v>
      </c>
      <c r="F523" s="1">
        <v>0</v>
      </c>
      <c r="G523" s="1" t="s">
        <v>4372</v>
      </c>
      <c r="H523" s="1" t="s">
        <v>4372</v>
      </c>
      <c r="I523" s="1" t="s">
        <v>4377</v>
      </c>
      <c r="J523" s="1" t="s">
        <v>318</v>
      </c>
      <c r="K523" s="1" t="s">
        <v>5151</v>
      </c>
    </row>
    <row r="524" spans="1:11" ht="21" x14ac:dyDescent="0.25">
      <c r="A524" s="11" t="str">
        <f>HYPERLINK("https://rth.dk/resources/bsgatlas/details.php?id=BSGatlas-transcript-523","BSGatlas-transcript-523")</f>
        <v>BSGatlas-transcript-523</v>
      </c>
      <c r="B524" s="1" t="s">
        <v>534</v>
      </c>
      <c r="C524" s="3">
        <v>514951</v>
      </c>
      <c r="D524" s="3">
        <v>515649</v>
      </c>
      <c r="E524" s="1" t="s">
        <v>13</v>
      </c>
      <c r="F524" s="1">
        <v>0</v>
      </c>
      <c r="G524" s="1" t="s">
        <v>4372</v>
      </c>
      <c r="H524" s="1" t="s">
        <v>4372</v>
      </c>
      <c r="I524" s="1" t="s">
        <v>4373</v>
      </c>
      <c r="J524" s="1" t="s">
        <v>5149</v>
      </c>
      <c r="K524" s="1" t="s">
        <v>5152</v>
      </c>
    </row>
    <row r="525" spans="1:11" ht="21" x14ac:dyDescent="0.25">
      <c r="A525" s="11" t="str">
        <f>HYPERLINK("https://rth.dk/resources/bsgatlas/details.php?id=BSGatlas-transcript-524","BSGatlas-transcript-524")</f>
        <v>BSGatlas-transcript-524</v>
      </c>
      <c r="B525" s="1" t="s">
        <v>5153</v>
      </c>
      <c r="C525" s="3">
        <v>515108</v>
      </c>
      <c r="D525" s="3">
        <v>517299</v>
      </c>
      <c r="E525" s="1" t="s">
        <v>9</v>
      </c>
      <c r="F525" s="1">
        <v>1</v>
      </c>
      <c r="G525" s="1">
        <v>603</v>
      </c>
      <c r="H525" s="1">
        <v>43</v>
      </c>
      <c r="I525" s="1" t="s">
        <v>4386</v>
      </c>
      <c r="J525" s="1" t="s">
        <v>5154</v>
      </c>
      <c r="K525" s="1" t="s">
        <v>5155</v>
      </c>
    </row>
    <row r="526" spans="1:11" ht="21" x14ac:dyDescent="0.25">
      <c r="A526" s="11" t="str">
        <f>HYPERLINK("https://rth.dk/resources/bsgatlas/details.php?id=BSGatlas-transcript-525","BSGatlas-transcript-525")</f>
        <v>BSGatlas-transcript-525</v>
      </c>
      <c r="B526" s="1" t="s">
        <v>536</v>
      </c>
      <c r="C526" s="3">
        <v>516115</v>
      </c>
      <c r="D526" s="3">
        <v>517299</v>
      </c>
      <c r="E526" s="1" t="s">
        <v>9</v>
      </c>
      <c r="F526" s="1">
        <v>0</v>
      </c>
      <c r="G526" s="1" t="s">
        <v>4372</v>
      </c>
      <c r="H526" s="1" t="s">
        <v>4372</v>
      </c>
      <c r="I526" s="1" t="s">
        <v>4373</v>
      </c>
      <c r="J526" s="1" t="s">
        <v>5156</v>
      </c>
      <c r="K526" s="1" t="s">
        <v>5155</v>
      </c>
    </row>
    <row r="527" spans="1:11" ht="21" x14ac:dyDescent="0.25">
      <c r="A527" s="11" t="str">
        <f>HYPERLINK("https://rth.dk/resources/bsgatlas/details.php?id=BSGatlas-transcript-526","BSGatlas-transcript-526")</f>
        <v>BSGatlas-transcript-526</v>
      </c>
      <c r="B527" s="1" t="s">
        <v>5157</v>
      </c>
      <c r="C527" s="3">
        <v>517330</v>
      </c>
      <c r="D527" s="3">
        <v>519293</v>
      </c>
      <c r="E527" s="1" t="s">
        <v>9</v>
      </c>
      <c r="F527" s="1">
        <v>1</v>
      </c>
      <c r="G527" s="1">
        <v>43</v>
      </c>
      <c r="H527" s="1" t="s">
        <v>4372</v>
      </c>
      <c r="I527" s="1" t="s">
        <v>4386</v>
      </c>
      <c r="J527" s="1" t="s">
        <v>5158</v>
      </c>
      <c r="K527" s="1" t="s">
        <v>5159</v>
      </c>
    </row>
    <row r="528" spans="1:11" ht="21" x14ac:dyDescent="0.25">
      <c r="A528" s="11" t="str">
        <f>HYPERLINK("https://rth.dk/resources/bsgatlas/details.php?id=BSGatlas-transcript-527","BSGatlas-transcript-527")</f>
        <v>BSGatlas-transcript-527</v>
      </c>
      <c r="B528" s="1" t="s">
        <v>5157</v>
      </c>
      <c r="C528" s="3">
        <v>517330</v>
      </c>
      <c r="D528" s="3">
        <v>519339</v>
      </c>
      <c r="E528" s="1" t="s">
        <v>9</v>
      </c>
      <c r="F528" s="1">
        <v>1</v>
      </c>
      <c r="G528" s="1">
        <v>43</v>
      </c>
      <c r="H528" s="1">
        <v>47</v>
      </c>
      <c r="I528" s="1" t="s">
        <v>4386</v>
      </c>
      <c r="J528" s="1" t="s">
        <v>5158</v>
      </c>
      <c r="K528" s="1" t="s">
        <v>5160</v>
      </c>
    </row>
    <row r="529" spans="1:11" ht="21" x14ac:dyDescent="0.25">
      <c r="A529" s="11" t="str">
        <f>HYPERLINK("https://rth.dk/resources/bsgatlas/details.php?id=BSGatlas-transcript-528","BSGatlas-transcript-528")</f>
        <v>BSGatlas-transcript-528</v>
      </c>
      <c r="B529" s="1" t="s">
        <v>5161</v>
      </c>
      <c r="C529" s="3">
        <v>518496</v>
      </c>
      <c r="D529" s="3">
        <v>519293</v>
      </c>
      <c r="E529" s="1" t="s">
        <v>9</v>
      </c>
      <c r="F529" s="1">
        <v>0</v>
      </c>
      <c r="G529" s="1" t="s">
        <v>4372</v>
      </c>
      <c r="H529" s="1" t="s">
        <v>4372</v>
      </c>
      <c r="I529" s="1" t="s">
        <v>4397</v>
      </c>
      <c r="J529" s="1" t="s">
        <v>5162</v>
      </c>
      <c r="K529" s="1" t="s">
        <v>5159</v>
      </c>
    </row>
    <row r="530" spans="1:11" ht="21" x14ac:dyDescent="0.25">
      <c r="A530" s="11" t="str">
        <f>HYPERLINK("https://rth.dk/resources/bsgatlas/details.php?id=BSGatlas-transcript-529","BSGatlas-transcript-529")</f>
        <v>BSGatlas-transcript-529</v>
      </c>
      <c r="B530" s="1" t="s">
        <v>5161</v>
      </c>
      <c r="C530" s="3">
        <v>518496</v>
      </c>
      <c r="D530" s="3">
        <v>519339</v>
      </c>
      <c r="E530" s="1" t="s">
        <v>9</v>
      </c>
      <c r="F530" s="1">
        <v>0</v>
      </c>
      <c r="G530" s="1" t="s">
        <v>4372</v>
      </c>
      <c r="H530" s="1" t="s">
        <v>4372</v>
      </c>
      <c r="I530" s="1" t="s">
        <v>4397</v>
      </c>
      <c r="J530" s="1" t="s">
        <v>5162</v>
      </c>
      <c r="K530" s="1" t="s">
        <v>5160</v>
      </c>
    </row>
    <row r="531" spans="1:11" ht="21" x14ac:dyDescent="0.25">
      <c r="A531" s="11" t="str">
        <f>HYPERLINK("https://rth.dk/resources/bsgatlas/details.php?id=BSGatlas-transcript-530","BSGatlas-transcript-530")</f>
        <v>BSGatlas-transcript-530</v>
      </c>
      <c r="B531" s="1" t="s">
        <v>5161</v>
      </c>
      <c r="C531" s="3">
        <v>518591</v>
      </c>
      <c r="D531" s="3">
        <v>519293</v>
      </c>
      <c r="E531" s="1" t="s">
        <v>9</v>
      </c>
      <c r="F531" s="1">
        <v>0</v>
      </c>
      <c r="G531" s="1" t="s">
        <v>4372</v>
      </c>
      <c r="H531" s="1" t="s">
        <v>4372</v>
      </c>
      <c r="I531" s="1" t="s">
        <v>4397</v>
      </c>
      <c r="J531" s="1" t="s">
        <v>5163</v>
      </c>
      <c r="K531" s="1" t="s">
        <v>5159</v>
      </c>
    </row>
    <row r="532" spans="1:11" ht="21" x14ac:dyDescent="0.25">
      <c r="A532" s="11" t="str">
        <f>HYPERLINK("https://rth.dk/resources/bsgatlas/details.php?id=BSGatlas-transcript-531","BSGatlas-transcript-531")</f>
        <v>BSGatlas-transcript-531</v>
      </c>
      <c r="B532" s="1" t="s">
        <v>5161</v>
      </c>
      <c r="C532" s="3">
        <v>518591</v>
      </c>
      <c r="D532" s="3">
        <v>519339</v>
      </c>
      <c r="E532" s="1" t="s">
        <v>9</v>
      </c>
      <c r="F532" s="1">
        <v>0</v>
      </c>
      <c r="G532" s="1" t="s">
        <v>4372</v>
      </c>
      <c r="H532" s="1" t="s">
        <v>4372</v>
      </c>
      <c r="I532" s="1" t="s">
        <v>4397</v>
      </c>
      <c r="J532" s="1" t="s">
        <v>5163</v>
      </c>
      <c r="K532" s="1" t="s">
        <v>5160</v>
      </c>
    </row>
    <row r="533" spans="1:11" ht="21" x14ac:dyDescent="0.25">
      <c r="A533" s="11" t="str">
        <f>HYPERLINK("https://rth.dk/resources/bsgatlas/details.php?id=BSGatlas-transcript-532","BSGatlas-transcript-532")</f>
        <v>BSGatlas-transcript-532</v>
      </c>
      <c r="B533" s="1" t="s">
        <v>539</v>
      </c>
      <c r="C533" s="3">
        <v>518943</v>
      </c>
      <c r="D533" s="3">
        <v>519293</v>
      </c>
      <c r="E533" s="1" t="s">
        <v>9</v>
      </c>
      <c r="F533" s="1">
        <v>0</v>
      </c>
      <c r="G533" s="1" t="s">
        <v>4372</v>
      </c>
      <c r="H533" s="1" t="s">
        <v>4372</v>
      </c>
      <c r="I533" s="1" t="s">
        <v>4382</v>
      </c>
      <c r="J533" s="1" t="s">
        <v>318</v>
      </c>
      <c r="K533" s="1" t="s">
        <v>5159</v>
      </c>
    </row>
    <row r="534" spans="1:11" ht="21" x14ac:dyDescent="0.25">
      <c r="A534" s="11" t="str">
        <f>HYPERLINK("https://rth.dk/resources/bsgatlas/details.php?id=BSGatlas-transcript-533","BSGatlas-transcript-533")</f>
        <v>BSGatlas-transcript-533</v>
      </c>
      <c r="B534" s="1" t="s">
        <v>539</v>
      </c>
      <c r="C534" s="3">
        <v>518943</v>
      </c>
      <c r="D534" s="3">
        <v>519339</v>
      </c>
      <c r="E534" s="1" t="s">
        <v>9</v>
      </c>
      <c r="F534" s="1">
        <v>0</v>
      </c>
      <c r="G534" s="1" t="s">
        <v>4372</v>
      </c>
      <c r="H534" s="1" t="s">
        <v>4372</v>
      </c>
      <c r="I534" s="1" t="s">
        <v>4382</v>
      </c>
      <c r="J534" s="1" t="s">
        <v>318</v>
      </c>
      <c r="K534" s="1" t="s">
        <v>5160</v>
      </c>
    </row>
    <row r="535" spans="1:11" ht="21" x14ac:dyDescent="0.25">
      <c r="A535" s="11" t="str">
        <f>HYPERLINK("https://rth.dk/resources/bsgatlas/details.php?id=BSGatlas-transcript-534","BSGatlas-transcript-534")</f>
        <v>BSGatlas-transcript-534</v>
      </c>
      <c r="B535" s="1" t="s">
        <v>540</v>
      </c>
      <c r="C535" s="3">
        <v>519083</v>
      </c>
      <c r="D535" s="3">
        <v>519559</v>
      </c>
      <c r="E535" s="1" t="s">
        <v>13</v>
      </c>
      <c r="F535" s="1">
        <v>0</v>
      </c>
      <c r="G535" s="1" t="s">
        <v>4372</v>
      </c>
      <c r="H535" s="1" t="s">
        <v>4372</v>
      </c>
      <c r="I535" s="1" t="s">
        <v>4377</v>
      </c>
      <c r="J535" s="1" t="s">
        <v>5164</v>
      </c>
      <c r="K535" s="1" t="s">
        <v>5165</v>
      </c>
    </row>
    <row r="536" spans="1:11" ht="21" x14ac:dyDescent="0.25">
      <c r="A536" s="11" t="str">
        <f>HYPERLINK("https://rth.dk/resources/bsgatlas/details.php?id=BSGatlas-transcript-535","BSGatlas-transcript-535")</f>
        <v>BSGatlas-transcript-535</v>
      </c>
      <c r="B536" s="1" t="s">
        <v>540</v>
      </c>
      <c r="C536" s="3">
        <v>519083</v>
      </c>
      <c r="D536" s="3">
        <v>520160</v>
      </c>
      <c r="E536" s="1" t="s">
        <v>13</v>
      </c>
      <c r="F536" s="1">
        <v>0</v>
      </c>
      <c r="G536" s="1" t="s">
        <v>4372</v>
      </c>
      <c r="H536" s="1" t="s">
        <v>4372</v>
      </c>
      <c r="I536" s="1" t="s">
        <v>4377</v>
      </c>
      <c r="J536" s="1" t="s">
        <v>5166</v>
      </c>
      <c r="K536" s="1" t="s">
        <v>5165</v>
      </c>
    </row>
    <row r="537" spans="1:11" ht="21" x14ac:dyDescent="0.25">
      <c r="A537" s="11" t="str">
        <f>HYPERLINK("https://rth.dk/resources/bsgatlas/details.php?id=BSGatlas-transcript-536","BSGatlas-transcript-536")</f>
        <v>BSGatlas-transcript-536</v>
      </c>
      <c r="B537" s="1" t="s">
        <v>540</v>
      </c>
      <c r="C537" s="3">
        <v>519083</v>
      </c>
      <c r="D537" s="3">
        <v>520765</v>
      </c>
      <c r="E537" s="1" t="s">
        <v>13</v>
      </c>
      <c r="F537" s="1">
        <v>0</v>
      </c>
      <c r="G537" s="1" t="s">
        <v>4372</v>
      </c>
      <c r="H537" s="1" t="s">
        <v>4372</v>
      </c>
      <c r="I537" s="1" t="s">
        <v>4377</v>
      </c>
      <c r="J537" s="1" t="s">
        <v>5167</v>
      </c>
      <c r="K537" s="1" t="s">
        <v>5165</v>
      </c>
    </row>
    <row r="538" spans="1:11" ht="21" x14ac:dyDescent="0.25">
      <c r="A538" s="11" t="str">
        <f>HYPERLINK("https://rth.dk/resources/bsgatlas/details.php?id=BSGatlas-transcript-537","BSGatlas-transcript-537")</f>
        <v>BSGatlas-transcript-537</v>
      </c>
      <c r="B538" s="1" t="s">
        <v>5168</v>
      </c>
      <c r="C538" s="3">
        <v>519362</v>
      </c>
      <c r="D538" s="3">
        <v>524249</v>
      </c>
      <c r="E538" s="1" t="s">
        <v>9</v>
      </c>
      <c r="F538" s="1">
        <v>1</v>
      </c>
      <c r="G538" s="1">
        <v>47</v>
      </c>
      <c r="H538" s="1" t="s">
        <v>4372</v>
      </c>
      <c r="I538" s="1" t="s">
        <v>4373</v>
      </c>
      <c r="J538" s="1" t="s">
        <v>5169</v>
      </c>
      <c r="K538" s="1" t="s">
        <v>5170</v>
      </c>
    </row>
    <row r="539" spans="1:11" ht="21" x14ac:dyDescent="0.25">
      <c r="A539" s="11" t="str">
        <f>HYPERLINK("https://rth.dk/resources/bsgatlas/details.php?id=BSGatlas-transcript-538","BSGatlas-transcript-538")</f>
        <v>BSGatlas-transcript-538</v>
      </c>
      <c r="B539" s="1" t="s">
        <v>5168</v>
      </c>
      <c r="C539" s="3">
        <v>519362</v>
      </c>
      <c r="D539" s="3">
        <v>524297</v>
      </c>
      <c r="E539" s="1" t="s">
        <v>9</v>
      </c>
      <c r="F539" s="1">
        <v>1</v>
      </c>
      <c r="G539" s="1">
        <v>47</v>
      </c>
      <c r="H539" s="1">
        <v>49</v>
      </c>
      <c r="I539" s="1" t="s">
        <v>4373</v>
      </c>
      <c r="J539" s="1" t="s">
        <v>5169</v>
      </c>
      <c r="K539" s="1" t="s">
        <v>5171</v>
      </c>
    </row>
    <row r="540" spans="1:11" ht="21" x14ac:dyDescent="0.25">
      <c r="A540" s="11" t="str">
        <f>HYPERLINK("https://rth.dk/resources/bsgatlas/details.php?id=BSGatlas-transcript-539","BSGatlas-transcript-539")</f>
        <v>BSGatlas-transcript-539</v>
      </c>
      <c r="B540" s="1" t="s">
        <v>5172</v>
      </c>
      <c r="C540" s="3">
        <v>522056</v>
      </c>
      <c r="D540" s="3">
        <v>524249</v>
      </c>
      <c r="E540" s="1" t="s">
        <v>9</v>
      </c>
      <c r="F540" s="1">
        <v>0</v>
      </c>
      <c r="G540" s="1" t="s">
        <v>4372</v>
      </c>
      <c r="H540" s="1" t="s">
        <v>4372</v>
      </c>
      <c r="I540" s="1" t="s">
        <v>4397</v>
      </c>
      <c r="J540" s="1" t="s">
        <v>5173</v>
      </c>
      <c r="K540" s="1" t="s">
        <v>5170</v>
      </c>
    </row>
    <row r="541" spans="1:11" ht="21" x14ac:dyDescent="0.25">
      <c r="A541" s="11" t="str">
        <f>HYPERLINK("https://rth.dk/resources/bsgatlas/details.php?id=BSGatlas-transcript-540","BSGatlas-transcript-540")</f>
        <v>BSGatlas-transcript-540</v>
      </c>
      <c r="B541" s="1" t="s">
        <v>5172</v>
      </c>
      <c r="C541" s="3">
        <v>522056</v>
      </c>
      <c r="D541" s="3">
        <v>524297</v>
      </c>
      <c r="E541" s="1" t="s">
        <v>9</v>
      </c>
      <c r="F541" s="1">
        <v>0</v>
      </c>
      <c r="G541" s="1" t="s">
        <v>4372</v>
      </c>
      <c r="H541" s="1" t="s">
        <v>4372</v>
      </c>
      <c r="I541" s="1" t="s">
        <v>4397</v>
      </c>
      <c r="J541" s="1" t="s">
        <v>5173</v>
      </c>
      <c r="K541" s="1" t="s">
        <v>5171</v>
      </c>
    </row>
    <row r="542" spans="1:11" ht="21" x14ac:dyDescent="0.25">
      <c r="A542" s="11" t="str">
        <f>HYPERLINK("https://rth.dk/resources/bsgatlas/details.php?id=BSGatlas-transcript-541","BSGatlas-transcript-541")</f>
        <v>BSGatlas-transcript-541</v>
      </c>
      <c r="B542" s="1" t="s">
        <v>4760</v>
      </c>
      <c r="C542" s="3">
        <v>524326</v>
      </c>
      <c r="D542" s="3">
        <v>524476</v>
      </c>
      <c r="E542" s="1" t="s">
        <v>9</v>
      </c>
      <c r="F542" s="1">
        <v>0</v>
      </c>
      <c r="G542" s="1" t="s">
        <v>4372</v>
      </c>
      <c r="H542" s="1" t="s">
        <v>4372</v>
      </c>
      <c r="I542" s="1" t="s">
        <v>4377</v>
      </c>
      <c r="J542" s="1" t="s">
        <v>5174</v>
      </c>
      <c r="K542" s="1" t="s">
        <v>318</v>
      </c>
    </row>
    <row r="543" spans="1:11" ht="21" x14ac:dyDescent="0.25">
      <c r="A543" s="11" t="str">
        <f>HYPERLINK("https://rth.dk/resources/bsgatlas/details.php?id=BSGatlas-transcript-542","BSGatlas-transcript-542")</f>
        <v>BSGatlas-transcript-542</v>
      </c>
      <c r="B543" s="1" t="s">
        <v>5175</v>
      </c>
      <c r="C543" s="3">
        <v>524492</v>
      </c>
      <c r="D543" s="3">
        <v>525649</v>
      </c>
      <c r="E543" s="1" t="s">
        <v>9</v>
      </c>
      <c r="F543" s="1">
        <v>0</v>
      </c>
      <c r="G543" s="1" t="s">
        <v>4372</v>
      </c>
      <c r="H543" s="1" t="s">
        <v>4372</v>
      </c>
      <c r="I543" s="1" t="s">
        <v>4386</v>
      </c>
      <c r="J543" s="1" t="s">
        <v>318</v>
      </c>
      <c r="K543" s="1" t="s">
        <v>5176</v>
      </c>
    </row>
    <row r="544" spans="1:11" ht="21" x14ac:dyDescent="0.25">
      <c r="A544" s="11" t="str">
        <f>HYPERLINK("https://rth.dk/resources/bsgatlas/details.php?id=BSGatlas-transcript-543","BSGatlas-transcript-543")</f>
        <v>BSGatlas-transcript-543</v>
      </c>
      <c r="B544" s="1" t="s">
        <v>5177</v>
      </c>
      <c r="C544" s="3">
        <v>524782</v>
      </c>
      <c r="D544" s="3">
        <v>525649</v>
      </c>
      <c r="E544" s="1" t="s">
        <v>9</v>
      </c>
      <c r="F544" s="1">
        <v>0</v>
      </c>
      <c r="G544" s="1" t="s">
        <v>4372</v>
      </c>
      <c r="H544" s="1" t="s">
        <v>4372</v>
      </c>
      <c r="I544" s="1" t="s">
        <v>4386</v>
      </c>
      <c r="J544" s="1" t="s">
        <v>5178</v>
      </c>
      <c r="K544" s="1" t="s">
        <v>5176</v>
      </c>
    </row>
    <row r="545" spans="1:11" ht="21" x14ac:dyDescent="0.25">
      <c r="A545" s="11" t="str">
        <f>HYPERLINK("https://rth.dk/resources/bsgatlas/details.php?id=BSGatlas-transcript-544","BSGatlas-transcript-544")</f>
        <v>BSGatlas-transcript-544</v>
      </c>
      <c r="B545" s="1" t="s">
        <v>5179</v>
      </c>
      <c r="C545" s="3">
        <v>525021</v>
      </c>
      <c r="D545" s="3">
        <v>528076</v>
      </c>
      <c r="E545" s="1" t="s">
        <v>13</v>
      </c>
      <c r="F545" s="1">
        <v>0</v>
      </c>
      <c r="G545" s="1" t="s">
        <v>4372</v>
      </c>
      <c r="H545" s="1" t="s">
        <v>4372</v>
      </c>
      <c r="I545" s="1" t="s">
        <v>4386</v>
      </c>
      <c r="J545" s="1" t="s">
        <v>318</v>
      </c>
      <c r="K545" s="1" t="s">
        <v>318</v>
      </c>
    </row>
    <row r="546" spans="1:11" ht="21" x14ac:dyDescent="0.25">
      <c r="A546" s="11" t="str">
        <f>HYPERLINK("https://rth.dk/resources/bsgatlas/details.php?id=BSGatlas-transcript-545","BSGatlas-transcript-545")</f>
        <v>BSGatlas-transcript-545</v>
      </c>
      <c r="B546" s="1" t="s">
        <v>554</v>
      </c>
      <c r="C546" s="3">
        <v>525697</v>
      </c>
      <c r="D546" s="3">
        <v>527902</v>
      </c>
      <c r="E546" s="1" t="s">
        <v>9</v>
      </c>
      <c r="F546" s="1">
        <v>0</v>
      </c>
      <c r="G546" s="1" t="s">
        <v>4372</v>
      </c>
      <c r="H546" s="1" t="s">
        <v>4372</v>
      </c>
      <c r="I546" s="1" t="s">
        <v>4386</v>
      </c>
      <c r="J546" s="1" t="s">
        <v>5180</v>
      </c>
      <c r="K546" s="1" t="s">
        <v>318</v>
      </c>
    </row>
    <row r="547" spans="1:11" ht="21" x14ac:dyDescent="0.25">
      <c r="A547" s="11" t="str">
        <f>HYPERLINK("https://rth.dk/resources/bsgatlas/details.php?id=BSGatlas-transcript-546","BSGatlas-transcript-546")</f>
        <v>BSGatlas-transcript-546</v>
      </c>
      <c r="B547" s="1" t="s">
        <v>555</v>
      </c>
      <c r="C547" s="3">
        <v>527912</v>
      </c>
      <c r="D547" s="3">
        <v>528581</v>
      </c>
      <c r="E547" s="1" t="s">
        <v>9</v>
      </c>
      <c r="F547" s="1">
        <v>0</v>
      </c>
      <c r="G547" s="1" t="s">
        <v>4372</v>
      </c>
      <c r="H547" s="1" t="s">
        <v>4372</v>
      </c>
      <c r="I547" s="1" t="s">
        <v>4377</v>
      </c>
      <c r="J547" s="1" t="s">
        <v>5181</v>
      </c>
      <c r="K547" s="1" t="s">
        <v>318</v>
      </c>
    </row>
    <row r="548" spans="1:11" ht="21" x14ac:dyDescent="0.25">
      <c r="A548" s="11" t="str">
        <f>HYPERLINK("https://rth.dk/resources/bsgatlas/details.php?id=BSGatlas-transcript-547","BSGatlas-transcript-547")</f>
        <v>BSGatlas-transcript-547</v>
      </c>
      <c r="B548" s="1" t="s">
        <v>556</v>
      </c>
      <c r="C548" s="3">
        <v>528616</v>
      </c>
      <c r="D548" s="3">
        <v>528778</v>
      </c>
      <c r="E548" s="1" t="s">
        <v>9</v>
      </c>
      <c r="F548" s="1">
        <v>0</v>
      </c>
      <c r="G548" s="1" t="s">
        <v>4372</v>
      </c>
      <c r="H548" s="1" t="s">
        <v>4372</v>
      </c>
      <c r="I548" s="1" t="s">
        <v>4377</v>
      </c>
      <c r="J548" s="1" t="s">
        <v>5182</v>
      </c>
      <c r="K548" s="1" t="s">
        <v>318</v>
      </c>
    </row>
    <row r="549" spans="1:11" ht="21" x14ac:dyDescent="0.25">
      <c r="A549" s="11" t="str">
        <f>HYPERLINK("https://rth.dk/resources/bsgatlas/details.php?id=BSGatlas-transcript-548","BSGatlas-transcript-548")</f>
        <v>BSGatlas-transcript-548</v>
      </c>
      <c r="B549" s="1" t="s">
        <v>5183</v>
      </c>
      <c r="C549" s="3">
        <v>528626</v>
      </c>
      <c r="D549" s="3">
        <v>531554</v>
      </c>
      <c r="E549" s="1" t="s">
        <v>13</v>
      </c>
      <c r="F549" s="1">
        <v>0</v>
      </c>
      <c r="G549" s="1" t="s">
        <v>4372</v>
      </c>
      <c r="H549" s="1" t="s">
        <v>4372</v>
      </c>
      <c r="I549" s="1" t="s">
        <v>4386</v>
      </c>
      <c r="J549" s="1" t="s">
        <v>5184</v>
      </c>
      <c r="K549" s="1" t="s">
        <v>5185</v>
      </c>
    </row>
    <row r="550" spans="1:11" ht="21" x14ac:dyDescent="0.25">
      <c r="A550" s="11" t="str">
        <f>HYPERLINK("https://rth.dk/resources/bsgatlas/details.php?id=BSGatlas-transcript-549","BSGatlas-transcript-549")</f>
        <v>BSGatlas-transcript-549</v>
      </c>
      <c r="B550" s="1" t="s">
        <v>560</v>
      </c>
      <c r="C550" s="3">
        <v>529173</v>
      </c>
      <c r="D550" s="3">
        <v>529342</v>
      </c>
      <c r="E550" s="1" t="s">
        <v>9</v>
      </c>
      <c r="F550" s="1">
        <v>0</v>
      </c>
      <c r="G550" s="1" t="s">
        <v>4372</v>
      </c>
      <c r="H550" s="1" t="s">
        <v>4372</v>
      </c>
      <c r="I550" s="1" t="s">
        <v>4377</v>
      </c>
      <c r="J550" s="1" t="s">
        <v>318</v>
      </c>
      <c r="K550" s="1" t="s">
        <v>5186</v>
      </c>
    </row>
    <row r="551" spans="1:11" ht="21" x14ac:dyDescent="0.25">
      <c r="A551" s="11" t="str">
        <f>HYPERLINK("https://rth.dk/resources/bsgatlas/details.php?id=BSGatlas-transcript-550","BSGatlas-transcript-550")</f>
        <v>BSGatlas-transcript-550</v>
      </c>
      <c r="B551" s="1" t="s">
        <v>561</v>
      </c>
      <c r="C551" s="3">
        <v>529335</v>
      </c>
      <c r="D551" s="3">
        <v>529422</v>
      </c>
      <c r="E551" s="1" t="s">
        <v>9</v>
      </c>
      <c r="F551" s="1">
        <v>0</v>
      </c>
      <c r="G551" s="1" t="s">
        <v>4372</v>
      </c>
      <c r="H551" s="1" t="s">
        <v>4372</v>
      </c>
      <c r="I551" s="1" t="s">
        <v>4377</v>
      </c>
      <c r="J551" s="1" t="s">
        <v>318</v>
      </c>
      <c r="K551" s="1" t="s">
        <v>5187</v>
      </c>
    </row>
    <row r="552" spans="1:11" ht="21" x14ac:dyDescent="0.25">
      <c r="A552" s="11" t="str">
        <f>HYPERLINK("https://rth.dk/resources/bsgatlas/details.php?id=BSGatlas-transcript-551","BSGatlas-transcript-551")</f>
        <v>BSGatlas-transcript-551</v>
      </c>
      <c r="B552" s="1" t="s">
        <v>561</v>
      </c>
      <c r="C552" s="3">
        <v>529335</v>
      </c>
      <c r="D552" s="3">
        <v>530385</v>
      </c>
      <c r="E552" s="1" t="s">
        <v>9</v>
      </c>
      <c r="F552" s="1">
        <v>0</v>
      </c>
      <c r="G552" s="1" t="s">
        <v>4372</v>
      </c>
      <c r="H552" s="1" t="s">
        <v>4372</v>
      </c>
      <c r="I552" s="1" t="s">
        <v>4377</v>
      </c>
      <c r="J552" s="1" t="s">
        <v>318</v>
      </c>
      <c r="K552" s="1" t="s">
        <v>5188</v>
      </c>
    </row>
    <row r="553" spans="1:11" ht="21" x14ac:dyDescent="0.25">
      <c r="A553" s="11" t="str">
        <f>HYPERLINK("https://rth.dk/resources/bsgatlas/details.php?id=BSGatlas-transcript-552","BSGatlas-transcript-552")</f>
        <v>BSGatlas-transcript-552</v>
      </c>
      <c r="B553" s="1" t="s">
        <v>5183</v>
      </c>
      <c r="C553" s="3">
        <v>529455</v>
      </c>
      <c r="D553" s="3">
        <v>531554</v>
      </c>
      <c r="E553" s="1" t="s">
        <v>13</v>
      </c>
      <c r="F553" s="1">
        <v>0</v>
      </c>
      <c r="G553" s="1" t="s">
        <v>4372</v>
      </c>
      <c r="H553" s="1" t="s">
        <v>4372</v>
      </c>
      <c r="I553" s="1" t="s">
        <v>4386</v>
      </c>
      <c r="J553" s="1" t="s">
        <v>5184</v>
      </c>
      <c r="K553" s="1" t="s">
        <v>5189</v>
      </c>
    </row>
    <row r="554" spans="1:11" ht="21" x14ac:dyDescent="0.25">
      <c r="A554" s="11" t="str">
        <f>HYPERLINK("https://rth.dk/resources/bsgatlas/details.php?id=BSGatlas-transcript-553","BSGatlas-transcript-553")</f>
        <v>BSGatlas-transcript-553</v>
      </c>
      <c r="B554" s="1" t="s">
        <v>559</v>
      </c>
      <c r="C554" s="3">
        <v>530914</v>
      </c>
      <c r="D554" s="3">
        <v>531554</v>
      </c>
      <c r="E554" s="1" t="s">
        <v>13</v>
      </c>
      <c r="F554" s="1">
        <v>0</v>
      </c>
      <c r="G554" s="1" t="s">
        <v>4372</v>
      </c>
      <c r="H554" s="1" t="s">
        <v>4372</v>
      </c>
      <c r="I554" s="1" t="s">
        <v>4386</v>
      </c>
      <c r="J554" s="1" t="s">
        <v>5184</v>
      </c>
      <c r="K554" s="1" t="s">
        <v>5190</v>
      </c>
    </row>
    <row r="555" spans="1:11" ht="21" x14ac:dyDescent="0.25">
      <c r="A555" s="11" t="str">
        <f>HYPERLINK("https://rth.dk/resources/bsgatlas/details.php?id=BSGatlas-transcript-554","BSGatlas-transcript-554")</f>
        <v>BSGatlas-transcript-554</v>
      </c>
      <c r="B555" s="1" t="s">
        <v>5191</v>
      </c>
      <c r="C555" s="3">
        <v>531740</v>
      </c>
      <c r="D555" s="3">
        <v>534798</v>
      </c>
      <c r="E555" s="1" t="s">
        <v>9</v>
      </c>
      <c r="F555" s="1">
        <v>4</v>
      </c>
      <c r="G555" s="1">
        <v>48</v>
      </c>
      <c r="H555" s="1">
        <v>19</v>
      </c>
      <c r="I555" s="1" t="s">
        <v>4377</v>
      </c>
      <c r="J555" s="1" t="s">
        <v>5192</v>
      </c>
      <c r="K555" s="1" t="s">
        <v>5193</v>
      </c>
    </row>
    <row r="556" spans="1:11" ht="21" x14ac:dyDescent="0.25">
      <c r="A556" s="11" t="str">
        <f>HYPERLINK("https://rth.dk/resources/bsgatlas/details.php?id=BSGatlas-transcript-555","BSGatlas-transcript-555")</f>
        <v>BSGatlas-transcript-555</v>
      </c>
      <c r="B556" s="1" t="s">
        <v>5194</v>
      </c>
      <c r="C556" s="3">
        <v>531740</v>
      </c>
      <c r="D556" s="3">
        <v>538049</v>
      </c>
      <c r="E556" s="1" t="s">
        <v>9</v>
      </c>
      <c r="F556" s="1">
        <v>8</v>
      </c>
      <c r="G556" s="1">
        <v>48</v>
      </c>
      <c r="H556" s="1" t="s">
        <v>4372</v>
      </c>
      <c r="I556" s="1" t="s">
        <v>4377</v>
      </c>
      <c r="J556" s="1" t="s">
        <v>5192</v>
      </c>
      <c r="K556" s="1" t="s">
        <v>5195</v>
      </c>
    </row>
    <row r="557" spans="1:11" ht="21" x14ac:dyDescent="0.25">
      <c r="A557" s="11" t="str">
        <f>HYPERLINK("https://rth.dk/resources/bsgatlas/details.php?id=BSGatlas-transcript-556","BSGatlas-transcript-556")</f>
        <v>BSGatlas-transcript-556</v>
      </c>
      <c r="B557" s="1" t="s">
        <v>5196</v>
      </c>
      <c r="C557" s="3">
        <v>531740</v>
      </c>
      <c r="D557" s="3">
        <v>545975</v>
      </c>
      <c r="E557" s="1" t="s">
        <v>9</v>
      </c>
      <c r="F557" s="1">
        <v>10</v>
      </c>
      <c r="G557" s="1">
        <v>48</v>
      </c>
      <c r="H557" s="1" t="s">
        <v>4372</v>
      </c>
      <c r="I557" s="1" t="s">
        <v>4386</v>
      </c>
      <c r="J557" s="1" t="s">
        <v>5192</v>
      </c>
      <c r="K557" s="1" t="s">
        <v>5197</v>
      </c>
    </row>
    <row r="558" spans="1:11" ht="21" x14ac:dyDescent="0.25">
      <c r="A558" s="11" t="str">
        <f>HYPERLINK("https://rth.dk/resources/bsgatlas/details.php?id=BSGatlas-transcript-557","BSGatlas-transcript-557")</f>
        <v>BSGatlas-transcript-557</v>
      </c>
      <c r="B558" s="1" t="s">
        <v>581</v>
      </c>
      <c r="C558" s="3">
        <v>532583</v>
      </c>
      <c r="D558" s="3">
        <v>532642</v>
      </c>
      <c r="E558" s="1" t="s">
        <v>13</v>
      </c>
      <c r="F558" s="1">
        <v>0</v>
      </c>
      <c r="G558" s="1" t="s">
        <v>4372</v>
      </c>
      <c r="H558" s="1" t="s">
        <v>4372</v>
      </c>
      <c r="I558" s="1" t="s">
        <v>4377</v>
      </c>
      <c r="J558" s="1" t="s">
        <v>5198</v>
      </c>
      <c r="K558" s="1" t="s">
        <v>318</v>
      </c>
    </row>
    <row r="559" spans="1:11" ht="21" x14ac:dyDescent="0.25">
      <c r="A559" s="11" t="str">
        <f>HYPERLINK("https://rth.dk/resources/bsgatlas/details.php?id=BSGatlas-transcript-558","BSGatlas-transcript-558")</f>
        <v>BSGatlas-transcript-558</v>
      </c>
      <c r="B559" s="1" t="s">
        <v>5199</v>
      </c>
      <c r="C559" s="3">
        <v>532604</v>
      </c>
      <c r="D559" s="3">
        <v>534798</v>
      </c>
      <c r="E559" s="1" t="s">
        <v>9</v>
      </c>
      <c r="F559" s="1">
        <v>2</v>
      </c>
      <c r="G559" s="1">
        <v>155</v>
      </c>
      <c r="H559" s="1">
        <v>19</v>
      </c>
      <c r="I559" s="1" t="s">
        <v>4377</v>
      </c>
      <c r="J559" s="1" t="s">
        <v>5200</v>
      </c>
      <c r="K559" s="1" t="s">
        <v>5193</v>
      </c>
    </row>
    <row r="560" spans="1:11" ht="21" x14ac:dyDescent="0.25">
      <c r="A560" s="11" t="str">
        <f>HYPERLINK("https://rth.dk/resources/bsgatlas/details.php?id=BSGatlas-transcript-559","BSGatlas-transcript-559")</f>
        <v>BSGatlas-transcript-559</v>
      </c>
      <c r="B560" s="1" t="s">
        <v>5201</v>
      </c>
      <c r="C560" s="3">
        <v>532604</v>
      </c>
      <c r="D560" s="3">
        <v>538049</v>
      </c>
      <c r="E560" s="1" t="s">
        <v>9</v>
      </c>
      <c r="F560" s="1">
        <v>6</v>
      </c>
      <c r="G560" s="1">
        <v>155</v>
      </c>
      <c r="H560" s="1" t="s">
        <v>4372</v>
      </c>
      <c r="I560" s="1" t="s">
        <v>4377</v>
      </c>
      <c r="J560" s="1" t="s">
        <v>5200</v>
      </c>
      <c r="K560" s="1" t="s">
        <v>5195</v>
      </c>
    </row>
    <row r="561" spans="1:11" ht="21" x14ac:dyDescent="0.25">
      <c r="A561" s="11" t="str">
        <f>HYPERLINK("https://rth.dk/resources/bsgatlas/details.php?id=BSGatlas-transcript-560","BSGatlas-transcript-560")</f>
        <v>BSGatlas-transcript-560</v>
      </c>
      <c r="B561" s="1" t="s">
        <v>5202</v>
      </c>
      <c r="C561" s="3">
        <v>532604</v>
      </c>
      <c r="D561" s="3">
        <v>545975</v>
      </c>
      <c r="E561" s="1" t="s">
        <v>9</v>
      </c>
      <c r="F561" s="1">
        <v>8</v>
      </c>
      <c r="G561" s="1">
        <v>155</v>
      </c>
      <c r="H561" s="1" t="s">
        <v>4372</v>
      </c>
      <c r="I561" s="1" t="s">
        <v>4377</v>
      </c>
      <c r="J561" s="1" t="s">
        <v>5200</v>
      </c>
      <c r="K561" s="1" t="s">
        <v>5197</v>
      </c>
    </row>
    <row r="562" spans="1:11" ht="21" x14ac:dyDescent="0.25">
      <c r="A562" s="11" t="str">
        <f>HYPERLINK("https://rth.dk/resources/bsgatlas/details.php?id=BSGatlas-transcript-561","BSGatlas-transcript-561")</f>
        <v>BSGatlas-transcript-561</v>
      </c>
      <c r="B562" s="1" t="s">
        <v>5203</v>
      </c>
      <c r="C562" s="3">
        <v>537526</v>
      </c>
      <c r="D562" s="3">
        <v>545975</v>
      </c>
      <c r="E562" s="1" t="s">
        <v>9</v>
      </c>
      <c r="F562" s="1">
        <v>2</v>
      </c>
      <c r="G562" s="1">
        <v>536</v>
      </c>
      <c r="H562" s="1" t="s">
        <v>4372</v>
      </c>
      <c r="I562" s="1" t="s">
        <v>4377</v>
      </c>
      <c r="J562" s="1" t="s">
        <v>5204</v>
      </c>
      <c r="K562" s="1" t="s">
        <v>5197</v>
      </c>
    </row>
    <row r="563" spans="1:11" ht="21" x14ac:dyDescent="0.25">
      <c r="A563" s="11" t="str">
        <f>HYPERLINK("https://rth.dk/resources/bsgatlas/details.php?id=BSGatlas-transcript-562","BSGatlas-transcript-562")</f>
        <v>BSGatlas-transcript-562</v>
      </c>
      <c r="B563" s="1" t="s">
        <v>580</v>
      </c>
      <c r="C563" s="3">
        <v>545564</v>
      </c>
      <c r="D563" s="3">
        <v>545975</v>
      </c>
      <c r="E563" s="1" t="s">
        <v>9</v>
      </c>
      <c r="F563" s="1">
        <v>0</v>
      </c>
      <c r="G563" s="1" t="s">
        <v>4372</v>
      </c>
      <c r="H563" s="1" t="s">
        <v>4372</v>
      </c>
      <c r="I563" s="1" t="s">
        <v>4386</v>
      </c>
      <c r="J563" s="1" t="s">
        <v>5205</v>
      </c>
      <c r="K563" s="1" t="s">
        <v>5197</v>
      </c>
    </row>
    <row r="564" spans="1:11" ht="21" x14ac:dyDescent="0.25">
      <c r="A564" s="11" t="str">
        <f>HYPERLINK("https://rth.dk/resources/bsgatlas/details.php?id=BSGatlas-transcript-563","BSGatlas-transcript-563")</f>
        <v>BSGatlas-transcript-563</v>
      </c>
      <c r="B564" s="1" t="s">
        <v>582</v>
      </c>
      <c r="C564" s="3">
        <v>546006</v>
      </c>
      <c r="D564" s="3">
        <v>547029</v>
      </c>
      <c r="E564" s="1" t="s">
        <v>13</v>
      </c>
      <c r="F564" s="1">
        <v>0</v>
      </c>
      <c r="G564" s="1" t="s">
        <v>4372</v>
      </c>
      <c r="H564" s="1" t="s">
        <v>4372</v>
      </c>
      <c r="I564" s="1" t="s">
        <v>4397</v>
      </c>
      <c r="J564" s="1" t="s">
        <v>5206</v>
      </c>
      <c r="K564" s="1" t="s">
        <v>5207</v>
      </c>
    </row>
    <row r="565" spans="1:11" ht="21" x14ac:dyDescent="0.25">
      <c r="A565" s="11" t="str">
        <f>HYPERLINK("https://rth.dk/resources/bsgatlas/details.php?id=BSGatlas-transcript-564","BSGatlas-transcript-564")</f>
        <v>BSGatlas-transcript-564</v>
      </c>
      <c r="B565" s="1" t="s">
        <v>5208</v>
      </c>
      <c r="C565" s="3">
        <v>547306</v>
      </c>
      <c r="D565" s="3">
        <v>548577</v>
      </c>
      <c r="E565" s="1" t="s">
        <v>9</v>
      </c>
      <c r="F565" s="1">
        <v>0</v>
      </c>
      <c r="G565" s="1" t="s">
        <v>4372</v>
      </c>
      <c r="H565" s="1" t="s">
        <v>4372</v>
      </c>
      <c r="I565" s="1" t="s">
        <v>4373</v>
      </c>
      <c r="J565" s="1" t="s">
        <v>318</v>
      </c>
      <c r="K565" s="1" t="s">
        <v>5209</v>
      </c>
    </row>
    <row r="566" spans="1:11" ht="21" x14ac:dyDescent="0.25">
      <c r="A566" s="11" t="str">
        <f>HYPERLINK("https://rth.dk/resources/bsgatlas/details.php?id=BSGatlas-transcript-565","BSGatlas-transcript-565")</f>
        <v>BSGatlas-transcript-565</v>
      </c>
      <c r="B566" s="1" t="s">
        <v>5208</v>
      </c>
      <c r="C566" s="3">
        <v>547306</v>
      </c>
      <c r="D566" s="3">
        <v>548625</v>
      </c>
      <c r="E566" s="1" t="s">
        <v>9</v>
      </c>
      <c r="F566" s="1">
        <v>0</v>
      </c>
      <c r="G566" s="1" t="s">
        <v>4372</v>
      </c>
      <c r="H566" s="1" t="s">
        <v>4372</v>
      </c>
      <c r="I566" s="1" t="s">
        <v>4373</v>
      </c>
      <c r="J566" s="1" t="s">
        <v>318</v>
      </c>
      <c r="K566" s="1" t="s">
        <v>5210</v>
      </c>
    </row>
    <row r="567" spans="1:11" ht="21" x14ac:dyDescent="0.25">
      <c r="A567" s="11" t="str">
        <f>HYPERLINK("https://rth.dk/resources/bsgatlas/details.php?id=BSGatlas-transcript-566","BSGatlas-transcript-566")</f>
        <v>BSGatlas-transcript-566</v>
      </c>
      <c r="B567" s="1" t="s">
        <v>584</v>
      </c>
      <c r="C567" s="3">
        <v>548192</v>
      </c>
      <c r="D567" s="3">
        <v>548577</v>
      </c>
      <c r="E567" s="1" t="s">
        <v>9</v>
      </c>
      <c r="F567" s="1">
        <v>0</v>
      </c>
      <c r="G567" s="1" t="s">
        <v>4372</v>
      </c>
      <c r="H567" s="1" t="s">
        <v>4372</v>
      </c>
      <c r="I567" s="1" t="s">
        <v>4386</v>
      </c>
      <c r="J567" s="1" t="s">
        <v>5211</v>
      </c>
      <c r="K567" s="1" t="s">
        <v>5209</v>
      </c>
    </row>
    <row r="568" spans="1:11" ht="21" x14ac:dyDescent="0.25">
      <c r="A568" s="11" t="str">
        <f>HYPERLINK("https://rth.dk/resources/bsgatlas/details.php?id=BSGatlas-transcript-567","BSGatlas-transcript-567")</f>
        <v>BSGatlas-transcript-567</v>
      </c>
      <c r="B568" s="1" t="s">
        <v>584</v>
      </c>
      <c r="C568" s="3">
        <v>548192</v>
      </c>
      <c r="D568" s="3">
        <v>548625</v>
      </c>
      <c r="E568" s="1" t="s">
        <v>9</v>
      </c>
      <c r="F568" s="1">
        <v>0</v>
      </c>
      <c r="G568" s="1" t="s">
        <v>4372</v>
      </c>
      <c r="H568" s="1" t="s">
        <v>4372</v>
      </c>
      <c r="I568" s="1" t="s">
        <v>4386</v>
      </c>
      <c r="J568" s="1" t="s">
        <v>5211</v>
      </c>
      <c r="K568" s="1" t="s">
        <v>5210</v>
      </c>
    </row>
    <row r="569" spans="1:11" ht="21" x14ac:dyDescent="0.25">
      <c r="A569" s="11" t="str">
        <f>HYPERLINK("https://rth.dk/resources/bsgatlas/details.php?id=BSGatlas-transcript-568","BSGatlas-transcript-568")</f>
        <v>BSGatlas-transcript-568</v>
      </c>
      <c r="B569" s="1" t="s">
        <v>584</v>
      </c>
      <c r="C569" s="3">
        <v>548334</v>
      </c>
      <c r="D569" s="3">
        <v>548577</v>
      </c>
      <c r="E569" s="1" t="s">
        <v>9</v>
      </c>
      <c r="F569" s="1">
        <v>0</v>
      </c>
      <c r="G569" s="1" t="s">
        <v>4372</v>
      </c>
      <c r="H569" s="1" t="s">
        <v>4372</v>
      </c>
      <c r="I569" s="1" t="s">
        <v>4386</v>
      </c>
      <c r="J569" s="1" t="s">
        <v>5212</v>
      </c>
      <c r="K569" s="1" t="s">
        <v>5209</v>
      </c>
    </row>
    <row r="570" spans="1:11" ht="21" x14ac:dyDescent="0.25">
      <c r="A570" s="11" t="str">
        <f>HYPERLINK("https://rth.dk/resources/bsgatlas/details.php?id=BSGatlas-transcript-569","BSGatlas-transcript-569")</f>
        <v>BSGatlas-transcript-569</v>
      </c>
      <c r="B570" s="1" t="s">
        <v>584</v>
      </c>
      <c r="C570" s="3">
        <v>548334</v>
      </c>
      <c r="D570" s="3">
        <v>548625</v>
      </c>
      <c r="E570" s="1" t="s">
        <v>9</v>
      </c>
      <c r="F570" s="1">
        <v>0</v>
      </c>
      <c r="G570" s="1" t="s">
        <v>4372</v>
      </c>
      <c r="H570" s="1" t="s">
        <v>4372</v>
      </c>
      <c r="I570" s="1" t="s">
        <v>4386</v>
      </c>
      <c r="J570" s="1" t="s">
        <v>5212</v>
      </c>
      <c r="K570" s="1" t="s">
        <v>5210</v>
      </c>
    </row>
    <row r="571" spans="1:11" ht="21" x14ac:dyDescent="0.25">
      <c r="A571" s="11" t="str">
        <f>HYPERLINK("https://rth.dk/resources/bsgatlas/details.php?id=BSGatlas-transcript-570","BSGatlas-transcript-570")</f>
        <v>BSGatlas-transcript-570</v>
      </c>
      <c r="B571" s="1" t="s">
        <v>584</v>
      </c>
      <c r="C571" s="3">
        <v>548395</v>
      </c>
      <c r="D571" s="3">
        <v>548577</v>
      </c>
      <c r="E571" s="1" t="s">
        <v>9</v>
      </c>
      <c r="F571" s="1">
        <v>0</v>
      </c>
      <c r="G571" s="1" t="s">
        <v>4372</v>
      </c>
      <c r="H571" s="1" t="s">
        <v>4372</v>
      </c>
      <c r="I571" s="1" t="s">
        <v>4386</v>
      </c>
      <c r="J571" s="1" t="s">
        <v>5213</v>
      </c>
      <c r="K571" s="1" t="s">
        <v>5209</v>
      </c>
    </row>
    <row r="572" spans="1:11" ht="21" x14ac:dyDescent="0.25">
      <c r="A572" s="11" t="str">
        <f>HYPERLINK("https://rth.dk/resources/bsgatlas/details.php?id=BSGatlas-transcript-571","BSGatlas-transcript-571")</f>
        <v>BSGatlas-transcript-571</v>
      </c>
      <c r="B572" s="1" t="s">
        <v>584</v>
      </c>
      <c r="C572" s="3">
        <v>548395</v>
      </c>
      <c r="D572" s="3">
        <v>548625</v>
      </c>
      <c r="E572" s="1" t="s">
        <v>9</v>
      </c>
      <c r="F572" s="1">
        <v>0</v>
      </c>
      <c r="G572" s="1" t="s">
        <v>4372</v>
      </c>
      <c r="H572" s="1" t="s">
        <v>4372</v>
      </c>
      <c r="I572" s="1" t="s">
        <v>4386</v>
      </c>
      <c r="J572" s="1" t="s">
        <v>5213</v>
      </c>
      <c r="K572" s="1" t="s">
        <v>5210</v>
      </c>
    </row>
    <row r="573" spans="1:11" ht="21" x14ac:dyDescent="0.25">
      <c r="A573" s="11" t="str">
        <f>HYPERLINK("https://rth.dk/resources/bsgatlas/details.php?id=BSGatlas-transcript-572","BSGatlas-transcript-572")</f>
        <v>BSGatlas-transcript-572</v>
      </c>
      <c r="B573" s="1" t="s">
        <v>585</v>
      </c>
      <c r="C573" s="3">
        <v>548710</v>
      </c>
      <c r="D573" s="3">
        <v>549974</v>
      </c>
      <c r="E573" s="1" t="s">
        <v>9</v>
      </c>
      <c r="F573" s="1">
        <v>0</v>
      </c>
      <c r="G573" s="1" t="s">
        <v>4372</v>
      </c>
      <c r="H573" s="1" t="s">
        <v>4372</v>
      </c>
      <c r="I573" s="1" t="s">
        <v>4377</v>
      </c>
      <c r="J573" s="1" t="s">
        <v>318</v>
      </c>
      <c r="K573" s="1" t="s">
        <v>5214</v>
      </c>
    </row>
    <row r="574" spans="1:11" ht="21" x14ac:dyDescent="0.25">
      <c r="A574" s="11" t="str">
        <f>HYPERLINK("https://rth.dk/resources/bsgatlas/details.php?id=BSGatlas-transcript-573","BSGatlas-transcript-573")</f>
        <v>BSGatlas-transcript-573</v>
      </c>
      <c r="B574" s="1" t="s">
        <v>586</v>
      </c>
      <c r="C574" s="3">
        <v>549890</v>
      </c>
      <c r="D574" s="3">
        <v>551259</v>
      </c>
      <c r="E574" s="1" t="s">
        <v>13</v>
      </c>
      <c r="F574" s="1">
        <v>0</v>
      </c>
      <c r="G574" s="1" t="s">
        <v>4372</v>
      </c>
      <c r="H574" s="1" t="s">
        <v>4372</v>
      </c>
      <c r="I574" s="1" t="s">
        <v>4397</v>
      </c>
      <c r="J574" s="1" t="s">
        <v>5215</v>
      </c>
      <c r="K574" s="1" t="s">
        <v>5216</v>
      </c>
    </row>
    <row r="575" spans="1:11" ht="21" x14ac:dyDescent="0.25">
      <c r="A575" s="11" t="str">
        <f>HYPERLINK("https://rth.dk/resources/bsgatlas/details.php?id=BSGatlas-transcript-574","BSGatlas-transcript-574")</f>
        <v>BSGatlas-transcript-574</v>
      </c>
      <c r="B575" s="1" t="s">
        <v>586</v>
      </c>
      <c r="C575" s="3">
        <v>549962</v>
      </c>
      <c r="D575" s="3">
        <v>551259</v>
      </c>
      <c r="E575" s="1" t="s">
        <v>13</v>
      </c>
      <c r="F575" s="1">
        <v>0</v>
      </c>
      <c r="G575" s="1" t="s">
        <v>4372</v>
      </c>
      <c r="H575" s="1" t="s">
        <v>4372</v>
      </c>
      <c r="I575" s="1" t="s">
        <v>4397</v>
      </c>
      <c r="J575" s="1" t="s">
        <v>5215</v>
      </c>
      <c r="K575" s="1" t="s">
        <v>5217</v>
      </c>
    </row>
    <row r="576" spans="1:11" ht="21" x14ac:dyDescent="0.25">
      <c r="A576" s="11" t="str">
        <f>HYPERLINK("https://rth.dk/resources/bsgatlas/details.php?id=BSGatlas-transcript-575","BSGatlas-transcript-575")</f>
        <v>BSGatlas-transcript-575</v>
      </c>
      <c r="B576" s="1" t="s">
        <v>587</v>
      </c>
      <c r="C576" s="3">
        <v>551073</v>
      </c>
      <c r="D576" s="3">
        <v>551978</v>
      </c>
      <c r="E576" s="1" t="s">
        <v>9</v>
      </c>
      <c r="F576" s="1">
        <v>0</v>
      </c>
      <c r="G576" s="1" t="s">
        <v>4372</v>
      </c>
      <c r="H576" s="1" t="s">
        <v>4372</v>
      </c>
      <c r="I576" s="1" t="s">
        <v>4397</v>
      </c>
      <c r="J576" s="1" t="s">
        <v>5218</v>
      </c>
      <c r="K576" s="1" t="s">
        <v>5219</v>
      </c>
    </row>
    <row r="577" spans="1:11" ht="21" x14ac:dyDescent="0.25">
      <c r="A577" s="11" t="str">
        <f>HYPERLINK("https://rth.dk/resources/bsgatlas/details.php?id=BSGatlas-transcript-576","BSGatlas-transcript-576")</f>
        <v>BSGatlas-transcript-576</v>
      </c>
      <c r="B577" s="1" t="s">
        <v>588</v>
      </c>
      <c r="C577" s="3">
        <v>552052</v>
      </c>
      <c r="D577" s="3">
        <v>552501</v>
      </c>
      <c r="E577" s="1" t="s">
        <v>13</v>
      </c>
      <c r="F577" s="1">
        <v>0</v>
      </c>
      <c r="G577" s="1" t="s">
        <v>4372</v>
      </c>
      <c r="H577" s="1" t="s">
        <v>4372</v>
      </c>
      <c r="I577" s="1" t="s">
        <v>4547</v>
      </c>
      <c r="J577" s="1" t="s">
        <v>318</v>
      </c>
      <c r="K577" s="1" t="s">
        <v>318</v>
      </c>
    </row>
    <row r="578" spans="1:11" ht="21" x14ac:dyDescent="0.25">
      <c r="A578" s="11" t="str">
        <f>HYPERLINK("https://rth.dk/resources/bsgatlas/details.php?id=BSGatlas-transcript-577","BSGatlas-transcript-577")</f>
        <v>BSGatlas-transcript-577</v>
      </c>
      <c r="B578" s="1" t="s">
        <v>589</v>
      </c>
      <c r="C578" s="3">
        <v>553661</v>
      </c>
      <c r="D578" s="3">
        <v>554475</v>
      </c>
      <c r="E578" s="1" t="s">
        <v>9</v>
      </c>
      <c r="F578" s="1">
        <v>0</v>
      </c>
      <c r="G578" s="1" t="s">
        <v>4372</v>
      </c>
      <c r="H578" s="1" t="s">
        <v>4372</v>
      </c>
      <c r="I578" s="1" t="s">
        <v>4377</v>
      </c>
      <c r="J578" s="1" t="s">
        <v>5220</v>
      </c>
      <c r="K578" s="1" t="s">
        <v>318</v>
      </c>
    </row>
    <row r="579" spans="1:11" ht="21" x14ac:dyDescent="0.25">
      <c r="A579" s="11" t="str">
        <f>HYPERLINK("https://rth.dk/resources/bsgatlas/details.php?id=BSGatlas-transcript-578","BSGatlas-transcript-578")</f>
        <v>BSGatlas-transcript-578</v>
      </c>
      <c r="B579" s="1" t="s">
        <v>590</v>
      </c>
      <c r="C579" s="3">
        <v>556002</v>
      </c>
      <c r="D579" s="3">
        <v>556738</v>
      </c>
      <c r="E579" s="1" t="s">
        <v>9</v>
      </c>
      <c r="F579" s="1">
        <v>0</v>
      </c>
      <c r="G579" s="1" t="s">
        <v>4372</v>
      </c>
      <c r="H579" s="1" t="s">
        <v>4372</v>
      </c>
      <c r="I579" s="1" t="s">
        <v>4377</v>
      </c>
      <c r="J579" s="1" t="s">
        <v>5221</v>
      </c>
      <c r="K579" s="1" t="s">
        <v>318</v>
      </c>
    </row>
    <row r="580" spans="1:11" ht="21" x14ac:dyDescent="0.25">
      <c r="A580" s="11" t="str">
        <f>HYPERLINK("https://rth.dk/resources/bsgatlas/details.php?id=BSGatlas-transcript-579","BSGatlas-transcript-579")</f>
        <v>BSGatlas-transcript-579</v>
      </c>
      <c r="B580" s="1" t="s">
        <v>591</v>
      </c>
      <c r="C580" s="3">
        <v>556763</v>
      </c>
      <c r="D580" s="3">
        <v>557449</v>
      </c>
      <c r="E580" s="1" t="s">
        <v>9</v>
      </c>
      <c r="F580" s="1">
        <v>0</v>
      </c>
      <c r="G580" s="1" t="s">
        <v>4372</v>
      </c>
      <c r="H580" s="1" t="s">
        <v>4372</v>
      </c>
      <c r="I580" s="1" t="s">
        <v>4386</v>
      </c>
      <c r="J580" s="1" t="s">
        <v>318</v>
      </c>
      <c r="K580" s="1" t="s">
        <v>318</v>
      </c>
    </row>
    <row r="581" spans="1:11" ht="21" x14ac:dyDescent="0.25">
      <c r="A581" s="11" t="str">
        <f>HYPERLINK("https://rth.dk/resources/bsgatlas/details.php?id=BSGatlas-transcript-580","BSGatlas-transcript-580")</f>
        <v>BSGatlas-transcript-580</v>
      </c>
      <c r="B581" s="1" t="s">
        <v>592</v>
      </c>
      <c r="C581" s="3">
        <v>557818</v>
      </c>
      <c r="D581" s="3">
        <v>558079</v>
      </c>
      <c r="E581" s="1" t="s">
        <v>9</v>
      </c>
      <c r="F581" s="1">
        <v>0</v>
      </c>
      <c r="G581" s="1" t="s">
        <v>4372</v>
      </c>
      <c r="H581" s="1" t="s">
        <v>4372</v>
      </c>
      <c r="I581" s="1" t="s">
        <v>4386</v>
      </c>
      <c r="J581" s="1" t="s">
        <v>5222</v>
      </c>
      <c r="K581" s="1" t="s">
        <v>5223</v>
      </c>
    </row>
    <row r="582" spans="1:11" ht="21" x14ac:dyDescent="0.25">
      <c r="A582" s="11" t="str">
        <f>HYPERLINK("https://rth.dk/resources/bsgatlas/details.php?id=BSGatlas-transcript-581","BSGatlas-transcript-581")</f>
        <v>BSGatlas-transcript-581</v>
      </c>
      <c r="B582" s="1" t="s">
        <v>594</v>
      </c>
      <c r="C582" s="3">
        <v>559146</v>
      </c>
      <c r="D582" s="3">
        <v>559464</v>
      </c>
      <c r="E582" s="1" t="s">
        <v>9</v>
      </c>
      <c r="F582" s="1">
        <v>0</v>
      </c>
      <c r="G582" s="1" t="s">
        <v>4372</v>
      </c>
      <c r="H582" s="1" t="s">
        <v>4372</v>
      </c>
      <c r="I582" s="1" t="s">
        <v>4377</v>
      </c>
      <c r="J582" s="1" t="s">
        <v>5224</v>
      </c>
      <c r="K582" s="1" t="s">
        <v>5225</v>
      </c>
    </row>
    <row r="583" spans="1:11" ht="21" x14ac:dyDescent="0.25">
      <c r="A583" s="11" t="str">
        <f>HYPERLINK("https://rth.dk/resources/bsgatlas/details.php?id=BSGatlas-transcript-582","BSGatlas-transcript-582")</f>
        <v>BSGatlas-transcript-582</v>
      </c>
      <c r="B583" s="1" t="s">
        <v>594</v>
      </c>
      <c r="C583" s="3">
        <v>559146</v>
      </c>
      <c r="D583" s="3">
        <v>559490</v>
      </c>
      <c r="E583" s="1" t="s">
        <v>9</v>
      </c>
      <c r="F583" s="1">
        <v>0</v>
      </c>
      <c r="G583" s="1" t="s">
        <v>4372</v>
      </c>
      <c r="H583" s="1" t="s">
        <v>4372</v>
      </c>
      <c r="I583" s="1" t="s">
        <v>4377</v>
      </c>
      <c r="J583" s="1" t="s">
        <v>5224</v>
      </c>
      <c r="K583" s="1" t="s">
        <v>5226</v>
      </c>
    </row>
    <row r="584" spans="1:11" ht="21" x14ac:dyDescent="0.25">
      <c r="A584" s="11" t="str">
        <f>HYPERLINK("https://rth.dk/resources/bsgatlas/details.php?id=BSGatlas-transcript-583","BSGatlas-transcript-583")</f>
        <v>BSGatlas-transcript-583</v>
      </c>
      <c r="B584" s="1" t="s">
        <v>595</v>
      </c>
      <c r="C584" s="3">
        <v>559159</v>
      </c>
      <c r="D584" s="3">
        <v>559610</v>
      </c>
      <c r="E584" s="1" t="s">
        <v>13</v>
      </c>
      <c r="F584" s="1">
        <v>0</v>
      </c>
      <c r="G584" s="1" t="s">
        <v>4372</v>
      </c>
      <c r="H584" s="1" t="s">
        <v>4372</v>
      </c>
      <c r="I584" s="1" t="s">
        <v>4377</v>
      </c>
      <c r="J584" s="1" t="s">
        <v>318</v>
      </c>
      <c r="K584" s="1" t="s">
        <v>5227</v>
      </c>
    </row>
    <row r="585" spans="1:11" ht="21" x14ac:dyDescent="0.25">
      <c r="A585" s="11" t="str">
        <f>HYPERLINK("https://rth.dk/resources/bsgatlas/details.php?id=BSGatlas-transcript-584","BSGatlas-transcript-584")</f>
        <v>BSGatlas-transcript-584</v>
      </c>
      <c r="B585" s="1" t="s">
        <v>5228</v>
      </c>
      <c r="C585" s="3">
        <v>559182</v>
      </c>
      <c r="D585" s="3">
        <v>559512</v>
      </c>
      <c r="E585" s="1" t="s">
        <v>9</v>
      </c>
      <c r="F585" s="1">
        <v>0</v>
      </c>
      <c r="G585" s="1" t="s">
        <v>4372</v>
      </c>
      <c r="H585" s="1" t="s">
        <v>4372</v>
      </c>
      <c r="I585" s="1" t="s">
        <v>4386</v>
      </c>
      <c r="J585" s="1" t="s">
        <v>318</v>
      </c>
      <c r="K585" s="1" t="s">
        <v>5226</v>
      </c>
    </row>
    <row r="586" spans="1:11" ht="21" x14ac:dyDescent="0.25">
      <c r="A586" s="11" t="str">
        <f>HYPERLINK("https://rth.dk/resources/bsgatlas/details.php?id=BSGatlas-transcript-585","BSGatlas-transcript-585")</f>
        <v>BSGatlas-transcript-585</v>
      </c>
      <c r="B586" s="1" t="s">
        <v>5228</v>
      </c>
      <c r="C586" s="3">
        <v>559182</v>
      </c>
      <c r="D586" s="3">
        <v>559512</v>
      </c>
      <c r="E586" s="1" t="s">
        <v>9</v>
      </c>
      <c r="F586" s="1">
        <v>0</v>
      </c>
      <c r="G586" s="1" t="s">
        <v>4372</v>
      </c>
      <c r="H586" s="1" t="s">
        <v>4372</v>
      </c>
      <c r="I586" s="1" t="s">
        <v>4386</v>
      </c>
      <c r="J586" s="1" t="s">
        <v>318</v>
      </c>
      <c r="K586" s="1" t="s">
        <v>5225</v>
      </c>
    </row>
    <row r="587" spans="1:11" ht="21" x14ac:dyDescent="0.25">
      <c r="A587" s="11" t="str">
        <f>HYPERLINK("https://rth.dk/resources/bsgatlas/details.php?id=BSGatlas-transcript-586","BSGatlas-transcript-586")</f>
        <v>BSGatlas-transcript-586</v>
      </c>
      <c r="B587" s="1" t="s">
        <v>595</v>
      </c>
      <c r="C587" s="3">
        <v>559329</v>
      </c>
      <c r="D587" s="3">
        <v>559610</v>
      </c>
      <c r="E587" s="1" t="s">
        <v>13</v>
      </c>
      <c r="F587" s="1">
        <v>0</v>
      </c>
      <c r="G587" s="1" t="s">
        <v>4372</v>
      </c>
      <c r="H587" s="1" t="s">
        <v>4372</v>
      </c>
      <c r="I587" s="1" t="s">
        <v>4377</v>
      </c>
      <c r="J587" s="1" t="s">
        <v>318</v>
      </c>
      <c r="K587" s="1" t="s">
        <v>5229</v>
      </c>
    </row>
    <row r="588" spans="1:11" ht="21" x14ac:dyDescent="0.25">
      <c r="A588" s="11" t="str">
        <f>HYPERLINK("https://rth.dk/resources/bsgatlas/details.php?id=BSGatlas-transcript-587","BSGatlas-transcript-587")</f>
        <v>BSGatlas-transcript-587</v>
      </c>
      <c r="B588" s="1" t="s">
        <v>596</v>
      </c>
      <c r="C588" s="3">
        <v>560151</v>
      </c>
      <c r="D588" s="3">
        <v>560664</v>
      </c>
      <c r="E588" s="1" t="s">
        <v>13</v>
      </c>
      <c r="F588" s="1">
        <v>0</v>
      </c>
      <c r="G588" s="1" t="s">
        <v>4372</v>
      </c>
      <c r="H588" s="1" t="s">
        <v>4372</v>
      </c>
      <c r="I588" s="1" t="s">
        <v>4386</v>
      </c>
      <c r="J588" s="1" t="s">
        <v>5230</v>
      </c>
      <c r="K588" s="1" t="s">
        <v>318</v>
      </c>
    </row>
    <row r="589" spans="1:11" ht="21" x14ac:dyDescent="0.25">
      <c r="A589" s="11" t="str">
        <f>HYPERLINK("https://rth.dk/resources/bsgatlas/details.php?id=BSGatlas-transcript-588","BSGatlas-transcript-588")</f>
        <v>BSGatlas-transcript-588</v>
      </c>
      <c r="B589" s="1" t="s">
        <v>597</v>
      </c>
      <c r="C589" s="3">
        <v>560674</v>
      </c>
      <c r="D589" s="3">
        <v>561156</v>
      </c>
      <c r="E589" s="1" t="s">
        <v>9</v>
      </c>
      <c r="F589" s="1">
        <v>0</v>
      </c>
      <c r="G589" s="1" t="s">
        <v>4372</v>
      </c>
      <c r="H589" s="1" t="s">
        <v>4372</v>
      </c>
      <c r="I589" s="1" t="s">
        <v>4377</v>
      </c>
      <c r="J589" s="1" t="s">
        <v>318</v>
      </c>
      <c r="K589" s="1" t="s">
        <v>5231</v>
      </c>
    </row>
    <row r="590" spans="1:11" ht="21" x14ac:dyDescent="0.25">
      <c r="A590" s="11" t="str">
        <f>HYPERLINK("https://rth.dk/resources/bsgatlas/details.php?id=BSGatlas-transcript-589","BSGatlas-transcript-589")</f>
        <v>BSGatlas-transcript-589</v>
      </c>
      <c r="B590" s="1" t="s">
        <v>5232</v>
      </c>
      <c r="C590" s="3">
        <v>561180</v>
      </c>
      <c r="D590" s="3">
        <v>562523</v>
      </c>
      <c r="E590" s="1" t="s">
        <v>13</v>
      </c>
      <c r="F590" s="1">
        <v>1</v>
      </c>
      <c r="G590" s="1">
        <v>135</v>
      </c>
      <c r="H590" s="1" t="s">
        <v>4372</v>
      </c>
      <c r="I590" s="1" t="s">
        <v>4386</v>
      </c>
      <c r="J590" s="1" t="s">
        <v>5233</v>
      </c>
      <c r="K590" s="1" t="s">
        <v>318</v>
      </c>
    </row>
    <row r="591" spans="1:11" ht="21" x14ac:dyDescent="0.25">
      <c r="A591" s="11" t="str">
        <f>HYPERLINK("https://rth.dk/resources/bsgatlas/details.php?id=BSGatlas-transcript-590","BSGatlas-transcript-590")</f>
        <v>BSGatlas-transcript-590</v>
      </c>
      <c r="B591" s="1" t="s">
        <v>600</v>
      </c>
      <c r="C591" s="3">
        <v>562502</v>
      </c>
      <c r="D591" s="3">
        <v>563461</v>
      </c>
      <c r="E591" s="1" t="s">
        <v>9</v>
      </c>
      <c r="F591" s="1">
        <v>0</v>
      </c>
      <c r="G591" s="1" t="s">
        <v>4372</v>
      </c>
      <c r="H591" s="1" t="s">
        <v>4372</v>
      </c>
      <c r="I591" s="1" t="s">
        <v>4547</v>
      </c>
      <c r="J591" s="1" t="s">
        <v>318</v>
      </c>
      <c r="K591" s="1" t="s">
        <v>318</v>
      </c>
    </row>
    <row r="592" spans="1:11" ht="21" x14ac:dyDescent="0.25">
      <c r="A592" s="11" t="str">
        <f>HYPERLINK("https://rth.dk/resources/bsgatlas/details.php?id=BSGatlas-transcript-591","BSGatlas-transcript-591")</f>
        <v>BSGatlas-transcript-591</v>
      </c>
      <c r="B592" s="1" t="s">
        <v>601</v>
      </c>
      <c r="C592" s="3">
        <v>563614</v>
      </c>
      <c r="D592" s="3">
        <v>564591</v>
      </c>
      <c r="E592" s="1" t="s">
        <v>13</v>
      </c>
      <c r="F592" s="1">
        <v>0</v>
      </c>
      <c r="G592" s="1" t="s">
        <v>4372</v>
      </c>
      <c r="H592" s="1" t="s">
        <v>4372</v>
      </c>
      <c r="I592" s="1" t="s">
        <v>4547</v>
      </c>
      <c r="J592" s="1" t="s">
        <v>5234</v>
      </c>
      <c r="K592" s="1" t="s">
        <v>318</v>
      </c>
    </row>
    <row r="593" spans="1:11" ht="21" x14ac:dyDescent="0.25">
      <c r="A593" s="11" t="str">
        <f>HYPERLINK("https://rth.dk/resources/bsgatlas/details.php?id=BSGatlas-transcript-592","BSGatlas-transcript-592")</f>
        <v>BSGatlas-transcript-592</v>
      </c>
      <c r="B593" s="1" t="s">
        <v>602</v>
      </c>
      <c r="C593" s="3">
        <v>564674</v>
      </c>
      <c r="D593" s="3">
        <v>566101</v>
      </c>
      <c r="E593" s="1" t="s">
        <v>9</v>
      </c>
      <c r="F593" s="1">
        <v>0</v>
      </c>
      <c r="G593" s="1" t="s">
        <v>4372</v>
      </c>
      <c r="H593" s="1" t="s">
        <v>4372</v>
      </c>
      <c r="I593" s="1" t="s">
        <v>4377</v>
      </c>
      <c r="J593" s="1" t="s">
        <v>5235</v>
      </c>
      <c r="K593" s="1" t="s">
        <v>5236</v>
      </c>
    </row>
    <row r="594" spans="1:11" ht="21" x14ac:dyDescent="0.25">
      <c r="A594" s="11" t="str">
        <f>HYPERLINK("https://rth.dk/resources/bsgatlas/details.php?id=BSGatlas-transcript-593","BSGatlas-transcript-593")</f>
        <v>BSGatlas-transcript-593</v>
      </c>
      <c r="B594" s="1" t="s">
        <v>603</v>
      </c>
      <c r="C594" s="3">
        <v>567540</v>
      </c>
      <c r="D594" s="3">
        <v>568159</v>
      </c>
      <c r="E594" s="1" t="s">
        <v>9</v>
      </c>
      <c r="F594" s="1">
        <v>0</v>
      </c>
      <c r="G594" s="1" t="s">
        <v>4372</v>
      </c>
      <c r="H594" s="1" t="s">
        <v>4372</v>
      </c>
      <c r="I594" s="1" t="s">
        <v>4386</v>
      </c>
      <c r="J594" s="1" t="s">
        <v>5237</v>
      </c>
      <c r="K594" s="1" t="s">
        <v>5238</v>
      </c>
    </row>
    <row r="595" spans="1:11" ht="21" x14ac:dyDescent="0.25">
      <c r="A595" s="11" t="str">
        <f>HYPERLINK("https://rth.dk/resources/bsgatlas/details.php?id=BSGatlas-transcript-594","BSGatlas-transcript-594")</f>
        <v>BSGatlas-transcript-594</v>
      </c>
      <c r="B595" s="1" t="s">
        <v>604</v>
      </c>
      <c r="C595" s="3">
        <v>568211</v>
      </c>
      <c r="D595" s="3">
        <v>569003</v>
      </c>
      <c r="E595" s="1" t="s">
        <v>9</v>
      </c>
      <c r="F595" s="1">
        <v>0</v>
      </c>
      <c r="G595" s="1" t="s">
        <v>4372</v>
      </c>
      <c r="H595" s="1" t="s">
        <v>4372</v>
      </c>
      <c r="I595" s="1" t="s">
        <v>4386</v>
      </c>
      <c r="J595" s="1" t="s">
        <v>5239</v>
      </c>
      <c r="K595" s="1" t="s">
        <v>5240</v>
      </c>
    </row>
    <row r="596" spans="1:11" ht="21" x14ac:dyDescent="0.25">
      <c r="A596" s="11" t="str">
        <f>HYPERLINK("https://rth.dk/resources/bsgatlas/details.php?id=BSGatlas-transcript-595","BSGatlas-transcript-595")</f>
        <v>BSGatlas-transcript-595</v>
      </c>
      <c r="B596" s="1" t="s">
        <v>605</v>
      </c>
      <c r="C596" s="3">
        <v>569035</v>
      </c>
      <c r="D596" s="3">
        <v>570005</v>
      </c>
      <c r="E596" s="1" t="s">
        <v>13</v>
      </c>
      <c r="F596" s="1">
        <v>0</v>
      </c>
      <c r="G596" s="1" t="s">
        <v>4372</v>
      </c>
      <c r="H596" s="1" t="s">
        <v>4372</v>
      </c>
      <c r="I596" s="1" t="s">
        <v>4386</v>
      </c>
      <c r="J596" s="1" t="s">
        <v>5241</v>
      </c>
      <c r="K596" s="1" t="s">
        <v>5242</v>
      </c>
    </row>
    <row r="597" spans="1:11" ht="21" x14ac:dyDescent="0.25">
      <c r="A597" s="11" t="str">
        <f>HYPERLINK("https://rth.dk/resources/bsgatlas/details.php?id=BSGatlas-transcript-596","BSGatlas-transcript-596")</f>
        <v>BSGatlas-transcript-596</v>
      </c>
      <c r="B597" s="1" t="s">
        <v>606</v>
      </c>
      <c r="C597" s="3">
        <v>570371</v>
      </c>
      <c r="D597" s="3">
        <v>571323</v>
      </c>
      <c r="E597" s="1" t="s">
        <v>13</v>
      </c>
      <c r="F597" s="1">
        <v>0</v>
      </c>
      <c r="G597" s="1" t="s">
        <v>4372</v>
      </c>
      <c r="H597" s="1" t="s">
        <v>4372</v>
      </c>
      <c r="I597" s="1" t="s">
        <v>4377</v>
      </c>
      <c r="J597" s="1" t="s">
        <v>5243</v>
      </c>
      <c r="K597" s="1" t="s">
        <v>318</v>
      </c>
    </row>
    <row r="598" spans="1:11" ht="21" x14ac:dyDescent="0.25">
      <c r="A598" s="11" t="str">
        <f>HYPERLINK("https://rth.dk/resources/bsgatlas/details.php?id=BSGatlas-transcript-597","BSGatlas-transcript-597")</f>
        <v>BSGatlas-transcript-597</v>
      </c>
      <c r="B598" s="1" t="s">
        <v>607</v>
      </c>
      <c r="C598" s="3">
        <v>571313</v>
      </c>
      <c r="D598" s="3">
        <v>572780</v>
      </c>
      <c r="E598" s="1" t="s">
        <v>9</v>
      </c>
      <c r="F598" s="1">
        <v>0</v>
      </c>
      <c r="G598" s="1" t="s">
        <v>4372</v>
      </c>
      <c r="H598" s="1" t="s">
        <v>4372</v>
      </c>
      <c r="I598" s="1" t="s">
        <v>4377</v>
      </c>
      <c r="J598" s="1" t="s">
        <v>5244</v>
      </c>
      <c r="K598" s="1" t="s">
        <v>318</v>
      </c>
    </row>
    <row r="599" spans="1:11" ht="21" x14ac:dyDescent="0.25">
      <c r="A599" s="11" t="str">
        <f>HYPERLINK("https://rth.dk/resources/bsgatlas/details.php?id=BSGatlas-transcript-598","BSGatlas-transcript-598")</f>
        <v>BSGatlas-transcript-598</v>
      </c>
      <c r="B599" s="1" t="s">
        <v>608</v>
      </c>
      <c r="C599" s="3">
        <v>572940</v>
      </c>
      <c r="D599" s="3">
        <v>573399</v>
      </c>
      <c r="E599" s="1" t="s">
        <v>9</v>
      </c>
      <c r="F599" s="1">
        <v>0</v>
      </c>
      <c r="G599" s="1" t="s">
        <v>4372</v>
      </c>
      <c r="H599" s="1" t="s">
        <v>4372</v>
      </c>
      <c r="I599" s="1" t="s">
        <v>4377</v>
      </c>
      <c r="J599" s="1" t="s">
        <v>5245</v>
      </c>
      <c r="K599" s="1" t="s">
        <v>318</v>
      </c>
    </row>
    <row r="600" spans="1:11" ht="21" x14ac:dyDescent="0.25">
      <c r="A600" s="11" t="str">
        <f>HYPERLINK("https://rth.dk/resources/bsgatlas/details.php?id=BSGatlas-transcript-599","BSGatlas-transcript-599")</f>
        <v>BSGatlas-transcript-599</v>
      </c>
      <c r="B600" s="1" t="s">
        <v>5246</v>
      </c>
      <c r="C600" s="3">
        <v>573435</v>
      </c>
      <c r="D600" s="3">
        <v>574469</v>
      </c>
      <c r="E600" s="1" t="s">
        <v>13</v>
      </c>
      <c r="F600" s="1">
        <v>1</v>
      </c>
      <c r="G600" s="1">
        <v>35</v>
      </c>
      <c r="H600" s="1">
        <v>18</v>
      </c>
      <c r="I600" s="1" t="s">
        <v>4386</v>
      </c>
      <c r="J600" s="1" t="s">
        <v>5247</v>
      </c>
      <c r="K600" s="1" t="s">
        <v>5248</v>
      </c>
    </row>
    <row r="601" spans="1:11" ht="21" x14ac:dyDescent="0.25">
      <c r="A601" s="11" t="str">
        <f>HYPERLINK("https://rth.dk/resources/bsgatlas/details.php?id=BSGatlas-transcript-600","BSGatlas-transcript-600")</f>
        <v>BSGatlas-transcript-600</v>
      </c>
      <c r="B601" s="1" t="s">
        <v>611</v>
      </c>
      <c r="C601" s="3">
        <v>574656</v>
      </c>
      <c r="D601" s="3">
        <v>575562</v>
      </c>
      <c r="E601" s="1" t="s">
        <v>9</v>
      </c>
      <c r="F601" s="1">
        <v>0</v>
      </c>
      <c r="G601" s="1" t="s">
        <v>4372</v>
      </c>
      <c r="H601" s="1" t="s">
        <v>4372</v>
      </c>
      <c r="I601" s="1" t="s">
        <v>4397</v>
      </c>
      <c r="J601" s="1" t="s">
        <v>5249</v>
      </c>
      <c r="K601" s="1" t="s">
        <v>5250</v>
      </c>
    </row>
    <row r="602" spans="1:11" ht="21" x14ac:dyDescent="0.25">
      <c r="A602" s="11" t="str">
        <f>HYPERLINK("https://rth.dk/resources/bsgatlas/details.php?id=BSGatlas-transcript-601","BSGatlas-transcript-601")</f>
        <v>BSGatlas-transcript-601</v>
      </c>
      <c r="B602" s="1" t="s">
        <v>611</v>
      </c>
      <c r="C602" s="3">
        <v>574656</v>
      </c>
      <c r="D602" s="3">
        <v>575669</v>
      </c>
      <c r="E602" s="1" t="s">
        <v>9</v>
      </c>
      <c r="F602" s="1">
        <v>0</v>
      </c>
      <c r="G602" s="1" t="s">
        <v>4372</v>
      </c>
      <c r="H602" s="1" t="s">
        <v>4372</v>
      </c>
      <c r="I602" s="1" t="s">
        <v>4397</v>
      </c>
      <c r="J602" s="1" t="s">
        <v>5249</v>
      </c>
      <c r="K602" s="1" t="s">
        <v>5251</v>
      </c>
    </row>
    <row r="603" spans="1:11" ht="21" x14ac:dyDescent="0.25">
      <c r="A603" s="11" t="str">
        <f>HYPERLINK("https://rth.dk/resources/bsgatlas/details.php?id=BSGatlas-transcript-602","BSGatlas-transcript-602")</f>
        <v>BSGatlas-transcript-602</v>
      </c>
      <c r="B603" s="1" t="s">
        <v>612</v>
      </c>
      <c r="C603" s="3">
        <v>575712</v>
      </c>
      <c r="D603" s="3">
        <v>576165</v>
      </c>
      <c r="E603" s="1" t="s">
        <v>13</v>
      </c>
      <c r="F603" s="1">
        <v>0</v>
      </c>
      <c r="G603" s="1" t="s">
        <v>4372</v>
      </c>
      <c r="H603" s="1" t="s">
        <v>4372</v>
      </c>
      <c r="I603" s="1" t="s">
        <v>4397</v>
      </c>
      <c r="J603" s="1" t="s">
        <v>5252</v>
      </c>
      <c r="K603" s="1" t="s">
        <v>5253</v>
      </c>
    </row>
    <row r="604" spans="1:11" ht="21" x14ac:dyDescent="0.25">
      <c r="A604" s="11" t="str">
        <f>HYPERLINK("https://rth.dk/resources/bsgatlas/details.php?id=BSGatlas-transcript-603","BSGatlas-transcript-603")</f>
        <v>BSGatlas-transcript-603</v>
      </c>
      <c r="B604" s="1" t="s">
        <v>613</v>
      </c>
      <c r="C604" s="3">
        <v>576175</v>
      </c>
      <c r="D604" s="3">
        <v>576802</v>
      </c>
      <c r="E604" s="1" t="s">
        <v>9</v>
      </c>
      <c r="F604" s="1">
        <v>0</v>
      </c>
      <c r="G604" s="1" t="s">
        <v>4372</v>
      </c>
      <c r="H604" s="1" t="s">
        <v>4372</v>
      </c>
      <c r="I604" s="1" t="s">
        <v>4397</v>
      </c>
      <c r="J604" s="1" t="s">
        <v>5254</v>
      </c>
      <c r="K604" s="1" t="s">
        <v>318</v>
      </c>
    </row>
    <row r="605" spans="1:11" ht="21" x14ac:dyDescent="0.25">
      <c r="A605" s="11" t="str">
        <f>HYPERLINK("https://rth.dk/resources/bsgatlas/details.php?id=BSGatlas-transcript-604","BSGatlas-transcript-604")</f>
        <v>BSGatlas-transcript-604</v>
      </c>
      <c r="B605" s="1" t="s">
        <v>614</v>
      </c>
      <c r="C605" s="3">
        <v>576946</v>
      </c>
      <c r="D605" s="3">
        <v>578133</v>
      </c>
      <c r="E605" s="1" t="s">
        <v>13</v>
      </c>
      <c r="F605" s="1">
        <v>0</v>
      </c>
      <c r="G605" s="1" t="s">
        <v>4372</v>
      </c>
      <c r="H605" s="1" t="s">
        <v>4372</v>
      </c>
      <c r="I605" s="1" t="s">
        <v>4547</v>
      </c>
      <c r="J605" s="1" t="s">
        <v>318</v>
      </c>
      <c r="K605" s="1" t="s">
        <v>318</v>
      </c>
    </row>
    <row r="606" spans="1:11" ht="21" x14ac:dyDescent="0.25">
      <c r="A606" s="11" t="str">
        <f>HYPERLINK("https://rth.dk/resources/bsgatlas/details.php?id=BSGatlas-transcript-605","BSGatlas-transcript-605")</f>
        <v>BSGatlas-transcript-605</v>
      </c>
      <c r="B606" s="1" t="s">
        <v>5255</v>
      </c>
      <c r="C606" s="3">
        <v>578287</v>
      </c>
      <c r="D606" s="3">
        <v>579232</v>
      </c>
      <c r="E606" s="1" t="s">
        <v>9</v>
      </c>
      <c r="F606" s="1">
        <v>1</v>
      </c>
      <c r="G606" s="1">
        <v>51</v>
      </c>
      <c r="H606" s="1" t="s">
        <v>4372</v>
      </c>
      <c r="I606" s="1" t="s">
        <v>4386</v>
      </c>
      <c r="J606" s="1" t="s">
        <v>5256</v>
      </c>
      <c r="K606" s="1" t="s">
        <v>5257</v>
      </c>
    </row>
    <row r="607" spans="1:11" ht="21" x14ac:dyDescent="0.25">
      <c r="A607" s="11" t="str">
        <f>HYPERLINK("https://rth.dk/resources/bsgatlas/details.php?id=BSGatlas-transcript-606","BSGatlas-transcript-606")</f>
        <v>BSGatlas-transcript-606</v>
      </c>
      <c r="B607" s="1" t="s">
        <v>5258</v>
      </c>
      <c r="C607" s="3">
        <v>579354</v>
      </c>
      <c r="D607" s="3">
        <v>581763</v>
      </c>
      <c r="E607" s="1" t="s">
        <v>9</v>
      </c>
      <c r="F607" s="1">
        <v>1</v>
      </c>
      <c r="G607" s="1">
        <v>188</v>
      </c>
      <c r="H607" s="1">
        <v>310</v>
      </c>
      <c r="I607" s="1" t="s">
        <v>4386</v>
      </c>
      <c r="J607" s="1" t="s">
        <v>5259</v>
      </c>
      <c r="K607" s="1" t="s">
        <v>5260</v>
      </c>
    </row>
    <row r="608" spans="1:11" ht="21" x14ac:dyDescent="0.25">
      <c r="A608" s="11" t="str">
        <f>HYPERLINK("https://rth.dk/resources/bsgatlas/details.php?id=BSGatlas-transcript-607","BSGatlas-transcript-607")</f>
        <v>BSGatlas-transcript-607</v>
      </c>
      <c r="B608" s="1" t="s">
        <v>621</v>
      </c>
      <c r="C608" s="3">
        <v>581676</v>
      </c>
      <c r="D608" s="3">
        <v>582511</v>
      </c>
      <c r="E608" s="1" t="s">
        <v>9</v>
      </c>
      <c r="F608" s="1">
        <v>0</v>
      </c>
      <c r="G608" s="1" t="s">
        <v>4372</v>
      </c>
      <c r="H608" s="1" t="s">
        <v>4372</v>
      </c>
      <c r="I608" s="1" t="s">
        <v>4386</v>
      </c>
      <c r="J608" s="1" t="s">
        <v>5261</v>
      </c>
      <c r="K608" s="1" t="s">
        <v>5262</v>
      </c>
    </row>
    <row r="609" spans="1:11" ht="21" x14ac:dyDescent="0.25">
      <c r="A609" s="11" t="str">
        <f>HYPERLINK("https://rth.dk/resources/bsgatlas/details.php?id=BSGatlas-transcript-608","BSGatlas-transcript-608")</f>
        <v>BSGatlas-transcript-608</v>
      </c>
      <c r="B609" s="1" t="s">
        <v>622</v>
      </c>
      <c r="C609" s="3">
        <v>582536</v>
      </c>
      <c r="D609" s="3">
        <v>583456</v>
      </c>
      <c r="E609" s="1" t="s">
        <v>13</v>
      </c>
      <c r="F609" s="1">
        <v>0</v>
      </c>
      <c r="G609" s="1" t="s">
        <v>4372</v>
      </c>
      <c r="H609" s="1" t="s">
        <v>4372</v>
      </c>
      <c r="I609" s="1" t="s">
        <v>4547</v>
      </c>
      <c r="J609" s="1" t="s">
        <v>318</v>
      </c>
      <c r="K609" s="1" t="s">
        <v>318</v>
      </c>
    </row>
    <row r="610" spans="1:11" ht="21" x14ac:dyDescent="0.25">
      <c r="A610" s="11" t="str">
        <f>HYPERLINK("https://rth.dk/resources/bsgatlas/details.php?id=BSGatlas-transcript-609","BSGatlas-transcript-609")</f>
        <v>BSGatlas-transcript-609</v>
      </c>
      <c r="B610" s="1" t="s">
        <v>623</v>
      </c>
      <c r="C610" s="3">
        <v>583589</v>
      </c>
      <c r="D610" s="3">
        <v>585037</v>
      </c>
      <c r="E610" s="1" t="s">
        <v>9</v>
      </c>
      <c r="F610" s="1">
        <v>0</v>
      </c>
      <c r="G610" s="1" t="s">
        <v>4372</v>
      </c>
      <c r="H610" s="1" t="s">
        <v>4372</v>
      </c>
      <c r="I610" s="1" t="s">
        <v>4547</v>
      </c>
      <c r="J610" s="1" t="s">
        <v>318</v>
      </c>
      <c r="K610" s="1" t="s">
        <v>318</v>
      </c>
    </row>
    <row r="611" spans="1:11" ht="21" x14ac:dyDescent="0.25">
      <c r="A611" s="11" t="str">
        <f>HYPERLINK("https://rth.dk/resources/bsgatlas/details.php?id=BSGatlas-transcript-610","BSGatlas-transcript-610")</f>
        <v>BSGatlas-transcript-610</v>
      </c>
      <c r="B611" s="1" t="s">
        <v>624</v>
      </c>
      <c r="C611" s="3">
        <v>585155</v>
      </c>
      <c r="D611" s="3">
        <v>585821</v>
      </c>
      <c r="E611" s="1" t="s">
        <v>13</v>
      </c>
      <c r="F611" s="1">
        <v>0</v>
      </c>
      <c r="G611" s="1" t="s">
        <v>4372</v>
      </c>
      <c r="H611" s="1" t="s">
        <v>4372</v>
      </c>
      <c r="I611" s="1" t="s">
        <v>4397</v>
      </c>
      <c r="J611" s="1" t="s">
        <v>5263</v>
      </c>
      <c r="K611" s="1" t="s">
        <v>318</v>
      </c>
    </row>
    <row r="612" spans="1:11" ht="21" x14ac:dyDescent="0.25">
      <c r="A612" s="11" t="str">
        <f>HYPERLINK("https://rth.dk/resources/bsgatlas/details.php?id=BSGatlas-transcript-611","BSGatlas-transcript-611")</f>
        <v>BSGatlas-transcript-611</v>
      </c>
      <c r="B612" s="1" t="s">
        <v>625</v>
      </c>
      <c r="C612" s="3">
        <v>585834</v>
      </c>
      <c r="D612" s="3">
        <v>586603</v>
      </c>
      <c r="E612" s="1" t="s">
        <v>9</v>
      </c>
      <c r="F612" s="1">
        <v>0</v>
      </c>
      <c r="G612" s="1" t="s">
        <v>4372</v>
      </c>
      <c r="H612" s="1" t="s">
        <v>4372</v>
      </c>
      <c r="I612" s="1" t="s">
        <v>4397</v>
      </c>
      <c r="J612" s="1" t="s">
        <v>5264</v>
      </c>
      <c r="K612" s="1" t="s">
        <v>5265</v>
      </c>
    </row>
    <row r="613" spans="1:11" ht="21" x14ac:dyDescent="0.25">
      <c r="A613" s="11" t="str">
        <f>HYPERLINK("https://rth.dk/resources/bsgatlas/details.php?id=BSGatlas-transcript-612","BSGatlas-transcript-612")</f>
        <v>BSGatlas-transcript-612</v>
      </c>
      <c r="B613" s="1" t="s">
        <v>626</v>
      </c>
      <c r="C613" s="3">
        <v>586611</v>
      </c>
      <c r="D613" s="3">
        <v>587118</v>
      </c>
      <c r="E613" s="1" t="s">
        <v>13</v>
      </c>
      <c r="F613" s="1">
        <v>0</v>
      </c>
      <c r="G613" s="1" t="s">
        <v>4372</v>
      </c>
      <c r="H613" s="1" t="s">
        <v>4372</v>
      </c>
      <c r="I613" s="1" t="s">
        <v>4386</v>
      </c>
      <c r="J613" s="1" t="s">
        <v>5266</v>
      </c>
      <c r="K613" s="1" t="s">
        <v>5267</v>
      </c>
    </row>
    <row r="614" spans="1:11" ht="21" x14ac:dyDescent="0.25">
      <c r="A614" s="11" t="str">
        <f>HYPERLINK("https://rth.dk/resources/bsgatlas/details.php?id=BSGatlas-transcript-613","BSGatlas-transcript-613")</f>
        <v>BSGatlas-transcript-613</v>
      </c>
      <c r="B614" s="1" t="s">
        <v>5268</v>
      </c>
      <c r="C614" s="3">
        <v>587461</v>
      </c>
      <c r="D614" s="3">
        <v>589661</v>
      </c>
      <c r="E614" s="1" t="s">
        <v>9</v>
      </c>
      <c r="F614" s="1">
        <v>0</v>
      </c>
      <c r="G614" s="1" t="s">
        <v>4372</v>
      </c>
      <c r="H614" s="1" t="s">
        <v>4372</v>
      </c>
      <c r="I614" s="1" t="s">
        <v>4373</v>
      </c>
      <c r="J614" s="1" t="s">
        <v>5269</v>
      </c>
      <c r="K614" s="1" t="s">
        <v>5270</v>
      </c>
    </row>
    <row r="615" spans="1:11" ht="21" x14ac:dyDescent="0.25">
      <c r="A615" s="11" t="str">
        <f>HYPERLINK("https://rth.dk/resources/bsgatlas/details.php?id=BSGatlas-transcript-614","BSGatlas-transcript-614")</f>
        <v>BSGatlas-transcript-614</v>
      </c>
      <c r="B615" s="1" t="s">
        <v>629</v>
      </c>
      <c r="C615" s="3">
        <v>589681</v>
      </c>
      <c r="D615" s="3">
        <v>591936</v>
      </c>
      <c r="E615" s="1" t="s">
        <v>9</v>
      </c>
      <c r="F615" s="1">
        <v>0</v>
      </c>
      <c r="G615" s="1" t="s">
        <v>4372</v>
      </c>
      <c r="H615" s="1" t="s">
        <v>4372</v>
      </c>
      <c r="I615" s="1" t="s">
        <v>4373</v>
      </c>
      <c r="J615" s="1" t="s">
        <v>5271</v>
      </c>
      <c r="K615" s="1" t="s">
        <v>5272</v>
      </c>
    </row>
    <row r="616" spans="1:11" ht="21" x14ac:dyDescent="0.25">
      <c r="A616" s="11" t="str">
        <f>HYPERLINK("https://rth.dk/resources/bsgatlas/details.php?id=BSGatlas-transcript-615","BSGatlas-transcript-615")</f>
        <v>BSGatlas-transcript-615</v>
      </c>
      <c r="B616" s="1" t="s">
        <v>629</v>
      </c>
      <c r="C616" s="3">
        <v>589717</v>
      </c>
      <c r="D616" s="3">
        <v>591936</v>
      </c>
      <c r="E616" s="1" t="s">
        <v>9</v>
      </c>
      <c r="F616" s="1">
        <v>0</v>
      </c>
      <c r="G616" s="1" t="s">
        <v>4372</v>
      </c>
      <c r="H616" s="1" t="s">
        <v>4372</v>
      </c>
      <c r="I616" s="1" t="s">
        <v>4373</v>
      </c>
      <c r="J616" s="1" t="s">
        <v>5273</v>
      </c>
      <c r="K616" s="1" t="s">
        <v>5272</v>
      </c>
    </row>
    <row r="617" spans="1:11" ht="21" x14ac:dyDescent="0.25">
      <c r="A617" s="11" t="str">
        <f>HYPERLINK("https://rth.dk/resources/bsgatlas/details.php?id=BSGatlas-transcript-616","BSGatlas-transcript-616")</f>
        <v>BSGatlas-transcript-616</v>
      </c>
      <c r="B617" s="1" t="s">
        <v>630</v>
      </c>
      <c r="C617" s="3">
        <v>591918</v>
      </c>
      <c r="D617" s="3">
        <v>593301</v>
      </c>
      <c r="E617" s="1" t="s">
        <v>13</v>
      </c>
      <c r="F617" s="1">
        <v>0</v>
      </c>
      <c r="G617" s="1" t="s">
        <v>4372</v>
      </c>
      <c r="H617" s="1" t="s">
        <v>4372</v>
      </c>
      <c r="I617" s="1" t="s">
        <v>4373</v>
      </c>
      <c r="J617" s="1" t="s">
        <v>5274</v>
      </c>
      <c r="K617" s="1" t="s">
        <v>5275</v>
      </c>
    </row>
    <row r="618" spans="1:11" ht="21" x14ac:dyDescent="0.25">
      <c r="A618" s="11" t="str">
        <f>HYPERLINK("https://rth.dk/resources/bsgatlas/details.php?id=BSGatlas-transcript-617","BSGatlas-transcript-617")</f>
        <v>BSGatlas-transcript-617</v>
      </c>
      <c r="B618" s="1" t="s">
        <v>630</v>
      </c>
      <c r="C618" s="3">
        <v>592196</v>
      </c>
      <c r="D618" s="3">
        <v>593301</v>
      </c>
      <c r="E618" s="1" t="s">
        <v>13</v>
      </c>
      <c r="F618" s="1">
        <v>0</v>
      </c>
      <c r="G618" s="1" t="s">
        <v>4372</v>
      </c>
      <c r="H618" s="1" t="s">
        <v>4372</v>
      </c>
      <c r="I618" s="1" t="s">
        <v>4373</v>
      </c>
      <c r="J618" s="1" t="s">
        <v>5274</v>
      </c>
      <c r="K618" s="1" t="s">
        <v>5276</v>
      </c>
    </row>
    <row r="619" spans="1:11" ht="21" x14ac:dyDescent="0.25">
      <c r="A619" s="11" t="str">
        <f>HYPERLINK("https://rth.dk/resources/bsgatlas/details.php?id=BSGatlas-transcript-618","BSGatlas-transcript-618")</f>
        <v>BSGatlas-transcript-618</v>
      </c>
      <c r="B619" s="1" t="s">
        <v>631</v>
      </c>
      <c r="C619" s="3">
        <v>593370</v>
      </c>
      <c r="D619" s="3">
        <v>594123</v>
      </c>
      <c r="E619" s="1" t="s">
        <v>13</v>
      </c>
      <c r="F619" s="1">
        <v>0</v>
      </c>
      <c r="G619" s="1" t="s">
        <v>4372</v>
      </c>
      <c r="H619" s="1" t="s">
        <v>4372</v>
      </c>
      <c r="I619" s="1" t="s">
        <v>4373</v>
      </c>
      <c r="J619" s="1" t="s">
        <v>5277</v>
      </c>
      <c r="K619" s="1" t="s">
        <v>5278</v>
      </c>
    </row>
    <row r="620" spans="1:11" ht="21" x14ac:dyDescent="0.25">
      <c r="A620" s="11" t="str">
        <f>HYPERLINK("https://rth.dk/resources/bsgatlas/details.php?id=BSGatlas-transcript-619","BSGatlas-transcript-619")</f>
        <v>BSGatlas-transcript-619</v>
      </c>
      <c r="B620" s="1" t="s">
        <v>632</v>
      </c>
      <c r="C620" s="3">
        <v>594186</v>
      </c>
      <c r="D620" s="3">
        <v>595040</v>
      </c>
      <c r="E620" s="1" t="s">
        <v>13</v>
      </c>
      <c r="F620" s="1">
        <v>0</v>
      </c>
      <c r="G620" s="1" t="s">
        <v>4372</v>
      </c>
      <c r="H620" s="1" t="s">
        <v>4372</v>
      </c>
      <c r="I620" s="1" t="s">
        <v>4377</v>
      </c>
      <c r="J620" s="1" t="s">
        <v>5279</v>
      </c>
      <c r="K620" s="1" t="s">
        <v>318</v>
      </c>
    </row>
    <row r="621" spans="1:11" ht="21" x14ac:dyDescent="0.25">
      <c r="A621" s="11" t="str">
        <f>HYPERLINK("https://rth.dk/resources/bsgatlas/details.php?id=BSGatlas-transcript-620","BSGatlas-transcript-620")</f>
        <v>BSGatlas-transcript-620</v>
      </c>
      <c r="B621" s="1" t="s">
        <v>633</v>
      </c>
      <c r="C621" s="3">
        <v>595109</v>
      </c>
      <c r="D621" s="3">
        <v>596093</v>
      </c>
      <c r="E621" s="1" t="s">
        <v>13</v>
      </c>
      <c r="F621" s="1">
        <v>0</v>
      </c>
      <c r="G621" s="1" t="s">
        <v>4372</v>
      </c>
      <c r="H621" s="1" t="s">
        <v>4372</v>
      </c>
      <c r="I621" s="1" t="s">
        <v>4397</v>
      </c>
      <c r="J621" s="1" t="s">
        <v>5280</v>
      </c>
      <c r="K621" s="1" t="s">
        <v>5281</v>
      </c>
    </row>
    <row r="622" spans="1:11" ht="21" x14ac:dyDescent="0.25">
      <c r="A622" s="11" t="str">
        <f>HYPERLINK("https://rth.dk/resources/bsgatlas/details.php?id=BSGatlas-transcript-621","BSGatlas-transcript-621")</f>
        <v>BSGatlas-transcript-621</v>
      </c>
      <c r="B622" s="1" t="s">
        <v>5282</v>
      </c>
      <c r="C622" s="3">
        <v>596320</v>
      </c>
      <c r="D622" s="3">
        <v>598543</v>
      </c>
      <c r="E622" s="1" t="s">
        <v>9</v>
      </c>
      <c r="F622" s="1">
        <v>1</v>
      </c>
      <c r="G622" s="1">
        <v>159</v>
      </c>
      <c r="H622" s="1" t="s">
        <v>4372</v>
      </c>
      <c r="I622" s="1" t="s">
        <v>4397</v>
      </c>
      <c r="J622" s="1" t="s">
        <v>5283</v>
      </c>
      <c r="K622" s="1" t="s">
        <v>5284</v>
      </c>
    </row>
    <row r="623" spans="1:11" ht="21" x14ac:dyDescent="0.25">
      <c r="A623" s="11" t="str">
        <f>HYPERLINK("https://rth.dk/resources/bsgatlas/details.php?id=BSGatlas-transcript-622","BSGatlas-transcript-622")</f>
        <v>BSGatlas-transcript-622</v>
      </c>
      <c r="B623" s="1" t="s">
        <v>5282</v>
      </c>
      <c r="C623" s="3">
        <v>596320</v>
      </c>
      <c r="D623" s="3">
        <v>598588</v>
      </c>
      <c r="E623" s="1" t="s">
        <v>9</v>
      </c>
      <c r="F623" s="1">
        <v>1</v>
      </c>
      <c r="G623" s="1">
        <v>159</v>
      </c>
      <c r="H623" s="1">
        <v>46</v>
      </c>
      <c r="I623" s="1" t="s">
        <v>4397</v>
      </c>
      <c r="J623" s="1" t="s">
        <v>5283</v>
      </c>
      <c r="K623" s="1" t="s">
        <v>5285</v>
      </c>
    </row>
    <row r="624" spans="1:11" ht="21" x14ac:dyDescent="0.25">
      <c r="A624" s="11" t="str">
        <f>HYPERLINK("https://rth.dk/resources/bsgatlas/details.php?id=BSGatlas-transcript-623","BSGatlas-transcript-623")</f>
        <v>BSGatlas-transcript-623</v>
      </c>
      <c r="B624" s="1" t="s">
        <v>635</v>
      </c>
      <c r="C624" s="3">
        <v>596833</v>
      </c>
      <c r="D624" s="3">
        <v>598052</v>
      </c>
      <c r="E624" s="1" t="s">
        <v>9</v>
      </c>
      <c r="F624" s="1">
        <v>0</v>
      </c>
      <c r="G624" s="1" t="s">
        <v>4372</v>
      </c>
      <c r="H624" s="1" t="s">
        <v>4372</v>
      </c>
      <c r="I624" s="1" t="s">
        <v>4382</v>
      </c>
      <c r="J624" s="1" t="s">
        <v>5286</v>
      </c>
      <c r="K624" s="1" t="s">
        <v>318</v>
      </c>
    </row>
    <row r="625" spans="1:11" ht="21" x14ac:dyDescent="0.25">
      <c r="A625" s="11" t="str">
        <f>HYPERLINK("https://rth.dk/resources/bsgatlas/details.php?id=BSGatlas-transcript-624","BSGatlas-transcript-624")</f>
        <v>BSGatlas-transcript-624</v>
      </c>
      <c r="B625" s="1" t="s">
        <v>5287</v>
      </c>
      <c r="C625" s="3">
        <v>596833</v>
      </c>
      <c r="D625" s="3">
        <v>598543</v>
      </c>
      <c r="E625" s="1" t="s">
        <v>9</v>
      </c>
      <c r="F625" s="1">
        <v>1</v>
      </c>
      <c r="G625" s="1">
        <v>282</v>
      </c>
      <c r="H625" s="1" t="s">
        <v>4372</v>
      </c>
      <c r="I625" s="1" t="s">
        <v>4386</v>
      </c>
      <c r="J625" s="1" t="s">
        <v>5286</v>
      </c>
      <c r="K625" s="1" t="s">
        <v>5284</v>
      </c>
    </row>
    <row r="626" spans="1:11" ht="21" x14ac:dyDescent="0.25">
      <c r="A626" s="11" t="str">
        <f>HYPERLINK("https://rth.dk/resources/bsgatlas/details.php?id=BSGatlas-transcript-625","BSGatlas-transcript-625")</f>
        <v>BSGatlas-transcript-625</v>
      </c>
      <c r="B626" s="1" t="s">
        <v>5287</v>
      </c>
      <c r="C626" s="3">
        <v>596833</v>
      </c>
      <c r="D626" s="3">
        <v>598588</v>
      </c>
      <c r="E626" s="1" t="s">
        <v>9</v>
      </c>
      <c r="F626" s="1">
        <v>1</v>
      </c>
      <c r="G626" s="1">
        <v>282</v>
      </c>
      <c r="H626" s="1">
        <v>46</v>
      </c>
      <c r="I626" s="1" t="s">
        <v>4386</v>
      </c>
      <c r="J626" s="1" t="s">
        <v>5286</v>
      </c>
      <c r="K626" s="1" t="s">
        <v>5285</v>
      </c>
    </row>
    <row r="627" spans="1:11" ht="21" x14ac:dyDescent="0.25">
      <c r="A627" s="11" t="str">
        <f>HYPERLINK("https://rth.dk/resources/bsgatlas/details.php?id=BSGatlas-transcript-626","BSGatlas-transcript-626")</f>
        <v>BSGatlas-transcript-626</v>
      </c>
      <c r="B627" s="1" t="s">
        <v>635</v>
      </c>
      <c r="C627" s="3">
        <v>596860</v>
      </c>
      <c r="D627" s="3">
        <v>598052</v>
      </c>
      <c r="E627" s="1" t="s">
        <v>9</v>
      </c>
      <c r="F627" s="1">
        <v>0</v>
      </c>
      <c r="G627" s="1" t="s">
        <v>4372</v>
      </c>
      <c r="H627" s="1" t="s">
        <v>4372</v>
      </c>
      <c r="I627" s="1" t="s">
        <v>4382</v>
      </c>
      <c r="J627" s="1" t="s">
        <v>5288</v>
      </c>
      <c r="K627" s="1" t="s">
        <v>318</v>
      </c>
    </row>
    <row r="628" spans="1:11" ht="21" x14ac:dyDescent="0.25">
      <c r="A628" s="11" t="str">
        <f>HYPERLINK("https://rth.dk/resources/bsgatlas/details.php?id=BSGatlas-transcript-627","BSGatlas-transcript-627")</f>
        <v>BSGatlas-transcript-627</v>
      </c>
      <c r="B628" s="1" t="s">
        <v>5287</v>
      </c>
      <c r="C628" s="3">
        <v>596860</v>
      </c>
      <c r="D628" s="3">
        <v>598543</v>
      </c>
      <c r="E628" s="1" t="s">
        <v>9</v>
      </c>
      <c r="F628" s="1">
        <v>1</v>
      </c>
      <c r="G628" s="1">
        <v>255</v>
      </c>
      <c r="H628" s="1" t="s">
        <v>4372</v>
      </c>
      <c r="I628" s="1" t="s">
        <v>4386</v>
      </c>
      <c r="J628" s="1" t="s">
        <v>5288</v>
      </c>
      <c r="K628" s="1" t="s">
        <v>5284</v>
      </c>
    </row>
    <row r="629" spans="1:11" ht="21" x14ac:dyDescent="0.25">
      <c r="A629" s="11" t="str">
        <f>HYPERLINK("https://rth.dk/resources/bsgatlas/details.php?id=BSGatlas-transcript-628","BSGatlas-transcript-628")</f>
        <v>BSGatlas-transcript-628</v>
      </c>
      <c r="B629" s="1" t="s">
        <v>5287</v>
      </c>
      <c r="C629" s="3">
        <v>596860</v>
      </c>
      <c r="D629" s="3">
        <v>598588</v>
      </c>
      <c r="E629" s="1" t="s">
        <v>9</v>
      </c>
      <c r="F629" s="1">
        <v>1</v>
      </c>
      <c r="G629" s="1">
        <v>255</v>
      </c>
      <c r="H629" s="1">
        <v>46</v>
      </c>
      <c r="I629" s="1" t="s">
        <v>4386</v>
      </c>
      <c r="J629" s="1" t="s">
        <v>5288</v>
      </c>
      <c r="K629" s="1" t="s">
        <v>5285</v>
      </c>
    </row>
    <row r="630" spans="1:11" ht="21" x14ac:dyDescent="0.25">
      <c r="A630" s="11" t="str">
        <f>HYPERLINK("https://rth.dk/resources/bsgatlas/details.php?id=BSGatlas-transcript-629","BSGatlas-transcript-629")</f>
        <v>BSGatlas-transcript-629</v>
      </c>
      <c r="B630" s="1" t="s">
        <v>636</v>
      </c>
      <c r="C630" s="3">
        <v>598065</v>
      </c>
      <c r="D630" s="3">
        <v>598543</v>
      </c>
      <c r="E630" s="1" t="s">
        <v>9</v>
      </c>
      <c r="F630" s="1">
        <v>0</v>
      </c>
      <c r="G630" s="1" t="s">
        <v>4372</v>
      </c>
      <c r="H630" s="1" t="s">
        <v>4372</v>
      </c>
      <c r="I630" s="1" t="s">
        <v>4377</v>
      </c>
      <c r="J630" s="1" t="s">
        <v>5289</v>
      </c>
      <c r="K630" s="1" t="s">
        <v>5284</v>
      </c>
    </row>
    <row r="631" spans="1:11" ht="21" x14ac:dyDescent="0.25">
      <c r="A631" s="11" t="str">
        <f>HYPERLINK("https://rth.dk/resources/bsgatlas/details.php?id=BSGatlas-transcript-630","BSGatlas-transcript-630")</f>
        <v>BSGatlas-transcript-630</v>
      </c>
      <c r="B631" s="1" t="s">
        <v>636</v>
      </c>
      <c r="C631" s="3">
        <v>598065</v>
      </c>
      <c r="D631" s="3">
        <v>598588</v>
      </c>
      <c r="E631" s="1" t="s">
        <v>9</v>
      </c>
      <c r="F631" s="1">
        <v>0</v>
      </c>
      <c r="G631" s="1" t="s">
        <v>4372</v>
      </c>
      <c r="H631" s="1" t="s">
        <v>4372</v>
      </c>
      <c r="I631" s="1" t="s">
        <v>4377</v>
      </c>
      <c r="J631" s="1" t="s">
        <v>5289</v>
      </c>
      <c r="K631" s="1" t="s">
        <v>5285</v>
      </c>
    </row>
    <row r="632" spans="1:11" ht="21" x14ac:dyDescent="0.25">
      <c r="A632" s="11" t="str">
        <f>HYPERLINK("https://rth.dk/resources/bsgatlas/details.php?id=BSGatlas-transcript-631","BSGatlas-transcript-631")</f>
        <v>BSGatlas-transcript-631</v>
      </c>
      <c r="B632" s="1" t="s">
        <v>637</v>
      </c>
      <c r="C632" s="3">
        <v>598659</v>
      </c>
      <c r="D632" s="3">
        <v>599067</v>
      </c>
      <c r="E632" s="1" t="s">
        <v>9</v>
      </c>
      <c r="F632" s="1">
        <v>0</v>
      </c>
      <c r="G632" s="1" t="s">
        <v>4372</v>
      </c>
      <c r="H632" s="1" t="s">
        <v>4372</v>
      </c>
      <c r="I632" s="1" t="s">
        <v>4386</v>
      </c>
      <c r="J632" s="1" t="s">
        <v>5290</v>
      </c>
      <c r="K632" s="1" t="s">
        <v>5291</v>
      </c>
    </row>
    <row r="633" spans="1:11" ht="21" x14ac:dyDescent="0.25">
      <c r="A633" s="11" t="str">
        <f>HYPERLINK("https://rth.dk/resources/bsgatlas/details.php?id=BSGatlas-transcript-632","BSGatlas-transcript-632")</f>
        <v>BSGatlas-transcript-632</v>
      </c>
      <c r="B633" s="1" t="s">
        <v>637</v>
      </c>
      <c r="C633" s="3">
        <v>598659</v>
      </c>
      <c r="D633" s="3">
        <v>600111</v>
      </c>
      <c r="E633" s="1" t="s">
        <v>9</v>
      </c>
      <c r="F633" s="1">
        <v>0</v>
      </c>
      <c r="G633" s="1" t="s">
        <v>4372</v>
      </c>
      <c r="H633" s="1" t="s">
        <v>4372</v>
      </c>
      <c r="I633" s="1" t="s">
        <v>4386</v>
      </c>
      <c r="J633" s="1" t="s">
        <v>5290</v>
      </c>
      <c r="K633" s="1" t="s">
        <v>5292</v>
      </c>
    </row>
    <row r="634" spans="1:11" ht="21" x14ac:dyDescent="0.25">
      <c r="A634" s="11" t="str">
        <f>HYPERLINK("https://rth.dk/resources/bsgatlas/details.php?id=BSGatlas-transcript-633","BSGatlas-transcript-633")</f>
        <v>BSGatlas-transcript-633</v>
      </c>
      <c r="B634" s="1" t="s">
        <v>638</v>
      </c>
      <c r="C634" s="3">
        <v>599107</v>
      </c>
      <c r="D634" s="3">
        <v>599343</v>
      </c>
      <c r="E634" s="1" t="s">
        <v>13</v>
      </c>
      <c r="F634" s="1">
        <v>0</v>
      </c>
      <c r="G634" s="1" t="s">
        <v>4372</v>
      </c>
      <c r="H634" s="1" t="s">
        <v>4372</v>
      </c>
      <c r="I634" s="1" t="s">
        <v>4386</v>
      </c>
      <c r="J634" s="1" t="s">
        <v>318</v>
      </c>
      <c r="K634" s="1" t="s">
        <v>5293</v>
      </c>
    </row>
    <row r="635" spans="1:11" ht="21" x14ac:dyDescent="0.25">
      <c r="A635" s="11" t="str">
        <f>HYPERLINK("https://rth.dk/resources/bsgatlas/details.php?id=BSGatlas-transcript-634","BSGatlas-transcript-634")</f>
        <v>BSGatlas-transcript-634</v>
      </c>
      <c r="B635" s="1" t="s">
        <v>639</v>
      </c>
      <c r="C635" s="3">
        <v>599187</v>
      </c>
      <c r="D635" s="3">
        <v>602100</v>
      </c>
      <c r="E635" s="1" t="s">
        <v>9</v>
      </c>
      <c r="F635" s="1">
        <v>0</v>
      </c>
      <c r="G635" s="1" t="s">
        <v>4372</v>
      </c>
      <c r="H635" s="1" t="s">
        <v>4372</v>
      </c>
      <c r="I635" s="1" t="s">
        <v>4373</v>
      </c>
      <c r="J635" s="1" t="s">
        <v>5294</v>
      </c>
      <c r="K635" s="1" t="s">
        <v>5295</v>
      </c>
    </row>
    <row r="636" spans="1:11" ht="21" x14ac:dyDescent="0.25">
      <c r="A636" s="11" t="str">
        <f>HYPERLINK("https://rth.dk/resources/bsgatlas/details.php?id=BSGatlas-transcript-635","BSGatlas-transcript-635")</f>
        <v>BSGatlas-transcript-635</v>
      </c>
      <c r="B636" s="1" t="s">
        <v>640</v>
      </c>
      <c r="C636" s="3">
        <v>599527</v>
      </c>
      <c r="D636" s="3">
        <v>600143</v>
      </c>
      <c r="E636" s="1" t="s">
        <v>13</v>
      </c>
      <c r="F636" s="1">
        <v>0</v>
      </c>
      <c r="G636" s="1" t="s">
        <v>4372</v>
      </c>
      <c r="H636" s="1" t="s">
        <v>4372</v>
      </c>
      <c r="I636" s="1" t="s">
        <v>4386</v>
      </c>
      <c r="J636" s="1" t="s">
        <v>5296</v>
      </c>
      <c r="K636" s="1" t="s">
        <v>5297</v>
      </c>
    </row>
    <row r="637" spans="1:11" ht="21" x14ac:dyDescent="0.25">
      <c r="A637" s="11" t="str">
        <f>HYPERLINK("https://rth.dk/resources/bsgatlas/details.php?id=BSGatlas-transcript-636","BSGatlas-transcript-636")</f>
        <v>BSGatlas-transcript-636</v>
      </c>
      <c r="B637" s="1" t="s">
        <v>641</v>
      </c>
      <c r="C637" s="3">
        <v>600187</v>
      </c>
      <c r="D637" s="3">
        <v>600906</v>
      </c>
      <c r="E637" s="1" t="s">
        <v>13</v>
      </c>
      <c r="F637" s="1">
        <v>0</v>
      </c>
      <c r="G637" s="1" t="s">
        <v>4372</v>
      </c>
      <c r="H637" s="1" t="s">
        <v>4372</v>
      </c>
      <c r="I637" s="1" t="s">
        <v>4373</v>
      </c>
      <c r="J637" s="1" t="s">
        <v>5298</v>
      </c>
      <c r="K637" s="1" t="s">
        <v>5299</v>
      </c>
    </row>
    <row r="638" spans="1:11" ht="21" x14ac:dyDescent="0.25">
      <c r="A638" s="11" t="str">
        <f>HYPERLINK("https://rth.dk/resources/bsgatlas/details.php?id=BSGatlas-transcript-637","BSGatlas-transcript-637")</f>
        <v>BSGatlas-transcript-637</v>
      </c>
      <c r="B638" s="1" t="s">
        <v>639</v>
      </c>
      <c r="C638" s="3">
        <v>600956</v>
      </c>
      <c r="D638" s="3">
        <v>602100</v>
      </c>
      <c r="E638" s="1" t="s">
        <v>9</v>
      </c>
      <c r="F638" s="1">
        <v>0</v>
      </c>
      <c r="G638" s="1" t="s">
        <v>4372</v>
      </c>
      <c r="H638" s="1" t="s">
        <v>4372</v>
      </c>
      <c r="I638" s="1" t="s">
        <v>4373</v>
      </c>
      <c r="J638" s="1" t="s">
        <v>5300</v>
      </c>
      <c r="K638" s="1" t="s">
        <v>5295</v>
      </c>
    </row>
    <row r="639" spans="1:11" ht="21" x14ac:dyDescent="0.25">
      <c r="A639" s="11" t="str">
        <f>HYPERLINK("https://rth.dk/resources/bsgatlas/details.php?id=BSGatlas-transcript-638","BSGatlas-transcript-638")</f>
        <v>BSGatlas-transcript-638</v>
      </c>
      <c r="B639" s="1" t="s">
        <v>5301</v>
      </c>
      <c r="C639" s="3">
        <v>601741</v>
      </c>
      <c r="D639" s="3">
        <v>602739</v>
      </c>
      <c r="E639" s="1" t="s">
        <v>13</v>
      </c>
      <c r="F639" s="1">
        <v>0</v>
      </c>
      <c r="G639" s="1" t="s">
        <v>4372</v>
      </c>
      <c r="H639" s="1" t="s">
        <v>4372</v>
      </c>
      <c r="I639" s="1" t="s">
        <v>4373</v>
      </c>
      <c r="J639" s="1" t="s">
        <v>5302</v>
      </c>
      <c r="K639" s="1" t="s">
        <v>318</v>
      </c>
    </row>
    <row r="640" spans="1:11" ht="21" x14ac:dyDescent="0.25">
      <c r="A640" s="11" t="str">
        <f>HYPERLINK("https://rth.dk/resources/bsgatlas/details.php?id=BSGatlas-transcript-639","BSGatlas-transcript-639")</f>
        <v>BSGatlas-transcript-639</v>
      </c>
      <c r="B640" s="1" t="s">
        <v>5303</v>
      </c>
      <c r="C640" s="3">
        <v>602963</v>
      </c>
      <c r="D640" s="3">
        <v>605302</v>
      </c>
      <c r="E640" s="1" t="s">
        <v>9</v>
      </c>
      <c r="F640" s="1">
        <v>1</v>
      </c>
      <c r="G640" s="1">
        <v>50</v>
      </c>
      <c r="H640" s="1">
        <v>727</v>
      </c>
      <c r="I640" s="1" t="s">
        <v>4386</v>
      </c>
      <c r="J640" s="1" t="s">
        <v>5304</v>
      </c>
      <c r="K640" s="1" t="s">
        <v>5305</v>
      </c>
    </row>
    <row r="641" spans="1:11" ht="21" x14ac:dyDescent="0.25">
      <c r="A641" s="11" t="str">
        <f>HYPERLINK("https://rth.dk/resources/bsgatlas/details.php?id=BSGatlas-transcript-640","BSGatlas-transcript-640")</f>
        <v>BSGatlas-transcript-640</v>
      </c>
      <c r="B641" s="1" t="s">
        <v>5303</v>
      </c>
      <c r="C641" s="3">
        <v>602963</v>
      </c>
      <c r="D641" s="3">
        <v>606599</v>
      </c>
      <c r="E641" s="1" t="s">
        <v>9</v>
      </c>
      <c r="F641" s="1">
        <v>1</v>
      </c>
      <c r="G641" s="1">
        <v>50</v>
      </c>
      <c r="H641" s="1">
        <v>2024</v>
      </c>
      <c r="I641" s="1" t="s">
        <v>4386</v>
      </c>
      <c r="J641" s="1" t="s">
        <v>5304</v>
      </c>
      <c r="K641" s="1" t="s">
        <v>5306</v>
      </c>
    </row>
    <row r="642" spans="1:11" ht="21" x14ac:dyDescent="0.25">
      <c r="A642" s="11" t="str">
        <f>HYPERLINK("https://rth.dk/resources/bsgatlas/details.php?id=BSGatlas-transcript-641","BSGatlas-transcript-641")</f>
        <v>BSGatlas-transcript-641</v>
      </c>
      <c r="B642" s="1" t="s">
        <v>648</v>
      </c>
      <c r="C642" s="3">
        <v>604697</v>
      </c>
      <c r="D642" s="3">
        <v>606379</v>
      </c>
      <c r="E642" s="1" t="s">
        <v>13</v>
      </c>
      <c r="F642" s="1">
        <v>0</v>
      </c>
      <c r="G642" s="1" t="s">
        <v>4372</v>
      </c>
      <c r="H642" s="1" t="s">
        <v>4372</v>
      </c>
      <c r="I642" s="1" t="s">
        <v>4386</v>
      </c>
      <c r="J642" s="1" t="s">
        <v>318</v>
      </c>
      <c r="K642" s="1" t="s">
        <v>5307</v>
      </c>
    </row>
    <row r="643" spans="1:11" ht="21" x14ac:dyDescent="0.25">
      <c r="A643" s="11" t="str">
        <f>HYPERLINK("https://rth.dk/resources/bsgatlas/details.php?id=BSGatlas-transcript-642","BSGatlas-transcript-642")</f>
        <v>BSGatlas-transcript-642</v>
      </c>
      <c r="B643" s="1" t="s">
        <v>649</v>
      </c>
      <c r="C643" s="3">
        <v>606406</v>
      </c>
      <c r="D643" s="3">
        <v>606606</v>
      </c>
      <c r="E643" s="1" t="s">
        <v>13</v>
      </c>
      <c r="F643" s="1">
        <v>0</v>
      </c>
      <c r="G643" s="1" t="s">
        <v>4372</v>
      </c>
      <c r="H643" s="1" t="s">
        <v>4372</v>
      </c>
      <c r="I643" s="1" t="s">
        <v>4377</v>
      </c>
      <c r="J643" s="1" t="s">
        <v>5308</v>
      </c>
      <c r="K643" s="1" t="s">
        <v>5309</v>
      </c>
    </row>
    <row r="644" spans="1:11" ht="21" x14ac:dyDescent="0.25">
      <c r="A644" s="11" t="str">
        <f>HYPERLINK("https://rth.dk/resources/bsgatlas/details.php?id=BSGatlas-transcript-643","BSGatlas-transcript-643")</f>
        <v>BSGatlas-transcript-643</v>
      </c>
      <c r="B644" s="1" t="s">
        <v>650</v>
      </c>
      <c r="C644" s="3">
        <v>606676</v>
      </c>
      <c r="D644" s="3">
        <v>608140</v>
      </c>
      <c r="E644" s="1" t="s">
        <v>13</v>
      </c>
      <c r="F644" s="1">
        <v>0</v>
      </c>
      <c r="G644" s="1" t="s">
        <v>4372</v>
      </c>
      <c r="H644" s="1" t="s">
        <v>4372</v>
      </c>
      <c r="I644" s="1" t="s">
        <v>4386</v>
      </c>
      <c r="J644" s="1" t="s">
        <v>5310</v>
      </c>
      <c r="K644" s="1" t="s">
        <v>5311</v>
      </c>
    </row>
    <row r="645" spans="1:11" ht="21" x14ac:dyDescent="0.25">
      <c r="A645" s="11" t="str">
        <f>HYPERLINK("https://rth.dk/resources/bsgatlas/details.php?id=BSGatlas-transcript-644","BSGatlas-transcript-644")</f>
        <v>BSGatlas-transcript-644</v>
      </c>
      <c r="B645" s="1" t="s">
        <v>651</v>
      </c>
      <c r="C645" s="3">
        <v>608219</v>
      </c>
      <c r="D645" s="3">
        <v>608809</v>
      </c>
      <c r="E645" s="1" t="s">
        <v>13</v>
      </c>
      <c r="F645" s="1">
        <v>0</v>
      </c>
      <c r="G645" s="1" t="s">
        <v>4372</v>
      </c>
      <c r="H645" s="1" t="s">
        <v>4372</v>
      </c>
      <c r="I645" s="1" t="s">
        <v>4373</v>
      </c>
      <c r="J645" s="1" t="s">
        <v>5312</v>
      </c>
      <c r="K645" s="1" t="s">
        <v>5313</v>
      </c>
    </row>
    <row r="646" spans="1:11" ht="21" x14ac:dyDescent="0.25">
      <c r="A646" s="11" t="str">
        <f>HYPERLINK("https://rth.dk/resources/bsgatlas/details.php?id=BSGatlas-transcript-645","BSGatlas-transcript-645")</f>
        <v>BSGatlas-transcript-645</v>
      </c>
      <c r="B646" s="1" t="s">
        <v>5314</v>
      </c>
      <c r="C646" s="3">
        <v>608886</v>
      </c>
      <c r="D646" s="3">
        <v>612091</v>
      </c>
      <c r="E646" s="1" t="s">
        <v>9</v>
      </c>
      <c r="F646" s="1">
        <v>0</v>
      </c>
      <c r="G646" s="1" t="s">
        <v>4372</v>
      </c>
      <c r="H646" s="1" t="s">
        <v>4372</v>
      </c>
      <c r="I646" s="1" t="s">
        <v>4373</v>
      </c>
      <c r="J646" s="1" t="s">
        <v>5315</v>
      </c>
      <c r="K646" s="1" t="s">
        <v>5316</v>
      </c>
    </row>
    <row r="647" spans="1:11" ht="21" x14ac:dyDescent="0.25">
      <c r="A647" s="11" t="str">
        <f>HYPERLINK("https://rth.dk/resources/bsgatlas/details.php?id=BSGatlas-transcript-646","BSGatlas-transcript-646")</f>
        <v>BSGatlas-transcript-646</v>
      </c>
      <c r="B647" s="1" t="s">
        <v>5314</v>
      </c>
      <c r="C647" s="3">
        <v>608886</v>
      </c>
      <c r="D647" s="3">
        <v>612188</v>
      </c>
      <c r="E647" s="1" t="s">
        <v>9</v>
      </c>
      <c r="F647" s="1">
        <v>0</v>
      </c>
      <c r="G647" s="1" t="s">
        <v>4372</v>
      </c>
      <c r="H647" s="1" t="s">
        <v>4372</v>
      </c>
      <c r="I647" s="1" t="s">
        <v>4373</v>
      </c>
      <c r="J647" s="1" t="s">
        <v>5315</v>
      </c>
      <c r="K647" s="1" t="s">
        <v>5317</v>
      </c>
    </row>
    <row r="648" spans="1:11" ht="21" x14ac:dyDescent="0.25">
      <c r="A648" s="11" t="str">
        <f>HYPERLINK("https://rth.dk/resources/bsgatlas/details.php?id=BSGatlas-transcript-647","BSGatlas-transcript-647")</f>
        <v>BSGatlas-transcript-647</v>
      </c>
      <c r="B648" s="1" t="s">
        <v>5318</v>
      </c>
      <c r="C648" s="3">
        <v>612173</v>
      </c>
      <c r="D648" s="3">
        <v>613330</v>
      </c>
      <c r="E648" s="1" t="s">
        <v>13</v>
      </c>
      <c r="F648" s="1">
        <v>0</v>
      </c>
      <c r="G648" s="1" t="s">
        <v>4372</v>
      </c>
      <c r="H648" s="1" t="s">
        <v>4372</v>
      </c>
      <c r="I648" s="1" t="s">
        <v>4386</v>
      </c>
      <c r="J648" s="1" t="s">
        <v>5319</v>
      </c>
      <c r="K648" s="1" t="s">
        <v>5320</v>
      </c>
    </row>
    <row r="649" spans="1:11" ht="21" x14ac:dyDescent="0.25">
      <c r="A649" s="11" t="str">
        <f>HYPERLINK("https://rth.dk/resources/bsgatlas/details.php?id=BSGatlas-transcript-648","BSGatlas-transcript-648")</f>
        <v>BSGatlas-transcript-648</v>
      </c>
      <c r="B649" s="1" t="s">
        <v>656</v>
      </c>
      <c r="C649" s="3">
        <v>613552</v>
      </c>
      <c r="D649" s="3">
        <v>614849</v>
      </c>
      <c r="E649" s="1" t="s">
        <v>9</v>
      </c>
      <c r="F649" s="1">
        <v>0</v>
      </c>
      <c r="G649" s="1" t="s">
        <v>4372</v>
      </c>
      <c r="H649" s="1" t="s">
        <v>4372</v>
      </c>
      <c r="I649" s="1" t="s">
        <v>4397</v>
      </c>
      <c r="J649" s="1" t="s">
        <v>5321</v>
      </c>
      <c r="K649" s="1" t="s">
        <v>5322</v>
      </c>
    </row>
    <row r="650" spans="1:11" ht="21" x14ac:dyDescent="0.25">
      <c r="A650" s="11" t="str">
        <f>HYPERLINK("https://rth.dk/resources/bsgatlas/details.php?id=BSGatlas-transcript-649","BSGatlas-transcript-649")</f>
        <v>BSGatlas-transcript-649</v>
      </c>
      <c r="B650" s="1" t="s">
        <v>657</v>
      </c>
      <c r="C650" s="3">
        <v>614885</v>
      </c>
      <c r="D650" s="3">
        <v>615761</v>
      </c>
      <c r="E650" s="1" t="s">
        <v>13</v>
      </c>
      <c r="F650" s="1">
        <v>0</v>
      </c>
      <c r="G650" s="1" t="s">
        <v>4372</v>
      </c>
      <c r="H650" s="1" t="s">
        <v>4372</v>
      </c>
      <c r="I650" s="1" t="s">
        <v>4397</v>
      </c>
      <c r="J650" s="1" t="s">
        <v>5323</v>
      </c>
      <c r="K650" s="1" t="s">
        <v>318</v>
      </c>
    </row>
    <row r="651" spans="1:11" ht="21" x14ac:dyDescent="0.25">
      <c r="A651" s="11" t="str">
        <f>HYPERLINK("https://rth.dk/resources/bsgatlas/details.php?id=BSGatlas-transcript-650","BSGatlas-transcript-650")</f>
        <v>BSGatlas-transcript-650</v>
      </c>
      <c r="B651" s="1" t="s">
        <v>658</v>
      </c>
      <c r="C651" s="3">
        <v>615818</v>
      </c>
      <c r="D651" s="3">
        <v>616545</v>
      </c>
      <c r="E651" s="1" t="s">
        <v>9</v>
      </c>
      <c r="F651" s="1">
        <v>0</v>
      </c>
      <c r="G651" s="1" t="s">
        <v>4372</v>
      </c>
      <c r="H651" s="1" t="s">
        <v>4372</v>
      </c>
      <c r="I651" s="1" t="s">
        <v>4386</v>
      </c>
      <c r="J651" s="1" t="s">
        <v>5324</v>
      </c>
      <c r="K651" s="1" t="s">
        <v>318</v>
      </c>
    </row>
    <row r="652" spans="1:11" ht="21" x14ac:dyDescent="0.25">
      <c r="A652" s="11" t="str">
        <f>HYPERLINK("https://rth.dk/resources/bsgatlas/details.php?id=BSGatlas-transcript-651","BSGatlas-transcript-651")</f>
        <v>BSGatlas-transcript-651</v>
      </c>
      <c r="B652" s="1" t="s">
        <v>659</v>
      </c>
      <c r="C652" s="3">
        <v>616631</v>
      </c>
      <c r="D652" s="3">
        <v>617934</v>
      </c>
      <c r="E652" s="1" t="s">
        <v>9</v>
      </c>
      <c r="F652" s="1">
        <v>0</v>
      </c>
      <c r="G652" s="1" t="s">
        <v>4372</v>
      </c>
      <c r="H652" s="1" t="s">
        <v>4372</v>
      </c>
      <c r="I652" s="1" t="s">
        <v>4373</v>
      </c>
      <c r="J652" s="1" t="s">
        <v>5325</v>
      </c>
      <c r="K652" s="1" t="s">
        <v>5326</v>
      </c>
    </row>
    <row r="653" spans="1:11" ht="21" x14ac:dyDescent="0.25">
      <c r="A653" s="11" t="str">
        <f>HYPERLINK("https://rth.dk/resources/bsgatlas/details.php?id=BSGatlas-transcript-652","BSGatlas-transcript-652")</f>
        <v>BSGatlas-transcript-652</v>
      </c>
      <c r="B653" s="1" t="s">
        <v>660</v>
      </c>
      <c r="C653" s="3">
        <v>618045</v>
      </c>
      <c r="D653" s="3">
        <v>619316</v>
      </c>
      <c r="E653" s="1" t="s">
        <v>9</v>
      </c>
      <c r="F653" s="1">
        <v>0</v>
      </c>
      <c r="G653" s="1" t="s">
        <v>4372</v>
      </c>
      <c r="H653" s="1" t="s">
        <v>4372</v>
      </c>
      <c r="I653" s="1" t="s">
        <v>4397</v>
      </c>
      <c r="J653" s="1" t="s">
        <v>5327</v>
      </c>
      <c r="K653" s="1" t="s">
        <v>5328</v>
      </c>
    </row>
    <row r="654" spans="1:11" ht="21" x14ac:dyDescent="0.25">
      <c r="A654" s="11" t="str">
        <f>HYPERLINK("https://rth.dk/resources/bsgatlas/details.php?id=BSGatlas-transcript-653","BSGatlas-transcript-653")</f>
        <v>BSGatlas-transcript-653</v>
      </c>
      <c r="B654" s="1" t="s">
        <v>5329</v>
      </c>
      <c r="C654" s="3">
        <v>619274</v>
      </c>
      <c r="D654" s="3">
        <v>621522</v>
      </c>
      <c r="E654" s="1" t="s">
        <v>13</v>
      </c>
      <c r="F654" s="1">
        <v>1</v>
      </c>
      <c r="G654" s="1">
        <v>38</v>
      </c>
      <c r="H654" s="1">
        <v>48</v>
      </c>
      <c r="I654" s="1" t="s">
        <v>4373</v>
      </c>
      <c r="J654" s="1" t="s">
        <v>5330</v>
      </c>
      <c r="K654" s="1" t="s">
        <v>5331</v>
      </c>
    </row>
    <row r="655" spans="1:11" ht="21" x14ac:dyDescent="0.25">
      <c r="A655" s="11" t="str">
        <f>HYPERLINK("https://rth.dk/resources/bsgatlas/details.php?id=BSGatlas-transcript-654","BSGatlas-transcript-654")</f>
        <v>BSGatlas-transcript-654</v>
      </c>
      <c r="B655" s="1" t="s">
        <v>5329</v>
      </c>
      <c r="C655" s="3">
        <v>619274</v>
      </c>
      <c r="D655" s="3">
        <v>621604</v>
      </c>
      <c r="E655" s="1" t="s">
        <v>13</v>
      </c>
      <c r="F655" s="1">
        <v>1</v>
      </c>
      <c r="G655" s="1">
        <v>120</v>
      </c>
      <c r="H655" s="1">
        <v>48</v>
      </c>
      <c r="I655" s="1" t="s">
        <v>4373</v>
      </c>
      <c r="J655" s="1" t="s">
        <v>5332</v>
      </c>
      <c r="K655" s="1" t="s">
        <v>5331</v>
      </c>
    </row>
    <row r="656" spans="1:11" ht="21" x14ac:dyDescent="0.25">
      <c r="A656" s="11" t="str">
        <f>HYPERLINK("https://rth.dk/resources/bsgatlas/details.php?id=BSGatlas-transcript-655","BSGatlas-transcript-655")</f>
        <v>BSGatlas-transcript-655</v>
      </c>
      <c r="B656" s="1" t="s">
        <v>5329</v>
      </c>
      <c r="C656" s="3">
        <v>619321</v>
      </c>
      <c r="D656" s="3">
        <v>621522</v>
      </c>
      <c r="E656" s="1" t="s">
        <v>13</v>
      </c>
      <c r="F656" s="1">
        <v>1</v>
      </c>
      <c r="G656" s="1">
        <v>38</v>
      </c>
      <c r="H656" s="1" t="s">
        <v>4372</v>
      </c>
      <c r="I656" s="1" t="s">
        <v>4373</v>
      </c>
      <c r="J656" s="1" t="s">
        <v>5330</v>
      </c>
      <c r="K656" s="1" t="s">
        <v>5333</v>
      </c>
    </row>
    <row r="657" spans="1:11" ht="21" x14ac:dyDescent="0.25">
      <c r="A657" s="11" t="str">
        <f>HYPERLINK("https://rth.dk/resources/bsgatlas/details.php?id=BSGatlas-transcript-656","BSGatlas-transcript-656")</f>
        <v>BSGatlas-transcript-656</v>
      </c>
      <c r="B657" s="1" t="s">
        <v>5329</v>
      </c>
      <c r="C657" s="3">
        <v>619321</v>
      </c>
      <c r="D657" s="3">
        <v>621604</v>
      </c>
      <c r="E657" s="1" t="s">
        <v>13</v>
      </c>
      <c r="F657" s="1">
        <v>1</v>
      </c>
      <c r="G657" s="1">
        <v>120</v>
      </c>
      <c r="H657" s="1" t="s">
        <v>4372</v>
      </c>
      <c r="I657" s="1" t="s">
        <v>4373</v>
      </c>
      <c r="J657" s="1" t="s">
        <v>5332</v>
      </c>
      <c r="K657" s="1" t="s">
        <v>5333</v>
      </c>
    </row>
    <row r="658" spans="1:11" ht="21" x14ac:dyDescent="0.25">
      <c r="A658" s="11" t="str">
        <f>HYPERLINK("https://rth.dk/resources/bsgatlas/details.php?id=BSGatlas-transcript-657","BSGatlas-transcript-657")</f>
        <v>BSGatlas-transcript-657</v>
      </c>
      <c r="B658" s="1" t="s">
        <v>663</v>
      </c>
      <c r="C658" s="3">
        <v>621713</v>
      </c>
      <c r="D658" s="3">
        <v>622218</v>
      </c>
      <c r="E658" s="1" t="s">
        <v>9</v>
      </c>
      <c r="F658" s="1">
        <v>0</v>
      </c>
      <c r="G658" s="1" t="s">
        <v>4372</v>
      </c>
      <c r="H658" s="1" t="s">
        <v>4372</v>
      </c>
      <c r="I658" s="1" t="s">
        <v>4397</v>
      </c>
      <c r="J658" s="1" t="s">
        <v>5334</v>
      </c>
      <c r="K658" s="1" t="s">
        <v>5335</v>
      </c>
    </row>
    <row r="659" spans="1:11" ht="21" x14ac:dyDescent="0.25">
      <c r="A659" s="11" t="str">
        <f>HYPERLINK("https://rth.dk/resources/bsgatlas/details.php?id=BSGatlas-transcript-658","BSGatlas-transcript-658")</f>
        <v>BSGatlas-transcript-658</v>
      </c>
      <c r="B659" s="1" t="s">
        <v>5336</v>
      </c>
      <c r="C659" s="3">
        <v>622270</v>
      </c>
      <c r="D659" s="3">
        <v>623329</v>
      </c>
      <c r="E659" s="1" t="s">
        <v>13</v>
      </c>
      <c r="F659" s="1">
        <v>1</v>
      </c>
      <c r="G659" s="1">
        <v>40</v>
      </c>
      <c r="H659" s="1">
        <v>24</v>
      </c>
      <c r="I659" s="1" t="s">
        <v>4386</v>
      </c>
      <c r="J659" s="1" t="s">
        <v>5337</v>
      </c>
      <c r="K659" s="1" t="s">
        <v>5338</v>
      </c>
    </row>
    <row r="660" spans="1:11" ht="21" x14ac:dyDescent="0.25">
      <c r="A660" s="11" t="str">
        <f>HYPERLINK("https://rth.dk/resources/bsgatlas/details.php?id=BSGatlas-transcript-659","BSGatlas-transcript-659")</f>
        <v>BSGatlas-transcript-659</v>
      </c>
      <c r="B660" s="1" t="s">
        <v>666</v>
      </c>
      <c r="C660" s="3">
        <v>622988</v>
      </c>
      <c r="D660" s="3">
        <v>624350</v>
      </c>
      <c r="E660" s="1" t="s">
        <v>9</v>
      </c>
      <c r="F660" s="1">
        <v>0</v>
      </c>
      <c r="G660" s="1" t="s">
        <v>4372</v>
      </c>
      <c r="H660" s="1" t="s">
        <v>4372</v>
      </c>
      <c r="I660" s="1" t="s">
        <v>4377</v>
      </c>
      <c r="J660" s="1" t="s">
        <v>5339</v>
      </c>
      <c r="K660" s="1" t="s">
        <v>5340</v>
      </c>
    </row>
    <row r="661" spans="1:11" ht="21" x14ac:dyDescent="0.25">
      <c r="A661" s="11" t="str">
        <f>HYPERLINK("https://rth.dk/resources/bsgatlas/details.php?id=BSGatlas-transcript-660","BSGatlas-transcript-660")</f>
        <v>BSGatlas-transcript-660</v>
      </c>
      <c r="B661" s="1" t="s">
        <v>667</v>
      </c>
      <c r="C661" s="3">
        <v>624406</v>
      </c>
      <c r="D661" s="3">
        <v>625151</v>
      </c>
      <c r="E661" s="1" t="s">
        <v>9</v>
      </c>
      <c r="F661" s="1">
        <v>0</v>
      </c>
      <c r="G661" s="1" t="s">
        <v>4372</v>
      </c>
      <c r="H661" s="1" t="s">
        <v>4372</v>
      </c>
      <c r="I661" s="1" t="s">
        <v>4373</v>
      </c>
      <c r="J661" s="1" t="s">
        <v>5341</v>
      </c>
      <c r="K661" s="1" t="s">
        <v>5342</v>
      </c>
    </row>
    <row r="662" spans="1:11" ht="21" x14ac:dyDescent="0.25">
      <c r="A662" s="11" t="str">
        <f>HYPERLINK("https://rth.dk/resources/bsgatlas/details.php?id=BSGatlas-transcript-661","BSGatlas-transcript-661")</f>
        <v>BSGatlas-transcript-661</v>
      </c>
      <c r="B662" s="1" t="s">
        <v>667</v>
      </c>
      <c r="C662" s="3">
        <v>624462</v>
      </c>
      <c r="D662" s="3">
        <v>625151</v>
      </c>
      <c r="E662" s="1" t="s">
        <v>9</v>
      </c>
      <c r="F662" s="1">
        <v>0</v>
      </c>
      <c r="G662" s="1" t="s">
        <v>4372</v>
      </c>
      <c r="H662" s="1" t="s">
        <v>4372</v>
      </c>
      <c r="I662" s="1" t="s">
        <v>4373</v>
      </c>
      <c r="J662" s="1" t="s">
        <v>5343</v>
      </c>
      <c r="K662" s="1" t="s">
        <v>5342</v>
      </c>
    </row>
    <row r="663" spans="1:11" ht="21" x14ac:dyDescent="0.25">
      <c r="A663" s="11" t="str">
        <f>HYPERLINK("https://rth.dk/resources/bsgatlas/details.php?id=BSGatlas-transcript-662","BSGatlas-transcript-662")</f>
        <v>BSGatlas-transcript-662</v>
      </c>
      <c r="B663" s="1" t="s">
        <v>668</v>
      </c>
      <c r="C663" s="3">
        <v>625125</v>
      </c>
      <c r="D663" s="3">
        <v>626470</v>
      </c>
      <c r="E663" s="1" t="s">
        <v>13</v>
      </c>
      <c r="F663" s="1">
        <v>0</v>
      </c>
      <c r="G663" s="1" t="s">
        <v>4372</v>
      </c>
      <c r="H663" s="1" t="s">
        <v>4372</v>
      </c>
      <c r="I663" s="1" t="s">
        <v>4397</v>
      </c>
      <c r="J663" s="1" t="s">
        <v>5344</v>
      </c>
      <c r="K663" s="1" t="s">
        <v>5345</v>
      </c>
    </row>
    <row r="664" spans="1:11" ht="21" x14ac:dyDescent="0.25">
      <c r="A664" s="11" t="str">
        <f>HYPERLINK("https://rth.dk/resources/bsgatlas/details.php?id=BSGatlas-transcript-663","BSGatlas-transcript-663")</f>
        <v>BSGatlas-transcript-663</v>
      </c>
      <c r="B664" s="1" t="s">
        <v>669</v>
      </c>
      <c r="C664" s="3">
        <v>626329</v>
      </c>
      <c r="D664" s="3">
        <v>626446</v>
      </c>
      <c r="E664" s="1" t="s">
        <v>13</v>
      </c>
      <c r="F664" s="1">
        <v>0</v>
      </c>
      <c r="G664" s="1" t="s">
        <v>4372</v>
      </c>
      <c r="H664" s="1" t="s">
        <v>4372</v>
      </c>
      <c r="I664" s="1" t="s">
        <v>4377</v>
      </c>
      <c r="J664" s="1" t="s">
        <v>318</v>
      </c>
      <c r="K664" s="1" t="s">
        <v>5346</v>
      </c>
    </row>
    <row r="665" spans="1:11" ht="21" x14ac:dyDescent="0.25">
      <c r="A665" s="11" t="str">
        <f>HYPERLINK("https://rth.dk/resources/bsgatlas/details.php?id=BSGatlas-transcript-664","BSGatlas-transcript-664")</f>
        <v>BSGatlas-transcript-664</v>
      </c>
      <c r="B665" s="1" t="s">
        <v>5347</v>
      </c>
      <c r="C665" s="3">
        <v>626591</v>
      </c>
      <c r="D665" s="3">
        <v>633878</v>
      </c>
      <c r="E665" s="1" t="s">
        <v>9</v>
      </c>
      <c r="F665" s="1">
        <v>5</v>
      </c>
      <c r="G665" s="1">
        <v>32</v>
      </c>
      <c r="H665" s="1">
        <v>17</v>
      </c>
      <c r="I665" s="1" t="s">
        <v>4397</v>
      </c>
      <c r="J665" s="1" t="s">
        <v>5348</v>
      </c>
      <c r="K665" s="1" t="s">
        <v>5349</v>
      </c>
    </row>
    <row r="666" spans="1:11" ht="21" x14ac:dyDescent="0.25">
      <c r="A666" s="11" t="str">
        <f>HYPERLINK("https://rth.dk/resources/bsgatlas/details.php?id=BSGatlas-transcript-665","BSGatlas-transcript-665")</f>
        <v>BSGatlas-transcript-665</v>
      </c>
      <c r="B666" s="1" t="s">
        <v>672</v>
      </c>
      <c r="C666" s="3">
        <v>627284</v>
      </c>
      <c r="D666" s="3">
        <v>628612</v>
      </c>
      <c r="E666" s="1" t="s">
        <v>9</v>
      </c>
      <c r="F666" s="1">
        <v>0</v>
      </c>
      <c r="G666" s="1" t="s">
        <v>4372</v>
      </c>
      <c r="H666" s="1" t="s">
        <v>4372</v>
      </c>
      <c r="I666" s="1" t="s">
        <v>4382</v>
      </c>
      <c r="J666" s="1" t="s">
        <v>318</v>
      </c>
      <c r="K666" s="1" t="s">
        <v>318</v>
      </c>
    </row>
    <row r="667" spans="1:11" ht="21" x14ac:dyDescent="0.25">
      <c r="A667" s="11" t="str">
        <f>HYPERLINK("https://rth.dk/resources/bsgatlas/details.php?id=BSGatlas-transcript-666","BSGatlas-transcript-666")</f>
        <v>BSGatlas-transcript-666</v>
      </c>
      <c r="B667" s="1" t="s">
        <v>5350</v>
      </c>
      <c r="C667" s="3">
        <v>630116</v>
      </c>
      <c r="D667" s="3">
        <v>633878</v>
      </c>
      <c r="E667" s="1" t="s">
        <v>9</v>
      </c>
      <c r="F667" s="1">
        <v>2</v>
      </c>
      <c r="G667" s="1">
        <v>55</v>
      </c>
      <c r="H667" s="1">
        <v>17</v>
      </c>
      <c r="I667" s="1" t="s">
        <v>4377</v>
      </c>
      <c r="J667" s="1" t="s">
        <v>5351</v>
      </c>
      <c r="K667" s="1" t="s">
        <v>5349</v>
      </c>
    </row>
    <row r="668" spans="1:11" ht="21" x14ac:dyDescent="0.25">
      <c r="A668" s="11" t="str">
        <f>HYPERLINK("https://rth.dk/resources/bsgatlas/details.php?id=BSGatlas-transcript-667","BSGatlas-transcript-667")</f>
        <v>BSGatlas-transcript-667</v>
      </c>
      <c r="B668" s="1" t="s">
        <v>678</v>
      </c>
      <c r="C668" s="3">
        <v>633871</v>
      </c>
      <c r="D668" s="3">
        <v>634651</v>
      </c>
      <c r="E668" s="1" t="s">
        <v>13</v>
      </c>
      <c r="F668" s="1">
        <v>0</v>
      </c>
      <c r="G668" s="1" t="s">
        <v>4372</v>
      </c>
      <c r="H668" s="1" t="s">
        <v>4372</v>
      </c>
      <c r="I668" s="1" t="s">
        <v>4684</v>
      </c>
      <c r="J668" s="1" t="s">
        <v>318</v>
      </c>
      <c r="K668" s="1" t="s">
        <v>5352</v>
      </c>
    </row>
    <row r="669" spans="1:11" ht="21" x14ac:dyDescent="0.25">
      <c r="A669" s="11" t="str">
        <f>HYPERLINK("https://rth.dk/resources/bsgatlas/details.php?id=BSGatlas-transcript-668","BSGatlas-transcript-668")</f>
        <v>BSGatlas-transcript-668</v>
      </c>
      <c r="B669" s="1" t="s">
        <v>5353</v>
      </c>
      <c r="C669" s="3">
        <v>633871</v>
      </c>
      <c r="D669" s="3">
        <v>634817</v>
      </c>
      <c r="E669" s="1" t="s">
        <v>13</v>
      </c>
      <c r="F669" s="1">
        <v>0</v>
      </c>
      <c r="G669" s="1" t="s">
        <v>4372</v>
      </c>
      <c r="H669" s="1" t="s">
        <v>4372</v>
      </c>
      <c r="I669" s="1" t="s">
        <v>4386</v>
      </c>
      <c r="J669" s="1" t="s">
        <v>5354</v>
      </c>
      <c r="K669" s="1" t="s">
        <v>5352</v>
      </c>
    </row>
    <row r="670" spans="1:11" ht="21" x14ac:dyDescent="0.25">
      <c r="A670" s="11" t="str">
        <f>HYPERLINK("https://rth.dk/resources/bsgatlas/details.php?id=BSGatlas-transcript-669","BSGatlas-transcript-669")</f>
        <v>BSGatlas-transcript-669</v>
      </c>
      <c r="B670" s="1" t="s">
        <v>678</v>
      </c>
      <c r="C670" s="3">
        <v>633923</v>
      </c>
      <c r="D670" s="3">
        <v>634651</v>
      </c>
      <c r="E670" s="1" t="s">
        <v>13</v>
      </c>
      <c r="F670" s="1">
        <v>0</v>
      </c>
      <c r="G670" s="1" t="s">
        <v>4372</v>
      </c>
      <c r="H670" s="1" t="s">
        <v>4372</v>
      </c>
      <c r="I670" s="1" t="s">
        <v>4684</v>
      </c>
      <c r="J670" s="1" t="s">
        <v>318</v>
      </c>
      <c r="K670" s="1" t="s">
        <v>5355</v>
      </c>
    </row>
    <row r="671" spans="1:11" ht="21" x14ac:dyDescent="0.25">
      <c r="A671" s="11" t="str">
        <f>HYPERLINK("https://rth.dk/resources/bsgatlas/details.php?id=BSGatlas-transcript-670","BSGatlas-transcript-670")</f>
        <v>BSGatlas-transcript-670</v>
      </c>
      <c r="B671" s="1" t="s">
        <v>5353</v>
      </c>
      <c r="C671" s="3">
        <v>633923</v>
      </c>
      <c r="D671" s="3">
        <v>634817</v>
      </c>
      <c r="E671" s="1" t="s">
        <v>13</v>
      </c>
      <c r="F671" s="1">
        <v>0</v>
      </c>
      <c r="G671" s="1" t="s">
        <v>4372</v>
      </c>
      <c r="H671" s="1" t="s">
        <v>4372</v>
      </c>
      <c r="I671" s="1" t="s">
        <v>4386</v>
      </c>
      <c r="J671" s="1" t="s">
        <v>5354</v>
      </c>
      <c r="K671" s="1" t="s">
        <v>5355</v>
      </c>
    </row>
    <row r="672" spans="1:11" ht="21" x14ac:dyDescent="0.25">
      <c r="A672" s="11" t="str">
        <f>HYPERLINK("https://rth.dk/resources/bsgatlas/details.php?id=BSGatlas-transcript-671","BSGatlas-transcript-671")</f>
        <v>BSGatlas-transcript-671</v>
      </c>
      <c r="B672" s="1" t="s">
        <v>679</v>
      </c>
      <c r="C672" s="3">
        <v>634651</v>
      </c>
      <c r="D672" s="3">
        <v>634817</v>
      </c>
      <c r="E672" s="1" t="s">
        <v>13</v>
      </c>
      <c r="F672" s="1">
        <v>0</v>
      </c>
      <c r="G672" s="1" t="s">
        <v>4372</v>
      </c>
      <c r="H672" s="1" t="s">
        <v>4372</v>
      </c>
      <c r="I672" s="1" t="s">
        <v>4386</v>
      </c>
      <c r="J672" s="1" t="s">
        <v>5354</v>
      </c>
      <c r="K672" s="1" t="s">
        <v>318</v>
      </c>
    </row>
    <row r="673" spans="1:11" ht="21" x14ac:dyDescent="0.25">
      <c r="A673" s="11" t="str">
        <f>HYPERLINK("https://rth.dk/resources/bsgatlas/details.php?id=BSGatlas-transcript-672","BSGatlas-transcript-672")</f>
        <v>BSGatlas-transcript-672</v>
      </c>
      <c r="B673" s="1" t="s">
        <v>680</v>
      </c>
      <c r="C673" s="3">
        <v>634920</v>
      </c>
      <c r="D673" s="3">
        <v>635186</v>
      </c>
      <c r="E673" s="1" t="s">
        <v>9</v>
      </c>
      <c r="F673" s="1">
        <v>0</v>
      </c>
      <c r="G673" s="1" t="s">
        <v>4372</v>
      </c>
      <c r="H673" s="1" t="s">
        <v>4372</v>
      </c>
      <c r="I673" s="1" t="s">
        <v>4377</v>
      </c>
      <c r="J673" s="1" t="s">
        <v>5356</v>
      </c>
      <c r="K673" s="1" t="s">
        <v>318</v>
      </c>
    </row>
    <row r="674" spans="1:11" ht="21" x14ac:dyDescent="0.25">
      <c r="A674" s="11" t="str">
        <f>HYPERLINK("https://rth.dk/resources/bsgatlas/details.php?id=BSGatlas-transcript-673","BSGatlas-transcript-673")</f>
        <v>BSGatlas-transcript-673</v>
      </c>
      <c r="B674" s="1" t="s">
        <v>54</v>
      </c>
      <c r="C674" s="3">
        <v>634944</v>
      </c>
      <c r="D674" s="3">
        <v>635438</v>
      </c>
      <c r="E674" s="1" t="s">
        <v>13</v>
      </c>
      <c r="F674" s="1">
        <v>0</v>
      </c>
      <c r="G674" s="1" t="s">
        <v>4372</v>
      </c>
      <c r="H674" s="1" t="s">
        <v>4372</v>
      </c>
      <c r="I674" s="1" t="s">
        <v>4377</v>
      </c>
      <c r="J674" s="1" t="s">
        <v>318</v>
      </c>
      <c r="K674" s="1" t="s">
        <v>5357</v>
      </c>
    </row>
    <row r="675" spans="1:11" ht="21" x14ac:dyDescent="0.25">
      <c r="A675" s="11" t="str">
        <f>HYPERLINK("https://rth.dk/resources/bsgatlas/details.php?id=BSGatlas-transcript-674","BSGatlas-transcript-674")</f>
        <v>BSGatlas-transcript-674</v>
      </c>
      <c r="B675" s="1" t="s">
        <v>680</v>
      </c>
      <c r="C675" s="3">
        <v>634978</v>
      </c>
      <c r="D675" s="3">
        <v>635186</v>
      </c>
      <c r="E675" s="1" t="s">
        <v>9</v>
      </c>
      <c r="F675" s="1">
        <v>0</v>
      </c>
      <c r="G675" s="1" t="s">
        <v>4372</v>
      </c>
      <c r="H675" s="1" t="s">
        <v>4372</v>
      </c>
      <c r="I675" s="1" t="s">
        <v>4377</v>
      </c>
      <c r="J675" s="1" t="s">
        <v>5358</v>
      </c>
      <c r="K675" s="1" t="s">
        <v>318</v>
      </c>
    </row>
    <row r="676" spans="1:11" ht="21" x14ac:dyDescent="0.25">
      <c r="A676" s="11" t="str">
        <f>HYPERLINK("https://rth.dk/resources/bsgatlas/details.php?id=BSGatlas-transcript-675","BSGatlas-transcript-675")</f>
        <v>BSGatlas-transcript-675</v>
      </c>
      <c r="B676" s="1" t="s">
        <v>680</v>
      </c>
      <c r="C676" s="3">
        <v>635022</v>
      </c>
      <c r="D676" s="3">
        <v>635186</v>
      </c>
      <c r="E676" s="1" t="s">
        <v>9</v>
      </c>
      <c r="F676" s="1">
        <v>0</v>
      </c>
      <c r="G676" s="1" t="s">
        <v>4372</v>
      </c>
      <c r="H676" s="1" t="s">
        <v>4372</v>
      </c>
      <c r="I676" s="1" t="s">
        <v>4377</v>
      </c>
      <c r="J676" s="1" t="s">
        <v>5359</v>
      </c>
      <c r="K676" s="1" t="s">
        <v>318</v>
      </c>
    </row>
    <row r="677" spans="1:11" ht="21" x14ac:dyDescent="0.25">
      <c r="A677" s="11" t="str">
        <f>HYPERLINK("https://rth.dk/resources/bsgatlas/details.php?id=BSGatlas-transcript-676","BSGatlas-transcript-676")</f>
        <v>BSGatlas-transcript-676</v>
      </c>
      <c r="B677" s="1" t="s">
        <v>5360</v>
      </c>
      <c r="C677" s="3">
        <v>635433</v>
      </c>
      <c r="D677" s="3">
        <v>640254</v>
      </c>
      <c r="E677" s="1" t="s">
        <v>9</v>
      </c>
      <c r="F677" s="1">
        <v>2</v>
      </c>
      <c r="G677" s="1" t="s">
        <v>4372</v>
      </c>
      <c r="H677" s="1" t="s">
        <v>4372</v>
      </c>
      <c r="I677" s="1" t="s">
        <v>4386</v>
      </c>
      <c r="J677" s="1" t="s">
        <v>318</v>
      </c>
      <c r="K677" s="1" t="s">
        <v>318</v>
      </c>
    </row>
    <row r="678" spans="1:11" ht="21" x14ac:dyDescent="0.25">
      <c r="A678" s="11" t="str">
        <f>HYPERLINK("https://rth.dk/resources/bsgatlas/details.php?id=BSGatlas-transcript-677","BSGatlas-transcript-677")</f>
        <v>BSGatlas-transcript-677</v>
      </c>
      <c r="B678" s="1" t="s">
        <v>684</v>
      </c>
      <c r="C678" s="3">
        <v>640404</v>
      </c>
      <c r="D678" s="3">
        <v>640500</v>
      </c>
      <c r="E678" s="1" t="s">
        <v>9</v>
      </c>
      <c r="F678" s="1">
        <v>0</v>
      </c>
      <c r="G678" s="1" t="s">
        <v>4372</v>
      </c>
      <c r="H678" s="1" t="s">
        <v>4372</v>
      </c>
      <c r="I678" s="1" t="s">
        <v>4377</v>
      </c>
      <c r="J678" s="1" t="s">
        <v>318</v>
      </c>
      <c r="K678" s="1" t="s">
        <v>5361</v>
      </c>
    </row>
    <row r="679" spans="1:11" ht="21" x14ac:dyDescent="0.25">
      <c r="A679" s="11" t="str">
        <f>HYPERLINK("https://rth.dk/resources/bsgatlas/details.php?id=BSGatlas-transcript-678","BSGatlas-transcript-678")</f>
        <v>BSGatlas-transcript-678</v>
      </c>
      <c r="B679" s="1" t="s">
        <v>5362</v>
      </c>
      <c r="C679" s="3">
        <v>640606</v>
      </c>
      <c r="D679" s="3">
        <v>644298</v>
      </c>
      <c r="E679" s="1" t="s">
        <v>9</v>
      </c>
      <c r="F679" s="1">
        <v>0</v>
      </c>
      <c r="G679" s="1" t="s">
        <v>4372</v>
      </c>
      <c r="H679" s="1" t="s">
        <v>4372</v>
      </c>
      <c r="I679" s="1" t="s">
        <v>4386</v>
      </c>
      <c r="J679" s="1" t="s">
        <v>5363</v>
      </c>
      <c r="K679" s="1" t="s">
        <v>5364</v>
      </c>
    </row>
    <row r="680" spans="1:11" ht="21" x14ac:dyDescent="0.25">
      <c r="A680" s="11" t="str">
        <f>HYPERLINK("https://rth.dk/resources/bsgatlas/details.php?id=BSGatlas-transcript-679","BSGatlas-transcript-679")</f>
        <v>BSGatlas-transcript-679</v>
      </c>
      <c r="B680" s="1" t="s">
        <v>690</v>
      </c>
      <c r="C680" s="3">
        <v>644528</v>
      </c>
      <c r="D680" s="3">
        <v>646488</v>
      </c>
      <c r="E680" s="1" t="s">
        <v>13</v>
      </c>
      <c r="F680" s="1">
        <v>0</v>
      </c>
      <c r="G680" s="1" t="s">
        <v>4372</v>
      </c>
      <c r="H680" s="1" t="s">
        <v>4372</v>
      </c>
      <c r="I680" s="1" t="s">
        <v>4397</v>
      </c>
      <c r="J680" s="1" t="s">
        <v>5365</v>
      </c>
      <c r="K680" s="1" t="s">
        <v>5366</v>
      </c>
    </row>
    <row r="681" spans="1:11" ht="21" x14ac:dyDescent="0.25">
      <c r="A681" s="11" t="str">
        <f>HYPERLINK("https://rth.dk/resources/bsgatlas/details.php?id=BSGatlas-transcript-680","BSGatlas-transcript-680")</f>
        <v>BSGatlas-transcript-680</v>
      </c>
      <c r="B681" s="1" t="s">
        <v>5367</v>
      </c>
      <c r="C681" s="3">
        <v>646218</v>
      </c>
      <c r="D681" s="3">
        <v>648704</v>
      </c>
      <c r="E681" s="1" t="s">
        <v>9</v>
      </c>
      <c r="F681" s="1">
        <v>1</v>
      </c>
      <c r="G681" s="1">
        <v>365</v>
      </c>
      <c r="H681" s="1" t="s">
        <v>4372</v>
      </c>
      <c r="I681" s="1" t="s">
        <v>4386</v>
      </c>
      <c r="J681" s="1" t="s">
        <v>5368</v>
      </c>
      <c r="K681" s="1" t="s">
        <v>5369</v>
      </c>
    </row>
    <row r="682" spans="1:11" ht="21" x14ac:dyDescent="0.25">
      <c r="A682" s="11" t="str">
        <f>HYPERLINK("https://rth.dk/resources/bsgatlas/details.php?id=BSGatlas-transcript-681","BSGatlas-transcript-681")</f>
        <v>BSGatlas-transcript-681</v>
      </c>
      <c r="B682" s="1" t="s">
        <v>5367</v>
      </c>
      <c r="C682" s="3">
        <v>646411</v>
      </c>
      <c r="D682" s="3">
        <v>648704</v>
      </c>
      <c r="E682" s="1" t="s">
        <v>9</v>
      </c>
      <c r="F682" s="1">
        <v>1</v>
      </c>
      <c r="G682" s="1">
        <v>172</v>
      </c>
      <c r="H682" s="1" t="s">
        <v>4372</v>
      </c>
      <c r="I682" s="1" t="s">
        <v>4386</v>
      </c>
      <c r="J682" s="1" t="s">
        <v>5370</v>
      </c>
      <c r="K682" s="1" t="s">
        <v>5369</v>
      </c>
    </row>
    <row r="683" spans="1:11" ht="21" x14ac:dyDescent="0.25">
      <c r="A683" s="11" t="str">
        <f>HYPERLINK("https://rth.dk/resources/bsgatlas/details.php?id=BSGatlas-transcript-682","BSGatlas-transcript-682")</f>
        <v>BSGatlas-transcript-682</v>
      </c>
      <c r="B683" s="1" t="s">
        <v>5371</v>
      </c>
      <c r="C683" s="3">
        <v>647628</v>
      </c>
      <c r="D683" s="3">
        <v>648704</v>
      </c>
      <c r="E683" s="1" t="s">
        <v>9</v>
      </c>
      <c r="F683" s="1">
        <v>0</v>
      </c>
      <c r="G683" s="1" t="s">
        <v>4372</v>
      </c>
      <c r="H683" s="1" t="s">
        <v>4372</v>
      </c>
      <c r="I683" s="1" t="s">
        <v>4386</v>
      </c>
      <c r="J683" s="1" t="s">
        <v>5372</v>
      </c>
      <c r="K683" s="1" t="s">
        <v>5369</v>
      </c>
    </row>
    <row r="684" spans="1:11" ht="21" x14ac:dyDescent="0.25">
      <c r="A684" s="11" t="str">
        <f>HYPERLINK("https://rth.dk/resources/bsgatlas/details.php?id=BSGatlas-transcript-683","BSGatlas-transcript-683")</f>
        <v>BSGatlas-transcript-683</v>
      </c>
      <c r="B684" s="1" t="s">
        <v>5373</v>
      </c>
      <c r="C684" s="3">
        <v>648742</v>
      </c>
      <c r="D684" s="3">
        <v>649721</v>
      </c>
      <c r="E684" s="1" t="s">
        <v>13</v>
      </c>
      <c r="F684" s="1">
        <v>0</v>
      </c>
      <c r="G684" s="1" t="s">
        <v>4372</v>
      </c>
      <c r="H684" s="1" t="s">
        <v>4372</v>
      </c>
      <c r="I684" s="1" t="s">
        <v>4386</v>
      </c>
      <c r="J684" s="1" t="s">
        <v>5374</v>
      </c>
      <c r="K684" s="1" t="s">
        <v>5375</v>
      </c>
    </row>
    <row r="685" spans="1:11" ht="21" x14ac:dyDescent="0.25">
      <c r="A685" s="11" t="str">
        <f>HYPERLINK("https://rth.dk/resources/bsgatlas/details.php?id=BSGatlas-transcript-684","BSGatlas-transcript-684")</f>
        <v>BSGatlas-transcript-684</v>
      </c>
      <c r="B685" s="1" t="s">
        <v>5376</v>
      </c>
      <c r="C685" s="3">
        <v>649344</v>
      </c>
      <c r="D685" s="3">
        <v>651996</v>
      </c>
      <c r="E685" s="1" t="s">
        <v>9</v>
      </c>
      <c r="F685" s="1">
        <v>1</v>
      </c>
      <c r="G685" s="1">
        <v>560</v>
      </c>
      <c r="H685" s="1">
        <v>129</v>
      </c>
      <c r="I685" s="1" t="s">
        <v>4373</v>
      </c>
      <c r="J685" s="1" t="s">
        <v>5377</v>
      </c>
      <c r="K685" s="1" t="s">
        <v>5378</v>
      </c>
    </row>
    <row r="686" spans="1:11" ht="21" x14ac:dyDescent="0.25">
      <c r="A686" s="11" t="str">
        <f>HYPERLINK("https://rth.dk/resources/bsgatlas/details.php?id=BSGatlas-transcript-685","BSGatlas-transcript-685")</f>
        <v>BSGatlas-transcript-685</v>
      </c>
      <c r="B686" s="1" t="s">
        <v>5376</v>
      </c>
      <c r="C686" s="3">
        <v>649696</v>
      </c>
      <c r="D686" s="3">
        <v>651996</v>
      </c>
      <c r="E686" s="1" t="s">
        <v>9</v>
      </c>
      <c r="F686" s="1">
        <v>1</v>
      </c>
      <c r="G686" s="1">
        <v>208</v>
      </c>
      <c r="H686" s="1">
        <v>129</v>
      </c>
      <c r="I686" s="1" t="s">
        <v>4373</v>
      </c>
      <c r="J686" s="1" t="s">
        <v>5379</v>
      </c>
      <c r="K686" s="1" t="s">
        <v>5378</v>
      </c>
    </row>
    <row r="687" spans="1:11" ht="21" x14ac:dyDescent="0.25">
      <c r="A687" s="11" t="str">
        <f>HYPERLINK("https://rth.dk/resources/bsgatlas/details.php?id=BSGatlas-transcript-686","BSGatlas-transcript-686")</f>
        <v>BSGatlas-transcript-686</v>
      </c>
      <c r="B687" s="1" t="s">
        <v>5376</v>
      </c>
      <c r="C687" s="3">
        <v>649837</v>
      </c>
      <c r="D687" s="3">
        <v>651996</v>
      </c>
      <c r="E687" s="1" t="s">
        <v>9</v>
      </c>
      <c r="F687" s="1">
        <v>1</v>
      </c>
      <c r="G687" s="1">
        <v>67</v>
      </c>
      <c r="H687" s="1">
        <v>129</v>
      </c>
      <c r="I687" s="1" t="s">
        <v>4373</v>
      </c>
      <c r="J687" s="1" t="s">
        <v>5380</v>
      </c>
      <c r="K687" s="1" t="s">
        <v>5378</v>
      </c>
    </row>
    <row r="688" spans="1:11" ht="21" x14ac:dyDescent="0.25">
      <c r="A688" s="11" t="str">
        <f>HYPERLINK("https://rth.dk/resources/bsgatlas/details.php?id=BSGatlas-transcript-687","BSGatlas-transcript-687")</f>
        <v>BSGatlas-transcript-687</v>
      </c>
      <c r="B688" s="1" t="s">
        <v>5381</v>
      </c>
      <c r="C688" s="3">
        <v>655138</v>
      </c>
      <c r="D688" s="3">
        <v>657725</v>
      </c>
      <c r="E688" s="1" t="s">
        <v>9</v>
      </c>
      <c r="F688" s="1">
        <v>1</v>
      </c>
      <c r="G688" s="1">
        <v>86</v>
      </c>
      <c r="H688" s="1">
        <v>29</v>
      </c>
      <c r="I688" s="1" t="s">
        <v>4373</v>
      </c>
      <c r="J688" s="1" t="s">
        <v>5382</v>
      </c>
      <c r="K688" s="1" t="s">
        <v>5383</v>
      </c>
    </row>
    <row r="689" spans="1:11" ht="21" x14ac:dyDescent="0.25">
      <c r="A689" s="11" t="str">
        <f>HYPERLINK("https://rth.dk/resources/bsgatlas/details.php?id=BSGatlas-transcript-688","BSGatlas-transcript-688")</f>
        <v>BSGatlas-transcript-688</v>
      </c>
      <c r="B689" s="1" t="s">
        <v>5381</v>
      </c>
      <c r="C689" s="3">
        <v>655138</v>
      </c>
      <c r="D689" s="3">
        <v>657770</v>
      </c>
      <c r="E689" s="1" t="s">
        <v>9</v>
      </c>
      <c r="F689" s="1">
        <v>1</v>
      </c>
      <c r="G689" s="1">
        <v>86</v>
      </c>
      <c r="H689" s="1">
        <v>74</v>
      </c>
      <c r="I689" s="1" t="s">
        <v>4373</v>
      </c>
      <c r="J689" s="1" t="s">
        <v>5382</v>
      </c>
      <c r="K689" s="1" t="s">
        <v>5384</v>
      </c>
    </row>
    <row r="690" spans="1:11" ht="21" x14ac:dyDescent="0.25">
      <c r="A690" s="11" t="str">
        <f>HYPERLINK("https://rth.dk/resources/bsgatlas/details.php?id=BSGatlas-transcript-689","BSGatlas-transcript-689")</f>
        <v>BSGatlas-transcript-689</v>
      </c>
      <c r="B690" s="1" t="s">
        <v>701</v>
      </c>
      <c r="C690" s="3">
        <v>657755</v>
      </c>
      <c r="D690" s="3">
        <v>658062</v>
      </c>
      <c r="E690" s="1" t="s">
        <v>13</v>
      </c>
      <c r="F690" s="1">
        <v>0</v>
      </c>
      <c r="G690" s="1" t="s">
        <v>4372</v>
      </c>
      <c r="H690" s="1" t="s">
        <v>4372</v>
      </c>
      <c r="I690" s="1" t="s">
        <v>4377</v>
      </c>
      <c r="J690" s="1" t="s">
        <v>318</v>
      </c>
      <c r="K690" s="1" t="s">
        <v>5385</v>
      </c>
    </row>
    <row r="691" spans="1:11" ht="21" x14ac:dyDescent="0.25">
      <c r="A691" s="11" t="str">
        <f>HYPERLINK("https://rth.dk/resources/bsgatlas/details.php?id=BSGatlas-transcript-690","BSGatlas-transcript-690")</f>
        <v>BSGatlas-transcript-690</v>
      </c>
      <c r="B691" s="1" t="s">
        <v>702</v>
      </c>
      <c r="C691" s="3">
        <v>658495</v>
      </c>
      <c r="D691" s="3">
        <v>658899</v>
      </c>
      <c r="E691" s="1" t="s">
        <v>9</v>
      </c>
      <c r="F691" s="1">
        <v>0</v>
      </c>
      <c r="G691" s="1" t="s">
        <v>4372</v>
      </c>
      <c r="H691" s="1" t="s">
        <v>4372</v>
      </c>
      <c r="I691" s="1" t="s">
        <v>4377</v>
      </c>
      <c r="J691" s="1" t="s">
        <v>5386</v>
      </c>
      <c r="K691" s="1" t="s">
        <v>318</v>
      </c>
    </row>
    <row r="692" spans="1:11" ht="21" x14ac:dyDescent="0.25">
      <c r="A692" s="11" t="str">
        <f>HYPERLINK("https://rth.dk/resources/bsgatlas/details.php?id=BSGatlas-transcript-691","BSGatlas-transcript-691")</f>
        <v>BSGatlas-transcript-691</v>
      </c>
      <c r="B692" s="1" t="s">
        <v>703</v>
      </c>
      <c r="C692" s="3">
        <v>659158</v>
      </c>
      <c r="D692" s="3">
        <v>659332</v>
      </c>
      <c r="E692" s="1" t="s">
        <v>13</v>
      </c>
      <c r="F692" s="1">
        <v>0</v>
      </c>
      <c r="G692" s="1" t="s">
        <v>4372</v>
      </c>
      <c r="H692" s="1" t="s">
        <v>4372</v>
      </c>
      <c r="I692" s="1" t="s">
        <v>4377</v>
      </c>
      <c r="J692" s="1" t="s">
        <v>5387</v>
      </c>
      <c r="K692" s="1" t="s">
        <v>318</v>
      </c>
    </row>
    <row r="693" spans="1:11" ht="21" x14ac:dyDescent="0.25">
      <c r="A693" s="11" t="str">
        <f>HYPERLINK("https://rth.dk/resources/bsgatlas/details.php?id=BSGatlas-transcript-692","BSGatlas-transcript-692")</f>
        <v>BSGatlas-transcript-692</v>
      </c>
      <c r="B693" s="1" t="s">
        <v>703</v>
      </c>
      <c r="C693" s="3">
        <v>659158</v>
      </c>
      <c r="D693" s="3">
        <v>659558</v>
      </c>
      <c r="E693" s="1" t="s">
        <v>13</v>
      </c>
      <c r="F693" s="1">
        <v>0</v>
      </c>
      <c r="G693" s="1" t="s">
        <v>4372</v>
      </c>
      <c r="H693" s="1" t="s">
        <v>4372</v>
      </c>
      <c r="I693" s="1" t="s">
        <v>4377</v>
      </c>
      <c r="J693" s="1" t="s">
        <v>5388</v>
      </c>
      <c r="K693" s="1" t="s">
        <v>318</v>
      </c>
    </row>
    <row r="694" spans="1:11" ht="21" x14ac:dyDescent="0.25">
      <c r="A694" s="11" t="str">
        <f>HYPERLINK("https://rth.dk/resources/bsgatlas/details.php?id=BSGatlas-transcript-693","BSGatlas-transcript-693")</f>
        <v>BSGatlas-transcript-693</v>
      </c>
      <c r="B694" s="1" t="s">
        <v>5389</v>
      </c>
      <c r="C694" s="3">
        <v>659560</v>
      </c>
      <c r="D694" s="3">
        <v>663265</v>
      </c>
      <c r="E694" s="1" t="s">
        <v>9</v>
      </c>
      <c r="F694" s="1">
        <v>1</v>
      </c>
      <c r="G694" s="1">
        <v>64</v>
      </c>
      <c r="H694" s="1">
        <v>239</v>
      </c>
      <c r="I694" s="1" t="s">
        <v>4373</v>
      </c>
      <c r="J694" s="1" t="s">
        <v>5390</v>
      </c>
      <c r="K694" s="1" t="s">
        <v>5391</v>
      </c>
    </row>
    <row r="695" spans="1:11" ht="21" x14ac:dyDescent="0.25">
      <c r="A695" s="11" t="str">
        <f>HYPERLINK("https://rth.dk/resources/bsgatlas/details.php?id=BSGatlas-transcript-694","BSGatlas-transcript-694")</f>
        <v>BSGatlas-transcript-694</v>
      </c>
      <c r="B695" s="1" t="s">
        <v>707</v>
      </c>
      <c r="C695" s="3">
        <v>664319</v>
      </c>
      <c r="D695" s="3">
        <v>664669</v>
      </c>
      <c r="E695" s="1" t="s">
        <v>9</v>
      </c>
      <c r="F695" s="1">
        <v>0</v>
      </c>
      <c r="G695" s="1" t="s">
        <v>4372</v>
      </c>
      <c r="H695" s="1" t="s">
        <v>4372</v>
      </c>
      <c r="I695" s="1" t="s">
        <v>4373</v>
      </c>
      <c r="J695" s="1" t="s">
        <v>318</v>
      </c>
      <c r="K695" s="1" t="s">
        <v>5392</v>
      </c>
    </row>
    <row r="696" spans="1:11" ht="21" x14ac:dyDescent="0.25">
      <c r="A696" s="11" t="str">
        <f>HYPERLINK("https://rth.dk/resources/bsgatlas/details.php?id=BSGatlas-transcript-695","BSGatlas-transcript-695")</f>
        <v>BSGatlas-transcript-695</v>
      </c>
      <c r="B696" s="1" t="s">
        <v>707</v>
      </c>
      <c r="C696" s="3">
        <v>664319</v>
      </c>
      <c r="D696" s="3">
        <v>664738</v>
      </c>
      <c r="E696" s="1" t="s">
        <v>9</v>
      </c>
      <c r="F696" s="1">
        <v>0</v>
      </c>
      <c r="G696" s="1" t="s">
        <v>4372</v>
      </c>
      <c r="H696" s="1" t="s">
        <v>4372</v>
      </c>
      <c r="I696" s="1" t="s">
        <v>4373</v>
      </c>
      <c r="J696" s="1" t="s">
        <v>318</v>
      </c>
      <c r="K696" s="1" t="s">
        <v>5393</v>
      </c>
    </row>
    <row r="697" spans="1:11" ht="21" x14ac:dyDescent="0.25">
      <c r="A697" s="11" t="str">
        <f>HYPERLINK("https://rth.dk/resources/bsgatlas/details.php?id=BSGatlas-transcript-696","BSGatlas-transcript-696")</f>
        <v>BSGatlas-transcript-696</v>
      </c>
      <c r="B697" s="1" t="s">
        <v>708</v>
      </c>
      <c r="C697" s="3">
        <v>664685</v>
      </c>
      <c r="D697" s="3">
        <v>667304</v>
      </c>
      <c r="E697" s="1" t="s">
        <v>13</v>
      </c>
      <c r="F697" s="1">
        <v>0</v>
      </c>
      <c r="G697" s="1" t="s">
        <v>4372</v>
      </c>
      <c r="H697" s="1" t="s">
        <v>4372</v>
      </c>
      <c r="I697" s="1" t="s">
        <v>4373</v>
      </c>
      <c r="J697" s="1" t="s">
        <v>5394</v>
      </c>
      <c r="K697" s="1" t="s">
        <v>5395</v>
      </c>
    </row>
    <row r="698" spans="1:11" ht="21" x14ac:dyDescent="0.25">
      <c r="A698" s="11" t="str">
        <f>HYPERLINK("https://rth.dk/resources/bsgatlas/details.php?id=BSGatlas-transcript-697","BSGatlas-transcript-697")</f>
        <v>BSGatlas-transcript-697</v>
      </c>
      <c r="B698" s="1" t="s">
        <v>708</v>
      </c>
      <c r="C698" s="3">
        <v>664775</v>
      </c>
      <c r="D698" s="3">
        <v>667304</v>
      </c>
      <c r="E698" s="1" t="s">
        <v>13</v>
      </c>
      <c r="F698" s="1">
        <v>0</v>
      </c>
      <c r="G698" s="1" t="s">
        <v>4372</v>
      </c>
      <c r="H698" s="1" t="s">
        <v>4372</v>
      </c>
      <c r="I698" s="1" t="s">
        <v>4373</v>
      </c>
      <c r="J698" s="1" t="s">
        <v>5394</v>
      </c>
      <c r="K698" s="1" t="s">
        <v>5396</v>
      </c>
    </row>
    <row r="699" spans="1:11" ht="21" x14ac:dyDescent="0.25">
      <c r="A699" s="11" t="str">
        <f>HYPERLINK("https://rth.dk/resources/bsgatlas/details.php?id=BSGatlas-transcript-698","BSGatlas-transcript-698")</f>
        <v>BSGatlas-transcript-698</v>
      </c>
      <c r="B699" s="1" t="s">
        <v>5397</v>
      </c>
      <c r="C699" s="3">
        <v>667402</v>
      </c>
      <c r="D699" s="3">
        <v>669992</v>
      </c>
      <c r="E699" s="1" t="s">
        <v>9</v>
      </c>
      <c r="F699" s="1">
        <v>1</v>
      </c>
      <c r="G699" s="1">
        <v>65</v>
      </c>
      <c r="H699" s="1" t="s">
        <v>4372</v>
      </c>
      <c r="I699" s="1" t="s">
        <v>4382</v>
      </c>
      <c r="J699" s="1" t="s">
        <v>5398</v>
      </c>
      <c r="K699" s="1" t="s">
        <v>318</v>
      </c>
    </row>
    <row r="700" spans="1:11" ht="21" x14ac:dyDescent="0.25">
      <c r="A700" s="11" t="str">
        <f>HYPERLINK("https://rth.dk/resources/bsgatlas/details.php?id=BSGatlas-transcript-699","BSGatlas-transcript-699")</f>
        <v>BSGatlas-transcript-699</v>
      </c>
      <c r="B700" s="1" t="s">
        <v>5399</v>
      </c>
      <c r="C700" s="3">
        <v>667402</v>
      </c>
      <c r="D700" s="3">
        <v>671049</v>
      </c>
      <c r="E700" s="1" t="s">
        <v>9</v>
      </c>
      <c r="F700" s="1">
        <v>2</v>
      </c>
      <c r="G700" s="1">
        <v>65</v>
      </c>
      <c r="H700" s="1" t="s">
        <v>4372</v>
      </c>
      <c r="I700" s="1" t="s">
        <v>4386</v>
      </c>
      <c r="J700" s="1" t="s">
        <v>5398</v>
      </c>
      <c r="K700" s="1" t="s">
        <v>5400</v>
      </c>
    </row>
    <row r="701" spans="1:11" ht="21" x14ac:dyDescent="0.25">
      <c r="A701" s="11" t="str">
        <f>HYPERLINK("https://rth.dk/resources/bsgatlas/details.php?id=BSGatlas-transcript-700","BSGatlas-transcript-700")</f>
        <v>BSGatlas-transcript-700</v>
      </c>
      <c r="B701" s="1" t="s">
        <v>711</v>
      </c>
      <c r="C701" s="3">
        <v>670045</v>
      </c>
      <c r="D701" s="3">
        <v>671049</v>
      </c>
      <c r="E701" s="1" t="s">
        <v>9</v>
      </c>
      <c r="F701" s="1">
        <v>0</v>
      </c>
      <c r="G701" s="1" t="s">
        <v>4372</v>
      </c>
      <c r="H701" s="1" t="s">
        <v>4372</v>
      </c>
      <c r="I701" s="1" t="s">
        <v>4386</v>
      </c>
      <c r="J701" s="1" t="s">
        <v>5401</v>
      </c>
      <c r="K701" s="1" t="s">
        <v>5400</v>
      </c>
    </row>
    <row r="702" spans="1:11" ht="21" x14ac:dyDescent="0.25">
      <c r="A702" s="11" t="str">
        <f>HYPERLINK("https://rth.dk/resources/bsgatlas/details.php?id=BSGatlas-transcript-701","BSGatlas-transcript-701")</f>
        <v>BSGatlas-transcript-701</v>
      </c>
      <c r="B702" s="1" t="s">
        <v>712</v>
      </c>
      <c r="C702" s="3">
        <v>671209</v>
      </c>
      <c r="D702" s="3">
        <v>671974</v>
      </c>
      <c r="E702" s="1" t="s">
        <v>9</v>
      </c>
      <c r="F702" s="1">
        <v>0</v>
      </c>
      <c r="G702" s="1" t="s">
        <v>4372</v>
      </c>
      <c r="H702" s="1" t="s">
        <v>4372</v>
      </c>
      <c r="I702" s="1" t="s">
        <v>4377</v>
      </c>
      <c r="J702" s="1" t="s">
        <v>5402</v>
      </c>
      <c r="K702" s="1" t="s">
        <v>5403</v>
      </c>
    </row>
    <row r="703" spans="1:11" ht="21" x14ac:dyDescent="0.25">
      <c r="A703" s="11" t="str">
        <f>HYPERLINK("https://rth.dk/resources/bsgatlas/details.php?id=BSGatlas-transcript-702","BSGatlas-transcript-702")</f>
        <v>BSGatlas-transcript-702</v>
      </c>
      <c r="B703" s="1" t="s">
        <v>5404</v>
      </c>
      <c r="C703" s="3">
        <v>671209</v>
      </c>
      <c r="D703" s="3">
        <v>674842</v>
      </c>
      <c r="E703" s="1" t="s">
        <v>9</v>
      </c>
      <c r="F703" s="1">
        <v>2</v>
      </c>
      <c r="G703" s="1">
        <v>37</v>
      </c>
      <c r="H703" s="1">
        <v>58</v>
      </c>
      <c r="I703" s="1" t="s">
        <v>4373</v>
      </c>
      <c r="J703" s="1" t="s">
        <v>5402</v>
      </c>
      <c r="K703" s="1" t="s">
        <v>5405</v>
      </c>
    </row>
    <row r="704" spans="1:11" ht="21" x14ac:dyDescent="0.25">
      <c r="A704" s="11" t="str">
        <f>HYPERLINK("https://rth.dk/resources/bsgatlas/details.php?id=BSGatlas-transcript-703","BSGatlas-transcript-703")</f>
        <v>BSGatlas-transcript-703</v>
      </c>
      <c r="B704" s="1" t="s">
        <v>716</v>
      </c>
      <c r="C704" s="3">
        <v>674788</v>
      </c>
      <c r="D704" s="3">
        <v>675907</v>
      </c>
      <c r="E704" s="1" t="s">
        <v>13</v>
      </c>
      <c r="F704" s="1">
        <v>0</v>
      </c>
      <c r="G704" s="1" t="s">
        <v>4372</v>
      </c>
      <c r="H704" s="1" t="s">
        <v>4372</v>
      </c>
      <c r="I704" s="1" t="s">
        <v>4373</v>
      </c>
      <c r="J704" s="1" t="s">
        <v>5406</v>
      </c>
      <c r="K704" s="1" t="s">
        <v>5407</v>
      </c>
    </row>
    <row r="705" spans="1:11" ht="21" x14ac:dyDescent="0.25">
      <c r="A705" s="11" t="str">
        <f>HYPERLINK("https://rth.dk/resources/bsgatlas/details.php?id=BSGatlas-transcript-704","BSGatlas-transcript-704")</f>
        <v>BSGatlas-transcript-704</v>
      </c>
      <c r="B705" s="1" t="s">
        <v>717</v>
      </c>
      <c r="C705" s="3">
        <v>676154</v>
      </c>
      <c r="D705" s="3">
        <v>677908</v>
      </c>
      <c r="E705" s="1" t="s">
        <v>9</v>
      </c>
      <c r="F705" s="1">
        <v>0</v>
      </c>
      <c r="G705" s="1" t="s">
        <v>4372</v>
      </c>
      <c r="H705" s="1" t="s">
        <v>4372</v>
      </c>
      <c r="I705" s="1" t="s">
        <v>4373</v>
      </c>
      <c r="J705" s="1" t="s">
        <v>5408</v>
      </c>
      <c r="K705" s="1" t="s">
        <v>5409</v>
      </c>
    </row>
    <row r="706" spans="1:11" ht="21" x14ac:dyDescent="0.25">
      <c r="A706" s="11" t="str">
        <f>HYPERLINK("https://rth.dk/resources/bsgatlas/details.php?id=BSGatlas-transcript-705","BSGatlas-transcript-705")</f>
        <v>BSGatlas-transcript-705</v>
      </c>
      <c r="B706" s="1" t="s">
        <v>718</v>
      </c>
      <c r="C706" s="3">
        <v>677858</v>
      </c>
      <c r="D706" s="3">
        <v>678951</v>
      </c>
      <c r="E706" s="1" t="s">
        <v>13</v>
      </c>
      <c r="F706" s="1">
        <v>0</v>
      </c>
      <c r="G706" s="1" t="s">
        <v>4372</v>
      </c>
      <c r="H706" s="1" t="s">
        <v>4372</v>
      </c>
      <c r="I706" s="1" t="s">
        <v>4373</v>
      </c>
      <c r="J706" s="1" t="s">
        <v>318</v>
      </c>
      <c r="K706" s="1" t="s">
        <v>5410</v>
      </c>
    </row>
    <row r="707" spans="1:11" ht="21" x14ac:dyDescent="0.25">
      <c r="A707" s="11" t="str">
        <f>HYPERLINK("https://rth.dk/resources/bsgatlas/details.php?id=BSGatlas-transcript-706","BSGatlas-transcript-706")</f>
        <v>BSGatlas-transcript-706</v>
      </c>
      <c r="B707" s="1" t="s">
        <v>719</v>
      </c>
      <c r="C707" s="3">
        <v>678515</v>
      </c>
      <c r="D707" s="3">
        <v>679761</v>
      </c>
      <c r="E707" s="1" t="s">
        <v>9</v>
      </c>
      <c r="F707" s="1">
        <v>0</v>
      </c>
      <c r="G707" s="1" t="s">
        <v>4372</v>
      </c>
      <c r="H707" s="1" t="s">
        <v>4372</v>
      </c>
      <c r="I707" s="1" t="s">
        <v>4373</v>
      </c>
      <c r="J707" s="1" t="s">
        <v>5411</v>
      </c>
      <c r="K707" s="1" t="s">
        <v>5412</v>
      </c>
    </row>
    <row r="708" spans="1:11" ht="21" x14ac:dyDescent="0.25">
      <c r="A708" s="11" t="str">
        <f>HYPERLINK("https://rth.dk/resources/bsgatlas/details.php?id=BSGatlas-transcript-707","BSGatlas-transcript-707")</f>
        <v>BSGatlas-transcript-707</v>
      </c>
      <c r="B708" s="1" t="s">
        <v>719</v>
      </c>
      <c r="C708" s="3">
        <v>678515</v>
      </c>
      <c r="D708" s="3">
        <v>679817</v>
      </c>
      <c r="E708" s="1" t="s">
        <v>9</v>
      </c>
      <c r="F708" s="1">
        <v>0</v>
      </c>
      <c r="G708" s="1" t="s">
        <v>4372</v>
      </c>
      <c r="H708" s="1" t="s">
        <v>4372</v>
      </c>
      <c r="I708" s="1" t="s">
        <v>4373</v>
      </c>
      <c r="J708" s="1" t="s">
        <v>5411</v>
      </c>
      <c r="K708" s="1" t="s">
        <v>5413</v>
      </c>
    </row>
    <row r="709" spans="1:11" ht="21" x14ac:dyDescent="0.25">
      <c r="A709" s="11" t="str">
        <f>HYPERLINK("https://rth.dk/resources/bsgatlas/details.php?id=BSGatlas-transcript-708","BSGatlas-transcript-708")</f>
        <v>BSGatlas-transcript-708</v>
      </c>
      <c r="B709" s="1" t="s">
        <v>5414</v>
      </c>
      <c r="C709" s="3">
        <v>678515</v>
      </c>
      <c r="D709" s="3">
        <v>680873</v>
      </c>
      <c r="E709" s="1" t="s">
        <v>9</v>
      </c>
      <c r="F709" s="1">
        <v>1</v>
      </c>
      <c r="G709" s="1">
        <v>876</v>
      </c>
      <c r="H709" s="1" t="s">
        <v>4372</v>
      </c>
      <c r="I709" s="1" t="s">
        <v>4386</v>
      </c>
      <c r="J709" s="1" t="s">
        <v>5411</v>
      </c>
      <c r="K709" s="1" t="s">
        <v>5415</v>
      </c>
    </row>
    <row r="710" spans="1:11" ht="21" x14ac:dyDescent="0.25">
      <c r="A710" s="11" t="str">
        <f>HYPERLINK("https://rth.dk/resources/bsgatlas/details.php?id=BSGatlas-transcript-709","BSGatlas-transcript-709")</f>
        <v>BSGatlas-transcript-709</v>
      </c>
      <c r="B710" s="1" t="s">
        <v>719</v>
      </c>
      <c r="C710" s="3">
        <v>679052</v>
      </c>
      <c r="D710" s="3">
        <v>679761</v>
      </c>
      <c r="E710" s="1" t="s">
        <v>9</v>
      </c>
      <c r="F710" s="1">
        <v>0</v>
      </c>
      <c r="G710" s="1" t="s">
        <v>4372</v>
      </c>
      <c r="H710" s="1" t="s">
        <v>4372</v>
      </c>
      <c r="I710" s="1" t="s">
        <v>4373</v>
      </c>
      <c r="J710" s="1" t="s">
        <v>5416</v>
      </c>
      <c r="K710" s="1" t="s">
        <v>5412</v>
      </c>
    </row>
    <row r="711" spans="1:11" ht="21" x14ac:dyDescent="0.25">
      <c r="A711" s="11" t="str">
        <f>HYPERLINK("https://rth.dk/resources/bsgatlas/details.php?id=BSGatlas-transcript-710","BSGatlas-transcript-710")</f>
        <v>BSGatlas-transcript-710</v>
      </c>
      <c r="B711" s="1" t="s">
        <v>719</v>
      </c>
      <c r="C711" s="3">
        <v>679052</v>
      </c>
      <c r="D711" s="3">
        <v>679817</v>
      </c>
      <c r="E711" s="1" t="s">
        <v>9</v>
      </c>
      <c r="F711" s="1">
        <v>0</v>
      </c>
      <c r="G711" s="1" t="s">
        <v>4372</v>
      </c>
      <c r="H711" s="1" t="s">
        <v>4372</v>
      </c>
      <c r="I711" s="1" t="s">
        <v>4373</v>
      </c>
      <c r="J711" s="1" t="s">
        <v>5416</v>
      </c>
      <c r="K711" s="1" t="s">
        <v>5413</v>
      </c>
    </row>
    <row r="712" spans="1:11" ht="21" x14ac:dyDescent="0.25">
      <c r="A712" s="11" t="str">
        <f>HYPERLINK("https://rth.dk/resources/bsgatlas/details.php?id=BSGatlas-transcript-711","BSGatlas-transcript-711")</f>
        <v>BSGatlas-transcript-711</v>
      </c>
      <c r="B712" s="1" t="s">
        <v>5414</v>
      </c>
      <c r="C712" s="3">
        <v>679052</v>
      </c>
      <c r="D712" s="3">
        <v>680873</v>
      </c>
      <c r="E712" s="1" t="s">
        <v>9</v>
      </c>
      <c r="F712" s="1">
        <v>1</v>
      </c>
      <c r="G712" s="1">
        <v>339</v>
      </c>
      <c r="H712" s="1" t="s">
        <v>4372</v>
      </c>
      <c r="I712" s="1" t="s">
        <v>4386</v>
      </c>
      <c r="J712" s="1" t="s">
        <v>5416</v>
      </c>
      <c r="K712" s="1" t="s">
        <v>5415</v>
      </c>
    </row>
    <row r="713" spans="1:11" ht="21" x14ac:dyDescent="0.25">
      <c r="A713" s="11" t="str">
        <f>HYPERLINK("https://rth.dk/resources/bsgatlas/details.php?id=BSGatlas-transcript-712","BSGatlas-transcript-712")</f>
        <v>BSGatlas-transcript-712</v>
      </c>
      <c r="B713" s="1" t="s">
        <v>721</v>
      </c>
      <c r="C713" s="3">
        <v>679090</v>
      </c>
      <c r="D713" s="3">
        <v>679246</v>
      </c>
      <c r="E713" s="1" t="s">
        <v>13</v>
      </c>
      <c r="F713" s="1">
        <v>0</v>
      </c>
      <c r="G713" s="1" t="s">
        <v>4372</v>
      </c>
      <c r="H713" s="1" t="s">
        <v>4372</v>
      </c>
      <c r="I713" s="1" t="s">
        <v>4377</v>
      </c>
      <c r="J713" s="1" t="s">
        <v>5417</v>
      </c>
      <c r="K713" s="1" t="s">
        <v>318</v>
      </c>
    </row>
    <row r="714" spans="1:11" ht="21" x14ac:dyDescent="0.25">
      <c r="A714" s="11" t="str">
        <f>HYPERLINK("https://rth.dk/resources/bsgatlas/details.php?id=BSGatlas-transcript-713","BSGatlas-transcript-713")</f>
        <v>BSGatlas-transcript-713</v>
      </c>
      <c r="B714" s="1" t="s">
        <v>719</v>
      </c>
      <c r="C714" s="3">
        <v>679351</v>
      </c>
      <c r="D714" s="3">
        <v>679761</v>
      </c>
      <c r="E714" s="1" t="s">
        <v>9</v>
      </c>
      <c r="F714" s="1">
        <v>0</v>
      </c>
      <c r="G714" s="1" t="s">
        <v>4372</v>
      </c>
      <c r="H714" s="1" t="s">
        <v>4372</v>
      </c>
      <c r="I714" s="1" t="s">
        <v>4373</v>
      </c>
      <c r="J714" s="1" t="s">
        <v>5418</v>
      </c>
      <c r="K714" s="1" t="s">
        <v>5412</v>
      </c>
    </row>
    <row r="715" spans="1:11" ht="21" x14ac:dyDescent="0.25">
      <c r="A715" s="11" t="str">
        <f>HYPERLINK("https://rth.dk/resources/bsgatlas/details.php?id=BSGatlas-transcript-714","BSGatlas-transcript-714")</f>
        <v>BSGatlas-transcript-714</v>
      </c>
      <c r="B715" s="1" t="s">
        <v>719</v>
      </c>
      <c r="C715" s="3">
        <v>679351</v>
      </c>
      <c r="D715" s="3">
        <v>679817</v>
      </c>
      <c r="E715" s="1" t="s">
        <v>9</v>
      </c>
      <c r="F715" s="1">
        <v>0</v>
      </c>
      <c r="G715" s="1" t="s">
        <v>4372</v>
      </c>
      <c r="H715" s="1" t="s">
        <v>4372</v>
      </c>
      <c r="I715" s="1" t="s">
        <v>4373</v>
      </c>
      <c r="J715" s="1" t="s">
        <v>5418</v>
      </c>
      <c r="K715" s="1" t="s">
        <v>5413</v>
      </c>
    </row>
    <row r="716" spans="1:11" ht="21" x14ac:dyDescent="0.25">
      <c r="A716" s="11" t="str">
        <f>HYPERLINK("https://rth.dk/resources/bsgatlas/details.php?id=BSGatlas-transcript-715","BSGatlas-transcript-715")</f>
        <v>BSGatlas-transcript-715</v>
      </c>
      <c r="B716" s="1" t="s">
        <v>5414</v>
      </c>
      <c r="C716" s="3">
        <v>679351</v>
      </c>
      <c r="D716" s="3">
        <v>680873</v>
      </c>
      <c r="E716" s="1" t="s">
        <v>9</v>
      </c>
      <c r="F716" s="1">
        <v>1</v>
      </c>
      <c r="G716" s="1">
        <v>40</v>
      </c>
      <c r="H716" s="1" t="s">
        <v>4372</v>
      </c>
      <c r="I716" s="1" t="s">
        <v>4386</v>
      </c>
      <c r="J716" s="1" t="s">
        <v>5418</v>
      </c>
      <c r="K716" s="1" t="s">
        <v>5415</v>
      </c>
    </row>
    <row r="717" spans="1:11" ht="21" x14ac:dyDescent="0.25">
      <c r="A717" s="11" t="str">
        <f>HYPERLINK("https://rth.dk/resources/bsgatlas/details.php?id=BSGatlas-transcript-716","BSGatlas-transcript-716")</f>
        <v>BSGatlas-transcript-716</v>
      </c>
      <c r="B717" s="1" t="s">
        <v>722</v>
      </c>
      <c r="C717" s="3">
        <v>680907</v>
      </c>
      <c r="D717" s="3">
        <v>681065</v>
      </c>
      <c r="E717" s="1" t="s">
        <v>13</v>
      </c>
      <c r="F717" s="1">
        <v>0</v>
      </c>
      <c r="G717" s="1" t="s">
        <v>4372</v>
      </c>
      <c r="H717" s="1" t="s">
        <v>4372</v>
      </c>
      <c r="I717" s="1" t="s">
        <v>4377</v>
      </c>
      <c r="J717" s="1" t="s">
        <v>318</v>
      </c>
      <c r="K717" s="1" t="s">
        <v>5419</v>
      </c>
    </row>
    <row r="718" spans="1:11" ht="21" x14ac:dyDescent="0.25">
      <c r="A718" s="11" t="str">
        <f>HYPERLINK("https://rth.dk/resources/bsgatlas/details.php?id=BSGatlas-transcript-717","BSGatlas-transcript-717")</f>
        <v>BSGatlas-transcript-717</v>
      </c>
      <c r="B718" s="1" t="s">
        <v>723</v>
      </c>
      <c r="C718" s="3">
        <v>681143</v>
      </c>
      <c r="D718" s="3">
        <v>681508</v>
      </c>
      <c r="E718" s="1" t="s">
        <v>13</v>
      </c>
      <c r="F718" s="1">
        <v>0</v>
      </c>
      <c r="G718" s="1" t="s">
        <v>4372</v>
      </c>
      <c r="H718" s="1" t="s">
        <v>4372</v>
      </c>
      <c r="I718" s="1" t="s">
        <v>4377</v>
      </c>
      <c r="J718" s="1" t="s">
        <v>5420</v>
      </c>
      <c r="K718" s="1" t="s">
        <v>5421</v>
      </c>
    </row>
    <row r="719" spans="1:11" ht="21" x14ac:dyDescent="0.25">
      <c r="A719" s="11" t="str">
        <f>HYPERLINK("https://rth.dk/resources/bsgatlas/details.php?id=BSGatlas-transcript-718","BSGatlas-transcript-718")</f>
        <v>BSGatlas-transcript-718</v>
      </c>
      <c r="B719" s="1" t="s">
        <v>5422</v>
      </c>
      <c r="C719" s="3">
        <v>681143</v>
      </c>
      <c r="D719" s="3">
        <v>683364</v>
      </c>
      <c r="E719" s="1" t="s">
        <v>13</v>
      </c>
      <c r="F719" s="1">
        <v>1</v>
      </c>
      <c r="G719" s="1" t="s">
        <v>4372</v>
      </c>
      <c r="H719" s="1">
        <v>113</v>
      </c>
      <c r="I719" s="1" t="s">
        <v>4373</v>
      </c>
      <c r="J719" s="1" t="s">
        <v>5423</v>
      </c>
      <c r="K719" s="1" t="s">
        <v>5421</v>
      </c>
    </row>
    <row r="720" spans="1:11" ht="21" x14ac:dyDescent="0.25">
      <c r="A720" s="11" t="str">
        <f>HYPERLINK("https://rth.dk/resources/bsgatlas/details.php?id=BSGatlas-transcript-719","BSGatlas-transcript-719")</f>
        <v>BSGatlas-transcript-719</v>
      </c>
      <c r="B720" s="1" t="s">
        <v>5422</v>
      </c>
      <c r="C720" s="3">
        <v>681143</v>
      </c>
      <c r="D720" s="3">
        <v>683390</v>
      </c>
      <c r="E720" s="1" t="s">
        <v>13</v>
      </c>
      <c r="F720" s="1">
        <v>1</v>
      </c>
      <c r="G720" s="1">
        <v>27</v>
      </c>
      <c r="H720" s="1">
        <v>113</v>
      </c>
      <c r="I720" s="1" t="s">
        <v>4373</v>
      </c>
      <c r="J720" s="1" t="s">
        <v>5424</v>
      </c>
      <c r="K720" s="1" t="s">
        <v>5421</v>
      </c>
    </row>
    <row r="721" spans="1:11" ht="21" x14ac:dyDescent="0.25">
      <c r="A721" s="11" t="str">
        <f>HYPERLINK("https://rth.dk/resources/bsgatlas/details.php?id=BSGatlas-transcript-720","BSGatlas-transcript-720")</f>
        <v>BSGatlas-transcript-720</v>
      </c>
      <c r="B721" s="1" t="s">
        <v>726</v>
      </c>
      <c r="C721" s="3">
        <v>683419</v>
      </c>
      <c r="D721" s="3">
        <v>685038</v>
      </c>
      <c r="E721" s="1" t="s">
        <v>13</v>
      </c>
      <c r="F721" s="1">
        <v>0</v>
      </c>
      <c r="G721" s="1" t="s">
        <v>4372</v>
      </c>
      <c r="H721" s="1" t="s">
        <v>4372</v>
      </c>
      <c r="I721" s="1" t="s">
        <v>4373</v>
      </c>
      <c r="J721" s="1" t="s">
        <v>5425</v>
      </c>
      <c r="K721" s="1" t="s">
        <v>5426</v>
      </c>
    </row>
    <row r="722" spans="1:11" ht="21" x14ac:dyDescent="0.25">
      <c r="A722" s="11" t="str">
        <f>HYPERLINK("https://rth.dk/resources/bsgatlas/details.php?id=BSGatlas-transcript-721","BSGatlas-transcript-721")</f>
        <v>BSGatlas-transcript-721</v>
      </c>
      <c r="B722" s="1" t="s">
        <v>727</v>
      </c>
      <c r="C722" s="3">
        <v>685105</v>
      </c>
      <c r="D722" s="3">
        <v>686596</v>
      </c>
      <c r="E722" s="1" t="s">
        <v>13</v>
      </c>
      <c r="F722" s="1">
        <v>0</v>
      </c>
      <c r="G722" s="1" t="s">
        <v>4372</v>
      </c>
      <c r="H722" s="1" t="s">
        <v>4372</v>
      </c>
      <c r="I722" s="1" t="s">
        <v>4373</v>
      </c>
      <c r="J722" s="1" t="s">
        <v>5427</v>
      </c>
      <c r="K722" s="1" t="s">
        <v>5428</v>
      </c>
    </row>
    <row r="723" spans="1:11" ht="21" x14ac:dyDescent="0.25">
      <c r="A723" s="11" t="str">
        <f>HYPERLINK("https://rth.dk/resources/bsgatlas/details.php?id=BSGatlas-transcript-722","BSGatlas-transcript-722")</f>
        <v>BSGatlas-transcript-722</v>
      </c>
      <c r="B723" s="1" t="s">
        <v>727</v>
      </c>
      <c r="C723" s="3">
        <v>685105</v>
      </c>
      <c r="D723" s="3">
        <v>686608</v>
      </c>
      <c r="E723" s="1" t="s">
        <v>13</v>
      </c>
      <c r="F723" s="1">
        <v>0</v>
      </c>
      <c r="G723" s="1" t="s">
        <v>4372</v>
      </c>
      <c r="H723" s="1" t="s">
        <v>4372</v>
      </c>
      <c r="I723" s="1" t="s">
        <v>4373</v>
      </c>
      <c r="J723" s="1" t="s">
        <v>5429</v>
      </c>
      <c r="K723" s="1" t="s">
        <v>5428</v>
      </c>
    </row>
    <row r="724" spans="1:11" ht="21" x14ac:dyDescent="0.25">
      <c r="A724" s="11" t="str">
        <f>HYPERLINK("https://rth.dk/resources/bsgatlas/details.php?id=BSGatlas-transcript-723","BSGatlas-transcript-723")</f>
        <v>BSGatlas-transcript-723</v>
      </c>
      <c r="B724" s="1" t="s">
        <v>728</v>
      </c>
      <c r="C724" s="3">
        <v>686919</v>
      </c>
      <c r="D724" s="3">
        <v>687834</v>
      </c>
      <c r="E724" s="1" t="s">
        <v>9</v>
      </c>
      <c r="F724" s="1">
        <v>0</v>
      </c>
      <c r="G724" s="1" t="s">
        <v>4372</v>
      </c>
      <c r="H724" s="1" t="s">
        <v>4372</v>
      </c>
      <c r="I724" s="1" t="s">
        <v>4397</v>
      </c>
      <c r="J724" s="1" t="s">
        <v>5430</v>
      </c>
      <c r="K724" s="1" t="s">
        <v>5431</v>
      </c>
    </row>
    <row r="725" spans="1:11" ht="21" x14ac:dyDescent="0.25">
      <c r="A725" s="11" t="str">
        <f>HYPERLINK("https://rth.dk/resources/bsgatlas/details.php?id=BSGatlas-transcript-724","BSGatlas-transcript-724")</f>
        <v>BSGatlas-transcript-724</v>
      </c>
      <c r="B725" s="1" t="s">
        <v>729</v>
      </c>
      <c r="C725" s="3">
        <v>688138</v>
      </c>
      <c r="D725" s="3">
        <v>689146</v>
      </c>
      <c r="E725" s="1" t="s">
        <v>9</v>
      </c>
      <c r="F725" s="1">
        <v>0</v>
      </c>
      <c r="G725" s="1" t="s">
        <v>4372</v>
      </c>
      <c r="H725" s="1" t="s">
        <v>4372</v>
      </c>
      <c r="I725" s="1" t="s">
        <v>4377</v>
      </c>
      <c r="J725" s="1" t="s">
        <v>5432</v>
      </c>
      <c r="K725" s="1" t="s">
        <v>318</v>
      </c>
    </row>
    <row r="726" spans="1:11" ht="21" x14ac:dyDescent="0.25">
      <c r="A726" s="11" t="str">
        <f>HYPERLINK("https://rth.dk/resources/bsgatlas/details.php?id=BSGatlas-transcript-725","BSGatlas-transcript-725")</f>
        <v>BSGatlas-transcript-725</v>
      </c>
      <c r="B726" s="1" t="s">
        <v>522</v>
      </c>
      <c r="C726" s="3">
        <v>692609</v>
      </c>
      <c r="D726" s="3">
        <v>692701</v>
      </c>
      <c r="E726" s="1" t="s">
        <v>9</v>
      </c>
      <c r="F726" s="1">
        <v>0</v>
      </c>
      <c r="G726" s="1" t="s">
        <v>4372</v>
      </c>
      <c r="H726" s="1" t="s">
        <v>4372</v>
      </c>
      <c r="I726" s="1" t="s">
        <v>4377</v>
      </c>
      <c r="J726" s="1" t="s">
        <v>318</v>
      </c>
      <c r="K726" s="1" t="s">
        <v>5433</v>
      </c>
    </row>
    <row r="727" spans="1:11" ht="21" x14ac:dyDescent="0.25">
      <c r="A727" s="11" t="str">
        <f>HYPERLINK("https://rth.dk/resources/bsgatlas/details.php?id=BSGatlas-transcript-726","BSGatlas-transcript-726")</f>
        <v>BSGatlas-transcript-726</v>
      </c>
      <c r="B727" s="1" t="s">
        <v>730</v>
      </c>
      <c r="C727" s="3">
        <v>692609</v>
      </c>
      <c r="D727" s="3">
        <v>694281</v>
      </c>
      <c r="E727" s="1" t="s">
        <v>9</v>
      </c>
      <c r="F727" s="1">
        <v>0</v>
      </c>
      <c r="G727" s="1" t="s">
        <v>4372</v>
      </c>
      <c r="H727" s="1" t="s">
        <v>4372</v>
      </c>
      <c r="I727" s="1" t="s">
        <v>4373</v>
      </c>
      <c r="J727" s="1" t="s">
        <v>5434</v>
      </c>
      <c r="K727" s="1" t="s">
        <v>5435</v>
      </c>
    </row>
    <row r="728" spans="1:11" ht="21" x14ac:dyDescent="0.25">
      <c r="A728" s="11" t="str">
        <f>HYPERLINK("https://rth.dk/resources/bsgatlas/details.php?id=BSGatlas-transcript-727","BSGatlas-transcript-727")</f>
        <v>BSGatlas-transcript-727</v>
      </c>
      <c r="B728" s="1" t="s">
        <v>730</v>
      </c>
      <c r="C728" s="3">
        <v>692609</v>
      </c>
      <c r="D728" s="3">
        <v>694345</v>
      </c>
      <c r="E728" s="1" t="s">
        <v>9</v>
      </c>
      <c r="F728" s="1">
        <v>0</v>
      </c>
      <c r="G728" s="1" t="s">
        <v>4372</v>
      </c>
      <c r="H728" s="1" t="s">
        <v>4372</v>
      </c>
      <c r="I728" s="1" t="s">
        <v>4373</v>
      </c>
      <c r="J728" s="1" t="s">
        <v>5434</v>
      </c>
      <c r="K728" s="1" t="s">
        <v>5436</v>
      </c>
    </row>
    <row r="729" spans="1:11" ht="21" x14ac:dyDescent="0.25">
      <c r="A729" s="11" t="str">
        <f>HYPERLINK("https://rth.dk/resources/bsgatlas/details.php?id=BSGatlas-transcript-728","BSGatlas-transcript-728")</f>
        <v>BSGatlas-transcript-728</v>
      </c>
      <c r="B729" s="1" t="s">
        <v>731</v>
      </c>
      <c r="C729" s="3">
        <v>694418</v>
      </c>
      <c r="D729" s="3">
        <v>696016</v>
      </c>
      <c r="E729" s="1" t="s">
        <v>9</v>
      </c>
      <c r="F729" s="1">
        <v>0</v>
      </c>
      <c r="G729" s="1" t="s">
        <v>4372</v>
      </c>
      <c r="H729" s="1" t="s">
        <v>4372</v>
      </c>
      <c r="I729" s="1" t="s">
        <v>4373</v>
      </c>
      <c r="J729" s="1" t="s">
        <v>5437</v>
      </c>
      <c r="K729" s="1" t="s">
        <v>5438</v>
      </c>
    </row>
    <row r="730" spans="1:11" ht="21" x14ac:dyDescent="0.25">
      <c r="A730" s="11" t="str">
        <f>HYPERLINK("https://rth.dk/resources/bsgatlas/details.php?id=BSGatlas-transcript-729","BSGatlas-transcript-729")</f>
        <v>BSGatlas-transcript-729</v>
      </c>
      <c r="B730" s="1" t="s">
        <v>732</v>
      </c>
      <c r="C730" s="3">
        <v>694424</v>
      </c>
      <c r="D730" s="3">
        <v>694575</v>
      </c>
      <c r="E730" s="1" t="s">
        <v>9</v>
      </c>
      <c r="F730" s="1">
        <v>0</v>
      </c>
      <c r="G730" s="1" t="s">
        <v>4372</v>
      </c>
      <c r="H730" s="1" t="s">
        <v>4372</v>
      </c>
      <c r="I730" s="1" t="s">
        <v>4377</v>
      </c>
      <c r="J730" s="1" t="s">
        <v>318</v>
      </c>
      <c r="K730" s="1" t="s">
        <v>5439</v>
      </c>
    </row>
    <row r="731" spans="1:11" ht="21" x14ac:dyDescent="0.25">
      <c r="A731" s="11" t="str">
        <f>HYPERLINK("https://rth.dk/resources/bsgatlas/details.php?id=BSGatlas-transcript-730","BSGatlas-transcript-730")</f>
        <v>BSGatlas-transcript-730</v>
      </c>
      <c r="B731" s="1" t="s">
        <v>733</v>
      </c>
      <c r="C731" s="3">
        <v>696054</v>
      </c>
      <c r="D731" s="3">
        <v>696998</v>
      </c>
      <c r="E731" s="1" t="s">
        <v>9</v>
      </c>
      <c r="F731" s="1">
        <v>0</v>
      </c>
      <c r="G731" s="1" t="s">
        <v>4372</v>
      </c>
      <c r="H731" s="1" t="s">
        <v>4372</v>
      </c>
      <c r="I731" s="1" t="s">
        <v>4386</v>
      </c>
      <c r="J731" s="1" t="s">
        <v>5440</v>
      </c>
      <c r="K731" s="1" t="s">
        <v>5441</v>
      </c>
    </row>
    <row r="732" spans="1:11" ht="21" x14ac:dyDescent="0.25">
      <c r="A732" s="11" t="str">
        <f>HYPERLINK("https://rth.dk/resources/bsgatlas/details.php?id=BSGatlas-transcript-731","BSGatlas-transcript-731")</f>
        <v>BSGatlas-transcript-731</v>
      </c>
      <c r="B732" s="1" t="s">
        <v>734</v>
      </c>
      <c r="C732" s="3">
        <v>697093</v>
      </c>
      <c r="D732" s="3">
        <v>697353</v>
      </c>
      <c r="E732" s="1" t="s">
        <v>9</v>
      </c>
      <c r="F732" s="1">
        <v>0</v>
      </c>
      <c r="G732" s="1" t="s">
        <v>4372</v>
      </c>
      <c r="H732" s="1" t="s">
        <v>4372</v>
      </c>
      <c r="I732" s="1" t="s">
        <v>4386</v>
      </c>
      <c r="J732" s="1" t="s">
        <v>5442</v>
      </c>
      <c r="K732" s="1" t="s">
        <v>5443</v>
      </c>
    </row>
    <row r="733" spans="1:11" ht="21" x14ac:dyDescent="0.25">
      <c r="A733" s="11" t="str">
        <f>HYPERLINK("https://rth.dk/resources/bsgatlas/details.php?id=BSGatlas-transcript-732","BSGatlas-transcript-732")</f>
        <v>BSGatlas-transcript-732</v>
      </c>
      <c r="B733" s="1" t="s">
        <v>5444</v>
      </c>
      <c r="C733" s="3">
        <v>697399</v>
      </c>
      <c r="D733" s="3">
        <v>698289</v>
      </c>
      <c r="E733" s="1" t="s">
        <v>9</v>
      </c>
      <c r="F733" s="1">
        <v>0</v>
      </c>
      <c r="G733" s="1" t="s">
        <v>4372</v>
      </c>
      <c r="H733" s="1" t="s">
        <v>4372</v>
      </c>
      <c r="I733" s="1" t="s">
        <v>4386</v>
      </c>
      <c r="J733" s="1" t="s">
        <v>5445</v>
      </c>
      <c r="K733" s="1" t="s">
        <v>5446</v>
      </c>
    </row>
    <row r="734" spans="1:11" ht="21" x14ac:dyDescent="0.25">
      <c r="A734" s="11" t="str">
        <f>HYPERLINK("https://rth.dk/resources/bsgatlas/details.php?id=BSGatlas-transcript-733","BSGatlas-transcript-733")</f>
        <v>BSGatlas-transcript-733</v>
      </c>
      <c r="B734" s="1" t="s">
        <v>5444</v>
      </c>
      <c r="C734" s="3">
        <v>697487</v>
      </c>
      <c r="D734" s="3">
        <v>698289</v>
      </c>
      <c r="E734" s="1" t="s">
        <v>9</v>
      </c>
      <c r="F734" s="1">
        <v>0</v>
      </c>
      <c r="G734" s="1" t="s">
        <v>4372</v>
      </c>
      <c r="H734" s="1" t="s">
        <v>4372</v>
      </c>
      <c r="I734" s="1" t="s">
        <v>4386</v>
      </c>
      <c r="J734" s="1" t="s">
        <v>5447</v>
      </c>
      <c r="K734" s="1" t="s">
        <v>5446</v>
      </c>
    </row>
    <row r="735" spans="1:11" ht="21" x14ac:dyDescent="0.25">
      <c r="A735" s="11" t="str">
        <f>HYPERLINK("https://rth.dk/resources/bsgatlas/details.php?id=BSGatlas-transcript-734","BSGatlas-transcript-734")</f>
        <v>BSGatlas-transcript-734</v>
      </c>
      <c r="B735" s="1" t="s">
        <v>737</v>
      </c>
      <c r="C735" s="3">
        <v>698368</v>
      </c>
      <c r="D735" s="3">
        <v>698581</v>
      </c>
      <c r="E735" s="1" t="s">
        <v>9</v>
      </c>
      <c r="F735" s="1">
        <v>0</v>
      </c>
      <c r="G735" s="1" t="s">
        <v>4372</v>
      </c>
      <c r="H735" s="1" t="s">
        <v>4372</v>
      </c>
      <c r="I735" s="1" t="s">
        <v>4377</v>
      </c>
      <c r="J735" s="1" t="s">
        <v>318</v>
      </c>
      <c r="K735" s="1" t="s">
        <v>5448</v>
      </c>
    </row>
    <row r="736" spans="1:11" ht="21" x14ac:dyDescent="0.25">
      <c r="A736" s="11" t="str">
        <f>HYPERLINK("https://rth.dk/resources/bsgatlas/details.php?id=BSGatlas-transcript-735","BSGatlas-transcript-735")</f>
        <v>BSGatlas-transcript-735</v>
      </c>
      <c r="B736" s="1" t="s">
        <v>5449</v>
      </c>
      <c r="C736" s="3">
        <v>698370</v>
      </c>
      <c r="D736" s="3">
        <v>706926</v>
      </c>
      <c r="E736" s="1" t="s">
        <v>9</v>
      </c>
      <c r="F736" s="1">
        <v>1</v>
      </c>
      <c r="G736" s="1">
        <v>243</v>
      </c>
      <c r="H736" s="1">
        <v>56</v>
      </c>
      <c r="I736" s="1" t="s">
        <v>4377</v>
      </c>
      <c r="J736" s="1" t="s">
        <v>5450</v>
      </c>
      <c r="K736" s="1" t="s">
        <v>5451</v>
      </c>
    </row>
    <row r="737" spans="1:11" ht="21" x14ac:dyDescent="0.25">
      <c r="A737" s="11" t="str">
        <f>HYPERLINK("https://rth.dk/resources/bsgatlas/details.php?id=BSGatlas-transcript-736","BSGatlas-transcript-736")</f>
        <v>BSGatlas-transcript-736</v>
      </c>
      <c r="B737" s="1" t="s">
        <v>5452</v>
      </c>
      <c r="C737" s="3">
        <v>698370</v>
      </c>
      <c r="D737" s="3">
        <v>711460</v>
      </c>
      <c r="E737" s="1" t="s">
        <v>9</v>
      </c>
      <c r="F737" s="1">
        <v>2</v>
      </c>
      <c r="G737" s="1">
        <v>243</v>
      </c>
      <c r="H737" s="1">
        <v>45</v>
      </c>
      <c r="I737" s="1" t="s">
        <v>4373</v>
      </c>
      <c r="J737" s="1" t="s">
        <v>5450</v>
      </c>
      <c r="K737" s="1" t="s">
        <v>5453</v>
      </c>
    </row>
    <row r="738" spans="1:11" ht="21" x14ac:dyDescent="0.25">
      <c r="A738" s="11" t="str">
        <f>HYPERLINK("https://rth.dk/resources/bsgatlas/details.php?id=BSGatlas-transcript-737","BSGatlas-transcript-737")</f>
        <v>BSGatlas-transcript-737</v>
      </c>
      <c r="B738" s="1" t="s">
        <v>738</v>
      </c>
      <c r="C738" s="3">
        <v>698372</v>
      </c>
      <c r="D738" s="3">
        <v>698571</v>
      </c>
      <c r="E738" s="1" t="s">
        <v>9</v>
      </c>
      <c r="F738" s="1">
        <v>0</v>
      </c>
      <c r="G738" s="1" t="s">
        <v>4372</v>
      </c>
      <c r="H738" s="1" t="s">
        <v>4372</v>
      </c>
      <c r="I738" s="1" t="s">
        <v>4377</v>
      </c>
      <c r="J738" s="1" t="s">
        <v>5450</v>
      </c>
      <c r="K738" s="1" t="s">
        <v>318</v>
      </c>
    </row>
    <row r="739" spans="1:11" ht="21" x14ac:dyDescent="0.25">
      <c r="A739" s="11" t="str">
        <f>HYPERLINK("https://rth.dk/resources/bsgatlas/details.php?id=BSGatlas-transcript-738","BSGatlas-transcript-738")</f>
        <v>BSGatlas-transcript-738</v>
      </c>
      <c r="B739" s="1" t="s">
        <v>5454</v>
      </c>
      <c r="C739" s="3">
        <v>708010</v>
      </c>
      <c r="D739" s="3">
        <v>711460</v>
      </c>
      <c r="E739" s="1" t="s">
        <v>9</v>
      </c>
      <c r="F739" s="1">
        <v>0</v>
      </c>
      <c r="G739" s="1" t="s">
        <v>4372</v>
      </c>
      <c r="H739" s="1" t="s">
        <v>4372</v>
      </c>
      <c r="I739" s="1" t="s">
        <v>4377</v>
      </c>
      <c r="J739" s="1" t="s">
        <v>5455</v>
      </c>
      <c r="K739" s="1" t="s">
        <v>5453</v>
      </c>
    </row>
    <row r="740" spans="1:11" ht="21" x14ac:dyDescent="0.25">
      <c r="A740" s="11" t="str">
        <f>HYPERLINK("https://rth.dk/resources/bsgatlas/details.php?id=BSGatlas-transcript-739","BSGatlas-transcript-739")</f>
        <v>BSGatlas-transcript-739</v>
      </c>
      <c r="B740" s="1" t="s">
        <v>751</v>
      </c>
      <c r="C740" s="3">
        <v>711456</v>
      </c>
      <c r="D740" s="3">
        <v>711954</v>
      </c>
      <c r="E740" s="1" t="s">
        <v>13</v>
      </c>
      <c r="F740" s="1">
        <v>0</v>
      </c>
      <c r="G740" s="1" t="s">
        <v>4372</v>
      </c>
      <c r="H740" s="1" t="s">
        <v>4372</v>
      </c>
      <c r="I740" s="1" t="s">
        <v>4397</v>
      </c>
      <c r="J740" s="1" t="s">
        <v>5456</v>
      </c>
      <c r="K740" s="1" t="s">
        <v>318</v>
      </c>
    </row>
    <row r="741" spans="1:11" ht="21" x14ac:dyDescent="0.25">
      <c r="A741" s="11" t="str">
        <f>HYPERLINK("https://rth.dk/resources/bsgatlas/details.php?id=BSGatlas-transcript-740","BSGatlas-transcript-740")</f>
        <v>BSGatlas-transcript-740</v>
      </c>
      <c r="B741" s="1" t="s">
        <v>752</v>
      </c>
      <c r="C741" s="3">
        <v>712019</v>
      </c>
      <c r="D741" s="3">
        <v>713293</v>
      </c>
      <c r="E741" s="1" t="s">
        <v>9</v>
      </c>
      <c r="F741" s="1">
        <v>0</v>
      </c>
      <c r="G741" s="1" t="s">
        <v>4372</v>
      </c>
      <c r="H741" s="1" t="s">
        <v>4372</v>
      </c>
      <c r="I741" s="1" t="s">
        <v>4547</v>
      </c>
      <c r="J741" s="1" t="s">
        <v>318</v>
      </c>
      <c r="K741" s="1" t="s">
        <v>5457</v>
      </c>
    </row>
    <row r="742" spans="1:11" ht="21" x14ac:dyDescent="0.25">
      <c r="A742" s="11" t="str">
        <f>HYPERLINK("https://rth.dk/resources/bsgatlas/details.php?id=BSGatlas-transcript-741","BSGatlas-transcript-741")</f>
        <v>BSGatlas-transcript-741</v>
      </c>
      <c r="B742" s="1" t="s">
        <v>752</v>
      </c>
      <c r="C742" s="3">
        <v>712019</v>
      </c>
      <c r="D742" s="3">
        <v>714009</v>
      </c>
      <c r="E742" s="1" t="s">
        <v>9</v>
      </c>
      <c r="F742" s="1">
        <v>0</v>
      </c>
      <c r="G742" s="1" t="s">
        <v>4372</v>
      </c>
      <c r="H742" s="1" t="s">
        <v>4372</v>
      </c>
      <c r="I742" s="1" t="s">
        <v>4547</v>
      </c>
      <c r="J742" s="1" t="s">
        <v>318</v>
      </c>
      <c r="K742" s="1" t="s">
        <v>5458</v>
      </c>
    </row>
    <row r="743" spans="1:11" ht="21" x14ac:dyDescent="0.25">
      <c r="A743" s="11" t="str">
        <f>HYPERLINK("https://rth.dk/resources/bsgatlas/details.php?id=BSGatlas-transcript-742","BSGatlas-transcript-742")</f>
        <v>BSGatlas-transcript-742</v>
      </c>
      <c r="B743" s="1" t="s">
        <v>753</v>
      </c>
      <c r="C743" s="3">
        <v>713308</v>
      </c>
      <c r="D743" s="3">
        <v>713956</v>
      </c>
      <c r="E743" s="1" t="s">
        <v>13</v>
      </c>
      <c r="F743" s="1">
        <v>0</v>
      </c>
      <c r="G743" s="1" t="s">
        <v>4372</v>
      </c>
      <c r="H743" s="1" t="s">
        <v>4372</v>
      </c>
      <c r="I743" s="1" t="s">
        <v>4547</v>
      </c>
      <c r="J743" s="1" t="s">
        <v>5459</v>
      </c>
      <c r="K743" s="1" t="s">
        <v>5460</v>
      </c>
    </row>
    <row r="744" spans="1:11" ht="21" x14ac:dyDescent="0.25">
      <c r="A744" s="11" t="str">
        <f>HYPERLINK("https://rth.dk/resources/bsgatlas/details.php?id=BSGatlas-transcript-743","BSGatlas-transcript-743")</f>
        <v>BSGatlas-transcript-743</v>
      </c>
      <c r="B744" s="1" t="s">
        <v>5461</v>
      </c>
      <c r="C744" s="3">
        <v>713619</v>
      </c>
      <c r="D744" s="3">
        <v>716630</v>
      </c>
      <c r="E744" s="1" t="s">
        <v>9</v>
      </c>
      <c r="F744" s="1">
        <v>1</v>
      </c>
      <c r="G744" s="1">
        <v>46</v>
      </c>
      <c r="H744" s="1">
        <v>203</v>
      </c>
      <c r="I744" s="1" t="s">
        <v>4377</v>
      </c>
      <c r="J744" s="1" t="s">
        <v>5462</v>
      </c>
      <c r="K744" s="1" t="s">
        <v>5463</v>
      </c>
    </row>
    <row r="745" spans="1:11" ht="21" x14ac:dyDescent="0.25">
      <c r="A745" s="11" t="str">
        <f>HYPERLINK("https://rth.dk/resources/bsgatlas/details.php?id=BSGatlas-transcript-744","BSGatlas-transcript-744")</f>
        <v>BSGatlas-transcript-744</v>
      </c>
      <c r="B745" s="1" t="s">
        <v>5464</v>
      </c>
      <c r="C745" s="3">
        <v>713619</v>
      </c>
      <c r="D745" s="3">
        <v>716775</v>
      </c>
      <c r="E745" s="1" t="s">
        <v>9</v>
      </c>
      <c r="F745" s="1">
        <v>1</v>
      </c>
      <c r="G745" s="1">
        <v>46</v>
      </c>
      <c r="H745" s="1">
        <v>31</v>
      </c>
      <c r="I745" s="1" t="s">
        <v>4386</v>
      </c>
      <c r="J745" s="1" t="s">
        <v>5462</v>
      </c>
      <c r="K745" s="1" t="s">
        <v>5465</v>
      </c>
    </row>
    <row r="746" spans="1:11" ht="21" x14ac:dyDescent="0.25">
      <c r="A746" s="11" t="str">
        <f>HYPERLINK("https://rth.dk/resources/bsgatlas/details.php?id=BSGatlas-transcript-745","BSGatlas-transcript-745")</f>
        <v>BSGatlas-transcript-745</v>
      </c>
      <c r="B746" s="1" t="s">
        <v>755</v>
      </c>
      <c r="C746" s="3">
        <v>715398</v>
      </c>
      <c r="D746" s="3">
        <v>716630</v>
      </c>
      <c r="E746" s="1" t="s">
        <v>9</v>
      </c>
      <c r="F746" s="1">
        <v>0</v>
      </c>
      <c r="G746" s="1" t="s">
        <v>4372</v>
      </c>
      <c r="H746" s="1" t="s">
        <v>4372</v>
      </c>
      <c r="I746" s="1" t="s">
        <v>4377</v>
      </c>
      <c r="J746" s="1" t="s">
        <v>5466</v>
      </c>
      <c r="K746" s="1" t="s">
        <v>5463</v>
      </c>
    </row>
    <row r="747" spans="1:11" ht="21" x14ac:dyDescent="0.25">
      <c r="A747" s="11" t="str">
        <f>HYPERLINK("https://rth.dk/resources/bsgatlas/details.php?id=BSGatlas-transcript-746","BSGatlas-transcript-746")</f>
        <v>BSGatlas-transcript-746</v>
      </c>
      <c r="B747" s="1" t="s">
        <v>5467</v>
      </c>
      <c r="C747" s="3">
        <v>715398</v>
      </c>
      <c r="D747" s="3">
        <v>716775</v>
      </c>
      <c r="E747" s="1" t="s">
        <v>9</v>
      </c>
      <c r="F747" s="1">
        <v>0</v>
      </c>
      <c r="G747" s="1" t="s">
        <v>4372</v>
      </c>
      <c r="H747" s="1" t="s">
        <v>4372</v>
      </c>
      <c r="I747" s="1" t="s">
        <v>4397</v>
      </c>
      <c r="J747" s="1" t="s">
        <v>5466</v>
      </c>
      <c r="K747" s="1" t="s">
        <v>5465</v>
      </c>
    </row>
    <row r="748" spans="1:11" ht="21" x14ac:dyDescent="0.25">
      <c r="A748" s="11" t="str">
        <f>HYPERLINK("https://rth.dk/resources/bsgatlas/details.php?id=BSGatlas-transcript-747","BSGatlas-transcript-747")</f>
        <v>BSGatlas-transcript-747</v>
      </c>
      <c r="B748" s="1" t="s">
        <v>757</v>
      </c>
      <c r="C748" s="3">
        <v>716780</v>
      </c>
      <c r="D748" s="3">
        <v>718390</v>
      </c>
      <c r="E748" s="1" t="s">
        <v>13</v>
      </c>
      <c r="F748" s="1">
        <v>0</v>
      </c>
      <c r="G748" s="1" t="s">
        <v>4372</v>
      </c>
      <c r="H748" s="1" t="s">
        <v>4372</v>
      </c>
      <c r="I748" s="1" t="s">
        <v>4397</v>
      </c>
      <c r="J748" s="1" t="s">
        <v>5468</v>
      </c>
      <c r="K748" s="1" t="s">
        <v>5469</v>
      </c>
    </row>
    <row r="749" spans="1:11" ht="21" x14ac:dyDescent="0.25">
      <c r="A749" s="11" t="str">
        <f>HYPERLINK("https://rth.dk/resources/bsgatlas/details.php?id=BSGatlas-transcript-748","BSGatlas-transcript-748")</f>
        <v>BSGatlas-transcript-748</v>
      </c>
      <c r="B749" s="1" t="s">
        <v>5470</v>
      </c>
      <c r="C749" s="3">
        <v>718571</v>
      </c>
      <c r="D749" s="3">
        <v>724872</v>
      </c>
      <c r="E749" s="1" t="s">
        <v>9</v>
      </c>
      <c r="F749" s="1">
        <v>2</v>
      </c>
      <c r="G749" s="1">
        <v>52</v>
      </c>
      <c r="H749" s="1">
        <v>48</v>
      </c>
      <c r="I749" s="1" t="s">
        <v>4373</v>
      </c>
      <c r="J749" s="1" t="s">
        <v>5471</v>
      </c>
      <c r="K749" s="1" t="s">
        <v>5472</v>
      </c>
    </row>
    <row r="750" spans="1:11" ht="21" x14ac:dyDescent="0.25">
      <c r="A750" s="11" t="str">
        <f>HYPERLINK("https://rth.dk/resources/bsgatlas/details.php?id=BSGatlas-transcript-749","BSGatlas-transcript-749")</f>
        <v>BSGatlas-transcript-749</v>
      </c>
      <c r="B750" s="1" t="s">
        <v>762</v>
      </c>
      <c r="C750" s="3">
        <v>724870</v>
      </c>
      <c r="D750" s="3">
        <v>725997</v>
      </c>
      <c r="E750" s="1" t="s">
        <v>9</v>
      </c>
      <c r="F750" s="1">
        <v>0</v>
      </c>
      <c r="G750" s="1" t="s">
        <v>4372</v>
      </c>
      <c r="H750" s="1" t="s">
        <v>4372</v>
      </c>
      <c r="I750" s="1" t="s">
        <v>4386</v>
      </c>
      <c r="J750" s="1" t="s">
        <v>5473</v>
      </c>
      <c r="K750" s="1" t="s">
        <v>5474</v>
      </c>
    </row>
    <row r="751" spans="1:11" ht="21" x14ac:dyDescent="0.25">
      <c r="A751" s="11" t="str">
        <f>HYPERLINK("https://rth.dk/resources/bsgatlas/details.php?id=BSGatlas-transcript-750","BSGatlas-transcript-750")</f>
        <v>BSGatlas-transcript-750</v>
      </c>
      <c r="B751" s="1" t="s">
        <v>763</v>
      </c>
      <c r="C751" s="3">
        <v>724912</v>
      </c>
      <c r="D751" s="3">
        <v>726774</v>
      </c>
      <c r="E751" s="1" t="s">
        <v>13</v>
      </c>
      <c r="F751" s="1">
        <v>0</v>
      </c>
      <c r="G751" s="1" t="s">
        <v>4372</v>
      </c>
      <c r="H751" s="1" t="s">
        <v>4372</v>
      </c>
      <c r="I751" s="1" t="s">
        <v>4373</v>
      </c>
      <c r="J751" s="1" t="s">
        <v>5475</v>
      </c>
      <c r="K751" s="1" t="s">
        <v>5476</v>
      </c>
    </row>
    <row r="752" spans="1:11" ht="21" x14ac:dyDescent="0.25">
      <c r="A752" s="11" t="str">
        <f>HYPERLINK("https://rth.dk/resources/bsgatlas/details.php?id=BSGatlas-transcript-751","BSGatlas-transcript-751")</f>
        <v>BSGatlas-transcript-751</v>
      </c>
      <c r="B752" s="1" t="s">
        <v>763</v>
      </c>
      <c r="C752" s="3">
        <v>725992</v>
      </c>
      <c r="D752" s="3">
        <v>726774</v>
      </c>
      <c r="E752" s="1" t="s">
        <v>13</v>
      </c>
      <c r="F752" s="1">
        <v>0</v>
      </c>
      <c r="G752" s="1" t="s">
        <v>4372</v>
      </c>
      <c r="H752" s="1" t="s">
        <v>4372</v>
      </c>
      <c r="I752" s="1" t="s">
        <v>4373</v>
      </c>
      <c r="J752" s="1" t="s">
        <v>5475</v>
      </c>
      <c r="K752" s="1" t="s">
        <v>5477</v>
      </c>
    </row>
    <row r="753" spans="1:11" ht="21" x14ac:dyDescent="0.25">
      <c r="A753" s="11" t="str">
        <f>HYPERLINK("https://rth.dk/resources/bsgatlas/details.php?id=BSGatlas-transcript-752","BSGatlas-transcript-752")</f>
        <v>BSGatlas-transcript-752</v>
      </c>
      <c r="B753" s="1" t="s">
        <v>764</v>
      </c>
      <c r="C753" s="3">
        <v>726795</v>
      </c>
      <c r="D753" s="3">
        <v>728318</v>
      </c>
      <c r="E753" s="1" t="s">
        <v>13</v>
      </c>
      <c r="F753" s="1">
        <v>0</v>
      </c>
      <c r="G753" s="1" t="s">
        <v>4372</v>
      </c>
      <c r="H753" s="1" t="s">
        <v>4372</v>
      </c>
      <c r="I753" s="1" t="s">
        <v>4373</v>
      </c>
      <c r="J753" s="1" t="s">
        <v>5478</v>
      </c>
      <c r="K753" s="1" t="s">
        <v>5479</v>
      </c>
    </row>
    <row r="754" spans="1:11" ht="21" x14ac:dyDescent="0.25">
      <c r="A754" s="11" t="str">
        <f>HYPERLINK("https://rth.dk/resources/bsgatlas/details.php?id=BSGatlas-transcript-753","BSGatlas-transcript-753")</f>
        <v>BSGatlas-transcript-753</v>
      </c>
      <c r="B754" s="1" t="s">
        <v>764</v>
      </c>
      <c r="C754" s="3">
        <v>726795</v>
      </c>
      <c r="D754" s="3">
        <v>728431</v>
      </c>
      <c r="E754" s="1" t="s">
        <v>13</v>
      </c>
      <c r="F754" s="1">
        <v>0</v>
      </c>
      <c r="G754" s="1" t="s">
        <v>4372</v>
      </c>
      <c r="H754" s="1" t="s">
        <v>4372</v>
      </c>
      <c r="I754" s="1" t="s">
        <v>4373</v>
      </c>
      <c r="J754" s="1" t="s">
        <v>5480</v>
      </c>
      <c r="K754" s="1" t="s">
        <v>5479</v>
      </c>
    </row>
    <row r="755" spans="1:11" ht="21" x14ac:dyDescent="0.25">
      <c r="A755" s="11" t="str">
        <f>HYPERLINK("https://rth.dk/resources/bsgatlas/details.php?id=BSGatlas-transcript-754","BSGatlas-transcript-754")</f>
        <v>BSGatlas-transcript-754</v>
      </c>
      <c r="B755" s="1" t="s">
        <v>764</v>
      </c>
      <c r="C755" s="3">
        <v>726795</v>
      </c>
      <c r="D755" s="3">
        <v>728444</v>
      </c>
      <c r="E755" s="1" t="s">
        <v>13</v>
      </c>
      <c r="F755" s="1">
        <v>0</v>
      </c>
      <c r="G755" s="1" t="s">
        <v>4372</v>
      </c>
      <c r="H755" s="1" t="s">
        <v>4372</v>
      </c>
      <c r="I755" s="1" t="s">
        <v>4373</v>
      </c>
      <c r="J755" s="1" t="s">
        <v>5481</v>
      </c>
      <c r="K755" s="1" t="s">
        <v>5479</v>
      </c>
    </row>
    <row r="756" spans="1:11" ht="21" x14ac:dyDescent="0.25">
      <c r="A756" s="11" t="str">
        <f>HYPERLINK("https://rth.dk/resources/bsgatlas/details.php?id=BSGatlas-transcript-755","BSGatlas-transcript-755")</f>
        <v>BSGatlas-transcript-755</v>
      </c>
      <c r="B756" s="1" t="s">
        <v>5482</v>
      </c>
      <c r="C756" s="3">
        <v>728598</v>
      </c>
      <c r="D756" s="3">
        <v>731939</v>
      </c>
      <c r="E756" s="1" t="s">
        <v>9</v>
      </c>
      <c r="F756" s="1">
        <v>0</v>
      </c>
      <c r="G756" s="1" t="s">
        <v>4372</v>
      </c>
      <c r="H756" s="1" t="s">
        <v>4372</v>
      </c>
      <c r="I756" s="1" t="s">
        <v>4386</v>
      </c>
      <c r="J756" s="1" t="s">
        <v>5483</v>
      </c>
      <c r="K756" s="1" t="s">
        <v>5484</v>
      </c>
    </row>
    <row r="757" spans="1:11" ht="21" x14ac:dyDescent="0.25">
      <c r="A757" s="11" t="str">
        <f>HYPERLINK("https://rth.dk/resources/bsgatlas/details.php?id=BSGatlas-transcript-756","BSGatlas-transcript-756")</f>
        <v>BSGatlas-transcript-756</v>
      </c>
      <c r="B757" s="1" t="s">
        <v>768</v>
      </c>
      <c r="C757" s="3">
        <v>731954</v>
      </c>
      <c r="D757" s="3">
        <v>732905</v>
      </c>
      <c r="E757" s="1" t="s">
        <v>13</v>
      </c>
      <c r="F757" s="1">
        <v>0</v>
      </c>
      <c r="G757" s="1" t="s">
        <v>4372</v>
      </c>
      <c r="H757" s="1" t="s">
        <v>4372</v>
      </c>
      <c r="I757" s="1" t="s">
        <v>4397</v>
      </c>
      <c r="J757" s="1" t="s">
        <v>5485</v>
      </c>
      <c r="K757" s="1" t="s">
        <v>5486</v>
      </c>
    </row>
    <row r="758" spans="1:11" ht="21" x14ac:dyDescent="0.25">
      <c r="A758" s="11" t="str">
        <f>HYPERLINK("https://rth.dk/resources/bsgatlas/details.php?id=BSGatlas-transcript-757","BSGatlas-transcript-757")</f>
        <v>BSGatlas-transcript-757</v>
      </c>
      <c r="B758" s="1" t="s">
        <v>769</v>
      </c>
      <c r="C758" s="3">
        <v>732646</v>
      </c>
      <c r="D758" s="3">
        <v>736113</v>
      </c>
      <c r="E758" s="1" t="s">
        <v>9</v>
      </c>
      <c r="F758" s="1">
        <v>0</v>
      </c>
      <c r="G758" s="1" t="s">
        <v>4372</v>
      </c>
      <c r="H758" s="1" t="s">
        <v>4372</v>
      </c>
      <c r="I758" s="1" t="s">
        <v>4386</v>
      </c>
      <c r="J758" s="1" t="s">
        <v>5487</v>
      </c>
      <c r="K758" s="1" t="s">
        <v>5488</v>
      </c>
    </row>
    <row r="759" spans="1:11" ht="21" x14ac:dyDescent="0.25">
      <c r="A759" s="11" t="str">
        <f>HYPERLINK("https://rth.dk/resources/bsgatlas/details.php?id=BSGatlas-transcript-758","BSGatlas-transcript-758")</f>
        <v>BSGatlas-transcript-758</v>
      </c>
      <c r="B759" s="1" t="s">
        <v>769</v>
      </c>
      <c r="C759" s="3">
        <v>732898</v>
      </c>
      <c r="D759" s="3">
        <v>736113</v>
      </c>
      <c r="E759" s="1" t="s">
        <v>9</v>
      </c>
      <c r="F759" s="1">
        <v>0</v>
      </c>
      <c r="G759" s="1" t="s">
        <v>4372</v>
      </c>
      <c r="H759" s="1" t="s">
        <v>4372</v>
      </c>
      <c r="I759" s="1" t="s">
        <v>4386</v>
      </c>
      <c r="J759" s="1" t="s">
        <v>5489</v>
      </c>
      <c r="K759" s="1" t="s">
        <v>5488</v>
      </c>
    </row>
    <row r="760" spans="1:11" ht="21" x14ac:dyDescent="0.25">
      <c r="A760" s="11" t="str">
        <f>HYPERLINK("https://rth.dk/resources/bsgatlas/details.php?id=BSGatlas-transcript-759","BSGatlas-transcript-759")</f>
        <v>BSGatlas-transcript-759</v>
      </c>
      <c r="B760" s="1" t="s">
        <v>5490</v>
      </c>
      <c r="C760" s="3">
        <v>736378</v>
      </c>
      <c r="D760" s="3">
        <v>739554</v>
      </c>
      <c r="E760" s="1" t="s">
        <v>9</v>
      </c>
      <c r="F760" s="1">
        <v>1</v>
      </c>
      <c r="G760" s="1">
        <v>59</v>
      </c>
      <c r="H760" s="1">
        <v>573</v>
      </c>
      <c r="I760" s="1" t="s">
        <v>4386</v>
      </c>
      <c r="J760" s="1" t="s">
        <v>5491</v>
      </c>
      <c r="K760" s="1" t="s">
        <v>5492</v>
      </c>
    </row>
    <row r="761" spans="1:11" ht="21" x14ac:dyDescent="0.25">
      <c r="A761" s="11" t="str">
        <f>HYPERLINK("https://rth.dk/resources/bsgatlas/details.php?id=BSGatlas-transcript-760","BSGatlas-transcript-760")</f>
        <v>BSGatlas-transcript-760</v>
      </c>
      <c r="B761" s="1" t="s">
        <v>5493</v>
      </c>
      <c r="C761" s="3">
        <v>736378</v>
      </c>
      <c r="D761" s="3">
        <v>747222</v>
      </c>
      <c r="E761" s="1" t="s">
        <v>9</v>
      </c>
      <c r="F761" s="1">
        <v>4</v>
      </c>
      <c r="G761" s="1">
        <v>59</v>
      </c>
      <c r="H761" s="1">
        <v>1224</v>
      </c>
      <c r="I761" s="1" t="s">
        <v>4386</v>
      </c>
      <c r="J761" s="1" t="s">
        <v>5491</v>
      </c>
      <c r="K761" s="1" t="s">
        <v>5494</v>
      </c>
    </row>
    <row r="762" spans="1:11" ht="21" x14ac:dyDescent="0.25">
      <c r="A762" s="11" t="str">
        <f>HYPERLINK("https://rth.dk/resources/bsgatlas/details.php?id=BSGatlas-transcript-761","BSGatlas-transcript-761")</f>
        <v>BSGatlas-transcript-761</v>
      </c>
      <c r="B762" s="1" t="s">
        <v>776</v>
      </c>
      <c r="C762" s="3">
        <v>738995</v>
      </c>
      <c r="D762" s="3">
        <v>739897</v>
      </c>
      <c r="E762" s="1" t="s">
        <v>13</v>
      </c>
      <c r="F762" s="1">
        <v>0</v>
      </c>
      <c r="G762" s="1" t="s">
        <v>4372</v>
      </c>
      <c r="H762" s="1" t="s">
        <v>4372</v>
      </c>
      <c r="I762" s="1" t="s">
        <v>4547</v>
      </c>
      <c r="J762" s="1" t="s">
        <v>318</v>
      </c>
      <c r="K762" s="1" t="s">
        <v>318</v>
      </c>
    </row>
    <row r="763" spans="1:11" ht="21" x14ac:dyDescent="0.25">
      <c r="A763" s="11" t="str">
        <f>HYPERLINK("https://rth.dk/resources/bsgatlas/details.php?id=BSGatlas-transcript-762","BSGatlas-transcript-762")</f>
        <v>BSGatlas-transcript-762</v>
      </c>
      <c r="B763" s="1" t="s">
        <v>777</v>
      </c>
      <c r="C763" s="3">
        <v>747079</v>
      </c>
      <c r="D763" s="3">
        <v>747928</v>
      </c>
      <c r="E763" s="1" t="s">
        <v>13</v>
      </c>
      <c r="F763" s="1">
        <v>0</v>
      </c>
      <c r="G763" s="1" t="s">
        <v>4372</v>
      </c>
      <c r="H763" s="1" t="s">
        <v>4372</v>
      </c>
      <c r="I763" s="1" t="s">
        <v>4386</v>
      </c>
      <c r="J763" s="1" t="s">
        <v>5495</v>
      </c>
      <c r="K763" s="1" t="s">
        <v>5496</v>
      </c>
    </row>
    <row r="764" spans="1:11" ht="21" x14ac:dyDescent="0.25">
      <c r="A764" s="11" t="str">
        <f>HYPERLINK("https://rth.dk/resources/bsgatlas/details.php?id=BSGatlas-transcript-763","BSGatlas-transcript-763")</f>
        <v>BSGatlas-transcript-763</v>
      </c>
      <c r="B764" s="1" t="s">
        <v>5497</v>
      </c>
      <c r="C764" s="3">
        <v>747079</v>
      </c>
      <c r="D764" s="3">
        <v>749600</v>
      </c>
      <c r="E764" s="1" t="s">
        <v>13</v>
      </c>
      <c r="F764" s="1">
        <v>1</v>
      </c>
      <c r="G764" s="1">
        <v>38</v>
      </c>
      <c r="H764" s="1" t="s">
        <v>4372</v>
      </c>
      <c r="I764" s="1" t="s">
        <v>4386</v>
      </c>
      <c r="J764" s="1" t="s">
        <v>5498</v>
      </c>
      <c r="K764" s="1" t="s">
        <v>5496</v>
      </c>
    </row>
    <row r="765" spans="1:11" ht="21" x14ac:dyDescent="0.25">
      <c r="A765" s="11" t="str">
        <f>HYPERLINK("https://rth.dk/resources/bsgatlas/details.php?id=BSGatlas-transcript-764","BSGatlas-transcript-764")</f>
        <v>BSGatlas-transcript-764</v>
      </c>
      <c r="B765" s="1" t="s">
        <v>779</v>
      </c>
      <c r="C765" s="3">
        <v>750928</v>
      </c>
      <c r="D765" s="3">
        <v>752089</v>
      </c>
      <c r="E765" s="1" t="s">
        <v>9</v>
      </c>
      <c r="F765" s="1">
        <v>0</v>
      </c>
      <c r="G765" s="1" t="s">
        <v>4372</v>
      </c>
      <c r="H765" s="1" t="s">
        <v>4372</v>
      </c>
      <c r="I765" s="1" t="s">
        <v>4684</v>
      </c>
      <c r="J765" s="1" t="s">
        <v>5499</v>
      </c>
      <c r="K765" s="1" t="s">
        <v>318</v>
      </c>
    </row>
    <row r="766" spans="1:11" ht="21" x14ac:dyDescent="0.25">
      <c r="A766" s="11" t="str">
        <f>HYPERLINK("https://rth.dk/resources/bsgatlas/details.php?id=BSGatlas-transcript-765","BSGatlas-transcript-765")</f>
        <v>BSGatlas-transcript-765</v>
      </c>
      <c r="B766" s="1" t="s">
        <v>5500</v>
      </c>
      <c r="C766" s="3">
        <v>750928</v>
      </c>
      <c r="D766" s="3">
        <v>752252</v>
      </c>
      <c r="E766" s="1" t="s">
        <v>9</v>
      </c>
      <c r="F766" s="1">
        <v>0</v>
      </c>
      <c r="G766" s="1" t="s">
        <v>4372</v>
      </c>
      <c r="H766" s="1" t="s">
        <v>4372</v>
      </c>
      <c r="I766" s="1" t="s">
        <v>4397</v>
      </c>
      <c r="J766" s="1" t="s">
        <v>5499</v>
      </c>
      <c r="K766" s="1" t="s">
        <v>5501</v>
      </c>
    </row>
    <row r="767" spans="1:11" ht="21" x14ac:dyDescent="0.25">
      <c r="A767" s="11" t="str">
        <f>HYPERLINK("https://rth.dk/resources/bsgatlas/details.php?id=BSGatlas-transcript-766","BSGatlas-transcript-766")</f>
        <v>BSGatlas-transcript-766</v>
      </c>
      <c r="B767" s="1" t="s">
        <v>5500</v>
      </c>
      <c r="C767" s="3">
        <v>750928</v>
      </c>
      <c r="D767" s="3">
        <v>752270</v>
      </c>
      <c r="E767" s="1" t="s">
        <v>9</v>
      </c>
      <c r="F767" s="1">
        <v>0</v>
      </c>
      <c r="G767" s="1" t="s">
        <v>4372</v>
      </c>
      <c r="H767" s="1" t="s">
        <v>4372</v>
      </c>
      <c r="I767" s="1" t="s">
        <v>4397</v>
      </c>
      <c r="J767" s="1" t="s">
        <v>5499</v>
      </c>
      <c r="K767" s="1" t="s">
        <v>5502</v>
      </c>
    </row>
    <row r="768" spans="1:11" ht="21" x14ac:dyDescent="0.25">
      <c r="A768" s="11" t="str">
        <f>HYPERLINK("https://rth.dk/resources/bsgatlas/details.php?id=BSGatlas-transcript-767","BSGatlas-transcript-767")</f>
        <v>BSGatlas-transcript-767</v>
      </c>
      <c r="B768" s="1" t="s">
        <v>780</v>
      </c>
      <c r="C768" s="3">
        <v>752079</v>
      </c>
      <c r="D768" s="3">
        <v>752252</v>
      </c>
      <c r="E768" s="1" t="s">
        <v>9</v>
      </c>
      <c r="F768" s="1">
        <v>0</v>
      </c>
      <c r="G768" s="1" t="s">
        <v>4372</v>
      </c>
      <c r="H768" s="1" t="s">
        <v>4372</v>
      </c>
      <c r="I768" s="1" t="s">
        <v>4397</v>
      </c>
      <c r="J768" s="1" t="s">
        <v>318</v>
      </c>
      <c r="K768" s="1" t="s">
        <v>5501</v>
      </c>
    </row>
    <row r="769" spans="1:11" ht="21" x14ac:dyDescent="0.25">
      <c r="A769" s="11" t="str">
        <f>HYPERLINK("https://rth.dk/resources/bsgatlas/details.php?id=BSGatlas-transcript-768","BSGatlas-transcript-768")</f>
        <v>BSGatlas-transcript-768</v>
      </c>
      <c r="B769" s="1" t="s">
        <v>780</v>
      </c>
      <c r="C769" s="3">
        <v>752079</v>
      </c>
      <c r="D769" s="3">
        <v>752270</v>
      </c>
      <c r="E769" s="1" t="s">
        <v>9</v>
      </c>
      <c r="F769" s="1">
        <v>0</v>
      </c>
      <c r="G769" s="1" t="s">
        <v>4372</v>
      </c>
      <c r="H769" s="1" t="s">
        <v>4372</v>
      </c>
      <c r="I769" s="1" t="s">
        <v>4397</v>
      </c>
      <c r="J769" s="1" t="s">
        <v>318</v>
      </c>
      <c r="K769" s="1" t="s">
        <v>5502</v>
      </c>
    </row>
    <row r="770" spans="1:11" ht="21" x14ac:dyDescent="0.25">
      <c r="A770" s="11" t="str">
        <f>HYPERLINK("https://rth.dk/resources/bsgatlas/details.php?id=BSGatlas-transcript-769","BSGatlas-transcript-769")</f>
        <v>BSGatlas-transcript-769</v>
      </c>
      <c r="B770" s="1" t="s">
        <v>781</v>
      </c>
      <c r="C770" s="3">
        <v>752359</v>
      </c>
      <c r="D770" s="3">
        <v>753131</v>
      </c>
      <c r="E770" s="1" t="s">
        <v>9</v>
      </c>
      <c r="F770" s="1">
        <v>0</v>
      </c>
      <c r="G770" s="1" t="s">
        <v>4372</v>
      </c>
      <c r="H770" s="1" t="s">
        <v>4372</v>
      </c>
      <c r="I770" s="1" t="s">
        <v>4386</v>
      </c>
      <c r="J770" s="1" t="s">
        <v>5503</v>
      </c>
      <c r="K770" s="1" t="s">
        <v>5504</v>
      </c>
    </row>
    <row r="771" spans="1:11" ht="21" x14ac:dyDescent="0.25">
      <c r="A771" s="11" t="str">
        <f>HYPERLINK("https://rth.dk/resources/bsgatlas/details.php?id=BSGatlas-transcript-770","BSGatlas-transcript-770")</f>
        <v>BSGatlas-transcript-770</v>
      </c>
      <c r="B771" s="1" t="s">
        <v>782</v>
      </c>
      <c r="C771" s="3">
        <v>753020</v>
      </c>
      <c r="D771" s="3">
        <v>753724</v>
      </c>
      <c r="E771" s="1" t="s">
        <v>9</v>
      </c>
      <c r="F771" s="1">
        <v>0</v>
      </c>
      <c r="G771" s="1" t="s">
        <v>4372</v>
      </c>
      <c r="H771" s="1" t="s">
        <v>4372</v>
      </c>
      <c r="I771" s="1" t="s">
        <v>4386</v>
      </c>
      <c r="J771" s="1" t="s">
        <v>5505</v>
      </c>
      <c r="K771" s="1" t="s">
        <v>5506</v>
      </c>
    </row>
    <row r="772" spans="1:11" ht="21" x14ac:dyDescent="0.25">
      <c r="A772" s="11" t="str">
        <f>HYPERLINK("https://rth.dk/resources/bsgatlas/details.php?id=BSGatlas-transcript-771","BSGatlas-transcript-771")</f>
        <v>BSGatlas-transcript-771</v>
      </c>
      <c r="B772" s="1" t="s">
        <v>782</v>
      </c>
      <c r="C772" s="3">
        <v>753226</v>
      </c>
      <c r="D772" s="3">
        <v>753724</v>
      </c>
      <c r="E772" s="1" t="s">
        <v>9</v>
      </c>
      <c r="F772" s="1">
        <v>0</v>
      </c>
      <c r="G772" s="1" t="s">
        <v>4372</v>
      </c>
      <c r="H772" s="1" t="s">
        <v>4372</v>
      </c>
      <c r="I772" s="1" t="s">
        <v>4386</v>
      </c>
      <c r="J772" s="1" t="s">
        <v>5507</v>
      </c>
      <c r="K772" s="1" t="s">
        <v>5506</v>
      </c>
    </row>
    <row r="773" spans="1:11" ht="21" x14ac:dyDescent="0.25">
      <c r="A773" s="11" t="str">
        <f>HYPERLINK("https://rth.dk/resources/bsgatlas/details.php?id=BSGatlas-transcript-772","BSGatlas-transcript-772")</f>
        <v>BSGatlas-transcript-772</v>
      </c>
      <c r="B773" s="1" t="s">
        <v>783</v>
      </c>
      <c r="C773" s="3">
        <v>753790</v>
      </c>
      <c r="D773" s="3">
        <v>754401</v>
      </c>
      <c r="E773" s="1" t="s">
        <v>9</v>
      </c>
      <c r="F773" s="1">
        <v>0</v>
      </c>
      <c r="G773" s="1" t="s">
        <v>4372</v>
      </c>
      <c r="H773" s="1" t="s">
        <v>4372</v>
      </c>
      <c r="I773" s="1" t="s">
        <v>4386</v>
      </c>
      <c r="J773" s="1" t="s">
        <v>5508</v>
      </c>
      <c r="K773" s="1" t="s">
        <v>5509</v>
      </c>
    </row>
    <row r="774" spans="1:11" ht="21" x14ac:dyDescent="0.25">
      <c r="A774" s="11" t="str">
        <f>HYPERLINK("https://rth.dk/resources/bsgatlas/details.php?id=BSGatlas-transcript-773","BSGatlas-transcript-773")</f>
        <v>BSGatlas-transcript-773</v>
      </c>
      <c r="B774" s="1" t="s">
        <v>5510</v>
      </c>
      <c r="C774" s="3">
        <v>754480</v>
      </c>
      <c r="D774" s="3">
        <v>755826</v>
      </c>
      <c r="E774" s="1" t="s">
        <v>9</v>
      </c>
      <c r="F774" s="1">
        <v>0</v>
      </c>
      <c r="G774" s="1" t="s">
        <v>4372</v>
      </c>
      <c r="H774" s="1" t="s">
        <v>4372</v>
      </c>
      <c r="I774" s="1" t="s">
        <v>4373</v>
      </c>
      <c r="J774" s="1" t="s">
        <v>318</v>
      </c>
      <c r="K774" s="1" t="s">
        <v>5511</v>
      </c>
    </row>
    <row r="775" spans="1:11" ht="21" x14ac:dyDescent="0.25">
      <c r="A775" s="11" t="str">
        <f>HYPERLINK("https://rth.dk/resources/bsgatlas/details.php?id=BSGatlas-transcript-774","BSGatlas-transcript-774")</f>
        <v>BSGatlas-transcript-774</v>
      </c>
      <c r="B775" s="1" t="s">
        <v>5512</v>
      </c>
      <c r="C775" s="3">
        <v>755877</v>
      </c>
      <c r="D775" s="3">
        <v>757653</v>
      </c>
      <c r="E775" s="1" t="s">
        <v>9</v>
      </c>
      <c r="F775" s="1">
        <v>1</v>
      </c>
      <c r="G775" s="1">
        <v>31</v>
      </c>
      <c r="H775" s="1" t="s">
        <v>4372</v>
      </c>
      <c r="I775" s="1" t="s">
        <v>4377</v>
      </c>
      <c r="J775" s="1" t="s">
        <v>5513</v>
      </c>
      <c r="K775" s="1" t="s">
        <v>5514</v>
      </c>
    </row>
    <row r="776" spans="1:11" ht="21" x14ac:dyDescent="0.25">
      <c r="A776" s="11" t="str">
        <f>HYPERLINK("https://rth.dk/resources/bsgatlas/details.php?id=BSGatlas-transcript-775","BSGatlas-transcript-775")</f>
        <v>BSGatlas-transcript-775</v>
      </c>
      <c r="B776" s="1" t="s">
        <v>5515</v>
      </c>
      <c r="C776" s="3">
        <v>755877</v>
      </c>
      <c r="D776" s="3">
        <v>757978</v>
      </c>
      <c r="E776" s="1" t="s">
        <v>9</v>
      </c>
      <c r="F776" s="1">
        <v>2</v>
      </c>
      <c r="G776" s="1">
        <v>31</v>
      </c>
      <c r="H776" s="1" t="s">
        <v>4372</v>
      </c>
      <c r="I776" s="1" t="s">
        <v>4373</v>
      </c>
      <c r="J776" s="1" t="s">
        <v>5513</v>
      </c>
      <c r="K776" s="1" t="s">
        <v>318</v>
      </c>
    </row>
    <row r="777" spans="1:11" ht="21" x14ac:dyDescent="0.25">
      <c r="A777" s="11" t="str">
        <f>HYPERLINK("https://rth.dk/resources/bsgatlas/details.php?id=BSGatlas-transcript-776","BSGatlas-transcript-776")</f>
        <v>BSGatlas-transcript-776</v>
      </c>
      <c r="B777" s="1" t="s">
        <v>789</v>
      </c>
      <c r="C777" s="3">
        <v>757067</v>
      </c>
      <c r="D777" s="3">
        <v>757653</v>
      </c>
      <c r="E777" s="1" t="s">
        <v>9</v>
      </c>
      <c r="F777" s="1">
        <v>0</v>
      </c>
      <c r="G777" s="1" t="s">
        <v>4372</v>
      </c>
      <c r="H777" s="1" t="s">
        <v>4372</v>
      </c>
      <c r="I777" s="1" t="s">
        <v>4377</v>
      </c>
      <c r="J777" s="1" t="s">
        <v>5516</v>
      </c>
      <c r="K777" s="1" t="s">
        <v>5514</v>
      </c>
    </row>
    <row r="778" spans="1:11" ht="21" x14ac:dyDescent="0.25">
      <c r="A778" s="11" t="str">
        <f>HYPERLINK("https://rth.dk/resources/bsgatlas/details.php?id=BSGatlas-transcript-777","BSGatlas-transcript-777")</f>
        <v>BSGatlas-transcript-777</v>
      </c>
      <c r="B778" s="1" t="s">
        <v>5517</v>
      </c>
      <c r="C778" s="3">
        <v>758046</v>
      </c>
      <c r="D778" s="3">
        <v>761558</v>
      </c>
      <c r="E778" s="1" t="s">
        <v>9</v>
      </c>
      <c r="F778" s="1">
        <v>0</v>
      </c>
      <c r="G778" s="1" t="s">
        <v>4372</v>
      </c>
      <c r="H778" s="1" t="s">
        <v>4372</v>
      </c>
      <c r="I778" s="1" t="s">
        <v>4386</v>
      </c>
      <c r="J778" s="1" t="s">
        <v>5518</v>
      </c>
      <c r="K778" s="1" t="s">
        <v>5519</v>
      </c>
    </row>
    <row r="779" spans="1:11" ht="21" x14ac:dyDescent="0.25">
      <c r="A779" s="11" t="str">
        <f>HYPERLINK("https://rth.dk/resources/bsgatlas/details.php?id=BSGatlas-transcript-778","BSGatlas-transcript-778")</f>
        <v>BSGatlas-transcript-778</v>
      </c>
      <c r="B779" s="1" t="s">
        <v>794</v>
      </c>
      <c r="C779" s="3">
        <v>761622</v>
      </c>
      <c r="D779" s="3">
        <v>762945</v>
      </c>
      <c r="E779" s="1" t="s">
        <v>9</v>
      </c>
      <c r="F779" s="1">
        <v>0</v>
      </c>
      <c r="G779" s="1" t="s">
        <v>4372</v>
      </c>
      <c r="H779" s="1" t="s">
        <v>4372</v>
      </c>
      <c r="I779" s="1" t="s">
        <v>4377</v>
      </c>
      <c r="J779" s="1" t="s">
        <v>5520</v>
      </c>
      <c r="K779" s="1" t="s">
        <v>318</v>
      </c>
    </row>
    <row r="780" spans="1:11" ht="21" x14ac:dyDescent="0.25">
      <c r="A780" s="11" t="str">
        <f>HYPERLINK("https://rth.dk/resources/bsgatlas/details.php?id=BSGatlas-transcript-779","BSGatlas-transcript-779")</f>
        <v>BSGatlas-transcript-779</v>
      </c>
      <c r="B780" s="1" t="s">
        <v>5521</v>
      </c>
      <c r="C780" s="3">
        <v>765838</v>
      </c>
      <c r="D780" s="3">
        <v>776790</v>
      </c>
      <c r="E780" s="1" t="s">
        <v>9</v>
      </c>
      <c r="F780" s="1">
        <v>3</v>
      </c>
      <c r="G780" s="1" t="s">
        <v>4372</v>
      </c>
      <c r="H780" s="1" t="s">
        <v>4372</v>
      </c>
      <c r="I780" s="1" t="s">
        <v>4386</v>
      </c>
      <c r="J780" s="1" t="s">
        <v>318</v>
      </c>
      <c r="K780" s="1" t="s">
        <v>318</v>
      </c>
    </row>
    <row r="781" spans="1:11" ht="21" x14ac:dyDescent="0.25">
      <c r="A781" s="11" t="str">
        <f>HYPERLINK("https://rth.dk/resources/bsgatlas/details.php?id=BSGatlas-transcript-780","BSGatlas-transcript-780")</f>
        <v>BSGatlas-transcript-780</v>
      </c>
      <c r="B781" s="1" t="s">
        <v>5522</v>
      </c>
      <c r="C781" s="3">
        <v>782720</v>
      </c>
      <c r="D781" s="3">
        <v>785096</v>
      </c>
      <c r="E781" s="1" t="s">
        <v>9</v>
      </c>
      <c r="F781" s="1">
        <v>1</v>
      </c>
      <c r="G781" s="1">
        <v>239</v>
      </c>
      <c r="H781" s="1">
        <v>21</v>
      </c>
      <c r="I781" s="1" t="s">
        <v>4386</v>
      </c>
      <c r="J781" s="1" t="s">
        <v>5523</v>
      </c>
      <c r="K781" s="1" t="s">
        <v>5524</v>
      </c>
    </row>
    <row r="782" spans="1:11" ht="21" x14ac:dyDescent="0.25">
      <c r="A782" s="11" t="str">
        <f>HYPERLINK("https://rth.dk/resources/bsgatlas/details.php?id=BSGatlas-transcript-781","BSGatlas-transcript-781")</f>
        <v>BSGatlas-transcript-781</v>
      </c>
      <c r="B782" s="1" t="s">
        <v>5522</v>
      </c>
      <c r="C782" s="3">
        <v>782720</v>
      </c>
      <c r="D782" s="3">
        <v>785448</v>
      </c>
      <c r="E782" s="1" t="s">
        <v>9</v>
      </c>
      <c r="F782" s="1">
        <v>1</v>
      </c>
      <c r="G782" s="1">
        <v>239</v>
      </c>
      <c r="H782" s="1">
        <v>373</v>
      </c>
      <c r="I782" s="1" t="s">
        <v>4386</v>
      </c>
      <c r="J782" s="1" t="s">
        <v>5523</v>
      </c>
      <c r="K782" s="1" t="s">
        <v>5525</v>
      </c>
    </row>
    <row r="783" spans="1:11" ht="21" x14ac:dyDescent="0.25">
      <c r="A783" s="11" t="str">
        <f>HYPERLINK("https://rth.dk/resources/bsgatlas/details.php?id=BSGatlas-transcript-782","BSGatlas-transcript-782")</f>
        <v>BSGatlas-transcript-782</v>
      </c>
      <c r="B783" s="1" t="s">
        <v>805</v>
      </c>
      <c r="C783" s="3">
        <v>783359</v>
      </c>
      <c r="D783" s="3">
        <v>785465</v>
      </c>
      <c r="E783" s="1" t="s">
        <v>13</v>
      </c>
      <c r="F783" s="1">
        <v>0</v>
      </c>
      <c r="G783" s="1" t="s">
        <v>4372</v>
      </c>
      <c r="H783" s="1" t="s">
        <v>4372</v>
      </c>
      <c r="I783" s="1" t="s">
        <v>4397</v>
      </c>
      <c r="J783" s="1" t="s">
        <v>5526</v>
      </c>
      <c r="K783" s="1" t="s">
        <v>5527</v>
      </c>
    </row>
    <row r="784" spans="1:11" ht="21" x14ac:dyDescent="0.25">
      <c r="A784" s="11" t="str">
        <f>HYPERLINK("https://rth.dk/resources/bsgatlas/details.php?id=BSGatlas-transcript-783","BSGatlas-transcript-783")</f>
        <v>BSGatlas-transcript-783</v>
      </c>
      <c r="B784" s="1" t="s">
        <v>805</v>
      </c>
      <c r="C784" s="3">
        <v>785113</v>
      </c>
      <c r="D784" s="3">
        <v>785465</v>
      </c>
      <c r="E784" s="1" t="s">
        <v>13</v>
      </c>
      <c r="F784" s="1">
        <v>0</v>
      </c>
      <c r="G784" s="1" t="s">
        <v>4372</v>
      </c>
      <c r="H784" s="1" t="s">
        <v>4372</v>
      </c>
      <c r="I784" s="1" t="s">
        <v>4397</v>
      </c>
      <c r="J784" s="1" t="s">
        <v>5526</v>
      </c>
      <c r="K784" s="1" t="s">
        <v>5528</v>
      </c>
    </row>
    <row r="785" spans="1:11" ht="21" x14ac:dyDescent="0.25">
      <c r="A785" s="11" t="str">
        <f>HYPERLINK("https://rth.dk/resources/bsgatlas/details.php?id=BSGatlas-transcript-784","BSGatlas-transcript-784")</f>
        <v>BSGatlas-transcript-784</v>
      </c>
      <c r="B785" s="1" t="s">
        <v>806</v>
      </c>
      <c r="C785" s="3">
        <v>785543</v>
      </c>
      <c r="D785" s="3">
        <v>785942</v>
      </c>
      <c r="E785" s="1" t="s">
        <v>13</v>
      </c>
      <c r="F785" s="1">
        <v>0</v>
      </c>
      <c r="G785" s="1" t="s">
        <v>4372</v>
      </c>
      <c r="H785" s="1" t="s">
        <v>4372</v>
      </c>
      <c r="I785" s="1" t="s">
        <v>4386</v>
      </c>
      <c r="J785" s="1" t="s">
        <v>5529</v>
      </c>
      <c r="K785" s="1" t="s">
        <v>318</v>
      </c>
    </row>
    <row r="786" spans="1:11" ht="21" x14ac:dyDescent="0.25">
      <c r="A786" s="11" t="str">
        <f>HYPERLINK("https://rth.dk/resources/bsgatlas/details.php?id=BSGatlas-transcript-785","BSGatlas-transcript-785")</f>
        <v>BSGatlas-transcript-785</v>
      </c>
      <c r="B786" s="1" t="s">
        <v>807</v>
      </c>
      <c r="C786" s="3">
        <v>785976</v>
      </c>
      <c r="D786" s="3">
        <v>786536</v>
      </c>
      <c r="E786" s="1" t="s">
        <v>13</v>
      </c>
      <c r="F786" s="1">
        <v>0</v>
      </c>
      <c r="G786" s="1" t="s">
        <v>4372</v>
      </c>
      <c r="H786" s="1" t="s">
        <v>4372</v>
      </c>
      <c r="I786" s="1" t="s">
        <v>4377</v>
      </c>
      <c r="J786" s="1" t="s">
        <v>5530</v>
      </c>
      <c r="K786" s="1" t="s">
        <v>5531</v>
      </c>
    </row>
    <row r="787" spans="1:11" ht="21" x14ac:dyDescent="0.25">
      <c r="A787" s="11" t="str">
        <f>HYPERLINK("https://rth.dk/resources/bsgatlas/details.php?id=BSGatlas-transcript-786","BSGatlas-transcript-786")</f>
        <v>BSGatlas-transcript-786</v>
      </c>
      <c r="B787" s="1" t="s">
        <v>5532</v>
      </c>
      <c r="C787" s="3">
        <v>786640</v>
      </c>
      <c r="D787" s="3">
        <v>787560</v>
      </c>
      <c r="E787" s="1" t="s">
        <v>9</v>
      </c>
      <c r="F787" s="1">
        <v>0</v>
      </c>
      <c r="G787" s="1" t="s">
        <v>4372</v>
      </c>
      <c r="H787" s="1" t="s">
        <v>4372</v>
      </c>
      <c r="I787" s="1" t="s">
        <v>4386</v>
      </c>
      <c r="J787" s="1" t="s">
        <v>5533</v>
      </c>
      <c r="K787" s="1" t="s">
        <v>5534</v>
      </c>
    </row>
    <row r="788" spans="1:11" ht="21" x14ac:dyDescent="0.25">
      <c r="A788" s="11" t="str">
        <f>HYPERLINK("https://rth.dk/resources/bsgatlas/details.php?id=BSGatlas-transcript-787","BSGatlas-transcript-787")</f>
        <v>BSGatlas-transcript-787</v>
      </c>
      <c r="B788" s="1" t="s">
        <v>5535</v>
      </c>
      <c r="C788" s="3">
        <v>787660</v>
      </c>
      <c r="D788" s="3">
        <v>788636</v>
      </c>
      <c r="E788" s="1" t="s">
        <v>9</v>
      </c>
      <c r="F788" s="1">
        <v>1</v>
      </c>
      <c r="G788" s="1">
        <v>56</v>
      </c>
      <c r="H788" s="1" t="s">
        <v>4372</v>
      </c>
      <c r="I788" s="1" t="s">
        <v>4386</v>
      </c>
      <c r="J788" s="1" t="s">
        <v>5536</v>
      </c>
      <c r="K788" s="1" t="s">
        <v>5537</v>
      </c>
    </row>
    <row r="789" spans="1:11" ht="21" x14ac:dyDescent="0.25">
      <c r="A789" s="11" t="str">
        <f>HYPERLINK("https://rth.dk/resources/bsgatlas/details.php?id=BSGatlas-transcript-788","BSGatlas-transcript-788")</f>
        <v>BSGatlas-transcript-788</v>
      </c>
      <c r="B789" s="1" t="s">
        <v>5538</v>
      </c>
      <c r="C789" s="3">
        <v>787660</v>
      </c>
      <c r="D789" s="3">
        <v>789628</v>
      </c>
      <c r="E789" s="1" t="s">
        <v>9</v>
      </c>
      <c r="F789" s="1">
        <v>1</v>
      </c>
      <c r="G789" s="1">
        <v>56</v>
      </c>
      <c r="H789" s="1" t="s">
        <v>4372</v>
      </c>
      <c r="I789" s="1" t="s">
        <v>4386</v>
      </c>
      <c r="J789" s="1" t="s">
        <v>5536</v>
      </c>
      <c r="K789" s="1" t="s">
        <v>5539</v>
      </c>
    </row>
    <row r="790" spans="1:11" ht="21" x14ac:dyDescent="0.25">
      <c r="A790" s="11" t="str">
        <f>HYPERLINK("https://rth.dk/resources/bsgatlas/details.php?id=BSGatlas-transcript-789","BSGatlas-transcript-789")</f>
        <v>BSGatlas-transcript-789</v>
      </c>
      <c r="B790" s="1" t="s">
        <v>810</v>
      </c>
      <c r="C790" s="3">
        <v>787948</v>
      </c>
      <c r="D790" s="3">
        <v>788636</v>
      </c>
      <c r="E790" s="1" t="s">
        <v>9</v>
      </c>
      <c r="F790" s="1">
        <v>0</v>
      </c>
      <c r="G790" s="1" t="s">
        <v>4372</v>
      </c>
      <c r="H790" s="1" t="s">
        <v>4372</v>
      </c>
      <c r="I790" s="1" t="s">
        <v>4386</v>
      </c>
      <c r="J790" s="1" t="s">
        <v>5540</v>
      </c>
      <c r="K790" s="1" t="s">
        <v>5537</v>
      </c>
    </row>
    <row r="791" spans="1:11" ht="21" x14ac:dyDescent="0.25">
      <c r="A791" s="11" t="str">
        <f>HYPERLINK("https://rth.dk/resources/bsgatlas/details.php?id=BSGatlas-transcript-790","BSGatlas-transcript-790")</f>
        <v>BSGatlas-transcript-790</v>
      </c>
      <c r="B791" s="1" t="s">
        <v>5541</v>
      </c>
      <c r="C791" s="3">
        <v>787948</v>
      </c>
      <c r="D791" s="3">
        <v>789628</v>
      </c>
      <c r="E791" s="1" t="s">
        <v>9</v>
      </c>
      <c r="F791" s="1">
        <v>0</v>
      </c>
      <c r="G791" s="1" t="s">
        <v>4372</v>
      </c>
      <c r="H791" s="1" t="s">
        <v>4372</v>
      </c>
      <c r="I791" s="1" t="s">
        <v>4386</v>
      </c>
      <c r="J791" s="1" t="s">
        <v>5540</v>
      </c>
      <c r="K791" s="1" t="s">
        <v>5539</v>
      </c>
    </row>
    <row r="792" spans="1:11" ht="21" x14ac:dyDescent="0.25">
      <c r="A792" s="11" t="str">
        <f>HYPERLINK("https://rth.dk/resources/bsgatlas/details.php?id=BSGatlas-transcript-791","BSGatlas-transcript-791")</f>
        <v>BSGatlas-transcript-791</v>
      </c>
      <c r="B792" s="1" t="s">
        <v>812</v>
      </c>
      <c r="C792" s="3">
        <v>789652</v>
      </c>
      <c r="D792" s="3">
        <v>790188</v>
      </c>
      <c r="E792" s="1" t="s">
        <v>13</v>
      </c>
      <c r="F792" s="1">
        <v>0</v>
      </c>
      <c r="G792" s="1" t="s">
        <v>4372</v>
      </c>
      <c r="H792" s="1" t="s">
        <v>4372</v>
      </c>
      <c r="I792" s="1" t="s">
        <v>4397</v>
      </c>
      <c r="J792" s="1" t="s">
        <v>5542</v>
      </c>
      <c r="K792" s="1" t="s">
        <v>318</v>
      </c>
    </row>
    <row r="793" spans="1:11" ht="21" x14ac:dyDescent="0.25">
      <c r="A793" s="11" t="str">
        <f>HYPERLINK("https://rth.dk/resources/bsgatlas/details.php?id=BSGatlas-transcript-792","BSGatlas-transcript-792")</f>
        <v>BSGatlas-transcript-792</v>
      </c>
      <c r="B793" s="1" t="s">
        <v>813</v>
      </c>
      <c r="C793" s="3">
        <v>790318</v>
      </c>
      <c r="D793" s="3">
        <v>791427</v>
      </c>
      <c r="E793" s="1" t="s">
        <v>9</v>
      </c>
      <c r="F793" s="1">
        <v>0</v>
      </c>
      <c r="G793" s="1" t="s">
        <v>4372</v>
      </c>
      <c r="H793" s="1" t="s">
        <v>4372</v>
      </c>
      <c r="I793" s="1" t="s">
        <v>4397</v>
      </c>
      <c r="J793" s="1" t="s">
        <v>318</v>
      </c>
      <c r="K793" s="1" t="s">
        <v>5543</v>
      </c>
    </row>
    <row r="794" spans="1:11" ht="21" x14ac:dyDescent="0.25">
      <c r="A794" s="11" t="str">
        <f>HYPERLINK("https://rth.dk/resources/bsgatlas/details.php?id=BSGatlas-transcript-793","BSGatlas-transcript-793")</f>
        <v>BSGatlas-transcript-793</v>
      </c>
      <c r="B794" s="1" t="s">
        <v>814</v>
      </c>
      <c r="C794" s="3">
        <v>791462</v>
      </c>
      <c r="D794" s="3">
        <v>792589</v>
      </c>
      <c r="E794" s="1" t="s">
        <v>13</v>
      </c>
      <c r="F794" s="1">
        <v>0</v>
      </c>
      <c r="G794" s="1" t="s">
        <v>4372</v>
      </c>
      <c r="H794" s="1" t="s">
        <v>4372</v>
      </c>
      <c r="I794" s="1" t="s">
        <v>4397</v>
      </c>
      <c r="J794" s="1" t="s">
        <v>5544</v>
      </c>
      <c r="K794" s="1" t="s">
        <v>5545</v>
      </c>
    </row>
    <row r="795" spans="1:11" ht="21" x14ac:dyDescent="0.25">
      <c r="A795" s="11" t="str">
        <f>HYPERLINK("https://rth.dk/resources/bsgatlas/details.php?id=BSGatlas-transcript-794","BSGatlas-transcript-794")</f>
        <v>BSGatlas-transcript-794</v>
      </c>
      <c r="B795" s="1" t="s">
        <v>815</v>
      </c>
      <c r="C795" s="3">
        <v>792642</v>
      </c>
      <c r="D795" s="3">
        <v>795867</v>
      </c>
      <c r="E795" s="1" t="s">
        <v>9</v>
      </c>
      <c r="F795" s="1">
        <v>0</v>
      </c>
      <c r="G795" s="1" t="s">
        <v>4372</v>
      </c>
      <c r="H795" s="1" t="s">
        <v>4372</v>
      </c>
      <c r="I795" s="1" t="s">
        <v>4386</v>
      </c>
      <c r="J795" s="1" t="s">
        <v>5546</v>
      </c>
      <c r="K795" s="1" t="s">
        <v>5547</v>
      </c>
    </row>
    <row r="796" spans="1:11" ht="21" x14ac:dyDescent="0.25">
      <c r="A796" s="11" t="str">
        <f>HYPERLINK("https://rth.dk/resources/bsgatlas/details.php?id=BSGatlas-transcript-795","BSGatlas-transcript-795")</f>
        <v>BSGatlas-transcript-795</v>
      </c>
      <c r="B796" s="1" t="s">
        <v>816</v>
      </c>
      <c r="C796" s="3">
        <v>795959</v>
      </c>
      <c r="D796" s="3">
        <v>796075</v>
      </c>
      <c r="E796" s="1" t="s">
        <v>9</v>
      </c>
      <c r="F796" s="1">
        <v>0</v>
      </c>
      <c r="G796" s="1" t="s">
        <v>4372</v>
      </c>
      <c r="H796" s="1" t="s">
        <v>4372</v>
      </c>
      <c r="I796" s="1" t="s">
        <v>4377</v>
      </c>
      <c r="J796" s="1" t="s">
        <v>5548</v>
      </c>
      <c r="K796" s="1" t="s">
        <v>318</v>
      </c>
    </row>
    <row r="797" spans="1:11" ht="21" x14ac:dyDescent="0.25">
      <c r="A797" s="11" t="str">
        <f>HYPERLINK("https://rth.dk/resources/bsgatlas/details.php?id=BSGatlas-transcript-796","BSGatlas-transcript-796")</f>
        <v>BSGatlas-transcript-796</v>
      </c>
      <c r="B797" s="1" t="s">
        <v>816</v>
      </c>
      <c r="C797" s="3">
        <v>796008</v>
      </c>
      <c r="D797" s="3">
        <v>796075</v>
      </c>
      <c r="E797" s="1" t="s">
        <v>9</v>
      </c>
      <c r="F797" s="1">
        <v>0</v>
      </c>
      <c r="G797" s="1" t="s">
        <v>4372</v>
      </c>
      <c r="H797" s="1" t="s">
        <v>4372</v>
      </c>
      <c r="I797" s="1" t="s">
        <v>4377</v>
      </c>
      <c r="J797" s="1" t="s">
        <v>5549</v>
      </c>
      <c r="K797" s="1" t="s">
        <v>318</v>
      </c>
    </row>
    <row r="798" spans="1:11" ht="21" x14ac:dyDescent="0.25">
      <c r="A798" s="11" t="str">
        <f>HYPERLINK("https://rth.dk/resources/bsgatlas/details.php?id=BSGatlas-transcript-797","BSGatlas-transcript-797")</f>
        <v>BSGatlas-transcript-797</v>
      </c>
      <c r="B798" s="1" t="s">
        <v>817</v>
      </c>
      <c r="C798" s="3">
        <v>796314</v>
      </c>
      <c r="D798" s="3">
        <v>798294</v>
      </c>
      <c r="E798" s="1" t="s">
        <v>9</v>
      </c>
      <c r="F798" s="1">
        <v>0</v>
      </c>
      <c r="G798" s="1" t="s">
        <v>4372</v>
      </c>
      <c r="H798" s="1" t="s">
        <v>4372</v>
      </c>
      <c r="I798" s="1" t="s">
        <v>4373</v>
      </c>
      <c r="J798" s="1" t="s">
        <v>318</v>
      </c>
      <c r="K798" s="1" t="s">
        <v>5550</v>
      </c>
    </row>
    <row r="799" spans="1:11" ht="21" x14ac:dyDescent="0.25">
      <c r="A799" s="11" t="str">
        <f>HYPERLINK("https://rth.dk/resources/bsgatlas/details.php?id=BSGatlas-transcript-798","BSGatlas-transcript-798")</f>
        <v>BSGatlas-transcript-798</v>
      </c>
      <c r="B799" s="1" t="s">
        <v>5551</v>
      </c>
      <c r="C799" s="3">
        <v>798360</v>
      </c>
      <c r="D799" s="3">
        <v>803286</v>
      </c>
      <c r="E799" s="1" t="s">
        <v>9</v>
      </c>
      <c r="F799" s="1">
        <v>2</v>
      </c>
      <c r="G799" s="1">
        <v>110</v>
      </c>
      <c r="H799" s="1" t="s">
        <v>4372</v>
      </c>
      <c r="I799" s="1" t="s">
        <v>4373</v>
      </c>
      <c r="J799" s="1" t="s">
        <v>5552</v>
      </c>
      <c r="K799" s="1" t="s">
        <v>5553</v>
      </c>
    </row>
    <row r="800" spans="1:11" ht="21" x14ac:dyDescent="0.25">
      <c r="A800" s="11" t="str">
        <f>HYPERLINK("https://rth.dk/resources/bsgatlas/details.php?id=BSGatlas-transcript-799","BSGatlas-transcript-799")</f>
        <v>BSGatlas-transcript-799</v>
      </c>
      <c r="B800" s="1" t="s">
        <v>5551</v>
      </c>
      <c r="C800" s="3">
        <v>798360</v>
      </c>
      <c r="D800" s="3">
        <v>803326</v>
      </c>
      <c r="E800" s="1" t="s">
        <v>9</v>
      </c>
      <c r="F800" s="1">
        <v>2</v>
      </c>
      <c r="G800" s="1">
        <v>110</v>
      </c>
      <c r="H800" s="1">
        <v>41</v>
      </c>
      <c r="I800" s="1" t="s">
        <v>4373</v>
      </c>
      <c r="J800" s="1" t="s">
        <v>5552</v>
      </c>
      <c r="K800" s="1" t="s">
        <v>5554</v>
      </c>
    </row>
    <row r="801" spans="1:11" ht="21" x14ac:dyDescent="0.25">
      <c r="A801" s="11" t="str">
        <f>HYPERLINK("https://rth.dk/resources/bsgatlas/details.php?id=BSGatlas-transcript-800","BSGatlas-transcript-800")</f>
        <v>BSGatlas-transcript-800</v>
      </c>
      <c r="B801" s="1" t="s">
        <v>5555</v>
      </c>
      <c r="C801" s="3">
        <v>801046</v>
      </c>
      <c r="D801" s="3">
        <v>803286</v>
      </c>
      <c r="E801" s="1" t="s">
        <v>9</v>
      </c>
      <c r="F801" s="1">
        <v>0</v>
      </c>
      <c r="G801" s="1" t="s">
        <v>4372</v>
      </c>
      <c r="H801" s="1" t="s">
        <v>4372</v>
      </c>
      <c r="I801" s="1" t="s">
        <v>4386</v>
      </c>
      <c r="J801" s="1" t="s">
        <v>5556</v>
      </c>
      <c r="K801" s="1" t="s">
        <v>5553</v>
      </c>
    </row>
    <row r="802" spans="1:11" ht="21" x14ac:dyDescent="0.25">
      <c r="A802" s="11" t="str">
        <f>HYPERLINK("https://rth.dk/resources/bsgatlas/details.php?id=BSGatlas-transcript-801","BSGatlas-transcript-801")</f>
        <v>BSGatlas-transcript-801</v>
      </c>
      <c r="B802" s="1" t="s">
        <v>5555</v>
      </c>
      <c r="C802" s="3">
        <v>801046</v>
      </c>
      <c r="D802" s="3">
        <v>803326</v>
      </c>
      <c r="E802" s="1" t="s">
        <v>9</v>
      </c>
      <c r="F802" s="1">
        <v>0</v>
      </c>
      <c r="G802" s="1" t="s">
        <v>4372</v>
      </c>
      <c r="H802" s="1" t="s">
        <v>4372</v>
      </c>
      <c r="I802" s="1" t="s">
        <v>4386</v>
      </c>
      <c r="J802" s="1" t="s">
        <v>5556</v>
      </c>
      <c r="K802" s="1" t="s">
        <v>5554</v>
      </c>
    </row>
    <row r="803" spans="1:11" ht="21" x14ac:dyDescent="0.25">
      <c r="A803" s="11" t="str">
        <f>HYPERLINK("https://rth.dk/resources/bsgatlas/details.php?id=BSGatlas-transcript-802","BSGatlas-transcript-802")</f>
        <v>BSGatlas-transcript-802</v>
      </c>
      <c r="B803" s="1" t="s">
        <v>5555</v>
      </c>
      <c r="C803" s="3">
        <v>801172</v>
      </c>
      <c r="D803" s="3">
        <v>803286</v>
      </c>
      <c r="E803" s="1" t="s">
        <v>9</v>
      </c>
      <c r="F803" s="1">
        <v>0</v>
      </c>
      <c r="G803" s="1" t="s">
        <v>4372</v>
      </c>
      <c r="H803" s="1" t="s">
        <v>4372</v>
      </c>
      <c r="I803" s="1" t="s">
        <v>4386</v>
      </c>
      <c r="J803" s="1" t="s">
        <v>5557</v>
      </c>
      <c r="K803" s="1" t="s">
        <v>5553</v>
      </c>
    </row>
    <row r="804" spans="1:11" ht="21" x14ac:dyDescent="0.25">
      <c r="A804" s="11" t="str">
        <f>HYPERLINK("https://rth.dk/resources/bsgatlas/details.php?id=BSGatlas-transcript-803","BSGatlas-transcript-803")</f>
        <v>BSGatlas-transcript-803</v>
      </c>
      <c r="B804" s="1" t="s">
        <v>5555</v>
      </c>
      <c r="C804" s="3">
        <v>801172</v>
      </c>
      <c r="D804" s="3">
        <v>803326</v>
      </c>
      <c r="E804" s="1" t="s">
        <v>9</v>
      </c>
      <c r="F804" s="1">
        <v>0</v>
      </c>
      <c r="G804" s="1" t="s">
        <v>4372</v>
      </c>
      <c r="H804" s="1" t="s">
        <v>4372</v>
      </c>
      <c r="I804" s="1" t="s">
        <v>4386</v>
      </c>
      <c r="J804" s="1" t="s">
        <v>5557</v>
      </c>
      <c r="K804" s="1" t="s">
        <v>5554</v>
      </c>
    </row>
    <row r="805" spans="1:11" ht="21" x14ac:dyDescent="0.25">
      <c r="A805" s="11" t="str">
        <f>HYPERLINK("https://rth.dk/resources/bsgatlas/details.php?id=BSGatlas-transcript-804","BSGatlas-transcript-804")</f>
        <v>BSGatlas-transcript-804</v>
      </c>
      <c r="B805" s="1" t="s">
        <v>822</v>
      </c>
      <c r="C805" s="3">
        <v>801926</v>
      </c>
      <c r="D805" s="3">
        <v>803286</v>
      </c>
      <c r="E805" s="1" t="s">
        <v>9</v>
      </c>
      <c r="F805" s="1">
        <v>0</v>
      </c>
      <c r="G805" s="1" t="s">
        <v>4372</v>
      </c>
      <c r="H805" s="1" t="s">
        <v>4372</v>
      </c>
      <c r="I805" s="1" t="s">
        <v>4386</v>
      </c>
      <c r="J805" s="1" t="s">
        <v>5558</v>
      </c>
      <c r="K805" s="1" t="s">
        <v>5553</v>
      </c>
    </row>
    <row r="806" spans="1:11" ht="21" x14ac:dyDescent="0.25">
      <c r="A806" s="11" t="str">
        <f>HYPERLINK("https://rth.dk/resources/bsgatlas/details.php?id=BSGatlas-transcript-805","BSGatlas-transcript-805")</f>
        <v>BSGatlas-transcript-805</v>
      </c>
      <c r="B806" s="1" t="s">
        <v>822</v>
      </c>
      <c r="C806" s="3">
        <v>801926</v>
      </c>
      <c r="D806" s="3">
        <v>803326</v>
      </c>
      <c r="E806" s="1" t="s">
        <v>9</v>
      </c>
      <c r="F806" s="1">
        <v>0</v>
      </c>
      <c r="G806" s="1" t="s">
        <v>4372</v>
      </c>
      <c r="H806" s="1" t="s">
        <v>4372</v>
      </c>
      <c r="I806" s="1" t="s">
        <v>4386</v>
      </c>
      <c r="J806" s="1" t="s">
        <v>5558</v>
      </c>
      <c r="K806" s="1" t="s">
        <v>5554</v>
      </c>
    </row>
    <row r="807" spans="1:11" ht="21" x14ac:dyDescent="0.25">
      <c r="A807" s="11" t="str">
        <f>HYPERLINK("https://rth.dk/resources/bsgatlas/details.php?id=BSGatlas-transcript-806","BSGatlas-transcript-806")</f>
        <v>BSGatlas-transcript-806</v>
      </c>
      <c r="B807" s="1" t="s">
        <v>823</v>
      </c>
      <c r="C807" s="3">
        <v>803276</v>
      </c>
      <c r="D807" s="3">
        <v>804593</v>
      </c>
      <c r="E807" s="1" t="s">
        <v>13</v>
      </c>
      <c r="F807" s="1">
        <v>0</v>
      </c>
      <c r="G807" s="1" t="s">
        <v>4372</v>
      </c>
      <c r="H807" s="1" t="s">
        <v>4372</v>
      </c>
      <c r="I807" s="1" t="s">
        <v>4373</v>
      </c>
      <c r="J807" s="1" t="s">
        <v>5559</v>
      </c>
      <c r="K807" s="1" t="s">
        <v>5560</v>
      </c>
    </row>
    <row r="808" spans="1:11" ht="21" x14ac:dyDescent="0.25">
      <c r="A808" s="11" t="str">
        <f>HYPERLINK("https://rth.dk/resources/bsgatlas/details.php?id=BSGatlas-transcript-807","BSGatlas-transcript-807")</f>
        <v>BSGatlas-transcript-807</v>
      </c>
      <c r="B808" s="1" t="s">
        <v>824</v>
      </c>
      <c r="C808" s="3">
        <v>804628</v>
      </c>
      <c r="D808" s="3">
        <v>805410</v>
      </c>
      <c r="E808" s="1" t="s">
        <v>13</v>
      </c>
      <c r="F808" s="1">
        <v>0</v>
      </c>
      <c r="G808" s="1" t="s">
        <v>4372</v>
      </c>
      <c r="H808" s="1" t="s">
        <v>4372</v>
      </c>
      <c r="I808" s="1" t="s">
        <v>4373</v>
      </c>
      <c r="J808" s="1" t="s">
        <v>5561</v>
      </c>
      <c r="K808" s="1" t="s">
        <v>5562</v>
      </c>
    </row>
    <row r="809" spans="1:11" ht="21" x14ac:dyDescent="0.25">
      <c r="A809" s="11" t="str">
        <f>HYPERLINK("https://rth.dk/resources/bsgatlas/details.php?id=BSGatlas-transcript-808","BSGatlas-transcript-808")</f>
        <v>BSGatlas-transcript-808</v>
      </c>
      <c r="B809" s="1" t="s">
        <v>5563</v>
      </c>
      <c r="C809" s="3">
        <v>804628</v>
      </c>
      <c r="D809" s="3">
        <v>806907</v>
      </c>
      <c r="E809" s="1" t="s">
        <v>13</v>
      </c>
      <c r="F809" s="1">
        <v>1</v>
      </c>
      <c r="G809" s="1">
        <v>67</v>
      </c>
      <c r="H809" s="1">
        <v>30</v>
      </c>
      <c r="I809" s="1" t="s">
        <v>4386</v>
      </c>
      <c r="J809" s="1" t="s">
        <v>5564</v>
      </c>
      <c r="K809" s="1" t="s">
        <v>5562</v>
      </c>
    </row>
    <row r="810" spans="1:11" ht="21" x14ac:dyDescent="0.25">
      <c r="A810" s="11" t="str">
        <f>HYPERLINK("https://rth.dk/resources/bsgatlas/details.php?id=BSGatlas-transcript-809","BSGatlas-transcript-809")</f>
        <v>BSGatlas-transcript-809</v>
      </c>
      <c r="B810" s="1" t="s">
        <v>5563</v>
      </c>
      <c r="C810" s="3">
        <v>804628</v>
      </c>
      <c r="D810" s="3">
        <v>807898</v>
      </c>
      <c r="E810" s="1" t="s">
        <v>13</v>
      </c>
      <c r="F810" s="1">
        <v>1</v>
      </c>
      <c r="G810" s="1">
        <v>1058</v>
      </c>
      <c r="H810" s="1">
        <v>30</v>
      </c>
      <c r="I810" s="1" t="s">
        <v>4386</v>
      </c>
      <c r="J810" s="1" t="s">
        <v>5565</v>
      </c>
      <c r="K810" s="1" t="s">
        <v>5562</v>
      </c>
    </row>
    <row r="811" spans="1:11" ht="21" x14ac:dyDescent="0.25">
      <c r="A811" s="11" t="str">
        <f>HYPERLINK("https://rth.dk/resources/bsgatlas/details.php?id=BSGatlas-transcript-810","BSGatlas-transcript-810")</f>
        <v>BSGatlas-transcript-810</v>
      </c>
      <c r="B811" s="1" t="s">
        <v>825</v>
      </c>
      <c r="C811" s="3">
        <v>805407</v>
      </c>
      <c r="D811" s="3">
        <v>806907</v>
      </c>
      <c r="E811" s="1" t="s">
        <v>13</v>
      </c>
      <c r="F811" s="1">
        <v>0</v>
      </c>
      <c r="G811" s="1" t="s">
        <v>4372</v>
      </c>
      <c r="H811" s="1" t="s">
        <v>4372</v>
      </c>
      <c r="I811" s="1" t="s">
        <v>4373</v>
      </c>
      <c r="J811" s="1" t="s">
        <v>5564</v>
      </c>
      <c r="K811" s="1" t="s">
        <v>5566</v>
      </c>
    </row>
    <row r="812" spans="1:11" ht="21" x14ac:dyDescent="0.25">
      <c r="A812" s="11" t="str">
        <f>HYPERLINK("https://rth.dk/resources/bsgatlas/details.php?id=BSGatlas-transcript-811","BSGatlas-transcript-811")</f>
        <v>BSGatlas-transcript-811</v>
      </c>
      <c r="B812" s="1" t="s">
        <v>825</v>
      </c>
      <c r="C812" s="3">
        <v>805407</v>
      </c>
      <c r="D812" s="3">
        <v>807898</v>
      </c>
      <c r="E812" s="1" t="s">
        <v>13</v>
      </c>
      <c r="F812" s="1">
        <v>0</v>
      </c>
      <c r="G812" s="1" t="s">
        <v>4372</v>
      </c>
      <c r="H812" s="1" t="s">
        <v>4372</v>
      </c>
      <c r="I812" s="1" t="s">
        <v>4373</v>
      </c>
      <c r="J812" s="1" t="s">
        <v>5565</v>
      </c>
      <c r="K812" s="1" t="s">
        <v>5566</v>
      </c>
    </row>
    <row r="813" spans="1:11" ht="21" x14ac:dyDescent="0.25">
      <c r="A813" s="11" t="str">
        <f>HYPERLINK("https://rth.dk/resources/bsgatlas/details.php?id=BSGatlas-transcript-812","BSGatlas-transcript-812")</f>
        <v>BSGatlas-transcript-812</v>
      </c>
      <c r="B813" s="1" t="s">
        <v>825</v>
      </c>
      <c r="C813" s="3">
        <v>805456</v>
      </c>
      <c r="D813" s="3">
        <v>806907</v>
      </c>
      <c r="E813" s="1" t="s">
        <v>13</v>
      </c>
      <c r="F813" s="1">
        <v>0</v>
      </c>
      <c r="G813" s="1" t="s">
        <v>4372</v>
      </c>
      <c r="H813" s="1" t="s">
        <v>4372</v>
      </c>
      <c r="I813" s="1" t="s">
        <v>4373</v>
      </c>
      <c r="J813" s="1" t="s">
        <v>5564</v>
      </c>
      <c r="K813" s="1" t="s">
        <v>5567</v>
      </c>
    </row>
    <row r="814" spans="1:11" ht="21" x14ac:dyDescent="0.25">
      <c r="A814" s="11" t="str">
        <f>HYPERLINK("https://rth.dk/resources/bsgatlas/details.php?id=BSGatlas-transcript-813","BSGatlas-transcript-813")</f>
        <v>BSGatlas-transcript-813</v>
      </c>
      <c r="B814" s="1" t="s">
        <v>825</v>
      </c>
      <c r="C814" s="3">
        <v>805456</v>
      </c>
      <c r="D814" s="3">
        <v>807898</v>
      </c>
      <c r="E814" s="1" t="s">
        <v>13</v>
      </c>
      <c r="F814" s="1">
        <v>0</v>
      </c>
      <c r="G814" s="1" t="s">
        <v>4372</v>
      </c>
      <c r="H814" s="1" t="s">
        <v>4372</v>
      </c>
      <c r="I814" s="1" t="s">
        <v>4373</v>
      </c>
      <c r="J814" s="1" t="s">
        <v>5565</v>
      </c>
      <c r="K814" s="1" t="s">
        <v>5567</v>
      </c>
    </row>
    <row r="815" spans="1:11" ht="21" x14ac:dyDescent="0.25">
      <c r="A815" s="11" t="str">
        <f>HYPERLINK("https://rth.dk/resources/bsgatlas/details.php?id=BSGatlas-transcript-814","BSGatlas-transcript-814")</f>
        <v>BSGatlas-transcript-814</v>
      </c>
      <c r="B815" s="1" t="s">
        <v>5568</v>
      </c>
      <c r="C815" s="3">
        <v>807024</v>
      </c>
      <c r="D815" s="3">
        <v>809463</v>
      </c>
      <c r="E815" s="1" t="s">
        <v>9</v>
      </c>
      <c r="F815" s="1">
        <v>0</v>
      </c>
      <c r="G815" s="1" t="s">
        <v>4372</v>
      </c>
      <c r="H815" s="1" t="s">
        <v>4372</v>
      </c>
      <c r="I815" s="1" t="s">
        <v>4373</v>
      </c>
      <c r="J815" s="1" t="s">
        <v>5569</v>
      </c>
      <c r="K815" s="1" t="s">
        <v>5570</v>
      </c>
    </row>
    <row r="816" spans="1:11" ht="21" x14ac:dyDescent="0.25">
      <c r="A816" s="11" t="str">
        <f>HYPERLINK("https://rth.dk/resources/bsgatlas/details.php?id=BSGatlas-transcript-815","BSGatlas-transcript-815")</f>
        <v>BSGatlas-transcript-815</v>
      </c>
      <c r="B816" s="1" t="s">
        <v>828</v>
      </c>
      <c r="C816" s="3">
        <v>809516</v>
      </c>
      <c r="D816" s="3">
        <v>811486</v>
      </c>
      <c r="E816" s="1" t="s">
        <v>9</v>
      </c>
      <c r="F816" s="1">
        <v>0</v>
      </c>
      <c r="G816" s="1" t="s">
        <v>4372</v>
      </c>
      <c r="H816" s="1" t="s">
        <v>4372</v>
      </c>
      <c r="I816" s="1" t="s">
        <v>4373</v>
      </c>
      <c r="J816" s="1" t="s">
        <v>5571</v>
      </c>
      <c r="K816" s="1" t="s">
        <v>5572</v>
      </c>
    </row>
    <row r="817" spans="1:11" ht="21" x14ac:dyDescent="0.25">
      <c r="A817" s="11" t="str">
        <f>HYPERLINK("https://rth.dk/resources/bsgatlas/details.php?id=BSGatlas-transcript-816","BSGatlas-transcript-816")</f>
        <v>BSGatlas-transcript-816</v>
      </c>
      <c r="B817" s="1" t="s">
        <v>829</v>
      </c>
      <c r="C817" s="3">
        <v>811518</v>
      </c>
      <c r="D817" s="3">
        <v>812015</v>
      </c>
      <c r="E817" s="1" t="s">
        <v>9</v>
      </c>
      <c r="F817" s="1">
        <v>0</v>
      </c>
      <c r="G817" s="1" t="s">
        <v>4372</v>
      </c>
      <c r="H817" s="1" t="s">
        <v>4372</v>
      </c>
      <c r="I817" s="1" t="s">
        <v>4373</v>
      </c>
      <c r="J817" s="1" t="s">
        <v>5573</v>
      </c>
      <c r="K817" s="1" t="s">
        <v>5574</v>
      </c>
    </row>
    <row r="818" spans="1:11" ht="21" x14ac:dyDescent="0.25">
      <c r="A818" s="11" t="str">
        <f>HYPERLINK("https://rth.dk/resources/bsgatlas/details.php?id=BSGatlas-transcript-817","BSGatlas-transcript-817")</f>
        <v>BSGatlas-transcript-817</v>
      </c>
      <c r="B818" s="1" t="s">
        <v>829</v>
      </c>
      <c r="C818" s="3">
        <v>811518</v>
      </c>
      <c r="D818" s="3">
        <v>812068</v>
      </c>
      <c r="E818" s="1" t="s">
        <v>9</v>
      </c>
      <c r="F818" s="1">
        <v>0</v>
      </c>
      <c r="G818" s="1" t="s">
        <v>4372</v>
      </c>
      <c r="H818" s="1" t="s">
        <v>4372</v>
      </c>
      <c r="I818" s="1" t="s">
        <v>4373</v>
      </c>
      <c r="J818" s="1" t="s">
        <v>5573</v>
      </c>
      <c r="K818" s="1" t="s">
        <v>5575</v>
      </c>
    </row>
    <row r="819" spans="1:11" ht="21" x14ac:dyDescent="0.25">
      <c r="A819" s="11" t="str">
        <f>HYPERLINK("https://rth.dk/resources/bsgatlas/details.php?id=BSGatlas-transcript-818","BSGatlas-transcript-818")</f>
        <v>BSGatlas-transcript-818</v>
      </c>
      <c r="B819" s="1" t="s">
        <v>830</v>
      </c>
      <c r="C819" s="3">
        <v>812116</v>
      </c>
      <c r="D819" s="3">
        <v>812562</v>
      </c>
      <c r="E819" s="1" t="s">
        <v>9</v>
      </c>
      <c r="F819" s="1">
        <v>0</v>
      </c>
      <c r="G819" s="1" t="s">
        <v>4372</v>
      </c>
      <c r="H819" s="1" t="s">
        <v>4372</v>
      </c>
      <c r="I819" s="1" t="s">
        <v>4377</v>
      </c>
      <c r="J819" s="1" t="s">
        <v>5576</v>
      </c>
      <c r="K819" s="1" t="s">
        <v>5577</v>
      </c>
    </row>
    <row r="820" spans="1:11" ht="21" x14ac:dyDescent="0.25">
      <c r="A820" s="11" t="str">
        <f>HYPERLINK("https://rth.dk/resources/bsgatlas/details.php?id=BSGatlas-transcript-819","BSGatlas-transcript-819")</f>
        <v>BSGatlas-transcript-819</v>
      </c>
      <c r="B820" s="1" t="s">
        <v>830</v>
      </c>
      <c r="C820" s="3">
        <v>812116</v>
      </c>
      <c r="D820" s="3">
        <v>812606</v>
      </c>
      <c r="E820" s="1" t="s">
        <v>9</v>
      </c>
      <c r="F820" s="1">
        <v>0</v>
      </c>
      <c r="G820" s="1" t="s">
        <v>4372</v>
      </c>
      <c r="H820" s="1" t="s">
        <v>4372</v>
      </c>
      <c r="I820" s="1" t="s">
        <v>4377</v>
      </c>
      <c r="J820" s="1" t="s">
        <v>5576</v>
      </c>
      <c r="K820" s="1" t="s">
        <v>5578</v>
      </c>
    </row>
    <row r="821" spans="1:11" ht="21" x14ac:dyDescent="0.25">
      <c r="A821" s="11" t="str">
        <f>HYPERLINK("https://rth.dk/resources/bsgatlas/details.php?id=BSGatlas-transcript-820","BSGatlas-transcript-820")</f>
        <v>BSGatlas-transcript-820</v>
      </c>
      <c r="B821" s="1" t="s">
        <v>5579</v>
      </c>
      <c r="C821" s="3">
        <v>812116</v>
      </c>
      <c r="D821" s="3">
        <v>813863</v>
      </c>
      <c r="E821" s="1" t="s">
        <v>9</v>
      </c>
      <c r="F821" s="1">
        <v>1</v>
      </c>
      <c r="G821" s="1">
        <v>25</v>
      </c>
      <c r="H821" s="1">
        <v>46</v>
      </c>
      <c r="I821" s="1" t="s">
        <v>4373</v>
      </c>
      <c r="J821" s="1" t="s">
        <v>5576</v>
      </c>
      <c r="K821" s="1" t="s">
        <v>5580</v>
      </c>
    </row>
    <row r="822" spans="1:11" ht="21" x14ac:dyDescent="0.25">
      <c r="A822" s="11" t="str">
        <f>HYPERLINK("https://rth.dk/resources/bsgatlas/details.php?id=BSGatlas-transcript-821","BSGatlas-transcript-821")</f>
        <v>BSGatlas-transcript-821</v>
      </c>
      <c r="B822" s="1" t="s">
        <v>832</v>
      </c>
      <c r="C822" s="3">
        <v>813860</v>
      </c>
      <c r="D822" s="3">
        <v>815994</v>
      </c>
      <c r="E822" s="1" t="s">
        <v>13</v>
      </c>
      <c r="F822" s="1">
        <v>0</v>
      </c>
      <c r="G822" s="1" t="s">
        <v>4372</v>
      </c>
      <c r="H822" s="1" t="s">
        <v>4372</v>
      </c>
      <c r="I822" s="1" t="s">
        <v>4373</v>
      </c>
      <c r="J822" s="1" t="s">
        <v>5581</v>
      </c>
      <c r="K822" s="1" t="s">
        <v>5582</v>
      </c>
    </row>
    <row r="823" spans="1:11" ht="21" x14ac:dyDescent="0.25">
      <c r="A823" s="11" t="str">
        <f>HYPERLINK("https://rth.dk/resources/bsgatlas/details.php?id=BSGatlas-transcript-822","BSGatlas-transcript-822")</f>
        <v>BSGatlas-transcript-822</v>
      </c>
      <c r="B823" s="1" t="s">
        <v>832</v>
      </c>
      <c r="C823" s="3">
        <v>814337</v>
      </c>
      <c r="D823" s="3">
        <v>815994</v>
      </c>
      <c r="E823" s="1" t="s">
        <v>13</v>
      </c>
      <c r="F823" s="1">
        <v>0</v>
      </c>
      <c r="G823" s="1" t="s">
        <v>4372</v>
      </c>
      <c r="H823" s="1" t="s">
        <v>4372</v>
      </c>
      <c r="I823" s="1" t="s">
        <v>4373</v>
      </c>
      <c r="J823" s="1" t="s">
        <v>5581</v>
      </c>
      <c r="K823" s="1" t="s">
        <v>5583</v>
      </c>
    </row>
    <row r="824" spans="1:11" ht="21" x14ac:dyDescent="0.25">
      <c r="A824" s="11" t="str">
        <f>HYPERLINK("https://rth.dk/resources/bsgatlas/details.php?id=BSGatlas-transcript-823","BSGatlas-transcript-823")</f>
        <v>BSGatlas-transcript-823</v>
      </c>
      <c r="B824" s="1" t="s">
        <v>832</v>
      </c>
      <c r="C824" s="3">
        <v>814384</v>
      </c>
      <c r="D824" s="3">
        <v>815994</v>
      </c>
      <c r="E824" s="1" t="s">
        <v>13</v>
      </c>
      <c r="F824" s="1">
        <v>0</v>
      </c>
      <c r="G824" s="1" t="s">
        <v>4372</v>
      </c>
      <c r="H824" s="1" t="s">
        <v>4372</v>
      </c>
      <c r="I824" s="1" t="s">
        <v>4373</v>
      </c>
      <c r="J824" s="1" t="s">
        <v>5581</v>
      </c>
      <c r="K824" s="1" t="s">
        <v>5584</v>
      </c>
    </row>
    <row r="825" spans="1:11" ht="21" x14ac:dyDescent="0.25">
      <c r="A825" s="11" t="str">
        <f>HYPERLINK("https://rth.dk/resources/bsgatlas/details.php?id=BSGatlas-transcript-824","BSGatlas-transcript-824")</f>
        <v>BSGatlas-transcript-824</v>
      </c>
      <c r="B825" s="1" t="s">
        <v>833</v>
      </c>
      <c r="C825" s="3">
        <v>815808</v>
      </c>
      <c r="D825" s="3">
        <v>817277</v>
      </c>
      <c r="E825" s="1" t="s">
        <v>9</v>
      </c>
      <c r="F825" s="1">
        <v>0</v>
      </c>
      <c r="G825" s="1" t="s">
        <v>4372</v>
      </c>
      <c r="H825" s="1" t="s">
        <v>4372</v>
      </c>
      <c r="I825" s="1" t="s">
        <v>4373</v>
      </c>
      <c r="J825" s="1" t="s">
        <v>5585</v>
      </c>
      <c r="K825" s="1" t="s">
        <v>5586</v>
      </c>
    </row>
    <row r="826" spans="1:11" ht="21" x14ac:dyDescent="0.25">
      <c r="A826" s="11" t="str">
        <f>HYPERLINK("https://rth.dk/resources/bsgatlas/details.php?id=BSGatlas-transcript-825","BSGatlas-transcript-825")</f>
        <v>BSGatlas-transcript-825</v>
      </c>
      <c r="B826" s="1" t="s">
        <v>833</v>
      </c>
      <c r="C826" s="3">
        <v>816072</v>
      </c>
      <c r="D826" s="3">
        <v>817277</v>
      </c>
      <c r="E826" s="1" t="s">
        <v>9</v>
      </c>
      <c r="F826" s="1">
        <v>0</v>
      </c>
      <c r="G826" s="1" t="s">
        <v>4372</v>
      </c>
      <c r="H826" s="1" t="s">
        <v>4372</v>
      </c>
      <c r="I826" s="1" t="s">
        <v>4373</v>
      </c>
      <c r="J826" s="1" t="s">
        <v>5587</v>
      </c>
      <c r="K826" s="1" t="s">
        <v>5586</v>
      </c>
    </row>
    <row r="827" spans="1:11" ht="21" x14ac:dyDescent="0.25">
      <c r="A827" s="11" t="str">
        <f>HYPERLINK("https://rth.dk/resources/bsgatlas/details.php?id=BSGatlas-transcript-826","BSGatlas-transcript-826")</f>
        <v>BSGatlas-transcript-826</v>
      </c>
      <c r="B827" s="1" t="s">
        <v>834</v>
      </c>
      <c r="C827" s="3">
        <v>817311</v>
      </c>
      <c r="D827" s="3">
        <v>817811</v>
      </c>
      <c r="E827" s="1" t="s">
        <v>9</v>
      </c>
      <c r="F827" s="1">
        <v>0</v>
      </c>
      <c r="G827" s="1" t="s">
        <v>4372</v>
      </c>
      <c r="H827" s="1" t="s">
        <v>4372</v>
      </c>
      <c r="I827" s="1" t="s">
        <v>4373</v>
      </c>
      <c r="J827" s="1" t="s">
        <v>318</v>
      </c>
      <c r="K827" s="1" t="s">
        <v>5588</v>
      </c>
    </row>
    <row r="828" spans="1:11" ht="21" x14ac:dyDescent="0.25">
      <c r="A828" s="11" t="str">
        <f>HYPERLINK("https://rth.dk/resources/bsgatlas/details.php?id=BSGatlas-transcript-827","BSGatlas-transcript-827")</f>
        <v>BSGatlas-transcript-827</v>
      </c>
      <c r="B828" s="1" t="s">
        <v>835</v>
      </c>
      <c r="C828" s="3">
        <v>817761</v>
      </c>
      <c r="D828" s="3">
        <v>818854</v>
      </c>
      <c r="E828" s="1" t="s">
        <v>13</v>
      </c>
      <c r="F828" s="1">
        <v>0</v>
      </c>
      <c r="G828" s="1" t="s">
        <v>4372</v>
      </c>
      <c r="H828" s="1" t="s">
        <v>4372</v>
      </c>
      <c r="I828" s="1" t="s">
        <v>4386</v>
      </c>
      <c r="J828" s="1" t="s">
        <v>5589</v>
      </c>
      <c r="K828" s="1" t="s">
        <v>5590</v>
      </c>
    </row>
    <row r="829" spans="1:11" ht="21" x14ac:dyDescent="0.25">
      <c r="A829" s="11" t="str">
        <f>HYPERLINK("https://rth.dk/resources/bsgatlas/details.php?id=BSGatlas-transcript-828","BSGatlas-transcript-828")</f>
        <v>BSGatlas-transcript-828</v>
      </c>
      <c r="B829" s="1" t="s">
        <v>5591</v>
      </c>
      <c r="C829" s="3">
        <v>817761</v>
      </c>
      <c r="D829" s="3">
        <v>820575</v>
      </c>
      <c r="E829" s="1" t="s">
        <v>13</v>
      </c>
      <c r="F829" s="1">
        <v>1</v>
      </c>
      <c r="G829" s="1">
        <v>45</v>
      </c>
      <c r="H829" s="1">
        <v>50</v>
      </c>
      <c r="I829" s="1" t="s">
        <v>4373</v>
      </c>
      <c r="J829" s="1" t="s">
        <v>5592</v>
      </c>
      <c r="K829" s="1" t="s">
        <v>5590</v>
      </c>
    </row>
    <row r="830" spans="1:11" ht="21" x14ac:dyDescent="0.25">
      <c r="A830" s="11" t="str">
        <f>HYPERLINK("https://rth.dk/resources/bsgatlas/details.php?id=BSGatlas-transcript-829","BSGatlas-transcript-829")</f>
        <v>BSGatlas-transcript-829</v>
      </c>
      <c r="B830" s="1" t="s">
        <v>837</v>
      </c>
      <c r="C830" s="3">
        <v>818976</v>
      </c>
      <c r="D830" s="3">
        <v>820073</v>
      </c>
      <c r="E830" s="1" t="s">
        <v>9</v>
      </c>
      <c r="F830" s="1">
        <v>0</v>
      </c>
      <c r="G830" s="1" t="s">
        <v>4372</v>
      </c>
      <c r="H830" s="1" t="s">
        <v>4372</v>
      </c>
      <c r="I830" s="1" t="s">
        <v>4377</v>
      </c>
      <c r="J830" s="1" t="s">
        <v>5593</v>
      </c>
      <c r="K830" s="1" t="s">
        <v>318</v>
      </c>
    </row>
    <row r="831" spans="1:11" ht="21" x14ac:dyDescent="0.25">
      <c r="A831" s="11" t="str">
        <f>HYPERLINK("https://rth.dk/resources/bsgatlas/details.php?id=BSGatlas-transcript-830","BSGatlas-transcript-830")</f>
        <v>BSGatlas-transcript-830</v>
      </c>
      <c r="B831" s="1" t="s">
        <v>838</v>
      </c>
      <c r="C831" s="3">
        <v>820648</v>
      </c>
      <c r="D831" s="3">
        <v>820838</v>
      </c>
      <c r="E831" s="1" t="s">
        <v>9</v>
      </c>
      <c r="F831" s="1">
        <v>0</v>
      </c>
      <c r="G831" s="1" t="s">
        <v>4372</v>
      </c>
      <c r="H831" s="1" t="s">
        <v>4372</v>
      </c>
      <c r="I831" s="1" t="s">
        <v>4377</v>
      </c>
      <c r="J831" s="1" t="s">
        <v>5594</v>
      </c>
      <c r="K831" s="1" t="s">
        <v>5595</v>
      </c>
    </row>
    <row r="832" spans="1:11" ht="21" x14ac:dyDescent="0.25">
      <c r="A832" s="11" t="str">
        <f>HYPERLINK("https://rth.dk/resources/bsgatlas/details.php?id=BSGatlas-transcript-831","BSGatlas-transcript-831")</f>
        <v>BSGatlas-transcript-831</v>
      </c>
      <c r="B832" s="1" t="s">
        <v>839</v>
      </c>
      <c r="C832" s="3">
        <v>820867</v>
      </c>
      <c r="D832" s="3">
        <v>822433</v>
      </c>
      <c r="E832" s="1" t="s">
        <v>9</v>
      </c>
      <c r="F832" s="1">
        <v>0</v>
      </c>
      <c r="G832" s="1" t="s">
        <v>4372</v>
      </c>
      <c r="H832" s="1" t="s">
        <v>4372</v>
      </c>
      <c r="I832" s="1" t="s">
        <v>4373</v>
      </c>
      <c r="J832" s="1" t="s">
        <v>318</v>
      </c>
      <c r="K832" s="1" t="s">
        <v>5596</v>
      </c>
    </row>
    <row r="833" spans="1:11" ht="21" x14ac:dyDescent="0.25">
      <c r="A833" s="11" t="str">
        <f>HYPERLINK("https://rth.dk/resources/bsgatlas/details.php?id=BSGatlas-transcript-832","BSGatlas-transcript-832")</f>
        <v>BSGatlas-transcript-832</v>
      </c>
      <c r="B833" s="1" t="s">
        <v>5597</v>
      </c>
      <c r="C833" s="3">
        <v>821199</v>
      </c>
      <c r="D833" s="3">
        <v>824717</v>
      </c>
      <c r="E833" s="1" t="s">
        <v>13</v>
      </c>
      <c r="F833" s="1">
        <v>0</v>
      </c>
      <c r="G833" s="1" t="s">
        <v>4372</v>
      </c>
      <c r="H833" s="1" t="s">
        <v>4372</v>
      </c>
      <c r="I833" s="1" t="s">
        <v>4377</v>
      </c>
      <c r="J833" s="1" t="s">
        <v>5598</v>
      </c>
      <c r="K833" s="1" t="s">
        <v>5599</v>
      </c>
    </row>
    <row r="834" spans="1:11" ht="21" x14ac:dyDescent="0.25">
      <c r="A834" s="11" t="str">
        <f>HYPERLINK("https://rth.dk/resources/bsgatlas/details.php?id=BSGatlas-transcript-833","BSGatlas-transcript-833")</f>
        <v>BSGatlas-transcript-833</v>
      </c>
      <c r="B834" s="1" t="s">
        <v>5600</v>
      </c>
      <c r="C834" s="3">
        <v>821199</v>
      </c>
      <c r="D834" s="3">
        <v>825806</v>
      </c>
      <c r="E834" s="1" t="s">
        <v>13</v>
      </c>
      <c r="F834" s="1">
        <v>0</v>
      </c>
      <c r="G834" s="1" t="s">
        <v>4372</v>
      </c>
      <c r="H834" s="1" t="s">
        <v>4372</v>
      </c>
      <c r="I834" s="1" t="s">
        <v>4377</v>
      </c>
      <c r="J834" s="1" t="s">
        <v>5601</v>
      </c>
      <c r="K834" s="1" t="s">
        <v>5599</v>
      </c>
    </row>
    <row r="835" spans="1:11" ht="21" x14ac:dyDescent="0.25">
      <c r="A835" s="11" t="str">
        <f>HYPERLINK("https://rth.dk/resources/bsgatlas/details.php?id=BSGatlas-transcript-834","BSGatlas-transcript-834")</f>
        <v>BSGatlas-transcript-834</v>
      </c>
      <c r="B835" s="1" t="s">
        <v>5602</v>
      </c>
      <c r="C835" s="3">
        <v>821199</v>
      </c>
      <c r="D835" s="3">
        <v>826783</v>
      </c>
      <c r="E835" s="1" t="s">
        <v>13</v>
      </c>
      <c r="F835" s="1">
        <v>1</v>
      </c>
      <c r="G835" s="1">
        <v>50</v>
      </c>
      <c r="H835" s="1">
        <v>1705</v>
      </c>
      <c r="I835" s="1" t="s">
        <v>4373</v>
      </c>
      <c r="J835" s="1" t="s">
        <v>5603</v>
      </c>
      <c r="K835" s="1" t="s">
        <v>5599</v>
      </c>
    </row>
    <row r="836" spans="1:11" ht="21" x14ac:dyDescent="0.25">
      <c r="A836" s="11" t="str">
        <f>HYPERLINK("https://rth.dk/resources/bsgatlas/details.php?id=BSGatlas-transcript-835","BSGatlas-transcript-835")</f>
        <v>BSGatlas-transcript-835</v>
      </c>
      <c r="B836" s="1" t="s">
        <v>5604</v>
      </c>
      <c r="C836" s="3">
        <v>821199</v>
      </c>
      <c r="D836" s="3">
        <v>827324</v>
      </c>
      <c r="E836" s="1" t="s">
        <v>13</v>
      </c>
      <c r="F836" s="1">
        <v>2</v>
      </c>
      <c r="G836" s="1">
        <v>114</v>
      </c>
      <c r="H836" s="1">
        <v>1705</v>
      </c>
      <c r="I836" s="1" t="s">
        <v>4377</v>
      </c>
      <c r="J836" s="1" t="s">
        <v>5605</v>
      </c>
      <c r="K836" s="1" t="s">
        <v>5599</v>
      </c>
    </row>
    <row r="837" spans="1:11" ht="21" x14ac:dyDescent="0.25">
      <c r="A837" s="11" t="str">
        <f>HYPERLINK("https://rth.dk/resources/bsgatlas/details.php?id=BSGatlas-transcript-836","BSGatlas-transcript-836")</f>
        <v>BSGatlas-transcript-836</v>
      </c>
      <c r="B837" s="1" t="s">
        <v>843</v>
      </c>
      <c r="C837" s="3">
        <v>825743</v>
      </c>
      <c r="D837" s="3">
        <v>826783</v>
      </c>
      <c r="E837" s="1" t="s">
        <v>13</v>
      </c>
      <c r="F837" s="1">
        <v>0</v>
      </c>
      <c r="G837" s="1" t="s">
        <v>4372</v>
      </c>
      <c r="H837" s="1" t="s">
        <v>4372</v>
      </c>
      <c r="I837" s="1" t="s">
        <v>4386</v>
      </c>
      <c r="J837" s="1" t="s">
        <v>5603</v>
      </c>
      <c r="K837" s="1" t="s">
        <v>5606</v>
      </c>
    </row>
    <row r="838" spans="1:11" ht="21" x14ac:dyDescent="0.25">
      <c r="A838" s="11" t="str">
        <f>HYPERLINK("https://rth.dk/resources/bsgatlas/details.php?id=BSGatlas-transcript-837","BSGatlas-transcript-837")</f>
        <v>BSGatlas-transcript-837</v>
      </c>
      <c r="B838" s="1" t="s">
        <v>5607</v>
      </c>
      <c r="C838" s="3">
        <v>825743</v>
      </c>
      <c r="D838" s="3">
        <v>827324</v>
      </c>
      <c r="E838" s="1" t="s">
        <v>13</v>
      </c>
      <c r="F838" s="1">
        <v>1</v>
      </c>
      <c r="G838" s="1">
        <v>114</v>
      </c>
      <c r="H838" s="1">
        <v>45</v>
      </c>
      <c r="I838" s="1" t="s">
        <v>4386</v>
      </c>
      <c r="J838" s="1" t="s">
        <v>5605</v>
      </c>
      <c r="K838" s="1" t="s">
        <v>5606</v>
      </c>
    </row>
    <row r="839" spans="1:11" ht="21" x14ac:dyDescent="0.25">
      <c r="A839" s="11" t="str">
        <f>HYPERLINK("https://rth.dk/resources/bsgatlas/details.php?id=BSGatlas-transcript-838","BSGatlas-transcript-838")</f>
        <v>BSGatlas-transcript-838</v>
      </c>
      <c r="B839" s="1" t="s">
        <v>843</v>
      </c>
      <c r="C839" s="3">
        <v>825787</v>
      </c>
      <c r="D839" s="3">
        <v>826783</v>
      </c>
      <c r="E839" s="1" t="s">
        <v>13</v>
      </c>
      <c r="F839" s="1">
        <v>0</v>
      </c>
      <c r="G839" s="1" t="s">
        <v>4372</v>
      </c>
      <c r="H839" s="1" t="s">
        <v>4372</v>
      </c>
      <c r="I839" s="1" t="s">
        <v>4386</v>
      </c>
      <c r="J839" s="1" t="s">
        <v>5603</v>
      </c>
      <c r="K839" s="1" t="s">
        <v>5608</v>
      </c>
    </row>
    <row r="840" spans="1:11" ht="21" x14ac:dyDescent="0.25">
      <c r="A840" s="11" t="str">
        <f>HYPERLINK("https://rth.dk/resources/bsgatlas/details.php?id=BSGatlas-transcript-839","BSGatlas-transcript-839")</f>
        <v>BSGatlas-transcript-839</v>
      </c>
      <c r="B840" s="1" t="s">
        <v>5607</v>
      </c>
      <c r="C840" s="3">
        <v>825787</v>
      </c>
      <c r="D840" s="3">
        <v>827324</v>
      </c>
      <c r="E840" s="1" t="s">
        <v>13</v>
      </c>
      <c r="F840" s="1">
        <v>1</v>
      </c>
      <c r="G840" s="1">
        <v>114</v>
      </c>
      <c r="H840" s="1" t="s">
        <v>4372</v>
      </c>
      <c r="I840" s="1" t="s">
        <v>4386</v>
      </c>
      <c r="J840" s="1" t="s">
        <v>5605</v>
      </c>
      <c r="K840" s="1" t="s">
        <v>5608</v>
      </c>
    </row>
    <row r="841" spans="1:11" ht="21" x14ac:dyDescent="0.25">
      <c r="A841" s="11" t="str">
        <f>HYPERLINK("https://rth.dk/resources/bsgatlas/details.php?id=BSGatlas-transcript-840","BSGatlas-transcript-840")</f>
        <v>BSGatlas-transcript-840</v>
      </c>
      <c r="B841" s="1" t="s">
        <v>5609</v>
      </c>
      <c r="C841" s="3">
        <v>826093</v>
      </c>
      <c r="D841" s="3">
        <v>827850</v>
      </c>
      <c r="E841" s="1" t="s">
        <v>9</v>
      </c>
      <c r="F841" s="1">
        <v>1</v>
      </c>
      <c r="G841" s="1">
        <v>1160</v>
      </c>
      <c r="H841" s="1">
        <v>49</v>
      </c>
      <c r="I841" s="1" t="s">
        <v>4386</v>
      </c>
      <c r="J841" s="1" t="s">
        <v>5610</v>
      </c>
      <c r="K841" s="1" t="s">
        <v>5611</v>
      </c>
    </row>
    <row r="842" spans="1:11" ht="21" x14ac:dyDescent="0.25">
      <c r="A842" s="11" t="str">
        <f>HYPERLINK("https://rth.dk/resources/bsgatlas/details.php?id=BSGatlas-transcript-841","BSGatlas-transcript-841")</f>
        <v>BSGatlas-transcript-841</v>
      </c>
      <c r="B842" s="1" t="s">
        <v>5609</v>
      </c>
      <c r="C842" s="3">
        <v>826720</v>
      </c>
      <c r="D842" s="3">
        <v>827850</v>
      </c>
      <c r="E842" s="1" t="s">
        <v>9</v>
      </c>
      <c r="F842" s="1">
        <v>1</v>
      </c>
      <c r="G842" s="1">
        <v>533</v>
      </c>
      <c r="H842" s="1">
        <v>49</v>
      </c>
      <c r="I842" s="1" t="s">
        <v>4386</v>
      </c>
      <c r="J842" s="1" t="s">
        <v>5612</v>
      </c>
      <c r="K842" s="1" t="s">
        <v>5611</v>
      </c>
    </row>
    <row r="843" spans="1:11" ht="21" x14ac:dyDescent="0.25">
      <c r="A843" s="11" t="str">
        <f>HYPERLINK("https://rth.dk/resources/bsgatlas/details.php?id=BSGatlas-transcript-842","BSGatlas-transcript-842")</f>
        <v>BSGatlas-transcript-842</v>
      </c>
      <c r="B843" s="1" t="s">
        <v>846</v>
      </c>
      <c r="C843" s="3">
        <v>827412</v>
      </c>
      <c r="D843" s="3">
        <v>827850</v>
      </c>
      <c r="E843" s="1" t="s">
        <v>9</v>
      </c>
      <c r="F843" s="1">
        <v>0</v>
      </c>
      <c r="G843" s="1" t="s">
        <v>4372</v>
      </c>
      <c r="H843" s="1" t="s">
        <v>4372</v>
      </c>
      <c r="I843" s="1" t="s">
        <v>4373</v>
      </c>
      <c r="J843" s="1" t="s">
        <v>5613</v>
      </c>
      <c r="K843" s="1" t="s">
        <v>5611</v>
      </c>
    </row>
    <row r="844" spans="1:11" ht="21" x14ac:dyDescent="0.25">
      <c r="A844" s="11" t="str">
        <f>HYPERLINK("https://rth.dk/resources/bsgatlas/details.php?id=BSGatlas-transcript-843","BSGatlas-transcript-843")</f>
        <v>BSGatlas-transcript-843</v>
      </c>
      <c r="B844" s="1" t="s">
        <v>847</v>
      </c>
      <c r="C844" s="3">
        <v>827925</v>
      </c>
      <c r="D844" s="3">
        <v>829305</v>
      </c>
      <c r="E844" s="1" t="s">
        <v>9</v>
      </c>
      <c r="F844" s="1">
        <v>0</v>
      </c>
      <c r="G844" s="1" t="s">
        <v>4372</v>
      </c>
      <c r="H844" s="1" t="s">
        <v>4372</v>
      </c>
      <c r="I844" s="1" t="s">
        <v>4373</v>
      </c>
      <c r="J844" s="1" t="s">
        <v>5614</v>
      </c>
      <c r="K844" s="1" t="s">
        <v>5615</v>
      </c>
    </row>
    <row r="845" spans="1:11" ht="21" x14ac:dyDescent="0.25">
      <c r="A845" s="11" t="str">
        <f>HYPERLINK("https://rth.dk/resources/bsgatlas/details.php?id=BSGatlas-transcript-844","BSGatlas-transcript-844")</f>
        <v>BSGatlas-transcript-844</v>
      </c>
      <c r="B845" s="1" t="s">
        <v>848</v>
      </c>
      <c r="C845" s="3">
        <v>829334</v>
      </c>
      <c r="D845" s="3">
        <v>830859</v>
      </c>
      <c r="E845" s="1" t="s">
        <v>9</v>
      </c>
      <c r="F845" s="1">
        <v>0</v>
      </c>
      <c r="G845" s="1" t="s">
        <v>4372</v>
      </c>
      <c r="H845" s="1" t="s">
        <v>4372</v>
      </c>
      <c r="I845" s="1" t="s">
        <v>4373</v>
      </c>
      <c r="J845" s="1" t="s">
        <v>5616</v>
      </c>
      <c r="K845" s="1" t="s">
        <v>5617</v>
      </c>
    </row>
    <row r="846" spans="1:11" ht="21" x14ac:dyDescent="0.25">
      <c r="A846" s="11" t="str">
        <f>HYPERLINK("https://rth.dk/resources/bsgatlas/details.php?id=BSGatlas-transcript-845","BSGatlas-transcript-845")</f>
        <v>BSGatlas-transcript-845</v>
      </c>
      <c r="B846" s="1" t="s">
        <v>5618</v>
      </c>
      <c r="C846" s="3">
        <v>830920</v>
      </c>
      <c r="D846" s="3">
        <v>834187</v>
      </c>
      <c r="E846" s="1" t="s">
        <v>9</v>
      </c>
      <c r="F846" s="1">
        <v>0</v>
      </c>
      <c r="G846" s="1" t="s">
        <v>4372</v>
      </c>
      <c r="H846" s="1" t="s">
        <v>4372</v>
      </c>
      <c r="I846" s="1" t="s">
        <v>4373</v>
      </c>
      <c r="J846" s="1" t="s">
        <v>5619</v>
      </c>
      <c r="K846" s="1" t="s">
        <v>5620</v>
      </c>
    </row>
    <row r="847" spans="1:11" ht="21" x14ac:dyDescent="0.25">
      <c r="A847" s="11" t="str">
        <f>HYPERLINK("https://rth.dk/resources/bsgatlas/details.php?id=BSGatlas-transcript-846","BSGatlas-transcript-846")</f>
        <v>BSGatlas-transcript-846</v>
      </c>
      <c r="B847" s="1" t="s">
        <v>5618</v>
      </c>
      <c r="C847" s="3">
        <v>830920</v>
      </c>
      <c r="D847" s="3">
        <v>834220</v>
      </c>
      <c r="E847" s="1" t="s">
        <v>9</v>
      </c>
      <c r="F847" s="1">
        <v>0</v>
      </c>
      <c r="G847" s="1" t="s">
        <v>4372</v>
      </c>
      <c r="H847" s="1" t="s">
        <v>4372</v>
      </c>
      <c r="I847" s="1" t="s">
        <v>4373</v>
      </c>
      <c r="J847" s="1" t="s">
        <v>5619</v>
      </c>
      <c r="K847" s="1" t="s">
        <v>5621</v>
      </c>
    </row>
    <row r="848" spans="1:11" ht="21" x14ac:dyDescent="0.25">
      <c r="A848" s="11" t="str">
        <f>HYPERLINK("https://rth.dk/resources/bsgatlas/details.php?id=BSGatlas-transcript-847","BSGatlas-transcript-847")</f>
        <v>BSGatlas-transcript-847</v>
      </c>
      <c r="B848" s="1" t="s">
        <v>5622</v>
      </c>
      <c r="C848" s="3">
        <v>834312</v>
      </c>
      <c r="D848" s="3">
        <v>836568</v>
      </c>
      <c r="E848" s="1" t="s">
        <v>9</v>
      </c>
      <c r="F848" s="1">
        <v>1</v>
      </c>
      <c r="G848" s="1">
        <v>72</v>
      </c>
      <c r="H848" s="1">
        <v>35</v>
      </c>
      <c r="I848" s="1" t="s">
        <v>4373</v>
      </c>
      <c r="J848" s="1" t="s">
        <v>5623</v>
      </c>
      <c r="K848" s="1" t="s">
        <v>5624</v>
      </c>
    </row>
    <row r="849" spans="1:11" ht="21" x14ac:dyDescent="0.25">
      <c r="A849" s="11" t="str">
        <f>HYPERLINK("https://rth.dk/resources/bsgatlas/details.php?id=BSGatlas-transcript-848","BSGatlas-transcript-848")</f>
        <v>BSGatlas-transcript-848</v>
      </c>
      <c r="B849" s="1" t="s">
        <v>853</v>
      </c>
      <c r="C849" s="3">
        <v>835702</v>
      </c>
      <c r="D849" s="3">
        <v>836568</v>
      </c>
      <c r="E849" s="1" t="s">
        <v>9</v>
      </c>
      <c r="F849" s="1">
        <v>0</v>
      </c>
      <c r="G849" s="1" t="s">
        <v>4372</v>
      </c>
      <c r="H849" s="1" t="s">
        <v>4372</v>
      </c>
      <c r="I849" s="1" t="s">
        <v>4377</v>
      </c>
      <c r="J849" s="1" t="s">
        <v>5625</v>
      </c>
      <c r="K849" s="1" t="s">
        <v>5624</v>
      </c>
    </row>
    <row r="850" spans="1:11" ht="21" x14ac:dyDescent="0.25">
      <c r="A850" s="11" t="str">
        <f>HYPERLINK("https://rth.dk/resources/bsgatlas/details.php?id=BSGatlas-transcript-849","BSGatlas-transcript-849")</f>
        <v>BSGatlas-transcript-849</v>
      </c>
      <c r="B850" s="1" t="s">
        <v>5626</v>
      </c>
      <c r="C850" s="3">
        <v>836620</v>
      </c>
      <c r="D850" s="3">
        <v>838787</v>
      </c>
      <c r="E850" s="1" t="s">
        <v>9</v>
      </c>
      <c r="F850" s="1">
        <v>1</v>
      </c>
      <c r="G850" s="1">
        <v>34</v>
      </c>
      <c r="H850" s="1">
        <v>46</v>
      </c>
      <c r="I850" s="1" t="s">
        <v>4373</v>
      </c>
      <c r="J850" s="1" t="s">
        <v>5627</v>
      </c>
      <c r="K850" s="1" t="s">
        <v>5628</v>
      </c>
    </row>
    <row r="851" spans="1:11" ht="21" x14ac:dyDescent="0.25">
      <c r="A851" s="11" t="str">
        <f>HYPERLINK("https://rth.dk/resources/bsgatlas/details.php?id=BSGatlas-transcript-850","BSGatlas-transcript-850")</f>
        <v>BSGatlas-transcript-850</v>
      </c>
      <c r="B851" s="1" t="s">
        <v>856</v>
      </c>
      <c r="C851" s="3">
        <v>837418</v>
      </c>
      <c r="D851" s="3">
        <v>838038</v>
      </c>
      <c r="E851" s="1" t="s">
        <v>13</v>
      </c>
      <c r="F851" s="1">
        <v>0</v>
      </c>
      <c r="G851" s="1" t="s">
        <v>4372</v>
      </c>
      <c r="H851" s="1" t="s">
        <v>4372</v>
      </c>
      <c r="I851" s="1" t="s">
        <v>4373</v>
      </c>
      <c r="J851" s="1" t="s">
        <v>5629</v>
      </c>
      <c r="K851" s="1" t="s">
        <v>5630</v>
      </c>
    </row>
    <row r="852" spans="1:11" ht="21" x14ac:dyDescent="0.25">
      <c r="A852" s="11" t="str">
        <f>HYPERLINK("https://rth.dk/resources/bsgatlas/details.php?id=BSGatlas-transcript-851","BSGatlas-transcript-851")</f>
        <v>BSGatlas-transcript-851</v>
      </c>
      <c r="B852" s="1" t="s">
        <v>857</v>
      </c>
      <c r="C852" s="3">
        <v>838783</v>
      </c>
      <c r="D852" s="3">
        <v>839051</v>
      </c>
      <c r="E852" s="1" t="s">
        <v>13</v>
      </c>
      <c r="F852" s="1">
        <v>0</v>
      </c>
      <c r="G852" s="1" t="s">
        <v>4372</v>
      </c>
      <c r="H852" s="1" t="s">
        <v>4372</v>
      </c>
      <c r="I852" s="1" t="s">
        <v>4386</v>
      </c>
      <c r="J852" s="1" t="s">
        <v>5631</v>
      </c>
      <c r="K852" s="1" t="s">
        <v>5632</v>
      </c>
    </row>
    <row r="853" spans="1:11" ht="21" x14ac:dyDescent="0.25">
      <c r="A853" s="11" t="str">
        <f>HYPERLINK("https://rth.dk/resources/bsgatlas/details.php?id=BSGatlas-transcript-852","BSGatlas-transcript-852")</f>
        <v>BSGatlas-transcript-852</v>
      </c>
      <c r="B853" s="1" t="s">
        <v>858</v>
      </c>
      <c r="C853" s="3">
        <v>839062</v>
      </c>
      <c r="D853" s="3">
        <v>840126</v>
      </c>
      <c r="E853" s="1" t="s">
        <v>9</v>
      </c>
      <c r="F853" s="1">
        <v>0</v>
      </c>
      <c r="G853" s="1" t="s">
        <v>4372</v>
      </c>
      <c r="H853" s="1" t="s">
        <v>4372</v>
      </c>
      <c r="I853" s="1" t="s">
        <v>4377</v>
      </c>
      <c r="J853" s="1" t="s">
        <v>5633</v>
      </c>
      <c r="K853" s="1" t="s">
        <v>318</v>
      </c>
    </row>
    <row r="854" spans="1:11" ht="21" x14ac:dyDescent="0.25">
      <c r="A854" s="11" t="str">
        <f>HYPERLINK("https://rth.dk/resources/bsgatlas/details.php?id=BSGatlas-transcript-853","BSGatlas-transcript-853")</f>
        <v>BSGatlas-transcript-853</v>
      </c>
      <c r="B854" s="1" t="s">
        <v>5634</v>
      </c>
      <c r="C854" s="3">
        <v>839077</v>
      </c>
      <c r="D854" s="3">
        <v>840515</v>
      </c>
      <c r="E854" s="1" t="s">
        <v>13</v>
      </c>
      <c r="F854" s="1">
        <v>2</v>
      </c>
      <c r="G854" s="1">
        <v>32</v>
      </c>
      <c r="H854" s="1" t="s">
        <v>4372</v>
      </c>
      <c r="I854" s="1" t="s">
        <v>4386</v>
      </c>
      <c r="J854" s="1" t="s">
        <v>5635</v>
      </c>
      <c r="K854" s="1" t="s">
        <v>318</v>
      </c>
    </row>
    <row r="855" spans="1:11" ht="21" x14ac:dyDescent="0.25">
      <c r="A855" s="11" t="str">
        <f>HYPERLINK("https://rth.dk/resources/bsgatlas/details.php?id=BSGatlas-transcript-854","BSGatlas-transcript-854")</f>
        <v>BSGatlas-transcript-854</v>
      </c>
      <c r="B855" s="1" t="s">
        <v>5634</v>
      </c>
      <c r="C855" s="3">
        <v>839077</v>
      </c>
      <c r="D855" s="3">
        <v>841664</v>
      </c>
      <c r="E855" s="1" t="s">
        <v>13</v>
      </c>
      <c r="F855" s="1">
        <v>2</v>
      </c>
      <c r="G855" s="1">
        <v>1181</v>
      </c>
      <c r="H855" s="1" t="s">
        <v>4372</v>
      </c>
      <c r="I855" s="1" t="s">
        <v>4386</v>
      </c>
      <c r="J855" s="1" t="s">
        <v>5636</v>
      </c>
      <c r="K855" s="1" t="s">
        <v>318</v>
      </c>
    </row>
    <row r="856" spans="1:11" ht="21" x14ac:dyDescent="0.25">
      <c r="A856" s="11" t="str">
        <f>HYPERLINK("https://rth.dk/resources/bsgatlas/details.php?id=BSGatlas-transcript-855","BSGatlas-transcript-855")</f>
        <v>BSGatlas-transcript-855</v>
      </c>
      <c r="B856" s="1" t="s">
        <v>5637</v>
      </c>
      <c r="C856" s="3">
        <v>839296</v>
      </c>
      <c r="D856" s="3">
        <v>840515</v>
      </c>
      <c r="E856" s="1" t="s">
        <v>13</v>
      </c>
      <c r="F856" s="1">
        <v>1</v>
      </c>
      <c r="G856" s="1">
        <v>32</v>
      </c>
      <c r="H856" s="1">
        <v>44</v>
      </c>
      <c r="I856" s="1" t="s">
        <v>4382</v>
      </c>
      <c r="J856" s="1" t="s">
        <v>5635</v>
      </c>
      <c r="K856" s="1" t="s">
        <v>5638</v>
      </c>
    </row>
    <row r="857" spans="1:11" ht="21" x14ac:dyDescent="0.25">
      <c r="A857" s="11" t="str">
        <f>HYPERLINK("https://rth.dk/resources/bsgatlas/details.php?id=BSGatlas-transcript-856","BSGatlas-transcript-856")</f>
        <v>BSGatlas-transcript-856</v>
      </c>
      <c r="B857" s="1" t="s">
        <v>5637</v>
      </c>
      <c r="C857" s="3">
        <v>839296</v>
      </c>
      <c r="D857" s="3">
        <v>841664</v>
      </c>
      <c r="E857" s="1" t="s">
        <v>13</v>
      </c>
      <c r="F857" s="1">
        <v>1</v>
      </c>
      <c r="G857" s="1">
        <v>1181</v>
      </c>
      <c r="H857" s="1">
        <v>44</v>
      </c>
      <c r="I857" s="1" t="s">
        <v>4382</v>
      </c>
      <c r="J857" s="1" t="s">
        <v>5636</v>
      </c>
      <c r="K857" s="1" t="s">
        <v>5638</v>
      </c>
    </row>
    <row r="858" spans="1:11" ht="21" x14ac:dyDescent="0.25">
      <c r="A858" s="11" t="str">
        <f>HYPERLINK("https://rth.dk/resources/bsgatlas/details.php?id=BSGatlas-transcript-857","BSGatlas-transcript-857")</f>
        <v>BSGatlas-transcript-857</v>
      </c>
      <c r="B858" s="1" t="s">
        <v>862</v>
      </c>
      <c r="C858" s="3">
        <v>840626</v>
      </c>
      <c r="D858" s="3">
        <v>842014</v>
      </c>
      <c r="E858" s="1" t="s">
        <v>9</v>
      </c>
      <c r="F858" s="1">
        <v>0</v>
      </c>
      <c r="G858" s="1" t="s">
        <v>4372</v>
      </c>
      <c r="H858" s="1" t="s">
        <v>4372</v>
      </c>
      <c r="I858" s="1" t="s">
        <v>4373</v>
      </c>
      <c r="J858" s="1" t="s">
        <v>5639</v>
      </c>
      <c r="K858" s="1" t="s">
        <v>5640</v>
      </c>
    </row>
    <row r="859" spans="1:11" ht="21" x14ac:dyDescent="0.25">
      <c r="A859" s="11" t="str">
        <f>HYPERLINK("https://rth.dk/resources/bsgatlas/details.php?id=BSGatlas-transcript-858","BSGatlas-transcript-858")</f>
        <v>BSGatlas-transcript-858</v>
      </c>
      <c r="B859" s="1" t="s">
        <v>862</v>
      </c>
      <c r="C859" s="3">
        <v>840626</v>
      </c>
      <c r="D859" s="3">
        <v>842055</v>
      </c>
      <c r="E859" s="1" t="s">
        <v>9</v>
      </c>
      <c r="F859" s="1">
        <v>0</v>
      </c>
      <c r="G859" s="1" t="s">
        <v>4372</v>
      </c>
      <c r="H859" s="1" t="s">
        <v>4372</v>
      </c>
      <c r="I859" s="1" t="s">
        <v>4373</v>
      </c>
      <c r="J859" s="1" t="s">
        <v>5639</v>
      </c>
      <c r="K859" s="1" t="s">
        <v>5641</v>
      </c>
    </row>
    <row r="860" spans="1:11" ht="21" x14ac:dyDescent="0.25">
      <c r="A860" s="11" t="str">
        <f>HYPERLINK("https://rth.dk/resources/bsgatlas/details.php?id=BSGatlas-transcript-859","BSGatlas-transcript-859")</f>
        <v>BSGatlas-transcript-859</v>
      </c>
      <c r="B860" s="1" t="s">
        <v>863</v>
      </c>
      <c r="C860" s="3">
        <v>842004</v>
      </c>
      <c r="D860" s="3">
        <v>844071</v>
      </c>
      <c r="E860" s="1" t="s">
        <v>13</v>
      </c>
      <c r="F860" s="1">
        <v>0</v>
      </c>
      <c r="G860" s="1" t="s">
        <v>4372</v>
      </c>
      <c r="H860" s="1" t="s">
        <v>4372</v>
      </c>
      <c r="I860" s="1" t="s">
        <v>4373</v>
      </c>
      <c r="J860" s="1" t="s">
        <v>5642</v>
      </c>
      <c r="K860" s="1" t="s">
        <v>5643</v>
      </c>
    </row>
    <row r="861" spans="1:11" ht="21" x14ac:dyDescent="0.25">
      <c r="A861" s="11" t="str">
        <f>HYPERLINK("https://rth.dk/resources/bsgatlas/details.php?id=BSGatlas-transcript-860","BSGatlas-transcript-860")</f>
        <v>BSGatlas-transcript-860</v>
      </c>
      <c r="B861" s="1" t="s">
        <v>863</v>
      </c>
      <c r="C861" s="3">
        <v>842004</v>
      </c>
      <c r="D861" s="3">
        <v>844608</v>
      </c>
      <c r="E861" s="1" t="s">
        <v>13</v>
      </c>
      <c r="F861" s="1">
        <v>0</v>
      </c>
      <c r="G861" s="1" t="s">
        <v>4372</v>
      </c>
      <c r="H861" s="1" t="s">
        <v>4372</v>
      </c>
      <c r="I861" s="1" t="s">
        <v>4373</v>
      </c>
      <c r="J861" s="1" t="s">
        <v>5644</v>
      </c>
      <c r="K861" s="1" t="s">
        <v>5643</v>
      </c>
    </row>
    <row r="862" spans="1:11" ht="21" x14ac:dyDescent="0.25">
      <c r="A862" s="11" t="str">
        <f>HYPERLINK("https://rth.dk/resources/bsgatlas/details.php?id=BSGatlas-transcript-861","BSGatlas-transcript-861")</f>
        <v>BSGatlas-transcript-861</v>
      </c>
      <c r="B862" s="1" t="s">
        <v>863</v>
      </c>
      <c r="C862" s="3">
        <v>842004</v>
      </c>
      <c r="D862" s="3">
        <v>844837</v>
      </c>
      <c r="E862" s="1" t="s">
        <v>13</v>
      </c>
      <c r="F862" s="1">
        <v>0</v>
      </c>
      <c r="G862" s="1" t="s">
        <v>4372</v>
      </c>
      <c r="H862" s="1" t="s">
        <v>4372</v>
      </c>
      <c r="I862" s="1" t="s">
        <v>4373</v>
      </c>
      <c r="J862" s="1" t="s">
        <v>5645</v>
      </c>
      <c r="K862" s="1" t="s">
        <v>5643</v>
      </c>
    </row>
    <row r="863" spans="1:11" ht="21" x14ac:dyDescent="0.25">
      <c r="A863" s="11" t="str">
        <f>HYPERLINK("https://rth.dk/resources/bsgatlas/details.php?id=BSGatlas-transcript-862","BSGatlas-transcript-862")</f>
        <v>BSGatlas-transcript-862</v>
      </c>
      <c r="B863" s="1" t="s">
        <v>5646</v>
      </c>
      <c r="C863" s="3">
        <v>843132</v>
      </c>
      <c r="D863" s="3">
        <v>846396</v>
      </c>
      <c r="E863" s="1" t="s">
        <v>9</v>
      </c>
      <c r="F863" s="1">
        <v>2</v>
      </c>
      <c r="G863" s="1">
        <v>966</v>
      </c>
      <c r="H863" s="1">
        <v>212</v>
      </c>
      <c r="I863" s="1" t="s">
        <v>4386</v>
      </c>
      <c r="J863" s="1" t="s">
        <v>5647</v>
      </c>
      <c r="K863" s="1" t="s">
        <v>5648</v>
      </c>
    </row>
    <row r="864" spans="1:11" ht="21" x14ac:dyDescent="0.25">
      <c r="A864" s="11" t="str">
        <f>HYPERLINK("https://rth.dk/resources/bsgatlas/details.php?id=BSGatlas-transcript-863","BSGatlas-transcript-863")</f>
        <v>BSGatlas-transcript-863</v>
      </c>
      <c r="B864" s="1" t="s">
        <v>5649</v>
      </c>
      <c r="C864" s="3">
        <v>844212</v>
      </c>
      <c r="D864" s="3">
        <v>846396</v>
      </c>
      <c r="E864" s="1" t="s">
        <v>9</v>
      </c>
      <c r="F864" s="1">
        <v>1</v>
      </c>
      <c r="G864" s="1">
        <v>42</v>
      </c>
      <c r="H864" s="1">
        <v>212</v>
      </c>
      <c r="I864" s="1" t="s">
        <v>4377</v>
      </c>
      <c r="J864" s="1" t="s">
        <v>5650</v>
      </c>
      <c r="K864" s="1" t="s">
        <v>5648</v>
      </c>
    </row>
    <row r="865" spans="1:11" ht="21" x14ac:dyDescent="0.25">
      <c r="A865" s="11" t="str">
        <f>HYPERLINK("https://rth.dk/resources/bsgatlas/details.php?id=BSGatlas-transcript-864","BSGatlas-transcript-864")</f>
        <v>BSGatlas-transcript-864</v>
      </c>
      <c r="B865" s="1" t="s">
        <v>866</v>
      </c>
      <c r="C865" s="3">
        <v>844748</v>
      </c>
      <c r="D865" s="3">
        <v>846396</v>
      </c>
      <c r="E865" s="1" t="s">
        <v>9</v>
      </c>
      <c r="F865" s="1">
        <v>0</v>
      </c>
      <c r="G865" s="1" t="s">
        <v>4372</v>
      </c>
      <c r="H865" s="1" t="s">
        <v>4372</v>
      </c>
      <c r="I865" s="1" t="s">
        <v>4373</v>
      </c>
      <c r="J865" s="1" t="s">
        <v>5651</v>
      </c>
      <c r="K865" s="1" t="s">
        <v>5648</v>
      </c>
    </row>
    <row r="866" spans="1:11" ht="21" x14ac:dyDescent="0.25">
      <c r="A866" s="11" t="str">
        <f>HYPERLINK("https://rth.dk/resources/bsgatlas/details.php?id=BSGatlas-transcript-865","BSGatlas-transcript-865")</f>
        <v>BSGatlas-transcript-865</v>
      </c>
      <c r="B866" s="1" t="s">
        <v>5652</v>
      </c>
      <c r="C866" s="3">
        <v>844749</v>
      </c>
      <c r="D866" s="3">
        <v>850227</v>
      </c>
      <c r="E866" s="1" t="s">
        <v>13</v>
      </c>
      <c r="F866" s="1">
        <v>1</v>
      </c>
      <c r="G866" s="1">
        <v>54</v>
      </c>
      <c r="H866" s="1">
        <v>1434</v>
      </c>
      <c r="I866" s="1" t="s">
        <v>4397</v>
      </c>
      <c r="J866" s="1" t="s">
        <v>5653</v>
      </c>
      <c r="K866" s="1" t="s">
        <v>5654</v>
      </c>
    </row>
    <row r="867" spans="1:11" ht="21" x14ac:dyDescent="0.25">
      <c r="A867" s="11" t="str">
        <f>HYPERLINK("https://rth.dk/resources/bsgatlas/details.php?id=BSGatlas-transcript-866","BSGatlas-transcript-866")</f>
        <v>BSGatlas-transcript-866</v>
      </c>
      <c r="B867" s="1" t="s">
        <v>5652</v>
      </c>
      <c r="C867" s="3">
        <v>844749</v>
      </c>
      <c r="D867" s="3">
        <v>850425</v>
      </c>
      <c r="E867" s="1" t="s">
        <v>13</v>
      </c>
      <c r="F867" s="1">
        <v>1</v>
      </c>
      <c r="G867" s="1">
        <v>252</v>
      </c>
      <c r="H867" s="1">
        <v>1434</v>
      </c>
      <c r="I867" s="1" t="s">
        <v>4397</v>
      </c>
      <c r="J867" s="1" t="s">
        <v>5655</v>
      </c>
      <c r="K867" s="1" t="s">
        <v>5654</v>
      </c>
    </row>
    <row r="868" spans="1:11" ht="21" x14ac:dyDescent="0.25">
      <c r="A868" s="11" t="str">
        <f>HYPERLINK("https://rth.dk/resources/bsgatlas/details.php?id=BSGatlas-transcript-867","BSGatlas-transcript-867")</f>
        <v>BSGatlas-transcript-867</v>
      </c>
      <c r="B868" s="1" t="s">
        <v>5652</v>
      </c>
      <c r="C868" s="3">
        <v>844749</v>
      </c>
      <c r="D868" s="3">
        <v>852163</v>
      </c>
      <c r="E868" s="1" t="s">
        <v>13</v>
      </c>
      <c r="F868" s="1">
        <v>1</v>
      </c>
      <c r="G868" s="1">
        <v>1990</v>
      </c>
      <c r="H868" s="1">
        <v>1434</v>
      </c>
      <c r="I868" s="1" t="s">
        <v>4397</v>
      </c>
      <c r="J868" s="1" t="s">
        <v>5656</v>
      </c>
      <c r="K868" s="1" t="s">
        <v>5654</v>
      </c>
    </row>
    <row r="869" spans="1:11" ht="21" x14ac:dyDescent="0.25">
      <c r="A869" s="11" t="str">
        <f>HYPERLINK("https://rth.dk/resources/bsgatlas/details.php?id=BSGatlas-transcript-868","BSGatlas-transcript-868")</f>
        <v>BSGatlas-transcript-868</v>
      </c>
      <c r="B869" s="1" t="s">
        <v>5657</v>
      </c>
      <c r="C869" s="3">
        <v>850321</v>
      </c>
      <c r="D869" s="3">
        <v>854314</v>
      </c>
      <c r="E869" s="1" t="s">
        <v>9</v>
      </c>
      <c r="F869" s="1">
        <v>2</v>
      </c>
      <c r="G869" s="1">
        <v>47</v>
      </c>
      <c r="H869" s="1">
        <v>43</v>
      </c>
      <c r="I869" s="1" t="s">
        <v>4373</v>
      </c>
      <c r="J869" s="1" t="s">
        <v>5658</v>
      </c>
      <c r="K869" s="1" t="s">
        <v>5659</v>
      </c>
    </row>
    <row r="870" spans="1:11" ht="21" x14ac:dyDescent="0.25">
      <c r="A870" s="11" t="str">
        <f>HYPERLINK("https://rth.dk/resources/bsgatlas/details.php?id=BSGatlas-transcript-869","BSGatlas-transcript-869")</f>
        <v>BSGatlas-transcript-869</v>
      </c>
      <c r="B870" s="1" t="s">
        <v>873</v>
      </c>
      <c r="C870" s="3">
        <v>853531</v>
      </c>
      <c r="D870" s="3">
        <v>854314</v>
      </c>
      <c r="E870" s="1" t="s">
        <v>9</v>
      </c>
      <c r="F870" s="1">
        <v>0</v>
      </c>
      <c r="G870" s="1" t="s">
        <v>4372</v>
      </c>
      <c r="H870" s="1" t="s">
        <v>4372</v>
      </c>
      <c r="I870" s="1" t="s">
        <v>4377</v>
      </c>
      <c r="J870" s="1" t="s">
        <v>5660</v>
      </c>
      <c r="K870" s="1" t="s">
        <v>5659</v>
      </c>
    </row>
    <row r="871" spans="1:11" ht="21" x14ac:dyDescent="0.25">
      <c r="A871" s="11" t="str">
        <f>HYPERLINK("https://rth.dk/resources/bsgatlas/details.php?id=BSGatlas-transcript-870","BSGatlas-transcript-870")</f>
        <v>BSGatlas-transcript-870</v>
      </c>
      <c r="B871" s="1" t="s">
        <v>874</v>
      </c>
      <c r="C871" s="3">
        <v>854375</v>
      </c>
      <c r="D871" s="3">
        <v>855077</v>
      </c>
      <c r="E871" s="1" t="s">
        <v>9</v>
      </c>
      <c r="F871" s="1">
        <v>0</v>
      </c>
      <c r="G871" s="1" t="s">
        <v>4372</v>
      </c>
      <c r="H871" s="1" t="s">
        <v>4372</v>
      </c>
      <c r="I871" s="1" t="s">
        <v>4373</v>
      </c>
      <c r="J871" s="1" t="s">
        <v>5661</v>
      </c>
      <c r="K871" s="1" t="s">
        <v>5662</v>
      </c>
    </row>
    <row r="872" spans="1:11" ht="21" x14ac:dyDescent="0.25">
      <c r="A872" s="11" t="str">
        <f>HYPERLINK("https://rth.dk/resources/bsgatlas/details.php?id=BSGatlas-transcript-871","BSGatlas-transcript-871")</f>
        <v>BSGatlas-transcript-871</v>
      </c>
      <c r="B872" s="1" t="s">
        <v>874</v>
      </c>
      <c r="C872" s="3">
        <v>854375</v>
      </c>
      <c r="D872" s="3">
        <v>855124</v>
      </c>
      <c r="E872" s="1" t="s">
        <v>9</v>
      </c>
      <c r="F872" s="1">
        <v>0</v>
      </c>
      <c r="G872" s="1" t="s">
        <v>4372</v>
      </c>
      <c r="H872" s="1" t="s">
        <v>4372</v>
      </c>
      <c r="I872" s="1" t="s">
        <v>4373</v>
      </c>
      <c r="J872" s="1" t="s">
        <v>5661</v>
      </c>
      <c r="K872" s="1" t="s">
        <v>5663</v>
      </c>
    </row>
    <row r="873" spans="1:11" ht="21" x14ac:dyDescent="0.25">
      <c r="A873" s="11" t="str">
        <f>HYPERLINK("https://rth.dk/resources/bsgatlas/details.php?id=BSGatlas-transcript-872","BSGatlas-transcript-872")</f>
        <v>BSGatlas-transcript-872</v>
      </c>
      <c r="B873" s="1" t="s">
        <v>875</v>
      </c>
      <c r="C873" s="3">
        <v>855072</v>
      </c>
      <c r="D873" s="3">
        <v>859552</v>
      </c>
      <c r="E873" s="1" t="s">
        <v>13</v>
      </c>
      <c r="F873" s="1">
        <v>0</v>
      </c>
      <c r="G873" s="1" t="s">
        <v>4372</v>
      </c>
      <c r="H873" s="1" t="s">
        <v>4372</v>
      </c>
      <c r="I873" s="1" t="s">
        <v>4373</v>
      </c>
      <c r="J873" s="1" t="s">
        <v>5664</v>
      </c>
      <c r="K873" s="1" t="s">
        <v>5665</v>
      </c>
    </row>
    <row r="874" spans="1:11" ht="21" x14ac:dyDescent="0.25">
      <c r="A874" s="11" t="str">
        <f>HYPERLINK("https://rth.dk/resources/bsgatlas/details.php?id=BSGatlas-transcript-873","BSGatlas-transcript-873")</f>
        <v>BSGatlas-transcript-873</v>
      </c>
      <c r="B874" s="1" t="s">
        <v>876</v>
      </c>
      <c r="C874" s="3">
        <v>859702</v>
      </c>
      <c r="D874" s="3">
        <v>860305</v>
      </c>
      <c r="E874" s="1" t="s">
        <v>9</v>
      </c>
      <c r="F874" s="1">
        <v>0</v>
      </c>
      <c r="G874" s="1" t="s">
        <v>4372</v>
      </c>
      <c r="H874" s="1" t="s">
        <v>4372</v>
      </c>
      <c r="I874" s="1" t="s">
        <v>4373</v>
      </c>
      <c r="J874" s="1" t="s">
        <v>5666</v>
      </c>
      <c r="K874" s="1" t="s">
        <v>5667</v>
      </c>
    </row>
    <row r="875" spans="1:11" ht="21" x14ac:dyDescent="0.25">
      <c r="A875" s="11" t="str">
        <f>HYPERLINK("https://rth.dk/resources/bsgatlas/details.php?id=BSGatlas-transcript-874","BSGatlas-transcript-874")</f>
        <v>BSGatlas-transcript-874</v>
      </c>
      <c r="B875" s="1" t="s">
        <v>5668</v>
      </c>
      <c r="C875" s="3">
        <v>860271</v>
      </c>
      <c r="D875" s="3">
        <v>861847</v>
      </c>
      <c r="E875" s="1" t="s">
        <v>13</v>
      </c>
      <c r="F875" s="1">
        <v>1</v>
      </c>
      <c r="G875" s="1">
        <v>47</v>
      </c>
      <c r="H875" s="1">
        <v>33</v>
      </c>
      <c r="I875" s="1" t="s">
        <v>4386</v>
      </c>
      <c r="J875" s="1" t="s">
        <v>5669</v>
      </c>
      <c r="K875" s="1" t="s">
        <v>5670</v>
      </c>
    </row>
    <row r="876" spans="1:11" ht="21" x14ac:dyDescent="0.25">
      <c r="A876" s="11" t="str">
        <f>HYPERLINK("https://rth.dk/resources/bsgatlas/details.php?id=BSGatlas-transcript-875","BSGatlas-transcript-875")</f>
        <v>BSGatlas-transcript-875</v>
      </c>
      <c r="B876" s="1" t="s">
        <v>878</v>
      </c>
      <c r="C876" s="3">
        <v>861586</v>
      </c>
      <c r="D876" s="3">
        <v>861847</v>
      </c>
      <c r="E876" s="1" t="s">
        <v>13</v>
      </c>
      <c r="F876" s="1">
        <v>0</v>
      </c>
      <c r="G876" s="1" t="s">
        <v>4372</v>
      </c>
      <c r="H876" s="1" t="s">
        <v>4372</v>
      </c>
      <c r="I876" s="1" t="s">
        <v>4386</v>
      </c>
      <c r="J876" s="1" t="s">
        <v>5669</v>
      </c>
      <c r="K876" s="1" t="s">
        <v>5671</v>
      </c>
    </row>
    <row r="877" spans="1:11" ht="21" x14ac:dyDescent="0.25">
      <c r="A877" s="11" t="str">
        <f>HYPERLINK("https://rth.dk/resources/bsgatlas/details.php?id=BSGatlas-transcript-876","BSGatlas-transcript-876")</f>
        <v>BSGatlas-transcript-876</v>
      </c>
      <c r="B877" s="1" t="s">
        <v>5672</v>
      </c>
      <c r="C877" s="3">
        <v>861953</v>
      </c>
      <c r="D877" s="3">
        <v>863663</v>
      </c>
      <c r="E877" s="1" t="s">
        <v>9</v>
      </c>
      <c r="F877" s="1">
        <v>2</v>
      </c>
      <c r="G877" s="1">
        <v>52</v>
      </c>
      <c r="H877" s="1" t="s">
        <v>4372</v>
      </c>
      <c r="I877" s="1" t="s">
        <v>4373</v>
      </c>
      <c r="J877" s="1" t="s">
        <v>5673</v>
      </c>
      <c r="K877" s="1" t="s">
        <v>318</v>
      </c>
    </row>
    <row r="878" spans="1:11" ht="21" x14ac:dyDescent="0.25">
      <c r="A878" s="11" t="str">
        <f>HYPERLINK("https://rth.dk/resources/bsgatlas/details.php?id=BSGatlas-transcript-877","BSGatlas-transcript-877")</f>
        <v>BSGatlas-transcript-877</v>
      </c>
      <c r="B878" s="1" t="s">
        <v>5672</v>
      </c>
      <c r="C878" s="3">
        <v>862004</v>
      </c>
      <c r="D878" s="3">
        <v>863663</v>
      </c>
      <c r="E878" s="1" t="s">
        <v>9</v>
      </c>
      <c r="F878" s="1">
        <v>2</v>
      </c>
      <c r="G878" s="1" t="s">
        <v>4372</v>
      </c>
      <c r="H878" s="1" t="s">
        <v>4372</v>
      </c>
      <c r="I878" s="1" t="s">
        <v>4373</v>
      </c>
      <c r="J878" s="1" t="s">
        <v>5674</v>
      </c>
      <c r="K878" s="1" t="s">
        <v>318</v>
      </c>
    </row>
    <row r="879" spans="1:11" ht="21" x14ac:dyDescent="0.25">
      <c r="A879" s="11" t="str">
        <f>HYPERLINK("https://rth.dk/resources/bsgatlas/details.php?id=BSGatlas-transcript-878","BSGatlas-transcript-878")</f>
        <v>BSGatlas-transcript-878</v>
      </c>
      <c r="B879" s="1" t="s">
        <v>882</v>
      </c>
      <c r="C879" s="3">
        <v>863681</v>
      </c>
      <c r="D879" s="3">
        <v>863869</v>
      </c>
      <c r="E879" s="1" t="s">
        <v>9</v>
      </c>
      <c r="F879" s="1">
        <v>0</v>
      </c>
      <c r="G879" s="1" t="s">
        <v>4372</v>
      </c>
      <c r="H879" s="1" t="s">
        <v>4372</v>
      </c>
      <c r="I879" s="1" t="s">
        <v>4377</v>
      </c>
      <c r="J879" s="1" t="s">
        <v>5675</v>
      </c>
      <c r="K879" s="1" t="s">
        <v>5676</v>
      </c>
    </row>
    <row r="880" spans="1:11" ht="21" x14ac:dyDescent="0.25">
      <c r="A880" s="11" t="str">
        <f>HYPERLINK("https://rth.dk/resources/bsgatlas/details.php?id=BSGatlas-transcript-879","BSGatlas-transcript-879")</f>
        <v>BSGatlas-transcript-879</v>
      </c>
      <c r="B880" s="1" t="s">
        <v>883</v>
      </c>
      <c r="C880" s="3">
        <v>863691</v>
      </c>
      <c r="D880" s="3">
        <v>865077</v>
      </c>
      <c r="E880" s="1" t="s">
        <v>13</v>
      </c>
      <c r="F880" s="1">
        <v>0</v>
      </c>
      <c r="G880" s="1" t="s">
        <v>4372</v>
      </c>
      <c r="H880" s="1" t="s">
        <v>4372</v>
      </c>
      <c r="I880" s="1" t="s">
        <v>4373</v>
      </c>
      <c r="J880" s="1" t="s">
        <v>5677</v>
      </c>
      <c r="K880" s="1" t="s">
        <v>5678</v>
      </c>
    </row>
    <row r="881" spans="1:11" ht="21" x14ac:dyDescent="0.25">
      <c r="A881" s="11" t="str">
        <f>HYPERLINK("https://rth.dk/resources/bsgatlas/details.php?id=BSGatlas-transcript-880","BSGatlas-transcript-880")</f>
        <v>BSGatlas-transcript-880</v>
      </c>
      <c r="B881" s="1" t="s">
        <v>883</v>
      </c>
      <c r="C881" s="3">
        <v>863815</v>
      </c>
      <c r="D881" s="3">
        <v>865077</v>
      </c>
      <c r="E881" s="1" t="s">
        <v>13</v>
      </c>
      <c r="F881" s="1">
        <v>0</v>
      </c>
      <c r="G881" s="1" t="s">
        <v>4372</v>
      </c>
      <c r="H881" s="1" t="s">
        <v>4372</v>
      </c>
      <c r="I881" s="1" t="s">
        <v>4373</v>
      </c>
      <c r="J881" s="1" t="s">
        <v>5677</v>
      </c>
      <c r="K881" s="1" t="s">
        <v>5679</v>
      </c>
    </row>
    <row r="882" spans="1:11" ht="21" x14ac:dyDescent="0.25">
      <c r="A882" s="11" t="str">
        <f>HYPERLINK("https://rth.dk/resources/bsgatlas/details.php?id=BSGatlas-transcript-881","BSGatlas-transcript-881")</f>
        <v>BSGatlas-transcript-881</v>
      </c>
      <c r="B882" s="1" t="s">
        <v>5680</v>
      </c>
      <c r="C882" s="3">
        <v>864500</v>
      </c>
      <c r="D882" s="3">
        <v>867169</v>
      </c>
      <c r="E882" s="1" t="s">
        <v>9</v>
      </c>
      <c r="F882" s="1">
        <v>1</v>
      </c>
      <c r="G882" s="1">
        <v>706</v>
      </c>
      <c r="H882" s="1">
        <v>45</v>
      </c>
      <c r="I882" s="1" t="s">
        <v>4373</v>
      </c>
      <c r="J882" s="1" t="s">
        <v>5681</v>
      </c>
      <c r="K882" s="1" t="s">
        <v>5682</v>
      </c>
    </row>
    <row r="883" spans="1:11" ht="21" x14ac:dyDescent="0.25">
      <c r="A883" s="11" t="str">
        <f>HYPERLINK("https://rth.dk/resources/bsgatlas/details.php?id=BSGatlas-transcript-882","BSGatlas-transcript-882")</f>
        <v>BSGatlas-transcript-882</v>
      </c>
      <c r="B883" s="1" t="s">
        <v>5680</v>
      </c>
      <c r="C883" s="3">
        <v>865155</v>
      </c>
      <c r="D883" s="3">
        <v>867169</v>
      </c>
      <c r="E883" s="1" t="s">
        <v>9</v>
      </c>
      <c r="F883" s="1">
        <v>1</v>
      </c>
      <c r="G883" s="1">
        <v>51</v>
      </c>
      <c r="H883" s="1">
        <v>45</v>
      </c>
      <c r="I883" s="1" t="s">
        <v>4373</v>
      </c>
      <c r="J883" s="1" t="s">
        <v>5683</v>
      </c>
      <c r="K883" s="1" t="s">
        <v>5682</v>
      </c>
    </row>
    <row r="884" spans="1:11" ht="21" x14ac:dyDescent="0.25">
      <c r="A884" s="11" t="str">
        <f>HYPERLINK("https://rth.dk/resources/bsgatlas/details.php?id=BSGatlas-transcript-883","BSGatlas-transcript-883")</f>
        <v>BSGatlas-transcript-883</v>
      </c>
      <c r="B884" s="1" t="s">
        <v>885</v>
      </c>
      <c r="C884" s="3">
        <v>866299</v>
      </c>
      <c r="D884" s="3">
        <v>867169</v>
      </c>
      <c r="E884" s="1" t="s">
        <v>9</v>
      </c>
      <c r="F884" s="1">
        <v>0</v>
      </c>
      <c r="G884" s="1" t="s">
        <v>4372</v>
      </c>
      <c r="H884" s="1" t="s">
        <v>4372</v>
      </c>
      <c r="I884" s="1" t="s">
        <v>4377</v>
      </c>
      <c r="J884" s="1" t="s">
        <v>5684</v>
      </c>
      <c r="K884" s="1" t="s">
        <v>5682</v>
      </c>
    </row>
    <row r="885" spans="1:11" ht="21" x14ac:dyDescent="0.25">
      <c r="A885" s="11" t="str">
        <f>HYPERLINK("https://rth.dk/resources/bsgatlas/details.php?id=BSGatlas-transcript-884","BSGatlas-transcript-884")</f>
        <v>BSGatlas-transcript-884</v>
      </c>
      <c r="B885" s="1" t="s">
        <v>5685</v>
      </c>
      <c r="C885" s="3">
        <v>867119</v>
      </c>
      <c r="D885" s="3">
        <v>869187</v>
      </c>
      <c r="E885" s="1" t="s">
        <v>13</v>
      </c>
      <c r="F885" s="1">
        <v>0</v>
      </c>
      <c r="G885" s="1" t="s">
        <v>4372</v>
      </c>
      <c r="H885" s="1" t="s">
        <v>4372</v>
      </c>
      <c r="I885" s="1" t="s">
        <v>4373</v>
      </c>
      <c r="J885" s="1" t="s">
        <v>5686</v>
      </c>
      <c r="K885" s="1" t="s">
        <v>5687</v>
      </c>
    </row>
    <row r="886" spans="1:11" ht="21" x14ac:dyDescent="0.25">
      <c r="A886" s="11" t="str">
        <f>HYPERLINK("https://rth.dk/resources/bsgatlas/details.php?id=BSGatlas-transcript-885","BSGatlas-transcript-885")</f>
        <v>BSGatlas-transcript-885</v>
      </c>
      <c r="B886" s="1" t="s">
        <v>888</v>
      </c>
      <c r="C886" s="3">
        <v>869247</v>
      </c>
      <c r="D886" s="3">
        <v>869492</v>
      </c>
      <c r="E886" s="1" t="s">
        <v>9</v>
      </c>
      <c r="F886" s="1">
        <v>0</v>
      </c>
      <c r="G886" s="1" t="s">
        <v>4372</v>
      </c>
      <c r="H886" s="1" t="s">
        <v>4372</v>
      </c>
      <c r="I886" s="1" t="s">
        <v>4373</v>
      </c>
      <c r="J886" s="1" t="s">
        <v>5688</v>
      </c>
      <c r="K886" s="1" t="s">
        <v>5689</v>
      </c>
    </row>
    <row r="887" spans="1:11" ht="21" x14ac:dyDescent="0.25">
      <c r="A887" s="11" t="str">
        <f>HYPERLINK("https://rth.dk/resources/bsgatlas/details.php?id=BSGatlas-transcript-886","BSGatlas-transcript-886")</f>
        <v>BSGatlas-transcript-886</v>
      </c>
      <c r="B887" s="1" t="s">
        <v>889</v>
      </c>
      <c r="C887" s="3">
        <v>869513</v>
      </c>
      <c r="D887" s="3">
        <v>870396</v>
      </c>
      <c r="E887" s="1" t="s">
        <v>9</v>
      </c>
      <c r="F887" s="1">
        <v>0</v>
      </c>
      <c r="G887" s="1" t="s">
        <v>4372</v>
      </c>
      <c r="H887" s="1" t="s">
        <v>4372</v>
      </c>
      <c r="I887" s="1" t="s">
        <v>4373</v>
      </c>
      <c r="J887" s="1" t="s">
        <v>5690</v>
      </c>
      <c r="K887" s="1" t="s">
        <v>5691</v>
      </c>
    </row>
    <row r="888" spans="1:11" ht="21" x14ac:dyDescent="0.25">
      <c r="A888" s="11" t="str">
        <f>HYPERLINK("https://rth.dk/resources/bsgatlas/details.php?id=BSGatlas-transcript-887","BSGatlas-transcript-887")</f>
        <v>BSGatlas-transcript-887</v>
      </c>
      <c r="B888" s="1" t="s">
        <v>890</v>
      </c>
      <c r="C888" s="3">
        <v>870344</v>
      </c>
      <c r="D888" s="3">
        <v>871282</v>
      </c>
      <c r="E888" s="1" t="s">
        <v>13</v>
      </c>
      <c r="F888" s="1">
        <v>0</v>
      </c>
      <c r="G888" s="1" t="s">
        <v>4372</v>
      </c>
      <c r="H888" s="1" t="s">
        <v>4372</v>
      </c>
      <c r="I888" s="1" t="s">
        <v>4373</v>
      </c>
      <c r="J888" s="1" t="s">
        <v>5692</v>
      </c>
      <c r="K888" s="1" t="s">
        <v>5693</v>
      </c>
    </row>
    <row r="889" spans="1:11" ht="21" x14ac:dyDescent="0.25">
      <c r="A889" s="11" t="str">
        <f>HYPERLINK("https://rth.dk/resources/bsgatlas/details.php?id=BSGatlas-transcript-888","BSGatlas-transcript-888")</f>
        <v>BSGatlas-transcript-888</v>
      </c>
      <c r="B889" s="1" t="s">
        <v>891</v>
      </c>
      <c r="C889" s="3">
        <v>871313</v>
      </c>
      <c r="D889" s="3">
        <v>872306</v>
      </c>
      <c r="E889" s="1" t="s">
        <v>13</v>
      </c>
      <c r="F889" s="1">
        <v>0</v>
      </c>
      <c r="G889" s="1" t="s">
        <v>4372</v>
      </c>
      <c r="H889" s="1" t="s">
        <v>4372</v>
      </c>
      <c r="I889" s="1" t="s">
        <v>4373</v>
      </c>
      <c r="J889" s="1" t="s">
        <v>5694</v>
      </c>
      <c r="K889" s="1" t="s">
        <v>5695</v>
      </c>
    </row>
    <row r="890" spans="1:11" ht="21" x14ac:dyDescent="0.25">
      <c r="A890" s="11" t="str">
        <f>HYPERLINK("https://rth.dk/resources/bsgatlas/details.php?id=BSGatlas-transcript-889","BSGatlas-transcript-889")</f>
        <v>BSGatlas-transcript-889</v>
      </c>
      <c r="B890" s="1" t="s">
        <v>5696</v>
      </c>
      <c r="C890" s="3">
        <v>872394</v>
      </c>
      <c r="D890" s="3">
        <v>874836</v>
      </c>
      <c r="E890" s="1" t="s">
        <v>9</v>
      </c>
      <c r="F890" s="1">
        <v>1</v>
      </c>
      <c r="G890" s="1">
        <v>32</v>
      </c>
      <c r="H890" s="1">
        <v>35</v>
      </c>
      <c r="I890" s="1" t="s">
        <v>4373</v>
      </c>
      <c r="J890" s="1" t="s">
        <v>5697</v>
      </c>
      <c r="K890" s="1" t="s">
        <v>5698</v>
      </c>
    </row>
    <row r="891" spans="1:11" ht="21" x14ac:dyDescent="0.25">
      <c r="A891" s="11" t="str">
        <f>HYPERLINK("https://rth.dk/resources/bsgatlas/details.php?id=BSGatlas-transcript-890","BSGatlas-transcript-890")</f>
        <v>BSGatlas-transcript-890</v>
      </c>
      <c r="B891" s="1" t="s">
        <v>5696</v>
      </c>
      <c r="C891" s="3">
        <v>872394</v>
      </c>
      <c r="D891" s="3">
        <v>874898</v>
      </c>
      <c r="E891" s="1" t="s">
        <v>9</v>
      </c>
      <c r="F891" s="1">
        <v>1</v>
      </c>
      <c r="G891" s="1">
        <v>32</v>
      </c>
      <c r="H891" s="1">
        <v>97</v>
      </c>
      <c r="I891" s="1" t="s">
        <v>4373</v>
      </c>
      <c r="J891" s="1" t="s">
        <v>5697</v>
      </c>
      <c r="K891" s="1" t="s">
        <v>5699</v>
      </c>
    </row>
    <row r="892" spans="1:11" ht="21" x14ac:dyDescent="0.25">
      <c r="A892" s="11" t="str">
        <f>HYPERLINK("https://rth.dk/resources/bsgatlas/details.php?id=BSGatlas-transcript-891","BSGatlas-transcript-891")</f>
        <v>BSGatlas-transcript-891</v>
      </c>
      <c r="B892" s="1" t="s">
        <v>894</v>
      </c>
      <c r="C892" s="3">
        <v>875137</v>
      </c>
      <c r="D892" s="3">
        <v>875694</v>
      </c>
      <c r="E892" s="1" t="s">
        <v>9</v>
      </c>
      <c r="F892" s="1">
        <v>0</v>
      </c>
      <c r="G892" s="1" t="s">
        <v>4372</v>
      </c>
      <c r="H892" s="1" t="s">
        <v>4372</v>
      </c>
      <c r="I892" s="1" t="s">
        <v>4377</v>
      </c>
      <c r="J892" s="1" t="s">
        <v>5700</v>
      </c>
      <c r="K892" s="1" t="s">
        <v>318</v>
      </c>
    </row>
    <row r="893" spans="1:11" ht="21" x14ac:dyDescent="0.25">
      <c r="A893" s="11" t="str">
        <f>HYPERLINK("https://rth.dk/resources/bsgatlas/details.php?id=BSGatlas-transcript-892","BSGatlas-transcript-892")</f>
        <v>BSGatlas-transcript-892</v>
      </c>
      <c r="B893" s="1" t="s">
        <v>895</v>
      </c>
      <c r="C893" s="3">
        <v>876178</v>
      </c>
      <c r="D893" s="3">
        <v>877512</v>
      </c>
      <c r="E893" s="1" t="s">
        <v>9</v>
      </c>
      <c r="F893" s="1">
        <v>0</v>
      </c>
      <c r="G893" s="1" t="s">
        <v>4372</v>
      </c>
      <c r="H893" s="1" t="s">
        <v>4372</v>
      </c>
      <c r="I893" s="1" t="s">
        <v>4373</v>
      </c>
      <c r="J893" s="1" t="s">
        <v>5701</v>
      </c>
      <c r="K893" s="1" t="s">
        <v>5702</v>
      </c>
    </row>
    <row r="894" spans="1:11" ht="21" x14ac:dyDescent="0.25">
      <c r="A894" s="11" t="str">
        <f>HYPERLINK("https://rth.dk/resources/bsgatlas/details.php?id=BSGatlas-transcript-893","BSGatlas-transcript-893")</f>
        <v>BSGatlas-transcript-893</v>
      </c>
      <c r="B894" s="1" t="s">
        <v>5703</v>
      </c>
      <c r="C894" s="3">
        <v>877564</v>
      </c>
      <c r="D894" s="3">
        <v>878797</v>
      </c>
      <c r="E894" s="1" t="s">
        <v>9</v>
      </c>
      <c r="F894" s="1">
        <v>1</v>
      </c>
      <c r="G894" s="1">
        <v>36</v>
      </c>
      <c r="H894" s="1">
        <v>28</v>
      </c>
      <c r="I894" s="1" t="s">
        <v>4373</v>
      </c>
      <c r="J894" s="1" t="s">
        <v>5704</v>
      </c>
      <c r="K894" s="1" t="s">
        <v>5705</v>
      </c>
    </row>
    <row r="895" spans="1:11" ht="21" x14ac:dyDescent="0.25">
      <c r="A895" s="11" t="str">
        <f>HYPERLINK("https://rth.dk/resources/bsgatlas/details.php?id=BSGatlas-transcript-894","BSGatlas-transcript-894")</f>
        <v>BSGatlas-transcript-894</v>
      </c>
      <c r="B895" s="1" t="s">
        <v>5703</v>
      </c>
      <c r="C895" s="3">
        <v>877564</v>
      </c>
      <c r="D895" s="3">
        <v>878844</v>
      </c>
      <c r="E895" s="1" t="s">
        <v>9</v>
      </c>
      <c r="F895" s="1">
        <v>1</v>
      </c>
      <c r="G895" s="1">
        <v>36</v>
      </c>
      <c r="H895" s="1">
        <v>75</v>
      </c>
      <c r="I895" s="1" t="s">
        <v>4373</v>
      </c>
      <c r="J895" s="1" t="s">
        <v>5704</v>
      </c>
      <c r="K895" s="1" t="s">
        <v>5706</v>
      </c>
    </row>
    <row r="896" spans="1:11" ht="21" x14ac:dyDescent="0.25">
      <c r="A896" s="11" t="str">
        <f>HYPERLINK("https://rth.dk/resources/bsgatlas/details.php?id=BSGatlas-transcript-895","BSGatlas-transcript-895")</f>
        <v>BSGatlas-transcript-895</v>
      </c>
      <c r="B896" s="1" t="s">
        <v>5707</v>
      </c>
      <c r="C896" s="3">
        <v>878974</v>
      </c>
      <c r="D896" s="3">
        <v>883695</v>
      </c>
      <c r="E896" s="1" t="s">
        <v>9</v>
      </c>
      <c r="F896" s="1">
        <v>1</v>
      </c>
      <c r="G896" s="1">
        <v>29</v>
      </c>
      <c r="H896" s="1">
        <v>54</v>
      </c>
      <c r="I896" s="1" t="s">
        <v>4373</v>
      </c>
      <c r="J896" s="1" t="s">
        <v>5708</v>
      </c>
      <c r="K896" s="1" t="s">
        <v>5709</v>
      </c>
    </row>
    <row r="897" spans="1:11" ht="21" x14ac:dyDescent="0.25">
      <c r="A897" s="11" t="str">
        <f>HYPERLINK("https://rth.dk/resources/bsgatlas/details.php?id=BSGatlas-transcript-896","BSGatlas-transcript-896")</f>
        <v>BSGatlas-transcript-896</v>
      </c>
      <c r="B897" s="1" t="s">
        <v>5710</v>
      </c>
      <c r="C897" s="3">
        <v>883717</v>
      </c>
      <c r="D897" s="3">
        <v>885853</v>
      </c>
      <c r="E897" s="1" t="s">
        <v>9</v>
      </c>
      <c r="F897" s="1">
        <v>1</v>
      </c>
      <c r="G897" s="1">
        <v>42</v>
      </c>
      <c r="H897" s="1">
        <v>46</v>
      </c>
      <c r="I897" s="1" t="s">
        <v>4373</v>
      </c>
      <c r="J897" s="1" t="s">
        <v>5711</v>
      </c>
      <c r="K897" s="1" t="s">
        <v>5712</v>
      </c>
    </row>
    <row r="898" spans="1:11" ht="21" x14ac:dyDescent="0.25">
      <c r="A898" s="11" t="str">
        <f>HYPERLINK("https://rth.dk/resources/bsgatlas/details.php?id=BSGatlas-transcript-897","BSGatlas-transcript-897")</f>
        <v>BSGatlas-transcript-897</v>
      </c>
      <c r="B898" s="1" t="s">
        <v>903</v>
      </c>
      <c r="C898" s="3">
        <v>885613</v>
      </c>
      <c r="D898" s="3">
        <v>885853</v>
      </c>
      <c r="E898" s="1" t="s">
        <v>9</v>
      </c>
      <c r="F898" s="1">
        <v>0</v>
      </c>
      <c r="G898" s="1" t="s">
        <v>4372</v>
      </c>
      <c r="H898" s="1" t="s">
        <v>4372</v>
      </c>
      <c r="I898" s="1" t="s">
        <v>4386</v>
      </c>
      <c r="J898" s="1" t="s">
        <v>5713</v>
      </c>
      <c r="K898" s="1" t="s">
        <v>5712</v>
      </c>
    </row>
    <row r="899" spans="1:11" ht="21" x14ac:dyDescent="0.25">
      <c r="A899" s="11" t="str">
        <f>HYPERLINK("https://rth.dk/resources/bsgatlas/details.php?id=BSGatlas-transcript-898","BSGatlas-transcript-898")</f>
        <v>BSGatlas-transcript-898</v>
      </c>
      <c r="B899" s="1" t="s">
        <v>5714</v>
      </c>
      <c r="C899" s="3">
        <v>885801</v>
      </c>
      <c r="D899" s="3">
        <v>889747</v>
      </c>
      <c r="E899" s="1" t="s">
        <v>13</v>
      </c>
      <c r="F899" s="1">
        <v>3</v>
      </c>
      <c r="G899" s="1">
        <v>62</v>
      </c>
      <c r="H899" s="1">
        <v>44</v>
      </c>
      <c r="I899" s="1" t="s">
        <v>4373</v>
      </c>
      <c r="J899" s="1" t="s">
        <v>5715</v>
      </c>
      <c r="K899" s="1" t="s">
        <v>5716</v>
      </c>
    </row>
    <row r="900" spans="1:11" ht="21" x14ac:dyDescent="0.25">
      <c r="A900" s="11" t="str">
        <f>HYPERLINK("https://rth.dk/resources/bsgatlas/details.php?id=BSGatlas-transcript-899","BSGatlas-transcript-899")</f>
        <v>BSGatlas-transcript-899</v>
      </c>
      <c r="B900" s="1" t="s">
        <v>5714</v>
      </c>
      <c r="C900" s="3">
        <v>885801</v>
      </c>
      <c r="D900" s="3">
        <v>891610</v>
      </c>
      <c r="E900" s="1" t="s">
        <v>13</v>
      </c>
      <c r="F900" s="1">
        <v>3</v>
      </c>
      <c r="G900" s="1">
        <v>1925</v>
      </c>
      <c r="H900" s="1">
        <v>44</v>
      </c>
      <c r="I900" s="1" t="s">
        <v>4373</v>
      </c>
      <c r="J900" s="1" t="s">
        <v>5717</v>
      </c>
      <c r="K900" s="1" t="s">
        <v>5716</v>
      </c>
    </row>
    <row r="901" spans="1:11" ht="21" x14ac:dyDescent="0.25">
      <c r="A901" s="11" t="str">
        <f>HYPERLINK("https://rth.dk/resources/bsgatlas/details.php?id=BSGatlas-transcript-900","BSGatlas-transcript-900")</f>
        <v>BSGatlas-transcript-900</v>
      </c>
      <c r="B901" s="1" t="s">
        <v>910</v>
      </c>
      <c r="C901" s="3">
        <v>887222</v>
      </c>
      <c r="D901" s="3">
        <v>887809</v>
      </c>
      <c r="E901" s="1" t="s">
        <v>9</v>
      </c>
      <c r="F901" s="1">
        <v>0</v>
      </c>
      <c r="G901" s="1" t="s">
        <v>4372</v>
      </c>
      <c r="H901" s="1" t="s">
        <v>4372</v>
      </c>
      <c r="I901" s="1" t="s">
        <v>4377</v>
      </c>
      <c r="J901" s="1" t="s">
        <v>5718</v>
      </c>
      <c r="K901" s="1" t="s">
        <v>318</v>
      </c>
    </row>
    <row r="902" spans="1:11" ht="21" x14ac:dyDescent="0.25">
      <c r="A902" s="11" t="str">
        <f>HYPERLINK("https://rth.dk/resources/bsgatlas/details.php?id=BSGatlas-transcript-901","BSGatlas-transcript-901")</f>
        <v>BSGatlas-transcript-901</v>
      </c>
      <c r="B902" s="1" t="s">
        <v>5719</v>
      </c>
      <c r="C902" s="3">
        <v>889996</v>
      </c>
      <c r="D902" s="3">
        <v>893837</v>
      </c>
      <c r="E902" s="1" t="s">
        <v>9</v>
      </c>
      <c r="F902" s="1">
        <v>1</v>
      </c>
      <c r="G902" s="1">
        <v>27</v>
      </c>
      <c r="H902" s="1">
        <v>40</v>
      </c>
      <c r="I902" s="1" t="s">
        <v>4373</v>
      </c>
      <c r="J902" s="1" t="s">
        <v>5720</v>
      </c>
      <c r="K902" s="1" t="s">
        <v>5721</v>
      </c>
    </row>
    <row r="903" spans="1:11" ht="21" x14ac:dyDescent="0.25">
      <c r="A903" s="11" t="str">
        <f>HYPERLINK("https://rth.dk/resources/bsgatlas/details.php?id=BSGatlas-transcript-902","BSGatlas-transcript-902")</f>
        <v>BSGatlas-transcript-902</v>
      </c>
      <c r="B903" s="1" t="s">
        <v>5722</v>
      </c>
      <c r="C903" s="3">
        <v>891402</v>
      </c>
      <c r="D903" s="3">
        <v>893837</v>
      </c>
      <c r="E903" s="1" t="s">
        <v>9</v>
      </c>
      <c r="F903" s="1">
        <v>0</v>
      </c>
      <c r="G903" s="1" t="s">
        <v>4372</v>
      </c>
      <c r="H903" s="1" t="s">
        <v>4372</v>
      </c>
      <c r="I903" s="1" t="s">
        <v>4377</v>
      </c>
      <c r="J903" s="1" t="s">
        <v>5723</v>
      </c>
      <c r="K903" s="1" t="s">
        <v>5721</v>
      </c>
    </row>
    <row r="904" spans="1:11" ht="21" x14ac:dyDescent="0.25">
      <c r="A904" s="11" t="str">
        <f>HYPERLINK("https://rth.dk/resources/bsgatlas/details.php?id=BSGatlas-transcript-903","BSGatlas-transcript-903")</f>
        <v>BSGatlas-transcript-903</v>
      </c>
      <c r="B904" s="1" t="s">
        <v>5724</v>
      </c>
      <c r="C904" s="3">
        <v>893857</v>
      </c>
      <c r="D904" s="3">
        <v>897470</v>
      </c>
      <c r="E904" s="1" t="s">
        <v>9</v>
      </c>
      <c r="F904" s="1">
        <v>0</v>
      </c>
      <c r="G904" s="1" t="s">
        <v>4372</v>
      </c>
      <c r="H904" s="1" t="s">
        <v>4372</v>
      </c>
      <c r="I904" s="1" t="s">
        <v>4373</v>
      </c>
      <c r="J904" s="1" t="s">
        <v>5725</v>
      </c>
      <c r="K904" s="1" t="s">
        <v>5726</v>
      </c>
    </row>
    <row r="905" spans="1:11" ht="21" x14ac:dyDescent="0.25">
      <c r="A905" s="11" t="str">
        <f>HYPERLINK("https://rth.dk/resources/bsgatlas/details.php?id=BSGatlas-transcript-904","BSGatlas-transcript-904")</f>
        <v>BSGatlas-transcript-904</v>
      </c>
      <c r="B905" s="1" t="s">
        <v>5727</v>
      </c>
      <c r="C905" s="3">
        <v>897540</v>
      </c>
      <c r="D905" s="3">
        <v>898916</v>
      </c>
      <c r="E905" s="1" t="s">
        <v>9</v>
      </c>
      <c r="F905" s="1">
        <v>1</v>
      </c>
      <c r="G905" s="1">
        <v>49</v>
      </c>
      <c r="H905" s="1">
        <v>50</v>
      </c>
      <c r="I905" s="1" t="s">
        <v>4373</v>
      </c>
      <c r="J905" s="1" t="s">
        <v>5728</v>
      </c>
      <c r="K905" s="1" t="s">
        <v>5729</v>
      </c>
    </row>
    <row r="906" spans="1:11" ht="21" x14ac:dyDescent="0.25">
      <c r="A906" s="11" t="str">
        <f>HYPERLINK("https://rth.dk/resources/bsgatlas/details.php?id=BSGatlas-transcript-905","BSGatlas-transcript-905")</f>
        <v>BSGatlas-transcript-905</v>
      </c>
      <c r="B906" s="1" t="s">
        <v>918</v>
      </c>
      <c r="C906" s="3">
        <v>898961</v>
      </c>
      <c r="D906" s="3">
        <v>899905</v>
      </c>
      <c r="E906" s="1" t="s">
        <v>9</v>
      </c>
      <c r="F906" s="1">
        <v>0</v>
      </c>
      <c r="G906" s="1" t="s">
        <v>4372</v>
      </c>
      <c r="H906" s="1" t="s">
        <v>4372</v>
      </c>
      <c r="I906" s="1" t="s">
        <v>4373</v>
      </c>
      <c r="J906" s="1" t="s">
        <v>318</v>
      </c>
      <c r="K906" s="1" t="s">
        <v>318</v>
      </c>
    </row>
    <row r="907" spans="1:11" ht="21" x14ac:dyDescent="0.25">
      <c r="A907" s="11" t="str">
        <f>HYPERLINK("https://rth.dk/resources/bsgatlas/details.php?id=BSGatlas-transcript-906","BSGatlas-transcript-906")</f>
        <v>BSGatlas-transcript-906</v>
      </c>
      <c r="B907" s="1" t="s">
        <v>5730</v>
      </c>
      <c r="C907" s="3">
        <v>900080</v>
      </c>
      <c r="D907" s="3">
        <v>903743</v>
      </c>
      <c r="E907" s="1" t="s">
        <v>9</v>
      </c>
      <c r="F907" s="1">
        <v>1</v>
      </c>
      <c r="G907" s="1" t="s">
        <v>4372</v>
      </c>
      <c r="H907" s="1">
        <v>57</v>
      </c>
      <c r="I907" s="1" t="s">
        <v>4373</v>
      </c>
      <c r="J907" s="1" t="s">
        <v>318</v>
      </c>
      <c r="K907" s="1" t="s">
        <v>5731</v>
      </c>
    </row>
    <row r="908" spans="1:11" ht="21" x14ac:dyDescent="0.25">
      <c r="A908" s="11" t="str">
        <f>HYPERLINK("https://rth.dk/resources/bsgatlas/details.php?id=BSGatlas-transcript-907","BSGatlas-transcript-907")</f>
        <v>BSGatlas-transcript-907</v>
      </c>
      <c r="B908" s="1" t="s">
        <v>5732</v>
      </c>
      <c r="C908" s="3">
        <v>903786</v>
      </c>
      <c r="D908" s="3">
        <v>905736</v>
      </c>
      <c r="E908" s="1" t="s">
        <v>9</v>
      </c>
      <c r="F908" s="1">
        <v>0</v>
      </c>
      <c r="G908" s="1" t="s">
        <v>4372</v>
      </c>
      <c r="H908" s="1" t="s">
        <v>4372</v>
      </c>
      <c r="I908" s="1" t="s">
        <v>4373</v>
      </c>
      <c r="J908" s="1" t="s">
        <v>5733</v>
      </c>
      <c r="K908" s="1" t="s">
        <v>5734</v>
      </c>
    </row>
    <row r="909" spans="1:11" ht="21" x14ac:dyDescent="0.25">
      <c r="A909" s="11" t="str">
        <f>HYPERLINK("https://rth.dk/resources/bsgatlas/details.php?id=BSGatlas-transcript-908","BSGatlas-transcript-908")</f>
        <v>BSGatlas-transcript-908</v>
      </c>
      <c r="B909" s="1" t="s">
        <v>5735</v>
      </c>
      <c r="C909" s="3">
        <v>905816</v>
      </c>
      <c r="D909" s="3">
        <v>909125</v>
      </c>
      <c r="E909" s="1" t="s">
        <v>9</v>
      </c>
      <c r="F909" s="1">
        <v>0</v>
      </c>
      <c r="G909" s="1" t="s">
        <v>4372</v>
      </c>
      <c r="H909" s="1" t="s">
        <v>4372</v>
      </c>
      <c r="I909" s="1" t="s">
        <v>4386</v>
      </c>
      <c r="J909" s="1" t="s">
        <v>318</v>
      </c>
      <c r="K909" s="1" t="s">
        <v>318</v>
      </c>
    </row>
    <row r="910" spans="1:11" ht="21" x14ac:dyDescent="0.25">
      <c r="A910" s="11" t="str">
        <f>HYPERLINK("https://rth.dk/resources/bsgatlas/details.php?id=BSGatlas-transcript-909","BSGatlas-transcript-909")</f>
        <v>BSGatlas-transcript-909</v>
      </c>
      <c r="B910" s="1" t="s">
        <v>927</v>
      </c>
      <c r="C910" s="3">
        <v>909115</v>
      </c>
      <c r="D910" s="3">
        <v>909826</v>
      </c>
      <c r="E910" s="1" t="s">
        <v>13</v>
      </c>
      <c r="F910" s="1">
        <v>0</v>
      </c>
      <c r="G910" s="1" t="s">
        <v>4372</v>
      </c>
      <c r="H910" s="1" t="s">
        <v>4372</v>
      </c>
      <c r="I910" s="1" t="s">
        <v>4373</v>
      </c>
      <c r="J910" s="1" t="s">
        <v>5736</v>
      </c>
      <c r="K910" s="1" t="s">
        <v>5737</v>
      </c>
    </row>
    <row r="911" spans="1:11" ht="21" x14ac:dyDescent="0.25">
      <c r="A911" s="11" t="str">
        <f>HYPERLINK("https://rth.dk/resources/bsgatlas/details.php?id=BSGatlas-transcript-910","BSGatlas-transcript-910")</f>
        <v>BSGatlas-transcript-910</v>
      </c>
      <c r="B911" s="1" t="s">
        <v>928</v>
      </c>
      <c r="C911" s="3">
        <v>909975</v>
      </c>
      <c r="D911" s="3">
        <v>910651</v>
      </c>
      <c r="E911" s="1" t="s">
        <v>9</v>
      </c>
      <c r="F911" s="1">
        <v>0</v>
      </c>
      <c r="G911" s="1" t="s">
        <v>4372</v>
      </c>
      <c r="H911" s="1" t="s">
        <v>4372</v>
      </c>
      <c r="I911" s="1" t="s">
        <v>4373</v>
      </c>
      <c r="J911" s="1" t="s">
        <v>5738</v>
      </c>
      <c r="K911" s="1" t="s">
        <v>5739</v>
      </c>
    </row>
    <row r="912" spans="1:11" ht="21" x14ac:dyDescent="0.25">
      <c r="A912" s="11" t="str">
        <f>HYPERLINK("https://rth.dk/resources/bsgatlas/details.php?id=BSGatlas-transcript-911","BSGatlas-transcript-911")</f>
        <v>BSGatlas-transcript-911</v>
      </c>
      <c r="B912" s="1" t="s">
        <v>928</v>
      </c>
      <c r="C912" s="3">
        <v>909975</v>
      </c>
      <c r="D912" s="3">
        <v>910705</v>
      </c>
      <c r="E912" s="1" t="s">
        <v>9</v>
      </c>
      <c r="F912" s="1">
        <v>0</v>
      </c>
      <c r="G912" s="1" t="s">
        <v>4372</v>
      </c>
      <c r="H912" s="1" t="s">
        <v>4372</v>
      </c>
      <c r="I912" s="1" t="s">
        <v>4373</v>
      </c>
      <c r="J912" s="1" t="s">
        <v>5738</v>
      </c>
      <c r="K912" s="1" t="s">
        <v>5740</v>
      </c>
    </row>
    <row r="913" spans="1:11" ht="21" x14ac:dyDescent="0.25">
      <c r="A913" s="11" t="str">
        <f>HYPERLINK("https://rth.dk/resources/bsgatlas/details.php?id=BSGatlas-transcript-912","BSGatlas-transcript-912")</f>
        <v>BSGatlas-transcript-912</v>
      </c>
      <c r="B913" s="1" t="s">
        <v>929</v>
      </c>
      <c r="C913" s="3">
        <v>910795</v>
      </c>
      <c r="D913" s="3">
        <v>911973</v>
      </c>
      <c r="E913" s="1" t="s">
        <v>9</v>
      </c>
      <c r="F913" s="1">
        <v>0</v>
      </c>
      <c r="G913" s="1" t="s">
        <v>4372</v>
      </c>
      <c r="H913" s="1" t="s">
        <v>4372</v>
      </c>
      <c r="I913" s="1" t="s">
        <v>4373</v>
      </c>
      <c r="J913" s="1" t="s">
        <v>5741</v>
      </c>
      <c r="K913" s="1" t="s">
        <v>5742</v>
      </c>
    </row>
    <row r="914" spans="1:11" ht="21" x14ac:dyDescent="0.25">
      <c r="A914" s="11" t="str">
        <f>HYPERLINK("https://rth.dk/resources/bsgatlas/details.php?id=BSGatlas-transcript-913","BSGatlas-transcript-913")</f>
        <v>BSGatlas-transcript-913</v>
      </c>
      <c r="B914" s="1" t="s">
        <v>930</v>
      </c>
      <c r="C914" s="3">
        <v>911330</v>
      </c>
      <c r="D914" s="3">
        <v>911718</v>
      </c>
      <c r="E914" s="1" t="s">
        <v>13</v>
      </c>
      <c r="F914" s="1">
        <v>0</v>
      </c>
      <c r="G914" s="1" t="s">
        <v>4372</v>
      </c>
      <c r="H914" s="1" t="s">
        <v>4372</v>
      </c>
      <c r="I914" s="1" t="s">
        <v>4377</v>
      </c>
      <c r="J914" s="1" t="s">
        <v>5743</v>
      </c>
      <c r="K914" s="1" t="s">
        <v>318</v>
      </c>
    </row>
    <row r="915" spans="1:11" ht="21" x14ac:dyDescent="0.25">
      <c r="A915" s="11" t="str">
        <f>HYPERLINK("https://rth.dk/resources/bsgatlas/details.php?id=BSGatlas-transcript-914","BSGatlas-transcript-914")</f>
        <v>BSGatlas-transcript-914</v>
      </c>
      <c r="B915" s="1" t="s">
        <v>931</v>
      </c>
      <c r="C915" s="3">
        <v>911921</v>
      </c>
      <c r="D915" s="3">
        <v>912620</v>
      </c>
      <c r="E915" s="1" t="s">
        <v>13</v>
      </c>
      <c r="F915" s="1">
        <v>0</v>
      </c>
      <c r="G915" s="1" t="s">
        <v>4372</v>
      </c>
      <c r="H915" s="1" t="s">
        <v>4372</v>
      </c>
      <c r="I915" s="1" t="s">
        <v>4386</v>
      </c>
      <c r="J915" s="1" t="s">
        <v>5744</v>
      </c>
      <c r="K915" s="1" t="s">
        <v>5745</v>
      </c>
    </row>
    <row r="916" spans="1:11" ht="21" x14ac:dyDescent="0.25">
      <c r="A916" s="11" t="str">
        <f>HYPERLINK("https://rth.dk/resources/bsgatlas/details.php?id=BSGatlas-transcript-915","BSGatlas-transcript-915")</f>
        <v>BSGatlas-transcript-915</v>
      </c>
      <c r="B916" s="1" t="s">
        <v>5746</v>
      </c>
      <c r="C916" s="3">
        <v>911921</v>
      </c>
      <c r="D916" s="3">
        <v>913852</v>
      </c>
      <c r="E916" s="1" t="s">
        <v>13</v>
      </c>
      <c r="F916" s="1">
        <v>0</v>
      </c>
      <c r="G916" s="1" t="s">
        <v>4372</v>
      </c>
      <c r="H916" s="1" t="s">
        <v>4372</v>
      </c>
      <c r="I916" s="1" t="s">
        <v>4373</v>
      </c>
      <c r="J916" s="1" t="s">
        <v>5747</v>
      </c>
      <c r="K916" s="1" t="s">
        <v>5745</v>
      </c>
    </row>
    <row r="917" spans="1:11" ht="21" x14ac:dyDescent="0.25">
      <c r="A917" s="11" t="str">
        <f>HYPERLINK("https://rth.dk/resources/bsgatlas/details.php?id=BSGatlas-transcript-916","BSGatlas-transcript-916")</f>
        <v>BSGatlas-transcript-916</v>
      </c>
      <c r="B917" s="1" t="s">
        <v>933</v>
      </c>
      <c r="C917" s="3">
        <v>913884</v>
      </c>
      <c r="D917" s="3">
        <v>914632</v>
      </c>
      <c r="E917" s="1" t="s">
        <v>9</v>
      </c>
      <c r="F917" s="1">
        <v>0</v>
      </c>
      <c r="G917" s="1" t="s">
        <v>4372</v>
      </c>
      <c r="H917" s="1" t="s">
        <v>4372</v>
      </c>
      <c r="I917" s="1" t="s">
        <v>4373</v>
      </c>
      <c r="J917" s="1" t="s">
        <v>5748</v>
      </c>
      <c r="K917" s="1" t="s">
        <v>5749</v>
      </c>
    </row>
    <row r="918" spans="1:11" ht="21" x14ac:dyDescent="0.25">
      <c r="A918" s="11" t="str">
        <f>HYPERLINK("https://rth.dk/resources/bsgatlas/details.php?id=BSGatlas-transcript-917","BSGatlas-transcript-917")</f>
        <v>BSGatlas-transcript-917</v>
      </c>
      <c r="B918" s="1" t="s">
        <v>934</v>
      </c>
      <c r="C918" s="3">
        <v>914457</v>
      </c>
      <c r="D918" s="3">
        <v>916052</v>
      </c>
      <c r="E918" s="1" t="s">
        <v>13</v>
      </c>
      <c r="F918" s="1">
        <v>0</v>
      </c>
      <c r="G918" s="1" t="s">
        <v>4372</v>
      </c>
      <c r="H918" s="1" t="s">
        <v>4372</v>
      </c>
      <c r="I918" s="1" t="s">
        <v>4373</v>
      </c>
      <c r="J918" s="1" t="s">
        <v>5750</v>
      </c>
      <c r="K918" s="1" t="s">
        <v>318</v>
      </c>
    </row>
    <row r="919" spans="1:11" ht="21" x14ac:dyDescent="0.25">
      <c r="A919" s="11" t="str">
        <f>HYPERLINK("https://rth.dk/resources/bsgatlas/details.php?id=BSGatlas-transcript-918","BSGatlas-transcript-918")</f>
        <v>BSGatlas-transcript-918</v>
      </c>
      <c r="B919" s="1" t="s">
        <v>935</v>
      </c>
      <c r="C919" s="3">
        <v>916071</v>
      </c>
      <c r="D919" s="3">
        <v>916647</v>
      </c>
      <c r="E919" s="1" t="s">
        <v>13</v>
      </c>
      <c r="F919" s="1">
        <v>0</v>
      </c>
      <c r="G919" s="1" t="s">
        <v>4372</v>
      </c>
      <c r="H919" s="1" t="s">
        <v>4372</v>
      </c>
      <c r="I919" s="1" t="s">
        <v>4373</v>
      </c>
      <c r="J919" s="1" t="s">
        <v>5751</v>
      </c>
      <c r="K919" s="1" t="s">
        <v>5752</v>
      </c>
    </row>
    <row r="920" spans="1:11" ht="21" x14ac:dyDescent="0.25">
      <c r="A920" s="11" t="str">
        <f>HYPERLINK("https://rth.dk/resources/bsgatlas/details.php?id=BSGatlas-transcript-919","BSGatlas-transcript-919")</f>
        <v>BSGatlas-transcript-919</v>
      </c>
      <c r="B920" s="1" t="s">
        <v>936</v>
      </c>
      <c r="C920" s="3">
        <v>916721</v>
      </c>
      <c r="D920" s="3">
        <v>919375</v>
      </c>
      <c r="E920" s="1" t="s">
        <v>9</v>
      </c>
      <c r="F920" s="1">
        <v>0</v>
      </c>
      <c r="G920" s="1" t="s">
        <v>4372</v>
      </c>
      <c r="H920" s="1" t="s">
        <v>4372</v>
      </c>
      <c r="I920" s="1" t="s">
        <v>4373</v>
      </c>
      <c r="J920" s="1" t="s">
        <v>5753</v>
      </c>
      <c r="K920" s="1" t="s">
        <v>5754</v>
      </c>
    </row>
    <row r="921" spans="1:11" ht="21" x14ac:dyDescent="0.25">
      <c r="A921" s="11" t="str">
        <f>HYPERLINK("https://rth.dk/resources/bsgatlas/details.php?id=BSGatlas-transcript-920","BSGatlas-transcript-920")</f>
        <v>BSGatlas-transcript-920</v>
      </c>
      <c r="B921" s="1" t="s">
        <v>937</v>
      </c>
      <c r="C921" s="3">
        <v>919322</v>
      </c>
      <c r="D921" s="3">
        <v>920387</v>
      </c>
      <c r="E921" s="1" t="s">
        <v>13</v>
      </c>
      <c r="F921" s="1">
        <v>0</v>
      </c>
      <c r="G921" s="1" t="s">
        <v>4372</v>
      </c>
      <c r="H921" s="1" t="s">
        <v>4372</v>
      </c>
      <c r="I921" s="1" t="s">
        <v>4373</v>
      </c>
      <c r="J921" s="1" t="s">
        <v>5755</v>
      </c>
      <c r="K921" s="1" t="s">
        <v>5756</v>
      </c>
    </row>
    <row r="922" spans="1:11" ht="21" x14ac:dyDescent="0.25">
      <c r="A922" s="11" t="str">
        <f>HYPERLINK("https://rth.dk/resources/bsgatlas/details.php?id=BSGatlas-transcript-921","BSGatlas-transcript-921")</f>
        <v>BSGatlas-transcript-921</v>
      </c>
      <c r="B922" s="1" t="s">
        <v>5757</v>
      </c>
      <c r="C922" s="3">
        <v>920382</v>
      </c>
      <c r="D922" s="3">
        <v>922503</v>
      </c>
      <c r="E922" s="1" t="s">
        <v>9</v>
      </c>
      <c r="F922" s="1">
        <v>0</v>
      </c>
      <c r="G922" s="1" t="s">
        <v>4372</v>
      </c>
      <c r="H922" s="1" t="s">
        <v>4372</v>
      </c>
      <c r="I922" s="1" t="s">
        <v>4373</v>
      </c>
      <c r="J922" s="1" t="s">
        <v>5758</v>
      </c>
      <c r="K922" s="1" t="s">
        <v>5759</v>
      </c>
    </row>
    <row r="923" spans="1:11" ht="21" x14ac:dyDescent="0.25">
      <c r="A923" s="11" t="str">
        <f>HYPERLINK("https://rth.dk/resources/bsgatlas/details.php?id=BSGatlas-transcript-922","BSGatlas-transcript-922")</f>
        <v>BSGatlas-transcript-922</v>
      </c>
      <c r="B923" s="1" t="s">
        <v>5757</v>
      </c>
      <c r="C923" s="3">
        <v>920382</v>
      </c>
      <c r="D923" s="3">
        <v>922552</v>
      </c>
      <c r="E923" s="1" t="s">
        <v>9</v>
      </c>
      <c r="F923" s="1">
        <v>0</v>
      </c>
      <c r="G923" s="1" t="s">
        <v>4372</v>
      </c>
      <c r="H923" s="1" t="s">
        <v>4372</v>
      </c>
      <c r="I923" s="1" t="s">
        <v>4373</v>
      </c>
      <c r="J923" s="1" t="s">
        <v>5758</v>
      </c>
      <c r="K923" s="1" t="s">
        <v>5760</v>
      </c>
    </row>
    <row r="924" spans="1:11" ht="21" x14ac:dyDescent="0.25">
      <c r="A924" s="11" t="str">
        <f>HYPERLINK("https://rth.dk/resources/bsgatlas/details.php?id=BSGatlas-transcript-923","BSGatlas-transcript-923")</f>
        <v>BSGatlas-transcript-923</v>
      </c>
      <c r="B924" s="1" t="s">
        <v>940</v>
      </c>
      <c r="C924" s="3">
        <v>922575</v>
      </c>
      <c r="D924" s="3">
        <v>923499</v>
      </c>
      <c r="E924" s="1" t="s">
        <v>9</v>
      </c>
      <c r="F924" s="1">
        <v>0</v>
      </c>
      <c r="G924" s="1" t="s">
        <v>4372</v>
      </c>
      <c r="H924" s="1" t="s">
        <v>4372</v>
      </c>
      <c r="I924" s="1" t="s">
        <v>4382</v>
      </c>
      <c r="J924" s="1" t="s">
        <v>5761</v>
      </c>
      <c r="K924" s="1" t="s">
        <v>318</v>
      </c>
    </row>
    <row r="925" spans="1:11" ht="21" x14ac:dyDescent="0.25">
      <c r="A925" s="11" t="str">
        <f>HYPERLINK("https://rth.dk/resources/bsgatlas/details.php?id=BSGatlas-transcript-924","BSGatlas-transcript-924")</f>
        <v>BSGatlas-transcript-924</v>
      </c>
      <c r="B925" s="1" t="s">
        <v>5762</v>
      </c>
      <c r="C925" s="3">
        <v>922575</v>
      </c>
      <c r="D925" s="3">
        <v>924217</v>
      </c>
      <c r="E925" s="1" t="s">
        <v>9</v>
      </c>
      <c r="F925" s="1">
        <v>1</v>
      </c>
      <c r="G925" s="1">
        <v>44</v>
      </c>
      <c r="H925" s="1">
        <v>47</v>
      </c>
      <c r="I925" s="1" t="s">
        <v>4386</v>
      </c>
      <c r="J925" s="1" t="s">
        <v>5761</v>
      </c>
      <c r="K925" s="1" t="s">
        <v>5763</v>
      </c>
    </row>
    <row r="926" spans="1:11" ht="21" x14ac:dyDescent="0.25">
      <c r="A926" s="11" t="str">
        <f>HYPERLINK("https://rth.dk/resources/bsgatlas/details.php?id=BSGatlas-transcript-925","BSGatlas-transcript-925")</f>
        <v>BSGatlas-transcript-925</v>
      </c>
      <c r="B926" s="1" t="s">
        <v>941</v>
      </c>
      <c r="C926" s="3">
        <v>923542</v>
      </c>
      <c r="D926" s="3">
        <v>924217</v>
      </c>
      <c r="E926" s="1" t="s">
        <v>9</v>
      </c>
      <c r="F926" s="1">
        <v>0</v>
      </c>
      <c r="G926" s="1" t="s">
        <v>4372</v>
      </c>
      <c r="H926" s="1" t="s">
        <v>4372</v>
      </c>
      <c r="I926" s="1" t="s">
        <v>4373</v>
      </c>
      <c r="J926" s="1" t="s">
        <v>5764</v>
      </c>
      <c r="K926" s="1" t="s">
        <v>5763</v>
      </c>
    </row>
    <row r="927" spans="1:11" ht="21" x14ac:dyDescent="0.25">
      <c r="A927" s="11" t="str">
        <f>HYPERLINK("https://rth.dk/resources/bsgatlas/details.php?id=BSGatlas-transcript-926","BSGatlas-transcript-926")</f>
        <v>BSGatlas-transcript-926</v>
      </c>
      <c r="B927" s="1" t="s">
        <v>942</v>
      </c>
      <c r="C927" s="3">
        <v>924161</v>
      </c>
      <c r="D927" s="3">
        <v>924433</v>
      </c>
      <c r="E927" s="1" t="s">
        <v>13</v>
      </c>
      <c r="F927" s="1">
        <v>0</v>
      </c>
      <c r="G927" s="1" t="s">
        <v>4372</v>
      </c>
      <c r="H927" s="1" t="s">
        <v>4372</v>
      </c>
      <c r="I927" s="1" t="s">
        <v>4377</v>
      </c>
      <c r="J927" s="1" t="s">
        <v>5765</v>
      </c>
      <c r="K927" s="1" t="s">
        <v>5766</v>
      </c>
    </row>
    <row r="928" spans="1:11" ht="21" x14ac:dyDescent="0.25">
      <c r="A928" s="11" t="str">
        <f>HYPERLINK("https://rth.dk/resources/bsgatlas/details.php?id=BSGatlas-transcript-927","BSGatlas-transcript-927")</f>
        <v>BSGatlas-transcript-927</v>
      </c>
      <c r="B928" s="1" t="s">
        <v>5767</v>
      </c>
      <c r="C928" s="3">
        <v>924161</v>
      </c>
      <c r="D928" s="3">
        <v>924609</v>
      </c>
      <c r="E928" s="1" t="s">
        <v>13</v>
      </c>
      <c r="F928" s="1">
        <v>1</v>
      </c>
      <c r="G928" s="1">
        <v>32</v>
      </c>
      <c r="H928" s="1">
        <v>50</v>
      </c>
      <c r="I928" s="1" t="s">
        <v>4377</v>
      </c>
      <c r="J928" s="1" t="s">
        <v>5768</v>
      </c>
      <c r="K928" s="1" t="s">
        <v>5766</v>
      </c>
    </row>
    <row r="929" spans="1:11" ht="21" x14ac:dyDescent="0.25">
      <c r="A929" s="11" t="str">
        <f>HYPERLINK("https://rth.dk/resources/bsgatlas/details.php?id=BSGatlas-transcript-928","BSGatlas-transcript-928")</f>
        <v>BSGatlas-transcript-928</v>
      </c>
      <c r="B929" s="1" t="s">
        <v>5769</v>
      </c>
      <c r="C929" s="3">
        <v>924161</v>
      </c>
      <c r="D929" s="3">
        <v>925580</v>
      </c>
      <c r="E929" s="1" t="s">
        <v>13</v>
      </c>
      <c r="F929" s="1">
        <v>2</v>
      </c>
      <c r="G929" s="1">
        <v>37</v>
      </c>
      <c r="H929" s="1">
        <v>50</v>
      </c>
      <c r="I929" s="1" t="s">
        <v>4373</v>
      </c>
      <c r="J929" s="1" t="s">
        <v>5770</v>
      </c>
      <c r="K929" s="1" t="s">
        <v>5766</v>
      </c>
    </row>
    <row r="930" spans="1:11" ht="21" x14ac:dyDescent="0.25">
      <c r="A930" s="11" t="str">
        <f>HYPERLINK("https://rth.dk/resources/bsgatlas/details.php?id=BSGatlas-transcript-929","BSGatlas-transcript-929")</f>
        <v>BSGatlas-transcript-929</v>
      </c>
      <c r="B930" s="1" t="s">
        <v>5771</v>
      </c>
      <c r="C930" s="3">
        <v>925460</v>
      </c>
      <c r="D930" s="3">
        <v>926787</v>
      </c>
      <c r="E930" s="1" t="s">
        <v>9</v>
      </c>
      <c r="F930" s="1">
        <v>0</v>
      </c>
      <c r="G930" s="1" t="s">
        <v>4372</v>
      </c>
      <c r="H930" s="1" t="s">
        <v>4372</v>
      </c>
      <c r="I930" s="1" t="s">
        <v>4373</v>
      </c>
      <c r="J930" s="1" t="s">
        <v>5772</v>
      </c>
      <c r="K930" s="1" t="s">
        <v>5773</v>
      </c>
    </row>
    <row r="931" spans="1:11" ht="21" x14ac:dyDescent="0.25">
      <c r="A931" s="11" t="str">
        <f>HYPERLINK("https://rth.dk/resources/bsgatlas/details.php?id=BSGatlas-transcript-930","BSGatlas-transcript-930")</f>
        <v>BSGatlas-transcript-930</v>
      </c>
      <c r="B931" s="1" t="s">
        <v>947</v>
      </c>
      <c r="C931" s="3">
        <v>926843</v>
      </c>
      <c r="D931" s="3">
        <v>928119</v>
      </c>
      <c r="E931" s="1" t="s">
        <v>9</v>
      </c>
      <c r="F931" s="1">
        <v>0</v>
      </c>
      <c r="G931" s="1" t="s">
        <v>4372</v>
      </c>
      <c r="H931" s="1" t="s">
        <v>4372</v>
      </c>
      <c r="I931" s="1" t="s">
        <v>4373</v>
      </c>
      <c r="J931" s="1" t="s">
        <v>5774</v>
      </c>
      <c r="K931" s="1" t="s">
        <v>5775</v>
      </c>
    </row>
    <row r="932" spans="1:11" ht="21" x14ac:dyDescent="0.25">
      <c r="A932" s="11" t="str">
        <f>HYPERLINK("https://rth.dk/resources/bsgatlas/details.php?id=BSGatlas-transcript-931","BSGatlas-transcript-931")</f>
        <v>BSGatlas-transcript-931</v>
      </c>
      <c r="B932" s="1" t="s">
        <v>948</v>
      </c>
      <c r="C932" s="3">
        <v>928069</v>
      </c>
      <c r="D932" s="3">
        <v>928317</v>
      </c>
      <c r="E932" s="1" t="s">
        <v>13</v>
      </c>
      <c r="F932" s="1">
        <v>0</v>
      </c>
      <c r="G932" s="1" t="s">
        <v>4372</v>
      </c>
      <c r="H932" s="1" t="s">
        <v>4372</v>
      </c>
      <c r="I932" s="1" t="s">
        <v>4373</v>
      </c>
      <c r="J932" s="1" t="s">
        <v>5776</v>
      </c>
      <c r="K932" s="1" t="s">
        <v>5777</v>
      </c>
    </row>
    <row r="933" spans="1:11" ht="21" x14ac:dyDescent="0.25">
      <c r="A933" s="11" t="str">
        <f>HYPERLINK("https://rth.dk/resources/bsgatlas/details.php?id=BSGatlas-transcript-932","BSGatlas-transcript-932")</f>
        <v>BSGatlas-transcript-932</v>
      </c>
      <c r="B933" s="1" t="s">
        <v>949</v>
      </c>
      <c r="C933" s="3">
        <v>928316</v>
      </c>
      <c r="D933" s="3">
        <v>928658</v>
      </c>
      <c r="E933" s="1" t="s">
        <v>9</v>
      </c>
      <c r="F933" s="1">
        <v>0</v>
      </c>
      <c r="G933" s="1" t="s">
        <v>4372</v>
      </c>
      <c r="H933" s="1" t="s">
        <v>4372</v>
      </c>
      <c r="I933" s="1" t="s">
        <v>4386</v>
      </c>
      <c r="J933" s="1" t="s">
        <v>5778</v>
      </c>
      <c r="K933" s="1" t="s">
        <v>5779</v>
      </c>
    </row>
    <row r="934" spans="1:11" ht="21" x14ac:dyDescent="0.25">
      <c r="A934" s="11" t="str">
        <f>HYPERLINK("https://rth.dk/resources/bsgatlas/details.php?id=BSGatlas-transcript-933","BSGatlas-transcript-933")</f>
        <v>BSGatlas-transcript-933</v>
      </c>
      <c r="B934" s="1" t="s">
        <v>5780</v>
      </c>
      <c r="C934" s="3">
        <v>928757</v>
      </c>
      <c r="D934" s="3">
        <v>930639</v>
      </c>
      <c r="E934" s="1" t="s">
        <v>9</v>
      </c>
      <c r="F934" s="1">
        <v>1</v>
      </c>
      <c r="G934" s="1">
        <v>47</v>
      </c>
      <c r="H934" s="1">
        <v>55</v>
      </c>
      <c r="I934" s="1" t="s">
        <v>4373</v>
      </c>
      <c r="J934" s="1" t="s">
        <v>5781</v>
      </c>
      <c r="K934" s="1" t="s">
        <v>5782</v>
      </c>
    </row>
    <row r="935" spans="1:11" ht="21" x14ac:dyDescent="0.25">
      <c r="A935" s="11" t="str">
        <f>HYPERLINK("https://rth.dk/resources/bsgatlas/details.php?id=BSGatlas-transcript-934","BSGatlas-transcript-934")</f>
        <v>BSGatlas-transcript-934</v>
      </c>
      <c r="B935" s="1" t="s">
        <v>5783</v>
      </c>
      <c r="C935" s="3">
        <v>929390</v>
      </c>
      <c r="D935" s="3">
        <v>930639</v>
      </c>
      <c r="E935" s="1" t="s">
        <v>9</v>
      </c>
      <c r="F935" s="1">
        <v>0</v>
      </c>
      <c r="G935" s="1" t="s">
        <v>4372</v>
      </c>
      <c r="H935" s="1" t="s">
        <v>4372</v>
      </c>
      <c r="I935" s="1" t="s">
        <v>4377</v>
      </c>
      <c r="J935" s="1" t="s">
        <v>5784</v>
      </c>
      <c r="K935" s="1" t="s">
        <v>5782</v>
      </c>
    </row>
    <row r="936" spans="1:11" ht="21" x14ac:dyDescent="0.25">
      <c r="A936" s="11" t="str">
        <f>HYPERLINK("https://rth.dk/resources/bsgatlas/details.php?id=BSGatlas-transcript-935","BSGatlas-transcript-935")</f>
        <v>BSGatlas-transcript-935</v>
      </c>
      <c r="B936" s="1" t="s">
        <v>953</v>
      </c>
      <c r="C936" s="3">
        <v>930738</v>
      </c>
      <c r="D936" s="3">
        <v>931847</v>
      </c>
      <c r="E936" s="1" t="s">
        <v>9</v>
      </c>
      <c r="F936" s="1">
        <v>0</v>
      </c>
      <c r="G936" s="1" t="s">
        <v>4372</v>
      </c>
      <c r="H936" s="1" t="s">
        <v>4372</v>
      </c>
      <c r="I936" s="1" t="s">
        <v>4382</v>
      </c>
      <c r="J936" s="1" t="s">
        <v>5785</v>
      </c>
      <c r="K936" s="1" t="s">
        <v>5786</v>
      </c>
    </row>
    <row r="937" spans="1:11" ht="21" x14ac:dyDescent="0.25">
      <c r="A937" s="11" t="str">
        <f>HYPERLINK("https://rth.dk/resources/bsgatlas/details.php?id=BSGatlas-transcript-936","BSGatlas-transcript-936")</f>
        <v>BSGatlas-transcript-936</v>
      </c>
      <c r="B937" s="1" t="s">
        <v>5787</v>
      </c>
      <c r="C937" s="3">
        <v>930738</v>
      </c>
      <c r="D937" s="3">
        <v>934487</v>
      </c>
      <c r="E937" s="1" t="s">
        <v>9</v>
      </c>
      <c r="F937" s="1">
        <v>1</v>
      </c>
      <c r="G937" s="1">
        <v>81</v>
      </c>
      <c r="H937" s="1">
        <v>24</v>
      </c>
      <c r="I937" s="1" t="s">
        <v>4386</v>
      </c>
      <c r="J937" s="1" t="s">
        <v>5785</v>
      </c>
      <c r="K937" s="1" t="s">
        <v>5788</v>
      </c>
    </row>
    <row r="938" spans="1:11" ht="21" x14ac:dyDescent="0.25">
      <c r="A938" s="11" t="str">
        <f>HYPERLINK("https://rth.dk/resources/bsgatlas/details.php?id=BSGatlas-transcript-937","BSGatlas-transcript-937")</f>
        <v>BSGatlas-transcript-937</v>
      </c>
      <c r="B938" s="1" t="s">
        <v>953</v>
      </c>
      <c r="C938" s="3">
        <v>930753</v>
      </c>
      <c r="D938" s="3">
        <v>931847</v>
      </c>
      <c r="E938" s="1" t="s">
        <v>9</v>
      </c>
      <c r="F938" s="1">
        <v>0</v>
      </c>
      <c r="G938" s="1" t="s">
        <v>4372</v>
      </c>
      <c r="H938" s="1" t="s">
        <v>4372</v>
      </c>
      <c r="I938" s="1" t="s">
        <v>4382</v>
      </c>
      <c r="J938" s="1" t="s">
        <v>5789</v>
      </c>
      <c r="K938" s="1" t="s">
        <v>5786</v>
      </c>
    </row>
    <row r="939" spans="1:11" ht="21" x14ac:dyDescent="0.25">
      <c r="A939" s="11" t="str">
        <f>HYPERLINK("https://rth.dk/resources/bsgatlas/details.php?id=BSGatlas-transcript-938","BSGatlas-transcript-938")</f>
        <v>BSGatlas-transcript-938</v>
      </c>
      <c r="B939" s="1" t="s">
        <v>5787</v>
      </c>
      <c r="C939" s="3">
        <v>930753</v>
      </c>
      <c r="D939" s="3">
        <v>934487</v>
      </c>
      <c r="E939" s="1" t="s">
        <v>9</v>
      </c>
      <c r="F939" s="1">
        <v>1</v>
      </c>
      <c r="G939" s="1">
        <v>66</v>
      </c>
      <c r="H939" s="1">
        <v>24</v>
      </c>
      <c r="I939" s="1" t="s">
        <v>4386</v>
      </c>
      <c r="J939" s="1" t="s">
        <v>5789</v>
      </c>
      <c r="K939" s="1" t="s">
        <v>5788</v>
      </c>
    </row>
    <row r="940" spans="1:11" ht="21" x14ac:dyDescent="0.25">
      <c r="A940" s="11" t="str">
        <f>HYPERLINK("https://rth.dk/resources/bsgatlas/details.php?id=BSGatlas-transcript-939","BSGatlas-transcript-939")</f>
        <v>BSGatlas-transcript-939</v>
      </c>
      <c r="B940" s="1" t="s">
        <v>954</v>
      </c>
      <c r="C940" s="3">
        <v>931879</v>
      </c>
      <c r="D940" s="3">
        <v>934487</v>
      </c>
      <c r="E940" s="1" t="s">
        <v>9</v>
      </c>
      <c r="F940" s="1">
        <v>0</v>
      </c>
      <c r="G940" s="1" t="s">
        <v>4372</v>
      </c>
      <c r="H940" s="1" t="s">
        <v>4372</v>
      </c>
      <c r="I940" s="1" t="s">
        <v>4382</v>
      </c>
      <c r="J940" s="1" t="s">
        <v>318</v>
      </c>
      <c r="K940" s="1" t="s">
        <v>5788</v>
      </c>
    </row>
    <row r="941" spans="1:11" ht="21" x14ac:dyDescent="0.25">
      <c r="A941" s="11" t="str">
        <f>HYPERLINK("https://rth.dk/resources/bsgatlas/details.php?id=BSGatlas-transcript-940","BSGatlas-transcript-940")</f>
        <v>BSGatlas-transcript-940</v>
      </c>
      <c r="B941" s="1" t="s">
        <v>955</v>
      </c>
      <c r="C941" s="3">
        <v>934434</v>
      </c>
      <c r="D941" s="3">
        <v>935587</v>
      </c>
      <c r="E941" s="1" t="s">
        <v>13</v>
      </c>
      <c r="F941" s="1">
        <v>0</v>
      </c>
      <c r="G941" s="1" t="s">
        <v>4372</v>
      </c>
      <c r="H941" s="1" t="s">
        <v>4372</v>
      </c>
      <c r="I941" s="1" t="s">
        <v>4373</v>
      </c>
      <c r="J941" s="1" t="s">
        <v>5790</v>
      </c>
      <c r="K941" s="1" t="s">
        <v>5791</v>
      </c>
    </row>
    <row r="942" spans="1:11" ht="21" x14ac:dyDescent="0.25">
      <c r="A942" s="11" t="str">
        <f>HYPERLINK("https://rth.dk/resources/bsgatlas/details.php?id=BSGatlas-transcript-941","BSGatlas-transcript-941")</f>
        <v>BSGatlas-transcript-941</v>
      </c>
      <c r="B942" s="1" t="s">
        <v>956</v>
      </c>
      <c r="C942" s="3">
        <v>934940</v>
      </c>
      <c r="D942" s="3">
        <v>936765</v>
      </c>
      <c r="E942" s="1" t="s">
        <v>9</v>
      </c>
      <c r="F942" s="1">
        <v>0</v>
      </c>
      <c r="G942" s="1" t="s">
        <v>4372</v>
      </c>
      <c r="H942" s="1" t="s">
        <v>4372</v>
      </c>
      <c r="I942" s="1" t="s">
        <v>4377</v>
      </c>
      <c r="J942" s="1" t="s">
        <v>5792</v>
      </c>
      <c r="K942" s="1" t="s">
        <v>5793</v>
      </c>
    </row>
    <row r="943" spans="1:11" ht="21" x14ac:dyDescent="0.25">
      <c r="A943" s="11" t="str">
        <f>HYPERLINK("https://rth.dk/resources/bsgatlas/details.php?id=BSGatlas-transcript-942","BSGatlas-transcript-942")</f>
        <v>BSGatlas-transcript-942</v>
      </c>
      <c r="B943" s="1" t="s">
        <v>5794</v>
      </c>
      <c r="C943" s="3">
        <v>934940</v>
      </c>
      <c r="D943" s="3">
        <v>938212</v>
      </c>
      <c r="E943" s="1" t="s">
        <v>9</v>
      </c>
      <c r="F943" s="1">
        <v>2</v>
      </c>
      <c r="G943" s="1">
        <v>717</v>
      </c>
      <c r="H943" s="1">
        <v>59</v>
      </c>
      <c r="I943" s="1" t="s">
        <v>4373</v>
      </c>
      <c r="J943" s="1" t="s">
        <v>5792</v>
      </c>
      <c r="K943" s="1" t="s">
        <v>5795</v>
      </c>
    </row>
    <row r="944" spans="1:11" ht="21" x14ac:dyDescent="0.25">
      <c r="A944" s="11" t="str">
        <f>HYPERLINK("https://rth.dk/resources/bsgatlas/details.php?id=BSGatlas-transcript-943","BSGatlas-transcript-943")</f>
        <v>BSGatlas-transcript-943</v>
      </c>
      <c r="B944" s="1" t="s">
        <v>956</v>
      </c>
      <c r="C944" s="3">
        <v>935582</v>
      </c>
      <c r="D944" s="3">
        <v>936765</v>
      </c>
      <c r="E944" s="1" t="s">
        <v>9</v>
      </c>
      <c r="F944" s="1">
        <v>0</v>
      </c>
      <c r="G944" s="1" t="s">
        <v>4372</v>
      </c>
      <c r="H944" s="1" t="s">
        <v>4372</v>
      </c>
      <c r="I944" s="1" t="s">
        <v>4377</v>
      </c>
      <c r="J944" s="1" t="s">
        <v>5796</v>
      </c>
      <c r="K944" s="1" t="s">
        <v>5793</v>
      </c>
    </row>
    <row r="945" spans="1:11" ht="21" x14ac:dyDescent="0.25">
      <c r="A945" s="11" t="str">
        <f>HYPERLINK("https://rth.dk/resources/bsgatlas/details.php?id=BSGatlas-transcript-944","BSGatlas-transcript-944")</f>
        <v>BSGatlas-transcript-944</v>
      </c>
      <c r="B945" s="1" t="s">
        <v>5794</v>
      </c>
      <c r="C945" s="3">
        <v>935582</v>
      </c>
      <c r="D945" s="3">
        <v>938212</v>
      </c>
      <c r="E945" s="1" t="s">
        <v>9</v>
      </c>
      <c r="F945" s="1">
        <v>2</v>
      </c>
      <c r="G945" s="1">
        <v>75</v>
      </c>
      <c r="H945" s="1">
        <v>59</v>
      </c>
      <c r="I945" s="1" t="s">
        <v>4373</v>
      </c>
      <c r="J945" s="1" t="s">
        <v>5796</v>
      </c>
      <c r="K945" s="1" t="s">
        <v>5795</v>
      </c>
    </row>
    <row r="946" spans="1:11" ht="21" x14ac:dyDescent="0.25">
      <c r="A946" s="11" t="str">
        <f>HYPERLINK("https://rth.dk/resources/bsgatlas/details.php?id=BSGatlas-transcript-945","BSGatlas-transcript-945")</f>
        <v>BSGatlas-transcript-945</v>
      </c>
      <c r="B946" s="1" t="s">
        <v>959</v>
      </c>
      <c r="C946" s="3">
        <v>936485</v>
      </c>
      <c r="D946" s="3">
        <v>937023</v>
      </c>
      <c r="E946" s="1" t="s">
        <v>13</v>
      </c>
      <c r="F946" s="1">
        <v>0</v>
      </c>
      <c r="G946" s="1" t="s">
        <v>4372</v>
      </c>
      <c r="H946" s="1" t="s">
        <v>4372</v>
      </c>
      <c r="I946" s="1" t="s">
        <v>4373</v>
      </c>
      <c r="J946" s="1" t="s">
        <v>5797</v>
      </c>
      <c r="K946" s="1" t="s">
        <v>5798</v>
      </c>
    </row>
    <row r="947" spans="1:11" ht="21" x14ac:dyDescent="0.25">
      <c r="A947" s="11" t="str">
        <f>HYPERLINK("https://rth.dk/resources/bsgatlas/details.php?id=BSGatlas-transcript-946","BSGatlas-transcript-946")</f>
        <v>BSGatlas-transcript-946</v>
      </c>
      <c r="B947" s="1" t="s">
        <v>959</v>
      </c>
      <c r="C947" s="3">
        <v>936485</v>
      </c>
      <c r="D947" s="3">
        <v>937898</v>
      </c>
      <c r="E947" s="1" t="s">
        <v>13</v>
      </c>
      <c r="F947" s="1">
        <v>0</v>
      </c>
      <c r="G947" s="1" t="s">
        <v>4372</v>
      </c>
      <c r="H947" s="1" t="s">
        <v>4372</v>
      </c>
      <c r="I947" s="1" t="s">
        <v>4373</v>
      </c>
      <c r="J947" s="1" t="s">
        <v>5799</v>
      </c>
      <c r="K947" s="1" t="s">
        <v>5798</v>
      </c>
    </row>
    <row r="948" spans="1:11" ht="21" x14ac:dyDescent="0.25">
      <c r="A948" s="11" t="str">
        <f>HYPERLINK("https://rth.dk/resources/bsgatlas/details.php?id=BSGatlas-transcript-947","BSGatlas-transcript-947")</f>
        <v>BSGatlas-transcript-947</v>
      </c>
      <c r="B948" s="1" t="s">
        <v>5800</v>
      </c>
      <c r="C948" s="3">
        <v>936639</v>
      </c>
      <c r="D948" s="3">
        <v>938212</v>
      </c>
      <c r="E948" s="1" t="s">
        <v>9</v>
      </c>
      <c r="F948" s="1">
        <v>1</v>
      </c>
      <c r="G948" s="1">
        <v>441</v>
      </c>
      <c r="H948" s="1">
        <v>59</v>
      </c>
      <c r="I948" s="1" t="s">
        <v>4386</v>
      </c>
      <c r="J948" s="1" t="s">
        <v>5801</v>
      </c>
      <c r="K948" s="1" t="s">
        <v>5795</v>
      </c>
    </row>
    <row r="949" spans="1:11" ht="21" x14ac:dyDescent="0.25">
      <c r="A949" s="11" t="str">
        <f>HYPERLINK("https://rth.dk/resources/bsgatlas/details.php?id=BSGatlas-transcript-948","BSGatlas-transcript-948")</f>
        <v>BSGatlas-transcript-948</v>
      </c>
      <c r="B949" s="1" t="s">
        <v>5800</v>
      </c>
      <c r="C949" s="3">
        <v>936838</v>
      </c>
      <c r="D949" s="3">
        <v>938212</v>
      </c>
      <c r="E949" s="1" t="s">
        <v>9</v>
      </c>
      <c r="F949" s="1">
        <v>1</v>
      </c>
      <c r="G949" s="1">
        <v>242</v>
      </c>
      <c r="H949" s="1">
        <v>59</v>
      </c>
      <c r="I949" s="1" t="s">
        <v>4386</v>
      </c>
      <c r="J949" s="1" t="s">
        <v>5802</v>
      </c>
      <c r="K949" s="1" t="s">
        <v>5795</v>
      </c>
    </row>
    <row r="950" spans="1:11" ht="21" x14ac:dyDescent="0.25">
      <c r="A950" s="11" t="str">
        <f>HYPERLINK("https://rth.dk/resources/bsgatlas/details.php?id=BSGatlas-transcript-949","BSGatlas-transcript-949")</f>
        <v>BSGatlas-transcript-949</v>
      </c>
      <c r="B950" s="1" t="s">
        <v>5800</v>
      </c>
      <c r="C950" s="3">
        <v>936907</v>
      </c>
      <c r="D950" s="3">
        <v>938212</v>
      </c>
      <c r="E950" s="1" t="s">
        <v>9</v>
      </c>
      <c r="F950" s="1">
        <v>1</v>
      </c>
      <c r="G950" s="1">
        <v>173</v>
      </c>
      <c r="H950" s="1">
        <v>59</v>
      </c>
      <c r="I950" s="1" t="s">
        <v>4386</v>
      </c>
      <c r="J950" s="1" t="s">
        <v>5803</v>
      </c>
      <c r="K950" s="1" t="s">
        <v>5795</v>
      </c>
    </row>
    <row r="951" spans="1:11" ht="21" x14ac:dyDescent="0.25">
      <c r="A951" s="11" t="str">
        <f>HYPERLINK("https://rth.dk/resources/bsgatlas/details.php?id=BSGatlas-transcript-950","BSGatlas-transcript-950")</f>
        <v>BSGatlas-transcript-950</v>
      </c>
      <c r="B951" s="1" t="s">
        <v>958</v>
      </c>
      <c r="C951" s="3">
        <v>937885</v>
      </c>
      <c r="D951" s="3">
        <v>938212</v>
      </c>
      <c r="E951" s="1" t="s">
        <v>9</v>
      </c>
      <c r="F951" s="1">
        <v>0</v>
      </c>
      <c r="G951" s="1" t="s">
        <v>4372</v>
      </c>
      <c r="H951" s="1" t="s">
        <v>4372</v>
      </c>
      <c r="I951" s="1" t="s">
        <v>4377</v>
      </c>
      <c r="J951" s="1" t="s">
        <v>5804</v>
      </c>
      <c r="K951" s="1" t="s">
        <v>5795</v>
      </c>
    </row>
    <row r="952" spans="1:11" ht="21" x14ac:dyDescent="0.25">
      <c r="A952" s="11" t="str">
        <f>HYPERLINK("https://rth.dk/resources/bsgatlas/details.php?id=BSGatlas-transcript-951","BSGatlas-transcript-951")</f>
        <v>BSGatlas-transcript-951</v>
      </c>
      <c r="B952" s="1" t="s">
        <v>960</v>
      </c>
      <c r="C952" s="3">
        <v>938243</v>
      </c>
      <c r="D952" s="3">
        <v>938587</v>
      </c>
      <c r="E952" s="1" t="s">
        <v>9</v>
      </c>
      <c r="F952" s="1">
        <v>0</v>
      </c>
      <c r="G952" s="1" t="s">
        <v>4372</v>
      </c>
      <c r="H952" s="1" t="s">
        <v>4372</v>
      </c>
      <c r="I952" s="1" t="s">
        <v>4386</v>
      </c>
      <c r="J952" s="1" t="s">
        <v>5805</v>
      </c>
      <c r="K952" s="1" t="s">
        <v>5806</v>
      </c>
    </row>
    <row r="953" spans="1:11" ht="21" x14ac:dyDescent="0.25">
      <c r="A953" s="11" t="str">
        <f>HYPERLINK("https://rth.dk/resources/bsgatlas/details.php?id=BSGatlas-transcript-952","BSGatlas-transcript-952")</f>
        <v>BSGatlas-transcript-952</v>
      </c>
      <c r="B953" s="1" t="s">
        <v>961</v>
      </c>
      <c r="C953" s="3">
        <v>938656</v>
      </c>
      <c r="D953" s="3">
        <v>939261</v>
      </c>
      <c r="E953" s="1" t="s">
        <v>9</v>
      </c>
      <c r="F953" s="1">
        <v>0</v>
      </c>
      <c r="G953" s="1" t="s">
        <v>4372</v>
      </c>
      <c r="H953" s="1" t="s">
        <v>4372</v>
      </c>
      <c r="I953" s="1" t="s">
        <v>4377</v>
      </c>
      <c r="J953" s="1" t="s">
        <v>5807</v>
      </c>
      <c r="K953" s="1" t="s">
        <v>5808</v>
      </c>
    </row>
    <row r="954" spans="1:11" ht="21" x14ac:dyDescent="0.25">
      <c r="A954" s="11" t="str">
        <f>HYPERLINK("https://rth.dk/resources/bsgatlas/details.php?id=BSGatlas-transcript-953","BSGatlas-transcript-953")</f>
        <v>BSGatlas-transcript-953</v>
      </c>
      <c r="B954" s="1" t="s">
        <v>5809</v>
      </c>
      <c r="C954" s="3">
        <v>938656</v>
      </c>
      <c r="D954" s="3">
        <v>941091</v>
      </c>
      <c r="E954" s="1" t="s">
        <v>9</v>
      </c>
      <c r="F954" s="1">
        <v>1</v>
      </c>
      <c r="G954" s="1">
        <v>76</v>
      </c>
      <c r="H954" s="1" t="s">
        <v>4372</v>
      </c>
      <c r="I954" s="1" t="s">
        <v>4386</v>
      </c>
      <c r="J954" s="1" t="s">
        <v>5807</v>
      </c>
      <c r="K954" s="1" t="s">
        <v>5810</v>
      </c>
    </row>
    <row r="955" spans="1:11" ht="21" x14ac:dyDescent="0.25">
      <c r="A955" s="11" t="str">
        <f>HYPERLINK("https://rth.dk/resources/bsgatlas/details.php?id=BSGatlas-transcript-954","BSGatlas-transcript-954")</f>
        <v>BSGatlas-transcript-954</v>
      </c>
      <c r="B955" s="1" t="s">
        <v>963</v>
      </c>
      <c r="C955" s="3">
        <v>941168</v>
      </c>
      <c r="D955" s="3">
        <v>942327</v>
      </c>
      <c r="E955" s="1" t="s">
        <v>13</v>
      </c>
      <c r="F955" s="1">
        <v>0</v>
      </c>
      <c r="G955" s="1" t="s">
        <v>4372</v>
      </c>
      <c r="H955" s="1" t="s">
        <v>4372</v>
      </c>
      <c r="I955" s="1" t="s">
        <v>4386</v>
      </c>
      <c r="J955" s="1" t="s">
        <v>5811</v>
      </c>
      <c r="K955" s="1" t="s">
        <v>5812</v>
      </c>
    </row>
    <row r="956" spans="1:11" ht="21" x14ac:dyDescent="0.25">
      <c r="A956" s="11" t="str">
        <f>HYPERLINK("https://rth.dk/resources/bsgatlas/details.php?id=BSGatlas-transcript-955","BSGatlas-transcript-955")</f>
        <v>BSGatlas-transcript-955</v>
      </c>
      <c r="B956" s="1" t="s">
        <v>964</v>
      </c>
      <c r="C956" s="3">
        <v>942430</v>
      </c>
      <c r="D956" s="3">
        <v>943785</v>
      </c>
      <c r="E956" s="1" t="s">
        <v>13</v>
      </c>
      <c r="F956" s="1">
        <v>0</v>
      </c>
      <c r="G956" s="1" t="s">
        <v>4372</v>
      </c>
      <c r="H956" s="1" t="s">
        <v>4372</v>
      </c>
      <c r="I956" s="1" t="s">
        <v>4386</v>
      </c>
      <c r="J956" s="1" t="s">
        <v>5813</v>
      </c>
      <c r="K956" s="1" t="s">
        <v>5814</v>
      </c>
    </row>
    <row r="957" spans="1:11" ht="21" x14ac:dyDescent="0.25">
      <c r="A957" s="11" t="str">
        <f>HYPERLINK("https://rth.dk/resources/bsgatlas/details.php?id=BSGatlas-transcript-956","BSGatlas-transcript-956")</f>
        <v>BSGatlas-transcript-956</v>
      </c>
      <c r="B957" s="1" t="s">
        <v>964</v>
      </c>
      <c r="C957" s="3">
        <v>942430</v>
      </c>
      <c r="D957" s="3">
        <v>944498</v>
      </c>
      <c r="E957" s="1" t="s">
        <v>13</v>
      </c>
      <c r="F957" s="1">
        <v>0</v>
      </c>
      <c r="G957" s="1" t="s">
        <v>4372</v>
      </c>
      <c r="H957" s="1" t="s">
        <v>4372</v>
      </c>
      <c r="I957" s="1" t="s">
        <v>4386</v>
      </c>
      <c r="J957" s="1" t="s">
        <v>5815</v>
      </c>
      <c r="K957" s="1" t="s">
        <v>5814</v>
      </c>
    </row>
    <row r="958" spans="1:11" ht="21" x14ac:dyDescent="0.25">
      <c r="A958" s="11" t="str">
        <f>HYPERLINK("https://rth.dk/resources/bsgatlas/details.php?id=BSGatlas-transcript-957","BSGatlas-transcript-957")</f>
        <v>BSGatlas-transcript-957</v>
      </c>
      <c r="B958" s="1" t="s">
        <v>5816</v>
      </c>
      <c r="C958" s="3">
        <v>943852</v>
      </c>
      <c r="D958" s="3">
        <v>944971</v>
      </c>
      <c r="E958" s="1" t="s">
        <v>9</v>
      </c>
      <c r="F958" s="1">
        <v>1</v>
      </c>
      <c r="G958" s="1">
        <v>40</v>
      </c>
      <c r="H958" s="1">
        <v>48</v>
      </c>
      <c r="I958" s="1" t="s">
        <v>4386</v>
      </c>
      <c r="J958" s="1" t="s">
        <v>5817</v>
      </c>
      <c r="K958" s="1" t="s">
        <v>5818</v>
      </c>
    </row>
    <row r="959" spans="1:11" ht="21" x14ac:dyDescent="0.25">
      <c r="A959" s="11" t="str">
        <f>HYPERLINK("https://rth.dk/resources/bsgatlas/details.php?id=BSGatlas-transcript-958","BSGatlas-transcript-958")</f>
        <v>BSGatlas-transcript-958</v>
      </c>
      <c r="B959" s="1" t="s">
        <v>966</v>
      </c>
      <c r="C959" s="3">
        <v>944440</v>
      </c>
      <c r="D959" s="3">
        <v>944971</v>
      </c>
      <c r="E959" s="1" t="s">
        <v>9</v>
      </c>
      <c r="F959" s="1">
        <v>0</v>
      </c>
      <c r="G959" s="1" t="s">
        <v>4372</v>
      </c>
      <c r="H959" s="1" t="s">
        <v>4372</v>
      </c>
      <c r="I959" s="1" t="s">
        <v>4373</v>
      </c>
      <c r="J959" s="1" t="s">
        <v>5819</v>
      </c>
      <c r="K959" s="1" t="s">
        <v>5818</v>
      </c>
    </row>
    <row r="960" spans="1:11" ht="21" x14ac:dyDescent="0.25">
      <c r="A960" s="11" t="str">
        <f>HYPERLINK("https://rth.dk/resources/bsgatlas/details.php?id=BSGatlas-transcript-959","BSGatlas-transcript-959")</f>
        <v>BSGatlas-transcript-959</v>
      </c>
      <c r="B960" s="1" t="s">
        <v>967</v>
      </c>
      <c r="C960" s="3">
        <v>944959</v>
      </c>
      <c r="D960" s="3">
        <v>945334</v>
      </c>
      <c r="E960" s="1" t="s">
        <v>13</v>
      </c>
      <c r="F960" s="1">
        <v>0</v>
      </c>
      <c r="G960" s="1" t="s">
        <v>4372</v>
      </c>
      <c r="H960" s="1" t="s">
        <v>4372</v>
      </c>
      <c r="I960" s="1" t="s">
        <v>4397</v>
      </c>
      <c r="J960" s="1" t="s">
        <v>5820</v>
      </c>
      <c r="K960" s="1" t="s">
        <v>5821</v>
      </c>
    </row>
    <row r="961" spans="1:11" ht="21" x14ac:dyDescent="0.25">
      <c r="A961" s="11" t="str">
        <f>HYPERLINK("https://rth.dk/resources/bsgatlas/details.php?id=BSGatlas-transcript-960","BSGatlas-transcript-960")</f>
        <v>BSGatlas-transcript-960</v>
      </c>
      <c r="B961" s="1" t="s">
        <v>5822</v>
      </c>
      <c r="C961" s="3">
        <v>945324</v>
      </c>
      <c r="D961" s="3">
        <v>951572</v>
      </c>
      <c r="E961" s="1" t="s">
        <v>9</v>
      </c>
      <c r="F961" s="1">
        <v>3</v>
      </c>
      <c r="G961" s="1">
        <v>197</v>
      </c>
      <c r="H961" s="1" t="s">
        <v>4372</v>
      </c>
      <c r="I961" s="1" t="s">
        <v>4386</v>
      </c>
      <c r="J961" s="1" t="s">
        <v>5823</v>
      </c>
      <c r="K961" s="1" t="s">
        <v>318</v>
      </c>
    </row>
    <row r="962" spans="1:11" ht="21" x14ac:dyDescent="0.25">
      <c r="A962" s="11" t="str">
        <f>HYPERLINK("https://rth.dk/resources/bsgatlas/details.php?id=BSGatlas-transcript-961","BSGatlas-transcript-961")</f>
        <v>BSGatlas-transcript-961</v>
      </c>
      <c r="B962" s="1" t="s">
        <v>5824</v>
      </c>
      <c r="C962" s="3">
        <v>945324</v>
      </c>
      <c r="D962" s="3">
        <v>951771</v>
      </c>
      <c r="E962" s="1" t="s">
        <v>9</v>
      </c>
      <c r="F962" s="1">
        <v>3</v>
      </c>
      <c r="G962" s="1">
        <v>197</v>
      </c>
      <c r="H962" s="1">
        <v>19</v>
      </c>
      <c r="I962" s="1" t="s">
        <v>4377</v>
      </c>
      <c r="J962" s="1" t="s">
        <v>5823</v>
      </c>
      <c r="K962" s="1" t="s">
        <v>5825</v>
      </c>
    </row>
    <row r="963" spans="1:11" ht="21" x14ac:dyDescent="0.25">
      <c r="A963" s="11" t="str">
        <f>HYPERLINK("https://rth.dk/resources/bsgatlas/details.php?id=BSGatlas-transcript-962","BSGatlas-transcript-962")</f>
        <v>BSGatlas-transcript-962</v>
      </c>
      <c r="B963" s="1" t="s">
        <v>5826</v>
      </c>
      <c r="C963" s="3">
        <v>945324</v>
      </c>
      <c r="D963" s="3">
        <v>953045</v>
      </c>
      <c r="E963" s="1" t="s">
        <v>9</v>
      </c>
      <c r="F963" s="1">
        <v>7</v>
      </c>
      <c r="G963" s="1">
        <v>197</v>
      </c>
      <c r="H963" s="1">
        <v>99</v>
      </c>
      <c r="I963" s="1" t="s">
        <v>4377</v>
      </c>
      <c r="J963" s="1" t="s">
        <v>5823</v>
      </c>
      <c r="K963" s="1" t="s">
        <v>5827</v>
      </c>
    </row>
    <row r="964" spans="1:11" ht="21" x14ac:dyDescent="0.25">
      <c r="A964" s="11" t="str">
        <f>HYPERLINK("https://rth.dk/resources/bsgatlas/details.php?id=BSGatlas-transcript-963","BSGatlas-transcript-963")</f>
        <v>BSGatlas-transcript-963</v>
      </c>
      <c r="B964" s="1" t="s">
        <v>5826</v>
      </c>
      <c r="C964" s="3">
        <v>945324</v>
      </c>
      <c r="D964" s="3">
        <v>953179</v>
      </c>
      <c r="E964" s="1" t="s">
        <v>9</v>
      </c>
      <c r="F964" s="1">
        <v>7</v>
      </c>
      <c r="G964" s="1">
        <v>197</v>
      </c>
      <c r="H964" s="1">
        <v>233</v>
      </c>
      <c r="I964" s="1" t="s">
        <v>4377</v>
      </c>
      <c r="J964" s="1" t="s">
        <v>5823</v>
      </c>
      <c r="K964" s="1" t="s">
        <v>5828</v>
      </c>
    </row>
    <row r="965" spans="1:11" ht="21" x14ac:dyDescent="0.25">
      <c r="A965" s="11" t="str">
        <f>HYPERLINK("https://rth.dk/resources/bsgatlas/details.php?id=BSGatlas-transcript-964","BSGatlas-transcript-964")</f>
        <v>BSGatlas-transcript-964</v>
      </c>
      <c r="B965" s="1" t="s">
        <v>5829</v>
      </c>
      <c r="C965" s="3">
        <v>945324</v>
      </c>
      <c r="D965" s="3">
        <v>953327</v>
      </c>
      <c r="E965" s="1" t="s">
        <v>9</v>
      </c>
      <c r="F965" s="1">
        <v>8</v>
      </c>
      <c r="G965" s="1">
        <v>197</v>
      </c>
      <c r="H965" s="1">
        <v>34</v>
      </c>
      <c r="I965" s="1" t="s">
        <v>4377</v>
      </c>
      <c r="J965" s="1" t="s">
        <v>5823</v>
      </c>
      <c r="K965" s="1" t="s">
        <v>5830</v>
      </c>
    </row>
    <row r="966" spans="1:11" ht="21" x14ac:dyDescent="0.25">
      <c r="A966" s="11" t="str">
        <f>HYPERLINK("https://rth.dk/resources/bsgatlas/details.php?id=BSGatlas-transcript-965","BSGatlas-transcript-965")</f>
        <v>BSGatlas-transcript-965</v>
      </c>
      <c r="B966" s="1" t="s">
        <v>5829</v>
      </c>
      <c r="C966" s="3">
        <v>945324</v>
      </c>
      <c r="D966" s="3">
        <v>953378</v>
      </c>
      <c r="E966" s="1" t="s">
        <v>9</v>
      </c>
      <c r="F966" s="1">
        <v>8</v>
      </c>
      <c r="G966" s="1">
        <v>197</v>
      </c>
      <c r="H966" s="1">
        <v>85</v>
      </c>
      <c r="I966" s="1" t="s">
        <v>4377</v>
      </c>
      <c r="J966" s="1" t="s">
        <v>5823</v>
      </c>
      <c r="K966" s="1" t="s">
        <v>5831</v>
      </c>
    </row>
    <row r="967" spans="1:11" ht="21" x14ac:dyDescent="0.25">
      <c r="A967" s="11" t="str">
        <f>HYPERLINK("https://rth.dk/resources/bsgatlas/details.php?id=BSGatlas-transcript-966","BSGatlas-transcript-966")</f>
        <v>BSGatlas-transcript-966</v>
      </c>
      <c r="B967" s="1" t="s">
        <v>5822</v>
      </c>
      <c r="C967" s="3">
        <v>945417</v>
      </c>
      <c r="D967" s="3">
        <v>951572</v>
      </c>
      <c r="E967" s="1" t="s">
        <v>9</v>
      </c>
      <c r="F967" s="1">
        <v>3</v>
      </c>
      <c r="G967" s="1">
        <v>104</v>
      </c>
      <c r="H967" s="1" t="s">
        <v>4372</v>
      </c>
      <c r="I967" s="1" t="s">
        <v>4386</v>
      </c>
      <c r="J967" s="1" t="s">
        <v>5832</v>
      </c>
      <c r="K967" s="1" t="s">
        <v>318</v>
      </c>
    </row>
    <row r="968" spans="1:11" ht="21" x14ac:dyDescent="0.25">
      <c r="A968" s="11" t="str">
        <f>HYPERLINK("https://rth.dk/resources/bsgatlas/details.php?id=BSGatlas-transcript-967","BSGatlas-transcript-967")</f>
        <v>BSGatlas-transcript-967</v>
      </c>
      <c r="B968" s="1" t="s">
        <v>5824</v>
      </c>
      <c r="C968" s="3">
        <v>945417</v>
      </c>
      <c r="D968" s="3">
        <v>951771</v>
      </c>
      <c r="E968" s="1" t="s">
        <v>9</v>
      </c>
      <c r="F968" s="1">
        <v>3</v>
      </c>
      <c r="G968" s="1">
        <v>104</v>
      </c>
      <c r="H968" s="1">
        <v>19</v>
      </c>
      <c r="I968" s="1" t="s">
        <v>4377</v>
      </c>
      <c r="J968" s="1" t="s">
        <v>5832</v>
      </c>
      <c r="K968" s="1" t="s">
        <v>5825</v>
      </c>
    </row>
    <row r="969" spans="1:11" ht="21" x14ac:dyDescent="0.25">
      <c r="A969" s="11" t="str">
        <f>HYPERLINK("https://rth.dk/resources/bsgatlas/details.php?id=BSGatlas-transcript-968","BSGatlas-transcript-968")</f>
        <v>BSGatlas-transcript-968</v>
      </c>
      <c r="B969" s="1" t="s">
        <v>5826</v>
      </c>
      <c r="C969" s="3">
        <v>945417</v>
      </c>
      <c r="D969" s="3">
        <v>953045</v>
      </c>
      <c r="E969" s="1" t="s">
        <v>9</v>
      </c>
      <c r="F969" s="1">
        <v>7</v>
      </c>
      <c r="G969" s="1">
        <v>104</v>
      </c>
      <c r="H969" s="1">
        <v>99</v>
      </c>
      <c r="I969" s="1" t="s">
        <v>4377</v>
      </c>
      <c r="J969" s="1" t="s">
        <v>5832</v>
      </c>
      <c r="K969" s="1" t="s">
        <v>5827</v>
      </c>
    </row>
    <row r="970" spans="1:11" ht="21" x14ac:dyDescent="0.25">
      <c r="A970" s="11" t="str">
        <f>HYPERLINK("https://rth.dk/resources/bsgatlas/details.php?id=BSGatlas-transcript-969","BSGatlas-transcript-969")</f>
        <v>BSGatlas-transcript-969</v>
      </c>
      <c r="B970" s="1" t="s">
        <v>5826</v>
      </c>
      <c r="C970" s="3">
        <v>945417</v>
      </c>
      <c r="D970" s="3">
        <v>953179</v>
      </c>
      <c r="E970" s="1" t="s">
        <v>9</v>
      </c>
      <c r="F970" s="1">
        <v>7</v>
      </c>
      <c r="G970" s="1">
        <v>104</v>
      </c>
      <c r="H970" s="1">
        <v>233</v>
      </c>
      <c r="I970" s="1" t="s">
        <v>4377</v>
      </c>
      <c r="J970" s="1" t="s">
        <v>5832</v>
      </c>
      <c r="K970" s="1" t="s">
        <v>5828</v>
      </c>
    </row>
    <row r="971" spans="1:11" ht="21" x14ac:dyDescent="0.25">
      <c r="A971" s="11" t="str">
        <f>HYPERLINK("https://rth.dk/resources/bsgatlas/details.php?id=BSGatlas-transcript-970","BSGatlas-transcript-970")</f>
        <v>BSGatlas-transcript-970</v>
      </c>
      <c r="B971" s="1" t="s">
        <v>5829</v>
      </c>
      <c r="C971" s="3">
        <v>945417</v>
      </c>
      <c r="D971" s="3">
        <v>953327</v>
      </c>
      <c r="E971" s="1" t="s">
        <v>9</v>
      </c>
      <c r="F971" s="1">
        <v>8</v>
      </c>
      <c r="G971" s="1">
        <v>104</v>
      </c>
      <c r="H971" s="1">
        <v>34</v>
      </c>
      <c r="I971" s="1" t="s">
        <v>4377</v>
      </c>
      <c r="J971" s="1" t="s">
        <v>5832</v>
      </c>
      <c r="K971" s="1" t="s">
        <v>5830</v>
      </c>
    </row>
    <row r="972" spans="1:11" ht="21" x14ac:dyDescent="0.25">
      <c r="A972" s="11" t="str">
        <f>HYPERLINK("https://rth.dk/resources/bsgatlas/details.php?id=BSGatlas-transcript-971","BSGatlas-transcript-971")</f>
        <v>BSGatlas-transcript-971</v>
      </c>
      <c r="B972" s="1" t="s">
        <v>5829</v>
      </c>
      <c r="C972" s="3">
        <v>945417</v>
      </c>
      <c r="D972" s="3">
        <v>953378</v>
      </c>
      <c r="E972" s="1" t="s">
        <v>9</v>
      </c>
      <c r="F972" s="1">
        <v>8</v>
      </c>
      <c r="G972" s="1">
        <v>104</v>
      </c>
      <c r="H972" s="1">
        <v>85</v>
      </c>
      <c r="I972" s="1" t="s">
        <v>4377</v>
      </c>
      <c r="J972" s="1" t="s">
        <v>5832</v>
      </c>
      <c r="K972" s="1" t="s">
        <v>5831</v>
      </c>
    </row>
    <row r="973" spans="1:11" ht="21" x14ac:dyDescent="0.25">
      <c r="A973" s="11" t="str">
        <f>HYPERLINK("https://rth.dk/resources/bsgatlas/details.php?id=BSGatlas-transcript-972","BSGatlas-transcript-972")</f>
        <v>BSGatlas-transcript-972</v>
      </c>
      <c r="B973" s="1" t="s">
        <v>5833</v>
      </c>
      <c r="C973" s="3">
        <v>946424</v>
      </c>
      <c r="D973" s="3">
        <v>951572</v>
      </c>
      <c r="E973" s="1" t="s">
        <v>9</v>
      </c>
      <c r="F973" s="1">
        <v>2</v>
      </c>
      <c r="G973" s="1">
        <v>273</v>
      </c>
      <c r="H973" s="1" t="s">
        <v>4372</v>
      </c>
      <c r="I973" s="1" t="s">
        <v>4386</v>
      </c>
      <c r="J973" s="1" t="s">
        <v>5834</v>
      </c>
      <c r="K973" s="1" t="s">
        <v>318</v>
      </c>
    </row>
    <row r="974" spans="1:11" ht="21" x14ac:dyDescent="0.25">
      <c r="A974" s="11" t="str">
        <f>HYPERLINK("https://rth.dk/resources/bsgatlas/details.php?id=BSGatlas-transcript-973","BSGatlas-transcript-973")</f>
        <v>BSGatlas-transcript-973</v>
      </c>
      <c r="B974" s="1" t="s">
        <v>5835</v>
      </c>
      <c r="C974" s="3">
        <v>946424</v>
      </c>
      <c r="D974" s="3">
        <v>951771</v>
      </c>
      <c r="E974" s="1" t="s">
        <v>9</v>
      </c>
      <c r="F974" s="1">
        <v>2</v>
      </c>
      <c r="G974" s="1">
        <v>273</v>
      </c>
      <c r="H974" s="1">
        <v>19</v>
      </c>
      <c r="I974" s="1" t="s">
        <v>4377</v>
      </c>
      <c r="J974" s="1" t="s">
        <v>5834</v>
      </c>
      <c r="K974" s="1" t="s">
        <v>5825</v>
      </c>
    </row>
    <row r="975" spans="1:11" ht="21" x14ac:dyDescent="0.25">
      <c r="A975" s="11" t="str">
        <f>HYPERLINK("https://rth.dk/resources/bsgatlas/details.php?id=BSGatlas-transcript-974","BSGatlas-transcript-974")</f>
        <v>BSGatlas-transcript-974</v>
      </c>
      <c r="B975" s="1" t="s">
        <v>5836</v>
      </c>
      <c r="C975" s="3">
        <v>946424</v>
      </c>
      <c r="D975" s="3">
        <v>953045</v>
      </c>
      <c r="E975" s="1" t="s">
        <v>9</v>
      </c>
      <c r="F975" s="1">
        <v>6</v>
      </c>
      <c r="G975" s="1">
        <v>273</v>
      </c>
      <c r="H975" s="1">
        <v>99</v>
      </c>
      <c r="I975" s="1" t="s">
        <v>4377</v>
      </c>
      <c r="J975" s="1" t="s">
        <v>5834</v>
      </c>
      <c r="K975" s="1" t="s">
        <v>5827</v>
      </c>
    </row>
    <row r="976" spans="1:11" ht="21" x14ac:dyDescent="0.25">
      <c r="A976" s="11" t="str">
        <f>HYPERLINK("https://rth.dk/resources/bsgatlas/details.php?id=BSGatlas-transcript-975","BSGatlas-transcript-975")</f>
        <v>BSGatlas-transcript-975</v>
      </c>
      <c r="B976" s="1" t="s">
        <v>5836</v>
      </c>
      <c r="C976" s="3">
        <v>946424</v>
      </c>
      <c r="D976" s="3">
        <v>953179</v>
      </c>
      <c r="E976" s="1" t="s">
        <v>9</v>
      </c>
      <c r="F976" s="1">
        <v>6</v>
      </c>
      <c r="G976" s="1">
        <v>273</v>
      </c>
      <c r="H976" s="1">
        <v>233</v>
      </c>
      <c r="I976" s="1" t="s">
        <v>4377</v>
      </c>
      <c r="J976" s="1" t="s">
        <v>5834</v>
      </c>
      <c r="K976" s="1" t="s">
        <v>5828</v>
      </c>
    </row>
    <row r="977" spans="1:11" ht="21" x14ac:dyDescent="0.25">
      <c r="A977" s="11" t="str">
        <f>HYPERLINK("https://rth.dk/resources/bsgatlas/details.php?id=BSGatlas-transcript-976","BSGatlas-transcript-976")</f>
        <v>BSGatlas-transcript-976</v>
      </c>
      <c r="B977" s="1" t="s">
        <v>5837</v>
      </c>
      <c r="C977" s="3">
        <v>946424</v>
      </c>
      <c r="D977" s="3">
        <v>953327</v>
      </c>
      <c r="E977" s="1" t="s">
        <v>9</v>
      </c>
      <c r="F977" s="1">
        <v>7</v>
      </c>
      <c r="G977" s="1">
        <v>273</v>
      </c>
      <c r="H977" s="1">
        <v>34</v>
      </c>
      <c r="I977" s="1" t="s">
        <v>4382</v>
      </c>
      <c r="J977" s="1" t="s">
        <v>5834</v>
      </c>
      <c r="K977" s="1" t="s">
        <v>5830</v>
      </c>
    </row>
    <row r="978" spans="1:11" ht="21" x14ac:dyDescent="0.25">
      <c r="A978" s="11" t="str">
        <f>HYPERLINK("https://rth.dk/resources/bsgatlas/details.php?id=BSGatlas-transcript-977","BSGatlas-transcript-977")</f>
        <v>BSGatlas-transcript-977</v>
      </c>
      <c r="B978" s="1" t="s">
        <v>5837</v>
      </c>
      <c r="C978" s="3">
        <v>946424</v>
      </c>
      <c r="D978" s="3">
        <v>953378</v>
      </c>
      <c r="E978" s="1" t="s">
        <v>9</v>
      </c>
      <c r="F978" s="1">
        <v>7</v>
      </c>
      <c r="G978" s="1">
        <v>273</v>
      </c>
      <c r="H978" s="1">
        <v>85</v>
      </c>
      <c r="I978" s="1" t="s">
        <v>4382</v>
      </c>
      <c r="J978" s="1" t="s">
        <v>5834</v>
      </c>
      <c r="K978" s="1" t="s">
        <v>5831</v>
      </c>
    </row>
    <row r="979" spans="1:11" ht="21" x14ac:dyDescent="0.25">
      <c r="A979" s="11" t="str">
        <f>HYPERLINK("https://rth.dk/resources/bsgatlas/details.php?id=BSGatlas-transcript-978","BSGatlas-transcript-978")</f>
        <v>BSGatlas-transcript-978</v>
      </c>
      <c r="B979" s="1" t="s">
        <v>54</v>
      </c>
      <c r="C979" s="3">
        <v>946434</v>
      </c>
      <c r="D979" s="3">
        <v>946701</v>
      </c>
      <c r="E979" s="1" t="s">
        <v>13</v>
      </c>
      <c r="F979" s="1">
        <v>0</v>
      </c>
      <c r="G979" s="1" t="s">
        <v>4372</v>
      </c>
      <c r="H979" s="1" t="s">
        <v>4372</v>
      </c>
      <c r="I979" s="1" t="s">
        <v>4377</v>
      </c>
      <c r="J979" s="1" t="s">
        <v>318</v>
      </c>
      <c r="K979" s="1" t="s">
        <v>5838</v>
      </c>
    </row>
    <row r="980" spans="1:11" ht="21" x14ac:dyDescent="0.25">
      <c r="A980" s="11" t="str">
        <f>HYPERLINK("https://rth.dk/resources/bsgatlas/details.php?id=BSGatlas-transcript-979","BSGatlas-transcript-979")</f>
        <v>BSGatlas-transcript-979</v>
      </c>
      <c r="B980" s="1" t="s">
        <v>5833</v>
      </c>
      <c r="C980" s="3">
        <v>946521</v>
      </c>
      <c r="D980" s="3">
        <v>951572</v>
      </c>
      <c r="E980" s="1" t="s">
        <v>9</v>
      </c>
      <c r="F980" s="1">
        <v>2</v>
      </c>
      <c r="G980" s="1">
        <v>176</v>
      </c>
      <c r="H980" s="1" t="s">
        <v>4372</v>
      </c>
      <c r="I980" s="1" t="s">
        <v>4386</v>
      </c>
      <c r="J980" s="1" t="s">
        <v>5839</v>
      </c>
      <c r="K980" s="1" t="s">
        <v>318</v>
      </c>
    </row>
    <row r="981" spans="1:11" ht="21" x14ac:dyDescent="0.25">
      <c r="A981" s="11" t="str">
        <f>HYPERLINK("https://rth.dk/resources/bsgatlas/details.php?id=BSGatlas-transcript-980","BSGatlas-transcript-980")</f>
        <v>BSGatlas-transcript-980</v>
      </c>
      <c r="B981" s="1" t="s">
        <v>5835</v>
      </c>
      <c r="C981" s="3">
        <v>946521</v>
      </c>
      <c r="D981" s="3">
        <v>951771</v>
      </c>
      <c r="E981" s="1" t="s">
        <v>9</v>
      </c>
      <c r="F981" s="1">
        <v>2</v>
      </c>
      <c r="G981" s="1">
        <v>176</v>
      </c>
      <c r="H981" s="1">
        <v>19</v>
      </c>
      <c r="I981" s="1" t="s">
        <v>4377</v>
      </c>
      <c r="J981" s="1" t="s">
        <v>5839</v>
      </c>
      <c r="K981" s="1" t="s">
        <v>5825</v>
      </c>
    </row>
    <row r="982" spans="1:11" ht="21" x14ac:dyDescent="0.25">
      <c r="A982" s="11" t="str">
        <f>HYPERLINK("https://rth.dk/resources/bsgatlas/details.php?id=BSGatlas-transcript-981","BSGatlas-transcript-981")</f>
        <v>BSGatlas-transcript-981</v>
      </c>
      <c r="B982" s="1" t="s">
        <v>5836</v>
      </c>
      <c r="C982" s="3">
        <v>946521</v>
      </c>
      <c r="D982" s="3">
        <v>953045</v>
      </c>
      <c r="E982" s="1" t="s">
        <v>9</v>
      </c>
      <c r="F982" s="1">
        <v>6</v>
      </c>
      <c r="G982" s="1">
        <v>176</v>
      </c>
      <c r="H982" s="1">
        <v>99</v>
      </c>
      <c r="I982" s="1" t="s">
        <v>4377</v>
      </c>
      <c r="J982" s="1" t="s">
        <v>5839</v>
      </c>
      <c r="K982" s="1" t="s">
        <v>5827</v>
      </c>
    </row>
    <row r="983" spans="1:11" ht="21" x14ac:dyDescent="0.25">
      <c r="A983" s="11" t="str">
        <f>HYPERLINK("https://rth.dk/resources/bsgatlas/details.php?id=BSGatlas-transcript-982","BSGatlas-transcript-982")</f>
        <v>BSGatlas-transcript-982</v>
      </c>
      <c r="B983" s="1" t="s">
        <v>5836</v>
      </c>
      <c r="C983" s="3">
        <v>946521</v>
      </c>
      <c r="D983" s="3">
        <v>953179</v>
      </c>
      <c r="E983" s="1" t="s">
        <v>9</v>
      </c>
      <c r="F983" s="1">
        <v>6</v>
      </c>
      <c r="G983" s="1">
        <v>176</v>
      </c>
      <c r="H983" s="1">
        <v>233</v>
      </c>
      <c r="I983" s="1" t="s">
        <v>4377</v>
      </c>
      <c r="J983" s="1" t="s">
        <v>5839</v>
      </c>
      <c r="K983" s="1" t="s">
        <v>5828</v>
      </c>
    </row>
    <row r="984" spans="1:11" ht="21" x14ac:dyDescent="0.25">
      <c r="A984" s="11" t="str">
        <f>HYPERLINK("https://rth.dk/resources/bsgatlas/details.php?id=BSGatlas-transcript-983","BSGatlas-transcript-983")</f>
        <v>BSGatlas-transcript-983</v>
      </c>
      <c r="B984" s="1" t="s">
        <v>5837</v>
      </c>
      <c r="C984" s="3">
        <v>946521</v>
      </c>
      <c r="D984" s="3">
        <v>953327</v>
      </c>
      <c r="E984" s="1" t="s">
        <v>9</v>
      </c>
      <c r="F984" s="1">
        <v>7</v>
      </c>
      <c r="G984" s="1">
        <v>176</v>
      </c>
      <c r="H984" s="1">
        <v>34</v>
      </c>
      <c r="I984" s="1" t="s">
        <v>4382</v>
      </c>
      <c r="J984" s="1" t="s">
        <v>5839</v>
      </c>
      <c r="K984" s="1" t="s">
        <v>5830</v>
      </c>
    </row>
    <row r="985" spans="1:11" ht="21" x14ac:dyDescent="0.25">
      <c r="A985" s="11" t="str">
        <f>HYPERLINK("https://rth.dk/resources/bsgatlas/details.php?id=BSGatlas-transcript-984","BSGatlas-transcript-984")</f>
        <v>BSGatlas-transcript-984</v>
      </c>
      <c r="B985" s="1" t="s">
        <v>5837</v>
      </c>
      <c r="C985" s="3">
        <v>946521</v>
      </c>
      <c r="D985" s="3">
        <v>953378</v>
      </c>
      <c r="E985" s="1" t="s">
        <v>9</v>
      </c>
      <c r="F985" s="1">
        <v>7</v>
      </c>
      <c r="G985" s="1">
        <v>176</v>
      </c>
      <c r="H985" s="1">
        <v>85</v>
      </c>
      <c r="I985" s="1" t="s">
        <v>4382</v>
      </c>
      <c r="J985" s="1" t="s">
        <v>5839</v>
      </c>
      <c r="K985" s="1" t="s">
        <v>5831</v>
      </c>
    </row>
    <row r="986" spans="1:11" ht="21" x14ac:dyDescent="0.25">
      <c r="A986" s="11" t="str">
        <f>HYPERLINK("https://rth.dk/resources/bsgatlas/details.php?id=BSGatlas-transcript-985","BSGatlas-transcript-985")</f>
        <v>BSGatlas-transcript-985</v>
      </c>
      <c r="B986" s="1" t="s">
        <v>5840</v>
      </c>
      <c r="C986" s="3">
        <v>951456</v>
      </c>
      <c r="D986" s="3">
        <v>951771</v>
      </c>
      <c r="E986" s="1" t="s">
        <v>9</v>
      </c>
      <c r="F986" s="1">
        <v>0</v>
      </c>
      <c r="G986" s="1" t="s">
        <v>4372</v>
      </c>
      <c r="H986" s="1" t="s">
        <v>4372</v>
      </c>
      <c r="I986" s="1" t="s">
        <v>4377</v>
      </c>
      <c r="J986" s="1" t="s">
        <v>5841</v>
      </c>
      <c r="K986" s="1" t="s">
        <v>5825</v>
      </c>
    </row>
    <row r="987" spans="1:11" ht="21" x14ac:dyDescent="0.25">
      <c r="A987" s="11" t="str">
        <f>HYPERLINK("https://rth.dk/resources/bsgatlas/details.php?id=BSGatlas-transcript-986","BSGatlas-transcript-986")</f>
        <v>BSGatlas-transcript-986</v>
      </c>
      <c r="B987" s="1" t="s">
        <v>5842</v>
      </c>
      <c r="C987" s="3">
        <v>951456</v>
      </c>
      <c r="D987" s="3">
        <v>953045</v>
      </c>
      <c r="E987" s="1" t="s">
        <v>9</v>
      </c>
      <c r="F987" s="1">
        <v>4</v>
      </c>
      <c r="G987" s="1" t="s">
        <v>4372</v>
      </c>
      <c r="H987" s="1">
        <v>99</v>
      </c>
      <c r="I987" s="1" t="s">
        <v>4377</v>
      </c>
      <c r="J987" s="1" t="s">
        <v>5841</v>
      </c>
      <c r="K987" s="1" t="s">
        <v>5827</v>
      </c>
    </row>
    <row r="988" spans="1:11" ht="21" x14ac:dyDescent="0.25">
      <c r="A988" s="11" t="str">
        <f>HYPERLINK("https://rth.dk/resources/bsgatlas/details.php?id=BSGatlas-transcript-987","BSGatlas-transcript-987")</f>
        <v>BSGatlas-transcript-987</v>
      </c>
      <c r="B988" s="1" t="s">
        <v>5842</v>
      </c>
      <c r="C988" s="3">
        <v>951456</v>
      </c>
      <c r="D988" s="3">
        <v>953179</v>
      </c>
      <c r="E988" s="1" t="s">
        <v>9</v>
      </c>
      <c r="F988" s="1">
        <v>4</v>
      </c>
      <c r="G988" s="1" t="s">
        <v>4372</v>
      </c>
      <c r="H988" s="1">
        <v>233</v>
      </c>
      <c r="I988" s="1" t="s">
        <v>4377</v>
      </c>
      <c r="J988" s="1" t="s">
        <v>5841</v>
      </c>
      <c r="K988" s="1" t="s">
        <v>5828</v>
      </c>
    </row>
    <row r="989" spans="1:11" ht="21" x14ac:dyDescent="0.25">
      <c r="A989" s="11" t="str">
        <f>HYPERLINK("https://rth.dk/resources/bsgatlas/details.php?id=BSGatlas-transcript-988","BSGatlas-transcript-988")</f>
        <v>BSGatlas-transcript-988</v>
      </c>
      <c r="B989" s="1" t="s">
        <v>5843</v>
      </c>
      <c r="C989" s="3">
        <v>951456</v>
      </c>
      <c r="D989" s="3">
        <v>953327</v>
      </c>
      <c r="E989" s="1" t="s">
        <v>9</v>
      </c>
      <c r="F989" s="1">
        <v>5</v>
      </c>
      <c r="G989" s="1" t="s">
        <v>4372</v>
      </c>
      <c r="H989" s="1">
        <v>34</v>
      </c>
      <c r="I989" s="1" t="s">
        <v>4377</v>
      </c>
      <c r="J989" s="1" t="s">
        <v>5841</v>
      </c>
      <c r="K989" s="1" t="s">
        <v>5830</v>
      </c>
    </row>
    <row r="990" spans="1:11" ht="21" x14ac:dyDescent="0.25">
      <c r="A990" s="11" t="str">
        <f>HYPERLINK("https://rth.dk/resources/bsgatlas/details.php?id=BSGatlas-transcript-989","BSGatlas-transcript-989")</f>
        <v>BSGatlas-transcript-989</v>
      </c>
      <c r="B990" s="1" t="s">
        <v>5843</v>
      </c>
      <c r="C990" s="3">
        <v>951456</v>
      </c>
      <c r="D990" s="3">
        <v>953378</v>
      </c>
      <c r="E990" s="1" t="s">
        <v>9</v>
      </c>
      <c r="F990" s="1">
        <v>5</v>
      </c>
      <c r="G990" s="1" t="s">
        <v>4372</v>
      </c>
      <c r="H990" s="1">
        <v>85</v>
      </c>
      <c r="I990" s="1" t="s">
        <v>4377</v>
      </c>
      <c r="J990" s="1" t="s">
        <v>5841</v>
      </c>
      <c r="K990" s="1" t="s">
        <v>5831</v>
      </c>
    </row>
    <row r="991" spans="1:11" ht="21" x14ac:dyDescent="0.25">
      <c r="A991" s="11" t="str">
        <f>HYPERLINK("https://rth.dk/resources/bsgatlas/details.php?id=BSGatlas-transcript-990","BSGatlas-transcript-990")</f>
        <v>BSGatlas-transcript-990</v>
      </c>
      <c r="B991" s="1" t="s">
        <v>987</v>
      </c>
      <c r="C991" s="3">
        <v>953185</v>
      </c>
      <c r="D991" s="3">
        <v>953327</v>
      </c>
      <c r="E991" s="1" t="s">
        <v>9</v>
      </c>
      <c r="F991" s="1">
        <v>0</v>
      </c>
      <c r="G991" s="1" t="s">
        <v>4372</v>
      </c>
      <c r="H991" s="1" t="s">
        <v>4372</v>
      </c>
      <c r="I991" s="1" t="s">
        <v>4377</v>
      </c>
      <c r="J991" s="1" t="s">
        <v>5844</v>
      </c>
      <c r="K991" s="1" t="s">
        <v>5830</v>
      </c>
    </row>
    <row r="992" spans="1:11" ht="21" x14ac:dyDescent="0.25">
      <c r="A992" s="11" t="str">
        <f>HYPERLINK("https://rth.dk/resources/bsgatlas/details.php?id=BSGatlas-transcript-991","BSGatlas-transcript-991")</f>
        <v>BSGatlas-transcript-991</v>
      </c>
      <c r="B992" s="1" t="s">
        <v>987</v>
      </c>
      <c r="C992" s="3">
        <v>953185</v>
      </c>
      <c r="D992" s="3">
        <v>953378</v>
      </c>
      <c r="E992" s="1" t="s">
        <v>9</v>
      </c>
      <c r="F992" s="1">
        <v>0</v>
      </c>
      <c r="G992" s="1" t="s">
        <v>4372</v>
      </c>
      <c r="H992" s="1" t="s">
        <v>4372</v>
      </c>
      <c r="I992" s="1" t="s">
        <v>4377</v>
      </c>
      <c r="J992" s="1" t="s">
        <v>5844</v>
      </c>
      <c r="K992" s="1" t="s">
        <v>5831</v>
      </c>
    </row>
    <row r="993" spans="1:11" ht="21" x14ac:dyDescent="0.25">
      <c r="A993" s="11" t="str">
        <f>HYPERLINK("https://rth.dk/resources/bsgatlas/details.php?id=BSGatlas-transcript-992","BSGatlas-transcript-992")</f>
        <v>BSGatlas-transcript-992</v>
      </c>
      <c r="B993" s="1" t="s">
        <v>988</v>
      </c>
      <c r="C993" s="3">
        <v>953281</v>
      </c>
      <c r="D993" s="3">
        <v>954198</v>
      </c>
      <c r="E993" s="1" t="s">
        <v>13</v>
      </c>
      <c r="F993" s="1">
        <v>0</v>
      </c>
      <c r="G993" s="1" t="s">
        <v>4372</v>
      </c>
      <c r="H993" s="1" t="s">
        <v>4372</v>
      </c>
      <c r="I993" s="1" t="s">
        <v>4373</v>
      </c>
      <c r="J993" s="1" t="s">
        <v>5845</v>
      </c>
      <c r="K993" s="1" t="s">
        <v>5846</v>
      </c>
    </row>
    <row r="994" spans="1:11" ht="21" x14ac:dyDescent="0.25">
      <c r="A994" s="11" t="str">
        <f>HYPERLINK("https://rth.dk/resources/bsgatlas/details.php?id=BSGatlas-transcript-993","BSGatlas-transcript-993")</f>
        <v>BSGatlas-transcript-993</v>
      </c>
      <c r="B994" s="1" t="s">
        <v>988</v>
      </c>
      <c r="C994" s="3">
        <v>953335</v>
      </c>
      <c r="D994" s="3">
        <v>954198</v>
      </c>
      <c r="E994" s="1" t="s">
        <v>13</v>
      </c>
      <c r="F994" s="1">
        <v>0</v>
      </c>
      <c r="G994" s="1" t="s">
        <v>4372</v>
      </c>
      <c r="H994" s="1" t="s">
        <v>4372</v>
      </c>
      <c r="I994" s="1" t="s">
        <v>4373</v>
      </c>
      <c r="J994" s="1" t="s">
        <v>5845</v>
      </c>
      <c r="K994" s="1" t="s">
        <v>5847</v>
      </c>
    </row>
    <row r="995" spans="1:11" ht="21" x14ac:dyDescent="0.25">
      <c r="A995" s="11" t="str">
        <f>HYPERLINK("https://rth.dk/resources/bsgatlas/details.php?id=BSGatlas-transcript-994","BSGatlas-transcript-994")</f>
        <v>BSGatlas-transcript-994</v>
      </c>
      <c r="B995" s="1" t="s">
        <v>989</v>
      </c>
      <c r="C995" s="3">
        <v>954257</v>
      </c>
      <c r="D995" s="3">
        <v>954494</v>
      </c>
      <c r="E995" s="1" t="s">
        <v>9</v>
      </c>
      <c r="F995" s="1">
        <v>0</v>
      </c>
      <c r="G995" s="1" t="s">
        <v>4372</v>
      </c>
      <c r="H995" s="1" t="s">
        <v>4372</v>
      </c>
      <c r="I995" s="1" t="s">
        <v>4397</v>
      </c>
      <c r="J995" s="1" t="s">
        <v>5848</v>
      </c>
      <c r="K995" s="1" t="s">
        <v>5849</v>
      </c>
    </row>
    <row r="996" spans="1:11" ht="21" x14ac:dyDescent="0.25">
      <c r="A996" s="11" t="str">
        <f>HYPERLINK("https://rth.dk/resources/bsgatlas/details.php?id=BSGatlas-transcript-995","BSGatlas-transcript-995")</f>
        <v>BSGatlas-transcript-995</v>
      </c>
      <c r="B996" s="1" t="s">
        <v>990</v>
      </c>
      <c r="C996" s="3">
        <v>954531</v>
      </c>
      <c r="D996" s="3">
        <v>954851</v>
      </c>
      <c r="E996" s="1" t="s">
        <v>13</v>
      </c>
      <c r="F996" s="1">
        <v>0</v>
      </c>
      <c r="G996" s="1" t="s">
        <v>4372</v>
      </c>
      <c r="H996" s="1" t="s">
        <v>4372</v>
      </c>
      <c r="I996" s="1" t="s">
        <v>4397</v>
      </c>
      <c r="J996" s="1" t="s">
        <v>5850</v>
      </c>
      <c r="K996" s="1" t="s">
        <v>5851</v>
      </c>
    </row>
    <row r="997" spans="1:11" ht="21" x14ac:dyDescent="0.25">
      <c r="A997" s="11" t="str">
        <f>HYPERLINK("https://rth.dk/resources/bsgatlas/details.php?id=BSGatlas-transcript-996","BSGatlas-transcript-996")</f>
        <v>BSGatlas-transcript-996</v>
      </c>
      <c r="B997" s="1" t="s">
        <v>990</v>
      </c>
      <c r="C997" s="3">
        <v>954531</v>
      </c>
      <c r="D997" s="3">
        <v>955629</v>
      </c>
      <c r="E997" s="1" t="s">
        <v>13</v>
      </c>
      <c r="F997" s="1">
        <v>0</v>
      </c>
      <c r="G997" s="1" t="s">
        <v>4372</v>
      </c>
      <c r="H997" s="1" t="s">
        <v>4372</v>
      </c>
      <c r="I997" s="1" t="s">
        <v>4397</v>
      </c>
      <c r="J997" s="1" t="s">
        <v>5852</v>
      </c>
      <c r="K997" s="1" t="s">
        <v>5851</v>
      </c>
    </row>
    <row r="998" spans="1:11" ht="21" x14ac:dyDescent="0.25">
      <c r="A998" s="11" t="str">
        <f>HYPERLINK("https://rth.dk/resources/bsgatlas/details.php?id=BSGatlas-transcript-997","BSGatlas-transcript-997")</f>
        <v>BSGatlas-transcript-997</v>
      </c>
      <c r="B998" s="1" t="s">
        <v>991</v>
      </c>
      <c r="C998" s="3">
        <v>954860</v>
      </c>
      <c r="D998" s="3">
        <v>955585</v>
      </c>
      <c r="E998" s="1" t="s">
        <v>9</v>
      </c>
      <c r="F998" s="1">
        <v>0</v>
      </c>
      <c r="G998" s="1" t="s">
        <v>4372</v>
      </c>
      <c r="H998" s="1" t="s">
        <v>4372</v>
      </c>
      <c r="I998" s="1" t="s">
        <v>4377</v>
      </c>
      <c r="J998" s="1" t="s">
        <v>5853</v>
      </c>
      <c r="K998" s="1" t="s">
        <v>318</v>
      </c>
    </row>
    <row r="999" spans="1:11" ht="21" x14ac:dyDescent="0.25">
      <c r="A999" s="11" t="str">
        <f>HYPERLINK("https://rth.dk/resources/bsgatlas/details.php?id=BSGatlas-transcript-998","BSGatlas-transcript-998")</f>
        <v>BSGatlas-transcript-998</v>
      </c>
      <c r="B999" s="1" t="s">
        <v>992</v>
      </c>
      <c r="C999" s="3">
        <v>955654</v>
      </c>
      <c r="D999" s="3">
        <v>955815</v>
      </c>
      <c r="E999" s="1" t="s">
        <v>9</v>
      </c>
      <c r="F999" s="1">
        <v>0</v>
      </c>
      <c r="G999" s="1" t="s">
        <v>4372</v>
      </c>
      <c r="H999" s="1" t="s">
        <v>4372</v>
      </c>
      <c r="I999" s="1" t="s">
        <v>4377</v>
      </c>
      <c r="J999" s="1" t="s">
        <v>318</v>
      </c>
      <c r="K999" s="1" t="s">
        <v>5854</v>
      </c>
    </row>
    <row r="1000" spans="1:11" ht="21" x14ac:dyDescent="0.25">
      <c r="A1000" s="11" t="str">
        <f>HYPERLINK("https://rth.dk/resources/bsgatlas/details.php?id=BSGatlas-transcript-999","BSGatlas-transcript-999")</f>
        <v>BSGatlas-transcript-999</v>
      </c>
      <c r="B1000" s="1" t="s">
        <v>993</v>
      </c>
      <c r="C1000" s="3">
        <v>955662</v>
      </c>
      <c r="D1000" s="3">
        <v>957667</v>
      </c>
      <c r="E1000" s="1" t="s">
        <v>9</v>
      </c>
      <c r="F1000" s="1">
        <v>0</v>
      </c>
      <c r="G1000" s="1" t="s">
        <v>4372</v>
      </c>
      <c r="H1000" s="1" t="s">
        <v>4372</v>
      </c>
      <c r="I1000" s="1" t="s">
        <v>4386</v>
      </c>
      <c r="J1000" s="1" t="s">
        <v>5855</v>
      </c>
      <c r="K1000" s="1" t="s">
        <v>5856</v>
      </c>
    </row>
    <row r="1001" spans="1:11" ht="21" x14ac:dyDescent="0.25">
      <c r="A1001" s="11" t="str">
        <f>HYPERLINK("https://rth.dk/resources/bsgatlas/details.php?id=BSGatlas-transcript-1000","BSGatlas-transcript-1000")</f>
        <v>BSGatlas-transcript-1000</v>
      </c>
      <c r="B1001" s="1" t="s">
        <v>993</v>
      </c>
      <c r="C1001" s="3">
        <v>955662</v>
      </c>
      <c r="D1001" s="3">
        <v>958646</v>
      </c>
      <c r="E1001" s="1" t="s">
        <v>9</v>
      </c>
      <c r="F1001" s="1">
        <v>0</v>
      </c>
      <c r="G1001" s="1" t="s">
        <v>4372</v>
      </c>
      <c r="H1001" s="1" t="s">
        <v>4372</v>
      </c>
      <c r="I1001" s="1" t="s">
        <v>4386</v>
      </c>
      <c r="J1001" s="1" t="s">
        <v>5855</v>
      </c>
      <c r="K1001" s="1" t="s">
        <v>5857</v>
      </c>
    </row>
    <row r="1002" spans="1:11" ht="21" x14ac:dyDescent="0.25">
      <c r="A1002" s="11" t="str">
        <f>HYPERLINK("https://rth.dk/resources/bsgatlas/details.php?id=BSGatlas-transcript-1001","BSGatlas-transcript-1001")</f>
        <v>BSGatlas-transcript-1001</v>
      </c>
      <c r="B1002" s="1" t="s">
        <v>993</v>
      </c>
      <c r="C1002" s="3">
        <v>955662</v>
      </c>
      <c r="D1002" s="3">
        <v>959296</v>
      </c>
      <c r="E1002" s="1" t="s">
        <v>9</v>
      </c>
      <c r="F1002" s="1">
        <v>0</v>
      </c>
      <c r="G1002" s="1" t="s">
        <v>4372</v>
      </c>
      <c r="H1002" s="1" t="s">
        <v>4372</v>
      </c>
      <c r="I1002" s="1" t="s">
        <v>4386</v>
      </c>
      <c r="J1002" s="1" t="s">
        <v>5855</v>
      </c>
      <c r="K1002" s="1" t="s">
        <v>5858</v>
      </c>
    </row>
    <row r="1003" spans="1:11" ht="21" x14ac:dyDescent="0.25">
      <c r="A1003" s="11" t="str">
        <f>HYPERLINK("https://rth.dk/resources/bsgatlas/details.php?id=BSGatlas-transcript-1002","BSGatlas-transcript-1002")</f>
        <v>BSGatlas-transcript-1002</v>
      </c>
      <c r="B1003" s="1" t="s">
        <v>994</v>
      </c>
      <c r="C1003" s="3">
        <v>957705</v>
      </c>
      <c r="D1003" s="3">
        <v>959105</v>
      </c>
      <c r="E1003" s="1" t="s">
        <v>13</v>
      </c>
      <c r="F1003" s="1">
        <v>0</v>
      </c>
      <c r="G1003" s="1" t="s">
        <v>4372</v>
      </c>
      <c r="H1003" s="1" t="s">
        <v>4372</v>
      </c>
      <c r="I1003" s="1" t="s">
        <v>4397</v>
      </c>
      <c r="J1003" s="1" t="s">
        <v>5859</v>
      </c>
      <c r="K1003" s="1" t="s">
        <v>318</v>
      </c>
    </row>
    <row r="1004" spans="1:11" ht="21" x14ac:dyDescent="0.25">
      <c r="A1004" s="11" t="str">
        <f>HYPERLINK("https://rth.dk/resources/bsgatlas/details.php?id=BSGatlas-transcript-1003","BSGatlas-transcript-1003")</f>
        <v>BSGatlas-transcript-1003</v>
      </c>
      <c r="B1004" s="1" t="s">
        <v>995</v>
      </c>
      <c r="C1004" s="3">
        <v>959227</v>
      </c>
      <c r="D1004" s="3">
        <v>959533</v>
      </c>
      <c r="E1004" s="1" t="s">
        <v>9</v>
      </c>
      <c r="F1004" s="1">
        <v>0</v>
      </c>
      <c r="G1004" s="1" t="s">
        <v>4372</v>
      </c>
      <c r="H1004" s="1" t="s">
        <v>4372</v>
      </c>
      <c r="I1004" s="1" t="s">
        <v>4373</v>
      </c>
      <c r="J1004" s="1" t="s">
        <v>5860</v>
      </c>
      <c r="K1004" s="1" t="s">
        <v>5861</v>
      </c>
    </row>
    <row r="1005" spans="1:11" ht="21" x14ac:dyDescent="0.25">
      <c r="A1005" s="11" t="str">
        <f>HYPERLINK("https://rth.dk/resources/bsgatlas/details.php?id=BSGatlas-transcript-1004","BSGatlas-transcript-1004")</f>
        <v>BSGatlas-transcript-1004</v>
      </c>
      <c r="B1005" s="1" t="s">
        <v>996</v>
      </c>
      <c r="C1005" s="3">
        <v>959486</v>
      </c>
      <c r="D1005" s="3">
        <v>961023</v>
      </c>
      <c r="E1005" s="1" t="s">
        <v>13</v>
      </c>
      <c r="F1005" s="1">
        <v>0</v>
      </c>
      <c r="G1005" s="1" t="s">
        <v>4372</v>
      </c>
      <c r="H1005" s="1" t="s">
        <v>4372</v>
      </c>
      <c r="I1005" s="1" t="s">
        <v>4373</v>
      </c>
      <c r="J1005" s="1" t="s">
        <v>5862</v>
      </c>
      <c r="K1005" s="1" t="s">
        <v>5863</v>
      </c>
    </row>
    <row r="1006" spans="1:11" ht="21" x14ac:dyDescent="0.25">
      <c r="A1006" s="11" t="str">
        <f>HYPERLINK("https://rth.dk/resources/bsgatlas/details.php?id=BSGatlas-transcript-1005","BSGatlas-transcript-1005")</f>
        <v>BSGatlas-transcript-1005</v>
      </c>
      <c r="B1006" s="1" t="s">
        <v>996</v>
      </c>
      <c r="C1006" s="3">
        <v>959486</v>
      </c>
      <c r="D1006" s="3">
        <v>961107</v>
      </c>
      <c r="E1006" s="1" t="s">
        <v>13</v>
      </c>
      <c r="F1006" s="1">
        <v>0</v>
      </c>
      <c r="G1006" s="1" t="s">
        <v>4372</v>
      </c>
      <c r="H1006" s="1" t="s">
        <v>4372</v>
      </c>
      <c r="I1006" s="1" t="s">
        <v>4373</v>
      </c>
      <c r="J1006" s="1" t="s">
        <v>5864</v>
      </c>
      <c r="K1006" s="1" t="s">
        <v>5863</v>
      </c>
    </row>
    <row r="1007" spans="1:11" ht="21" x14ac:dyDescent="0.25">
      <c r="A1007" s="11" t="str">
        <f>HYPERLINK("https://rth.dk/resources/bsgatlas/details.php?id=BSGatlas-transcript-1006","BSGatlas-transcript-1006")</f>
        <v>BSGatlas-transcript-1006</v>
      </c>
      <c r="B1007" s="1" t="s">
        <v>997</v>
      </c>
      <c r="C1007" s="3">
        <v>960987</v>
      </c>
      <c r="D1007" s="3">
        <v>961338</v>
      </c>
      <c r="E1007" s="1" t="s">
        <v>9</v>
      </c>
      <c r="F1007" s="1">
        <v>0</v>
      </c>
      <c r="G1007" s="1" t="s">
        <v>4372</v>
      </c>
      <c r="H1007" s="1" t="s">
        <v>4372</v>
      </c>
      <c r="I1007" s="1" t="s">
        <v>4377</v>
      </c>
      <c r="J1007" s="1" t="s">
        <v>5865</v>
      </c>
      <c r="K1007" s="1" t="s">
        <v>5866</v>
      </c>
    </row>
    <row r="1008" spans="1:11" ht="21" x14ac:dyDescent="0.25">
      <c r="A1008" s="11" t="str">
        <f>HYPERLINK("https://rth.dk/resources/bsgatlas/details.php?id=BSGatlas-transcript-1007","BSGatlas-transcript-1007")</f>
        <v>BSGatlas-transcript-1007</v>
      </c>
      <c r="B1008" s="1" t="s">
        <v>5867</v>
      </c>
      <c r="C1008" s="3">
        <v>961271</v>
      </c>
      <c r="D1008" s="3">
        <v>965227</v>
      </c>
      <c r="E1008" s="1" t="s">
        <v>9</v>
      </c>
      <c r="F1008" s="1">
        <v>2</v>
      </c>
      <c r="G1008" s="1">
        <v>124</v>
      </c>
      <c r="H1008" s="1">
        <v>71</v>
      </c>
      <c r="I1008" s="1" t="s">
        <v>4377</v>
      </c>
      <c r="J1008" s="1" t="s">
        <v>5868</v>
      </c>
      <c r="K1008" s="1" t="s">
        <v>5869</v>
      </c>
    </row>
    <row r="1009" spans="1:11" ht="21" x14ac:dyDescent="0.25">
      <c r="A1009" s="11" t="str">
        <f>HYPERLINK("https://rth.dk/resources/bsgatlas/details.php?id=BSGatlas-transcript-1008","BSGatlas-transcript-1008")</f>
        <v>BSGatlas-transcript-1008</v>
      </c>
      <c r="B1009" s="1" t="s">
        <v>5870</v>
      </c>
      <c r="C1009" s="3">
        <v>961271</v>
      </c>
      <c r="D1009" s="3">
        <v>965835</v>
      </c>
      <c r="E1009" s="1" t="s">
        <v>9</v>
      </c>
      <c r="F1009" s="1">
        <v>3</v>
      </c>
      <c r="G1009" s="1">
        <v>124</v>
      </c>
      <c r="H1009" s="1">
        <v>39</v>
      </c>
      <c r="I1009" s="1" t="s">
        <v>4373</v>
      </c>
      <c r="J1009" s="1" t="s">
        <v>5868</v>
      </c>
      <c r="K1009" s="1" t="s">
        <v>5871</v>
      </c>
    </row>
    <row r="1010" spans="1:11" ht="21" x14ac:dyDescent="0.25">
      <c r="A1010" s="11" t="str">
        <f>HYPERLINK("https://rth.dk/resources/bsgatlas/details.php?id=BSGatlas-transcript-1009","BSGatlas-transcript-1009")</f>
        <v>BSGatlas-transcript-1009</v>
      </c>
      <c r="B1010" s="1" t="s">
        <v>1002</v>
      </c>
      <c r="C1010" s="3">
        <v>965190</v>
      </c>
      <c r="D1010" s="3">
        <v>965835</v>
      </c>
      <c r="E1010" s="1" t="s">
        <v>9</v>
      </c>
      <c r="F1010" s="1">
        <v>0</v>
      </c>
      <c r="G1010" s="1" t="s">
        <v>4372</v>
      </c>
      <c r="H1010" s="1" t="s">
        <v>4372</v>
      </c>
      <c r="I1010" s="1" t="s">
        <v>4377</v>
      </c>
      <c r="J1010" s="1" t="s">
        <v>5872</v>
      </c>
      <c r="K1010" s="1" t="s">
        <v>5871</v>
      </c>
    </row>
    <row r="1011" spans="1:11" ht="21" x14ac:dyDescent="0.25">
      <c r="A1011" s="11" t="str">
        <f>HYPERLINK("https://rth.dk/resources/bsgatlas/details.php?id=BSGatlas-transcript-1010","BSGatlas-transcript-1010")</f>
        <v>BSGatlas-transcript-1010</v>
      </c>
      <c r="B1011" s="1" t="s">
        <v>1003</v>
      </c>
      <c r="C1011" s="3">
        <v>965875</v>
      </c>
      <c r="D1011" s="3">
        <v>966178</v>
      </c>
      <c r="E1011" s="1" t="s">
        <v>9</v>
      </c>
      <c r="F1011" s="1">
        <v>0</v>
      </c>
      <c r="G1011" s="1" t="s">
        <v>4372</v>
      </c>
      <c r="H1011" s="1" t="s">
        <v>4372</v>
      </c>
      <c r="I1011" s="1" t="s">
        <v>4397</v>
      </c>
      <c r="J1011" s="1" t="s">
        <v>5873</v>
      </c>
      <c r="K1011" s="1" t="s">
        <v>5874</v>
      </c>
    </row>
    <row r="1012" spans="1:11" ht="21" x14ac:dyDescent="0.25">
      <c r="A1012" s="11" t="str">
        <f>HYPERLINK("https://rth.dk/resources/bsgatlas/details.php?id=BSGatlas-transcript-1011","BSGatlas-transcript-1011")</f>
        <v>BSGatlas-transcript-1011</v>
      </c>
      <c r="B1012" s="1" t="s">
        <v>1003</v>
      </c>
      <c r="C1012" s="3">
        <v>965909</v>
      </c>
      <c r="D1012" s="3">
        <v>966178</v>
      </c>
      <c r="E1012" s="1" t="s">
        <v>9</v>
      </c>
      <c r="F1012" s="1">
        <v>0</v>
      </c>
      <c r="G1012" s="1" t="s">
        <v>4372</v>
      </c>
      <c r="H1012" s="1" t="s">
        <v>4372</v>
      </c>
      <c r="I1012" s="1" t="s">
        <v>4397</v>
      </c>
      <c r="J1012" s="1" t="s">
        <v>5875</v>
      </c>
      <c r="K1012" s="1" t="s">
        <v>5874</v>
      </c>
    </row>
    <row r="1013" spans="1:11" ht="21" x14ac:dyDescent="0.25">
      <c r="A1013" s="11" t="str">
        <f>HYPERLINK("https://rth.dk/resources/bsgatlas/details.php?id=BSGatlas-transcript-1012","BSGatlas-transcript-1012")</f>
        <v>BSGatlas-transcript-1012</v>
      </c>
      <c r="B1013" s="1" t="s">
        <v>1004</v>
      </c>
      <c r="C1013" s="3">
        <v>966196</v>
      </c>
      <c r="D1013" s="3">
        <v>966669</v>
      </c>
      <c r="E1013" s="1" t="s">
        <v>13</v>
      </c>
      <c r="F1013" s="1">
        <v>0</v>
      </c>
      <c r="G1013" s="1" t="s">
        <v>4372</v>
      </c>
      <c r="H1013" s="1" t="s">
        <v>4372</v>
      </c>
      <c r="I1013" s="1" t="s">
        <v>4547</v>
      </c>
      <c r="J1013" s="1" t="s">
        <v>318</v>
      </c>
      <c r="K1013" s="1" t="s">
        <v>5876</v>
      </c>
    </row>
    <row r="1014" spans="1:11" ht="21" x14ac:dyDescent="0.25">
      <c r="A1014" s="11" t="str">
        <f>HYPERLINK("https://rth.dk/resources/bsgatlas/details.php?id=BSGatlas-transcript-1013","BSGatlas-transcript-1013")</f>
        <v>BSGatlas-transcript-1013</v>
      </c>
      <c r="B1014" s="1" t="s">
        <v>5877</v>
      </c>
      <c r="C1014" s="3">
        <v>966196</v>
      </c>
      <c r="D1014" s="3">
        <v>966914</v>
      </c>
      <c r="E1014" s="1" t="s">
        <v>13</v>
      </c>
      <c r="F1014" s="1">
        <v>0</v>
      </c>
      <c r="G1014" s="1" t="s">
        <v>4372</v>
      </c>
      <c r="H1014" s="1" t="s">
        <v>4372</v>
      </c>
      <c r="I1014" s="1" t="s">
        <v>4386</v>
      </c>
      <c r="J1014" s="1" t="s">
        <v>5878</v>
      </c>
      <c r="K1014" s="1" t="s">
        <v>5876</v>
      </c>
    </row>
    <row r="1015" spans="1:11" ht="21" x14ac:dyDescent="0.25">
      <c r="A1015" s="11" t="str">
        <f>HYPERLINK("https://rth.dk/resources/bsgatlas/details.php?id=BSGatlas-transcript-1014","BSGatlas-transcript-1014")</f>
        <v>BSGatlas-transcript-1014</v>
      </c>
      <c r="B1015" s="1" t="s">
        <v>1006</v>
      </c>
      <c r="C1015" s="3">
        <v>967014</v>
      </c>
      <c r="D1015" s="3">
        <v>967300</v>
      </c>
      <c r="E1015" s="1" t="s">
        <v>9</v>
      </c>
      <c r="F1015" s="1">
        <v>0</v>
      </c>
      <c r="G1015" s="1" t="s">
        <v>4372</v>
      </c>
      <c r="H1015" s="1" t="s">
        <v>4372</v>
      </c>
      <c r="I1015" s="1" t="s">
        <v>4377</v>
      </c>
      <c r="J1015" s="1" t="s">
        <v>5879</v>
      </c>
      <c r="K1015" s="1" t="s">
        <v>5880</v>
      </c>
    </row>
    <row r="1016" spans="1:11" ht="21" x14ac:dyDescent="0.25">
      <c r="A1016" s="11" t="str">
        <f>HYPERLINK("https://rth.dk/resources/bsgatlas/details.php?id=BSGatlas-transcript-1015","BSGatlas-transcript-1015")</f>
        <v>BSGatlas-transcript-1015</v>
      </c>
      <c r="B1016" s="1" t="s">
        <v>1007</v>
      </c>
      <c r="C1016" s="3">
        <v>967229</v>
      </c>
      <c r="D1016" s="3">
        <v>967897</v>
      </c>
      <c r="E1016" s="1" t="s">
        <v>13</v>
      </c>
      <c r="F1016" s="1">
        <v>0</v>
      </c>
      <c r="G1016" s="1" t="s">
        <v>4372</v>
      </c>
      <c r="H1016" s="1" t="s">
        <v>4372</v>
      </c>
      <c r="I1016" s="1" t="s">
        <v>4386</v>
      </c>
      <c r="J1016" s="1" t="s">
        <v>5881</v>
      </c>
      <c r="K1016" s="1" t="s">
        <v>5882</v>
      </c>
    </row>
    <row r="1017" spans="1:11" ht="21" x14ac:dyDescent="0.25">
      <c r="A1017" s="11" t="str">
        <f>HYPERLINK("https://rth.dk/resources/bsgatlas/details.php?id=BSGatlas-transcript-1016","BSGatlas-transcript-1016")</f>
        <v>BSGatlas-transcript-1016</v>
      </c>
      <c r="B1017" s="1" t="s">
        <v>1008</v>
      </c>
      <c r="C1017" s="3">
        <v>967935</v>
      </c>
      <c r="D1017" s="3">
        <v>969126</v>
      </c>
      <c r="E1017" s="1" t="s">
        <v>9</v>
      </c>
      <c r="F1017" s="1">
        <v>0</v>
      </c>
      <c r="G1017" s="1" t="s">
        <v>4372</v>
      </c>
      <c r="H1017" s="1" t="s">
        <v>4372</v>
      </c>
      <c r="I1017" s="1" t="s">
        <v>4386</v>
      </c>
      <c r="J1017" s="1" t="s">
        <v>318</v>
      </c>
      <c r="K1017" s="1" t="s">
        <v>5883</v>
      </c>
    </row>
    <row r="1018" spans="1:11" ht="21" x14ac:dyDescent="0.25">
      <c r="A1018" s="11" t="str">
        <f>HYPERLINK("https://rth.dk/resources/bsgatlas/details.php?id=BSGatlas-transcript-1017","BSGatlas-transcript-1017")</f>
        <v>BSGatlas-transcript-1017</v>
      </c>
      <c r="B1018" s="1" t="s">
        <v>5884</v>
      </c>
      <c r="C1018" s="3">
        <v>969126</v>
      </c>
      <c r="D1018" s="3">
        <v>970617</v>
      </c>
      <c r="E1018" s="1" t="s">
        <v>9</v>
      </c>
      <c r="F1018" s="1">
        <v>1</v>
      </c>
      <c r="G1018" s="1">
        <v>37</v>
      </c>
      <c r="H1018" s="1" t="s">
        <v>4372</v>
      </c>
      <c r="I1018" s="1" t="s">
        <v>4386</v>
      </c>
      <c r="J1018" s="1" t="s">
        <v>5885</v>
      </c>
      <c r="K1018" s="1" t="s">
        <v>5886</v>
      </c>
    </row>
    <row r="1019" spans="1:11" ht="21" x14ac:dyDescent="0.25">
      <c r="A1019" s="11" t="str">
        <f>HYPERLINK("https://rth.dk/resources/bsgatlas/details.php?id=BSGatlas-transcript-1018","BSGatlas-transcript-1018")</f>
        <v>BSGatlas-transcript-1018</v>
      </c>
      <c r="B1019" s="1" t="s">
        <v>1010</v>
      </c>
      <c r="C1019" s="3">
        <v>970099</v>
      </c>
      <c r="D1019" s="3">
        <v>970617</v>
      </c>
      <c r="E1019" s="1" t="s">
        <v>9</v>
      </c>
      <c r="F1019" s="1">
        <v>0</v>
      </c>
      <c r="G1019" s="1" t="s">
        <v>4372</v>
      </c>
      <c r="H1019" s="1" t="s">
        <v>4372</v>
      </c>
      <c r="I1019" s="1" t="s">
        <v>4386</v>
      </c>
      <c r="J1019" s="1" t="s">
        <v>5887</v>
      </c>
      <c r="K1019" s="1" t="s">
        <v>5886</v>
      </c>
    </row>
    <row r="1020" spans="1:11" ht="21" x14ac:dyDescent="0.25">
      <c r="A1020" s="11" t="str">
        <f>HYPERLINK("https://rth.dk/resources/bsgatlas/details.php?id=BSGatlas-transcript-1019","BSGatlas-transcript-1019")</f>
        <v>BSGatlas-transcript-1019</v>
      </c>
      <c r="B1020" s="1" t="s">
        <v>5888</v>
      </c>
      <c r="C1020" s="3">
        <v>970667</v>
      </c>
      <c r="D1020" s="3">
        <v>972806</v>
      </c>
      <c r="E1020" s="1" t="s">
        <v>9</v>
      </c>
      <c r="F1020" s="1">
        <v>0</v>
      </c>
      <c r="G1020" s="1" t="s">
        <v>4372</v>
      </c>
      <c r="H1020" s="1" t="s">
        <v>4372</v>
      </c>
      <c r="I1020" s="1" t="s">
        <v>4386</v>
      </c>
      <c r="J1020" s="1" t="s">
        <v>5889</v>
      </c>
      <c r="K1020" s="1" t="s">
        <v>5890</v>
      </c>
    </row>
    <row r="1021" spans="1:11" ht="21" x14ac:dyDescent="0.25">
      <c r="A1021" s="11" t="str">
        <f>HYPERLINK("https://rth.dk/resources/bsgatlas/details.php?id=BSGatlas-transcript-1020","BSGatlas-transcript-1020")</f>
        <v>BSGatlas-transcript-1020</v>
      </c>
      <c r="B1021" s="1" t="s">
        <v>5888</v>
      </c>
      <c r="C1021" s="3">
        <v>970667</v>
      </c>
      <c r="D1021" s="3">
        <v>972822</v>
      </c>
      <c r="E1021" s="1" t="s">
        <v>9</v>
      </c>
      <c r="F1021" s="1">
        <v>0</v>
      </c>
      <c r="G1021" s="1" t="s">
        <v>4372</v>
      </c>
      <c r="H1021" s="1" t="s">
        <v>4372</v>
      </c>
      <c r="I1021" s="1" t="s">
        <v>4386</v>
      </c>
      <c r="J1021" s="1" t="s">
        <v>5889</v>
      </c>
      <c r="K1021" s="1" t="s">
        <v>5891</v>
      </c>
    </row>
    <row r="1022" spans="1:11" ht="21" x14ac:dyDescent="0.25">
      <c r="A1022" s="11" t="str">
        <f>HYPERLINK("https://rth.dk/resources/bsgatlas/details.php?id=BSGatlas-transcript-1021","BSGatlas-transcript-1021")</f>
        <v>BSGatlas-transcript-1021</v>
      </c>
      <c r="B1022" s="1" t="s">
        <v>5888</v>
      </c>
      <c r="C1022" s="3">
        <v>970667</v>
      </c>
      <c r="D1022" s="3">
        <v>972866</v>
      </c>
      <c r="E1022" s="1" t="s">
        <v>9</v>
      </c>
      <c r="F1022" s="1">
        <v>0</v>
      </c>
      <c r="G1022" s="1" t="s">
        <v>4372</v>
      </c>
      <c r="H1022" s="1" t="s">
        <v>4372</v>
      </c>
      <c r="I1022" s="1" t="s">
        <v>4386</v>
      </c>
      <c r="J1022" s="1" t="s">
        <v>5889</v>
      </c>
      <c r="K1022" s="1" t="s">
        <v>5892</v>
      </c>
    </row>
    <row r="1023" spans="1:11" ht="21" x14ac:dyDescent="0.25">
      <c r="A1023" s="11" t="str">
        <f>HYPERLINK("https://rth.dk/resources/bsgatlas/details.php?id=BSGatlas-transcript-1022","BSGatlas-transcript-1022")</f>
        <v>BSGatlas-transcript-1022</v>
      </c>
      <c r="B1023" s="1" t="s">
        <v>5888</v>
      </c>
      <c r="C1023" s="3">
        <v>970667</v>
      </c>
      <c r="D1023" s="3">
        <v>973746</v>
      </c>
      <c r="E1023" s="1" t="s">
        <v>9</v>
      </c>
      <c r="F1023" s="1">
        <v>0</v>
      </c>
      <c r="G1023" s="1" t="s">
        <v>4372</v>
      </c>
      <c r="H1023" s="1" t="s">
        <v>4372</v>
      </c>
      <c r="I1023" s="1" t="s">
        <v>4386</v>
      </c>
      <c r="J1023" s="1" t="s">
        <v>5889</v>
      </c>
      <c r="K1023" s="1" t="s">
        <v>5893</v>
      </c>
    </row>
    <row r="1024" spans="1:11" ht="21" x14ac:dyDescent="0.25">
      <c r="A1024" s="11" t="str">
        <f>HYPERLINK("https://rth.dk/resources/bsgatlas/details.php?id=BSGatlas-transcript-1023","BSGatlas-transcript-1023")</f>
        <v>BSGatlas-transcript-1023</v>
      </c>
      <c r="B1024" s="1" t="s">
        <v>1013</v>
      </c>
      <c r="C1024" s="3">
        <v>972099</v>
      </c>
      <c r="D1024" s="3">
        <v>972806</v>
      </c>
      <c r="E1024" s="1" t="s">
        <v>9</v>
      </c>
      <c r="F1024" s="1">
        <v>0</v>
      </c>
      <c r="G1024" s="1" t="s">
        <v>4372</v>
      </c>
      <c r="H1024" s="1" t="s">
        <v>4372</v>
      </c>
      <c r="I1024" s="1" t="s">
        <v>4382</v>
      </c>
      <c r="J1024" s="1" t="s">
        <v>318</v>
      </c>
      <c r="K1024" s="1" t="s">
        <v>5890</v>
      </c>
    </row>
    <row r="1025" spans="1:11" ht="21" x14ac:dyDescent="0.25">
      <c r="A1025" s="11" t="str">
        <f>HYPERLINK("https://rth.dk/resources/bsgatlas/details.php?id=BSGatlas-transcript-1024","BSGatlas-transcript-1024")</f>
        <v>BSGatlas-transcript-1024</v>
      </c>
      <c r="B1025" s="1" t="s">
        <v>1013</v>
      </c>
      <c r="C1025" s="3">
        <v>972099</v>
      </c>
      <c r="D1025" s="3">
        <v>972822</v>
      </c>
      <c r="E1025" s="1" t="s">
        <v>9</v>
      </c>
      <c r="F1025" s="1">
        <v>0</v>
      </c>
      <c r="G1025" s="1" t="s">
        <v>4372</v>
      </c>
      <c r="H1025" s="1" t="s">
        <v>4372</v>
      </c>
      <c r="I1025" s="1" t="s">
        <v>4382</v>
      </c>
      <c r="J1025" s="1" t="s">
        <v>318</v>
      </c>
      <c r="K1025" s="1" t="s">
        <v>5891</v>
      </c>
    </row>
    <row r="1026" spans="1:11" ht="21" x14ac:dyDescent="0.25">
      <c r="A1026" s="11" t="str">
        <f>HYPERLINK("https://rth.dk/resources/bsgatlas/details.php?id=BSGatlas-transcript-1025","BSGatlas-transcript-1025")</f>
        <v>BSGatlas-transcript-1025</v>
      </c>
      <c r="B1026" s="1" t="s">
        <v>1013</v>
      </c>
      <c r="C1026" s="3">
        <v>972099</v>
      </c>
      <c r="D1026" s="3">
        <v>972866</v>
      </c>
      <c r="E1026" s="1" t="s">
        <v>9</v>
      </c>
      <c r="F1026" s="1">
        <v>0</v>
      </c>
      <c r="G1026" s="1" t="s">
        <v>4372</v>
      </c>
      <c r="H1026" s="1" t="s">
        <v>4372</v>
      </c>
      <c r="I1026" s="1" t="s">
        <v>4382</v>
      </c>
      <c r="J1026" s="1" t="s">
        <v>318</v>
      </c>
      <c r="K1026" s="1" t="s">
        <v>5892</v>
      </c>
    </row>
    <row r="1027" spans="1:11" ht="21" x14ac:dyDescent="0.25">
      <c r="A1027" s="11" t="str">
        <f>HYPERLINK("https://rth.dk/resources/bsgatlas/details.php?id=BSGatlas-transcript-1026","BSGatlas-transcript-1026")</f>
        <v>BSGatlas-transcript-1026</v>
      </c>
      <c r="B1027" s="1" t="s">
        <v>1013</v>
      </c>
      <c r="C1027" s="3">
        <v>972099</v>
      </c>
      <c r="D1027" s="3">
        <v>973746</v>
      </c>
      <c r="E1027" s="1" t="s">
        <v>9</v>
      </c>
      <c r="F1027" s="1">
        <v>0</v>
      </c>
      <c r="G1027" s="1" t="s">
        <v>4372</v>
      </c>
      <c r="H1027" s="1" t="s">
        <v>4372</v>
      </c>
      <c r="I1027" s="1" t="s">
        <v>4382</v>
      </c>
      <c r="J1027" s="1" t="s">
        <v>318</v>
      </c>
      <c r="K1027" s="1" t="s">
        <v>5893</v>
      </c>
    </row>
    <row r="1028" spans="1:11" ht="21" x14ac:dyDescent="0.25">
      <c r="A1028" s="11" t="str">
        <f>HYPERLINK("https://rth.dk/resources/bsgatlas/details.php?id=BSGatlas-transcript-1027","BSGatlas-transcript-1027")</f>
        <v>BSGatlas-transcript-1027</v>
      </c>
      <c r="B1028" s="1" t="s">
        <v>1014</v>
      </c>
      <c r="C1028" s="3">
        <v>972833</v>
      </c>
      <c r="D1028" s="3">
        <v>973008</v>
      </c>
      <c r="E1028" s="1" t="s">
        <v>13</v>
      </c>
      <c r="F1028" s="1">
        <v>0</v>
      </c>
      <c r="G1028" s="1" t="s">
        <v>4372</v>
      </c>
      <c r="H1028" s="1" t="s">
        <v>4372</v>
      </c>
      <c r="I1028" s="1" t="s">
        <v>4377</v>
      </c>
      <c r="J1028" s="1" t="s">
        <v>5894</v>
      </c>
      <c r="K1028" s="1" t="s">
        <v>5895</v>
      </c>
    </row>
    <row r="1029" spans="1:11" ht="21" x14ac:dyDescent="0.25">
      <c r="A1029" s="11" t="str">
        <f>HYPERLINK("https://rth.dk/resources/bsgatlas/details.php?id=BSGatlas-transcript-1028","BSGatlas-transcript-1028")</f>
        <v>BSGatlas-transcript-1028</v>
      </c>
      <c r="B1029" s="1" t="s">
        <v>1015</v>
      </c>
      <c r="C1029" s="3">
        <v>973108</v>
      </c>
      <c r="D1029" s="3">
        <v>975097</v>
      </c>
      <c r="E1029" s="1" t="s">
        <v>9</v>
      </c>
      <c r="F1029" s="1">
        <v>0</v>
      </c>
      <c r="G1029" s="1" t="s">
        <v>4372</v>
      </c>
      <c r="H1029" s="1" t="s">
        <v>4372</v>
      </c>
      <c r="I1029" s="1" t="s">
        <v>4373</v>
      </c>
      <c r="J1029" s="1" t="s">
        <v>5896</v>
      </c>
      <c r="K1029" s="1" t="s">
        <v>5897</v>
      </c>
    </row>
    <row r="1030" spans="1:11" ht="21" x14ac:dyDescent="0.25">
      <c r="A1030" s="11" t="str">
        <f>HYPERLINK("https://rth.dk/resources/bsgatlas/details.php?id=BSGatlas-transcript-1029","BSGatlas-transcript-1029")</f>
        <v>BSGatlas-transcript-1029</v>
      </c>
      <c r="B1030" s="1" t="s">
        <v>1015</v>
      </c>
      <c r="C1030" s="3">
        <v>973156</v>
      </c>
      <c r="D1030" s="3">
        <v>975097</v>
      </c>
      <c r="E1030" s="1" t="s">
        <v>9</v>
      </c>
      <c r="F1030" s="1">
        <v>0</v>
      </c>
      <c r="G1030" s="1" t="s">
        <v>4372</v>
      </c>
      <c r="H1030" s="1" t="s">
        <v>4372</v>
      </c>
      <c r="I1030" s="1" t="s">
        <v>4373</v>
      </c>
      <c r="J1030" s="1" t="s">
        <v>5898</v>
      </c>
      <c r="K1030" s="1" t="s">
        <v>5897</v>
      </c>
    </row>
    <row r="1031" spans="1:11" ht="21" x14ac:dyDescent="0.25">
      <c r="A1031" s="11" t="str">
        <f>HYPERLINK("https://rth.dk/resources/bsgatlas/details.php?id=BSGatlas-transcript-1030","BSGatlas-transcript-1030")</f>
        <v>BSGatlas-transcript-1030</v>
      </c>
      <c r="B1031" s="1" t="s">
        <v>1016</v>
      </c>
      <c r="C1031" s="3">
        <v>975144</v>
      </c>
      <c r="D1031" s="3">
        <v>976409</v>
      </c>
      <c r="E1031" s="1" t="s">
        <v>9</v>
      </c>
      <c r="F1031" s="1">
        <v>0</v>
      </c>
      <c r="G1031" s="1" t="s">
        <v>4372</v>
      </c>
      <c r="H1031" s="1" t="s">
        <v>4372</v>
      </c>
      <c r="I1031" s="1" t="s">
        <v>4373</v>
      </c>
      <c r="J1031" s="1" t="s">
        <v>5899</v>
      </c>
      <c r="K1031" s="1" t="s">
        <v>5900</v>
      </c>
    </row>
    <row r="1032" spans="1:11" ht="21" x14ac:dyDescent="0.25">
      <c r="A1032" s="11" t="str">
        <f>HYPERLINK("https://rth.dk/resources/bsgatlas/details.php?id=BSGatlas-transcript-1031","BSGatlas-transcript-1031")</f>
        <v>BSGatlas-transcript-1031</v>
      </c>
      <c r="B1032" s="1" t="s">
        <v>1016</v>
      </c>
      <c r="C1032" s="3">
        <v>975144</v>
      </c>
      <c r="D1032" s="3">
        <v>976444</v>
      </c>
      <c r="E1032" s="1" t="s">
        <v>9</v>
      </c>
      <c r="F1032" s="1">
        <v>0</v>
      </c>
      <c r="G1032" s="1" t="s">
        <v>4372</v>
      </c>
      <c r="H1032" s="1" t="s">
        <v>4372</v>
      </c>
      <c r="I1032" s="1" t="s">
        <v>4373</v>
      </c>
      <c r="J1032" s="1" t="s">
        <v>5899</v>
      </c>
      <c r="K1032" s="1" t="s">
        <v>5901</v>
      </c>
    </row>
    <row r="1033" spans="1:11" ht="21" x14ac:dyDescent="0.25">
      <c r="A1033" s="11" t="str">
        <f>HYPERLINK("https://rth.dk/resources/bsgatlas/details.php?id=BSGatlas-transcript-1032","BSGatlas-transcript-1032")</f>
        <v>BSGatlas-transcript-1032</v>
      </c>
      <c r="B1033" s="1" t="s">
        <v>1016</v>
      </c>
      <c r="C1033" s="3">
        <v>975231</v>
      </c>
      <c r="D1033" s="3">
        <v>976409</v>
      </c>
      <c r="E1033" s="1" t="s">
        <v>9</v>
      </c>
      <c r="F1033" s="1">
        <v>0</v>
      </c>
      <c r="G1033" s="1" t="s">
        <v>4372</v>
      </c>
      <c r="H1033" s="1" t="s">
        <v>4372</v>
      </c>
      <c r="I1033" s="1" t="s">
        <v>4373</v>
      </c>
      <c r="J1033" s="1" t="s">
        <v>5902</v>
      </c>
      <c r="K1033" s="1" t="s">
        <v>5900</v>
      </c>
    </row>
    <row r="1034" spans="1:11" ht="21" x14ac:dyDescent="0.25">
      <c r="A1034" s="11" t="str">
        <f>HYPERLINK("https://rth.dk/resources/bsgatlas/details.php?id=BSGatlas-transcript-1033","BSGatlas-transcript-1033")</f>
        <v>BSGatlas-transcript-1033</v>
      </c>
      <c r="B1034" s="1" t="s">
        <v>1016</v>
      </c>
      <c r="C1034" s="3">
        <v>975231</v>
      </c>
      <c r="D1034" s="3">
        <v>976444</v>
      </c>
      <c r="E1034" s="1" t="s">
        <v>9</v>
      </c>
      <c r="F1034" s="1">
        <v>0</v>
      </c>
      <c r="G1034" s="1" t="s">
        <v>4372</v>
      </c>
      <c r="H1034" s="1" t="s">
        <v>4372</v>
      </c>
      <c r="I1034" s="1" t="s">
        <v>4373</v>
      </c>
      <c r="J1034" s="1" t="s">
        <v>5902</v>
      </c>
      <c r="K1034" s="1" t="s">
        <v>5901</v>
      </c>
    </row>
    <row r="1035" spans="1:11" ht="21" x14ac:dyDescent="0.25">
      <c r="A1035" s="11" t="str">
        <f>HYPERLINK("https://rth.dk/resources/bsgatlas/details.php?id=BSGatlas-transcript-1034","BSGatlas-transcript-1034")</f>
        <v>BSGatlas-transcript-1034</v>
      </c>
      <c r="B1035" s="1" t="s">
        <v>5903</v>
      </c>
      <c r="C1035" s="3">
        <v>976518</v>
      </c>
      <c r="D1035" s="3">
        <v>980313</v>
      </c>
      <c r="E1035" s="1" t="s">
        <v>9</v>
      </c>
      <c r="F1035" s="1">
        <v>3</v>
      </c>
      <c r="G1035" s="1">
        <v>52</v>
      </c>
      <c r="H1035" s="1" t="s">
        <v>4372</v>
      </c>
      <c r="I1035" s="1" t="s">
        <v>4386</v>
      </c>
      <c r="J1035" s="1" t="s">
        <v>5904</v>
      </c>
      <c r="K1035" s="1" t="s">
        <v>5905</v>
      </c>
    </row>
    <row r="1036" spans="1:11" ht="21" x14ac:dyDescent="0.25">
      <c r="A1036" s="11" t="str">
        <f>HYPERLINK("https://rth.dk/resources/bsgatlas/details.php?id=BSGatlas-transcript-1035","BSGatlas-transcript-1035")</f>
        <v>BSGatlas-transcript-1035</v>
      </c>
      <c r="B1036" s="1" t="s">
        <v>5906</v>
      </c>
      <c r="C1036" s="3">
        <v>976518</v>
      </c>
      <c r="D1036" s="3">
        <v>984217</v>
      </c>
      <c r="E1036" s="1" t="s">
        <v>9</v>
      </c>
      <c r="F1036" s="1">
        <v>4</v>
      </c>
      <c r="G1036" s="1">
        <v>52</v>
      </c>
      <c r="H1036" s="1">
        <v>48</v>
      </c>
      <c r="I1036" s="1" t="s">
        <v>4382</v>
      </c>
      <c r="J1036" s="1" t="s">
        <v>5904</v>
      </c>
      <c r="K1036" s="1" t="s">
        <v>5907</v>
      </c>
    </row>
    <row r="1037" spans="1:11" ht="21" x14ac:dyDescent="0.25">
      <c r="A1037" s="11" t="str">
        <f>HYPERLINK("https://rth.dk/resources/bsgatlas/details.php?id=BSGatlas-transcript-1036","BSGatlas-transcript-1036")</f>
        <v>BSGatlas-transcript-1036</v>
      </c>
      <c r="B1037" s="1" t="s">
        <v>5908</v>
      </c>
      <c r="C1037" s="3">
        <v>976892</v>
      </c>
      <c r="D1037" s="3">
        <v>980313</v>
      </c>
      <c r="E1037" s="1" t="s">
        <v>9</v>
      </c>
      <c r="F1037" s="1">
        <v>2</v>
      </c>
      <c r="G1037" s="1">
        <v>178</v>
      </c>
      <c r="H1037" s="1" t="s">
        <v>4372</v>
      </c>
      <c r="I1037" s="1" t="s">
        <v>4377</v>
      </c>
      <c r="J1037" s="1" t="s">
        <v>5909</v>
      </c>
      <c r="K1037" s="1" t="s">
        <v>5905</v>
      </c>
    </row>
    <row r="1038" spans="1:11" ht="21" x14ac:dyDescent="0.25">
      <c r="A1038" s="11" t="str">
        <f>HYPERLINK("https://rth.dk/resources/bsgatlas/details.php?id=BSGatlas-transcript-1037","BSGatlas-transcript-1037")</f>
        <v>BSGatlas-transcript-1037</v>
      </c>
      <c r="B1038" s="1" t="s">
        <v>5910</v>
      </c>
      <c r="C1038" s="3">
        <v>976892</v>
      </c>
      <c r="D1038" s="3">
        <v>984217</v>
      </c>
      <c r="E1038" s="1" t="s">
        <v>9</v>
      </c>
      <c r="F1038" s="1">
        <v>3</v>
      </c>
      <c r="G1038" s="1">
        <v>178</v>
      </c>
      <c r="H1038" s="1">
        <v>48</v>
      </c>
      <c r="I1038" s="1" t="s">
        <v>4377</v>
      </c>
      <c r="J1038" s="1" t="s">
        <v>5909</v>
      </c>
      <c r="K1038" s="1" t="s">
        <v>5907</v>
      </c>
    </row>
    <row r="1039" spans="1:11" ht="21" x14ac:dyDescent="0.25">
      <c r="A1039" s="11" t="str">
        <f>HYPERLINK("https://rth.dk/resources/bsgatlas/details.php?id=BSGatlas-transcript-1038","BSGatlas-transcript-1038")</f>
        <v>BSGatlas-transcript-1038</v>
      </c>
      <c r="B1039" s="1" t="s">
        <v>5908</v>
      </c>
      <c r="C1039" s="3">
        <v>977069</v>
      </c>
      <c r="D1039" s="3">
        <v>980313</v>
      </c>
      <c r="E1039" s="1" t="s">
        <v>9</v>
      </c>
      <c r="F1039" s="1">
        <v>2</v>
      </c>
      <c r="G1039" s="1" t="s">
        <v>4372</v>
      </c>
      <c r="H1039" s="1" t="s">
        <v>4372</v>
      </c>
      <c r="I1039" s="1" t="s">
        <v>4377</v>
      </c>
      <c r="J1039" s="1" t="s">
        <v>5911</v>
      </c>
      <c r="K1039" s="1" t="s">
        <v>5905</v>
      </c>
    </row>
    <row r="1040" spans="1:11" ht="21" x14ac:dyDescent="0.25">
      <c r="A1040" s="11" t="str">
        <f>HYPERLINK("https://rth.dk/resources/bsgatlas/details.php?id=BSGatlas-transcript-1039","BSGatlas-transcript-1039")</f>
        <v>BSGatlas-transcript-1039</v>
      </c>
      <c r="B1040" s="1" t="s">
        <v>5910</v>
      </c>
      <c r="C1040" s="3">
        <v>977069</v>
      </c>
      <c r="D1040" s="3">
        <v>984217</v>
      </c>
      <c r="E1040" s="1" t="s">
        <v>9</v>
      </c>
      <c r="F1040" s="1">
        <v>3</v>
      </c>
      <c r="G1040" s="1" t="s">
        <v>4372</v>
      </c>
      <c r="H1040" s="1">
        <v>48</v>
      </c>
      <c r="I1040" s="1" t="s">
        <v>4377</v>
      </c>
      <c r="J1040" s="1" t="s">
        <v>5911</v>
      </c>
      <c r="K1040" s="1" t="s">
        <v>5907</v>
      </c>
    </row>
    <row r="1041" spans="1:11" ht="21" x14ac:dyDescent="0.25">
      <c r="A1041" s="11" t="str">
        <f>HYPERLINK("https://rth.dk/resources/bsgatlas/details.php?id=BSGatlas-transcript-1040","BSGatlas-transcript-1040")</f>
        <v>BSGatlas-transcript-1040</v>
      </c>
      <c r="B1041" s="1" t="s">
        <v>5912</v>
      </c>
      <c r="C1041" s="3">
        <v>980434</v>
      </c>
      <c r="D1041" s="3">
        <v>984217</v>
      </c>
      <c r="E1041" s="1" t="s">
        <v>9</v>
      </c>
      <c r="F1041" s="1">
        <v>1</v>
      </c>
      <c r="G1041" s="1">
        <v>40</v>
      </c>
      <c r="H1041" s="1">
        <v>48</v>
      </c>
      <c r="I1041" s="1" t="s">
        <v>4386</v>
      </c>
      <c r="J1041" s="1" t="s">
        <v>5913</v>
      </c>
      <c r="K1041" s="1" t="s">
        <v>5907</v>
      </c>
    </row>
    <row r="1042" spans="1:11" ht="21" x14ac:dyDescent="0.25">
      <c r="A1042" s="11" t="str">
        <f>HYPERLINK("https://rth.dk/resources/bsgatlas/details.php?id=BSGatlas-transcript-1041","BSGatlas-transcript-1041")</f>
        <v>BSGatlas-transcript-1041</v>
      </c>
      <c r="B1042" s="1" t="s">
        <v>1028</v>
      </c>
      <c r="C1042" s="3">
        <v>984164</v>
      </c>
      <c r="D1042" s="3">
        <v>984584</v>
      </c>
      <c r="E1042" s="1" t="s">
        <v>13</v>
      </c>
      <c r="F1042" s="1">
        <v>0</v>
      </c>
      <c r="G1042" s="1" t="s">
        <v>4372</v>
      </c>
      <c r="H1042" s="1" t="s">
        <v>4372</v>
      </c>
      <c r="I1042" s="1" t="s">
        <v>4377</v>
      </c>
      <c r="J1042" s="1" t="s">
        <v>5914</v>
      </c>
      <c r="K1042" s="1" t="s">
        <v>5915</v>
      </c>
    </row>
    <row r="1043" spans="1:11" ht="21" x14ac:dyDescent="0.25">
      <c r="A1043" s="11" t="str">
        <f>HYPERLINK("https://rth.dk/resources/bsgatlas/details.php?id=BSGatlas-transcript-1042","BSGatlas-transcript-1042")</f>
        <v>BSGatlas-transcript-1042</v>
      </c>
      <c r="B1043" s="1" t="s">
        <v>5916</v>
      </c>
      <c r="C1043" s="3">
        <v>984214</v>
      </c>
      <c r="D1043" s="3">
        <v>984584</v>
      </c>
      <c r="E1043" s="1" t="s">
        <v>13</v>
      </c>
      <c r="F1043" s="1">
        <v>0</v>
      </c>
      <c r="G1043" s="1" t="s">
        <v>4372</v>
      </c>
      <c r="H1043" s="1" t="s">
        <v>4372</v>
      </c>
      <c r="I1043" s="1" t="s">
        <v>4373</v>
      </c>
      <c r="J1043" s="1" t="s">
        <v>5914</v>
      </c>
      <c r="K1043" s="1" t="s">
        <v>318</v>
      </c>
    </row>
    <row r="1044" spans="1:11" ht="21" x14ac:dyDescent="0.25">
      <c r="A1044" s="11" t="str">
        <f>HYPERLINK("https://rth.dk/resources/bsgatlas/details.php?id=BSGatlas-transcript-1043","BSGatlas-transcript-1043")</f>
        <v>BSGatlas-transcript-1043</v>
      </c>
      <c r="B1044" s="1" t="s">
        <v>1028</v>
      </c>
      <c r="C1044" s="3">
        <v>984262</v>
      </c>
      <c r="D1044" s="3">
        <v>984584</v>
      </c>
      <c r="E1044" s="1" t="s">
        <v>13</v>
      </c>
      <c r="F1044" s="1">
        <v>0</v>
      </c>
      <c r="G1044" s="1" t="s">
        <v>4372</v>
      </c>
      <c r="H1044" s="1" t="s">
        <v>4372</v>
      </c>
      <c r="I1044" s="1" t="s">
        <v>4377</v>
      </c>
      <c r="J1044" s="1" t="s">
        <v>5914</v>
      </c>
      <c r="K1044" s="1" t="s">
        <v>5917</v>
      </c>
    </row>
    <row r="1045" spans="1:11" ht="21" x14ac:dyDescent="0.25">
      <c r="A1045" s="11" t="str">
        <f>HYPERLINK("https://rth.dk/resources/bsgatlas/details.php?id=BSGatlas-transcript-1044","BSGatlas-transcript-1044")</f>
        <v>BSGatlas-transcript-1044</v>
      </c>
      <c r="B1045" s="1" t="s">
        <v>1029</v>
      </c>
      <c r="C1045" s="3">
        <v>984570</v>
      </c>
      <c r="D1045" s="3">
        <v>985731</v>
      </c>
      <c r="E1045" s="1" t="s">
        <v>9</v>
      </c>
      <c r="F1045" s="1">
        <v>0</v>
      </c>
      <c r="G1045" s="1" t="s">
        <v>4372</v>
      </c>
      <c r="H1045" s="1" t="s">
        <v>4372</v>
      </c>
      <c r="I1045" s="1" t="s">
        <v>4397</v>
      </c>
      <c r="J1045" s="1" t="s">
        <v>5918</v>
      </c>
      <c r="K1045" s="1" t="s">
        <v>5919</v>
      </c>
    </row>
    <row r="1046" spans="1:11" ht="21" x14ac:dyDescent="0.25">
      <c r="A1046" s="11" t="str">
        <f>HYPERLINK("https://rth.dk/resources/bsgatlas/details.php?id=BSGatlas-transcript-1045","BSGatlas-transcript-1045")</f>
        <v>BSGatlas-transcript-1045</v>
      </c>
      <c r="B1046" s="1" t="s">
        <v>1029</v>
      </c>
      <c r="C1046" s="3">
        <v>984789</v>
      </c>
      <c r="D1046" s="3">
        <v>985731</v>
      </c>
      <c r="E1046" s="1" t="s">
        <v>9</v>
      </c>
      <c r="F1046" s="1">
        <v>0</v>
      </c>
      <c r="G1046" s="1" t="s">
        <v>4372</v>
      </c>
      <c r="H1046" s="1" t="s">
        <v>4372</v>
      </c>
      <c r="I1046" s="1" t="s">
        <v>4397</v>
      </c>
      <c r="J1046" s="1" t="s">
        <v>5920</v>
      </c>
      <c r="K1046" s="1" t="s">
        <v>5919</v>
      </c>
    </row>
    <row r="1047" spans="1:11" ht="21" x14ac:dyDescent="0.25">
      <c r="A1047" s="11" t="str">
        <f>HYPERLINK("https://rth.dk/resources/bsgatlas/details.php?id=BSGatlas-transcript-1046","BSGatlas-transcript-1046")</f>
        <v>BSGatlas-transcript-1046</v>
      </c>
      <c r="B1047" s="1" t="s">
        <v>1030</v>
      </c>
      <c r="C1047" s="3">
        <v>985734</v>
      </c>
      <c r="D1047" s="3">
        <v>986844</v>
      </c>
      <c r="E1047" s="1" t="s">
        <v>13</v>
      </c>
      <c r="F1047" s="1">
        <v>0</v>
      </c>
      <c r="G1047" s="1" t="s">
        <v>4372</v>
      </c>
      <c r="H1047" s="1" t="s">
        <v>4372</v>
      </c>
      <c r="I1047" s="1" t="s">
        <v>4397</v>
      </c>
      <c r="J1047" s="1" t="s">
        <v>5921</v>
      </c>
      <c r="K1047" s="1" t="s">
        <v>318</v>
      </c>
    </row>
    <row r="1048" spans="1:11" ht="21" x14ac:dyDescent="0.25">
      <c r="A1048" s="11" t="str">
        <f>HYPERLINK("https://rth.dk/resources/bsgatlas/details.php?id=BSGatlas-transcript-1047","BSGatlas-transcript-1047")</f>
        <v>BSGatlas-transcript-1047</v>
      </c>
      <c r="B1048" s="1" t="s">
        <v>1031</v>
      </c>
      <c r="C1048" s="3">
        <v>986959</v>
      </c>
      <c r="D1048" s="3">
        <v>988426</v>
      </c>
      <c r="E1048" s="1" t="s">
        <v>9</v>
      </c>
      <c r="F1048" s="1">
        <v>0</v>
      </c>
      <c r="G1048" s="1" t="s">
        <v>4372</v>
      </c>
      <c r="H1048" s="1" t="s">
        <v>4372</v>
      </c>
      <c r="I1048" s="1" t="s">
        <v>4373</v>
      </c>
      <c r="J1048" s="1" t="s">
        <v>5922</v>
      </c>
      <c r="K1048" s="1" t="s">
        <v>5923</v>
      </c>
    </row>
    <row r="1049" spans="1:11" ht="21" x14ac:dyDescent="0.25">
      <c r="A1049" s="11" t="str">
        <f>HYPERLINK("https://rth.dk/resources/bsgatlas/details.php?id=BSGatlas-transcript-1048","BSGatlas-transcript-1048")</f>
        <v>BSGatlas-transcript-1048</v>
      </c>
      <c r="B1049" s="1" t="s">
        <v>1032</v>
      </c>
      <c r="C1049" s="3">
        <v>987980</v>
      </c>
      <c r="D1049" s="3">
        <v>988915</v>
      </c>
      <c r="E1049" s="1" t="s">
        <v>13</v>
      </c>
      <c r="F1049" s="1">
        <v>0</v>
      </c>
      <c r="G1049" s="1" t="s">
        <v>4372</v>
      </c>
      <c r="H1049" s="1" t="s">
        <v>4372</v>
      </c>
      <c r="I1049" s="1" t="s">
        <v>4373</v>
      </c>
      <c r="J1049" s="1" t="s">
        <v>5924</v>
      </c>
      <c r="K1049" s="1" t="s">
        <v>5925</v>
      </c>
    </row>
    <row r="1050" spans="1:11" ht="21" x14ac:dyDescent="0.25">
      <c r="A1050" s="11" t="str">
        <f>HYPERLINK("https://rth.dk/resources/bsgatlas/details.php?id=BSGatlas-transcript-1049","BSGatlas-transcript-1049")</f>
        <v>BSGatlas-transcript-1049</v>
      </c>
      <c r="B1050" s="1" t="s">
        <v>1032</v>
      </c>
      <c r="C1050" s="3">
        <v>988373</v>
      </c>
      <c r="D1050" s="3">
        <v>988915</v>
      </c>
      <c r="E1050" s="1" t="s">
        <v>13</v>
      </c>
      <c r="F1050" s="1">
        <v>0</v>
      </c>
      <c r="G1050" s="1" t="s">
        <v>4372</v>
      </c>
      <c r="H1050" s="1" t="s">
        <v>4372</v>
      </c>
      <c r="I1050" s="1" t="s">
        <v>4373</v>
      </c>
      <c r="J1050" s="1" t="s">
        <v>5924</v>
      </c>
      <c r="K1050" s="1" t="s">
        <v>5926</v>
      </c>
    </row>
    <row r="1051" spans="1:11" ht="21" x14ac:dyDescent="0.25">
      <c r="A1051" s="11" t="str">
        <f>HYPERLINK("https://rth.dk/resources/bsgatlas/details.php?id=BSGatlas-transcript-1050","BSGatlas-transcript-1050")</f>
        <v>BSGatlas-transcript-1050</v>
      </c>
      <c r="B1051" s="1" t="s">
        <v>1033</v>
      </c>
      <c r="C1051" s="3">
        <v>988998</v>
      </c>
      <c r="D1051" s="3">
        <v>989591</v>
      </c>
      <c r="E1051" s="1" t="s">
        <v>9</v>
      </c>
      <c r="F1051" s="1">
        <v>0</v>
      </c>
      <c r="G1051" s="1" t="s">
        <v>4372</v>
      </c>
      <c r="H1051" s="1" t="s">
        <v>4372</v>
      </c>
      <c r="I1051" s="1" t="s">
        <v>4373</v>
      </c>
      <c r="J1051" s="1" t="s">
        <v>5927</v>
      </c>
      <c r="K1051" s="1" t="s">
        <v>5928</v>
      </c>
    </row>
    <row r="1052" spans="1:11" ht="21" x14ac:dyDescent="0.25">
      <c r="A1052" s="11" t="str">
        <f>HYPERLINK("https://rth.dk/resources/bsgatlas/details.php?id=BSGatlas-transcript-1051","BSGatlas-transcript-1051")</f>
        <v>BSGatlas-transcript-1051</v>
      </c>
      <c r="B1052" s="1" t="s">
        <v>1033</v>
      </c>
      <c r="C1052" s="3">
        <v>988998</v>
      </c>
      <c r="D1052" s="3">
        <v>989634</v>
      </c>
      <c r="E1052" s="1" t="s">
        <v>9</v>
      </c>
      <c r="F1052" s="1">
        <v>0</v>
      </c>
      <c r="G1052" s="1" t="s">
        <v>4372</v>
      </c>
      <c r="H1052" s="1" t="s">
        <v>4372</v>
      </c>
      <c r="I1052" s="1" t="s">
        <v>4373</v>
      </c>
      <c r="J1052" s="1" t="s">
        <v>5927</v>
      </c>
      <c r="K1052" s="1" t="s">
        <v>5929</v>
      </c>
    </row>
    <row r="1053" spans="1:11" ht="21" x14ac:dyDescent="0.25">
      <c r="A1053" s="11" t="str">
        <f>HYPERLINK("https://rth.dk/resources/bsgatlas/details.php?id=BSGatlas-transcript-1052","BSGatlas-transcript-1052")</f>
        <v>BSGatlas-transcript-1052</v>
      </c>
      <c r="B1053" s="1" t="s">
        <v>1033</v>
      </c>
      <c r="C1053" s="3">
        <v>989022</v>
      </c>
      <c r="D1053" s="3">
        <v>989591</v>
      </c>
      <c r="E1053" s="1" t="s">
        <v>9</v>
      </c>
      <c r="F1053" s="1">
        <v>0</v>
      </c>
      <c r="G1053" s="1" t="s">
        <v>4372</v>
      </c>
      <c r="H1053" s="1" t="s">
        <v>4372</v>
      </c>
      <c r="I1053" s="1" t="s">
        <v>4373</v>
      </c>
      <c r="J1053" s="1" t="s">
        <v>5930</v>
      </c>
      <c r="K1053" s="1" t="s">
        <v>5928</v>
      </c>
    </row>
    <row r="1054" spans="1:11" ht="21" x14ac:dyDescent="0.25">
      <c r="A1054" s="11" t="str">
        <f>HYPERLINK("https://rth.dk/resources/bsgatlas/details.php?id=BSGatlas-transcript-1053","BSGatlas-transcript-1053")</f>
        <v>BSGatlas-transcript-1053</v>
      </c>
      <c r="B1054" s="1" t="s">
        <v>1033</v>
      </c>
      <c r="C1054" s="3">
        <v>989022</v>
      </c>
      <c r="D1054" s="3">
        <v>989634</v>
      </c>
      <c r="E1054" s="1" t="s">
        <v>9</v>
      </c>
      <c r="F1054" s="1">
        <v>0</v>
      </c>
      <c r="G1054" s="1" t="s">
        <v>4372</v>
      </c>
      <c r="H1054" s="1" t="s">
        <v>4372</v>
      </c>
      <c r="I1054" s="1" t="s">
        <v>4373</v>
      </c>
      <c r="J1054" s="1" t="s">
        <v>5930</v>
      </c>
      <c r="K1054" s="1" t="s">
        <v>5929</v>
      </c>
    </row>
    <row r="1055" spans="1:11" ht="21" x14ac:dyDescent="0.25">
      <c r="A1055" s="11" t="str">
        <f>HYPERLINK("https://rth.dk/resources/bsgatlas/details.php?id=BSGatlas-transcript-1054","BSGatlas-transcript-1054")</f>
        <v>BSGatlas-transcript-1054</v>
      </c>
      <c r="B1055" s="1" t="s">
        <v>1034</v>
      </c>
      <c r="C1055" s="3">
        <v>989673</v>
      </c>
      <c r="D1055" s="3">
        <v>990680</v>
      </c>
      <c r="E1055" s="1" t="s">
        <v>9</v>
      </c>
      <c r="F1055" s="1">
        <v>0</v>
      </c>
      <c r="G1055" s="1" t="s">
        <v>4372</v>
      </c>
      <c r="H1055" s="1" t="s">
        <v>4372</v>
      </c>
      <c r="I1055" s="1" t="s">
        <v>4373</v>
      </c>
      <c r="J1055" s="1" t="s">
        <v>5931</v>
      </c>
      <c r="K1055" s="1" t="s">
        <v>5932</v>
      </c>
    </row>
    <row r="1056" spans="1:11" ht="21" x14ac:dyDescent="0.25">
      <c r="A1056" s="11" t="str">
        <f>HYPERLINK("https://rth.dk/resources/bsgatlas/details.php?id=BSGatlas-transcript-1055","BSGatlas-transcript-1055")</f>
        <v>BSGatlas-transcript-1055</v>
      </c>
      <c r="B1056" s="1" t="s">
        <v>1034</v>
      </c>
      <c r="C1056" s="3">
        <v>989673</v>
      </c>
      <c r="D1056" s="3">
        <v>990752</v>
      </c>
      <c r="E1056" s="1" t="s">
        <v>9</v>
      </c>
      <c r="F1056" s="1">
        <v>0</v>
      </c>
      <c r="G1056" s="1" t="s">
        <v>4372</v>
      </c>
      <c r="H1056" s="1" t="s">
        <v>4372</v>
      </c>
      <c r="I1056" s="1" t="s">
        <v>4373</v>
      </c>
      <c r="J1056" s="1" t="s">
        <v>5931</v>
      </c>
      <c r="K1056" s="1" t="s">
        <v>5933</v>
      </c>
    </row>
    <row r="1057" spans="1:11" ht="21" x14ac:dyDescent="0.25">
      <c r="A1057" s="11" t="str">
        <f>HYPERLINK("https://rth.dk/resources/bsgatlas/details.php?id=BSGatlas-transcript-1056","BSGatlas-transcript-1056")</f>
        <v>BSGatlas-transcript-1056</v>
      </c>
      <c r="B1057" s="1" t="s">
        <v>1035</v>
      </c>
      <c r="C1057" s="3">
        <v>990612</v>
      </c>
      <c r="D1057" s="3">
        <v>991292</v>
      </c>
      <c r="E1057" s="1" t="s">
        <v>13</v>
      </c>
      <c r="F1057" s="1">
        <v>0</v>
      </c>
      <c r="G1057" s="1" t="s">
        <v>4372</v>
      </c>
      <c r="H1057" s="1" t="s">
        <v>4372</v>
      </c>
      <c r="I1057" s="1" t="s">
        <v>4373</v>
      </c>
      <c r="J1057" s="1" t="s">
        <v>5934</v>
      </c>
      <c r="K1057" s="1" t="s">
        <v>5935</v>
      </c>
    </row>
    <row r="1058" spans="1:11" ht="21" x14ac:dyDescent="0.25">
      <c r="A1058" s="11" t="str">
        <f>HYPERLINK("https://rth.dk/resources/bsgatlas/details.php?id=BSGatlas-transcript-1057","BSGatlas-transcript-1057")</f>
        <v>BSGatlas-transcript-1057</v>
      </c>
      <c r="B1058" s="1" t="s">
        <v>5936</v>
      </c>
      <c r="C1058" s="3">
        <v>991348</v>
      </c>
      <c r="D1058" s="3">
        <v>995594</v>
      </c>
      <c r="E1058" s="1" t="s">
        <v>9</v>
      </c>
      <c r="F1058" s="1">
        <v>0</v>
      </c>
      <c r="G1058" s="1" t="s">
        <v>4372</v>
      </c>
      <c r="H1058" s="1" t="s">
        <v>4372</v>
      </c>
      <c r="I1058" s="1" t="s">
        <v>4397</v>
      </c>
      <c r="J1058" s="1" t="s">
        <v>5937</v>
      </c>
      <c r="K1058" s="1" t="s">
        <v>5938</v>
      </c>
    </row>
    <row r="1059" spans="1:11" ht="21" x14ac:dyDescent="0.25">
      <c r="A1059" s="11" t="str">
        <f>HYPERLINK("https://rth.dk/resources/bsgatlas/details.php?id=BSGatlas-transcript-1058","BSGatlas-transcript-1058")</f>
        <v>BSGatlas-transcript-1058</v>
      </c>
      <c r="B1059" s="1" t="s">
        <v>1038</v>
      </c>
      <c r="C1059" s="3">
        <v>995624</v>
      </c>
      <c r="D1059" s="3">
        <v>996595</v>
      </c>
      <c r="E1059" s="1" t="s">
        <v>13</v>
      </c>
      <c r="F1059" s="1">
        <v>0</v>
      </c>
      <c r="G1059" s="1" t="s">
        <v>4372</v>
      </c>
      <c r="H1059" s="1" t="s">
        <v>4372</v>
      </c>
      <c r="I1059" s="1" t="s">
        <v>4397</v>
      </c>
      <c r="J1059" s="1" t="s">
        <v>5939</v>
      </c>
      <c r="K1059" s="1" t="s">
        <v>318</v>
      </c>
    </row>
    <row r="1060" spans="1:11" ht="21" x14ac:dyDescent="0.25">
      <c r="A1060" s="11" t="str">
        <f>HYPERLINK("https://rth.dk/resources/bsgatlas/details.php?id=BSGatlas-transcript-1059","BSGatlas-transcript-1059")</f>
        <v>BSGatlas-transcript-1059</v>
      </c>
      <c r="B1060" s="1" t="s">
        <v>1038</v>
      </c>
      <c r="C1060" s="3">
        <v>995624</v>
      </c>
      <c r="D1060" s="3">
        <v>997083</v>
      </c>
      <c r="E1060" s="1" t="s">
        <v>13</v>
      </c>
      <c r="F1060" s="1">
        <v>0</v>
      </c>
      <c r="G1060" s="1" t="s">
        <v>4372</v>
      </c>
      <c r="H1060" s="1" t="s">
        <v>4372</v>
      </c>
      <c r="I1060" s="1" t="s">
        <v>4397</v>
      </c>
      <c r="J1060" s="1" t="s">
        <v>5940</v>
      </c>
      <c r="K1060" s="1" t="s">
        <v>318</v>
      </c>
    </row>
    <row r="1061" spans="1:11" ht="21" x14ac:dyDescent="0.25">
      <c r="A1061" s="11" t="str">
        <f>HYPERLINK("https://rth.dk/resources/bsgatlas/details.php?id=BSGatlas-transcript-1060","BSGatlas-transcript-1060")</f>
        <v>BSGatlas-transcript-1060</v>
      </c>
      <c r="B1061" s="1" t="s">
        <v>1038</v>
      </c>
      <c r="C1061" s="3">
        <v>995624</v>
      </c>
      <c r="D1061" s="3">
        <v>997167</v>
      </c>
      <c r="E1061" s="1" t="s">
        <v>13</v>
      </c>
      <c r="F1061" s="1">
        <v>0</v>
      </c>
      <c r="G1061" s="1" t="s">
        <v>4372</v>
      </c>
      <c r="H1061" s="1" t="s">
        <v>4372</v>
      </c>
      <c r="I1061" s="1" t="s">
        <v>4397</v>
      </c>
      <c r="J1061" s="1" t="s">
        <v>5941</v>
      </c>
      <c r="K1061" s="1" t="s">
        <v>318</v>
      </c>
    </row>
    <row r="1062" spans="1:11" ht="21" x14ac:dyDescent="0.25">
      <c r="A1062" s="11" t="str">
        <f>HYPERLINK("https://rth.dk/resources/bsgatlas/details.php?id=BSGatlas-transcript-1061","BSGatlas-transcript-1061")</f>
        <v>BSGatlas-transcript-1061</v>
      </c>
      <c r="B1062" s="1" t="s">
        <v>1038</v>
      </c>
      <c r="C1062" s="3">
        <v>995624</v>
      </c>
      <c r="D1062" s="3">
        <v>997541</v>
      </c>
      <c r="E1062" s="1" t="s">
        <v>13</v>
      </c>
      <c r="F1062" s="1">
        <v>0</v>
      </c>
      <c r="G1062" s="1" t="s">
        <v>4372</v>
      </c>
      <c r="H1062" s="1" t="s">
        <v>4372</v>
      </c>
      <c r="I1062" s="1" t="s">
        <v>4397</v>
      </c>
      <c r="J1062" s="1" t="s">
        <v>5942</v>
      </c>
      <c r="K1062" s="1" t="s">
        <v>318</v>
      </c>
    </row>
    <row r="1063" spans="1:11" ht="21" x14ac:dyDescent="0.25">
      <c r="A1063" s="11" t="str">
        <f>HYPERLINK("https://rth.dk/resources/bsgatlas/details.php?id=BSGatlas-transcript-1062","BSGatlas-transcript-1062")</f>
        <v>BSGatlas-transcript-1062</v>
      </c>
      <c r="B1063" s="1" t="s">
        <v>1039</v>
      </c>
      <c r="C1063" s="3">
        <v>996607</v>
      </c>
      <c r="D1063" s="3">
        <v>997038</v>
      </c>
      <c r="E1063" s="1" t="s">
        <v>9</v>
      </c>
      <c r="F1063" s="1">
        <v>0</v>
      </c>
      <c r="G1063" s="1" t="s">
        <v>4372</v>
      </c>
      <c r="H1063" s="1" t="s">
        <v>4372</v>
      </c>
      <c r="I1063" s="1" t="s">
        <v>4377</v>
      </c>
      <c r="J1063" s="1" t="s">
        <v>5943</v>
      </c>
      <c r="K1063" s="1" t="s">
        <v>318</v>
      </c>
    </row>
    <row r="1064" spans="1:11" ht="21" x14ac:dyDescent="0.25">
      <c r="A1064" s="11" t="str">
        <f>HYPERLINK("https://rth.dk/resources/bsgatlas/details.php?id=BSGatlas-transcript-1063","BSGatlas-transcript-1063")</f>
        <v>BSGatlas-transcript-1063</v>
      </c>
      <c r="B1064" s="1" t="s">
        <v>1040</v>
      </c>
      <c r="C1064" s="3">
        <v>997159</v>
      </c>
      <c r="D1064" s="3">
        <v>997640</v>
      </c>
      <c r="E1064" s="1" t="s">
        <v>9</v>
      </c>
      <c r="F1064" s="1">
        <v>0</v>
      </c>
      <c r="G1064" s="1" t="s">
        <v>4372</v>
      </c>
      <c r="H1064" s="1" t="s">
        <v>4372</v>
      </c>
      <c r="I1064" s="1" t="s">
        <v>4373</v>
      </c>
      <c r="J1064" s="1" t="s">
        <v>5944</v>
      </c>
      <c r="K1064" s="1" t="s">
        <v>5945</v>
      </c>
    </row>
    <row r="1065" spans="1:11" ht="21" x14ac:dyDescent="0.25">
      <c r="A1065" s="11" t="str">
        <f>HYPERLINK("https://rth.dk/resources/bsgatlas/details.php?id=BSGatlas-transcript-1064","BSGatlas-transcript-1064")</f>
        <v>BSGatlas-transcript-1064</v>
      </c>
      <c r="B1065" s="1" t="s">
        <v>5946</v>
      </c>
      <c r="C1065" s="3">
        <v>997676</v>
      </c>
      <c r="D1065" s="3">
        <v>999943</v>
      </c>
      <c r="E1065" s="1" t="s">
        <v>9</v>
      </c>
      <c r="F1065" s="1">
        <v>0</v>
      </c>
      <c r="G1065" s="1" t="s">
        <v>4372</v>
      </c>
      <c r="H1065" s="1" t="s">
        <v>4372</v>
      </c>
      <c r="I1065" s="1" t="s">
        <v>4386</v>
      </c>
      <c r="J1065" s="1" t="s">
        <v>5947</v>
      </c>
      <c r="K1065" s="1" t="s">
        <v>5948</v>
      </c>
    </row>
    <row r="1066" spans="1:11" ht="21" x14ac:dyDescent="0.25">
      <c r="A1066" s="11" t="str">
        <f>HYPERLINK("https://rth.dk/resources/bsgatlas/details.php?id=BSGatlas-transcript-1065","BSGatlas-transcript-1065")</f>
        <v>BSGatlas-transcript-1065</v>
      </c>
      <c r="B1066" s="1" t="s">
        <v>5949</v>
      </c>
      <c r="C1066" s="3">
        <v>1000282</v>
      </c>
      <c r="D1066" s="3">
        <v>1002482</v>
      </c>
      <c r="E1066" s="1" t="s">
        <v>9</v>
      </c>
      <c r="F1066" s="1">
        <v>1</v>
      </c>
      <c r="G1066" s="1">
        <v>83</v>
      </c>
      <c r="H1066" s="1">
        <v>161</v>
      </c>
      <c r="I1066" s="1" t="s">
        <v>4373</v>
      </c>
      <c r="J1066" s="1" t="s">
        <v>5950</v>
      </c>
      <c r="K1066" s="1" t="s">
        <v>5951</v>
      </c>
    </row>
    <row r="1067" spans="1:11" ht="21" x14ac:dyDescent="0.25">
      <c r="A1067" s="11" t="str">
        <f>HYPERLINK("https://rth.dk/resources/bsgatlas/details.php?id=BSGatlas-transcript-1066","BSGatlas-transcript-1066")</f>
        <v>BSGatlas-transcript-1066</v>
      </c>
      <c r="B1067" s="1" t="s">
        <v>5952</v>
      </c>
      <c r="C1067" s="3">
        <v>1002354</v>
      </c>
      <c r="D1067" s="3">
        <v>1004953</v>
      </c>
      <c r="E1067" s="1" t="s">
        <v>9</v>
      </c>
      <c r="F1067" s="1">
        <v>1</v>
      </c>
      <c r="G1067" s="1">
        <v>148</v>
      </c>
      <c r="H1067" s="1">
        <v>120</v>
      </c>
      <c r="I1067" s="1" t="s">
        <v>4373</v>
      </c>
      <c r="J1067" s="1" t="s">
        <v>5953</v>
      </c>
      <c r="K1067" s="1" t="s">
        <v>5954</v>
      </c>
    </row>
    <row r="1068" spans="1:11" ht="21" x14ac:dyDescent="0.25">
      <c r="A1068" s="11" t="str">
        <f>HYPERLINK("https://rth.dk/resources/bsgatlas/details.php?id=BSGatlas-transcript-1067","BSGatlas-transcript-1067")</f>
        <v>BSGatlas-transcript-1067</v>
      </c>
      <c r="B1068" s="1" t="s">
        <v>5952</v>
      </c>
      <c r="C1068" s="3">
        <v>1002410</v>
      </c>
      <c r="D1068" s="3">
        <v>1004953</v>
      </c>
      <c r="E1068" s="1" t="s">
        <v>9</v>
      </c>
      <c r="F1068" s="1">
        <v>1</v>
      </c>
      <c r="G1068" s="1">
        <v>92</v>
      </c>
      <c r="H1068" s="1">
        <v>120</v>
      </c>
      <c r="I1068" s="1" t="s">
        <v>4373</v>
      </c>
      <c r="J1068" s="1" t="s">
        <v>5955</v>
      </c>
      <c r="K1068" s="1" t="s">
        <v>5954</v>
      </c>
    </row>
    <row r="1069" spans="1:11" ht="21" x14ac:dyDescent="0.25">
      <c r="A1069" s="11" t="str">
        <f>HYPERLINK("https://rth.dk/resources/bsgatlas/details.php?id=BSGatlas-transcript-1068","BSGatlas-transcript-1068")</f>
        <v>BSGatlas-transcript-1068</v>
      </c>
      <c r="B1069" s="1" t="s">
        <v>1047</v>
      </c>
      <c r="C1069" s="3">
        <v>1004176</v>
      </c>
      <c r="D1069" s="3">
        <v>1006642</v>
      </c>
      <c r="E1069" s="1" t="s">
        <v>9</v>
      </c>
      <c r="F1069" s="1">
        <v>0</v>
      </c>
      <c r="G1069" s="1" t="s">
        <v>4372</v>
      </c>
      <c r="H1069" s="1" t="s">
        <v>4372</v>
      </c>
      <c r="I1069" s="1" t="s">
        <v>4373</v>
      </c>
      <c r="J1069" s="1" t="s">
        <v>5956</v>
      </c>
      <c r="K1069" s="1" t="s">
        <v>5957</v>
      </c>
    </row>
    <row r="1070" spans="1:11" ht="21" x14ac:dyDescent="0.25">
      <c r="A1070" s="11" t="str">
        <f>HYPERLINK("https://rth.dk/resources/bsgatlas/details.php?id=BSGatlas-transcript-1069","BSGatlas-transcript-1069")</f>
        <v>BSGatlas-transcript-1069</v>
      </c>
      <c r="B1070" s="1" t="s">
        <v>1047</v>
      </c>
      <c r="C1070" s="3">
        <v>1004176</v>
      </c>
      <c r="D1070" s="3">
        <v>1006682</v>
      </c>
      <c r="E1070" s="1" t="s">
        <v>9</v>
      </c>
      <c r="F1070" s="1">
        <v>0</v>
      </c>
      <c r="G1070" s="1" t="s">
        <v>4372</v>
      </c>
      <c r="H1070" s="1" t="s">
        <v>4372</v>
      </c>
      <c r="I1070" s="1" t="s">
        <v>4373</v>
      </c>
      <c r="J1070" s="1" t="s">
        <v>5956</v>
      </c>
      <c r="K1070" s="1" t="s">
        <v>5958</v>
      </c>
    </row>
    <row r="1071" spans="1:11" ht="21" x14ac:dyDescent="0.25">
      <c r="A1071" s="11" t="str">
        <f>HYPERLINK("https://rth.dk/resources/bsgatlas/details.php?id=BSGatlas-transcript-1070","BSGatlas-transcript-1070")</f>
        <v>BSGatlas-transcript-1070</v>
      </c>
      <c r="B1071" s="1" t="s">
        <v>1047</v>
      </c>
      <c r="C1071" s="3">
        <v>1004860</v>
      </c>
      <c r="D1071" s="3">
        <v>1006642</v>
      </c>
      <c r="E1071" s="1" t="s">
        <v>9</v>
      </c>
      <c r="F1071" s="1">
        <v>0</v>
      </c>
      <c r="G1071" s="1" t="s">
        <v>4372</v>
      </c>
      <c r="H1071" s="1" t="s">
        <v>4372</v>
      </c>
      <c r="I1071" s="1" t="s">
        <v>4373</v>
      </c>
      <c r="J1071" s="1" t="s">
        <v>5959</v>
      </c>
      <c r="K1071" s="1" t="s">
        <v>5957</v>
      </c>
    </row>
    <row r="1072" spans="1:11" ht="21" x14ac:dyDescent="0.25">
      <c r="A1072" s="11" t="str">
        <f>HYPERLINK("https://rth.dk/resources/bsgatlas/details.php?id=BSGatlas-transcript-1071","BSGatlas-transcript-1071")</f>
        <v>BSGatlas-transcript-1071</v>
      </c>
      <c r="B1072" s="1" t="s">
        <v>1047</v>
      </c>
      <c r="C1072" s="3">
        <v>1004860</v>
      </c>
      <c r="D1072" s="3">
        <v>1006682</v>
      </c>
      <c r="E1072" s="1" t="s">
        <v>9</v>
      </c>
      <c r="F1072" s="1">
        <v>0</v>
      </c>
      <c r="G1072" s="1" t="s">
        <v>4372</v>
      </c>
      <c r="H1072" s="1" t="s">
        <v>4372</v>
      </c>
      <c r="I1072" s="1" t="s">
        <v>4373</v>
      </c>
      <c r="J1072" s="1" t="s">
        <v>5959</v>
      </c>
      <c r="K1072" s="1" t="s">
        <v>5958</v>
      </c>
    </row>
    <row r="1073" spans="1:11" ht="21" x14ac:dyDescent="0.25">
      <c r="A1073" s="11" t="str">
        <f>HYPERLINK("https://rth.dk/resources/bsgatlas/details.php?id=BSGatlas-transcript-1072","BSGatlas-transcript-1072")</f>
        <v>BSGatlas-transcript-1072</v>
      </c>
      <c r="B1073" s="1" t="s">
        <v>1047</v>
      </c>
      <c r="C1073" s="3">
        <v>1004946</v>
      </c>
      <c r="D1073" s="3">
        <v>1006642</v>
      </c>
      <c r="E1073" s="1" t="s">
        <v>9</v>
      </c>
      <c r="F1073" s="1">
        <v>0</v>
      </c>
      <c r="G1073" s="1" t="s">
        <v>4372</v>
      </c>
      <c r="H1073" s="1" t="s">
        <v>4372</v>
      </c>
      <c r="I1073" s="1" t="s">
        <v>4373</v>
      </c>
      <c r="J1073" s="1" t="s">
        <v>5960</v>
      </c>
      <c r="K1073" s="1" t="s">
        <v>5957</v>
      </c>
    </row>
    <row r="1074" spans="1:11" ht="21" x14ac:dyDescent="0.25">
      <c r="A1074" s="11" t="str">
        <f>HYPERLINK("https://rth.dk/resources/bsgatlas/details.php?id=BSGatlas-transcript-1073","BSGatlas-transcript-1073")</f>
        <v>BSGatlas-transcript-1073</v>
      </c>
      <c r="B1074" s="1" t="s">
        <v>1047</v>
      </c>
      <c r="C1074" s="3">
        <v>1004946</v>
      </c>
      <c r="D1074" s="3">
        <v>1006682</v>
      </c>
      <c r="E1074" s="1" t="s">
        <v>9</v>
      </c>
      <c r="F1074" s="1">
        <v>0</v>
      </c>
      <c r="G1074" s="1" t="s">
        <v>4372</v>
      </c>
      <c r="H1074" s="1" t="s">
        <v>4372</v>
      </c>
      <c r="I1074" s="1" t="s">
        <v>4373</v>
      </c>
      <c r="J1074" s="1" t="s">
        <v>5960</v>
      </c>
      <c r="K1074" s="1" t="s">
        <v>5958</v>
      </c>
    </row>
    <row r="1075" spans="1:11" ht="21" x14ac:dyDescent="0.25">
      <c r="A1075" s="11" t="str">
        <f>HYPERLINK("https://rth.dk/resources/bsgatlas/details.php?id=BSGatlas-transcript-1074","BSGatlas-transcript-1074")</f>
        <v>BSGatlas-transcript-1074</v>
      </c>
      <c r="B1075" s="1" t="s">
        <v>1048</v>
      </c>
      <c r="C1075" s="3">
        <v>1006433</v>
      </c>
      <c r="D1075" s="3">
        <v>1008519</v>
      </c>
      <c r="E1075" s="1" t="s">
        <v>9</v>
      </c>
      <c r="F1075" s="1">
        <v>0</v>
      </c>
      <c r="G1075" s="1" t="s">
        <v>4372</v>
      </c>
      <c r="H1075" s="1" t="s">
        <v>4372</v>
      </c>
      <c r="I1075" s="1" t="s">
        <v>4386</v>
      </c>
      <c r="J1075" s="1" t="s">
        <v>5961</v>
      </c>
      <c r="K1075" s="1" t="s">
        <v>5962</v>
      </c>
    </row>
    <row r="1076" spans="1:11" ht="21" x14ac:dyDescent="0.25">
      <c r="A1076" s="11" t="str">
        <f>HYPERLINK("https://rth.dk/resources/bsgatlas/details.php?id=BSGatlas-transcript-1075","BSGatlas-transcript-1075")</f>
        <v>BSGatlas-transcript-1075</v>
      </c>
      <c r="B1076" s="1" t="s">
        <v>1048</v>
      </c>
      <c r="C1076" s="3">
        <v>1006508</v>
      </c>
      <c r="D1076" s="3">
        <v>1008519</v>
      </c>
      <c r="E1076" s="1" t="s">
        <v>9</v>
      </c>
      <c r="F1076" s="1">
        <v>0</v>
      </c>
      <c r="G1076" s="1" t="s">
        <v>4372</v>
      </c>
      <c r="H1076" s="1" t="s">
        <v>4372</v>
      </c>
      <c r="I1076" s="1" t="s">
        <v>4386</v>
      </c>
      <c r="J1076" s="1" t="s">
        <v>5963</v>
      </c>
      <c r="K1076" s="1" t="s">
        <v>5962</v>
      </c>
    </row>
    <row r="1077" spans="1:11" ht="21" x14ac:dyDescent="0.25">
      <c r="A1077" s="11" t="str">
        <f>HYPERLINK("https://rth.dk/resources/bsgatlas/details.php?id=BSGatlas-transcript-1076","BSGatlas-transcript-1076")</f>
        <v>BSGatlas-transcript-1076</v>
      </c>
      <c r="B1077" s="1" t="s">
        <v>1048</v>
      </c>
      <c r="C1077" s="3">
        <v>1006730</v>
      </c>
      <c r="D1077" s="3">
        <v>1008519</v>
      </c>
      <c r="E1077" s="1" t="s">
        <v>9</v>
      </c>
      <c r="F1077" s="1">
        <v>0</v>
      </c>
      <c r="G1077" s="1" t="s">
        <v>4372</v>
      </c>
      <c r="H1077" s="1" t="s">
        <v>4372</v>
      </c>
      <c r="I1077" s="1" t="s">
        <v>4386</v>
      </c>
      <c r="J1077" s="1" t="s">
        <v>5964</v>
      </c>
      <c r="K1077" s="1" t="s">
        <v>5962</v>
      </c>
    </row>
    <row r="1078" spans="1:11" ht="21" x14ac:dyDescent="0.25">
      <c r="A1078" s="11" t="str">
        <f>HYPERLINK("https://rth.dk/resources/bsgatlas/details.php?id=BSGatlas-transcript-1077","BSGatlas-transcript-1077")</f>
        <v>BSGatlas-transcript-1077</v>
      </c>
      <c r="B1078" s="1" t="s">
        <v>5965</v>
      </c>
      <c r="C1078" s="3">
        <v>1008642</v>
      </c>
      <c r="D1078" s="3">
        <v>1010993</v>
      </c>
      <c r="E1078" s="1" t="s">
        <v>9</v>
      </c>
      <c r="F1078" s="1">
        <v>0</v>
      </c>
      <c r="G1078" s="1" t="s">
        <v>4372</v>
      </c>
      <c r="H1078" s="1" t="s">
        <v>4372</v>
      </c>
      <c r="I1078" s="1" t="s">
        <v>4373</v>
      </c>
      <c r="J1078" s="1" t="s">
        <v>5966</v>
      </c>
      <c r="K1078" s="1" t="s">
        <v>5967</v>
      </c>
    </row>
    <row r="1079" spans="1:11" ht="21" x14ac:dyDescent="0.25">
      <c r="A1079" s="11" t="str">
        <f>HYPERLINK("https://rth.dk/resources/bsgatlas/details.php?id=BSGatlas-transcript-1078","BSGatlas-transcript-1078")</f>
        <v>BSGatlas-transcript-1078</v>
      </c>
      <c r="B1079" s="1" t="s">
        <v>1052</v>
      </c>
      <c r="C1079" s="3">
        <v>1010984</v>
      </c>
      <c r="D1079" s="3">
        <v>1011273</v>
      </c>
      <c r="E1079" s="1" t="s">
        <v>13</v>
      </c>
      <c r="F1079" s="1">
        <v>0</v>
      </c>
      <c r="G1079" s="1" t="s">
        <v>4372</v>
      </c>
      <c r="H1079" s="1" t="s">
        <v>4372</v>
      </c>
      <c r="I1079" s="1" t="s">
        <v>4397</v>
      </c>
      <c r="J1079" s="1" t="s">
        <v>5968</v>
      </c>
      <c r="K1079" s="1" t="s">
        <v>5969</v>
      </c>
    </row>
    <row r="1080" spans="1:11" ht="21" x14ac:dyDescent="0.25">
      <c r="A1080" s="11" t="str">
        <f>HYPERLINK("https://rth.dk/resources/bsgatlas/details.php?id=BSGatlas-transcript-1079","BSGatlas-transcript-1079")</f>
        <v>BSGatlas-transcript-1079</v>
      </c>
      <c r="B1080" s="1" t="s">
        <v>1053</v>
      </c>
      <c r="C1080" s="3">
        <v>1011391</v>
      </c>
      <c r="D1080" s="3">
        <v>1013650</v>
      </c>
      <c r="E1080" s="1" t="s">
        <v>9</v>
      </c>
      <c r="F1080" s="1">
        <v>0</v>
      </c>
      <c r="G1080" s="1" t="s">
        <v>4372</v>
      </c>
      <c r="H1080" s="1" t="s">
        <v>4372</v>
      </c>
      <c r="I1080" s="1" t="s">
        <v>4397</v>
      </c>
      <c r="J1080" s="1" t="s">
        <v>5970</v>
      </c>
      <c r="K1080" s="1" t="s">
        <v>5971</v>
      </c>
    </row>
    <row r="1081" spans="1:11" ht="21" x14ac:dyDescent="0.25">
      <c r="A1081" s="11" t="str">
        <f>HYPERLINK("https://rth.dk/resources/bsgatlas/details.php?id=BSGatlas-transcript-1080","BSGatlas-transcript-1080")</f>
        <v>BSGatlas-transcript-1080</v>
      </c>
      <c r="B1081" s="1" t="s">
        <v>1054</v>
      </c>
      <c r="C1081" s="3">
        <v>1011757</v>
      </c>
      <c r="D1081" s="3">
        <v>1013302</v>
      </c>
      <c r="E1081" s="1" t="s">
        <v>13</v>
      </c>
      <c r="F1081" s="1">
        <v>0</v>
      </c>
      <c r="G1081" s="1" t="s">
        <v>4372</v>
      </c>
      <c r="H1081" s="1" t="s">
        <v>4372</v>
      </c>
      <c r="I1081" s="1" t="s">
        <v>4373</v>
      </c>
      <c r="J1081" s="1" t="s">
        <v>5972</v>
      </c>
      <c r="K1081" s="1" t="s">
        <v>5973</v>
      </c>
    </row>
    <row r="1082" spans="1:11" ht="21" x14ac:dyDescent="0.25">
      <c r="A1082" s="11" t="str">
        <f>HYPERLINK("https://rth.dk/resources/bsgatlas/details.php?id=BSGatlas-transcript-1081","BSGatlas-transcript-1081")</f>
        <v>BSGatlas-transcript-1081</v>
      </c>
      <c r="B1082" s="1" t="s">
        <v>1054</v>
      </c>
      <c r="C1082" s="3">
        <v>1011792</v>
      </c>
      <c r="D1082" s="3">
        <v>1013302</v>
      </c>
      <c r="E1082" s="1" t="s">
        <v>13</v>
      </c>
      <c r="F1082" s="1">
        <v>0</v>
      </c>
      <c r="G1082" s="1" t="s">
        <v>4372</v>
      </c>
      <c r="H1082" s="1" t="s">
        <v>4372</v>
      </c>
      <c r="I1082" s="1" t="s">
        <v>4373</v>
      </c>
      <c r="J1082" s="1" t="s">
        <v>5972</v>
      </c>
      <c r="K1082" s="1" t="s">
        <v>5974</v>
      </c>
    </row>
    <row r="1083" spans="1:11" ht="21" x14ac:dyDescent="0.25">
      <c r="A1083" s="11" t="str">
        <f>HYPERLINK("https://rth.dk/resources/bsgatlas/details.php?id=BSGatlas-transcript-1082","BSGatlas-transcript-1082")</f>
        <v>BSGatlas-transcript-1082</v>
      </c>
      <c r="B1083" s="1" t="s">
        <v>1055</v>
      </c>
      <c r="C1083" s="3">
        <v>1013382</v>
      </c>
      <c r="D1083" s="3">
        <v>1013889</v>
      </c>
      <c r="E1083" s="1" t="s">
        <v>13</v>
      </c>
      <c r="F1083" s="1">
        <v>0</v>
      </c>
      <c r="G1083" s="1" t="s">
        <v>4372</v>
      </c>
      <c r="H1083" s="1" t="s">
        <v>4372</v>
      </c>
      <c r="I1083" s="1" t="s">
        <v>4373</v>
      </c>
      <c r="J1083" s="1" t="s">
        <v>5975</v>
      </c>
      <c r="K1083" s="1" t="s">
        <v>5976</v>
      </c>
    </row>
    <row r="1084" spans="1:11" ht="21" x14ac:dyDescent="0.25">
      <c r="A1084" s="11" t="str">
        <f>HYPERLINK("https://rth.dk/resources/bsgatlas/details.php?id=BSGatlas-transcript-1083","BSGatlas-transcript-1083")</f>
        <v>BSGatlas-transcript-1083</v>
      </c>
      <c r="B1084" s="1" t="s">
        <v>1056</v>
      </c>
      <c r="C1084" s="3">
        <v>1013861</v>
      </c>
      <c r="D1084" s="3">
        <v>1013971</v>
      </c>
      <c r="E1084" s="1" t="s">
        <v>9</v>
      </c>
      <c r="F1084" s="1">
        <v>0</v>
      </c>
      <c r="G1084" s="1" t="s">
        <v>4372</v>
      </c>
      <c r="H1084" s="1" t="s">
        <v>4372</v>
      </c>
      <c r="I1084" s="1" t="s">
        <v>4377</v>
      </c>
      <c r="J1084" s="1" t="s">
        <v>5977</v>
      </c>
      <c r="K1084" s="1" t="s">
        <v>5978</v>
      </c>
    </row>
    <row r="1085" spans="1:11" ht="21" x14ac:dyDescent="0.25">
      <c r="A1085" s="11" t="str">
        <f>HYPERLINK("https://rth.dk/resources/bsgatlas/details.php?id=BSGatlas-transcript-1084","BSGatlas-transcript-1084")</f>
        <v>BSGatlas-transcript-1084</v>
      </c>
      <c r="B1085" s="1" t="s">
        <v>1057</v>
      </c>
      <c r="C1085" s="3">
        <v>1013941</v>
      </c>
      <c r="D1085" s="3">
        <v>1015616</v>
      </c>
      <c r="E1085" s="1" t="s">
        <v>13</v>
      </c>
      <c r="F1085" s="1">
        <v>0</v>
      </c>
      <c r="G1085" s="1" t="s">
        <v>4372</v>
      </c>
      <c r="H1085" s="1" t="s">
        <v>4372</v>
      </c>
      <c r="I1085" s="1" t="s">
        <v>4386</v>
      </c>
      <c r="J1085" s="1" t="s">
        <v>5979</v>
      </c>
      <c r="K1085" s="1" t="s">
        <v>5980</v>
      </c>
    </row>
    <row r="1086" spans="1:11" ht="21" x14ac:dyDescent="0.25">
      <c r="A1086" s="11" t="str">
        <f>HYPERLINK("https://rth.dk/resources/bsgatlas/details.php?id=BSGatlas-transcript-1085","BSGatlas-transcript-1085")</f>
        <v>BSGatlas-transcript-1085</v>
      </c>
      <c r="B1086" s="1" t="s">
        <v>1058</v>
      </c>
      <c r="C1086" s="3">
        <v>1015624</v>
      </c>
      <c r="D1086" s="3">
        <v>1017094</v>
      </c>
      <c r="E1086" s="1" t="s">
        <v>9</v>
      </c>
      <c r="F1086" s="1">
        <v>0</v>
      </c>
      <c r="G1086" s="1" t="s">
        <v>4372</v>
      </c>
      <c r="H1086" s="1" t="s">
        <v>4372</v>
      </c>
      <c r="I1086" s="1" t="s">
        <v>4373</v>
      </c>
      <c r="J1086" s="1" t="s">
        <v>5981</v>
      </c>
      <c r="K1086" s="1" t="s">
        <v>5982</v>
      </c>
    </row>
    <row r="1087" spans="1:11" ht="21" x14ac:dyDescent="0.25">
      <c r="A1087" s="11" t="str">
        <f>HYPERLINK("https://rth.dk/resources/bsgatlas/details.php?id=BSGatlas-transcript-1086","BSGatlas-transcript-1086")</f>
        <v>BSGatlas-transcript-1086</v>
      </c>
      <c r="B1087" s="1" t="s">
        <v>1059</v>
      </c>
      <c r="C1087" s="3">
        <v>1017043</v>
      </c>
      <c r="D1087" s="3">
        <v>1018487</v>
      </c>
      <c r="E1087" s="1" t="s">
        <v>13</v>
      </c>
      <c r="F1087" s="1">
        <v>0</v>
      </c>
      <c r="G1087" s="1" t="s">
        <v>4372</v>
      </c>
      <c r="H1087" s="1" t="s">
        <v>4372</v>
      </c>
      <c r="I1087" s="1" t="s">
        <v>4373</v>
      </c>
      <c r="J1087" s="1" t="s">
        <v>5983</v>
      </c>
      <c r="K1087" s="1" t="s">
        <v>5984</v>
      </c>
    </row>
    <row r="1088" spans="1:11" ht="21" x14ac:dyDescent="0.25">
      <c r="A1088" s="11" t="str">
        <f>HYPERLINK("https://rth.dk/resources/bsgatlas/details.php?id=BSGatlas-transcript-1087","BSGatlas-transcript-1087")</f>
        <v>BSGatlas-transcript-1087</v>
      </c>
      <c r="B1088" s="1" t="s">
        <v>1059</v>
      </c>
      <c r="C1088" s="3">
        <v>1017043</v>
      </c>
      <c r="D1088" s="3">
        <v>1020028</v>
      </c>
      <c r="E1088" s="1" t="s">
        <v>13</v>
      </c>
      <c r="F1088" s="1">
        <v>0</v>
      </c>
      <c r="G1088" s="1" t="s">
        <v>4372</v>
      </c>
      <c r="H1088" s="1" t="s">
        <v>4372</v>
      </c>
      <c r="I1088" s="1" t="s">
        <v>4373</v>
      </c>
      <c r="J1088" s="1" t="s">
        <v>5985</v>
      </c>
      <c r="K1088" s="1" t="s">
        <v>5984</v>
      </c>
    </row>
    <row r="1089" spans="1:11" ht="21" x14ac:dyDescent="0.25">
      <c r="A1089" s="11" t="str">
        <f>HYPERLINK("https://rth.dk/resources/bsgatlas/details.php?id=BSGatlas-transcript-1088","BSGatlas-transcript-1088")</f>
        <v>BSGatlas-transcript-1088</v>
      </c>
      <c r="B1089" s="1" t="s">
        <v>1059</v>
      </c>
      <c r="C1089" s="3">
        <v>1017083</v>
      </c>
      <c r="D1089" s="3">
        <v>1018487</v>
      </c>
      <c r="E1089" s="1" t="s">
        <v>13</v>
      </c>
      <c r="F1089" s="1">
        <v>0</v>
      </c>
      <c r="G1089" s="1" t="s">
        <v>4372</v>
      </c>
      <c r="H1089" s="1" t="s">
        <v>4372</v>
      </c>
      <c r="I1089" s="1" t="s">
        <v>4373</v>
      </c>
      <c r="J1089" s="1" t="s">
        <v>5983</v>
      </c>
      <c r="K1089" s="1" t="s">
        <v>5986</v>
      </c>
    </row>
    <row r="1090" spans="1:11" ht="21" x14ac:dyDescent="0.25">
      <c r="A1090" s="11" t="str">
        <f>HYPERLINK("https://rth.dk/resources/bsgatlas/details.php?id=BSGatlas-transcript-1089","BSGatlas-transcript-1089")</f>
        <v>BSGatlas-transcript-1089</v>
      </c>
      <c r="B1090" s="1" t="s">
        <v>1059</v>
      </c>
      <c r="C1090" s="3">
        <v>1017083</v>
      </c>
      <c r="D1090" s="3">
        <v>1020028</v>
      </c>
      <c r="E1090" s="1" t="s">
        <v>13</v>
      </c>
      <c r="F1090" s="1">
        <v>0</v>
      </c>
      <c r="G1090" s="1" t="s">
        <v>4372</v>
      </c>
      <c r="H1090" s="1" t="s">
        <v>4372</v>
      </c>
      <c r="I1090" s="1" t="s">
        <v>4373</v>
      </c>
      <c r="J1090" s="1" t="s">
        <v>5985</v>
      </c>
      <c r="K1090" s="1" t="s">
        <v>5986</v>
      </c>
    </row>
    <row r="1091" spans="1:11" ht="21" x14ac:dyDescent="0.25">
      <c r="A1091" s="11" t="str">
        <f>HYPERLINK("https://rth.dk/resources/bsgatlas/details.php?id=BSGatlas-transcript-1090","BSGatlas-transcript-1090")</f>
        <v>BSGatlas-transcript-1090</v>
      </c>
      <c r="B1091" s="1" t="s">
        <v>1060</v>
      </c>
      <c r="C1091" s="3">
        <v>1018648</v>
      </c>
      <c r="D1091" s="3">
        <v>1018800</v>
      </c>
      <c r="E1091" s="1" t="s">
        <v>9</v>
      </c>
      <c r="F1091" s="1">
        <v>0</v>
      </c>
      <c r="G1091" s="1" t="s">
        <v>4372</v>
      </c>
      <c r="H1091" s="1" t="s">
        <v>4372</v>
      </c>
      <c r="I1091" s="1" t="s">
        <v>4377</v>
      </c>
      <c r="J1091" s="1" t="s">
        <v>5987</v>
      </c>
      <c r="K1091" s="1" t="s">
        <v>318</v>
      </c>
    </row>
    <row r="1092" spans="1:11" ht="21" x14ac:dyDescent="0.25">
      <c r="A1092" s="11" t="str">
        <f>HYPERLINK("https://rth.dk/resources/bsgatlas/details.php?id=BSGatlas-transcript-1091","BSGatlas-transcript-1091")</f>
        <v>BSGatlas-transcript-1091</v>
      </c>
      <c r="B1092" s="1" t="s">
        <v>1061</v>
      </c>
      <c r="C1092" s="3">
        <v>1018939</v>
      </c>
      <c r="D1092" s="3">
        <v>1020002</v>
      </c>
      <c r="E1092" s="1" t="s">
        <v>9</v>
      </c>
      <c r="F1092" s="1">
        <v>0</v>
      </c>
      <c r="G1092" s="1" t="s">
        <v>4372</v>
      </c>
      <c r="H1092" s="1" t="s">
        <v>4372</v>
      </c>
      <c r="I1092" s="1" t="s">
        <v>4373</v>
      </c>
      <c r="J1092" s="1" t="s">
        <v>5988</v>
      </c>
      <c r="K1092" s="1" t="s">
        <v>5989</v>
      </c>
    </row>
    <row r="1093" spans="1:11" ht="21" x14ac:dyDescent="0.25">
      <c r="A1093" s="11" t="str">
        <f>HYPERLINK("https://rth.dk/resources/bsgatlas/details.php?id=BSGatlas-transcript-1092","BSGatlas-transcript-1092")</f>
        <v>BSGatlas-transcript-1092</v>
      </c>
      <c r="B1093" s="1" t="s">
        <v>1061</v>
      </c>
      <c r="C1093" s="3">
        <v>1018939</v>
      </c>
      <c r="D1093" s="3">
        <v>1020048</v>
      </c>
      <c r="E1093" s="1" t="s">
        <v>9</v>
      </c>
      <c r="F1093" s="1">
        <v>0</v>
      </c>
      <c r="G1093" s="1" t="s">
        <v>4372</v>
      </c>
      <c r="H1093" s="1" t="s">
        <v>4372</v>
      </c>
      <c r="I1093" s="1" t="s">
        <v>4373</v>
      </c>
      <c r="J1093" s="1" t="s">
        <v>5988</v>
      </c>
      <c r="K1093" s="1" t="s">
        <v>5990</v>
      </c>
    </row>
    <row r="1094" spans="1:11" ht="21" x14ac:dyDescent="0.25">
      <c r="A1094" s="11" t="str">
        <f>HYPERLINK("https://rth.dk/resources/bsgatlas/details.php?id=BSGatlas-transcript-1093","BSGatlas-transcript-1093")</f>
        <v>BSGatlas-transcript-1093</v>
      </c>
      <c r="B1094" s="1" t="s">
        <v>1061</v>
      </c>
      <c r="C1094" s="3">
        <v>1018998</v>
      </c>
      <c r="D1094" s="3">
        <v>1020002</v>
      </c>
      <c r="E1094" s="1" t="s">
        <v>9</v>
      </c>
      <c r="F1094" s="1">
        <v>0</v>
      </c>
      <c r="G1094" s="1" t="s">
        <v>4372</v>
      </c>
      <c r="H1094" s="1" t="s">
        <v>4372</v>
      </c>
      <c r="I1094" s="1" t="s">
        <v>4373</v>
      </c>
      <c r="J1094" s="1" t="s">
        <v>5991</v>
      </c>
      <c r="K1094" s="1" t="s">
        <v>5989</v>
      </c>
    </row>
    <row r="1095" spans="1:11" ht="21" x14ac:dyDescent="0.25">
      <c r="A1095" s="11" t="str">
        <f>HYPERLINK("https://rth.dk/resources/bsgatlas/details.php?id=BSGatlas-transcript-1094","BSGatlas-transcript-1094")</f>
        <v>BSGatlas-transcript-1094</v>
      </c>
      <c r="B1095" s="1" t="s">
        <v>1061</v>
      </c>
      <c r="C1095" s="3">
        <v>1018998</v>
      </c>
      <c r="D1095" s="3">
        <v>1020048</v>
      </c>
      <c r="E1095" s="1" t="s">
        <v>9</v>
      </c>
      <c r="F1095" s="1">
        <v>0</v>
      </c>
      <c r="G1095" s="1" t="s">
        <v>4372</v>
      </c>
      <c r="H1095" s="1" t="s">
        <v>4372</v>
      </c>
      <c r="I1095" s="1" t="s">
        <v>4373</v>
      </c>
      <c r="J1095" s="1" t="s">
        <v>5991</v>
      </c>
      <c r="K1095" s="1" t="s">
        <v>5990</v>
      </c>
    </row>
    <row r="1096" spans="1:11" ht="21" x14ac:dyDescent="0.25">
      <c r="A1096" s="11" t="str">
        <f>HYPERLINK("https://rth.dk/resources/bsgatlas/details.php?id=BSGatlas-transcript-1095","BSGatlas-transcript-1095")</f>
        <v>BSGatlas-transcript-1095</v>
      </c>
      <c r="B1096" s="1" t="s">
        <v>1062</v>
      </c>
      <c r="C1096" s="3">
        <v>1020001</v>
      </c>
      <c r="D1096" s="3">
        <v>1021001</v>
      </c>
      <c r="E1096" s="1" t="s">
        <v>13</v>
      </c>
      <c r="F1096" s="1">
        <v>0</v>
      </c>
      <c r="G1096" s="1" t="s">
        <v>4372</v>
      </c>
      <c r="H1096" s="1" t="s">
        <v>4372</v>
      </c>
      <c r="I1096" s="1" t="s">
        <v>4373</v>
      </c>
      <c r="J1096" s="1" t="s">
        <v>5992</v>
      </c>
      <c r="K1096" s="1" t="s">
        <v>5993</v>
      </c>
    </row>
    <row r="1097" spans="1:11" ht="21" x14ac:dyDescent="0.25">
      <c r="A1097" s="11" t="str">
        <f>HYPERLINK("https://rth.dk/resources/bsgatlas/details.php?id=BSGatlas-transcript-1096","BSGatlas-transcript-1096")</f>
        <v>BSGatlas-transcript-1096</v>
      </c>
      <c r="B1097" s="1" t="s">
        <v>1063</v>
      </c>
      <c r="C1097" s="3">
        <v>1021032</v>
      </c>
      <c r="D1097" s="3">
        <v>1022157</v>
      </c>
      <c r="E1097" s="1" t="s">
        <v>9</v>
      </c>
      <c r="F1097" s="1">
        <v>0</v>
      </c>
      <c r="G1097" s="1" t="s">
        <v>4372</v>
      </c>
      <c r="H1097" s="1" t="s">
        <v>4372</v>
      </c>
      <c r="I1097" s="1" t="s">
        <v>4382</v>
      </c>
      <c r="J1097" s="1" t="s">
        <v>5994</v>
      </c>
      <c r="K1097" s="1" t="s">
        <v>318</v>
      </c>
    </row>
    <row r="1098" spans="1:11" ht="21" x14ac:dyDescent="0.25">
      <c r="A1098" s="11" t="str">
        <f>HYPERLINK("https://rth.dk/resources/bsgatlas/details.php?id=BSGatlas-transcript-1097","BSGatlas-transcript-1097")</f>
        <v>BSGatlas-transcript-1097</v>
      </c>
      <c r="B1098" s="1" t="s">
        <v>5995</v>
      </c>
      <c r="C1098" s="3">
        <v>1021032</v>
      </c>
      <c r="D1098" s="3">
        <v>1023142</v>
      </c>
      <c r="E1098" s="1" t="s">
        <v>9</v>
      </c>
      <c r="F1098" s="1">
        <v>1</v>
      </c>
      <c r="G1098" s="1">
        <v>26</v>
      </c>
      <c r="H1098" s="1">
        <v>43</v>
      </c>
      <c r="I1098" s="1" t="s">
        <v>4386</v>
      </c>
      <c r="J1098" s="1" t="s">
        <v>5994</v>
      </c>
      <c r="K1098" s="1" t="s">
        <v>5996</v>
      </c>
    </row>
    <row r="1099" spans="1:11" ht="21" x14ac:dyDescent="0.25">
      <c r="A1099" s="11" t="str">
        <f>HYPERLINK("https://rth.dk/resources/bsgatlas/details.php?id=BSGatlas-transcript-1098","BSGatlas-transcript-1098")</f>
        <v>BSGatlas-transcript-1098</v>
      </c>
      <c r="B1099" s="1" t="s">
        <v>1064</v>
      </c>
      <c r="C1099" s="3">
        <v>1022203</v>
      </c>
      <c r="D1099" s="3">
        <v>1023142</v>
      </c>
      <c r="E1099" s="1" t="s">
        <v>9</v>
      </c>
      <c r="F1099" s="1">
        <v>0</v>
      </c>
      <c r="G1099" s="1" t="s">
        <v>4372</v>
      </c>
      <c r="H1099" s="1" t="s">
        <v>4372</v>
      </c>
      <c r="I1099" s="1" t="s">
        <v>4373</v>
      </c>
      <c r="J1099" s="1" t="s">
        <v>5997</v>
      </c>
      <c r="K1099" s="1" t="s">
        <v>5996</v>
      </c>
    </row>
    <row r="1100" spans="1:11" ht="21" x14ac:dyDescent="0.25">
      <c r="A1100" s="11" t="str">
        <f>HYPERLINK("https://rth.dk/resources/bsgatlas/details.php?id=BSGatlas-transcript-1099","BSGatlas-transcript-1099")</f>
        <v>BSGatlas-transcript-1099</v>
      </c>
      <c r="B1100" s="1" t="s">
        <v>1065</v>
      </c>
      <c r="C1100" s="3">
        <v>1023200</v>
      </c>
      <c r="D1100" s="3">
        <v>1024747</v>
      </c>
      <c r="E1100" s="1" t="s">
        <v>9</v>
      </c>
      <c r="F1100" s="1">
        <v>0</v>
      </c>
      <c r="G1100" s="1" t="s">
        <v>4372</v>
      </c>
      <c r="H1100" s="1" t="s">
        <v>4372</v>
      </c>
      <c r="I1100" s="1" t="s">
        <v>4373</v>
      </c>
      <c r="J1100" s="1" t="s">
        <v>5998</v>
      </c>
      <c r="K1100" s="1" t="s">
        <v>5999</v>
      </c>
    </row>
    <row r="1101" spans="1:11" ht="21" x14ac:dyDescent="0.25">
      <c r="A1101" s="11" t="str">
        <f>HYPERLINK("https://rth.dk/resources/bsgatlas/details.php?id=BSGatlas-transcript-1100","BSGatlas-transcript-1100")</f>
        <v>BSGatlas-transcript-1100</v>
      </c>
      <c r="B1101" s="1" t="s">
        <v>1065</v>
      </c>
      <c r="C1101" s="3">
        <v>1023200</v>
      </c>
      <c r="D1101" s="3">
        <v>1024798</v>
      </c>
      <c r="E1101" s="1" t="s">
        <v>9</v>
      </c>
      <c r="F1101" s="1">
        <v>0</v>
      </c>
      <c r="G1101" s="1" t="s">
        <v>4372</v>
      </c>
      <c r="H1101" s="1" t="s">
        <v>4372</v>
      </c>
      <c r="I1101" s="1" t="s">
        <v>4373</v>
      </c>
      <c r="J1101" s="1" t="s">
        <v>5998</v>
      </c>
      <c r="K1101" s="1" t="s">
        <v>6000</v>
      </c>
    </row>
    <row r="1102" spans="1:11" ht="21" x14ac:dyDescent="0.25">
      <c r="A1102" s="11" t="str">
        <f>HYPERLINK("https://rth.dk/resources/bsgatlas/details.php?id=BSGatlas-transcript-1101","BSGatlas-transcript-1101")</f>
        <v>BSGatlas-transcript-1101</v>
      </c>
      <c r="B1102" s="1" t="s">
        <v>1065</v>
      </c>
      <c r="C1102" s="3">
        <v>1023253</v>
      </c>
      <c r="D1102" s="3">
        <v>1024747</v>
      </c>
      <c r="E1102" s="1" t="s">
        <v>9</v>
      </c>
      <c r="F1102" s="1">
        <v>0</v>
      </c>
      <c r="G1102" s="1" t="s">
        <v>4372</v>
      </c>
      <c r="H1102" s="1" t="s">
        <v>4372</v>
      </c>
      <c r="I1102" s="1" t="s">
        <v>4373</v>
      </c>
      <c r="J1102" s="1" t="s">
        <v>6001</v>
      </c>
      <c r="K1102" s="1" t="s">
        <v>5999</v>
      </c>
    </row>
    <row r="1103" spans="1:11" ht="21" x14ac:dyDescent="0.25">
      <c r="A1103" s="11" t="str">
        <f>HYPERLINK("https://rth.dk/resources/bsgatlas/details.php?id=BSGatlas-transcript-1102","BSGatlas-transcript-1102")</f>
        <v>BSGatlas-transcript-1102</v>
      </c>
      <c r="B1103" s="1" t="s">
        <v>1065</v>
      </c>
      <c r="C1103" s="3">
        <v>1023253</v>
      </c>
      <c r="D1103" s="3">
        <v>1024798</v>
      </c>
      <c r="E1103" s="1" t="s">
        <v>9</v>
      </c>
      <c r="F1103" s="1">
        <v>0</v>
      </c>
      <c r="G1103" s="1" t="s">
        <v>4372</v>
      </c>
      <c r="H1103" s="1" t="s">
        <v>4372</v>
      </c>
      <c r="I1103" s="1" t="s">
        <v>4373</v>
      </c>
      <c r="J1103" s="1" t="s">
        <v>6001</v>
      </c>
      <c r="K1103" s="1" t="s">
        <v>6000</v>
      </c>
    </row>
    <row r="1104" spans="1:11" ht="21" x14ac:dyDescent="0.25">
      <c r="A1104" s="11" t="str">
        <f>HYPERLINK("https://rth.dk/resources/bsgatlas/details.php?id=BSGatlas-transcript-1103","BSGatlas-transcript-1103")</f>
        <v>BSGatlas-transcript-1103</v>
      </c>
      <c r="B1104" s="1" t="s">
        <v>1066</v>
      </c>
      <c r="C1104" s="3">
        <v>1024835</v>
      </c>
      <c r="D1104" s="3">
        <v>1026220</v>
      </c>
      <c r="E1104" s="1" t="s">
        <v>9</v>
      </c>
      <c r="F1104" s="1">
        <v>0</v>
      </c>
      <c r="G1104" s="1" t="s">
        <v>4372</v>
      </c>
      <c r="H1104" s="1" t="s">
        <v>4372</v>
      </c>
      <c r="I1104" s="1" t="s">
        <v>4386</v>
      </c>
      <c r="J1104" s="1" t="s">
        <v>6002</v>
      </c>
      <c r="K1104" s="1" t="s">
        <v>6003</v>
      </c>
    </row>
    <row r="1105" spans="1:11" ht="21" x14ac:dyDescent="0.25">
      <c r="A1105" s="11" t="str">
        <f>HYPERLINK("https://rth.dk/resources/bsgatlas/details.php?id=BSGatlas-transcript-1104","BSGatlas-transcript-1104")</f>
        <v>BSGatlas-transcript-1104</v>
      </c>
      <c r="B1105" s="1" t="s">
        <v>1067</v>
      </c>
      <c r="C1105" s="3">
        <v>1026255</v>
      </c>
      <c r="D1105" s="3">
        <v>1027747</v>
      </c>
      <c r="E1105" s="1" t="s">
        <v>13</v>
      </c>
      <c r="F1105" s="1">
        <v>0</v>
      </c>
      <c r="G1105" s="1" t="s">
        <v>4372</v>
      </c>
      <c r="H1105" s="1" t="s">
        <v>4372</v>
      </c>
      <c r="I1105" s="1" t="s">
        <v>4397</v>
      </c>
      <c r="J1105" s="1" t="s">
        <v>6004</v>
      </c>
      <c r="K1105" s="1" t="s">
        <v>318</v>
      </c>
    </row>
    <row r="1106" spans="1:11" ht="21" x14ac:dyDescent="0.25">
      <c r="A1106" s="11" t="str">
        <f>HYPERLINK("https://rth.dk/resources/bsgatlas/details.php?id=BSGatlas-transcript-1105","BSGatlas-transcript-1105")</f>
        <v>BSGatlas-transcript-1105</v>
      </c>
      <c r="B1106" s="1" t="s">
        <v>1068</v>
      </c>
      <c r="C1106" s="3">
        <v>1027733</v>
      </c>
      <c r="D1106" s="3">
        <v>1028202</v>
      </c>
      <c r="E1106" s="1" t="s">
        <v>9</v>
      </c>
      <c r="F1106" s="1">
        <v>0</v>
      </c>
      <c r="G1106" s="1" t="s">
        <v>4372</v>
      </c>
      <c r="H1106" s="1" t="s">
        <v>4372</v>
      </c>
      <c r="I1106" s="1" t="s">
        <v>4373</v>
      </c>
      <c r="J1106" s="1" t="s">
        <v>6005</v>
      </c>
      <c r="K1106" s="1" t="s">
        <v>6006</v>
      </c>
    </row>
    <row r="1107" spans="1:11" ht="21" x14ac:dyDescent="0.25">
      <c r="A1107" s="11" t="str">
        <f>HYPERLINK("https://rth.dk/resources/bsgatlas/details.php?id=BSGatlas-transcript-1106","BSGatlas-transcript-1106")</f>
        <v>BSGatlas-transcript-1106</v>
      </c>
      <c r="B1107" s="1" t="s">
        <v>1068</v>
      </c>
      <c r="C1107" s="3">
        <v>1027733</v>
      </c>
      <c r="D1107" s="3">
        <v>1028243</v>
      </c>
      <c r="E1107" s="1" t="s">
        <v>9</v>
      </c>
      <c r="F1107" s="1">
        <v>0</v>
      </c>
      <c r="G1107" s="1" t="s">
        <v>4372</v>
      </c>
      <c r="H1107" s="1" t="s">
        <v>4372</v>
      </c>
      <c r="I1107" s="1" t="s">
        <v>4373</v>
      </c>
      <c r="J1107" s="1" t="s">
        <v>6005</v>
      </c>
      <c r="K1107" s="1" t="s">
        <v>6007</v>
      </c>
    </row>
    <row r="1108" spans="1:11" ht="21" x14ac:dyDescent="0.25">
      <c r="A1108" s="11" t="str">
        <f>HYPERLINK("https://rth.dk/resources/bsgatlas/details.php?id=BSGatlas-transcript-1107","BSGatlas-transcript-1107")</f>
        <v>BSGatlas-transcript-1107</v>
      </c>
      <c r="B1108" s="1" t="s">
        <v>6008</v>
      </c>
      <c r="C1108" s="3">
        <v>1028196</v>
      </c>
      <c r="D1108" s="3">
        <v>1030086</v>
      </c>
      <c r="E1108" s="1" t="s">
        <v>13</v>
      </c>
      <c r="F1108" s="1">
        <v>0</v>
      </c>
      <c r="G1108" s="1" t="s">
        <v>4372</v>
      </c>
      <c r="H1108" s="1" t="s">
        <v>4372</v>
      </c>
      <c r="I1108" s="1" t="s">
        <v>4373</v>
      </c>
      <c r="J1108" s="1" t="s">
        <v>6009</v>
      </c>
      <c r="K1108" s="1" t="s">
        <v>6010</v>
      </c>
    </row>
    <row r="1109" spans="1:11" ht="21" x14ac:dyDescent="0.25">
      <c r="A1109" s="11" t="str">
        <f>HYPERLINK("https://rth.dk/resources/bsgatlas/details.php?id=BSGatlas-transcript-1108","BSGatlas-transcript-1108")</f>
        <v>BSGatlas-transcript-1108</v>
      </c>
      <c r="B1109" s="1" t="s">
        <v>6008</v>
      </c>
      <c r="C1109" s="3">
        <v>1028196</v>
      </c>
      <c r="D1109" s="3">
        <v>1030162</v>
      </c>
      <c r="E1109" s="1" t="s">
        <v>13</v>
      </c>
      <c r="F1109" s="1">
        <v>0</v>
      </c>
      <c r="G1109" s="1" t="s">
        <v>4372</v>
      </c>
      <c r="H1109" s="1" t="s">
        <v>4372</v>
      </c>
      <c r="I1109" s="1" t="s">
        <v>4373</v>
      </c>
      <c r="J1109" s="1" t="s">
        <v>6011</v>
      </c>
      <c r="K1109" s="1" t="s">
        <v>6010</v>
      </c>
    </row>
    <row r="1110" spans="1:11" ht="21" x14ac:dyDescent="0.25">
      <c r="A1110" s="11" t="str">
        <f>HYPERLINK("https://rth.dk/resources/bsgatlas/details.php?id=BSGatlas-transcript-1109","BSGatlas-transcript-1109")</f>
        <v>BSGatlas-transcript-1109</v>
      </c>
      <c r="B1110" s="1" t="s">
        <v>6008</v>
      </c>
      <c r="C1110" s="3">
        <v>1028233</v>
      </c>
      <c r="D1110" s="3">
        <v>1030086</v>
      </c>
      <c r="E1110" s="1" t="s">
        <v>13</v>
      </c>
      <c r="F1110" s="1">
        <v>0</v>
      </c>
      <c r="G1110" s="1" t="s">
        <v>4372</v>
      </c>
      <c r="H1110" s="1" t="s">
        <v>4372</v>
      </c>
      <c r="I1110" s="1" t="s">
        <v>4373</v>
      </c>
      <c r="J1110" s="1" t="s">
        <v>6009</v>
      </c>
      <c r="K1110" s="1" t="s">
        <v>6012</v>
      </c>
    </row>
    <row r="1111" spans="1:11" ht="21" x14ac:dyDescent="0.25">
      <c r="A1111" s="11" t="str">
        <f>HYPERLINK("https://rth.dk/resources/bsgatlas/details.php?id=BSGatlas-transcript-1110","BSGatlas-transcript-1110")</f>
        <v>BSGatlas-transcript-1110</v>
      </c>
      <c r="B1111" s="1" t="s">
        <v>6008</v>
      </c>
      <c r="C1111" s="3">
        <v>1028233</v>
      </c>
      <c r="D1111" s="3">
        <v>1030162</v>
      </c>
      <c r="E1111" s="1" t="s">
        <v>13</v>
      </c>
      <c r="F1111" s="1">
        <v>0</v>
      </c>
      <c r="G1111" s="1" t="s">
        <v>4372</v>
      </c>
      <c r="H1111" s="1" t="s">
        <v>4372</v>
      </c>
      <c r="I1111" s="1" t="s">
        <v>4373</v>
      </c>
      <c r="J1111" s="1" t="s">
        <v>6011</v>
      </c>
      <c r="K1111" s="1" t="s">
        <v>6012</v>
      </c>
    </row>
    <row r="1112" spans="1:11" ht="21" x14ac:dyDescent="0.25">
      <c r="A1112" s="11" t="str">
        <f>HYPERLINK("https://rth.dk/resources/bsgatlas/details.php?id=BSGatlas-transcript-1111","BSGatlas-transcript-1111")</f>
        <v>BSGatlas-transcript-1111</v>
      </c>
      <c r="B1112" s="1" t="s">
        <v>1072</v>
      </c>
      <c r="C1112" s="3">
        <v>1030226</v>
      </c>
      <c r="D1112" s="3">
        <v>1031300</v>
      </c>
      <c r="E1112" s="1" t="s">
        <v>9</v>
      </c>
      <c r="F1112" s="1">
        <v>0</v>
      </c>
      <c r="G1112" s="1" t="s">
        <v>4372</v>
      </c>
      <c r="H1112" s="1" t="s">
        <v>4372</v>
      </c>
      <c r="I1112" s="1" t="s">
        <v>4377</v>
      </c>
      <c r="J1112" s="1" t="s">
        <v>6013</v>
      </c>
      <c r="K1112" s="1" t="s">
        <v>6014</v>
      </c>
    </row>
    <row r="1113" spans="1:11" ht="21" x14ac:dyDescent="0.25">
      <c r="A1113" s="11" t="str">
        <f>HYPERLINK("https://rth.dk/resources/bsgatlas/details.php?id=BSGatlas-transcript-1112","BSGatlas-transcript-1112")</f>
        <v>BSGatlas-transcript-1112</v>
      </c>
      <c r="B1113" s="1" t="s">
        <v>6015</v>
      </c>
      <c r="C1113" s="3">
        <v>1030226</v>
      </c>
      <c r="D1113" s="3">
        <v>1032031</v>
      </c>
      <c r="E1113" s="1" t="s">
        <v>9</v>
      </c>
      <c r="F1113" s="1">
        <v>1</v>
      </c>
      <c r="G1113" s="1">
        <v>40</v>
      </c>
      <c r="H1113" s="1">
        <v>38</v>
      </c>
      <c r="I1113" s="1" t="s">
        <v>4373</v>
      </c>
      <c r="J1113" s="1" t="s">
        <v>6013</v>
      </c>
      <c r="K1113" s="1" t="s">
        <v>6016</v>
      </c>
    </row>
    <row r="1114" spans="1:11" ht="21" x14ac:dyDescent="0.25">
      <c r="A1114" s="11" t="str">
        <f>HYPERLINK("https://rth.dk/resources/bsgatlas/details.php?id=BSGatlas-transcript-1113","BSGatlas-transcript-1113")</f>
        <v>BSGatlas-transcript-1113</v>
      </c>
      <c r="B1114" s="1" t="s">
        <v>6015</v>
      </c>
      <c r="C1114" s="3">
        <v>1030226</v>
      </c>
      <c r="D1114" s="3">
        <v>1032069</v>
      </c>
      <c r="E1114" s="1" t="s">
        <v>9</v>
      </c>
      <c r="F1114" s="1">
        <v>1</v>
      </c>
      <c r="G1114" s="1">
        <v>40</v>
      </c>
      <c r="H1114" s="1">
        <v>76</v>
      </c>
      <c r="I1114" s="1" t="s">
        <v>4373</v>
      </c>
      <c r="J1114" s="1" t="s">
        <v>6013</v>
      </c>
      <c r="K1114" s="1" t="s">
        <v>6017</v>
      </c>
    </row>
    <row r="1115" spans="1:11" ht="21" x14ac:dyDescent="0.25">
      <c r="A1115" s="11" t="str">
        <f>HYPERLINK("https://rth.dk/resources/bsgatlas/details.php?id=BSGatlas-transcript-1114","BSGatlas-transcript-1114")</f>
        <v>BSGatlas-transcript-1114</v>
      </c>
      <c r="B1115" s="1" t="s">
        <v>6018</v>
      </c>
      <c r="C1115" s="3">
        <v>1030237</v>
      </c>
      <c r="D1115" s="3">
        <v>1033911</v>
      </c>
      <c r="E1115" s="1" t="s">
        <v>13</v>
      </c>
      <c r="F1115" s="1">
        <v>1</v>
      </c>
      <c r="G1115" s="1">
        <v>23</v>
      </c>
      <c r="H1115" s="1">
        <v>1827</v>
      </c>
      <c r="I1115" s="1" t="s">
        <v>4386</v>
      </c>
      <c r="J1115" s="1" t="s">
        <v>6019</v>
      </c>
      <c r="K1115" s="1" t="s">
        <v>6020</v>
      </c>
    </row>
    <row r="1116" spans="1:11" ht="21" x14ac:dyDescent="0.25">
      <c r="A1116" s="11" t="str">
        <f>HYPERLINK("https://rth.dk/resources/bsgatlas/details.php?id=BSGatlas-transcript-1115","BSGatlas-transcript-1115")</f>
        <v>BSGatlas-transcript-1115</v>
      </c>
      <c r="B1116" s="1" t="s">
        <v>6018</v>
      </c>
      <c r="C1116" s="3">
        <v>1030237</v>
      </c>
      <c r="D1116" s="3">
        <v>1033977</v>
      </c>
      <c r="E1116" s="1" t="s">
        <v>13</v>
      </c>
      <c r="F1116" s="1">
        <v>1</v>
      </c>
      <c r="G1116" s="1">
        <v>89</v>
      </c>
      <c r="H1116" s="1">
        <v>1827</v>
      </c>
      <c r="I1116" s="1" t="s">
        <v>4386</v>
      </c>
      <c r="J1116" s="1" t="s">
        <v>6021</v>
      </c>
      <c r="K1116" s="1" t="s">
        <v>6020</v>
      </c>
    </row>
    <row r="1117" spans="1:11" ht="21" x14ac:dyDescent="0.25">
      <c r="A1117" s="11" t="str">
        <f>HYPERLINK("https://rth.dk/resources/bsgatlas/details.php?id=BSGatlas-transcript-1116","BSGatlas-transcript-1116")</f>
        <v>BSGatlas-transcript-1116</v>
      </c>
      <c r="B1117" s="1" t="s">
        <v>1073</v>
      </c>
      <c r="C1117" s="3">
        <v>1031345</v>
      </c>
      <c r="D1117" s="3">
        <v>1032031</v>
      </c>
      <c r="E1117" s="1" t="s">
        <v>9</v>
      </c>
      <c r="F1117" s="1">
        <v>0</v>
      </c>
      <c r="G1117" s="1" t="s">
        <v>4372</v>
      </c>
      <c r="H1117" s="1" t="s">
        <v>4372</v>
      </c>
      <c r="I1117" s="1" t="s">
        <v>4377</v>
      </c>
      <c r="J1117" s="1" t="s">
        <v>6022</v>
      </c>
      <c r="K1117" s="1" t="s">
        <v>6016</v>
      </c>
    </row>
    <row r="1118" spans="1:11" ht="21" x14ac:dyDescent="0.25">
      <c r="A1118" s="11" t="str">
        <f>HYPERLINK("https://rth.dk/resources/bsgatlas/details.php?id=BSGatlas-transcript-1117","BSGatlas-transcript-1117")</f>
        <v>BSGatlas-transcript-1117</v>
      </c>
      <c r="B1118" s="1" t="s">
        <v>1073</v>
      </c>
      <c r="C1118" s="3">
        <v>1031345</v>
      </c>
      <c r="D1118" s="3">
        <v>1032069</v>
      </c>
      <c r="E1118" s="1" t="s">
        <v>9</v>
      </c>
      <c r="F1118" s="1">
        <v>0</v>
      </c>
      <c r="G1118" s="1" t="s">
        <v>4372</v>
      </c>
      <c r="H1118" s="1" t="s">
        <v>4372</v>
      </c>
      <c r="I1118" s="1" t="s">
        <v>4377</v>
      </c>
      <c r="J1118" s="1" t="s">
        <v>6022</v>
      </c>
      <c r="K1118" s="1" t="s">
        <v>6017</v>
      </c>
    </row>
    <row r="1119" spans="1:11" ht="21" x14ac:dyDescent="0.25">
      <c r="A1119" s="11" t="str">
        <f>HYPERLINK("https://rth.dk/resources/bsgatlas/details.php?id=BSGatlas-transcript-1118","BSGatlas-transcript-1118")</f>
        <v>BSGatlas-transcript-1118</v>
      </c>
      <c r="B1119" s="1" t="s">
        <v>6018</v>
      </c>
      <c r="C1119" s="3">
        <v>1032063</v>
      </c>
      <c r="D1119" s="3">
        <v>1033911</v>
      </c>
      <c r="E1119" s="1" t="s">
        <v>13</v>
      </c>
      <c r="F1119" s="1">
        <v>1</v>
      </c>
      <c r="G1119" s="1">
        <v>23</v>
      </c>
      <c r="H1119" s="1" t="s">
        <v>4372</v>
      </c>
      <c r="I1119" s="1" t="s">
        <v>4386</v>
      </c>
      <c r="J1119" s="1" t="s">
        <v>6019</v>
      </c>
      <c r="K1119" s="1" t="s">
        <v>6023</v>
      </c>
    </row>
    <row r="1120" spans="1:11" ht="21" x14ac:dyDescent="0.25">
      <c r="A1120" s="11" t="str">
        <f>HYPERLINK("https://rth.dk/resources/bsgatlas/details.php?id=BSGatlas-transcript-1119","BSGatlas-transcript-1119")</f>
        <v>BSGatlas-transcript-1119</v>
      </c>
      <c r="B1120" s="1" t="s">
        <v>6018</v>
      </c>
      <c r="C1120" s="3">
        <v>1032063</v>
      </c>
      <c r="D1120" s="3">
        <v>1033977</v>
      </c>
      <c r="E1120" s="1" t="s">
        <v>13</v>
      </c>
      <c r="F1120" s="1">
        <v>1</v>
      </c>
      <c r="G1120" s="1">
        <v>89</v>
      </c>
      <c r="H1120" s="1" t="s">
        <v>4372</v>
      </c>
      <c r="I1120" s="1" t="s">
        <v>4386</v>
      </c>
      <c r="J1120" s="1" t="s">
        <v>6021</v>
      </c>
      <c r="K1120" s="1" t="s">
        <v>6023</v>
      </c>
    </row>
    <row r="1121" spans="1:11" ht="21" x14ac:dyDescent="0.25">
      <c r="A1121" s="11" t="str">
        <f>HYPERLINK("https://rth.dk/resources/bsgatlas/details.php?id=BSGatlas-transcript-1120","BSGatlas-transcript-1120")</f>
        <v>BSGatlas-transcript-1120</v>
      </c>
      <c r="B1121" s="1" t="s">
        <v>1076</v>
      </c>
      <c r="C1121" s="3">
        <v>1034010</v>
      </c>
      <c r="D1121" s="3">
        <v>1035227</v>
      </c>
      <c r="E1121" s="1" t="s">
        <v>9</v>
      </c>
      <c r="F1121" s="1">
        <v>0</v>
      </c>
      <c r="G1121" s="1" t="s">
        <v>4372</v>
      </c>
      <c r="H1121" s="1" t="s">
        <v>4372</v>
      </c>
      <c r="I1121" s="1" t="s">
        <v>4386</v>
      </c>
      <c r="J1121" s="1" t="s">
        <v>6024</v>
      </c>
      <c r="K1121" s="1" t="s">
        <v>6025</v>
      </c>
    </row>
    <row r="1122" spans="1:11" ht="21" x14ac:dyDescent="0.25">
      <c r="A1122" s="11" t="str">
        <f>HYPERLINK("https://rth.dk/resources/bsgatlas/details.php?id=BSGatlas-transcript-1121","BSGatlas-transcript-1121")</f>
        <v>BSGatlas-transcript-1121</v>
      </c>
      <c r="B1122" s="1" t="s">
        <v>1077</v>
      </c>
      <c r="C1122" s="3">
        <v>1035397</v>
      </c>
      <c r="D1122" s="3">
        <v>1036939</v>
      </c>
      <c r="E1122" s="1" t="s">
        <v>9</v>
      </c>
      <c r="F1122" s="1">
        <v>0</v>
      </c>
      <c r="G1122" s="1" t="s">
        <v>4372</v>
      </c>
      <c r="H1122" s="1" t="s">
        <v>4372</v>
      </c>
      <c r="I1122" s="1" t="s">
        <v>4386</v>
      </c>
      <c r="J1122" s="1" t="s">
        <v>6026</v>
      </c>
      <c r="K1122" s="1" t="s">
        <v>6027</v>
      </c>
    </row>
    <row r="1123" spans="1:11" ht="21" x14ac:dyDescent="0.25">
      <c r="A1123" s="11" t="str">
        <f>HYPERLINK("https://rth.dk/resources/bsgatlas/details.php?id=BSGatlas-transcript-1122","BSGatlas-transcript-1122")</f>
        <v>BSGatlas-transcript-1122</v>
      </c>
      <c r="B1123" s="1" t="s">
        <v>1077</v>
      </c>
      <c r="C1123" s="3">
        <v>1035397</v>
      </c>
      <c r="D1123" s="3">
        <v>1036939</v>
      </c>
      <c r="E1123" s="1" t="s">
        <v>9</v>
      </c>
      <c r="F1123" s="1">
        <v>0</v>
      </c>
      <c r="G1123" s="1" t="s">
        <v>4372</v>
      </c>
      <c r="H1123" s="1" t="s">
        <v>4372</v>
      </c>
      <c r="I1123" s="1" t="s">
        <v>4386</v>
      </c>
      <c r="J1123" s="1" t="s">
        <v>6026</v>
      </c>
      <c r="K1123" s="1" t="s">
        <v>6028</v>
      </c>
    </row>
    <row r="1124" spans="1:11" ht="21" x14ac:dyDescent="0.25">
      <c r="A1124" s="11" t="str">
        <f>HYPERLINK("https://rth.dk/resources/bsgatlas/details.php?id=BSGatlas-transcript-1123","BSGatlas-transcript-1123")</f>
        <v>BSGatlas-transcript-1123</v>
      </c>
      <c r="B1124" s="1" t="s">
        <v>6029</v>
      </c>
      <c r="C1124" s="3">
        <v>1036953</v>
      </c>
      <c r="D1124" s="3">
        <v>1038465</v>
      </c>
      <c r="E1124" s="1" t="s">
        <v>13</v>
      </c>
      <c r="F1124" s="1">
        <v>0</v>
      </c>
      <c r="G1124" s="1" t="s">
        <v>4372</v>
      </c>
      <c r="H1124" s="1" t="s">
        <v>4372</v>
      </c>
      <c r="I1124" s="1" t="s">
        <v>4386</v>
      </c>
      <c r="J1124" s="1" t="s">
        <v>6030</v>
      </c>
      <c r="K1124" s="1" t="s">
        <v>318</v>
      </c>
    </row>
    <row r="1125" spans="1:11" ht="21" x14ac:dyDescent="0.25">
      <c r="A1125" s="11" t="str">
        <f>HYPERLINK("https://rth.dk/resources/bsgatlas/details.php?id=BSGatlas-transcript-1124","BSGatlas-transcript-1124")</f>
        <v>BSGatlas-transcript-1124</v>
      </c>
      <c r="B1125" s="1" t="s">
        <v>1081</v>
      </c>
      <c r="C1125" s="3">
        <v>1038529</v>
      </c>
      <c r="D1125" s="3">
        <v>1038807</v>
      </c>
      <c r="E1125" s="1" t="s">
        <v>9</v>
      </c>
      <c r="F1125" s="1">
        <v>0</v>
      </c>
      <c r="G1125" s="1" t="s">
        <v>4372</v>
      </c>
      <c r="H1125" s="1" t="s">
        <v>4372</v>
      </c>
      <c r="I1125" s="1" t="s">
        <v>4386</v>
      </c>
      <c r="J1125" s="1" t="s">
        <v>6031</v>
      </c>
      <c r="K1125" s="1" t="s">
        <v>6032</v>
      </c>
    </row>
    <row r="1126" spans="1:11" ht="21" x14ac:dyDescent="0.25">
      <c r="A1126" s="11" t="str">
        <f>HYPERLINK("https://rth.dk/resources/bsgatlas/details.php?id=BSGatlas-transcript-1125","BSGatlas-transcript-1125")</f>
        <v>BSGatlas-transcript-1125</v>
      </c>
      <c r="B1126" s="1" t="s">
        <v>1081</v>
      </c>
      <c r="C1126" s="3">
        <v>1038618</v>
      </c>
      <c r="D1126" s="3">
        <v>1038807</v>
      </c>
      <c r="E1126" s="1" t="s">
        <v>9</v>
      </c>
      <c r="F1126" s="1">
        <v>0</v>
      </c>
      <c r="G1126" s="1" t="s">
        <v>4372</v>
      </c>
      <c r="H1126" s="1" t="s">
        <v>4372</v>
      </c>
      <c r="I1126" s="1" t="s">
        <v>4386</v>
      </c>
      <c r="J1126" s="1" t="s">
        <v>6033</v>
      </c>
      <c r="K1126" s="1" t="s">
        <v>6032</v>
      </c>
    </row>
    <row r="1127" spans="1:11" ht="21" x14ac:dyDescent="0.25">
      <c r="A1127" s="11" t="str">
        <f>HYPERLINK("https://rth.dk/resources/bsgatlas/details.php?id=BSGatlas-transcript-1126","BSGatlas-transcript-1126")</f>
        <v>BSGatlas-transcript-1126</v>
      </c>
      <c r="B1127" s="1" t="s">
        <v>1082</v>
      </c>
      <c r="C1127" s="3">
        <v>1038871</v>
      </c>
      <c r="D1127" s="3">
        <v>1040024</v>
      </c>
      <c r="E1127" s="1" t="s">
        <v>9</v>
      </c>
      <c r="F1127" s="1">
        <v>0</v>
      </c>
      <c r="G1127" s="1" t="s">
        <v>4372</v>
      </c>
      <c r="H1127" s="1" t="s">
        <v>4372</v>
      </c>
      <c r="I1127" s="1" t="s">
        <v>4386</v>
      </c>
      <c r="J1127" s="1" t="s">
        <v>6034</v>
      </c>
      <c r="K1127" s="1" t="s">
        <v>6035</v>
      </c>
    </row>
    <row r="1128" spans="1:11" ht="21" x14ac:dyDescent="0.25">
      <c r="A1128" s="11" t="str">
        <f>HYPERLINK("https://rth.dk/resources/bsgatlas/details.php?id=BSGatlas-transcript-1127","BSGatlas-transcript-1127")</f>
        <v>BSGatlas-transcript-1127</v>
      </c>
      <c r="B1128" s="1" t="s">
        <v>1083</v>
      </c>
      <c r="C1128" s="3">
        <v>1040061</v>
      </c>
      <c r="D1128" s="3">
        <v>1040837</v>
      </c>
      <c r="E1128" s="1" t="s">
        <v>9</v>
      </c>
      <c r="F1128" s="1">
        <v>0</v>
      </c>
      <c r="G1128" s="1" t="s">
        <v>4372</v>
      </c>
      <c r="H1128" s="1" t="s">
        <v>4372</v>
      </c>
      <c r="I1128" s="1" t="s">
        <v>4386</v>
      </c>
      <c r="J1128" s="1" t="s">
        <v>6036</v>
      </c>
      <c r="K1128" s="1" t="s">
        <v>6037</v>
      </c>
    </row>
    <row r="1129" spans="1:11" ht="21" x14ac:dyDescent="0.25">
      <c r="A1129" s="11" t="str">
        <f>HYPERLINK("https://rth.dk/resources/bsgatlas/details.php?id=BSGatlas-transcript-1128","BSGatlas-transcript-1128")</f>
        <v>BSGatlas-transcript-1128</v>
      </c>
      <c r="B1129" s="1" t="s">
        <v>1084</v>
      </c>
      <c r="C1129" s="3">
        <v>1040861</v>
      </c>
      <c r="D1129" s="3">
        <v>1041812</v>
      </c>
      <c r="E1129" s="1" t="s">
        <v>13</v>
      </c>
      <c r="F1129" s="1">
        <v>0</v>
      </c>
      <c r="G1129" s="1" t="s">
        <v>4372</v>
      </c>
      <c r="H1129" s="1" t="s">
        <v>4372</v>
      </c>
      <c r="I1129" s="1" t="s">
        <v>4397</v>
      </c>
      <c r="J1129" s="1" t="s">
        <v>6038</v>
      </c>
      <c r="K1129" s="1" t="s">
        <v>6039</v>
      </c>
    </row>
    <row r="1130" spans="1:11" ht="21" x14ac:dyDescent="0.25">
      <c r="A1130" s="11" t="str">
        <f>HYPERLINK("https://rth.dk/resources/bsgatlas/details.php?id=BSGatlas-transcript-1129","BSGatlas-transcript-1129")</f>
        <v>BSGatlas-transcript-1129</v>
      </c>
      <c r="B1130" s="1" t="s">
        <v>1085</v>
      </c>
      <c r="C1130" s="3">
        <v>1041728</v>
      </c>
      <c r="D1130" s="3">
        <v>1042842</v>
      </c>
      <c r="E1130" s="1" t="s">
        <v>9</v>
      </c>
      <c r="F1130" s="1">
        <v>0</v>
      </c>
      <c r="G1130" s="1" t="s">
        <v>4372</v>
      </c>
      <c r="H1130" s="1" t="s">
        <v>4372</v>
      </c>
      <c r="I1130" s="1" t="s">
        <v>4397</v>
      </c>
      <c r="J1130" s="1" t="s">
        <v>6040</v>
      </c>
      <c r="K1130" s="1" t="s">
        <v>6041</v>
      </c>
    </row>
    <row r="1131" spans="1:11" ht="21" x14ac:dyDescent="0.25">
      <c r="A1131" s="11" t="str">
        <f>HYPERLINK("https://rth.dk/resources/bsgatlas/details.php?id=BSGatlas-transcript-1130","BSGatlas-transcript-1130")</f>
        <v>BSGatlas-transcript-1130</v>
      </c>
      <c r="B1131" s="1" t="s">
        <v>1085</v>
      </c>
      <c r="C1131" s="3">
        <v>1041930</v>
      </c>
      <c r="D1131" s="3">
        <v>1042842</v>
      </c>
      <c r="E1131" s="1" t="s">
        <v>9</v>
      </c>
      <c r="F1131" s="1">
        <v>0</v>
      </c>
      <c r="G1131" s="1" t="s">
        <v>4372</v>
      </c>
      <c r="H1131" s="1" t="s">
        <v>4372</v>
      </c>
      <c r="I1131" s="1" t="s">
        <v>4397</v>
      </c>
      <c r="J1131" s="1" t="s">
        <v>6042</v>
      </c>
      <c r="K1131" s="1" t="s">
        <v>6041</v>
      </c>
    </row>
    <row r="1132" spans="1:11" ht="21" x14ac:dyDescent="0.25">
      <c r="A1132" s="11" t="str">
        <f>HYPERLINK("https://rth.dk/resources/bsgatlas/details.php?id=BSGatlas-transcript-1131","BSGatlas-transcript-1131")</f>
        <v>BSGatlas-transcript-1131</v>
      </c>
      <c r="B1132" s="1" t="s">
        <v>1086</v>
      </c>
      <c r="C1132" s="3">
        <v>1042885</v>
      </c>
      <c r="D1132" s="3">
        <v>1044317</v>
      </c>
      <c r="E1132" s="1" t="s">
        <v>13</v>
      </c>
      <c r="F1132" s="1">
        <v>0</v>
      </c>
      <c r="G1132" s="1" t="s">
        <v>4372</v>
      </c>
      <c r="H1132" s="1" t="s">
        <v>4372</v>
      </c>
      <c r="I1132" s="1" t="s">
        <v>4386</v>
      </c>
      <c r="J1132" s="1" t="s">
        <v>6043</v>
      </c>
      <c r="K1132" s="1" t="s">
        <v>6044</v>
      </c>
    </row>
    <row r="1133" spans="1:11" ht="21" x14ac:dyDescent="0.25">
      <c r="A1133" s="11" t="str">
        <f>HYPERLINK("https://rth.dk/resources/bsgatlas/details.php?id=BSGatlas-transcript-1132","BSGatlas-transcript-1132")</f>
        <v>BSGatlas-transcript-1132</v>
      </c>
      <c r="B1133" s="1" t="s">
        <v>1087</v>
      </c>
      <c r="C1133" s="3">
        <v>1044341</v>
      </c>
      <c r="D1133" s="3">
        <v>1044915</v>
      </c>
      <c r="E1133" s="1" t="s">
        <v>13</v>
      </c>
      <c r="F1133" s="1">
        <v>0</v>
      </c>
      <c r="G1133" s="1" t="s">
        <v>4372</v>
      </c>
      <c r="H1133" s="1" t="s">
        <v>4372</v>
      </c>
      <c r="I1133" s="1" t="s">
        <v>4373</v>
      </c>
      <c r="J1133" s="1" t="s">
        <v>6045</v>
      </c>
      <c r="K1133" s="1" t="s">
        <v>6046</v>
      </c>
    </row>
    <row r="1134" spans="1:11" ht="21" x14ac:dyDescent="0.25">
      <c r="A1134" s="11" t="str">
        <f>HYPERLINK("https://rth.dk/resources/bsgatlas/details.php?id=BSGatlas-transcript-1133","BSGatlas-transcript-1133")</f>
        <v>BSGatlas-transcript-1133</v>
      </c>
      <c r="B1134" s="1" t="s">
        <v>1087</v>
      </c>
      <c r="C1134" s="3">
        <v>1044373</v>
      </c>
      <c r="D1134" s="3">
        <v>1044915</v>
      </c>
      <c r="E1134" s="1" t="s">
        <v>13</v>
      </c>
      <c r="F1134" s="1">
        <v>0</v>
      </c>
      <c r="G1134" s="1" t="s">
        <v>4372</v>
      </c>
      <c r="H1134" s="1" t="s">
        <v>4372</v>
      </c>
      <c r="I1134" s="1" t="s">
        <v>4373</v>
      </c>
      <c r="J1134" s="1" t="s">
        <v>6045</v>
      </c>
      <c r="K1134" s="1" t="s">
        <v>6047</v>
      </c>
    </row>
    <row r="1135" spans="1:11" ht="21" x14ac:dyDescent="0.25">
      <c r="A1135" s="11" t="str">
        <f>HYPERLINK("https://rth.dk/resources/bsgatlas/details.php?id=BSGatlas-transcript-1134","BSGatlas-transcript-1134")</f>
        <v>BSGatlas-transcript-1134</v>
      </c>
      <c r="B1135" s="1" t="s">
        <v>6048</v>
      </c>
      <c r="C1135" s="3">
        <v>1044968</v>
      </c>
      <c r="D1135" s="3">
        <v>1049093</v>
      </c>
      <c r="E1135" s="1" t="s">
        <v>9</v>
      </c>
      <c r="F1135" s="1">
        <v>1</v>
      </c>
      <c r="G1135" s="1">
        <v>70</v>
      </c>
      <c r="H1135" s="1" t="s">
        <v>4372</v>
      </c>
      <c r="I1135" s="1" t="s">
        <v>4386</v>
      </c>
      <c r="J1135" s="1" t="s">
        <v>6049</v>
      </c>
      <c r="K1135" s="1" t="s">
        <v>6050</v>
      </c>
    </row>
    <row r="1136" spans="1:11" ht="21" x14ac:dyDescent="0.25">
      <c r="A1136" s="11" t="str">
        <f>HYPERLINK("https://rth.dk/resources/bsgatlas/details.php?id=BSGatlas-transcript-1135","BSGatlas-transcript-1135")</f>
        <v>BSGatlas-transcript-1135</v>
      </c>
      <c r="B1136" s="1" t="s">
        <v>6048</v>
      </c>
      <c r="C1136" s="3">
        <v>1044968</v>
      </c>
      <c r="D1136" s="3">
        <v>1050027</v>
      </c>
      <c r="E1136" s="1" t="s">
        <v>9</v>
      </c>
      <c r="F1136" s="1">
        <v>1</v>
      </c>
      <c r="G1136" s="1">
        <v>70</v>
      </c>
      <c r="H1136" s="1">
        <v>935</v>
      </c>
      <c r="I1136" s="1" t="s">
        <v>4386</v>
      </c>
      <c r="J1136" s="1" t="s">
        <v>6049</v>
      </c>
      <c r="K1136" s="1" t="s">
        <v>6051</v>
      </c>
    </row>
    <row r="1137" spans="1:11" ht="21" x14ac:dyDescent="0.25">
      <c r="A1137" s="11" t="str">
        <f>HYPERLINK("https://rth.dk/resources/bsgatlas/details.php?id=BSGatlas-transcript-1136","BSGatlas-transcript-1136")</f>
        <v>BSGatlas-transcript-1136</v>
      </c>
      <c r="B1137" s="1" t="s">
        <v>1091</v>
      </c>
      <c r="C1137" s="3">
        <v>1044986</v>
      </c>
      <c r="D1137" s="3">
        <v>1045185</v>
      </c>
      <c r="E1137" s="1" t="s">
        <v>9</v>
      </c>
      <c r="F1137" s="1">
        <v>0</v>
      </c>
      <c r="G1137" s="1" t="s">
        <v>4372</v>
      </c>
      <c r="H1137" s="1" t="s">
        <v>4372</v>
      </c>
      <c r="I1137" s="1" t="s">
        <v>4377</v>
      </c>
      <c r="J1137" s="1" t="s">
        <v>318</v>
      </c>
      <c r="K1137" s="1" t="s">
        <v>6052</v>
      </c>
    </row>
    <row r="1138" spans="1:11" ht="21" x14ac:dyDescent="0.25">
      <c r="A1138" s="11" t="str">
        <f>HYPERLINK("https://rth.dk/resources/bsgatlas/details.php?id=BSGatlas-transcript-1137","BSGatlas-transcript-1137")</f>
        <v>BSGatlas-transcript-1137</v>
      </c>
      <c r="B1138" s="1" t="s">
        <v>6053</v>
      </c>
      <c r="C1138" s="3">
        <v>1045318</v>
      </c>
      <c r="D1138" s="3">
        <v>1049093</v>
      </c>
      <c r="E1138" s="1" t="s">
        <v>9</v>
      </c>
      <c r="F1138" s="1">
        <v>0</v>
      </c>
      <c r="G1138" s="1" t="s">
        <v>4372</v>
      </c>
      <c r="H1138" s="1" t="s">
        <v>4372</v>
      </c>
      <c r="I1138" s="1" t="s">
        <v>4547</v>
      </c>
      <c r="J1138" s="1" t="s">
        <v>318</v>
      </c>
      <c r="K1138" s="1" t="s">
        <v>6050</v>
      </c>
    </row>
    <row r="1139" spans="1:11" ht="21" x14ac:dyDescent="0.25">
      <c r="A1139" s="11" t="str">
        <f>HYPERLINK("https://rth.dk/resources/bsgatlas/details.php?id=BSGatlas-transcript-1138","BSGatlas-transcript-1138")</f>
        <v>BSGatlas-transcript-1138</v>
      </c>
      <c r="B1139" s="1" t="s">
        <v>6053</v>
      </c>
      <c r="C1139" s="3">
        <v>1045318</v>
      </c>
      <c r="D1139" s="3">
        <v>1050027</v>
      </c>
      <c r="E1139" s="1" t="s">
        <v>9</v>
      </c>
      <c r="F1139" s="1">
        <v>0</v>
      </c>
      <c r="G1139" s="1" t="s">
        <v>4372</v>
      </c>
      <c r="H1139" s="1" t="s">
        <v>4372</v>
      </c>
      <c r="I1139" s="1" t="s">
        <v>4547</v>
      </c>
      <c r="J1139" s="1" t="s">
        <v>318</v>
      </c>
      <c r="K1139" s="1" t="s">
        <v>6051</v>
      </c>
    </row>
    <row r="1140" spans="1:11" ht="21" x14ac:dyDescent="0.25">
      <c r="A1140" s="11" t="str">
        <f>HYPERLINK("https://rth.dk/resources/bsgatlas/details.php?id=BSGatlas-transcript-1139","BSGatlas-transcript-1139")</f>
        <v>BSGatlas-transcript-1139</v>
      </c>
      <c r="B1140" s="1" t="s">
        <v>1092</v>
      </c>
      <c r="C1140" s="3">
        <v>1049142</v>
      </c>
      <c r="D1140" s="3">
        <v>1049791</v>
      </c>
      <c r="E1140" s="1" t="s">
        <v>13</v>
      </c>
      <c r="F1140" s="1">
        <v>0</v>
      </c>
      <c r="G1140" s="1" t="s">
        <v>4372</v>
      </c>
      <c r="H1140" s="1" t="s">
        <v>4372</v>
      </c>
      <c r="I1140" s="1" t="s">
        <v>4386</v>
      </c>
      <c r="J1140" s="1" t="s">
        <v>6054</v>
      </c>
      <c r="K1140" s="1" t="s">
        <v>6055</v>
      </c>
    </row>
    <row r="1141" spans="1:11" ht="21" x14ac:dyDescent="0.25">
      <c r="A1141" s="11" t="str">
        <f>HYPERLINK("https://rth.dk/resources/bsgatlas/details.php?id=BSGatlas-transcript-1140","BSGatlas-transcript-1140")</f>
        <v>BSGatlas-transcript-1140</v>
      </c>
      <c r="B1141" s="1" t="s">
        <v>6056</v>
      </c>
      <c r="C1141" s="3">
        <v>1049142</v>
      </c>
      <c r="D1141" s="3">
        <v>1049949</v>
      </c>
      <c r="E1141" s="1" t="s">
        <v>13</v>
      </c>
      <c r="F1141" s="1">
        <v>1</v>
      </c>
      <c r="G1141" s="1">
        <v>24</v>
      </c>
      <c r="H1141" s="1" t="s">
        <v>4372</v>
      </c>
      <c r="I1141" s="1" t="s">
        <v>4386</v>
      </c>
      <c r="J1141" s="1" t="s">
        <v>6057</v>
      </c>
      <c r="K1141" s="1" t="s">
        <v>6055</v>
      </c>
    </row>
    <row r="1142" spans="1:11" ht="21" x14ac:dyDescent="0.25">
      <c r="A1142" s="11" t="str">
        <f>HYPERLINK("https://rth.dk/resources/bsgatlas/details.php?id=BSGatlas-transcript-1141","BSGatlas-transcript-1141")</f>
        <v>BSGatlas-transcript-1141</v>
      </c>
      <c r="B1142" s="1" t="s">
        <v>1094</v>
      </c>
      <c r="C1142" s="3">
        <v>1049973</v>
      </c>
      <c r="D1142" s="3">
        <v>1050350</v>
      </c>
      <c r="E1142" s="1" t="s">
        <v>13</v>
      </c>
      <c r="F1142" s="1">
        <v>0</v>
      </c>
      <c r="G1142" s="1" t="s">
        <v>4372</v>
      </c>
      <c r="H1142" s="1" t="s">
        <v>4372</v>
      </c>
      <c r="I1142" s="1" t="s">
        <v>4373</v>
      </c>
      <c r="J1142" s="1" t="s">
        <v>6058</v>
      </c>
      <c r="K1142" s="1" t="s">
        <v>6059</v>
      </c>
    </row>
    <row r="1143" spans="1:11" ht="21" x14ac:dyDescent="0.25">
      <c r="A1143" s="11" t="str">
        <f>HYPERLINK("https://rth.dk/resources/bsgatlas/details.php?id=BSGatlas-transcript-1142","BSGatlas-transcript-1142")</f>
        <v>BSGatlas-transcript-1142</v>
      </c>
      <c r="B1143" s="1" t="s">
        <v>1095</v>
      </c>
      <c r="C1143" s="3">
        <v>1050443</v>
      </c>
      <c r="D1143" s="3">
        <v>1050719</v>
      </c>
      <c r="E1143" s="1" t="s">
        <v>13</v>
      </c>
      <c r="F1143" s="1">
        <v>0</v>
      </c>
      <c r="G1143" s="1" t="s">
        <v>4372</v>
      </c>
      <c r="H1143" s="1" t="s">
        <v>4372</v>
      </c>
      <c r="I1143" s="1" t="s">
        <v>4386</v>
      </c>
      <c r="J1143" s="1" t="s">
        <v>6060</v>
      </c>
      <c r="K1143" s="1" t="s">
        <v>6061</v>
      </c>
    </row>
    <row r="1144" spans="1:11" ht="21" x14ac:dyDescent="0.25">
      <c r="A1144" s="11" t="str">
        <f>HYPERLINK("https://rth.dk/resources/bsgatlas/details.php?id=BSGatlas-transcript-1143","BSGatlas-transcript-1143")</f>
        <v>BSGatlas-transcript-1143</v>
      </c>
      <c r="B1144" s="1" t="s">
        <v>1096</v>
      </c>
      <c r="C1144" s="3">
        <v>1050769</v>
      </c>
      <c r="D1144" s="3">
        <v>1052589</v>
      </c>
      <c r="E1144" s="1" t="s">
        <v>13</v>
      </c>
      <c r="F1144" s="1">
        <v>0</v>
      </c>
      <c r="G1144" s="1" t="s">
        <v>4372</v>
      </c>
      <c r="H1144" s="1" t="s">
        <v>4372</v>
      </c>
      <c r="I1144" s="1" t="s">
        <v>4377</v>
      </c>
      <c r="J1144" s="1" t="s">
        <v>6062</v>
      </c>
      <c r="K1144" s="1" t="s">
        <v>6063</v>
      </c>
    </row>
    <row r="1145" spans="1:11" ht="21" x14ac:dyDescent="0.25">
      <c r="A1145" s="11" t="str">
        <f>HYPERLINK("https://rth.dk/resources/bsgatlas/details.php?id=BSGatlas-transcript-1144","BSGatlas-transcript-1144")</f>
        <v>BSGatlas-transcript-1144</v>
      </c>
      <c r="B1145" s="1" t="s">
        <v>6064</v>
      </c>
      <c r="C1145" s="3">
        <v>1050769</v>
      </c>
      <c r="D1145" s="3">
        <v>1053363</v>
      </c>
      <c r="E1145" s="1" t="s">
        <v>13</v>
      </c>
      <c r="F1145" s="1">
        <v>0</v>
      </c>
      <c r="G1145" s="1" t="s">
        <v>4372</v>
      </c>
      <c r="H1145" s="1" t="s">
        <v>4372</v>
      </c>
      <c r="I1145" s="1" t="s">
        <v>4373</v>
      </c>
      <c r="J1145" s="1" t="s">
        <v>6065</v>
      </c>
      <c r="K1145" s="1" t="s">
        <v>6063</v>
      </c>
    </row>
    <row r="1146" spans="1:11" ht="21" x14ac:dyDescent="0.25">
      <c r="A1146" s="11" t="str">
        <f>HYPERLINK("https://rth.dk/resources/bsgatlas/details.php?id=BSGatlas-transcript-1145","BSGatlas-transcript-1145")</f>
        <v>BSGatlas-transcript-1145</v>
      </c>
      <c r="B1146" s="1" t="s">
        <v>6066</v>
      </c>
      <c r="C1146" s="3">
        <v>1053458</v>
      </c>
      <c r="D1146" s="3">
        <v>1055099</v>
      </c>
      <c r="E1146" s="1" t="s">
        <v>9</v>
      </c>
      <c r="F1146" s="1">
        <v>1</v>
      </c>
      <c r="G1146" s="1">
        <v>63</v>
      </c>
      <c r="H1146" s="1" t="s">
        <v>4372</v>
      </c>
      <c r="I1146" s="1" t="s">
        <v>4386</v>
      </c>
      <c r="J1146" s="1" t="s">
        <v>6067</v>
      </c>
      <c r="K1146" s="1" t="s">
        <v>6068</v>
      </c>
    </row>
    <row r="1147" spans="1:11" ht="21" x14ac:dyDescent="0.25">
      <c r="A1147" s="11" t="str">
        <f>HYPERLINK("https://rth.dk/resources/bsgatlas/details.php?id=BSGatlas-transcript-1146","BSGatlas-transcript-1146")</f>
        <v>BSGatlas-transcript-1146</v>
      </c>
      <c r="B1147" s="1" t="s">
        <v>1100</v>
      </c>
      <c r="C1147" s="3">
        <v>1055094</v>
      </c>
      <c r="D1147" s="3">
        <v>1056250</v>
      </c>
      <c r="E1147" s="1" t="s">
        <v>13</v>
      </c>
      <c r="F1147" s="1">
        <v>0</v>
      </c>
      <c r="G1147" s="1" t="s">
        <v>4372</v>
      </c>
      <c r="H1147" s="1" t="s">
        <v>4372</v>
      </c>
      <c r="I1147" s="1" t="s">
        <v>4373</v>
      </c>
      <c r="J1147" s="1" t="s">
        <v>6069</v>
      </c>
      <c r="K1147" s="1" t="s">
        <v>6070</v>
      </c>
    </row>
    <row r="1148" spans="1:11" ht="21" x14ac:dyDescent="0.25">
      <c r="A1148" s="11" t="str">
        <f>HYPERLINK("https://rth.dk/resources/bsgatlas/details.php?id=BSGatlas-transcript-1147","BSGatlas-transcript-1147")</f>
        <v>BSGatlas-transcript-1147</v>
      </c>
      <c r="B1148" s="1" t="s">
        <v>1100</v>
      </c>
      <c r="C1148" s="3">
        <v>1055143</v>
      </c>
      <c r="D1148" s="3">
        <v>1056250</v>
      </c>
      <c r="E1148" s="1" t="s">
        <v>13</v>
      </c>
      <c r="F1148" s="1">
        <v>0</v>
      </c>
      <c r="G1148" s="1" t="s">
        <v>4372</v>
      </c>
      <c r="H1148" s="1" t="s">
        <v>4372</v>
      </c>
      <c r="I1148" s="1" t="s">
        <v>4373</v>
      </c>
      <c r="J1148" s="1" t="s">
        <v>6069</v>
      </c>
      <c r="K1148" s="1" t="s">
        <v>6071</v>
      </c>
    </row>
    <row r="1149" spans="1:11" ht="21" x14ac:dyDescent="0.25">
      <c r="A1149" s="11" t="str">
        <f>HYPERLINK("https://rth.dk/resources/bsgatlas/details.php?id=BSGatlas-transcript-1148","BSGatlas-transcript-1148")</f>
        <v>BSGatlas-transcript-1148</v>
      </c>
      <c r="B1149" s="1" t="s">
        <v>1101</v>
      </c>
      <c r="C1149" s="3">
        <v>1056371</v>
      </c>
      <c r="D1149" s="3">
        <v>1056619</v>
      </c>
      <c r="E1149" s="1" t="s">
        <v>9</v>
      </c>
      <c r="F1149" s="1">
        <v>0</v>
      </c>
      <c r="G1149" s="1" t="s">
        <v>4372</v>
      </c>
      <c r="H1149" s="1" t="s">
        <v>4372</v>
      </c>
      <c r="I1149" s="1" t="s">
        <v>4377</v>
      </c>
      <c r="J1149" s="1" t="s">
        <v>6072</v>
      </c>
      <c r="K1149" s="1" t="s">
        <v>6073</v>
      </c>
    </row>
    <row r="1150" spans="1:11" ht="21" x14ac:dyDescent="0.25">
      <c r="A1150" s="11" t="str">
        <f>HYPERLINK("https://rth.dk/resources/bsgatlas/details.php?id=BSGatlas-transcript-1149","BSGatlas-transcript-1149")</f>
        <v>BSGatlas-transcript-1149</v>
      </c>
      <c r="B1150" s="1" t="s">
        <v>1101</v>
      </c>
      <c r="C1150" s="3">
        <v>1056371</v>
      </c>
      <c r="D1150" s="3">
        <v>1056619</v>
      </c>
      <c r="E1150" s="1" t="s">
        <v>9</v>
      </c>
      <c r="F1150" s="1">
        <v>0</v>
      </c>
      <c r="G1150" s="1" t="s">
        <v>4372</v>
      </c>
      <c r="H1150" s="1" t="s">
        <v>4372</v>
      </c>
      <c r="I1150" s="1" t="s">
        <v>4377</v>
      </c>
      <c r="J1150" s="1" t="s">
        <v>6072</v>
      </c>
      <c r="K1150" s="1" t="s">
        <v>6074</v>
      </c>
    </row>
    <row r="1151" spans="1:11" ht="21" x14ac:dyDescent="0.25">
      <c r="A1151" s="11" t="str">
        <f>HYPERLINK("https://rth.dk/resources/bsgatlas/details.php?id=BSGatlas-transcript-1150","BSGatlas-transcript-1150")</f>
        <v>BSGatlas-transcript-1150</v>
      </c>
      <c r="B1151" s="1" t="s">
        <v>1102</v>
      </c>
      <c r="C1151" s="3">
        <v>1056671</v>
      </c>
      <c r="D1151" s="3">
        <v>1057616</v>
      </c>
      <c r="E1151" s="1" t="s">
        <v>9</v>
      </c>
      <c r="F1151" s="1">
        <v>0</v>
      </c>
      <c r="G1151" s="1" t="s">
        <v>4372</v>
      </c>
      <c r="H1151" s="1" t="s">
        <v>4372</v>
      </c>
      <c r="I1151" s="1" t="s">
        <v>4373</v>
      </c>
      <c r="J1151" s="1" t="s">
        <v>6075</v>
      </c>
      <c r="K1151" s="1" t="s">
        <v>6076</v>
      </c>
    </row>
    <row r="1152" spans="1:11" ht="21" x14ac:dyDescent="0.25">
      <c r="A1152" s="11" t="str">
        <f>HYPERLINK("https://rth.dk/resources/bsgatlas/details.php?id=BSGatlas-transcript-1151","BSGatlas-transcript-1151")</f>
        <v>BSGatlas-transcript-1151</v>
      </c>
      <c r="B1152" s="1" t="s">
        <v>1103</v>
      </c>
      <c r="C1152" s="3">
        <v>1057649</v>
      </c>
      <c r="D1152" s="3">
        <v>1059212</v>
      </c>
      <c r="E1152" s="1" t="s">
        <v>9</v>
      </c>
      <c r="F1152" s="1">
        <v>0</v>
      </c>
      <c r="G1152" s="1" t="s">
        <v>4372</v>
      </c>
      <c r="H1152" s="1" t="s">
        <v>4372</v>
      </c>
      <c r="I1152" s="1" t="s">
        <v>4373</v>
      </c>
      <c r="J1152" s="1" t="s">
        <v>6077</v>
      </c>
      <c r="K1152" s="1" t="s">
        <v>6078</v>
      </c>
    </row>
    <row r="1153" spans="1:11" ht="21" x14ac:dyDescent="0.25">
      <c r="A1153" s="11" t="str">
        <f>HYPERLINK("https://rth.dk/resources/bsgatlas/details.php?id=BSGatlas-transcript-1152","BSGatlas-transcript-1152")</f>
        <v>BSGatlas-transcript-1152</v>
      </c>
      <c r="B1153" s="1" t="s">
        <v>6079</v>
      </c>
      <c r="C1153" s="3">
        <v>1059187</v>
      </c>
      <c r="D1153" s="3">
        <v>1061362</v>
      </c>
      <c r="E1153" s="1" t="s">
        <v>13</v>
      </c>
      <c r="F1153" s="1">
        <v>1</v>
      </c>
      <c r="G1153" s="1">
        <v>37</v>
      </c>
      <c r="H1153" s="1">
        <v>17</v>
      </c>
      <c r="I1153" s="1" t="s">
        <v>4386</v>
      </c>
      <c r="J1153" s="1" t="s">
        <v>6080</v>
      </c>
      <c r="K1153" s="1" t="s">
        <v>6081</v>
      </c>
    </row>
    <row r="1154" spans="1:11" ht="21" x14ac:dyDescent="0.25">
      <c r="A1154" s="11" t="str">
        <f>HYPERLINK("https://rth.dk/resources/bsgatlas/details.php?id=BSGatlas-transcript-1153","BSGatlas-transcript-1153")</f>
        <v>BSGatlas-transcript-1153</v>
      </c>
      <c r="B1154" s="1" t="s">
        <v>1107</v>
      </c>
      <c r="C1154" s="3">
        <v>1061430</v>
      </c>
      <c r="D1154" s="3">
        <v>1062281</v>
      </c>
      <c r="E1154" s="1" t="s">
        <v>9</v>
      </c>
      <c r="F1154" s="1">
        <v>0</v>
      </c>
      <c r="G1154" s="1" t="s">
        <v>4372</v>
      </c>
      <c r="H1154" s="1" t="s">
        <v>4372</v>
      </c>
      <c r="I1154" s="1" t="s">
        <v>4397</v>
      </c>
      <c r="J1154" s="1" t="s">
        <v>6082</v>
      </c>
      <c r="K1154" s="1" t="s">
        <v>6083</v>
      </c>
    </row>
    <row r="1155" spans="1:11" ht="21" x14ac:dyDescent="0.25">
      <c r="A1155" s="11" t="str">
        <f>HYPERLINK("https://rth.dk/resources/bsgatlas/details.php?id=BSGatlas-transcript-1154","BSGatlas-transcript-1154")</f>
        <v>BSGatlas-transcript-1154</v>
      </c>
      <c r="B1155" s="1" t="s">
        <v>1108</v>
      </c>
      <c r="C1155" s="3">
        <v>1062279</v>
      </c>
      <c r="D1155" s="3">
        <v>1062511</v>
      </c>
      <c r="E1155" s="1" t="s">
        <v>13</v>
      </c>
      <c r="F1155" s="1">
        <v>0</v>
      </c>
      <c r="G1155" s="1" t="s">
        <v>4372</v>
      </c>
      <c r="H1155" s="1" t="s">
        <v>4372</v>
      </c>
      <c r="I1155" s="1" t="s">
        <v>4397</v>
      </c>
      <c r="J1155" s="1" t="s">
        <v>6084</v>
      </c>
      <c r="K1155" s="1" t="s">
        <v>318</v>
      </c>
    </row>
    <row r="1156" spans="1:11" ht="21" x14ac:dyDescent="0.25">
      <c r="A1156" s="11" t="str">
        <f>HYPERLINK("https://rth.dk/resources/bsgatlas/details.php?id=BSGatlas-transcript-1155","BSGatlas-transcript-1155")</f>
        <v>BSGatlas-transcript-1155</v>
      </c>
      <c r="B1156" s="1" t="s">
        <v>6085</v>
      </c>
      <c r="C1156" s="3">
        <v>1062566</v>
      </c>
      <c r="D1156" s="3">
        <v>1064739</v>
      </c>
      <c r="E1156" s="1" t="s">
        <v>9</v>
      </c>
      <c r="F1156" s="1">
        <v>0</v>
      </c>
      <c r="G1156" s="1" t="s">
        <v>4372</v>
      </c>
      <c r="H1156" s="1" t="s">
        <v>4372</v>
      </c>
      <c r="I1156" s="1" t="s">
        <v>4386</v>
      </c>
      <c r="J1156" s="1" t="s">
        <v>6086</v>
      </c>
      <c r="K1156" s="1" t="s">
        <v>6087</v>
      </c>
    </row>
    <row r="1157" spans="1:11" ht="21" x14ac:dyDescent="0.25">
      <c r="A1157" s="11" t="str">
        <f>HYPERLINK("https://rth.dk/resources/bsgatlas/details.php?id=BSGatlas-transcript-1156","BSGatlas-transcript-1156")</f>
        <v>BSGatlas-transcript-1156</v>
      </c>
      <c r="B1157" s="1" t="s">
        <v>6088</v>
      </c>
      <c r="C1157" s="3">
        <v>1064811</v>
      </c>
      <c r="D1157" s="3">
        <v>1070039</v>
      </c>
      <c r="E1157" s="1" t="s">
        <v>9</v>
      </c>
      <c r="F1157" s="1">
        <v>1</v>
      </c>
      <c r="G1157" s="1">
        <v>36</v>
      </c>
      <c r="H1157" s="1">
        <v>54</v>
      </c>
      <c r="I1157" s="1" t="s">
        <v>4373</v>
      </c>
      <c r="J1157" s="1" t="s">
        <v>6089</v>
      </c>
      <c r="K1157" s="1" t="s">
        <v>6090</v>
      </c>
    </row>
    <row r="1158" spans="1:11" ht="21" x14ac:dyDescent="0.25">
      <c r="A1158" s="11" t="str">
        <f>HYPERLINK("https://rth.dk/resources/bsgatlas/details.php?id=BSGatlas-transcript-1157","BSGatlas-transcript-1157")</f>
        <v>BSGatlas-transcript-1157</v>
      </c>
      <c r="B1158" s="1" t="s">
        <v>6091</v>
      </c>
      <c r="C1158" s="3">
        <v>1066077</v>
      </c>
      <c r="D1158" s="3">
        <v>1070039</v>
      </c>
      <c r="E1158" s="1" t="s">
        <v>9</v>
      </c>
      <c r="F1158" s="1">
        <v>1</v>
      </c>
      <c r="G1158" s="1" t="s">
        <v>4372</v>
      </c>
      <c r="H1158" s="1">
        <v>54</v>
      </c>
      <c r="I1158" s="1" t="s">
        <v>4377</v>
      </c>
      <c r="J1158" s="1" t="s">
        <v>6092</v>
      </c>
      <c r="K1158" s="1" t="s">
        <v>6090</v>
      </c>
    </row>
    <row r="1159" spans="1:11" ht="21" x14ac:dyDescent="0.25">
      <c r="A1159" s="11" t="str">
        <f>HYPERLINK("https://rth.dk/resources/bsgatlas/details.php?id=BSGatlas-transcript-1158","BSGatlas-transcript-1158")</f>
        <v>BSGatlas-transcript-1158</v>
      </c>
      <c r="B1159" s="1" t="s">
        <v>1113</v>
      </c>
      <c r="C1159" s="3">
        <v>1069011</v>
      </c>
      <c r="D1159" s="3">
        <v>1070039</v>
      </c>
      <c r="E1159" s="1" t="s">
        <v>9</v>
      </c>
      <c r="F1159" s="1">
        <v>0</v>
      </c>
      <c r="G1159" s="1" t="s">
        <v>4372</v>
      </c>
      <c r="H1159" s="1" t="s">
        <v>4372</v>
      </c>
      <c r="I1159" s="1" t="s">
        <v>4377</v>
      </c>
      <c r="J1159" s="1" t="s">
        <v>6093</v>
      </c>
      <c r="K1159" s="1" t="s">
        <v>6090</v>
      </c>
    </row>
    <row r="1160" spans="1:11" ht="21" x14ac:dyDescent="0.25">
      <c r="A1160" s="11" t="str">
        <f>HYPERLINK("https://rth.dk/resources/bsgatlas/details.php?id=BSGatlas-transcript-1159","BSGatlas-transcript-1159")</f>
        <v>BSGatlas-transcript-1159</v>
      </c>
      <c r="B1160" s="1" t="s">
        <v>1114</v>
      </c>
      <c r="C1160" s="3">
        <v>1070069</v>
      </c>
      <c r="D1160" s="3">
        <v>1070338</v>
      </c>
      <c r="E1160" s="1" t="s">
        <v>9</v>
      </c>
      <c r="F1160" s="1">
        <v>0</v>
      </c>
      <c r="G1160" s="1" t="s">
        <v>4372</v>
      </c>
      <c r="H1160" s="1" t="s">
        <v>4372</v>
      </c>
      <c r="I1160" s="1" t="s">
        <v>4386</v>
      </c>
      <c r="J1160" s="1" t="s">
        <v>6094</v>
      </c>
      <c r="K1160" s="1" t="s">
        <v>6095</v>
      </c>
    </row>
    <row r="1161" spans="1:11" ht="21" x14ac:dyDescent="0.25">
      <c r="A1161" s="11" t="str">
        <f>HYPERLINK("https://rth.dk/resources/bsgatlas/details.php?id=BSGatlas-transcript-1160","BSGatlas-transcript-1160")</f>
        <v>BSGatlas-transcript-1160</v>
      </c>
      <c r="B1161" s="1" t="s">
        <v>1115</v>
      </c>
      <c r="C1161" s="3">
        <v>1070332</v>
      </c>
      <c r="D1161" s="3">
        <v>1071304</v>
      </c>
      <c r="E1161" s="1" t="s">
        <v>13</v>
      </c>
      <c r="F1161" s="1">
        <v>0</v>
      </c>
      <c r="G1161" s="1" t="s">
        <v>4372</v>
      </c>
      <c r="H1161" s="1" t="s">
        <v>4372</v>
      </c>
      <c r="I1161" s="1" t="s">
        <v>4397</v>
      </c>
      <c r="J1161" s="1" t="s">
        <v>6096</v>
      </c>
      <c r="K1161" s="1" t="s">
        <v>6097</v>
      </c>
    </row>
    <row r="1162" spans="1:11" ht="21" x14ac:dyDescent="0.25">
      <c r="A1162" s="11" t="str">
        <f>HYPERLINK("https://rth.dk/resources/bsgatlas/details.php?id=BSGatlas-transcript-1161","BSGatlas-transcript-1161")</f>
        <v>BSGatlas-transcript-1161</v>
      </c>
      <c r="B1162" s="1" t="s">
        <v>1115</v>
      </c>
      <c r="C1162" s="3">
        <v>1070332</v>
      </c>
      <c r="D1162" s="3">
        <v>1071399</v>
      </c>
      <c r="E1162" s="1" t="s">
        <v>13</v>
      </c>
      <c r="F1162" s="1">
        <v>0</v>
      </c>
      <c r="G1162" s="1" t="s">
        <v>4372</v>
      </c>
      <c r="H1162" s="1" t="s">
        <v>4372</v>
      </c>
      <c r="I1162" s="1" t="s">
        <v>4397</v>
      </c>
      <c r="J1162" s="1" t="s">
        <v>6098</v>
      </c>
      <c r="K1162" s="1" t="s">
        <v>6097</v>
      </c>
    </row>
    <row r="1163" spans="1:11" ht="21" x14ac:dyDescent="0.25">
      <c r="A1163" s="11" t="str">
        <f>HYPERLINK("https://rth.dk/resources/bsgatlas/details.php?id=BSGatlas-transcript-1162","BSGatlas-transcript-1162")</f>
        <v>BSGatlas-transcript-1162</v>
      </c>
      <c r="B1163" s="1" t="s">
        <v>1115</v>
      </c>
      <c r="C1163" s="3">
        <v>1070364</v>
      </c>
      <c r="D1163" s="3">
        <v>1071304</v>
      </c>
      <c r="E1163" s="1" t="s">
        <v>13</v>
      </c>
      <c r="F1163" s="1">
        <v>0</v>
      </c>
      <c r="G1163" s="1" t="s">
        <v>4372</v>
      </c>
      <c r="H1163" s="1" t="s">
        <v>4372</v>
      </c>
      <c r="I1163" s="1" t="s">
        <v>4397</v>
      </c>
      <c r="J1163" s="1" t="s">
        <v>6096</v>
      </c>
      <c r="K1163" s="1" t="s">
        <v>6099</v>
      </c>
    </row>
    <row r="1164" spans="1:11" ht="21" x14ac:dyDescent="0.25">
      <c r="A1164" s="11" t="str">
        <f>HYPERLINK("https://rth.dk/resources/bsgatlas/details.php?id=BSGatlas-transcript-1163","BSGatlas-transcript-1163")</f>
        <v>BSGatlas-transcript-1163</v>
      </c>
      <c r="B1164" s="1" t="s">
        <v>1115</v>
      </c>
      <c r="C1164" s="3">
        <v>1070364</v>
      </c>
      <c r="D1164" s="3">
        <v>1071399</v>
      </c>
      <c r="E1164" s="1" t="s">
        <v>13</v>
      </c>
      <c r="F1164" s="1">
        <v>0</v>
      </c>
      <c r="G1164" s="1" t="s">
        <v>4372</v>
      </c>
      <c r="H1164" s="1" t="s">
        <v>4372</v>
      </c>
      <c r="I1164" s="1" t="s">
        <v>4397</v>
      </c>
      <c r="J1164" s="1" t="s">
        <v>6098</v>
      </c>
      <c r="K1164" s="1" t="s">
        <v>6099</v>
      </c>
    </row>
    <row r="1165" spans="1:11" ht="21" x14ac:dyDescent="0.25">
      <c r="A1165" s="11" t="str">
        <f>HYPERLINK("https://rth.dk/resources/bsgatlas/details.php?id=BSGatlas-transcript-1164","BSGatlas-transcript-1164")</f>
        <v>BSGatlas-transcript-1164</v>
      </c>
      <c r="B1165" s="1" t="s">
        <v>1116</v>
      </c>
      <c r="C1165" s="3">
        <v>1071379</v>
      </c>
      <c r="D1165" s="3">
        <v>1071523</v>
      </c>
      <c r="E1165" s="1" t="s">
        <v>9</v>
      </c>
      <c r="F1165" s="1">
        <v>0</v>
      </c>
      <c r="G1165" s="1" t="s">
        <v>4372</v>
      </c>
      <c r="H1165" s="1" t="s">
        <v>4372</v>
      </c>
      <c r="I1165" s="1" t="s">
        <v>4386</v>
      </c>
      <c r="J1165" s="1" t="s">
        <v>6100</v>
      </c>
      <c r="K1165" s="1" t="s">
        <v>6101</v>
      </c>
    </row>
    <row r="1166" spans="1:11" ht="21" x14ac:dyDescent="0.25">
      <c r="A1166" s="11" t="str">
        <f>HYPERLINK("https://rth.dk/resources/bsgatlas/details.php?id=BSGatlas-transcript-1165","BSGatlas-transcript-1165")</f>
        <v>BSGatlas-transcript-1165</v>
      </c>
      <c r="B1166" s="1" t="s">
        <v>6102</v>
      </c>
      <c r="C1166" s="3">
        <v>1071379</v>
      </c>
      <c r="D1166" s="3">
        <v>1071742</v>
      </c>
      <c r="E1166" s="1" t="s">
        <v>9</v>
      </c>
      <c r="F1166" s="1">
        <v>1</v>
      </c>
      <c r="G1166" s="1">
        <v>24</v>
      </c>
      <c r="H1166" s="1">
        <v>44</v>
      </c>
      <c r="I1166" s="1" t="s">
        <v>4547</v>
      </c>
      <c r="J1166" s="1" t="s">
        <v>6100</v>
      </c>
      <c r="K1166" s="1" t="s">
        <v>6103</v>
      </c>
    </row>
    <row r="1167" spans="1:11" ht="21" x14ac:dyDescent="0.25">
      <c r="A1167" s="11" t="str">
        <f>HYPERLINK("https://rth.dk/resources/bsgatlas/details.php?id=BSGatlas-transcript-1166","BSGatlas-transcript-1166")</f>
        <v>BSGatlas-transcript-1166</v>
      </c>
      <c r="B1167" s="1" t="s">
        <v>6102</v>
      </c>
      <c r="C1167" s="3">
        <v>1071379</v>
      </c>
      <c r="D1167" s="3">
        <v>1072258</v>
      </c>
      <c r="E1167" s="1" t="s">
        <v>9</v>
      </c>
      <c r="F1167" s="1">
        <v>1</v>
      </c>
      <c r="G1167" s="1">
        <v>24</v>
      </c>
      <c r="H1167" s="1">
        <v>560</v>
      </c>
      <c r="I1167" s="1" t="s">
        <v>4547</v>
      </c>
      <c r="J1167" s="1" t="s">
        <v>6100</v>
      </c>
      <c r="K1167" s="1" t="s">
        <v>6104</v>
      </c>
    </row>
    <row r="1168" spans="1:11" ht="21" x14ac:dyDescent="0.25">
      <c r="A1168" s="11" t="str">
        <f>HYPERLINK("https://rth.dk/resources/bsgatlas/details.php?id=BSGatlas-transcript-1167","BSGatlas-transcript-1167")</f>
        <v>BSGatlas-transcript-1167</v>
      </c>
      <c r="B1168" s="1" t="s">
        <v>1117</v>
      </c>
      <c r="C1168" s="3">
        <v>1071581</v>
      </c>
      <c r="D1168" s="3">
        <v>1071742</v>
      </c>
      <c r="E1168" s="1" t="s">
        <v>9</v>
      </c>
      <c r="F1168" s="1">
        <v>0</v>
      </c>
      <c r="G1168" s="1" t="s">
        <v>4372</v>
      </c>
      <c r="H1168" s="1" t="s">
        <v>4372</v>
      </c>
      <c r="I1168" s="1" t="s">
        <v>4547</v>
      </c>
      <c r="J1168" s="1" t="s">
        <v>6105</v>
      </c>
      <c r="K1168" s="1" t="s">
        <v>6103</v>
      </c>
    </row>
    <row r="1169" spans="1:11" ht="21" x14ac:dyDescent="0.25">
      <c r="A1169" s="11" t="str">
        <f>HYPERLINK("https://rth.dk/resources/bsgatlas/details.php?id=BSGatlas-transcript-1168","BSGatlas-transcript-1168")</f>
        <v>BSGatlas-transcript-1168</v>
      </c>
      <c r="B1169" s="1" t="s">
        <v>1117</v>
      </c>
      <c r="C1169" s="3">
        <v>1071581</v>
      </c>
      <c r="D1169" s="3">
        <v>1072258</v>
      </c>
      <c r="E1169" s="1" t="s">
        <v>9</v>
      </c>
      <c r="F1169" s="1">
        <v>0</v>
      </c>
      <c r="G1169" s="1" t="s">
        <v>4372</v>
      </c>
      <c r="H1169" s="1" t="s">
        <v>4372</v>
      </c>
      <c r="I1169" s="1" t="s">
        <v>4547</v>
      </c>
      <c r="J1169" s="1" t="s">
        <v>6105</v>
      </c>
      <c r="K1169" s="1" t="s">
        <v>6104</v>
      </c>
    </row>
    <row r="1170" spans="1:11" ht="21" x14ac:dyDescent="0.25">
      <c r="A1170" s="11" t="str">
        <f>HYPERLINK("https://rth.dk/resources/bsgatlas/details.php?id=BSGatlas-transcript-1169","BSGatlas-transcript-1169")</f>
        <v>BSGatlas-transcript-1169</v>
      </c>
      <c r="B1170" s="1" t="s">
        <v>1118</v>
      </c>
      <c r="C1170" s="3">
        <v>1071709</v>
      </c>
      <c r="D1170" s="3">
        <v>1071971</v>
      </c>
      <c r="E1170" s="1" t="s">
        <v>13</v>
      </c>
      <c r="F1170" s="1">
        <v>0</v>
      </c>
      <c r="G1170" s="1" t="s">
        <v>4372</v>
      </c>
      <c r="H1170" s="1" t="s">
        <v>4372</v>
      </c>
      <c r="I1170" s="1" t="s">
        <v>4377</v>
      </c>
      <c r="J1170" s="1" t="s">
        <v>6106</v>
      </c>
      <c r="K1170" s="1" t="s">
        <v>6107</v>
      </c>
    </row>
    <row r="1171" spans="1:11" ht="21" x14ac:dyDescent="0.25">
      <c r="A1171" s="11" t="str">
        <f>HYPERLINK("https://rth.dk/resources/bsgatlas/details.php?id=BSGatlas-transcript-1170","BSGatlas-transcript-1170")</f>
        <v>BSGatlas-transcript-1170</v>
      </c>
      <c r="B1171" s="1" t="s">
        <v>1119</v>
      </c>
      <c r="C1171" s="3">
        <v>1071940</v>
      </c>
      <c r="D1171" s="3">
        <v>1072609</v>
      </c>
      <c r="E1171" s="1" t="s">
        <v>13</v>
      </c>
      <c r="F1171" s="1">
        <v>0</v>
      </c>
      <c r="G1171" s="1" t="s">
        <v>4372</v>
      </c>
      <c r="H1171" s="1" t="s">
        <v>4372</v>
      </c>
      <c r="I1171" s="1" t="s">
        <v>4397</v>
      </c>
      <c r="J1171" s="1" t="s">
        <v>6108</v>
      </c>
      <c r="K1171" s="1" t="s">
        <v>6109</v>
      </c>
    </row>
    <row r="1172" spans="1:11" ht="21" x14ac:dyDescent="0.25">
      <c r="A1172" s="11" t="str">
        <f>HYPERLINK("https://rth.dk/resources/bsgatlas/details.php?id=BSGatlas-transcript-1171","BSGatlas-transcript-1171")</f>
        <v>BSGatlas-transcript-1171</v>
      </c>
      <c r="B1172" s="1" t="s">
        <v>1120</v>
      </c>
      <c r="C1172" s="3">
        <v>1072380</v>
      </c>
      <c r="D1172" s="3">
        <v>1073854</v>
      </c>
      <c r="E1172" s="1" t="s">
        <v>9</v>
      </c>
      <c r="F1172" s="1">
        <v>0</v>
      </c>
      <c r="G1172" s="1" t="s">
        <v>4372</v>
      </c>
      <c r="H1172" s="1" t="s">
        <v>4372</v>
      </c>
      <c r="I1172" s="1" t="s">
        <v>4397</v>
      </c>
      <c r="J1172" s="1" t="s">
        <v>6110</v>
      </c>
      <c r="K1172" s="1" t="s">
        <v>6111</v>
      </c>
    </row>
    <row r="1173" spans="1:11" ht="21" x14ac:dyDescent="0.25">
      <c r="A1173" s="11" t="str">
        <f>HYPERLINK("https://rth.dk/resources/bsgatlas/details.php?id=BSGatlas-transcript-1172","BSGatlas-transcript-1172")</f>
        <v>BSGatlas-transcript-1172</v>
      </c>
      <c r="B1173" s="1" t="s">
        <v>1120</v>
      </c>
      <c r="C1173" s="3">
        <v>1072732</v>
      </c>
      <c r="D1173" s="3">
        <v>1073854</v>
      </c>
      <c r="E1173" s="1" t="s">
        <v>9</v>
      </c>
      <c r="F1173" s="1">
        <v>0</v>
      </c>
      <c r="G1173" s="1" t="s">
        <v>4372</v>
      </c>
      <c r="H1173" s="1" t="s">
        <v>4372</v>
      </c>
      <c r="I1173" s="1" t="s">
        <v>4397</v>
      </c>
      <c r="J1173" s="1" t="s">
        <v>6112</v>
      </c>
      <c r="K1173" s="1" t="s">
        <v>6111</v>
      </c>
    </row>
    <row r="1174" spans="1:11" ht="21" x14ac:dyDescent="0.25">
      <c r="A1174" s="11" t="str">
        <f>HYPERLINK("https://rth.dk/resources/bsgatlas/details.php?id=BSGatlas-transcript-1173","BSGatlas-transcript-1173")</f>
        <v>BSGatlas-transcript-1173</v>
      </c>
      <c r="B1174" s="1" t="s">
        <v>1121</v>
      </c>
      <c r="C1174" s="3">
        <v>1072984</v>
      </c>
      <c r="D1174" s="3">
        <v>1073765</v>
      </c>
      <c r="E1174" s="1" t="s">
        <v>13</v>
      </c>
      <c r="F1174" s="1">
        <v>0</v>
      </c>
      <c r="G1174" s="1" t="s">
        <v>4372</v>
      </c>
      <c r="H1174" s="1" t="s">
        <v>4372</v>
      </c>
      <c r="I1174" s="1" t="s">
        <v>4373</v>
      </c>
      <c r="J1174" s="1" t="s">
        <v>6113</v>
      </c>
      <c r="K1174" s="1" t="s">
        <v>6114</v>
      </c>
    </row>
    <row r="1175" spans="1:11" ht="21" x14ac:dyDescent="0.25">
      <c r="A1175" s="11" t="str">
        <f>HYPERLINK("https://rth.dk/resources/bsgatlas/details.php?id=BSGatlas-transcript-1174","BSGatlas-transcript-1174")</f>
        <v>BSGatlas-transcript-1174</v>
      </c>
      <c r="B1175" s="1" t="s">
        <v>1121</v>
      </c>
      <c r="C1175" s="3">
        <v>1073106</v>
      </c>
      <c r="D1175" s="3">
        <v>1073765</v>
      </c>
      <c r="E1175" s="1" t="s">
        <v>13</v>
      </c>
      <c r="F1175" s="1">
        <v>0</v>
      </c>
      <c r="G1175" s="1" t="s">
        <v>4372</v>
      </c>
      <c r="H1175" s="1" t="s">
        <v>4372</v>
      </c>
      <c r="I1175" s="1" t="s">
        <v>4373</v>
      </c>
      <c r="J1175" s="1" t="s">
        <v>6113</v>
      </c>
      <c r="K1175" s="1" t="s">
        <v>6115</v>
      </c>
    </row>
    <row r="1176" spans="1:11" ht="21" x14ac:dyDescent="0.25">
      <c r="A1176" s="11" t="str">
        <f>HYPERLINK("https://rth.dk/resources/bsgatlas/details.php?id=BSGatlas-transcript-1175","BSGatlas-transcript-1175")</f>
        <v>BSGatlas-transcript-1175</v>
      </c>
      <c r="B1176" s="1" t="s">
        <v>1122</v>
      </c>
      <c r="C1176" s="3">
        <v>1073737</v>
      </c>
      <c r="D1176" s="3">
        <v>1076041</v>
      </c>
      <c r="E1176" s="1" t="s">
        <v>9</v>
      </c>
      <c r="F1176" s="1">
        <v>0</v>
      </c>
      <c r="G1176" s="1" t="s">
        <v>4372</v>
      </c>
      <c r="H1176" s="1" t="s">
        <v>4372</v>
      </c>
      <c r="I1176" s="1" t="s">
        <v>4397</v>
      </c>
      <c r="J1176" s="1" t="s">
        <v>6116</v>
      </c>
      <c r="K1176" s="1" t="s">
        <v>6117</v>
      </c>
    </row>
    <row r="1177" spans="1:11" ht="21" x14ac:dyDescent="0.25">
      <c r="A1177" s="11" t="str">
        <f>HYPERLINK("https://rth.dk/resources/bsgatlas/details.php?id=BSGatlas-transcript-1176","BSGatlas-transcript-1176")</f>
        <v>BSGatlas-transcript-1176</v>
      </c>
      <c r="B1177" s="1" t="s">
        <v>1123</v>
      </c>
      <c r="C1177" s="3">
        <v>1073877</v>
      </c>
      <c r="D1177" s="3">
        <v>1074348</v>
      </c>
      <c r="E1177" s="1" t="s">
        <v>13</v>
      </c>
      <c r="F1177" s="1">
        <v>0</v>
      </c>
      <c r="G1177" s="1" t="s">
        <v>4372</v>
      </c>
      <c r="H1177" s="1" t="s">
        <v>4372</v>
      </c>
      <c r="I1177" s="1" t="s">
        <v>4386</v>
      </c>
      <c r="J1177" s="1" t="s">
        <v>6118</v>
      </c>
      <c r="K1177" s="1" t="s">
        <v>6119</v>
      </c>
    </row>
    <row r="1178" spans="1:11" ht="21" x14ac:dyDescent="0.25">
      <c r="A1178" s="11" t="str">
        <f>HYPERLINK("https://rth.dk/resources/bsgatlas/details.php?id=BSGatlas-transcript-1177","BSGatlas-transcript-1177")</f>
        <v>BSGatlas-transcript-1177</v>
      </c>
      <c r="B1178" s="1" t="s">
        <v>1122</v>
      </c>
      <c r="C1178" s="3">
        <v>1074349</v>
      </c>
      <c r="D1178" s="3">
        <v>1076041</v>
      </c>
      <c r="E1178" s="1" t="s">
        <v>9</v>
      </c>
      <c r="F1178" s="1">
        <v>0</v>
      </c>
      <c r="G1178" s="1" t="s">
        <v>4372</v>
      </c>
      <c r="H1178" s="1" t="s">
        <v>4372</v>
      </c>
      <c r="I1178" s="1" t="s">
        <v>4397</v>
      </c>
      <c r="J1178" s="1" t="s">
        <v>6120</v>
      </c>
      <c r="K1178" s="1" t="s">
        <v>6117</v>
      </c>
    </row>
    <row r="1179" spans="1:11" ht="21" x14ac:dyDescent="0.25">
      <c r="A1179" s="11" t="str">
        <f>HYPERLINK("https://rth.dk/resources/bsgatlas/details.php?id=BSGatlas-transcript-1178","BSGatlas-transcript-1178")</f>
        <v>BSGatlas-transcript-1178</v>
      </c>
      <c r="B1179" s="1" t="s">
        <v>1124</v>
      </c>
      <c r="C1179" s="3">
        <v>1074596</v>
      </c>
      <c r="D1179" s="3">
        <v>1075246</v>
      </c>
      <c r="E1179" s="1" t="s">
        <v>13</v>
      </c>
      <c r="F1179" s="1">
        <v>0</v>
      </c>
      <c r="G1179" s="1" t="s">
        <v>4372</v>
      </c>
      <c r="H1179" s="1" t="s">
        <v>4372</v>
      </c>
      <c r="I1179" s="1" t="s">
        <v>4373</v>
      </c>
      <c r="J1179" s="1" t="s">
        <v>6121</v>
      </c>
      <c r="K1179" s="1" t="s">
        <v>6122</v>
      </c>
    </row>
    <row r="1180" spans="1:11" ht="21" x14ac:dyDescent="0.25">
      <c r="A1180" s="11" t="str">
        <f>HYPERLINK("https://rth.dk/resources/bsgatlas/details.php?id=BSGatlas-transcript-1179","BSGatlas-transcript-1179")</f>
        <v>BSGatlas-transcript-1179</v>
      </c>
      <c r="B1180" s="1" t="s">
        <v>6123</v>
      </c>
      <c r="C1180" s="3">
        <v>1074596</v>
      </c>
      <c r="D1180" s="3">
        <v>1076418</v>
      </c>
      <c r="E1180" s="1" t="s">
        <v>13</v>
      </c>
      <c r="F1180" s="1">
        <v>1</v>
      </c>
      <c r="G1180" s="1">
        <v>51</v>
      </c>
      <c r="H1180" s="1">
        <v>51</v>
      </c>
      <c r="I1180" s="1" t="s">
        <v>4386</v>
      </c>
      <c r="J1180" s="1" t="s">
        <v>6124</v>
      </c>
      <c r="K1180" s="1" t="s">
        <v>6122</v>
      </c>
    </row>
    <row r="1181" spans="1:11" ht="21" x14ac:dyDescent="0.25">
      <c r="A1181" s="11" t="str">
        <f>HYPERLINK("https://rth.dk/resources/bsgatlas/details.php?id=BSGatlas-transcript-1180","BSGatlas-transcript-1180")</f>
        <v>BSGatlas-transcript-1180</v>
      </c>
      <c r="B1181" s="1" t="s">
        <v>1125</v>
      </c>
      <c r="C1181" s="3">
        <v>1075193</v>
      </c>
      <c r="D1181" s="3">
        <v>1076418</v>
      </c>
      <c r="E1181" s="1" t="s">
        <v>13</v>
      </c>
      <c r="F1181" s="1">
        <v>0</v>
      </c>
      <c r="G1181" s="1" t="s">
        <v>4372</v>
      </c>
      <c r="H1181" s="1" t="s">
        <v>4372</v>
      </c>
      <c r="I1181" s="1" t="s">
        <v>4377</v>
      </c>
      <c r="J1181" s="1" t="s">
        <v>6124</v>
      </c>
      <c r="K1181" s="1" t="s">
        <v>6125</v>
      </c>
    </row>
    <row r="1182" spans="1:11" ht="21" x14ac:dyDescent="0.25">
      <c r="A1182" s="11" t="str">
        <f>HYPERLINK("https://rth.dk/resources/bsgatlas/details.php?id=BSGatlas-transcript-1181","BSGatlas-transcript-1181")</f>
        <v>BSGatlas-transcript-1181</v>
      </c>
      <c r="B1182" s="1" t="s">
        <v>1126</v>
      </c>
      <c r="C1182" s="3">
        <v>1076515</v>
      </c>
      <c r="D1182" s="3">
        <v>1076999</v>
      </c>
      <c r="E1182" s="1" t="s">
        <v>13</v>
      </c>
      <c r="F1182" s="1">
        <v>0</v>
      </c>
      <c r="G1182" s="1" t="s">
        <v>4372</v>
      </c>
      <c r="H1182" s="1" t="s">
        <v>4372</v>
      </c>
      <c r="I1182" s="1" t="s">
        <v>4386</v>
      </c>
      <c r="J1182" s="1" t="s">
        <v>6126</v>
      </c>
      <c r="K1182" s="1" t="s">
        <v>6127</v>
      </c>
    </row>
    <row r="1183" spans="1:11" ht="21" x14ac:dyDescent="0.25">
      <c r="A1183" s="11" t="str">
        <f>HYPERLINK("https://rth.dk/resources/bsgatlas/details.php?id=BSGatlas-transcript-1182","BSGatlas-transcript-1182")</f>
        <v>BSGatlas-transcript-1182</v>
      </c>
      <c r="B1183" s="1" t="s">
        <v>1127</v>
      </c>
      <c r="C1183" s="3">
        <v>1077045</v>
      </c>
      <c r="D1183" s="3">
        <v>1077313</v>
      </c>
      <c r="E1183" s="1" t="s">
        <v>13</v>
      </c>
      <c r="F1183" s="1">
        <v>0</v>
      </c>
      <c r="G1183" s="1" t="s">
        <v>4372</v>
      </c>
      <c r="H1183" s="1" t="s">
        <v>4372</v>
      </c>
      <c r="I1183" s="1" t="s">
        <v>4377</v>
      </c>
      <c r="J1183" s="1" t="s">
        <v>6128</v>
      </c>
      <c r="K1183" s="1" t="s">
        <v>6129</v>
      </c>
    </row>
    <row r="1184" spans="1:11" ht="21" x14ac:dyDescent="0.25">
      <c r="A1184" s="11" t="str">
        <f>HYPERLINK("https://rth.dk/resources/bsgatlas/details.php?id=BSGatlas-transcript-1183","BSGatlas-transcript-1183")</f>
        <v>BSGatlas-transcript-1183</v>
      </c>
      <c r="B1184" s="1" t="s">
        <v>1127</v>
      </c>
      <c r="C1184" s="3">
        <v>1077045</v>
      </c>
      <c r="D1184" s="3">
        <v>1078750</v>
      </c>
      <c r="E1184" s="1" t="s">
        <v>13</v>
      </c>
      <c r="F1184" s="1">
        <v>0</v>
      </c>
      <c r="G1184" s="1" t="s">
        <v>4372</v>
      </c>
      <c r="H1184" s="1" t="s">
        <v>4372</v>
      </c>
      <c r="I1184" s="1" t="s">
        <v>4377</v>
      </c>
      <c r="J1184" s="1" t="s">
        <v>6130</v>
      </c>
      <c r="K1184" s="1" t="s">
        <v>6129</v>
      </c>
    </row>
    <row r="1185" spans="1:11" ht="21" x14ac:dyDescent="0.25">
      <c r="A1185" s="11" t="str">
        <f>HYPERLINK("https://rth.dk/resources/bsgatlas/details.php?id=BSGatlas-transcript-1184","BSGatlas-transcript-1184")</f>
        <v>BSGatlas-transcript-1184</v>
      </c>
      <c r="B1185" s="1" t="s">
        <v>6131</v>
      </c>
      <c r="C1185" s="3">
        <v>1077410</v>
      </c>
      <c r="D1185" s="3">
        <v>1080132</v>
      </c>
      <c r="E1185" s="1" t="s">
        <v>9</v>
      </c>
      <c r="F1185" s="1">
        <v>1</v>
      </c>
      <c r="G1185" s="1">
        <v>31</v>
      </c>
      <c r="H1185" s="1" t="s">
        <v>4372</v>
      </c>
      <c r="I1185" s="1" t="s">
        <v>4386</v>
      </c>
      <c r="J1185" s="1" t="s">
        <v>6132</v>
      </c>
      <c r="K1185" s="1" t="s">
        <v>6133</v>
      </c>
    </row>
    <row r="1186" spans="1:11" ht="21" x14ac:dyDescent="0.25">
      <c r="A1186" s="11" t="str">
        <f>HYPERLINK("https://rth.dk/resources/bsgatlas/details.php?id=BSGatlas-transcript-1185","BSGatlas-transcript-1185")</f>
        <v>BSGatlas-transcript-1185</v>
      </c>
      <c r="B1186" s="1" t="s">
        <v>1131</v>
      </c>
      <c r="C1186" s="3">
        <v>1080150</v>
      </c>
      <c r="D1186" s="3">
        <v>1081385</v>
      </c>
      <c r="E1186" s="1" t="s">
        <v>13</v>
      </c>
      <c r="F1186" s="1">
        <v>0</v>
      </c>
      <c r="G1186" s="1" t="s">
        <v>4372</v>
      </c>
      <c r="H1186" s="1" t="s">
        <v>4372</v>
      </c>
      <c r="I1186" s="1" t="s">
        <v>4386</v>
      </c>
      <c r="J1186" s="1" t="s">
        <v>6134</v>
      </c>
      <c r="K1186" s="1" t="s">
        <v>6135</v>
      </c>
    </row>
    <row r="1187" spans="1:11" ht="21" x14ac:dyDescent="0.25">
      <c r="A1187" s="11" t="str">
        <f>HYPERLINK("https://rth.dk/resources/bsgatlas/details.php?id=BSGatlas-transcript-1186","BSGatlas-transcript-1186")</f>
        <v>BSGatlas-transcript-1186</v>
      </c>
      <c r="B1187" s="1" t="s">
        <v>1131</v>
      </c>
      <c r="C1187" s="3">
        <v>1080150</v>
      </c>
      <c r="D1187" s="3">
        <v>1081385</v>
      </c>
      <c r="E1187" s="1" t="s">
        <v>13</v>
      </c>
      <c r="F1187" s="1">
        <v>0</v>
      </c>
      <c r="G1187" s="1" t="s">
        <v>4372</v>
      </c>
      <c r="H1187" s="1" t="s">
        <v>4372</v>
      </c>
      <c r="I1187" s="1" t="s">
        <v>4386</v>
      </c>
      <c r="J1187" s="1" t="s">
        <v>6134</v>
      </c>
      <c r="K1187" s="1" t="s">
        <v>6136</v>
      </c>
    </row>
    <row r="1188" spans="1:11" ht="21" x14ac:dyDescent="0.25">
      <c r="A1188" s="11" t="str">
        <f>HYPERLINK("https://rth.dk/resources/bsgatlas/details.php?id=BSGatlas-transcript-1187","BSGatlas-transcript-1187")</f>
        <v>BSGatlas-transcript-1187</v>
      </c>
      <c r="B1188" s="1" t="s">
        <v>6137</v>
      </c>
      <c r="C1188" s="3">
        <v>1080150</v>
      </c>
      <c r="D1188" s="3">
        <v>1082820</v>
      </c>
      <c r="E1188" s="1" t="s">
        <v>13</v>
      </c>
      <c r="F1188" s="1">
        <v>1</v>
      </c>
      <c r="G1188" s="1">
        <v>17</v>
      </c>
      <c r="H1188" s="1" t="s">
        <v>4372</v>
      </c>
      <c r="I1188" s="1" t="s">
        <v>4386</v>
      </c>
      <c r="J1188" s="1" t="s">
        <v>6138</v>
      </c>
      <c r="K1188" s="1" t="s">
        <v>6135</v>
      </c>
    </row>
    <row r="1189" spans="1:11" ht="21" x14ac:dyDescent="0.25">
      <c r="A1189" s="11" t="str">
        <f>HYPERLINK("https://rth.dk/resources/bsgatlas/details.php?id=BSGatlas-transcript-1188","BSGatlas-transcript-1188")</f>
        <v>BSGatlas-transcript-1188</v>
      </c>
      <c r="B1189" s="1" t="s">
        <v>6137</v>
      </c>
      <c r="C1189" s="3">
        <v>1080150</v>
      </c>
      <c r="D1189" s="3">
        <v>1082820</v>
      </c>
      <c r="E1189" s="1" t="s">
        <v>13</v>
      </c>
      <c r="F1189" s="1">
        <v>1</v>
      </c>
      <c r="G1189" s="1">
        <v>17</v>
      </c>
      <c r="H1189" s="1" t="s">
        <v>4372</v>
      </c>
      <c r="I1189" s="1" t="s">
        <v>4386</v>
      </c>
      <c r="J1189" s="1" t="s">
        <v>6138</v>
      </c>
      <c r="K1189" s="1" t="s">
        <v>6136</v>
      </c>
    </row>
    <row r="1190" spans="1:11" ht="21" x14ac:dyDescent="0.25">
      <c r="A1190" s="11" t="str">
        <f>HYPERLINK("https://rth.dk/resources/bsgatlas/details.php?id=BSGatlas-transcript-1189","BSGatlas-transcript-1189")</f>
        <v>BSGatlas-transcript-1189</v>
      </c>
      <c r="B1190" s="1" t="s">
        <v>1133</v>
      </c>
      <c r="C1190" s="3">
        <v>1083194</v>
      </c>
      <c r="D1190" s="3">
        <v>1083763</v>
      </c>
      <c r="E1190" s="1" t="s">
        <v>13</v>
      </c>
      <c r="F1190" s="1">
        <v>0</v>
      </c>
      <c r="G1190" s="1" t="s">
        <v>4372</v>
      </c>
      <c r="H1190" s="1" t="s">
        <v>4372</v>
      </c>
      <c r="I1190" s="1" t="s">
        <v>4373</v>
      </c>
      <c r="J1190" s="1" t="s">
        <v>6139</v>
      </c>
      <c r="K1190" s="1" t="s">
        <v>6140</v>
      </c>
    </row>
    <row r="1191" spans="1:11" ht="21" x14ac:dyDescent="0.25">
      <c r="A1191" s="11" t="str">
        <f>HYPERLINK("https://rth.dk/resources/bsgatlas/details.php?id=BSGatlas-transcript-1190","BSGatlas-transcript-1190")</f>
        <v>BSGatlas-transcript-1190</v>
      </c>
      <c r="B1191" s="1" t="s">
        <v>1133</v>
      </c>
      <c r="C1191" s="3">
        <v>1083194</v>
      </c>
      <c r="D1191" s="3">
        <v>1083898</v>
      </c>
      <c r="E1191" s="1" t="s">
        <v>13</v>
      </c>
      <c r="F1191" s="1">
        <v>0</v>
      </c>
      <c r="G1191" s="1" t="s">
        <v>4372</v>
      </c>
      <c r="H1191" s="1" t="s">
        <v>4372</v>
      </c>
      <c r="I1191" s="1" t="s">
        <v>4373</v>
      </c>
      <c r="J1191" s="1" t="s">
        <v>6141</v>
      </c>
      <c r="K1191" s="1" t="s">
        <v>6140</v>
      </c>
    </row>
    <row r="1192" spans="1:11" ht="21" x14ac:dyDescent="0.25">
      <c r="A1192" s="11" t="str">
        <f>HYPERLINK("https://rth.dk/resources/bsgatlas/details.php?id=BSGatlas-transcript-1191","BSGatlas-transcript-1191")</f>
        <v>BSGatlas-transcript-1191</v>
      </c>
      <c r="B1192" s="1" t="s">
        <v>1134</v>
      </c>
      <c r="C1192" s="3">
        <v>1083783</v>
      </c>
      <c r="D1192" s="3">
        <v>1086023</v>
      </c>
      <c r="E1192" s="1" t="s">
        <v>9</v>
      </c>
      <c r="F1192" s="1">
        <v>0</v>
      </c>
      <c r="G1192" s="1" t="s">
        <v>4372</v>
      </c>
      <c r="H1192" s="1" t="s">
        <v>4372</v>
      </c>
      <c r="I1192" s="1" t="s">
        <v>4373</v>
      </c>
      <c r="J1192" s="1" t="s">
        <v>6142</v>
      </c>
      <c r="K1192" s="1" t="s">
        <v>6143</v>
      </c>
    </row>
    <row r="1193" spans="1:11" ht="21" x14ac:dyDescent="0.25">
      <c r="A1193" s="11" t="str">
        <f>HYPERLINK("https://rth.dk/resources/bsgatlas/details.php?id=BSGatlas-transcript-1192","BSGatlas-transcript-1192")</f>
        <v>BSGatlas-transcript-1192</v>
      </c>
      <c r="B1193" s="1" t="s">
        <v>1134</v>
      </c>
      <c r="C1193" s="3">
        <v>1083822</v>
      </c>
      <c r="D1193" s="3">
        <v>1086023</v>
      </c>
      <c r="E1193" s="1" t="s">
        <v>9</v>
      </c>
      <c r="F1193" s="1">
        <v>0</v>
      </c>
      <c r="G1193" s="1" t="s">
        <v>4372</v>
      </c>
      <c r="H1193" s="1" t="s">
        <v>4372</v>
      </c>
      <c r="I1193" s="1" t="s">
        <v>4373</v>
      </c>
      <c r="J1193" s="1" t="s">
        <v>6144</v>
      </c>
      <c r="K1193" s="1" t="s">
        <v>6143</v>
      </c>
    </row>
    <row r="1194" spans="1:11" ht="21" x14ac:dyDescent="0.25">
      <c r="A1194" s="11" t="str">
        <f>HYPERLINK("https://rth.dk/resources/bsgatlas/details.php?id=BSGatlas-transcript-1193","BSGatlas-transcript-1193")</f>
        <v>BSGatlas-transcript-1193</v>
      </c>
      <c r="B1194" s="1" t="s">
        <v>6145</v>
      </c>
      <c r="C1194" s="3">
        <v>1086062</v>
      </c>
      <c r="D1194" s="3">
        <v>1088222</v>
      </c>
      <c r="E1194" s="1" t="s">
        <v>9</v>
      </c>
      <c r="F1194" s="1">
        <v>1</v>
      </c>
      <c r="G1194" s="1">
        <v>56</v>
      </c>
      <c r="H1194" s="1">
        <v>41</v>
      </c>
      <c r="I1194" s="1" t="s">
        <v>4377</v>
      </c>
      <c r="J1194" s="1" t="s">
        <v>6146</v>
      </c>
      <c r="K1194" s="1" t="s">
        <v>6147</v>
      </c>
    </row>
    <row r="1195" spans="1:11" ht="21" x14ac:dyDescent="0.25">
      <c r="A1195" s="11" t="str">
        <f>HYPERLINK("https://rth.dk/resources/bsgatlas/details.php?id=BSGatlas-transcript-1194","BSGatlas-transcript-1194")</f>
        <v>BSGatlas-transcript-1194</v>
      </c>
      <c r="B1195" s="1" t="s">
        <v>6148</v>
      </c>
      <c r="C1195" s="3">
        <v>1086062</v>
      </c>
      <c r="D1195" s="3">
        <v>1089646</v>
      </c>
      <c r="E1195" s="1" t="s">
        <v>9</v>
      </c>
      <c r="F1195" s="1">
        <v>1</v>
      </c>
      <c r="G1195" s="1">
        <v>56</v>
      </c>
      <c r="H1195" s="1">
        <v>38</v>
      </c>
      <c r="I1195" s="1" t="s">
        <v>4373</v>
      </c>
      <c r="J1195" s="1" t="s">
        <v>6146</v>
      </c>
      <c r="K1195" s="1" t="s">
        <v>6149</v>
      </c>
    </row>
    <row r="1196" spans="1:11" ht="21" x14ac:dyDescent="0.25">
      <c r="A1196" s="11" t="str">
        <f>HYPERLINK("https://rth.dk/resources/bsgatlas/details.php?id=BSGatlas-transcript-1195","BSGatlas-transcript-1195")</f>
        <v>BSGatlas-transcript-1195</v>
      </c>
      <c r="B1196" s="1" t="s">
        <v>6150</v>
      </c>
      <c r="C1196" s="3">
        <v>1089696</v>
      </c>
      <c r="D1196" s="3">
        <v>1092728</v>
      </c>
      <c r="E1196" s="1" t="s">
        <v>9</v>
      </c>
      <c r="F1196" s="1">
        <v>1</v>
      </c>
      <c r="G1196" s="1">
        <v>60</v>
      </c>
      <c r="H1196" s="1" t="s">
        <v>4372</v>
      </c>
      <c r="I1196" s="1" t="s">
        <v>4386</v>
      </c>
      <c r="J1196" s="1" t="s">
        <v>6151</v>
      </c>
      <c r="K1196" s="1" t="s">
        <v>6152</v>
      </c>
    </row>
    <row r="1197" spans="1:11" ht="21" x14ac:dyDescent="0.25">
      <c r="A1197" s="11" t="str">
        <f>HYPERLINK("https://rth.dk/resources/bsgatlas/details.php?id=BSGatlas-transcript-1196","BSGatlas-transcript-1196")</f>
        <v>BSGatlas-transcript-1196</v>
      </c>
      <c r="B1197" s="1" t="s">
        <v>1139</v>
      </c>
      <c r="C1197" s="3">
        <v>1090092</v>
      </c>
      <c r="D1197" s="3">
        <v>1092728</v>
      </c>
      <c r="E1197" s="1" t="s">
        <v>9</v>
      </c>
      <c r="F1197" s="1">
        <v>0</v>
      </c>
      <c r="G1197" s="1" t="s">
        <v>4372</v>
      </c>
      <c r="H1197" s="1" t="s">
        <v>4372</v>
      </c>
      <c r="I1197" s="1" t="s">
        <v>4377</v>
      </c>
      <c r="J1197" s="1" t="s">
        <v>6153</v>
      </c>
      <c r="K1197" s="1" t="s">
        <v>6152</v>
      </c>
    </row>
    <row r="1198" spans="1:11" ht="21" x14ac:dyDescent="0.25">
      <c r="A1198" s="11" t="str">
        <f>HYPERLINK("https://rth.dk/resources/bsgatlas/details.php?id=BSGatlas-transcript-1197","BSGatlas-transcript-1197")</f>
        <v>BSGatlas-transcript-1197</v>
      </c>
      <c r="B1198" s="1" t="s">
        <v>1140</v>
      </c>
      <c r="C1198" s="3">
        <v>1092721</v>
      </c>
      <c r="D1198" s="3">
        <v>1093779</v>
      </c>
      <c r="E1198" s="1" t="s">
        <v>13</v>
      </c>
      <c r="F1198" s="1">
        <v>0</v>
      </c>
      <c r="G1198" s="1" t="s">
        <v>4372</v>
      </c>
      <c r="H1198" s="1" t="s">
        <v>4372</v>
      </c>
      <c r="I1198" s="1" t="s">
        <v>4373</v>
      </c>
      <c r="J1198" s="1" t="s">
        <v>6154</v>
      </c>
      <c r="K1198" s="1" t="s">
        <v>6155</v>
      </c>
    </row>
    <row r="1199" spans="1:11" ht="21" x14ac:dyDescent="0.25">
      <c r="A1199" s="11" t="str">
        <f>HYPERLINK("https://rth.dk/resources/bsgatlas/details.php?id=BSGatlas-transcript-1198","BSGatlas-transcript-1198")</f>
        <v>BSGatlas-transcript-1198</v>
      </c>
      <c r="B1199" s="1" t="s">
        <v>1141</v>
      </c>
      <c r="C1199" s="3">
        <v>1093832</v>
      </c>
      <c r="D1199" s="3">
        <v>1094650</v>
      </c>
      <c r="E1199" s="1" t="s">
        <v>9</v>
      </c>
      <c r="F1199" s="1">
        <v>0</v>
      </c>
      <c r="G1199" s="1" t="s">
        <v>4372</v>
      </c>
      <c r="H1199" s="1" t="s">
        <v>4372</v>
      </c>
      <c r="I1199" s="1" t="s">
        <v>4386</v>
      </c>
      <c r="J1199" s="1" t="s">
        <v>6156</v>
      </c>
      <c r="K1199" s="1" t="s">
        <v>318</v>
      </c>
    </row>
    <row r="1200" spans="1:11" ht="21" x14ac:dyDescent="0.25">
      <c r="A1200" s="11" t="str">
        <f>HYPERLINK("https://rth.dk/resources/bsgatlas/details.php?id=BSGatlas-transcript-1199","BSGatlas-transcript-1199")</f>
        <v>BSGatlas-transcript-1199</v>
      </c>
      <c r="B1200" s="1" t="s">
        <v>1142</v>
      </c>
      <c r="C1200" s="3">
        <v>1094366</v>
      </c>
      <c r="D1200" s="3">
        <v>1094987</v>
      </c>
      <c r="E1200" s="1" t="s">
        <v>13</v>
      </c>
      <c r="F1200" s="1">
        <v>0</v>
      </c>
      <c r="G1200" s="1" t="s">
        <v>4372</v>
      </c>
      <c r="H1200" s="1" t="s">
        <v>4372</v>
      </c>
      <c r="I1200" s="1" t="s">
        <v>4377</v>
      </c>
      <c r="J1200" s="1" t="s">
        <v>6157</v>
      </c>
      <c r="K1200" s="1" t="s">
        <v>318</v>
      </c>
    </row>
    <row r="1201" spans="1:11" ht="21" x14ac:dyDescent="0.25">
      <c r="A1201" s="11" t="str">
        <f>HYPERLINK("https://rth.dk/resources/bsgatlas/details.php?id=BSGatlas-transcript-1200","BSGatlas-transcript-1200")</f>
        <v>BSGatlas-transcript-1200</v>
      </c>
      <c r="B1201" s="1" t="s">
        <v>6158</v>
      </c>
      <c r="C1201" s="3">
        <v>1095024</v>
      </c>
      <c r="D1201" s="3">
        <v>1096523</v>
      </c>
      <c r="E1201" s="1" t="s">
        <v>9</v>
      </c>
      <c r="F1201" s="1">
        <v>0</v>
      </c>
      <c r="G1201" s="1" t="s">
        <v>4372</v>
      </c>
      <c r="H1201" s="1" t="s">
        <v>4372</v>
      </c>
      <c r="I1201" s="1" t="s">
        <v>4386</v>
      </c>
      <c r="J1201" s="1" t="s">
        <v>6159</v>
      </c>
      <c r="K1201" s="1" t="s">
        <v>6160</v>
      </c>
    </row>
    <row r="1202" spans="1:11" ht="21" x14ac:dyDescent="0.25">
      <c r="A1202" s="11" t="str">
        <f>HYPERLINK("https://rth.dk/resources/bsgatlas/details.php?id=BSGatlas-transcript-1201","BSGatlas-transcript-1201")</f>
        <v>BSGatlas-transcript-1201</v>
      </c>
      <c r="B1202" s="1" t="s">
        <v>1145</v>
      </c>
      <c r="C1202" s="3">
        <v>1096560</v>
      </c>
      <c r="D1202" s="3">
        <v>1097950</v>
      </c>
      <c r="E1202" s="1" t="s">
        <v>13</v>
      </c>
      <c r="F1202" s="1">
        <v>0</v>
      </c>
      <c r="G1202" s="1" t="s">
        <v>4372</v>
      </c>
      <c r="H1202" s="1" t="s">
        <v>4372</v>
      </c>
      <c r="I1202" s="1" t="s">
        <v>4386</v>
      </c>
      <c r="J1202" s="1" t="s">
        <v>6161</v>
      </c>
      <c r="K1202" s="1" t="s">
        <v>6162</v>
      </c>
    </row>
    <row r="1203" spans="1:11" ht="21" x14ac:dyDescent="0.25">
      <c r="A1203" s="11" t="str">
        <f>HYPERLINK("https://rth.dk/resources/bsgatlas/details.php?id=BSGatlas-transcript-1202","BSGatlas-transcript-1202")</f>
        <v>BSGatlas-transcript-1202</v>
      </c>
      <c r="B1203" s="1" t="s">
        <v>1146</v>
      </c>
      <c r="C1203" s="3">
        <v>1098120</v>
      </c>
      <c r="D1203" s="3">
        <v>1098298</v>
      </c>
      <c r="E1203" s="1" t="s">
        <v>13</v>
      </c>
      <c r="F1203" s="1">
        <v>0</v>
      </c>
      <c r="G1203" s="1" t="s">
        <v>4372</v>
      </c>
      <c r="H1203" s="1" t="s">
        <v>4372</v>
      </c>
      <c r="I1203" s="1" t="s">
        <v>4386</v>
      </c>
      <c r="J1203" s="1" t="s">
        <v>6163</v>
      </c>
      <c r="K1203" s="1" t="s">
        <v>6164</v>
      </c>
    </row>
    <row r="1204" spans="1:11" ht="21" x14ac:dyDescent="0.25">
      <c r="A1204" s="11" t="str">
        <f>HYPERLINK("https://rth.dk/resources/bsgatlas/details.php?id=BSGatlas-transcript-1203","BSGatlas-transcript-1203")</f>
        <v>BSGatlas-transcript-1203</v>
      </c>
      <c r="B1204" s="1" t="s">
        <v>6165</v>
      </c>
      <c r="C1204" s="3">
        <v>1098365</v>
      </c>
      <c r="D1204" s="3">
        <v>1100863</v>
      </c>
      <c r="E1204" s="1" t="s">
        <v>9</v>
      </c>
      <c r="F1204" s="1">
        <v>1</v>
      </c>
      <c r="G1204" s="1">
        <v>48</v>
      </c>
      <c r="H1204" s="1" t="s">
        <v>4372</v>
      </c>
      <c r="I1204" s="1" t="s">
        <v>4386</v>
      </c>
      <c r="J1204" s="1" t="s">
        <v>6166</v>
      </c>
      <c r="K1204" s="1" t="s">
        <v>6167</v>
      </c>
    </row>
    <row r="1205" spans="1:11" ht="21" x14ac:dyDescent="0.25">
      <c r="A1205" s="11" t="str">
        <f>HYPERLINK("https://rth.dk/resources/bsgatlas/details.php?id=BSGatlas-transcript-1204","BSGatlas-transcript-1204")</f>
        <v>BSGatlas-transcript-1204</v>
      </c>
      <c r="B1205" s="1" t="s">
        <v>1150</v>
      </c>
      <c r="C1205" s="3">
        <v>1100926</v>
      </c>
      <c r="D1205" s="3">
        <v>1102564</v>
      </c>
      <c r="E1205" s="1" t="s">
        <v>9</v>
      </c>
      <c r="F1205" s="1">
        <v>0</v>
      </c>
      <c r="G1205" s="1" t="s">
        <v>4372</v>
      </c>
      <c r="H1205" s="1" t="s">
        <v>4372</v>
      </c>
      <c r="I1205" s="1" t="s">
        <v>4373</v>
      </c>
      <c r="J1205" s="1" t="s">
        <v>6168</v>
      </c>
      <c r="K1205" s="1" t="s">
        <v>6169</v>
      </c>
    </row>
    <row r="1206" spans="1:11" ht="21" x14ac:dyDescent="0.25">
      <c r="A1206" s="11" t="str">
        <f>HYPERLINK("https://rth.dk/resources/bsgatlas/details.php?id=BSGatlas-transcript-1205","BSGatlas-transcript-1205")</f>
        <v>BSGatlas-transcript-1205</v>
      </c>
      <c r="B1206" s="1" t="s">
        <v>1151</v>
      </c>
      <c r="C1206" s="3">
        <v>1102516</v>
      </c>
      <c r="D1206" s="3">
        <v>1102971</v>
      </c>
      <c r="E1206" s="1" t="s">
        <v>13</v>
      </c>
      <c r="F1206" s="1">
        <v>0</v>
      </c>
      <c r="G1206" s="1" t="s">
        <v>4372</v>
      </c>
      <c r="H1206" s="1" t="s">
        <v>4372</v>
      </c>
      <c r="I1206" s="1" t="s">
        <v>4373</v>
      </c>
      <c r="J1206" s="1" t="s">
        <v>6170</v>
      </c>
      <c r="K1206" s="1" t="s">
        <v>6171</v>
      </c>
    </row>
    <row r="1207" spans="1:11" ht="21" x14ac:dyDescent="0.25">
      <c r="A1207" s="11" t="str">
        <f>HYPERLINK("https://rth.dk/resources/bsgatlas/details.php?id=BSGatlas-transcript-1206","BSGatlas-transcript-1206")</f>
        <v>BSGatlas-transcript-1206</v>
      </c>
      <c r="B1207" s="1" t="s">
        <v>1151</v>
      </c>
      <c r="C1207" s="3">
        <v>1102516</v>
      </c>
      <c r="D1207" s="3">
        <v>1103545</v>
      </c>
      <c r="E1207" s="1" t="s">
        <v>13</v>
      </c>
      <c r="F1207" s="1">
        <v>0</v>
      </c>
      <c r="G1207" s="1" t="s">
        <v>4372</v>
      </c>
      <c r="H1207" s="1" t="s">
        <v>4372</v>
      </c>
      <c r="I1207" s="1" t="s">
        <v>4373</v>
      </c>
      <c r="J1207" s="1" t="s">
        <v>6172</v>
      </c>
      <c r="K1207" s="1" t="s">
        <v>6171</v>
      </c>
    </row>
    <row r="1208" spans="1:11" ht="21" x14ac:dyDescent="0.25">
      <c r="A1208" s="11" t="str">
        <f>HYPERLINK("https://rth.dk/resources/bsgatlas/details.php?id=BSGatlas-transcript-1207","BSGatlas-transcript-1207")</f>
        <v>BSGatlas-transcript-1207</v>
      </c>
      <c r="B1208" s="1" t="s">
        <v>1152</v>
      </c>
      <c r="C1208" s="3">
        <v>1103051</v>
      </c>
      <c r="D1208" s="3">
        <v>1104428</v>
      </c>
      <c r="E1208" s="1" t="s">
        <v>9</v>
      </c>
      <c r="F1208" s="1">
        <v>0</v>
      </c>
      <c r="G1208" s="1" t="s">
        <v>4372</v>
      </c>
      <c r="H1208" s="1" t="s">
        <v>4372</v>
      </c>
      <c r="I1208" s="1" t="s">
        <v>4373</v>
      </c>
      <c r="J1208" s="1" t="s">
        <v>6173</v>
      </c>
      <c r="K1208" s="1" t="s">
        <v>6174</v>
      </c>
    </row>
    <row r="1209" spans="1:11" ht="21" x14ac:dyDescent="0.25">
      <c r="A1209" s="11" t="str">
        <f>HYPERLINK("https://rth.dk/resources/bsgatlas/details.php?id=BSGatlas-transcript-1208","BSGatlas-transcript-1208")</f>
        <v>BSGatlas-transcript-1208</v>
      </c>
      <c r="B1209" s="1" t="s">
        <v>1153</v>
      </c>
      <c r="C1209" s="3">
        <v>1104373</v>
      </c>
      <c r="D1209" s="3">
        <v>1105626</v>
      </c>
      <c r="E1209" s="1" t="s">
        <v>13</v>
      </c>
      <c r="F1209" s="1">
        <v>0</v>
      </c>
      <c r="G1209" s="1" t="s">
        <v>4372</v>
      </c>
      <c r="H1209" s="1" t="s">
        <v>4372</v>
      </c>
      <c r="I1209" s="1" t="s">
        <v>4373</v>
      </c>
      <c r="J1209" s="1" t="s">
        <v>6175</v>
      </c>
      <c r="K1209" s="1" t="s">
        <v>6176</v>
      </c>
    </row>
    <row r="1210" spans="1:11" ht="21" x14ac:dyDescent="0.25">
      <c r="A1210" s="11" t="str">
        <f>HYPERLINK("https://rth.dk/resources/bsgatlas/details.php?id=BSGatlas-transcript-1209","BSGatlas-transcript-1209")</f>
        <v>BSGatlas-transcript-1209</v>
      </c>
      <c r="B1210" s="1" t="s">
        <v>6177</v>
      </c>
      <c r="C1210" s="3">
        <v>1105972</v>
      </c>
      <c r="D1210" s="3">
        <v>1107539</v>
      </c>
      <c r="E1210" s="1" t="s">
        <v>9</v>
      </c>
      <c r="F1210" s="1">
        <v>1</v>
      </c>
      <c r="G1210" s="1">
        <v>32</v>
      </c>
      <c r="H1210" s="1">
        <v>24</v>
      </c>
      <c r="I1210" s="1" t="s">
        <v>4377</v>
      </c>
      <c r="J1210" s="1" t="s">
        <v>6178</v>
      </c>
      <c r="K1210" s="1" t="s">
        <v>6179</v>
      </c>
    </row>
    <row r="1211" spans="1:11" ht="21" x14ac:dyDescent="0.25">
      <c r="A1211" s="11" t="str">
        <f>HYPERLINK("https://rth.dk/resources/bsgatlas/details.php?id=BSGatlas-transcript-1210","BSGatlas-transcript-1210")</f>
        <v>BSGatlas-transcript-1210</v>
      </c>
      <c r="B1211" s="1" t="s">
        <v>6180</v>
      </c>
      <c r="C1211" s="3">
        <v>1105972</v>
      </c>
      <c r="D1211" s="3">
        <v>1108704</v>
      </c>
      <c r="E1211" s="1" t="s">
        <v>9</v>
      </c>
      <c r="F1211" s="1">
        <v>2</v>
      </c>
      <c r="G1211" s="1">
        <v>32</v>
      </c>
      <c r="H1211" s="1" t="s">
        <v>4372</v>
      </c>
      <c r="I1211" s="1" t="s">
        <v>4386</v>
      </c>
      <c r="J1211" s="1" t="s">
        <v>6178</v>
      </c>
      <c r="K1211" s="1" t="s">
        <v>6181</v>
      </c>
    </row>
    <row r="1212" spans="1:11" ht="21" x14ac:dyDescent="0.25">
      <c r="A1212" s="11" t="str">
        <f>HYPERLINK("https://rth.dk/resources/bsgatlas/details.php?id=BSGatlas-transcript-1211","BSGatlas-transcript-1211")</f>
        <v>BSGatlas-transcript-1211</v>
      </c>
      <c r="B1212" s="1" t="s">
        <v>6180</v>
      </c>
      <c r="C1212" s="3">
        <v>1105972</v>
      </c>
      <c r="D1212" s="3">
        <v>1108744</v>
      </c>
      <c r="E1212" s="1" t="s">
        <v>9</v>
      </c>
      <c r="F1212" s="1">
        <v>2</v>
      </c>
      <c r="G1212" s="1">
        <v>32</v>
      </c>
      <c r="H1212" s="1">
        <v>41</v>
      </c>
      <c r="I1212" s="1" t="s">
        <v>4386</v>
      </c>
      <c r="J1212" s="1" t="s">
        <v>6178</v>
      </c>
      <c r="K1212" s="1" t="s">
        <v>6182</v>
      </c>
    </row>
    <row r="1213" spans="1:11" ht="21" x14ac:dyDescent="0.25">
      <c r="A1213" s="11" t="str">
        <f>HYPERLINK("https://rth.dk/resources/bsgatlas/details.php?id=BSGatlas-transcript-1212","BSGatlas-transcript-1212")</f>
        <v>BSGatlas-transcript-1212</v>
      </c>
      <c r="B1213" s="1" t="s">
        <v>1155</v>
      </c>
      <c r="C1213" s="3">
        <v>1106497</v>
      </c>
      <c r="D1213" s="3">
        <v>1107539</v>
      </c>
      <c r="E1213" s="1" t="s">
        <v>9</v>
      </c>
      <c r="F1213" s="1">
        <v>0</v>
      </c>
      <c r="G1213" s="1" t="s">
        <v>4372</v>
      </c>
      <c r="H1213" s="1" t="s">
        <v>4372</v>
      </c>
      <c r="I1213" s="1" t="s">
        <v>4377</v>
      </c>
      <c r="J1213" s="1" t="s">
        <v>6183</v>
      </c>
      <c r="K1213" s="1" t="s">
        <v>6179</v>
      </c>
    </row>
    <row r="1214" spans="1:11" ht="21" x14ac:dyDescent="0.25">
      <c r="A1214" s="11" t="str">
        <f>HYPERLINK("https://rth.dk/resources/bsgatlas/details.php?id=BSGatlas-transcript-1213","BSGatlas-transcript-1213")</f>
        <v>BSGatlas-transcript-1213</v>
      </c>
      <c r="B1214" s="1" t="s">
        <v>6184</v>
      </c>
      <c r="C1214" s="3">
        <v>1106497</v>
      </c>
      <c r="D1214" s="3">
        <v>1108704</v>
      </c>
      <c r="E1214" s="1" t="s">
        <v>9</v>
      </c>
      <c r="F1214" s="1">
        <v>1</v>
      </c>
      <c r="G1214" s="1">
        <v>28</v>
      </c>
      <c r="H1214" s="1" t="s">
        <v>4372</v>
      </c>
      <c r="I1214" s="1" t="s">
        <v>4386</v>
      </c>
      <c r="J1214" s="1" t="s">
        <v>6183</v>
      </c>
      <c r="K1214" s="1" t="s">
        <v>6181</v>
      </c>
    </row>
    <row r="1215" spans="1:11" ht="21" x14ac:dyDescent="0.25">
      <c r="A1215" s="11" t="str">
        <f>HYPERLINK("https://rth.dk/resources/bsgatlas/details.php?id=BSGatlas-transcript-1214","BSGatlas-transcript-1214")</f>
        <v>BSGatlas-transcript-1214</v>
      </c>
      <c r="B1215" s="1" t="s">
        <v>6184</v>
      </c>
      <c r="C1215" s="3">
        <v>1106497</v>
      </c>
      <c r="D1215" s="3">
        <v>1108744</v>
      </c>
      <c r="E1215" s="1" t="s">
        <v>9</v>
      </c>
      <c r="F1215" s="1">
        <v>1</v>
      </c>
      <c r="G1215" s="1">
        <v>28</v>
      </c>
      <c r="H1215" s="1">
        <v>41</v>
      </c>
      <c r="I1215" s="1" t="s">
        <v>4386</v>
      </c>
      <c r="J1215" s="1" t="s">
        <v>6183</v>
      </c>
      <c r="K1215" s="1" t="s">
        <v>6182</v>
      </c>
    </row>
    <row r="1216" spans="1:11" ht="21" x14ac:dyDescent="0.25">
      <c r="A1216" s="11" t="str">
        <f>HYPERLINK("https://rth.dk/resources/bsgatlas/details.php?id=BSGatlas-transcript-1215","BSGatlas-transcript-1215")</f>
        <v>BSGatlas-transcript-1215</v>
      </c>
      <c r="B1216" s="1" t="s">
        <v>1156</v>
      </c>
      <c r="C1216" s="3">
        <v>1107674</v>
      </c>
      <c r="D1216" s="3">
        <v>1108704</v>
      </c>
      <c r="E1216" s="1" t="s">
        <v>9</v>
      </c>
      <c r="F1216" s="1">
        <v>0</v>
      </c>
      <c r="G1216" s="1" t="s">
        <v>4372</v>
      </c>
      <c r="H1216" s="1" t="s">
        <v>4372</v>
      </c>
      <c r="I1216" s="1" t="s">
        <v>4373</v>
      </c>
      <c r="J1216" s="1" t="s">
        <v>6185</v>
      </c>
      <c r="K1216" s="1" t="s">
        <v>6181</v>
      </c>
    </row>
    <row r="1217" spans="1:11" ht="21" x14ac:dyDescent="0.25">
      <c r="A1217" s="11" t="str">
        <f>HYPERLINK("https://rth.dk/resources/bsgatlas/details.php?id=BSGatlas-transcript-1216","BSGatlas-transcript-1216")</f>
        <v>BSGatlas-transcript-1216</v>
      </c>
      <c r="B1217" s="1" t="s">
        <v>1156</v>
      </c>
      <c r="C1217" s="3">
        <v>1107674</v>
      </c>
      <c r="D1217" s="3">
        <v>1108744</v>
      </c>
      <c r="E1217" s="1" t="s">
        <v>9</v>
      </c>
      <c r="F1217" s="1">
        <v>0</v>
      </c>
      <c r="G1217" s="1" t="s">
        <v>4372</v>
      </c>
      <c r="H1217" s="1" t="s">
        <v>4372</v>
      </c>
      <c r="I1217" s="1" t="s">
        <v>4373</v>
      </c>
      <c r="J1217" s="1" t="s">
        <v>6185</v>
      </c>
      <c r="K1217" s="1" t="s">
        <v>6182</v>
      </c>
    </row>
    <row r="1218" spans="1:11" ht="21" x14ac:dyDescent="0.25">
      <c r="A1218" s="11" t="str">
        <f>HYPERLINK("https://rth.dk/resources/bsgatlas/details.php?id=BSGatlas-transcript-1217","BSGatlas-transcript-1217")</f>
        <v>BSGatlas-transcript-1217</v>
      </c>
      <c r="B1218" s="1" t="s">
        <v>1157</v>
      </c>
      <c r="C1218" s="3">
        <v>1108736</v>
      </c>
      <c r="D1218" s="3">
        <v>1109353</v>
      </c>
      <c r="E1218" s="1" t="s">
        <v>13</v>
      </c>
      <c r="F1218" s="1">
        <v>0</v>
      </c>
      <c r="G1218" s="1" t="s">
        <v>4372</v>
      </c>
      <c r="H1218" s="1" t="s">
        <v>4372</v>
      </c>
      <c r="I1218" s="1" t="s">
        <v>4386</v>
      </c>
      <c r="J1218" s="1" t="s">
        <v>6186</v>
      </c>
      <c r="K1218" s="1" t="s">
        <v>6187</v>
      </c>
    </row>
    <row r="1219" spans="1:11" ht="21" x14ac:dyDescent="0.25">
      <c r="A1219" s="11" t="str">
        <f>HYPERLINK("https://rth.dk/resources/bsgatlas/details.php?id=BSGatlas-transcript-1218","BSGatlas-transcript-1218")</f>
        <v>BSGatlas-transcript-1218</v>
      </c>
      <c r="B1219" s="1" t="s">
        <v>6188</v>
      </c>
      <c r="C1219" s="3">
        <v>1108736</v>
      </c>
      <c r="D1219" s="3">
        <v>1111949</v>
      </c>
      <c r="E1219" s="1" t="s">
        <v>13</v>
      </c>
      <c r="F1219" s="1">
        <v>1</v>
      </c>
      <c r="G1219" s="1">
        <v>32</v>
      </c>
      <c r="H1219" s="1" t="s">
        <v>4372</v>
      </c>
      <c r="I1219" s="1" t="s">
        <v>4386</v>
      </c>
      <c r="J1219" s="1" t="s">
        <v>6189</v>
      </c>
      <c r="K1219" s="1" t="s">
        <v>6187</v>
      </c>
    </row>
    <row r="1220" spans="1:11" ht="21" x14ac:dyDescent="0.25">
      <c r="A1220" s="11" t="str">
        <f>HYPERLINK("https://rth.dk/resources/bsgatlas/details.php?id=BSGatlas-transcript-1219","BSGatlas-transcript-1219")</f>
        <v>BSGatlas-transcript-1219</v>
      </c>
      <c r="B1220" s="1" t="s">
        <v>6190</v>
      </c>
      <c r="C1220" s="3">
        <v>1108736</v>
      </c>
      <c r="D1220" s="3">
        <v>1112524</v>
      </c>
      <c r="E1220" s="1" t="s">
        <v>13</v>
      </c>
      <c r="F1220" s="1">
        <v>1</v>
      </c>
      <c r="G1220" s="1">
        <v>40</v>
      </c>
      <c r="H1220" s="1" t="s">
        <v>4372</v>
      </c>
      <c r="I1220" s="1" t="s">
        <v>4386</v>
      </c>
      <c r="J1220" s="1" t="s">
        <v>6191</v>
      </c>
      <c r="K1220" s="1" t="s">
        <v>6187</v>
      </c>
    </row>
    <row r="1221" spans="1:11" ht="21" x14ac:dyDescent="0.25">
      <c r="A1221" s="11" t="str">
        <f>HYPERLINK("https://rth.dk/resources/bsgatlas/details.php?id=BSGatlas-transcript-1220","BSGatlas-transcript-1220")</f>
        <v>BSGatlas-transcript-1220</v>
      </c>
      <c r="B1221" s="1" t="s">
        <v>1161</v>
      </c>
      <c r="C1221" s="3">
        <v>1112575</v>
      </c>
      <c r="D1221" s="3">
        <v>1113975</v>
      </c>
      <c r="E1221" s="1" t="s">
        <v>13</v>
      </c>
      <c r="F1221" s="1">
        <v>0</v>
      </c>
      <c r="G1221" s="1" t="s">
        <v>4372</v>
      </c>
      <c r="H1221" s="1" t="s">
        <v>4372</v>
      </c>
      <c r="I1221" s="1" t="s">
        <v>4373</v>
      </c>
      <c r="J1221" s="1" t="s">
        <v>6192</v>
      </c>
      <c r="K1221" s="1" t="s">
        <v>6193</v>
      </c>
    </row>
    <row r="1222" spans="1:11" ht="21" x14ac:dyDescent="0.25">
      <c r="A1222" s="11" t="str">
        <f>HYPERLINK("https://rth.dk/resources/bsgatlas/details.php?id=BSGatlas-transcript-1221","BSGatlas-transcript-1221")</f>
        <v>BSGatlas-transcript-1221</v>
      </c>
      <c r="B1222" s="1" t="s">
        <v>1162</v>
      </c>
      <c r="C1222" s="3">
        <v>1114022</v>
      </c>
      <c r="D1222" s="3">
        <v>1115610</v>
      </c>
      <c r="E1222" s="1" t="s">
        <v>13</v>
      </c>
      <c r="F1222" s="1">
        <v>0</v>
      </c>
      <c r="G1222" s="1" t="s">
        <v>4372</v>
      </c>
      <c r="H1222" s="1" t="s">
        <v>4372</v>
      </c>
      <c r="I1222" s="1" t="s">
        <v>4373</v>
      </c>
      <c r="J1222" s="1" t="s">
        <v>6194</v>
      </c>
      <c r="K1222" s="1" t="s">
        <v>6195</v>
      </c>
    </row>
    <row r="1223" spans="1:11" ht="21" x14ac:dyDescent="0.25">
      <c r="A1223" s="11" t="str">
        <f>HYPERLINK("https://rth.dk/resources/bsgatlas/details.php?id=BSGatlas-transcript-1222","BSGatlas-transcript-1222")</f>
        <v>BSGatlas-transcript-1222</v>
      </c>
      <c r="B1223" s="1" t="s">
        <v>1163</v>
      </c>
      <c r="C1223" s="3">
        <v>1115659</v>
      </c>
      <c r="D1223" s="3">
        <v>1116597</v>
      </c>
      <c r="E1223" s="1" t="s">
        <v>9</v>
      </c>
      <c r="F1223" s="1">
        <v>0</v>
      </c>
      <c r="G1223" s="1" t="s">
        <v>4372</v>
      </c>
      <c r="H1223" s="1" t="s">
        <v>4372</v>
      </c>
      <c r="I1223" s="1" t="s">
        <v>4373</v>
      </c>
      <c r="J1223" s="1" t="s">
        <v>6196</v>
      </c>
      <c r="K1223" s="1" t="s">
        <v>6197</v>
      </c>
    </row>
    <row r="1224" spans="1:11" ht="21" x14ac:dyDescent="0.25">
      <c r="A1224" s="11" t="str">
        <f>HYPERLINK("https://rth.dk/resources/bsgatlas/details.php?id=BSGatlas-transcript-1223","BSGatlas-transcript-1223")</f>
        <v>BSGatlas-transcript-1223</v>
      </c>
      <c r="B1224" s="1" t="s">
        <v>1164</v>
      </c>
      <c r="C1224" s="3">
        <v>1116547</v>
      </c>
      <c r="D1224" s="3">
        <v>1116855</v>
      </c>
      <c r="E1224" s="1" t="s">
        <v>13</v>
      </c>
      <c r="F1224" s="1">
        <v>0</v>
      </c>
      <c r="G1224" s="1" t="s">
        <v>4372</v>
      </c>
      <c r="H1224" s="1" t="s">
        <v>4372</v>
      </c>
      <c r="I1224" s="1" t="s">
        <v>4373</v>
      </c>
      <c r="J1224" s="1" t="s">
        <v>6198</v>
      </c>
      <c r="K1224" s="1" t="s">
        <v>6199</v>
      </c>
    </row>
    <row r="1225" spans="1:11" ht="21" x14ac:dyDescent="0.25">
      <c r="A1225" s="11" t="str">
        <f>HYPERLINK("https://rth.dk/resources/bsgatlas/details.php?id=BSGatlas-transcript-1224","BSGatlas-transcript-1224")</f>
        <v>BSGatlas-transcript-1224</v>
      </c>
      <c r="B1225" s="1" t="s">
        <v>1164</v>
      </c>
      <c r="C1225" s="3">
        <v>1116583</v>
      </c>
      <c r="D1225" s="3">
        <v>1116855</v>
      </c>
      <c r="E1225" s="1" t="s">
        <v>13</v>
      </c>
      <c r="F1225" s="1">
        <v>0</v>
      </c>
      <c r="G1225" s="1" t="s">
        <v>4372</v>
      </c>
      <c r="H1225" s="1" t="s">
        <v>4372</v>
      </c>
      <c r="I1225" s="1" t="s">
        <v>4373</v>
      </c>
      <c r="J1225" s="1" t="s">
        <v>6198</v>
      </c>
      <c r="K1225" s="1" t="s">
        <v>6200</v>
      </c>
    </row>
    <row r="1226" spans="1:11" ht="21" x14ac:dyDescent="0.25">
      <c r="A1226" s="11" t="str">
        <f>HYPERLINK("https://rth.dk/resources/bsgatlas/details.php?id=BSGatlas-transcript-1225","BSGatlas-transcript-1225")</f>
        <v>BSGatlas-transcript-1225</v>
      </c>
      <c r="B1226" s="1" t="s">
        <v>1165</v>
      </c>
      <c r="C1226" s="3">
        <v>1116836</v>
      </c>
      <c r="D1226" s="3">
        <v>1117738</v>
      </c>
      <c r="E1226" s="1" t="s">
        <v>9</v>
      </c>
      <c r="F1226" s="1">
        <v>0</v>
      </c>
      <c r="G1226" s="1" t="s">
        <v>4372</v>
      </c>
      <c r="H1226" s="1" t="s">
        <v>4372</v>
      </c>
      <c r="I1226" s="1" t="s">
        <v>4373</v>
      </c>
      <c r="J1226" s="1" t="s">
        <v>6201</v>
      </c>
      <c r="K1226" s="1" t="s">
        <v>6202</v>
      </c>
    </row>
    <row r="1227" spans="1:11" ht="21" x14ac:dyDescent="0.25">
      <c r="A1227" s="11" t="str">
        <f>HYPERLINK("https://rth.dk/resources/bsgatlas/details.php?id=BSGatlas-transcript-1226","BSGatlas-transcript-1226")</f>
        <v>BSGatlas-transcript-1226</v>
      </c>
      <c r="B1227" s="1" t="s">
        <v>1165</v>
      </c>
      <c r="C1227" s="3">
        <v>1117073</v>
      </c>
      <c r="D1227" s="3">
        <v>1117738</v>
      </c>
      <c r="E1227" s="1" t="s">
        <v>9</v>
      </c>
      <c r="F1227" s="1">
        <v>0</v>
      </c>
      <c r="G1227" s="1" t="s">
        <v>4372</v>
      </c>
      <c r="H1227" s="1" t="s">
        <v>4372</v>
      </c>
      <c r="I1227" s="1" t="s">
        <v>4373</v>
      </c>
      <c r="J1227" s="1" t="s">
        <v>6203</v>
      </c>
      <c r="K1227" s="1" t="s">
        <v>6202</v>
      </c>
    </row>
    <row r="1228" spans="1:11" ht="21" x14ac:dyDescent="0.25">
      <c r="A1228" s="11" t="str">
        <f>HYPERLINK("https://rth.dk/resources/bsgatlas/details.php?id=BSGatlas-transcript-1227","BSGatlas-transcript-1227")</f>
        <v>BSGatlas-transcript-1227</v>
      </c>
      <c r="B1228" s="1" t="s">
        <v>1166</v>
      </c>
      <c r="C1228" s="3">
        <v>1117684</v>
      </c>
      <c r="D1228" s="3">
        <v>1118677</v>
      </c>
      <c r="E1228" s="1" t="s">
        <v>13</v>
      </c>
      <c r="F1228" s="1">
        <v>0</v>
      </c>
      <c r="G1228" s="1" t="s">
        <v>4372</v>
      </c>
      <c r="H1228" s="1" t="s">
        <v>4372</v>
      </c>
      <c r="I1228" s="1" t="s">
        <v>4373</v>
      </c>
      <c r="J1228" s="1" t="s">
        <v>6204</v>
      </c>
      <c r="K1228" s="1" t="s">
        <v>6205</v>
      </c>
    </row>
    <row r="1229" spans="1:11" ht="21" x14ac:dyDescent="0.25">
      <c r="A1229" s="11" t="str">
        <f>HYPERLINK("https://rth.dk/resources/bsgatlas/details.php?id=BSGatlas-transcript-1228","BSGatlas-transcript-1228")</f>
        <v>BSGatlas-transcript-1228</v>
      </c>
      <c r="B1229" s="1" t="s">
        <v>1166</v>
      </c>
      <c r="C1229" s="3">
        <v>1117734</v>
      </c>
      <c r="D1229" s="3">
        <v>1118677</v>
      </c>
      <c r="E1229" s="1" t="s">
        <v>13</v>
      </c>
      <c r="F1229" s="1">
        <v>0</v>
      </c>
      <c r="G1229" s="1" t="s">
        <v>4372</v>
      </c>
      <c r="H1229" s="1" t="s">
        <v>4372</v>
      </c>
      <c r="I1229" s="1" t="s">
        <v>4373</v>
      </c>
      <c r="J1229" s="1" t="s">
        <v>6204</v>
      </c>
      <c r="K1229" s="1" t="s">
        <v>6206</v>
      </c>
    </row>
    <row r="1230" spans="1:11" ht="21" x14ac:dyDescent="0.25">
      <c r="A1230" s="11" t="str">
        <f>HYPERLINK("https://rth.dk/resources/bsgatlas/details.php?id=BSGatlas-transcript-1229","BSGatlas-transcript-1229")</f>
        <v>BSGatlas-transcript-1229</v>
      </c>
      <c r="B1230" s="1" t="s">
        <v>1167</v>
      </c>
      <c r="C1230" s="3">
        <v>1117844</v>
      </c>
      <c r="D1230" s="3">
        <v>1117930</v>
      </c>
      <c r="E1230" s="1" t="s">
        <v>9</v>
      </c>
      <c r="F1230" s="1">
        <v>0</v>
      </c>
      <c r="G1230" s="1" t="s">
        <v>4372</v>
      </c>
      <c r="H1230" s="1" t="s">
        <v>4372</v>
      </c>
      <c r="I1230" s="1" t="s">
        <v>4377</v>
      </c>
      <c r="J1230" s="1" t="s">
        <v>6207</v>
      </c>
      <c r="K1230" s="1" t="s">
        <v>6208</v>
      </c>
    </row>
    <row r="1231" spans="1:11" ht="21" x14ac:dyDescent="0.25">
      <c r="A1231" s="11" t="str">
        <f>HYPERLINK("https://rth.dk/resources/bsgatlas/details.php?id=BSGatlas-transcript-1230","BSGatlas-transcript-1230")</f>
        <v>BSGatlas-transcript-1230</v>
      </c>
      <c r="B1231" s="1" t="s">
        <v>1168</v>
      </c>
      <c r="C1231" s="3">
        <v>1118792</v>
      </c>
      <c r="D1231" s="3">
        <v>1119119</v>
      </c>
      <c r="E1231" s="1" t="s">
        <v>9</v>
      </c>
      <c r="F1231" s="1">
        <v>0</v>
      </c>
      <c r="G1231" s="1" t="s">
        <v>4372</v>
      </c>
      <c r="H1231" s="1" t="s">
        <v>4372</v>
      </c>
      <c r="I1231" s="1" t="s">
        <v>4397</v>
      </c>
      <c r="J1231" s="1" t="s">
        <v>6209</v>
      </c>
      <c r="K1231" s="1" t="s">
        <v>6210</v>
      </c>
    </row>
    <row r="1232" spans="1:11" ht="21" x14ac:dyDescent="0.25">
      <c r="A1232" s="11" t="str">
        <f>HYPERLINK("https://rth.dk/resources/bsgatlas/details.php?id=BSGatlas-transcript-1231","BSGatlas-transcript-1231")</f>
        <v>BSGatlas-transcript-1231</v>
      </c>
      <c r="B1232" s="1" t="s">
        <v>6211</v>
      </c>
      <c r="C1232" s="3">
        <v>1119115</v>
      </c>
      <c r="D1232" s="3">
        <v>1120947</v>
      </c>
      <c r="E1232" s="1" t="s">
        <v>13</v>
      </c>
      <c r="F1232" s="1">
        <v>0</v>
      </c>
      <c r="G1232" s="1" t="s">
        <v>4372</v>
      </c>
      <c r="H1232" s="1" t="s">
        <v>4372</v>
      </c>
      <c r="I1232" s="1" t="s">
        <v>4373</v>
      </c>
      <c r="J1232" s="1" t="s">
        <v>6212</v>
      </c>
      <c r="K1232" s="1" t="s">
        <v>6213</v>
      </c>
    </row>
    <row r="1233" spans="1:11" ht="21" x14ac:dyDescent="0.25">
      <c r="A1233" s="11" t="str">
        <f>HYPERLINK("https://rth.dk/resources/bsgatlas/details.php?id=BSGatlas-transcript-1232","BSGatlas-transcript-1232")</f>
        <v>BSGatlas-transcript-1232</v>
      </c>
      <c r="B1233" s="1" t="s">
        <v>1171</v>
      </c>
      <c r="C1233" s="3">
        <v>1121013</v>
      </c>
      <c r="D1233" s="3">
        <v>1121446</v>
      </c>
      <c r="E1233" s="1" t="s">
        <v>13</v>
      </c>
      <c r="F1233" s="1">
        <v>0</v>
      </c>
      <c r="G1233" s="1" t="s">
        <v>4372</v>
      </c>
      <c r="H1233" s="1" t="s">
        <v>4372</v>
      </c>
      <c r="I1233" s="1" t="s">
        <v>4373</v>
      </c>
      <c r="J1233" s="1" t="s">
        <v>6214</v>
      </c>
      <c r="K1233" s="1" t="s">
        <v>6215</v>
      </c>
    </row>
    <row r="1234" spans="1:11" ht="21" x14ac:dyDescent="0.25">
      <c r="A1234" s="11" t="str">
        <f>HYPERLINK("https://rth.dk/resources/bsgatlas/details.php?id=BSGatlas-transcript-1233","BSGatlas-transcript-1233")</f>
        <v>BSGatlas-transcript-1233</v>
      </c>
      <c r="B1234" s="1" t="s">
        <v>6216</v>
      </c>
      <c r="C1234" s="3">
        <v>1121258</v>
      </c>
      <c r="D1234" s="3">
        <v>1122720</v>
      </c>
      <c r="E1234" s="1" t="s">
        <v>9</v>
      </c>
      <c r="F1234" s="1">
        <v>0</v>
      </c>
      <c r="G1234" s="1" t="s">
        <v>4372</v>
      </c>
      <c r="H1234" s="1" t="s">
        <v>4372</v>
      </c>
      <c r="I1234" s="1" t="s">
        <v>4373</v>
      </c>
      <c r="J1234" s="1" t="s">
        <v>6217</v>
      </c>
      <c r="K1234" s="1" t="s">
        <v>6218</v>
      </c>
    </row>
    <row r="1235" spans="1:11" ht="21" x14ac:dyDescent="0.25">
      <c r="A1235" s="11" t="str">
        <f>HYPERLINK("https://rth.dk/resources/bsgatlas/details.php?id=BSGatlas-transcript-1234","BSGatlas-transcript-1234")</f>
        <v>BSGatlas-transcript-1234</v>
      </c>
      <c r="B1235" s="1" t="s">
        <v>6216</v>
      </c>
      <c r="C1235" s="3">
        <v>1121508</v>
      </c>
      <c r="D1235" s="3">
        <v>1122720</v>
      </c>
      <c r="E1235" s="1" t="s">
        <v>9</v>
      </c>
      <c r="F1235" s="1">
        <v>0</v>
      </c>
      <c r="G1235" s="1" t="s">
        <v>4372</v>
      </c>
      <c r="H1235" s="1" t="s">
        <v>4372</v>
      </c>
      <c r="I1235" s="1" t="s">
        <v>4373</v>
      </c>
      <c r="J1235" s="1" t="s">
        <v>6219</v>
      </c>
      <c r="K1235" s="1" t="s">
        <v>6218</v>
      </c>
    </row>
    <row r="1236" spans="1:11" ht="21" x14ac:dyDescent="0.25">
      <c r="A1236" s="11" t="str">
        <f>HYPERLINK("https://rth.dk/resources/bsgatlas/details.php?id=BSGatlas-transcript-1235","BSGatlas-transcript-1235")</f>
        <v>BSGatlas-transcript-1235</v>
      </c>
      <c r="B1236" s="1" t="s">
        <v>6220</v>
      </c>
      <c r="C1236" s="3">
        <v>1122762</v>
      </c>
      <c r="D1236" s="3">
        <v>1124965</v>
      </c>
      <c r="E1236" s="1" t="s">
        <v>9</v>
      </c>
      <c r="F1236" s="1">
        <v>1</v>
      </c>
      <c r="G1236" s="1">
        <v>101</v>
      </c>
      <c r="H1236" s="1" t="s">
        <v>4372</v>
      </c>
      <c r="I1236" s="1" t="s">
        <v>4386</v>
      </c>
      <c r="J1236" s="1" t="s">
        <v>6221</v>
      </c>
      <c r="K1236" s="1" t="s">
        <v>6222</v>
      </c>
    </row>
    <row r="1237" spans="1:11" ht="21" x14ac:dyDescent="0.25">
      <c r="A1237" s="11" t="str">
        <f>HYPERLINK("https://rth.dk/resources/bsgatlas/details.php?id=BSGatlas-transcript-1236","BSGatlas-transcript-1236")</f>
        <v>BSGatlas-transcript-1236</v>
      </c>
      <c r="B1237" s="1" t="s">
        <v>1175</v>
      </c>
      <c r="C1237" s="3">
        <v>1124388</v>
      </c>
      <c r="D1237" s="3">
        <v>1124965</v>
      </c>
      <c r="E1237" s="1" t="s">
        <v>9</v>
      </c>
      <c r="F1237" s="1">
        <v>0</v>
      </c>
      <c r="G1237" s="1" t="s">
        <v>4372</v>
      </c>
      <c r="H1237" s="1" t="s">
        <v>4372</v>
      </c>
      <c r="I1237" s="1" t="s">
        <v>4386</v>
      </c>
      <c r="J1237" s="1" t="s">
        <v>6223</v>
      </c>
      <c r="K1237" s="1" t="s">
        <v>6222</v>
      </c>
    </row>
    <row r="1238" spans="1:11" ht="21" x14ac:dyDescent="0.25">
      <c r="A1238" s="11" t="str">
        <f>HYPERLINK("https://rth.dk/resources/bsgatlas/details.php?id=BSGatlas-transcript-1237","BSGatlas-transcript-1237")</f>
        <v>BSGatlas-transcript-1237</v>
      </c>
      <c r="B1238" s="1" t="s">
        <v>6224</v>
      </c>
      <c r="C1238" s="3">
        <v>1124955</v>
      </c>
      <c r="D1238" s="3">
        <v>1129653</v>
      </c>
      <c r="E1238" s="1" t="s">
        <v>13</v>
      </c>
      <c r="F1238" s="1">
        <v>1</v>
      </c>
      <c r="G1238" s="1">
        <v>43</v>
      </c>
      <c r="H1238" s="1">
        <v>169</v>
      </c>
      <c r="I1238" s="1" t="s">
        <v>4373</v>
      </c>
      <c r="J1238" s="1" t="s">
        <v>6225</v>
      </c>
      <c r="K1238" s="1" t="s">
        <v>6226</v>
      </c>
    </row>
    <row r="1239" spans="1:11" ht="21" x14ac:dyDescent="0.25">
      <c r="A1239" s="11" t="str">
        <f>HYPERLINK("https://rth.dk/resources/bsgatlas/details.php?id=BSGatlas-transcript-1238","BSGatlas-transcript-1238")</f>
        <v>BSGatlas-transcript-1238</v>
      </c>
      <c r="B1239" s="1" t="s">
        <v>1180</v>
      </c>
      <c r="C1239" s="3">
        <v>1125843</v>
      </c>
      <c r="D1239" s="3">
        <v>1126369</v>
      </c>
      <c r="E1239" s="1" t="s">
        <v>9</v>
      </c>
      <c r="F1239" s="1">
        <v>0</v>
      </c>
      <c r="G1239" s="1" t="s">
        <v>4372</v>
      </c>
      <c r="H1239" s="1" t="s">
        <v>4372</v>
      </c>
      <c r="I1239" s="1" t="s">
        <v>4377</v>
      </c>
      <c r="J1239" s="1" t="s">
        <v>6227</v>
      </c>
      <c r="K1239" s="1" t="s">
        <v>6228</v>
      </c>
    </row>
    <row r="1240" spans="1:11" ht="21" x14ac:dyDescent="0.25">
      <c r="A1240" s="11" t="str">
        <f>HYPERLINK("https://rth.dk/resources/bsgatlas/details.php?id=BSGatlas-transcript-1239","BSGatlas-transcript-1239")</f>
        <v>BSGatlas-transcript-1239</v>
      </c>
      <c r="B1240" s="1" t="s">
        <v>6229</v>
      </c>
      <c r="C1240" s="3">
        <v>1126337</v>
      </c>
      <c r="D1240" s="3">
        <v>1129653</v>
      </c>
      <c r="E1240" s="1" t="s">
        <v>13</v>
      </c>
      <c r="F1240" s="1">
        <v>0</v>
      </c>
      <c r="G1240" s="1" t="s">
        <v>4372</v>
      </c>
      <c r="H1240" s="1" t="s">
        <v>4372</v>
      </c>
      <c r="I1240" s="1" t="s">
        <v>4377</v>
      </c>
      <c r="J1240" s="1" t="s">
        <v>6225</v>
      </c>
      <c r="K1240" s="1" t="s">
        <v>6230</v>
      </c>
    </row>
    <row r="1241" spans="1:11" ht="21" x14ac:dyDescent="0.25">
      <c r="A1241" s="11" t="str">
        <f>HYPERLINK("https://rth.dk/resources/bsgatlas/details.php?id=BSGatlas-transcript-1240","BSGatlas-transcript-1240")</f>
        <v>BSGatlas-transcript-1240</v>
      </c>
      <c r="B1241" s="1" t="s">
        <v>1181</v>
      </c>
      <c r="C1241" s="3">
        <v>1128482</v>
      </c>
      <c r="D1241" s="3">
        <v>1130960</v>
      </c>
      <c r="E1241" s="1" t="s">
        <v>9</v>
      </c>
      <c r="F1241" s="1">
        <v>0</v>
      </c>
      <c r="G1241" s="1" t="s">
        <v>4372</v>
      </c>
      <c r="H1241" s="1" t="s">
        <v>4372</v>
      </c>
      <c r="I1241" s="1" t="s">
        <v>4373</v>
      </c>
      <c r="J1241" s="1" t="s">
        <v>6231</v>
      </c>
      <c r="K1241" s="1" t="s">
        <v>6232</v>
      </c>
    </row>
    <row r="1242" spans="1:11" ht="21" x14ac:dyDescent="0.25">
      <c r="A1242" s="11" t="str">
        <f>HYPERLINK("https://rth.dk/resources/bsgatlas/details.php?id=BSGatlas-transcript-1241","BSGatlas-transcript-1241")</f>
        <v>BSGatlas-transcript-1241</v>
      </c>
      <c r="B1242" s="1" t="s">
        <v>1181</v>
      </c>
      <c r="C1242" s="3">
        <v>1128482</v>
      </c>
      <c r="D1242" s="3">
        <v>1131115</v>
      </c>
      <c r="E1242" s="1" t="s">
        <v>9</v>
      </c>
      <c r="F1242" s="1">
        <v>0</v>
      </c>
      <c r="G1242" s="1" t="s">
        <v>4372</v>
      </c>
      <c r="H1242" s="1" t="s">
        <v>4372</v>
      </c>
      <c r="I1242" s="1" t="s">
        <v>4373</v>
      </c>
      <c r="J1242" s="1" t="s">
        <v>6231</v>
      </c>
      <c r="K1242" s="1" t="s">
        <v>6233</v>
      </c>
    </row>
    <row r="1243" spans="1:11" ht="21" x14ac:dyDescent="0.25">
      <c r="A1243" s="11" t="str">
        <f>HYPERLINK("https://rth.dk/resources/bsgatlas/details.php?id=BSGatlas-transcript-1242","BSGatlas-transcript-1242")</f>
        <v>BSGatlas-transcript-1242</v>
      </c>
      <c r="B1243" s="1" t="s">
        <v>1181</v>
      </c>
      <c r="C1243" s="3">
        <v>1129272</v>
      </c>
      <c r="D1243" s="3">
        <v>1130960</v>
      </c>
      <c r="E1243" s="1" t="s">
        <v>9</v>
      </c>
      <c r="F1243" s="1">
        <v>0</v>
      </c>
      <c r="G1243" s="1" t="s">
        <v>4372</v>
      </c>
      <c r="H1243" s="1" t="s">
        <v>4372</v>
      </c>
      <c r="I1243" s="1" t="s">
        <v>4373</v>
      </c>
      <c r="J1243" s="1" t="s">
        <v>6234</v>
      </c>
      <c r="K1243" s="1" t="s">
        <v>6232</v>
      </c>
    </row>
    <row r="1244" spans="1:11" ht="21" x14ac:dyDescent="0.25">
      <c r="A1244" s="11" t="str">
        <f>HYPERLINK("https://rth.dk/resources/bsgatlas/details.php?id=BSGatlas-transcript-1243","BSGatlas-transcript-1243")</f>
        <v>BSGatlas-transcript-1243</v>
      </c>
      <c r="B1244" s="1" t="s">
        <v>1181</v>
      </c>
      <c r="C1244" s="3">
        <v>1129272</v>
      </c>
      <c r="D1244" s="3">
        <v>1131115</v>
      </c>
      <c r="E1244" s="1" t="s">
        <v>9</v>
      </c>
      <c r="F1244" s="1">
        <v>0</v>
      </c>
      <c r="G1244" s="1" t="s">
        <v>4372</v>
      </c>
      <c r="H1244" s="1" t="s">
        <v>4372</v>
      </c>
      <c r="I1244" s="1" t="s">
        <v>4373</v>
      </c>
      <c r="J1244" s="1" t="s">
        <v>6234</v>
      </c>
      <c r="K1244" s="1" t="s">
        <v>6233</v>
      </c>
    </row>
    <row r="1245" spans="1:11" ht="21" x14ac:dyDescent="0.25">
      <c r="A1245" s="11" t="str">
        <f>HYPERLINK("https://rth.dk/resources/bsgatlas/details.php?id=BSGatlas-transcript-1244","BSGatlas-transcript-1244")</f>
        <v>BSGatlas-transcript-1244</v>
      </c>
      <c r="B1245" s="1" t="s">
        <v>1181</v>
      </c>
      <c r="C1245" s="3">
        <v>1129634</v>
      </c>
      <c r="D1245" s="3">
        <v>1130960</v>
      </c>
      <c r="E1245" s="1" t="s">
        <v>9</v>
      </c>
      <c r="F1245" s="1">
        <v>0</v>
      </c>
      <c r="G1245" s="1" t="s">
        <v>4372</v>
      </c>
      <c r="H1245" s="1" t="s">
        <v>4372</v>
      </c>
      <c r="I1245" s="1" t="s">
        <v>4373</v>
      </c>
      <c r="J1245" s="1" t="s">
        <v>6235</v>
      </c>
      <c r="K1245" s="1" t="s">
        <v>6232</v>
      </c>
    </row>
    <row r="1246" spans="1:11" ht="21" x14ac:dyDescent="0.25">
      <c r="A1246" s="11" t="str">
        <f>HYPERLINK("https://rth.dk/resources/bsgatlas/details.php?id=BSGatlas-transcript-1245","BSGatlas-transcript-1245")</f>
        <v>BSGatlas-transcript-1245</v>
      </c>
      <c r="B1246" s="1" t="s">
        <v>1181</v>
      </c>
      <c r="C1246" s="3">
        <v>1129634</v>
      </c>
      <c r="D1246" s="3">
        <v>1131115</v>
      </c>
      <c r="E1246" s="1" t="s">
        <v>9</v>
      </c>
      <c r="F1246" s="1">
        <v>0</v>
      </c>
      <c r="G1246" s="1" t="s">
        <v>4372</v>
      </c>
      <c r="H1246" s="1" t="s">
        <v>4372</v>
      </c>
      <c r="I1246" s="1" t="s">
        <v>4373</v>
      </c>
      <c r="J1246" s="1" t="s">
        <v>6235</v>
      </c>
      <c r="K1246" s="1" t="s">
        <v>6233</v>
      </c>
    </row>
    <row r="1247" spans="1:11" ht="21" x14ac:dyDescent="0.25">
      <c r="A1247" s="11" t="str">
        <f>HYPERLINK("https://rth.dk/resources/bsgatlas/details.php?id=BSGatlas-transcript-1246","BSGatlas-transcript-1246")</f>
        <v>BSGatlas-transcript-1246</v>
      </c>
      <c r="B1247" s="1" t="s">
        <v>1182</v>
      </c>
      <c r="C1247" s="3">
        <v>1130780</v>
      </c>
      <c r="D1247" s="3">
        <v>1132143</v>
      </c>
      <c r="E1247" s="1" t="s">
        <v>13</v>
      </c>
      <c r="F1247" s="1">
        <v>0</v>
      </c>
      <c r="G1247" s="1" t="s">
        <v>4372</v>
      </c>
      <c r="H1247" s="1" t="s">
        <v>4372</v>
      </c>
      <c r="I1247" s="1" t="s">
        <v>4386</v>
      </c>
      <c r="J1247" s="1" t="s">
        <v>6236</v>
      </c>
      <c r="K1247" s="1" t="s">
        <v>6237</v>
      </c>
    </row>
    <row r="1248" spans="1:11" ht="21" x14ac:dyDescent="0.25">
      <c r="A1248" s="11" t="str">
        <f>HYPERLINK("https://rth.dk/resources/bsgatlas/details.php?id=BSGatlas-transcript-1247","BSGatlas-transcript-1247")</f>
        <v>BSGatlas-transcript-1247</v>
      </c>
      <c r="B1248" s="1" t="s">
        <v>1183</v>
      </c>
      <c r="C1248" s="3">
        <v>1133410</v>
      </c>
      <c r="D1248" s="3">
        <v>1135225</v>
      </c>
      <c r="E1248" s="1" t="s">
        <v>9</v>
      </c>
      <c r="F1248" s="1">
        <v>0</v>
      </c>
      <c r="G1248" s="1" t="s">
        <v>4372</v>
      </c>
      <c r="H1248" s="1" t="s">
        <v>4372</v>
      </c>
      <c r="I1248" s="1" t="s">
        <v>4547</v>
      </c>
      <c r="J1248" s="1" t="s">
        <v>6238</v>
      </c>
      <c r="K1248" s="1" t="s">
        <v>318</v>
      </c>
    </row>
    <row r="1249" spans="1:11" ht="21" x14ac:dyDescent="0.25">
      <c r="A1249" s="11" t="str">
        <f>HYPERLINK("https://rth.dk/resources/bsgatlas/details.php?id=BSGatlas-transcript-1248","BSGatlas-transcript-1248")</f>
        <v>BSGatlas-transcript-1248</v>
      </c>
      <c r="B1249" s="1" t="s">
        <v>1183</v>
      </c>
      <c r="C1249" s="3">
        <v>1133498</v>
      </c>
      <c r="D1249" s="3">
        <v>1135225</v>
      </c>
      <c r="E1249" s="1" t="s">
        <v>9</v>
      </c>
      <c r="F1249" s="1">
        <v>0</v>
      </c>
      <c r="G1249" s="1" t="s">
        <v>4372</v>
      </c>
      <c r="H1249" s="1" t="s">
        <v>4372</v>
      </c>
      <c r="I1249" s="1" t="s">
        <v>4547</v>
      </c>
      <c r="J1249" s="1" t="s">
        <v>6239</v>
      </c>
      <c r="K1249" s="1" t="s">
        <v>318</v>
      </c>
    </row>
    <row r="1250" spans="1:11" ht="21" x14ac:dyDescent="0.25">
      <c r="A1250" s="11" t="str">
        <f>HYPERLINK("https://rth.dk/resources/bsgatlas/details.php?id=BSGatlas-transcript-1249","BSGatlas-transcript-1249")</f>
        <v>BSGatlas-transcript-1249</v>
      </c>
      <c r="B1250" s="1" t="s">
        <v>6240</v>
      </c>
      <c r="C1250" s="3">
        <v>1135255</v>
      </c>
      <c r="D1250" s="3">
        <v>1136171</v>
      </c>
      <c r="E1250" s="1" t="s">
        <v>13</v>
      </c>
      <c r="F1250" s="1">
        <v>1</v>
      </c>
      <c r="G1250" s="1">
        <v>36</v>
      </c>
      <c r="H1250" s="1" t="s">
        <v>4372</v>
      </c>
      <c r="I1250" s="1" t="s">
        <v>4386</v>
      </c>
      <c r="J1250" s="1" t="s">
        <v>6241</v>
      </c>
      <c r="K1250" s="1" t="s">
        <v>318</v>
      </c>
    </row>
    <row r="1251" spans="1:11" ht="21" x14ac:dyDescent="0.25">
      <c r="A1251" s="11" t="str">
        <f>HYPERLINK("https://rth.dk/resources/bsgatlas/details.php?id=BSGatlas-transcript-1250","BSGatlas-transcript-1250")</f>
        <v>BSGatlas-transcript-1250</v>
      </c>
      <c r="B1251" s="1" t="s">
        <v>1185</v>
      </c>
      <c r="C1251" s="3">
        <v>1135699</v>
      </c>
      <c r="D1251" s="3">
        <v>1136171</v>
      </c>
      <c r="E1251" s="1" t="s">
        <v>13</v>
      </c>
      <c r="F1251" s="1">
        <v>0</v>
      </c>
      <c r="G1251" s="1" t="s">
        <v>4372</v>
      </c>
      <c r="H1251" s="1" t="s">
        <v>4372</v>
      </c>
      <c r="I1251" s="1" t="s">
        <v>4382</v>
      </c>
      <c r="J1251" s="1" t="s">
        <v>6241</v>
      </c>
      <c r="K1251" s="1" t="s">
        <v>6242</v>
      </c>
    </row>
    <row r="1252" spans="1:11" ht="21" x14ac:dyDescent="0.25">
      <c r="A1252" s="11" t="str">
        <f>HYPERLINK("https://rth.dk/resources/bsgatlas/details.php?id=BSGatlas-transcript-1251","BSGatlas-transcript-1251")</f>
        <v>BSGatlas-transcript-1251</v>
      </c>
      <c r="B1252" s="1" t="s">
        <v>6243</v>
      </c>
      <c r="C1252" s="3">
        <v>1136292</v>
      </c>
      <c r="D1252" s="3">
        <v>1143553</v>
      </c>
      <c r="E1252" s="1" t="s">
        <v>9</v>
      </c>
      <c r="F1252" s="1">
        <v>0</v>
      </c>
      <c r="G1252" s="1" t="s">
        <v>4372</v>
      </c>
      <c r="H1252" s="1" t="s">
        <v>4372</v>
      </c>
      <c r="I1252" s="1" t="s">
        <v>4382</v>
      </c>
      <c r="J1252" s="1" t="s">
        <v>6244</v>
      </c>
      <c r="K1252" s="1" t="s">
        <v>6245</v>
      </c>
    </row>
    <row r="1253" spans="1:11" ht="21" x14ac:dyDescent="0.25">
      <c r="A1253" s="11" t="str">
        <f>HYPERLINK("https://rth.dk/resources/bsgatlas/details.php?id=BSGatlas-transcript-1252","BSGatlas-transcript-1252")</f>
        <v>BSGatlas-transcript-1252</v>
      </c>
      <c r="B1253" s="1" t="s">
        <v>6246</v>
      </c>
      <c r="C1253" s="3">
        <v>1136292</v>
      </c>
      <c r="D1253" s="3">
        <v>1148506</v>
      </c>
      <c r="E1253" s="1" t="s">
        <v>9</v>
      </c>
      <c r="F1253" s="1">
        <v>1</v>
      </c>
      <c r="G1253" s="1">
        <v>29</v>
      </c>
      <c r="H1253" s="1">
        <v>50</v>
      </c>
      <c r="I1253" s="1" t="s">
        <v>4386</v>
      </c>
      <c r="J1253" s="1" t="s">
        <v>6244</v>
      </c>
      <c r="K1253" s="1" t="s">
        <v>6247</v>
      </c>
    </row>
    <row r="1254" spans="1:11" ht="21" x14ac:dyDescent="0.25">
      <c r="A1254" s="11" t="str">
        <f>HYPERLINK("https://rth.dk/resources/bsgatlas/details.php?id=BSGatlas-transcript-1253","BSGatlas-transcript-1253")</f>
        <v>BSGatlas-transcript-1253</v>
      </c>
      <c r="B1254" s="1" t="s">
        <v>6248</v>
      </c>
      <c r="C1254" s="3">
        <v>1143577</v>
      </c>
      <c r="D1254" s="3">
        <v>1148506</v>
      </c>
      <c r="E1254" s="1" t="s">
        <v>9</v>
      </c>
      <c r="F1254" s="1">
        <v>0</v>
      </c>
      <c r="G1254" s="1" t="s">
        <v>4372</v>
      </c>
      <c r="H1254" s="1" t="s">
        <v>4372</v>
      </c>
      <c r="I1254" s="1" t="s">
        <v>4382</v>
      </c>
      <c r="J1254" s="1" t="s">
        <v>318</v>
      </c>
      <c r="K1254" s="1" t="s">
        <v>6247</v>
      </c>
    </row>
    <row r="1255" spans="1:11" ht="21" x14ac:dyDescent="0.25">
      <c r="A1255" s="11" t="str">
        <f>HYPERLINK("https://rth.dk/resources/bsgatlas/details.php?id=BSGatlas-transcript-1254","BSGatlas-transcript-1254")</f>
        <v>BSGatlas-transcript-1254</v>
      </c>
      <c r="B1255" s="1" t="s">
        <v>1190</v>
      </c>
      <c r="C1255" s="3">
        <v>1147424</v>
      </c>
      <c r="D1255" s="3">
        <v>1148506</v>
      </c>
      <c r="E1255" s="1" t="s">
        <v>9</v>
      </c>
      <c r="F1255" s="1">
        <v>0</v>
      </c>
      <c r="G1255" s="1" t="s">
        <v>4372</v>
      </c>
      <c r="H1255" s="1" t="s">
        <v>4372</v>
      </c>
      <c r="I1255" s="1" t="s">
        <v>4377</v>
      </c>
      <c r="J1255" s="1" t="s">
        <v>6249</v>
      </c>
      <c r="K1255" s="1" t="s">
        <v>6247</v>
      </c>
    </row>
    <row r="1256" spans="1:11" ht="21" x14ac:dyDescent="0.25">
      <c r="A1256" s="11" t="str">
        <f>HYPERLINK("https://rth.dk/resources/bsgatlas/details.php?id=BSGatlas-transcript-1255","BSGatlas-transcript-1255")</f>
        <v>BSGatlas-transcript-1255</v>
      </c>
      <c r="B1256" s="1" t="s">
        <v>6250</v>
      </c>
      <c r="C1256" s="3">
        <v>1147460</v>
      </c>
      <c r="D1256" s="3">
        <v>1150514</v>
      </c>
      <c r="E1256" s="1" t="s">
        <v>13</v>
      </c>
      <c r="F1256" s="1">
        <v>2</v>
      </c>
      <c r="G1256" s="1">
        <v>88</v>
      </c>
      <c r="H1256" s="1">
        <v>1035</v>
      </c>
      <c r="I1256" s="1" t="s">
        <v>4373</v>
      </c>
      <c r="J1256" s="1" t="s">
        <v>6251</v>
      </c>
      <c r="K1256" s="1" t="s">
        <v>6252</v>
      </c>
    </row>
    <row r="1257" spans="1:11" ht="21" x14ac:dyDescent="0.25">
      <c r="A1257" s="11" t="str">
        <f>HYPERLINK("https://rth.dk/resources/bsgatlas/details.php?id=BSGatlas-transcript-1256","BSGatlas-transcript-1256")</f>
        <v>BSGatlas-transcript-1256</v>
      </c>
      <c r="B1257" s="1" t="s">
        <v>6250</v>
      </c>
      <c r="C1257" s="3">
        <v>1148450</v>
      </c>
      <c r="D1257" s="3">
        <v>1150514</v>
      </c>
      <c r="E1257" s="1" t="s">
        <v>13</v>
      </c>
      <c r="F1257" s="1">
        <v>2</v>
      </c>
      <c r="G1257" s="1">
        <v>88</v>
      </c>
      <c r="H1257" s="1">
        <v>45</v>
      </c>
      <c r="I1257" s="1" t="s">
        <v>4373</v>
      </c>
      <c r="J1257" s="1" t="s">
        <v>6251</v>
      </c>
      <c r="K1257" s="1" t="s">
        <v>6253</v>
      </c>
    </row>
    <row r="1258" spans="1:11" ht="21" x14ac:dyDescent="0.25">
      <c r="A1258" s="11" t="str">
        <f>HYPERLINK("https://rth.dk/resources/bsgatlas/details.php?id=BSGatlas-transcript-1257","BSGatlas-transcript-1257")</f>
        <v>BSGatlas-transcript-1257</v>
      </c>
      <c r="B1258" s="1" t="s">
        <v>1197</v>
      </c>
      <c r="C1258" s="3">
        <v>1150469</v>
      </c>
      <c r="D1258" s="3">
        <v>1151098</v>
      </c>
      <c r="E1258" s="1" t="s">
        <v>9</v>
      </c>
      <c r="F1258" s="1">
        <v>0</v>
      </c>
      <c r="G1258" s="1" t="s">
        <v>4372</v>
      </c>
      <c r="H1258" s="1" t="s">
        <v>4372</v>
      </c>
      <c r="I1258" s="1" t="s">
        <v>4377</v>
      </c>
      <c r="J1258" s="1" t="s">
        <v>6254</v>
      </c>
      <c r="K1258" s="1" t="s">
        <v>6255</v>
      </c>
    </row>
    <row r="1259" spans="1:11" ht="21" x14ac:dyDescent="0.25">
      <c r="A1259" s="11" t="str">
        <f>HYPERLINK("https://rth.dk/resources/bsgatlas/details.php?id=BSGatlas-transcript-1258","BSGatlas-transcript-1258")</f>
        <v>BSGatlas-transcript-1258</v>
      </c>
      <c r="B1259" s="1" t="s">
        <v>1197</v>
      </c>
      <c r="C1259" s="3">
        <v>1150469</v>
      </c>
      <c r="D1259" s="3">
        <v>1151318</v>
      </c>
      <c r="E1259" s="1" t="s">
        <v>9</v>
      </c>
      <c r="F1259" s="1">
        <v>0</v>
      </c>
      <c r="G1259" s="1" t="s">
        <v>4372</v>
      </c>
      <c r="H1259" s="1" t="s">
        <v>4372</v>
      </c>
      <c r="I1259" s="1" t="s">
        <v>4377</v>
      </c>
      <c r="J1259" s="1" t="s">
        <v>6254</v>
      </c>
      <c r="K1259" s="1" t="s">
        <v>6256</v>
      </c>
    </row>
    <row r="1260" spans="1:11" ht="21" x14ac:dyDescent="0.25">
      <c r="A1260" s="11" t="str">
        <f>HYPERLINK("https://rth.dk/resources/bsgatlas/details.php?id=BSGatlas-transcript-1259","BSGatlas-transcript-1259")</f>
        <v>BSGatlas-transcript-1259</v>
      </c>
      <c r="B1260" s="1" t="s">
        <v>1198</v>
      </c>
      <c r="C1260" s="3">
        <v>1150668</v>
      </c>
      <c r="D1260" s="3">
        <v>1151067</v>
      </c>
      <c r="E1260" s="1" t="s">
        <v>13</v>
      </c>
      <c r="F1260" s="1">
        <v>0</v>
      </c>
      <c r="G1260" s="1" t="s">
        <v>4372</v>
      </c>
      <c r="H1260" s="1" t="s">
        <v>4372</v>
      </c>
      <c r="I1260" s="1" t="s">
        <v>4397</v>
      </c>
      <c r="J1260" s="1" t="s">
        <v>6257</v>
      </c>
      <c r="K1260" s="1" t="s">
        <v>6258</v>
      </c>
    </row>
    <row r="1261" spans="1:11" ht="21" x14ac:dyDescent="0.25">
      <c r="A1261" s="11" t="str">
        <f>HYPERLINK("https://rth.dk/resources/bsgatlas/details.php?id=BSGatlas-transcript-1260","BSGatlas-transcript-1260")</f>
        <v>BSGatlas-transcript-1260</v>
      </c>
      <c r="B1261" s="1" t="s">
        <v>6259</v>
      </c>
      <c r="C1261" s="3">
        <v>1150668</v>
      </c>
      <c r="D1261" s="3">
        <v>1152122</v>
      </c>
      <c r="E1261" s="1" t="s">
        <v>13</v>
      </c>
      <c r="F1261" s="1">
        <v>1</v>
      </c>
      <c r="G1261" s="1">
        <v>34</v>
      </c>
      <c r="H1261" s="1">
        <v>183</v>
      </c>
      <c r="I1261" s="1" t="s">
        <v>4386</v>
      </c>
      <c r="J1261" s="1" t="s">
        <v>6260</v>
      </c>
      <c r="K1261" s="1" t="s">
        <v>6258</v>
      </c>
    </row>
    <row r="1262" spans="1:11" ht="21" x14ac:dyDescent="0.25">
      <c r="A1262" s="11" t="str">
        <f>HYPERLINK("https://rth.dk/resources/bsgatlas/details.php?id=BSGatlas-transcript-1261","BSGatlas-transcript-1261")</f>
        <v>BSGatlas-transcript-1261</v>
      </c>
      <c r="B1262" s="1" t="s">
        <v>6261</v>
      </c>
      <c r="C1262" s="3">
        <v>1152198</v>
      </c>
      <c r="D1262" s="3">
        <v>1153621</v>
      </c>
      <c r="E1262" s="1" t="s">
        <v>9</v>
      </c>
      <c r="F1262" s="1">
        <v>1</v>
      </c>
      <c r="G1262" s="1">
        <v>47</v>
      </c>
      <c r="H1262" s="1" t="s">
        <v>4372</v>
      </c>
      <c r="I1262" s="1" t="s">
        <v>4386</v>
      </c>
      <c r="J1262" s="1" t="s">
        <v>6262</v>
      </c>
      <c r="K1262" s="1" t="s">
        <v>6263</v>
      </c>
    </row>
    <row r="1263" spans="1:11" ht="21" x14ac:dyDescent="0.25">
      <c r="A1263" s="11" t="str">
        <f>HYPERLINK("https://rth.dk/resources/bsgatlas/details.php?id=BSGatlas-transcript-1262","BSGatlas-transcript-1262")</f>
        <v>BSGatlas-transcript-1262</v>
      </c>
      <c r="B1263" s="1" t="s">
        <v>6261</v>
      </c>
      <c r="C1263" s="3">
        <v>1152198</v>
      </c>
      <c r="D1263" s="3">
        <v>1153621</v>
      </c>
      <c r="E1263" s="1" t="s">
        <v>9</v>
      </c>
      <c r="F1263" s="1">
        <v>1</v>
      </c>
      <c r="G1263" s="1">
        <v>47</v>
      </c>
      <c r="H1263" s="1" t="s">
        <v>4372</v>
      </c>
      <c r="I1263" s="1" t="s">
        <v>4386</v>
      </c>
      <c r="J1263" s="1" t="s">
        <v>6262</v>
      </c>
      <c r="K1263" s="1" t="s">
        <v>6264</v>
      </c>
    </row>
    <row r="1264" spans="1:11" ht="21" x14ac:dyDescent="0.25">
      <c r="A1264" s="11" t="str">
        <f>HYPERLINK("https://rth.dk/resources/bsgatlas/details.php?id=BSGatlas-transcript-1263","BSGatlas-transcript-1263")</f>
        <v>BSGatlas-transcript-1263</v>
      </c>
      <c r="B1264" s="1" t="s">
        <v>1201</v>
      </c>
      <c r="C1264" s="3">
        <v>1153232</v>
      </c>
      <c r="D1264" s="3">
        <v>1153621</v>
      </c>
      <c r="E1264" s="1" t="s">
        <v>9</v>
      </c>
      <c r="F1264" s="1">
        <v>0</v>
      </c>
      <c r="G1264" s="1" t="s">
        <v>4372</v>
      </c>
      <c r="H1264" s="1" t="s">
        <v>4372</v>
      </c>
      <c r="I1264" s="1" t="s">
        <v>4377</v>
      </c>
      <c r="J1264" s="1" t="s">
        <v>6265</v>
      </c>
      <c r="K1264" s="1" t="s">
        <v>6263</v>
      </c>
    </row>
    <row r="1265" spans="1:11" ht="21" x14ac:dyDescent="0.25">
      <c r="A1265" s="11" t="str">
        <f>HYPERLINK("https://rth.dk/resources/bsgatlas/details.php?id=BSGatlas-transcript-1264","BSGatlas-transcript-1264")</f>
        <v>BSGatlas-transcript-1264</v>
      </c>
      <c r="B1265" s="1" t="s">
        <v>1201</v>
      </c>
      <c r="C1265" s="3">
        <v>1153232</v>
      </c>
      <c r="D1265" s="3">
        <v>1153621</v>
      </c>
      <c r="E1265" s="1" t="s">
        <v>9</v>
      </c>
      <c r="F1265" s="1">
        <v>0</v>
      </c>
      <c r="G1265" s="1" t="s">
        <v>4372</v>
      </c>
      <c r="H1265" s="1" t="s">
        <v>4372</v>
      </c>
      <c r="I1265" s="1" t="s">
        <v>4377</v>
      </c>
      <c r="J1265" s="1" t="s">
        <v>6265</v>
      </c>
      <c r="K1265" s="1" t="s">
        <v>6264</v>
      </c>
    </row>
    <row r="1266" spans="1:11" ht="21" x14ac:dyDescent="0.25">
      <c r="A1266" s="11" t="str">
        <f>HYPERLINK("https://rth.dk/resources/bsgatlas/details.php?id=BSGatlas-transcript-1265","BSGatlas-transcript-1265")</f>
        <v>BSGatlas-transcript-1265</v>
      </c>
      <c r="B1266" s="1" t="s">
        <v>1202</v>
      </c>
      <c r="C1266" s="3">
        <v>1153742</v>
      </c>
      <c r="D1266" s="3">
        <v>1156514</v>
      </c>
      <c r="E1266" s="1" t="s">
        <v>9</v>
      </c>
      <c r="F1266" s="1">
        <v>0</v>
      </c>
      <c r="G1266" s="1" t="s">
        <v>4372</v>
      </c>
      <c r="H1266" s="1" t="s">
        <v>4372</v>
      </c>
      <c r="I1266" s="1" t="s">
        <v>4373</v>
      </c>
      <c r="J1266" s="1" t="s">
        <v>6266</v>
      </c>
      <c r="K1266" s="1" t="s">
        <v>6267</v>
      </c>
    </row>
    <row r="1267" spans="1:11" ht="21" x14ac:dyDescent="0.25">
      <c r="A1267" s="11" t="str">
        <f>HYPERLINK("https://rth.dk/resources/bsgatlas/details.php?id=BSGatlas-transcript-1266","BSGatlas-transcript-1266")</f>
        <v>BSGatlas-transcript-1266</v>
      </c>
      <c r="B1267" s="1" t="s">
        <v>1203</v>
      </c>
      <c r="C1267" s="3">
        <v>1156504</v>
      </c>
      <c r="D1267" s="3">
        <v>1157125</v>
      </c>
      <c r="E1267" s="1" t="s">
        <v>13</v>
      </c>
      <c r="F1267" s="1">
        <v>0</v>
      </c>
      <c r="G1267" s="1" t="s">
        <v>4372</v>
      </c>
      <c r="H1267" s="1" t="s">
        <v>4372</v>
      </c>
      <c r="I1267" s="1" t="s">
        <v>4397</v>
      </c>
      <c r="J1267" s="1" t="s">
        <v>6268</v>
      </c>
      <c r="K1267" s="1" t="s">
        <v>318</v>
      </c>
    </row>
    <row r="1268" spans="1:11" ht="21" x14ac:dyDescent="0.25">
      <c r="A1268" s="11" t="str">
        <f>HYPERLINK("https://rth.dk/resources/bsgatlas/details.php?id=BSGatlas-transcript-1267","BSGatlas-transcript-1267")</f>
        <v>BSGatlas-transcript-1267</v>
      </c>
      <c r="B1268" s="1" t="s">
        <v>1204</v>
      </c>
      <c r="C1268" s="3">
        <v>1157182</v>
      </c>
      <c r="D1268" s="3">
        <v>1159184</v>
      </c>
      <c r="E1268" s="1" t="s">
        <v>9</v>
      </c>
      <c r="F1268" s="1">
        <v>0</v>
      </c>
      <c r="G1268" s="1" t="s">
        <v>4372</v>
      </c>
      <c r="H1268" s="1" t="s">
        <v>4372</v>
      </c>
      <c r="I1268" s="1" t="s">
        <v>4373</v>
      </c>
      <c r="J1268" s="1" t="s">
        <v>6269</v>
      </c>
      <c r="K1268" s="1" t="s">
        <v>6270</v>
      </c>
    </row>
    <row r="1269" spans="1:11" ht="21" x14ac:dyDescent="0.25">
      <c r="A1269" s="11" t="str">
        <f>HYPERLINK("https://rth.dk/resources/bsgatlas/details.php?id=BSGatlas-transcript-1268","BSGatlas-transcript-1268")</f>
        <v>BSGatlas-transcript-1268</v>
      </c>
      <c r="B1269" s="1" t="s">
        <v>1205</v>
      </c>
      <c r="C1269" s="3">
        <v>1159211</v>
      </c>
      <c r="D1269" s="3">
        <v>1159710</v>
      </c>
      <c r="E1269" s="1" t="s">
        <v>13</v>
      </c>
      <c r="F1269" s="1">
        <v>0</v>
      </c>
      <c r="G1269" s="1" t="s">
        <v>4372</v>
      </c>
      <c r="H1269" s="1" t="s">
        <v>4372</v>
      </c>
      <c r="I1269" s="1" t="s">
        <v>4397</v>
      </c>
      <c r="J1269" s="1" t="s">
        <v>6271</v>
      </c>
      <c r="K1269" s="1" t="s">
        <v>318</v>
      </c>
    </row>
    <row r="1270" spans="1:11" ht="21" x14ac:dyDescent="0.25">
      <c r="A1270" s="11" t="str">
        <f>HYPERLINK("https://rth.dk/resources/bsgatlas/details.php?id=BSGatlas-transcript-1269","BSGatlas-transcript-1269")</f>
        <v>BSGatlas-transcript-1269</v>
      </c>
      <c r="B1270" s="1" t="s">
        <v>1206</v>
      </c>
      <c r="C1270" s="3">
        <v>1159899</v>
      </c>
      <c r="D1270" s="3">
        <v>1160746</v>
      </c>
      <c r="E1270" s="1" t="s">
        <v>9</v>
      </c>
      <c r="F1270" s="1">
        <v>0</v>
      </c>
      <c r="G1270" s="1" t="s">
        <v>4372</v>
      </c>
      <c r="H1270" s="1" t="s">
        <v>4372</v>
      </c>
      <c r="I1270" s="1" t="s">
        <v>4397</v>
      </c>
      <c r="J1270" s="1" t="s">
        <v>6272</v>
      </c>
      <c r="K1270" s="1" t="s">
        <v>318</v>
      </c>
    </row>
    <row r="1271" spans="1:11" ht="21" x14ac:dyDescent="0.25">
      <c r="A1271" s="11" t="str">
        <f>HYPERLINK("https://rth.dk/resources/bsgatlas/details.php?id=BSGatlas-transcript-1270","BSGatlas-transcript-1270")</f>
        <v>BSGatlas-transcript-1270</v>
      </c>
      <c r="B1271" s="1" t="s">
        <v>1206</v>
      </c>
      <c r="C1271" s="3">
        <v>1159922</v>
      </c>
      <c r="D1271" s="3">
        <v>1160746</v>
      </c>
      <c r="E1271" s="1" t="s">
        <v>9</v>
      </c>
      <c r="F1271" s="1">
        <v>0</v>
      </c>
      <c r="G1271" s="1" t="s">
        <v>4372</v>
      </c>
      <c r="H1271" s="1" t="s">
        <v>4372</v>
      </c>
      <c r="I1271" s="1" t="s">
        <v>4397</v>
      </c>
      <c r="J1271" s="1" t="s">
        <v>6273</v>
      </c>
      <c r="K1271" s="1" t="s">
        <v>318</v>
      </c>
    </row>
    <row r="1272" spans="1:11" ht="21" x14ac:dyDescent="0.25">
      <c r="A1272" s="11" t="str">
        <f>HYPERLINK("https://rth.dk/resources/bsgatlas/details.php?id=BSGatlas-transcript-1271","BSGatlas-transcript-1271")</f>
        <v>BSGatlas-transcript-1271</v>
      </c>
      <c r="B1272" s="1" t="s">
        <v>1207</v>
      </c>
      <c r="C1272" s="3">
        <v>1160776</v>
      </c>
      <c r="D1272" s="3">
        <v>1162143</v>
      </c>
      <c r="E1272" s="1" t="s">
        <v>13</v>
      </c>
      <c r="F1272" s="1">
        <v>0</v>
      </c>
      <c r="G1272" s="1" t="s">
        <v>4372</v>
      </c>
      <c r="H1272" s="1" t="s">
        <v>4372</v>
      </c>
      <c r="I1272" s="1" t="s">
        <v>4397</v>
      </c>
      <c r="J1272" s="1" t="s">
        <v>318</v>
      </c>
      <c r="K1272" s="1" t="s">
        <v>318</v>
      </c>
    </row>
    <row r="1273" spans="1:11" ht="21" x14ac:dyDescent="0.25">
      <c r="A1273" s="11" t="str">
        <f>HYPERLINK("https://rth.dk/resources/bsgatlas/details.php?id=BSGatlas-transcript-1272","BSGatlas-transcript-1272")</f>
        <v>BSGatlas-transcript-1272</v>
      </c>
      <c r="B1273" s="1" t="s">
        <v>6274</v>
      </c>
      <c r="C1273" s="3">
        <v>1162208</v>
      </c>
      <c r="D1273" s="3">
        <v>1164161</v>
      </c>
      <c r="E1273" s="1" t="s">
        <v>9</v>
      </c>
      <c r="F1273" s="1">
        <v>1</v>
      </c>
      <c r="G1273" s="1">
        <v>60</v>
      </c>
      <c r="H1273" s="1" t="s">
        <v>4372</v>
      </c>
      <c r="I1273" s="1" t="s">
        <v>4386</v>
      </c>
      <c r="J1273" s="1" t="s">
        <v>6275</v>
      </c>
      <c r="K1273" s="1" t="s">
        <v>6276</v>
      </c>
    </row>
    <row r="1274" spans="1:11" ht="21" x14ac:dyDescent="0.25">
      <c r="A1274" s="11" t="str">
        <f>HYPERLINK("https://rth.dk/resources/bsgatlas/details.php?id=BSGatlas-transcript-1273","BSGatlas-transcript-1273")</f>
        <v>BSGatlas-transcript-1273</v>
      </c>
      <c r="B1274" s="1" t="s">
        <v>1210</v>
      </c>
      <c r="C1274" s="3">
        <v>1164254</v>
      </c>
      <c r="D1274" s="3">
        <v>1165442</v>
      </c>
      <c r="E1274" s="1" t="s">
        <v>9</v>
      </c>
      <c r="F1274" s="1">
        <v>0</v>
      </c>
      <c r="G1274" s="1" t="s">
        <v>4372</v>
      </c>
      <c r="H1274" s="1" t="s">
        <v>4372</v>
      </c>
      <c r="I1274" s="1" t="s">
        <v>4386</v>
      </c>
      <c r="J1274" s="1" t="s">
        <v>6277</v>
      </c>
      <c r="K1274" s="1" t="s">
        <v>6278</v>
      </c>
    </row>
    <row r="1275" spans="1:11" ht="21" x14ac:dyDescent="0.25">
      <c r="A1275" s="11" t="str">
        <f>HYPERLINK("https://rth.dk/resources/bsgatlas/details.php?id=BSGatlas-transcript-1274","BSGatlas-transcript-1274")</f>
        <v>BSGatlas-transcript-1274</v>
      </c>
      <c r="B1275" s="1" t="s">
        <v>1211</v>
      </c>
      <c r="C1275" s="3">
        <v>1165449</v>
      </c>
      <c r="D1275" s="3">
        <v>1165987</v>
      </c>
      <c r="E1275" s="1" t="s">
        <v>13</v>
      </c>
      <c r="F1275" s="1">
        <v>0</v>
      </c>
      <c r="G1275" s="1" t="s">
        <v>4372</v>
      </c>
      <c r="H1275" s="1" t="s">
        <v>4372</v>
      </c>
      <c r="I1275" s="1" t="s">
        <v>4386</v>
      </c>
      <c r="J1275" s="1" t="s">
        <v>6279</v>
      </c>
      <c r="K1275" s="1" t="s">
        <v>6280</v>
      </c>
    </row>
    <row r="1276" spans="1:11" ht="21" x14ac:dyDescent="0.25">
      <c r="A1276" s="11" t="str">
        <f>HYPERLINK("https://rth.dk/resources/bsgatlas/details.php?id=BSGatlas-transcript-1275","BSGatlas-transcript-1275")</f>
        <v>BSGatlas-transcript-1275</v>
      </c>
      <c r="B1276" s="1" t="s">
        <v>1212</v>
      </c>
      <c r="C1276" s="3">
        <v>1166718</v>
      </c>
      <c r="D1276" s="3">
        <v>1168191</v>
      </c>
      <c r="E1276" s="1" t="s">
        <v>9</v>
      </c>
      <c r="F1276" s="1">
        <v>0</v>
      </c>
      <c r="G1276" s="1" t="s">
        <v>4372</v>
      </c>
      <c r="H1276" s="1" t="s">
        <v>4372</v>
      </c>
      <c r="I1276" s="1" t="s">
        <v>4397</v>
      </c>
      <c r="J1276" s="1" t="s">
        <v>6281</v>
      </c>
      <c r="K1276" s="1" t="s">
        <v>318</v>
      </c>
    </row>
    <row r="1277" spans="1:11" ht="21" x14ac:dyDescent="0.25">
      <c r="A1277" s="11" t="str">
        <f>HYPERLINK("https://rth.dk/resources/bsgatlas/details.php?id=BSGatlas-transcript-1276","BSGatlas-transcript-1276")</f>
        <v>BSGatlas-transcript-1276</v>
      </c>
      <c r="B1277" s="1" t="s">
        <v>1213</v>
      </c>
      <c r="C1277" s="3">
        <v>1168059</v>
      </c>
      <c r="D1277" s="3">
        <v>1168972</v>
      </c>
      <c r="E1277" s="1" t="s">
        <v>13</v>
      </c>
      <c r="F1277" s="1">
        <v>0</v>
      </c>
      <c r="G1277" s="1" t="s">
        <v>4372</v>
      </c>
      <c r="H1277" s="1" t="s">
        <v>4372</v>
      </c>
      <c r="I1277" s="1" t="s">
        <v>4397</v>
      </c>
      <c r="J1277" s="1" t="s">
        <v>6282</v>
      </c>
      <c r="K1277" s="1" t="s">
        <v>6283</v>
      </c>
    </row>
    <row r="1278" spans="1:11" ht="21" x14ac:dyDescent="0.25">
      <c r="A1278" s="11" t="str">
        <f>HYPERLINK("https://rth.dk/resources/bsgatlas/details.php?id=BSGatlas-transcript-1277","BSGatlas-transcript-1277")</f>
        <v>BSGatlas-transcript-1277</v>
      </c>
      <c r="B1278" s="1" t="s">
        <v>1214</v>
      </c>
      <c r="C1278" s="3">
        <v>1168908</v>
      </c>
      <c r="D1278" s="3">
        <v>1169887</v>
      </c>
      <c r="E1278" s="1" t="s">
        <v>9</v>
      </c>
      <c r="F1278" s="1">
        <v>0</v>
      </c>
      <c r="G1278" s="1" t="s">
        <v>4372</v>
      </c>
      <c r="H1278" s="1" t="s">
        <v>4372</v>
      </c>
      <c r="I1278" s="1" t="s">
        <v>4373</v>
      </c>
      <c r="J1278" s="1" t="s">
        <v>6284</v>
      </c>
      <c r="K1278" s="1" t="s">
        <v>6285</v>
      </c>
    </row>
    <row r="1279" spans="1:11" ht="21" x14ac:dyDescent="0.25">
      <c r="A1279" s="11" t="str">
        <f>HYPERLINK("https://rth.dk/resources/bsgatlas/details.php?id=BSGatlas-transcript-1278","BSGatlas-transcript-1278")</f>
        <v>BSGatlas-transcript-1278</v>
      </c>
      <c r="B1279" s="1" t="s">
        <v>6286</v>
      </c>
      <c r="C1279" s="3">
        <v>1169842</v>
      </c>
      <c r="D1279" s="3">
        <v>1172512</v>
      </c>
      <c r="E1279" s="1" t="s">
        <v>13</v>
      </c>
      <c r="F1279" s="1">
        <v>1</v>
      </c>
      <c r="G1279" s="1">
        <v>48</v>
      </c>
      <c r="H1279" s="1">
        <v>36</v>
      </c>
      <c r="I1279" s="1" t="s">
        <v>4373</v>
      </c>
      <c r="J1279" s="1" t="s">
        <v>6287</v>
      </c>
      <c r="K1279" s="1" t="s">
        <v>6288</v>
      </c>
    </row>
    <row r="1280" spans="1:11" ht="21" x14ac:dyDescent="0.25">
      <c r="A1280" s="11" t="str">
        <f>HYPERLINK("https://rth.dk/resources/bsgatlas/details.php?id=BSGatlas-transcript-1279","BSGatlas-transcript-1279")</f>
        <v>BSGatlas-transcript-1279</v>
      </c>
      <c r="B1280" s="1" t="s">
        <v>6289</v>
      </c>
      <c r="C1280" s="3">
        <v>1172620</v>
      </c>
      <c r="D1280" s="3">
        <v>1174150</v>
      </c>
      <c r="E1280" s="1" t="s">
        <v>9</v>
      </c>
      <c r="F1280" s="1">
        <v>0</v>
      </c>
      <c r="G1280" s="1" t="s">
        <v>4372</v>
      </c>
      <c r="H1280" s="1" t="s">
        <v>4372</v>
      </c>
      <c r="I1280" s="1" t="s">
        <v>4373</v>
      </c>
      <c r="J1280" s="1" t="s">
        <v>6290</v>
      </c>
      <c r="K1280" s="1" t="s">
        <v>6291</v>
      </c>
    </row>
    <row r="1281" spans="1:11" ht="21" x14ac:dyDescent="0.25">
      <c r="A1281" s="11" t="str">
        <f>HYPERLINK("https://rth.dk/resources/bsgatlas/details.php?id=BSGatlas-transcript-1280","BSGatlas-transcript-1280")</f>
        <v>BSGatlas-transcript-1280</v>
      </c>
      <c r="B1281" s="1" t="s">
        <v>1220</v>
      </c>
      <c r="C1281" s="3">
        <v>1173675</v>
      </c>
      <c r="D1281" s="3">
        <v>1174816</v>
      </c>
      <c r="E1281" s="1" t="s">
        <v>13</v>
      </c>
      <c r="F1281" s="1">
        <v>0</v>
      </c>
      <c r="G1281" s="1" t="s">
        <v>4372</v>
      </c>
      <c r="H1281" s="1" t="s">
        <v>4372</v>
      </c>
      <c r="I1281" s="1" t="s">
        <v>4373</v>
      </c>
      <c r="J1281" s="1" t="s">
        <v>6292</v>
      </c>
      <c r="K1281" s="1" t="s">
        <v>6293</v>
      </c>
    </row>
    <row r="1282" spans="1:11" ht="21" x14ac:dyDescent="0.25">
      <c r="A1282" s="11" t="str">
        <f>HYPERLINK("https://rth.dk/resources/bsgatlas/details.php?id=BSGatlas-transcript-1281","BSGatlas-transcript-1281")</f>
        <v>BSGatlas-transcript-1281</v>
      </c>
      <c r="B1282" s="1" t="s">
        <v>6294</v>
      </c>
      <c r="C1282" s="3">
        <v>1174837</v>
      </c>
      <c r="D1282" s="3">
        <v>1177273</v>
      </c>
      <c r="E1282" s="1" t="s">
        <v>13</v>
      </c>
      <c r="F1282" s="1">
        <v>0</v>
      </c>
      <c r="G1282" s="1" t="s">
        <v>4372</v>
      </c>
      <c r="H1282" s="1" t="s">
        <v>4372</v>
      </c>
      <c r="I1282" s="1" t="s">
        <v>4373</v>
      </c>
      <c r="J1282" s="1" t="s">
        <v>6295</v>
      </c>
      <c r="K1282" s="1" t="s">
        <v>6296</v>
      </c>
    </row>
    <row r="1283" spans="1:11" ht="21" x14ac:dyDescent="0.25">
      <c r="A1283" s="11" t="str">
        <f>HYPERLINK("https://rth.dk/resources/bsgatlas/details.php?id=BSGatlas-transcript-1282","BSGatlas-transcript-1282")</f>
        <v>BSGatlas-transcript-1282</v>
      </c>
      <c r="B1283" s="1" t="s">
        <v>6297</v>
      </c>
      <c r="C1283" s="3">
        <v>1177365</v>
      </c>
      <c r="D1283" s="3">
        <v>1178702</v>
      </c>
      <c r="E1283" s="1" t="s">
        <v>13</v>
      </c>
      <c r="F1283" s="1">
        <v>0</v>
      </c>
      <c r="G1283" s="1" t="s">
        <v>4372</v>
      </c>
      <c r="H1283" s="1" t="s">
        <v>4372</v>
      </c>
      <c r="I1283" s="1" t="s">
        <v>4386</v>
      </c>
      <c r="J1283" s="1" t="s">
        <v>6298</v>
      </c>
      <c r="K1283" s="1" t="s">
        <v>6299</v>
      </c>
    </row>
    <row r="1284" spans="1:11" ht="21" x14ac:dyDescent="0.25">
      <c r="A1284" s="11" t="str">
        <f>HYPERLINK("https://rth.dk/resources/bsgatlas/details.php?id=BSGatlas-transcript-1283","BSGatlas-transcript-1283")</f>
        <v>BSGatlas-transcript-1283</v>
      </c>
      <c r="B1284" s="1" t="s">
        <v>1225</v>
      </c>
      <c r="C1284" s="3">
        <v>1178757</v>
      </c>
      <c r="D1284" s="3">
        <v>1180868</v>
      </c>
      <c r="E1284" s="1" t="s">
        <v>13</v>
      </c>
      <c r="F1284" s="1">
        <v>0</v>
      </c>
      <c r="G1284" s="1" t="s">
        <v>4372</v>
      </c>
      <c r="H1284" s="1" t="s">
        <v>4372</v>
      </c>
      <c r="I1284" s="1" t="s">
        <v>4397</v>
      </c>
      <c r="J1284" s="1" t="s">
        <v>6300</v>
      </c>
      <c r="K1284" s="1" t="s">
        <v>6301</v>
      </c>
    </row>
    <row r="1285" spans="1:11" ht="21" x14ac:dyDescent="0.25">
      <c r="A1285" s="11" t="str">
        <f>HYPERLINK("https://rth.dk/resources/bsgatlas/details.php?id=BSGatlas-transcript-1284","BSGatlas-transcript-1284")</f>
        <v>BSGatlas-transcript-1284</v>
      </c>
      <c r="B1285" s="1" t="s">
        <v>1226</v>
      </c>
      <c r="C1285" s="3">
        <v>1180646</v>
      </c>
      <c r="D1285" s="3">
        <v>1180802</v>
      </c>
      <c r="E1285" s="1" t="s">
        <v>13</v>
      </c>
      <c r="F1285" s="1">
        <v>0</v>
      </c>
      <c r="G1285" s="1" t="s">
        <v>4372</v>
      </c>
      <c r="H1285" s="1" t="s">
        <v>4372</v>
      </c>
      <c r="I1285" s="1" t="s">
        <v>4377</v>
      </c>
      <c r="J1285" s="1" t="s">
        <v>318</v>
      </c>
      <c r="K1285" s="1" t="s">
        <v>6302</v>
      </c>
    </row>
    <row r="1286" spans="1:11" ht="21" x14ac:dyDescent="0.25">
      <c r="A1286" s="11" t="str">
        <f>HYPERLINK("https://rth.dk/resources/bsgatlas/details.php?id=BSGatlas-transcript-1285","BSGatlas-transcript-1285")</f>
        <v>BSGatlas-transcript-1285</v>
      </c>
      <c r="B1286" s="1" t="s">
        <v>1227</v>
      </c>
      <c r="C1286" s="3">
        <v>1180909</v>
      </c>
      <c r="D1286" s="3">
        <v>1181442</v>
      </c>
      <c r="E1286" s="1" t="s">
        <v>13</v>
      </c>
      <c r="F1286" s="1">
        <v>0</v>
      </c>
      <c r="G1286" s="1" t="s">
        <v>4372</v>
      </c>
      <c r="H1286" s="1" t="s">
        <v>4372</v>
      </c>
      <c r="I1286" s="1" t="s">
        <v>4386</v>
      </c>
      <c r="J1286" s="1" t="s">
        <v>6303</v>
      </c>
      <c r="K1286" s="1" t="s">
        <v>318</v>
      </c>
    </row>
    <row r="1287" spans="1:11" ht="21" x14ac:dyDescent="0.25">
      <c r="A1287" s="11" t="str">
        <f>HYPERLINK("https://rth.dk/resources/bsgatlas/details.php?id=BSGatlas-transcript-1286","BSGatlas-transcript-1286")</f>
        <v>BSGatlas-transcript-1286</v>
      </c>
      <c r="B1287" s="1" t="s">
        <v>1228</v>
      </c>
      <c r="C1287" s="3">
        <v>1181437</v>
      </c>
      <c r="D1287" s="3">
        <v>1182395</v>
      </c>
      <c r="E1287" s="1" t="s">
        <v>9</v>
      </c>
      <c r="F1287" s="1">
        <v>0</v>
      </c>
      <c r="G1287" s="1" t="s">
        <v>4372</v>
      </c>
      <c r="H1287" s="1" t="s">
        <v>4372</v>
      </c>
      <c r="I1287" s="1" t="s">
        <v>4547</v>
      </c>
      <c r="J1287" s="1" t="s">
        <v>6304</v>
      </c>
      <c r="K1287" s="1" t="s">
        <v>6305</v>
      </c>
    </row>
    <row r="1288" spans="1:11" ht="21" x14ac:dyDescent="0.25">
      <c r="A1288" s="11" t="str">
        <f>HYPERLINK("https://rth.dk/resources/bsgatlas/details.php?id=BSGatlas-transcript-1287","BSGatlas-transcript-1287")</f>
        <v>BSGatlas-transcript-1287</v>
      </c>
      <c r="B1288" s="1" t="s">
        <v>1229</v>
      </c>
      <c r="C1288" s="3">
        <v>1182448</v>
      </c>
      <c r="D1288" s="3">
        <v>1183116</v>
      </c>
      <c r="E1288" s="1" t="s">
        <v>13</v>
      </c>
      <c r="F1288" s="1">
        <v>0</v>
      </c>
      <c r="G1288" s="1" t="s">
        <v>4372</v>
      </c>
      <c r="H1288" s="1" t="s">
        <v>4372</v>
      </c>
      <c r="I1288" s="1" t="s">
        <v>4386</v>
      </c>
      <c r="J1288" s="1" t="s">
        <v>6306</v>
      </c>
      <c r="K1288" s="1" t="s">
        <v>6307</v>
      </c>
    </row>
    <row r="1289" spans="1:11" ht="21" x14ac:dyDescent="0.25">
      <c r="A1289" s="11" t="str">
        <f>HYPERLINK("https://rth.dk/resources/bsgatlas/details.php?id=BSGatlas-transcript-1288","BSGatlas-transcript-1288")</f>
        <v>BSGatlas-transcript-1288</v>
      </c>
      <c r="B1289" s="1" t="s">
        <v>1230</v>
      </c>
      <c r="C1289" s="3">
        <v>1183943</v>
      </c>
      <c r="D1289" s="3">
        <v>1184529</v>
      </c>
      <c r="E1289" s="1" t="s">
        <v>13</v>
      </c>
      <c r="F1289" s="1">
        <v>0</v>
      </c>
      <c r="G1289" s="1" t="s">
        <v>4372</v>
      </c>
      <c r="H1289" s="1" t="s">
        <v>4372</v>
      </c>
      <c r="I1289" s="1" t="s">
        <v>4377</v>
      </c>
      <c r="J1289" s="1" t="s">
        <v>6308</v>
      </c>
      <c r="K1289" s="1" t="s">
        <v>318</v>
      </c>
    </row>
    <row r="1290" spans="1:11" ht="21" x14ac:dyDescent="0.25">
      <c r="A1290" s="11" t="str">
        <f>HYPERLINK("https://rth.dk/resources/bsgatlas/details.php?id=BSGatlas-transcript-1289","BSGatlas-transcript-1289")</f>
        <v>BSGatlas-transcript-1289</v>
      </c>
      <c r="B1290" s="1" t="s">
        <v>6309</v>
      </c>
      <c r="C1290" s="3">
        <v>1184657</v>
      </c>
      <c r="D1290" s="3">
        <v>1185947</v>
      </c>
      <c r="E1290" s="1" t="s">
        <v>9</v>
      </c>
      <c r="F1290" s="1">
        <v>1</v>
      </c>
      <c r="G1290" s="1" t="s">
        <v>4372</v>
      </c>
      <c r="H1290" s="1">
        <v>47</v>
      </c>
      <c r="I1290" s="1" t="s">
        <v>4386</v>
      </c>
      <c r="J1290" s="1" t="s">
        <v>6310</v>
      </c>
      <c r="K1290" s="1" t="s">
        <v>6311</v>
      </c>
    </row>
    <row r="1291" spans="1:11" ht="21" x14ac:dyDescent="0.25">
      <c r="A1291" s="11" t="str">
        <f>HYPERLINK("https://rth.dk/resources/bsgatlas/details.php?id=BSGatlas-transcript-1290","BSGatlas-transcript-1290")</f>
        <v>BSGatlas-transcript-1290</v>
      </c>
      <c r="B1291" s="1" t="s">
        <v>1234</v>
      </c>
      <c r="C1291" s="3">
        <v>1186037</v>
      </c>
      <c r="D1291" s="3">
        <v>1187653</v>
      </c>
      <c r="E1291" s="1" t="s">
        <v>9</v>
      </c>
      <c r="F1291" s="1">
        <v>0</v>
      </c>
      <c r="G1291" s="1" t="s">
        <v>4372</v>
      </c>
      <c r="H1291" s="1" t="s">
        <v>4372</v>
      </c>
      <c r="I1291" s="1" t="s">
        <v>4386</v>
      </c>
      <c r="J1291" s="1" t="s">
        <v>318</v>
      </c>
      <c r="K1291" s="1" t="s">
        <v>6312</v>
      </c>
    </row>
    <row r="1292" spans="1:11" ht="21" x14ac:dyDescent="0.25">
      <c r="A1292" s="11" t="str">
        <f>HYPERLINK("https://rth.dk/resources/bsgatlas/details.php?id=BSGatlas-transcript-1291","BSGatlas-transcript-1291")</f>
        <v>BSGatlas-transcript-1291</v>
      </c>
      <c r="B1292" s="1" t="s">
        <v>1235</v>
      </c>
      <c r="C1292" s="3">
        <v>1187700</v>
      </c>
      <c r="D1292" s="3">
        <v>1188615</v>
      </c>
      <c r="E1292" s="1" t="s">
        <v>13</v>
      </c>
      <c r="F1292" s="1">
        <v>0</v>
      </c>
      <c r="G1292" s="1" t="s">
        <v>4372</v>
      </c>
      <c r="H1292" s="1" t="s">
        <v>4372</v>
      </c>
      <c r="I1292" s="1" t="s">
        <v>4397</v>
      </c>
      <c r="J1292" s="1" t="s">
        <v>6313</v>
      </c>
      <c r="K1292" s="1" t="s">
        <v>6314</v>
      </c>
    </row>
    <row r="1293" spans="1:11" ht="21" x14ac:dyDescent="0.25">
      <c r="A1293" s="11" t="str">
        <f>HYPERLINK("https://rth.dk/resources/bsgatlas/details.php?id=BSGatlas-transcript-1292","BSGatlas-transcript-1292")</f>
        <v>BSGatlas-transcript-1292</v>
      </c>
      <c r="B1293" s="1" t="s">
        <v>6315</v>
      </c>
      <c r="C1293" s="3">
        <v>1188127</v>
      </c>
      <c r="D1293" s="3">
        <v>1190045</v>
      </c>
      <c r="E1293" s="1" t="s">
        <v>9</v>
      </c>
      <c r="F1293" s="1">
        <v>1</v>
      </c>
      <c r="G1293" s="1">
        <v>563</v>
      </c>
      <c r="H1293" s="1">
        <v>41</v>
      </c>
      <c r="I1293" s="1" t="s">
        <v>4386</v>
      </c>
      <c r="J1293" s="1" t="s">
        <v>6316</v>
      </c>
      <c r="K1293" s="1" t="s">
        <v>6317</v>
      </c>
    </row>
    <row r="1294" spans="1:11" ht="21" x14ac:dyDescent="0.25">
      <c r="A1294" s="11" t="str">
        <f>HYPERLINK("https://rth.dk/resources/bsgatlas/details.php?id=BSGatlas-transcript-1293","BSGatlas-transcript-1293")</f>
        <v>BSGatlas-transcript-1293</v>
      </c>
      <c r="B1294" s="1" t="s">
        <v>6315</v>
      </c>
      <c r="C1294" s="3">
        <v>1188652</v>
      </c>
      <c r="D1294" s="3">
        <v>1190045</v>
      </c>
      <c r="E1294" s="1" t="s">
        <v>9</v>
      </c>
      <c r="F1294" s="1">
        <v>1</v>
      </c>
      <c r="G1294" s="1">
        <v>38</v>
      </c>
      <c r="H1294" s="1">
        <v>41</v>
      </c>
      <c r="I1294" s="1" t="s">
        <v>4386</v>
      </c>
      <c r="J1294" s="1" t="s">
        <v>6318</v>
      </c>
      <c r="K1294" s="1" t="s">
        <v>6317</v>
      </c>
    </row>
    <row r="1295" spans="1:11" ht="21" x14ac:dyDescent="0.25">
      <c r="A1295" s="11" t="str">
        <f>HYPERLINK("https://rth.dk/resources/bsgatlas/details.php?id=BSGatlas-transcript-1294","BSGatlas-transcript-1294")</f>
        <v>BSGatlas-transcript-1294</v>
      </c>
      <c r="B1295" s="1" t="s">
        <v>6315</v>
      </c>
      <c r="C1295" s="3">
        <v>1188689</v>
      </c>
      <c r="D1295" s="3">
        <v>1190045</v>
      </c>
      <c r="E1295" s="1" t="s">
        <v>9</v>
      </c>
      <c r="F1295" s="1">
        <v>1</v>
      </c>
      <c r="G1295" s="1" t="s">
        <v>4372</v>
      </c>
      <c r="H1295" s="1">
        <v>41</v>
      </c>
      <c r="I1295" s="1" t="s">
        <v>4386</v>
      </c>
      <c r="J1295" s="1" t="s">
        <v>6319</v>
      </c>
      <c r="K1295" s="1" t="s">
        <v>6317</v>
      </c>
    </row>
    <row r="1296" spans="1:11" ht="21" x14ac:dyDescent="0.25">
      <c r="A1296" s="11" t="str">
        <f>HYPERLINK("https://rth.dk/resources/bsgatlas/details.php?id=BSGatlas-transcript-1295","BSGatlas-transcript-1295")</f>
        <v>BSGatlas-transcript-1295</v>
      </c>
      <c r="B1296" s="1" t="s">
        <v>1237</v>
      </c>
      <c r="C1296" s="3">
        <v>1189203</v>
      </c>
      <c r="D1296" s="3">
        <v>1190045</v>
      </c>
      <c r="E1296" s="1" t="s">
        <v>9</v>
      </c>
      <c r="F1296" s="1">
        <v>0</v>
      </c>
      <c r="G1296" s="1" t="s">
        <v>4372</v>
      </c>
      <c r="H1296" s="1" t="s">
        <v>4372</v>
      </c>
      <c r="I1296" s="1" t="s">
        <v>4373</v>
      </c>
      <c r="J1296" s="1" t="s">
        <v>6320</v>
      </c>
      <c r="K1296" s="1" t="s">
        <v>6317</v>
      </c>
    </row>
    <row r="1297" spans="1:11" ht="21" x14ac:dyDescent="0.25">
      <c r="A1297" s="11" t="str">
        <f>HYPERLINK("https://rth.dk/resources/bsgatlas/details.php?id=BSGatlas-transcript-1296","BSGatlas-transcript-1296")</f>
        <v>BSGatlas-transcript-1296</v>
      </c>
      <c r="B1297" s="1" t="s">
        <v>1238</v>
      </c>
      <c r="C1297" s="3">
        <v>1190036</v>
      </c>
      <c r="D1297" s="3">
        <v>1190430</v>
      </c>
      <c r="E1297" s="1" t="s">
        <v>13</v>
      </c>
      <c r="F1297" s="1">
        <v>0</v>
      </c>
      <c r="G1297" s="1" t="s">
        <v>4372</v>
      </c>
      <c r="H1297" s="1" t="s">
        <v>4372</v>
      </c>
      <c r="I1297" s="1" t="s">
        <v>4386</v>
      </c>
      <c r="J1297" s="1" t="s">
        <v>6321</v>
      </c>
      <c r="K1297" s="1" t="s">
        <v>6322</v>
      </c>
    </row>
    <row r="1298" spans="1:11" ht="21" x14ac:dyDescent="0.25">
      <c r="A1298" s="11" t="str">
        <f>HYPERLINK("https://rth.dk/resources/bsgatlas/details.php?id=BSGatlas-transcript-1297","BSGatlas-transcript-1297")</f>
        <v>BSGatlas-transcript-1297</v>
      </c>
      <c r="B1298" s="1" t="s">
        <v>6323</v>
      </c>
      <c r="C1298" s="3">
        <v>1190036</v>
      </c>
      <c r="D1298" s="3">
        <v>1191360</v>
      </c>
      <c r="E1298" s="1" t="s">
        <v>13</v>
      </c>
      <c r="F1298" s="1">
        <v>1</v>
      </c>
      <c r="G1298" s="1">
        <v>59</v>
      </c>
      <c r="H1298" s="1" t="s">
        <v>4372</v>
      </c>
      <c r="I1298" s="1" t="s">
        <v>4386</v>
      </c>
      <c r="J1298" s="1" t="s">
        <v>6324</v>
      </c>
      <c r="K1298" s="1" t="s">
        <v>6322</v>
      </c>
    </row>
    <row r="1299" spans="1:11" ht="21" x14ac:dyDescent="0.25">
      <c r="A1299" s="11" t="str">
        <f>HYPERLINK("https://rth.dk/resources/bsgatlas/details.php?id=BSGatlas-transcript-1298","BSGatlas-transcript-1298")</f>
        <v>BSGatlas-transcript-1298</v>
      </c>
      <c r="B1299" s="1" t="s">
        <v>6325</v>
      </c>
      <c r="C1299" s="3">
        <v>1191381</v>
      </c>
      <c r="D1299" s="3">
        <v>1192562</v>
      </c>
      <c r="E1299" s="1" t="s">
        <v>9</v>
      </c>
      <c r="F1299" s="1">
        <v>1</v>
      </c>
      <c r="G1299" s="1">
        <v>43</v>
      </c>
      <c r="H1299" s="1" t="s">
        <v>4372</v>
      </c>
      <c r="I1299" s="1" t="s">
        <v>4386</v>
      </c>
      <c r="J1299" s="1" t="s">
        <v>6326</v>
      </c>
      <c r="K1299" s="1" t="s">
        <v>6327</v>
      </c>
    </row>
    <row r="1300" spans="1:11" ht="21" x14ac:dyDescent="0.25">
      <c r="A1300" s="11" t="str">
        <f>HYPERLINK("https://rth.dk/resources/bsgatlas/details.php?id=BSGatlas-transcript-1299","BSGatlas-transcript-1299")</f>
        <v>BSGatlas-transcript-1299</v>
      </c>
      <c r="B1300" s="1" t="s">
        <v>1241</v>
      </c>
      <c r="C1300" s="3">
        <v>1192219</v>
      </c>
      <c r="D1300" s="3">
        <v>1192562</v>
      </c>
      <c r="E1300" s="1" t="s">
        <v>9</v>
      </c>
      <c r="F1300" s="1">
        <v>0</v>
      </c>
      <c r="G1300" s="1" t="s">
        <v>4372</v>
      </c>
      <c r="H1300" s="1" t="s">
        <v>4372</v>
      </c>
      <c r="I1300" s="1" t="s">
        <v>4386</v>
      </c>
      <c r="J1300" s="1" t="s">
        <v>6328</v>
      </c>
      <c r="K1300" s="1" t="s">
        <v>6327</v>
      </c>
    </row>
    <row r="1301" spans="1:11" ht="21" x14ac:dyDescent="0.25">
      <c r="A1301" s="11" t="str">
        <f>HYPERLINK("https://rth.dk/resources/bsgatlas/details.php?id=BSGatlas-transcript-1300","BSGatlas-transcript-1300")</f>
        <v>BSGatlas-transcript-1300</v>
      </c>
      <c r="B1301" s="1" t="s">
        <v>1242</v>
      </c>
      <c r="C1301" s="3">
        <v>1194333</v>
      </c>
      <c r="D1301" s="3">
        <v>1194827</v>
      </c>
      <c r="E1301" s="1" t="s">
        <v>9</v>
      </c>
      <c r="F1301" s="1">
        <v>0</v>
      </c>
      <c r="G1301" s="1" t="s">
        <v>4372</v>
      </c>
      <c r="H1301" s="1" t="s">
        <v>4372</v>
      </c>
      <c r="I1301" s="1" t="s">
        <v>4377</v>
      </c>
      <c r="J1301" s="1" t="s">
        <v>318</v>
      </c>
      <c r="K1301" s="1" t="s">
        <v>6329</v>
      </c>
    </row>
    <row r="1302" spans="1:11" ht="21" x14ac:dyDescent="0.25">
      <c r="A1302" s="11" t="str">
        <f>HYPERLINK("https://rth.dk/resources/bsgatlas/details.php?id=BSGatlas-transcript-1301","BSGatlas-transcript-1301")</f>
        <v>BSGatlas-transcript-1301</v>
      </c>
      <c r="B1302" s="1" t="s">
        <v>6330</v>
      </c>
      <c r="C1302" s="3">
        <v>1194971</v>
      </c>
      <c r="D1302" s="3">
        <v>1204420</v>
      </c>
      <c r="E1302" s="1" t="s">
        <v>9</v>
      </c>
      <c r="F1302" s="1">
        <v>2</v>
      </c>
      <c r="G1302" s="1">
        <v>64</v>
      </c>
      <c r="H1302" s="1" t="s">
        <v>4372</v>
      </c>
      <c r="I1302" s="1" t="s">
        <v>4373</v>
      </c>
      <c r="J1302" s="1" t="s">
        <v>6331</v>
      </c>
      <c r="K1302" s="1" t="s">
        <v>6332</v>
      </c>
    </row>
    <row r="1303" spans="1:11" ht="21" x14ac:dyDescent="0.25">
      <c r="A1303" s="11" t="str">
        <f>HYPERLINK("https://rth.dk/resources/bsgatlas/details.php?id=BSGatlas-transcript-1302","BSGatlas-transcript-1302")</f>
        <v>BSGatlas-transcript-1302</v>
      </c>
      <c r="B1303" s="1" t="s">
        <v>6330</v>
      </c>
      <c r="C1303" s="3">
        <v>1194971</v>
      </c>
      <c r="D1303" s="3">
        <v>1204449</v>
      </c>
      <c r="E1303" s="1" t="s">
        <v>9</v>
      </c>
      <c r="F1303" s="1">
        <v>2</v>
      </c>
      <c r="G1303" s="1">
        <v>64</v>
      </c>
      <c r="H1303" s="1">
        <v>30</v>
      </c>
      <c r="I1303" s="1" t="s">
        <v>4373</v>
      </c>
      <c r="J1303" s="1" t="s">
        <v>6331</v>
      </c>
      <c r="K1303" s="1" t="s">
        <v>6333</v>
      </c>
    </row>
    <row r="1304" spans="1:11" ht="21" x14ac:dyDescent="0.25">
      <c r="A1304" s="11" t="str">
        <f>HYPERLINK("https://rth.dk/resources/bsgatlas/details.php?id=BSGatlas-transcript-1303","BSGatlas-transcript-1303")</f>
        <v>BSGatlas-transcript-1303</v>
      </c>
      <c r="B1304" s="1" t="s">
        <v>6330</v>
      </c>
      <c r="C1304" s="3">
        <v>1195002</v>
      </c>
      <c r="D1304" s="3">
        <v>1204420</v>
      </c>
      <c r="E1304" s="1" t="s">
        <v>9</v>
      </c>
      <c r="F1304" s="1">
        <v>2</v>
      </c>
      <c r="G1304" s="1">
        <v>33</v>
      </c>
      <c r="H1304" s="1" t="s">
        <v>4372</v>
      </c>
      <c r="I1304" s="1" t="s">
        <v>4373</v>
      </c>
      <c r="J1304" s="1" t="s">
        <v>6334</v>
      </c>
      <c r="K1304" s="1" t="s">
        <v>6332</v>
      </c>
    </row>
    <row r="1305" spans="1:11" ht="21" x14ac:dyDescent="0.25">
      <c r="A1305" s="11" t="str">
        <f>HYPERLINK("https://rth.dk/resources/bsgatlas/details.php?id=BSGatlas-transcript-1304","BSGatlas-transcript-1304")</f>
        <v>BSGatlas-transcript-1304</v>
      </c>
      <c r="B1305" s="1" t="s">
        <v>6330</v>
      </c>
      <c r="C1305" s="3">
        <v>1195002</v>
      </c>
      <c r="D1305" s="3">
        <v>1204449</v>
      </c>
      <c r="E1305" s="1" t="s">
        <v>9</v>
      </c>
      <c r="F1305" s="1">
        <v>2</v>
      </c>
      <c r="G1305" s="1">
        <v>33</v>
      </c>
      <c r="H1305" s="1">
        <v>30</v>
      </c>
      <c r="I1305" s="1" t="s">
        <v>4373</v>
      </c>
      <c r="J1305" s="1" t="s">
        <v>6334</v>
      </c>
      <c r="K1305" s="1" t="s">
        <v>6333</v>
      </c>
    </row>
    <row r="1306" spans="1:11" ht="21" x14ac:dyDescent="0.25">
      <c r="A1306" s="11" t="str">
        <f>HYPERLINK("https://rth.dk/resources/bsgatlas/details.php?id=BSGatlas-transcript-1305","BSGatlas-transcript-1305")</f>
        <v>BSGatlas-transcript-1305</v>
      </c>
      <c r="B1306" s="1" t="s">
        <v>1250</v>
      </c>
      <c r="C1306" s="3">
        <v>1204434</v>
      </c>
      <c r="D1306" s="3">
        <v>1204962</v>
      </c>
      <c r="E1306" s="1" t="s">
        <v>13</v>
      </c>
      <c r="F1306" s="1">
        <v>0</v>
      </c>
      <c r="G1306" s="1" t="s">
        <v>4372</v>
      </c>
      <c r="H1306" s="1" t="s">
        <v>4372</v>
      </c>
      <c r="I1306" s="1" t="s">
        <v>4397</v>
      </c>
      <c r="J1306" s="1" t="s">
        <v>6335</v>
      </c>
      <c r="K1306" s="1" t="s">
        <v>6336</v>
      </c>
    </row>
    <row r="1307" spans="1:11" ht="21" x14ac:dyDescent="0.25">
      <c r="A1307" s="11" t="str">
        <f>HYPERLINK("https://rth.dk/resources/bsgatlas/details.php?id=BSGatlas-transcript-1306","BSGatlas-transcript-1306")</f>
        <v>BSGatlas-transcript-1306</v>
      </c>
      <c r="B1307" s="1" t="s">
        <v>1251</v>
      </c>
      <c r="C1307" s="3">
        <v>1204490</v>
      </c>
      <c r="D1307" s="3">
        <v>1204734</v>
      </c>
      <c r="E1307" s="1" t="s">
        <v>9</v>
      </c>
      <c r="F1307" s="1">
        <v>0</v>
      </c>
      <c r="G1307" s="1" t="s">
        <v>4372</v>
      </c>
      <c r="H1307" s="1" t="s">
        <v>4372</v>
      </c>
      <c r="I1307" s="1" t="s">
        <v>4373</v>
      </c>
      <c r="J1307" s="1" t="s">
        <v>6337</v>
      </c>
      <c r="K1307" s="1" t="s">
        <v>6338</v>
      </c>
    </row>
    <row r="1308" spans="1:11" ht="21" x14ac:dyDescent="0.25">
      <c r="A1308" s="11" t="str">
        <f>HYPERLINK("https://rth.dk/resources/bsgatlas/details.php?id=BSGatlas-transcript-1307","BSGatlas-transcript-1307")</f>
        <v>BSGatlas-transcript-1307</v>
      </c>
      <c r="B1308" s="1" t="s">
        <v>1250</v>
      </c>
      <c r="C1308" s="3">
        <v>1204731</v>
      </c>
      <c r="D1308" s="3">
        <v>1204962</v>
      </c>
      <c r="E1308" s="1" t="s">
        <v>13</v>
      </c>
      <c r="F1308" s="1">
        <v>0</v>
      </c>
      <c r="G1308" s="1" t="s">
        <v>4372</v>
      </c>
      <c r="H1308" s="1" t="s">
        <v>4372</v>
      </c>
      <c r="I1308" s="1" t="s">
        <v>4397</v>
      </c>
      <c r="J1308" s="1" t="s">
        <v>6335</v>
      </c>
      <c r="K1308" s="1" t="s">
        <v>6339</v>
      </c>
    </row>
    <row r="1309" spans="1:11" ht="21" x14ac:dyDescent="0.25">
      <c r="A1309" s="11" t="str">
        <f>HYPERLINK("https://rth.dk/resources/bsgatlas/details.php?id=BSGatlas-transcript-1308","BSGatlas-transcript-1308")</f>
        <v>BSGatlas-transcript-1308</v>
      </c>
      <c r="B1309" s="1" t="s">
        <v>1252</v>
      </c>
      <c r="C1309" s="3">
        <v>1205040</v>
      </c>
      <c r="D1309" s="3">
        <v>1205920</v>
      </c>
      <c r="E1309" s="1" t="s">
        <v>9</v>
      </c>
      <c r="F1309" s="1">
        <v>0</v>
      </c>
      <c r="G1309" s="1" t="s">
        <v>4372</v>
      </c>
      <c r="H1309" s="1" t="s">
        <v>4372</v>
      </c>
      <c r="I1309" s="1" t="s">
        <v>4377</v>
      </c>
      <c r="J1309" s="1" t="s">
        <v>6340</v>
      </c>
      <c r="K1309" s="1" t="s">
        <v>6341</v>
      </c>
    </row>
    <row r="1310" spans="1:11" ht="21" x14ac:dyDescent="0.25">
      <c r="A1310" s="11" t="str">
        <f>HYPERLINK("https://rth.dk/resources/bsgatlas/details.php?id=BSGatlas-transcript-1309","BSGatlas-transcript-1309")</f>
        <v>BSGatlas-transcript-1309</v>
      </c>
      <c r="B1310" s="1" t="s">
        <v>6342</v>
      </c>
      <c r="C1310" s="3">
        <v>1205040</v>
      </c>
      <c r="D1310" s="3">
        <v>1207788</v>
      </c>
      <c r="E1310" s="1" t="s">
        <v>9</v>
      </c>
      <c r="F1310" s="1">
        <v>2</v>
      </c>
      <c r="G1310" s="1">
        <v>126</v>
      </c>
      <c r="H1310" s="1" t="s">
        <v>4372</v>
      </c>
      <c r="I1310" s="1" t="s">
        <v>4386</v>
      </c>
      <c r="J1310" s="1" t="s">
        <v>6340</v>
      </c>
      <c r="K1310" s="1" t="s">
        <v>6343</v>
      </c>
    </row>
    <row r="1311" spans="1:11" ht="21" x14ac:dyDescent="0.25">
      <c r="A1311" s="11" t="str">
        <f>HYPERLINK("https://rth.dk/resources/bsgatlas/details.php?id=BSGatlas-transcript-1310","BSGatlas-transcript-1310")</f>
        <v>BSGatlas-transcript-1310</v>
      </c>
      <c r="B1311" s="1" t="s">
        <v>6342</v>
      </c>
      <c r="C1311" s="3">
        <v>1205040</v>
      </c>
      <c r="D1311" s="3">
        <v>1207829</v>
      </c>
      <c r="E1311" s="1" t="s">
        <v>9</v>
      </c>
      <c r="F1311" s="1">
        <v>2</v>
      </c>
      <c r="G1311" s="1">
        <v>126</v>
      </c>
      <c r="H1311" s="1">
        <v>42</v>
      </c>
      <c r="I1311" s="1" t="s">
        <v>4386</v>
      </c>
      <c r="J1311" s="1" t="s">
        <v>6340</v>
      </c>
      <c r="K1311" s="1" t="s">
        <v>6344</v>
      </c>
    </row>
    <row r="1312" spans="1:11" ht="21" x14ac:dyDescent="0.25">
      <c r="A1312" s="11" t="str">
        <f>HYPERLINK("https://rth.dk/resources/bsgatlas/details.php?id=BSGatlas-transcript-1311","BSGatlas-transcript-1311")</f>
        <v>BSGatlas-transcript-1311</v>
      </c>
      <c r="B1312" s="1" t="s">
        <v>1252</v>
      </c>
      <c r="C1312" s="3">
        <v>1205106</v>
      </c>
      <c r="D1312" s="3">
        <v>1205920</v>
      </c>
      <c r="E1312" s="1" t="s">
        <v>9</v>
      </c>
      <c r="F1312" s="1">
        <v>0</v>
      </c>
      <c r="G1312" s="1" t="s">
        <v>4372</v>
      </c>
      <c r="H1312" s="1" t="s">
        <v>4372</v>
      </c>
      <c r="I1312" s="1" t="s">
        <v>4377</v>
      </c>
      <c r="J1312" s="1" t="s">
        <v>6345</v>
      </c>
      <c r="K1312" s="1" t="s">
        <v>6341</v>
      </c>
    </row>
    <row r="1313" spans="1:11" ht="21" x14ac:dyDescent="0.25">
      <c r="A1313" s="11" t="str">
        <f>HYPERLINK("https://rth.dk/resources/bsgatlas/details.php?id=BSGatlas-transcript-1312","BSGatlas-transcript-1312")</f>
        <v>BSGatlas-transcript-1312</v>
      </c>
      <c r="B1313" s="1" t="s">
        <v>6342</v>
      </c>
      <c r="C1313" s="3">
        <v>1205106</v>
      </c>
      <c r="D1313" s="3">
        <v>1207788</v>
      </c>
      <c r="E1313" s="1" t="s">
        <v>9</v>
      </c>
      <c r="F1313" s="1">
        <v>2</v>
      </c>
      <c r="G1313" s="1">
        <v>60</v>
      </c>
      <c r="H1313" s="1" t="s">
        <v>4372</v>
      </c>
      <c r="I1313" s="1" t="s">
        <v>4386</v>
      </c>
      <c r="J1313" s="1" t="s">
        <v>6345</v>
      </c>
      <c r="K1313" s="1" t="s">
        <v>6343</v>
      </c>
    </row>
    <row r="1314" spans="1:11" ht="21" x14ac:dyDescent="0.25">
      <c r="A1314" s="11" t="str">
        <f>HYPERLINK("https://rth.dk/resources/bsgatlas/details.php?id=BSGatlas-transcript-1313","BSGatlas-transcript-1313")</f>
        <v>BSGatlas-transcript-1313</v>
      </c>
      <c r="B1314" s="1" t="s">
        <v>6342</v>
      </c>
      <c r="C1314" s="3">
        <v>1205106</v>
      </c>
      <c r="D1314" s="3">
        <v>1207829</v>
      </c>
      <c r="E1314" s="1" t="s">
        <v>9</v>
      </c>
      <c r="F1314" s="1">
        <v>2</v>
      </c>
      <c r="G1314" s="1">
        <v>60</v>
      </c>
      <c r="H1314" s="1">
        <v>42</v>
      </c>
      <c r="I1314" s="1" t="s">
        <v>4386</v>
      </c>
      <c r="J1314" s="1" t="s">
        <v>6345</v>
      </c>
      <c r="K1314" s="1" t="s">
        <v>6344</v>
      </c>
    </row>
    <row r="1315" spans="1:11" ht="21" x14ac:dyDescent="0.25">
      <c r="A1315" s="11" t="str">
        <f>HYPERLINK("https://rth.dk/resources/bsgatlas/details.php?id=BSGatlas-transcript-1314","BSGatlas-transcript-1314")</f>
        <v>BSGatlas-transcript-1314</v>
      </c>
      <c r="B1315" s="1" t="s">
        <v>1256</v>
      </c>
      <c r="C1315" s="3">
        <v>1205658</v>
      </c>
      <c r="D1315" s="3">
        <v>1206260</v>
      </c>
      <c r="E1315" s="1" t="s">
        <v>13</v>
      </c>
      <c r="F1315" s="1">
        <v>0</v>
      </c>
      <c r="G1315" s="1" t="s">
        <v>4372</v>
      </c>
      <c r="H1315" s="1" t="s">
        <v>4372</v>
      </c>
      <c r="I1315" s="1" t="s">
        <v>4377</v>
      </c>
      <c r="J1315" s="1" t="s">
        <v>6346</v>
      </c>
      <c r="K1315" s="1" t="s">
        <v>318</v>
      </c>
    </row>
    <row r="1316" spans="1:11" ht="21" x14ac:dyDescent="0.25">
      <c r="A1316" s="11" t="str">
        <f>HYPERLINK("https://rth.dk/resources/bsgatlas/details.php?id=BSGatlas-transcript-1315","BSGatlas-transcript-1315")</f>
        <v>BSGatlas-transcript-1315</v>
      </c>
      <c r="B1316" s="1" t="s">
        <v>6347</v>
      </c>
      <c r="C1316" s="3">
        <v>1205898</v>
      </c>
      <c r="D1316" s="3">
        <v>1207788</v>
      </c>
      <c r="E1316" s="1" t="s">
        <v>9</v>
      </c>
      <c r="F1316" s="1">
        <v>1</v>
      </c>
      <c r="G1316" s="1">
        <v>84</v>
      </c>
      <c r="H1316" s="1" t="s">
        <v>4372</v>
      </c>
      <c r="I1316" s="1" t="s">
        <v>4386</v>
      </c>
      <c r="J1316" s="1" t="s">
        <v>6348</v>
      </c>
      <c r="K1316" s="1" t="s">
        <v>6343</v>
      </c>
    </row>
    <row r="1317" spans="1:11" ht="21" x14ac:dyDescent="0.25">
      <c r="A1317" s="11" t="str">
        <f>HYPERLINK("https://rth.dk/resources/bsgatlas/details.php?id=BSGatlas-transcript-1316","BSGatlas-transcript-1316")</f>
        <v>BSGatlas-transcript-1316</v>
      </c>
      <c r="B1317" s="1" t="s">
        <v>6347</v>
      </c>
      <c r="C1317" s="3">
        <v>1205898</v>
      </c>
      <c r="D1317" s="3">
        <v>1207829</v>
      </c>
      <c r="E1317" s="1" t="s">
        <v>9</v>
      </c>
      <c r="F1317" s="1">
        <v>1</v>
      </c>
      <c r="G1317" s="1">
        <v>84</v>
      </c>
      <c r="H1317" s="1">
        <v>42</v>
      </c>
      <c r="I1317" s="1" t="s">
        <v>4386</v>
      </c>
      <c r="J1317" s="1" t="s">
        <v>6348</v>
      </c>
      <c r="K1317" s="1" t="s">
        <v>6344</v>
      </c>
    </row>
    <row r="1318" spans="1:11" ht="21" x14ac:dyDescent="0.25">
      <c r="A1318" s="11" t="str">
        <f>HYPERLINK("https://rth.dk/resources/bsgatlas/details.php?id=BSGatlas-transcript-1317","BSGatlas-transcript-1317")</f>
        <v>BSGatlas-transcript-1317</v>
      </c>
      <c r="B1318" s="1" t="s">
        <v>6349</v>
      </c>
      <c r="C1318" s="3">
        <v>1206538</v>
      </c>
      <c r="D1318" s="3">
        <v>1207788</v>
      </c>
      <c r="E1318" s="1" t="s">
        <v>9</v>
      </c>
      <c r="F1318" s="1">
        <v>0</v>
      </c>
      <c r="G1318" s="1" t="s">
        <v>4372</v>
      </c>
      <c r="H1318" s="1" t="s">
        <v>4372</v>
      </c>
      <c r="I1318" s="1" t="s">
        <v>4373</v>
      </c>
      <c r="J1318" s="1" t="s">
        <v>6350</v>
      </c>
      <c r="K1318" s="1" t="s">
        <v>6343</v>
      </c>
    </row>
    <row r="1319" spans="1:11" ht="21" x14ac:dyDescent="0.25">
      <c r="A1319" s="11" t="str">
        <f>HYPERLINK("https://rth.dk/resources/bsgatlas/details.php?id=BSGatlas-transcript-1318","BSGatlas-transcript-1318")</f>
        <v>BSGatlas-transcript-1318</v>
      </c>
      <c r="B1319" s="1" t="s">
        <v>6349</v>
      </c>
      <c r="C1319" s="3">
        <v>1206538</v>
      </c>
      <c r="D1319" s="3">
        <v>1207829</v>
      </c>
      <c r="E1319" s="1" t="s">
        <v>9</v>
      </c>
      <c r="F1319" s="1">
        <v>0</v>
      </c>
      <c r="G1319" s="1" t="s">
        <v>4372</v>
      </c>
      <c r="H1319" s="1" t="s">
        <v>4372</v>
      </c>
      <c r="I1319" s="1" t="s">
        <v>4373</v>
      </c>
      <c r="J1319" s="1" t="s">
        <v>6350</v>
      </c>
      <c r="K1319" s="1" t="s">
        <v>6344</v>
      </c>
    </row>
    <row r="1320" spans="1:11" ht="21" x14ac:dyDescent="0.25">
      <c r="A1320" s="11" t="str">
        <f>HYPERLINK("https://rth.dk/resources/bsgatlas/details.php?id=BSGatlas-transcript-1319","BSGatlas-transcript-1319")</f>
        <v>BSGatlas-transcript-1319</v>
      </c>
      <c r="B1320" s="1" t="s">
        <v>6349</v>
      </c>
      <c r="C1320" s="3">
        <v>1206544</v>
      </c>
      <c r="D1320" s="3">
        <v>1207788</v>
      </c>
      <c r="E1320" s="1" t="s">
        <v>9</v>
      </c>
      <c r="F1320" s="1">
        <v>0</v>
      </c>
      <c r="G1320" s="1" t="s">
        <v>4372</v>
      </c>
      <c r="H1320" s="1" t="s">
        <v>4372</v>
      </c>
      <c r="I1320" s="1" t="s">
        <v>4373</v>
      </c>
      <c r="J1320" s="1" t="s">
        <v>6351</v>
      </c>
      <c r="K1320" s="1" t="s">
        <v>6343</v>
      </c>
    </row>
    <row r="1321" spans="1:11" ht="21" x14ac:dyDescent="0.25">
      <c r="A1321" s="11" t="str">
        <f>HYPERLINK("https://rth.dk/resources/bsgatlas/details.php?id=BSGatlas-transcript-1320","BSGatlas-transcript-1320")</f>
        <v>BSGatlas-transcript-1320</v>
      </c>
      <c r="B1321" s="1" t="s">
        <v>6349</v>
      </c>
      <c r="C1321" s="3">
        <v>1206544</v>
      </c>
      <c r="D1321" s="3">
        <v>1207829</v>
      </c>
      <c r="E1321" s="1" t="s">
        <v>9</v>
      </c>
      <c r="F1321" s="1">
        <v>0</v>
      </c>
      <c r="G1321" s="1" t="s">
        <v>4372</v>
      </c>
      <c r="H1321" s="1" t="s">
        <v>4372</v>
      </c>
      <c r="I1321" s="1" t="s">
        <v>4373</v>
      </c>
      <c r="J1321" s="1" t="s">
        <v>6351</v>
      </c>
      <c r="K1321" s="1" t="s">
        <v>6344</v>
      </c>
    </row>
    <row r="1322" spans="1:11" ht="21" x14ac:dyDescent="0.25">
      <c r="A1322" s="11" t="str">
        <f>HYPERLINK("https://rth.dk/resources/bsgatlas/details.php?id=BSGatlas-transcript-1321","BSGatlas-transcript-1321")</f>
        <v>BSGatlas-transcript-1321</v>
      </c>
      <c r="B1322" s="1" t="s">
        <v>6349</v>
      </c>
      <c r="C1322" s="3">
        <v>1206579</v>
      </c>
      <c r="D1322" s="3">
        <v>1207788</v>
      </c>
      <c r="E1322" s="1" t="s">
        <v>9</v>
      </c>
      <c r="F1322" s="1">
        <v>0</v>
      </c>
      <c r="G1322" s="1" t="s">
        <v>4372</v>
      </c>
      <c r="H1322" s="1" t="s">
        <v>4372</v>
      </c>
      <c r="I1322" s="1" t="s">
        <v>4373</v>
      </c>
      <c r="J1322" s="1" t="s">
        <v>6352</v>
      </c>
      <c r="K1322" s="1" t="s">
        <v>6343</v>
      </c>
    </row>
    <row r="1323" spans="1:11" ht="21" x14ac:dyDescent="0.25">
      <c r="A1323" s="11" t="str">
        <f>HYPERLINK("https://rth.dk/resources/bsgatlas/details.php?id=BSGatlas-transcript-1322","BSGatlas-transcript-1322")</f>
        <v>BSGatlas-transcript-1322</v>
      </c>
      <c r="B1323" s="1" t="s">
        <v>6349</v>
      </c>
      <c r="C1323" s="3">
        <v>1206579</v>
      </c>
      <c r="D1323" s="3">
        <v>1207829</v>
      </c>
      <c r="E1323" s="1" t="s">
        <v>9</v>
      </c>
      <c r="F1323" s="1">
        <v>0</v>
      </c>
      <c r="G1323" s="1" t="s">
        <v>4372</v>
      </c>
      <c r="H1323" s="1" t="s">
        <v>4372</v>
      </c>
      <c r="I1323" s="1" t="s">
        <v>4373</v>
      </c>
      <c r="J1323" s="1" t="s">
        <v>6352</v>
      </c>
      <c r="K1323" s="1" t="s">
        <v>6344</v>
      </c>
    </row>
    <row r="1324" spans="1:11" ht="21" x14ac:dyDescent="0.25">
      <c r="A1324" s="11" t="str">
        <f>HYPERLINK("https://rth.dk/resources/bsgatlas/details.php?id=BSGatlas-transcript-1323","BSGatlas-transcript-1323")</f>
        <v>BSGatlas-transcript-1323</v>
      </c>
      <c r="B1324" s="1" t="s">
        <v>1255</v>
      </c>
      <c r="C1324" s="3">
        <v>1207279</v>
      </c>
      <c r="D1324" s="3">
        <v>1207788</v>
      </c>
      <c r="E1324" s="1" t="s">
        <v>9</v>
      </c>
      <c r="F1324" s="1">
        <v>0</v>
      </c>
      <c r="G1324" s="1" t="s">
        <v>4372</v>
      </c>
      <c r="H1324" s="1" t="s">
        <v>4372</v>
      </c>
      <c r="I1324" s="1" t="s">
        <v>4386</v>
      </c>
      <c r="J1324" s="1" t="s">
        <v>6353</v>
      </c>
      <c r="K1324" s="1" t="s">
        <v>6343</v>
      </c>
    </row>
    <row r="1325" spans="1:11" ht="21" x14ac:dyDescent="0.25">
      <c r="A1325" s="11" t="str">
        <f>HYPERLINK("https://rth.dk/resources/bsgatlas/details.php?id=BSGatlas-transcript-1324","BSGatlas-transcript-1324")</f>
        <v>BSGatlas-transcript-1324</v>
      </c>
      <c r="B1325" s="1" t="s">
        <v>1255</v>
      </c>
      <c r="C1325" s="3">
        <v>1207279</v>
      </c>
      <c r="D1325" s="3">
        <v>1207829</v>
      </c>
      <c r="E1325" s="1" t="s">
        <v>9</v>
      </c>
      <c r="F1325" s="1">
        <v>0</v>
      </c>
      <c r="G1325" s="1" t="s">
        <v>4372</v>
      </c>
      <c r="H1325" s="1" t="s">
        <v>4372</v>
      </c>
      <c r="I1325" s="1" t="s">
        <v>4386</v>
      </c>
      <c r="J1325" s="1" t="s">
        <v>6353</v>
      </c>
      <c r="K1325" s="1" t="s">
        <v>6344</v>
      </c>
    </row>
    <row r="1326" spans="1:11" ht="21" x14ac:dyDescent="0.25">
      <c r="A1326" s="11" t="str">
        <f>HYPERLINK("https://rth.dk/resources/bsgatlas/details.php?id=BSGatlas-transcript-1325","BSGatlas-transcript-1325")</f>
        <v>BSGatlas-transcript-1325</v>
      </c>
      <c r="B1326" s="1" t="s">
        <v>1257</v>
      </c>
      <c r="C1326" s="3">
        <v>1207818</v>
      </c>
      <c r="D1326" s="3">
        <v>1208091</v>
      </c>
      <c r="E1326" s="1" t="s">
        <v>13</v>
      </c>
      <c r="F1326" s="1">
        <v>0</v>
      </c>
      <c r="G1326" s="1" t="s">
        <v>4372</v>
      </c>
      <c r="H1326" s="1" t="s">
        <v>4372</v>
      </c>
      <c r="I1326" s="1" t="s">
        <v>4397</v>
      </c>
      <c r="J1326" s="1" t="s">
        <v>6354</v>
      </c>
      <c r="K1326" s="1" t="s">
        <v>6355</v>
      </c>
    </row>
    <row r="1327" spans="1:11" ht="21" x14ac:dyDescent="0.25">
      <c r="A1327" s="11" t="str">
        <f>HYPERLINK("https://rth.dk/resources/bsgatlas/details.php?id=BSGatlas-transcript-1326","BSGatlas-transcript-1326")</f>
        <v>BSGatlas-transcript-1326</v>
      </c>
      <c r="B1327" s="1" t="s">
        <v>1257</v>
      </c>
      <c r="C1327" s="3">
        <v>1207818</v>
      </c>
      <c r="D1327" s="3">
        <v>1209405</v>
      </c>
      <c r="E1327" s="1" t="s">
        <v>13</v>
      </c>
      <c r="F1327" s="1">
        <v>0</v>
      </c>
      <c r="G1327" s="1" t="s">
        <v>4372</v>
      </c>
      <c r="H1327" s="1" t="s">
        <v>4372</v>
      </c>
      <c r="I1327" s="1" t="s">
        <v>4397</v>
      </c>
      <c r="J1327" s="1" t="s">
        <v>6356</v>
      </c>
      <c r="K1327" s="1" t="s">
        <v>6355</v>
      </c>
    </row>
    <row r="1328" spans="1:11" ht="21" x14ac:dyDescent="0.25">
      <c r="A1328" s="11" t="str">
        <f>HYPERLINK("https://rth.dk/resources/bsgatlas/details.php?id=BSGatlas-transcript-1327","BSGatlas-transcript-1327")</f>
        <v>BSGatlas-transcript-1327</v>
      </c>
      <c r="B1328" s="1" t="s">
        <v>6357</v>
      </c>
      <c r="C1328" s="3">
        <v>1208154</v>
      </c>
      <c r="D1328" s="3">
        <v>1210424</v>
      </c>
      <c r="E1328" s="1" t="s">
        <v>9</v>
      </c>
      <c r="F1328" s="1">
        <v>1</v>
      </c>
      <c r="G1328" s="1">
        <v>69</v>
      </c>
      <c r="H1328" s="1" t="s">
        <v>4372</v>
      </c>
      <c r="I1328" s="1" t="s">
        <v>4373</v>
      </c>
      <c r="J1328" s="1" t="s">
        <v>6358</v>
      </c>
      <c r="K1328" s="1" t="s">
        <v>6359</v>
      </c>
    </row>
    <row r="1329" spans="1:11" ht="21" x14ac:dyDescent="0.25">
      <c r="A1329" s="11" t="str">
        <f>HYPERLINK("https://rth.dk/resources/bsgatlas/details.php?id=BSGatlas-transcript-1328","BSGatlas-transcript-1328")</f>
        <v>BSGatlas-transcript-1328</v>
      </c>
      <c r="B1329" s="1" t="s">
        <v>6357</v>
      </c>
      <c r="C1329" s="3">
        <v>1208154</v>
      </c>
      <c r="D1329" s="3">
        <v>1210474</v>
      </c>
      <c r="E1329" s="1" t="s">
        <v>9</v>
      </c>
      <c r="F1329" s="1">
        <v>1</v>
      </c>
      <c r="G1329" s="1">
        <v>69</v>
      </c>
      <c r="H1329" s="1">
        <v>51</v>
      </c>
      <c r="I1329" s="1" t="s">
        <v>4373</v>
      </c>
      <c r="J1329" s="1" t="s">
        <v>6358</v>
      </c>
      <c r="K1329" s="1" t="s">
        <v>6360</v>
      </c>
    </row>
    <row r="1330" spans="1:11" ht="21" x14ac:dyDescent="0.25">
      <c r="A1330" s="11" t="str">
        <f>HYPERLINK("https://rth.dk/resources/bsgatlas/details.php?id=BSGatlas-transcript-1329","BSGatlas-transcript-1329")</f>
        <v>BSGatlas-transcript-1329</v>
      </c>
      <c r="B1330" s="1" t="s">
        <v>6357</v>
      </c>
      <c r="C1330" s="3">
        <v>1208222</v>
      </c>
      <c r="D1330" s="3">
        <v>1210424</v>
      </c>
      <c r="E1330" s="1" t="s">
        <v>9</v>
      </c>
      <c r="F1330" s="1">
        <v>1</v>
      </c>
      <c r="G1330" s="1" t="s">
        <v>4372</v>
      </c>
      <c r="H1330" s="1" t="s">
        <v>4372</v>
      </c>
      <c r="I1330" s="1" t="s">
        <v>4373</v>
      </c>
      <c r="J1330" s="1" t="s">
        <v>6361</v>
      </c>
      <c r="K1330" s="1" t="s">
        <v>6359</v>
      </c>
    </row>
    <row r="1331" spans="1:11" ht="21" x14ac:dyDescent="0.25">
      <c r="A1331" s="11" t="str">
        <f>HYPERLINK("https://rth.dk/resources/bsgatlas/details.php?id=BSGatlas-transcript-1330","BSGatlas-transcript-1330")</f>
        <v>BSGatlas-transcript-1330</v>
      </c>
      <c r="B1331" s="1" t="s">
        <v>6357</v>
      </c>
      <c r="C1331" s="3">
        <v>1208222</v>
      </c>
      <c r="D1331" s="3">
        <v>1210474</v>
      </c>
      <c r="E1331" s="1" t="s">
        <v>9</v>
      </c>
      <c r="F1331" s="1">
        <v>1</v>
      </c>
      <c r="G1331" s="1" t="s">
        <v>4372</v>
      </c>
      <c r="H1331" s="1">
        <v>51</v>
      </c>
      <c r="I1331" s="1" t="s">
        <v>4373</v>
      </c>
      <c r="J1331" s="1" t="s">
        <v>6361</v>
      </c>
      <c r="K1331" s="1" t="s">
        <v>6360</v>
      </c>
    </row>
    <row r="1332" spans="1:11" ht="21" x14ac:dyDescent="0.25">
      <c r="A1332" s="11" t="str">
        <f>HYPERLINK("https://rth.dk/resources/bsgatlas/details.php?id=BSGatlas-transcript-1331","BSGatlas-transcript-1331")</f>
        <v>BSGatlas-transcript-1331</v>
      </c>
      <c r="B1332" s="1" t="s">
        <v>1260</v>
      </c>
      <c r="C1332" s="3">
        <v>1210473</v>
      </c>
      <c r="D1332" s="3">
        <v>1211285</v>
      </c>
      <c r="E1332" s="1" t="s">
        <v>9</v>
      </c>
      <c r="F1332" s="1">
        <v>0</v>
      </c>
      <c r="G1332" s="1" t="s">
        <v>4372</v>
      </c>
      <c r="H1332" s="1" t="s">
        <v>4372</v>
      </c>
      <c r="I1332" s="1" t="s">
        <v>4377</v>
      </c>
      <c r="J1332" s="1" t="s">
        <v>6362</v>
      </c>
      <c r="K1332" s="1" t="s">
        <v>318</v>
      </c>
    </row>
    <row r="1333" spans="1:11" ht="21" x14ac:dyDescent="0.25">
      <c r="A1333" s="11" t="str">
        <f>HYPERLINK("https://rth.dk/resources/bsgatlas/details.php?id=BSGatlas-transcript-1332","BSGatlas-transcript-1332")</f>
        <v>BSGatlas-transcript-1332</v>
      </c>
      <c r="B1333" s="1" t="s">
        <v>1260</v>
      </c>
      <c r="C1333" s="3">
        <v>1210500</v>
      </c>
      <c r="D1333" s="3">
        <v>1211285</v>
      </c>
      <c r="E1333" s="1" t="s">
        <v>9</v>
      </c>
      <c r="F1333" s="1">
        <v>0</v>
      </c>
      <c r="G1333" s="1" t="s">
        <v>4372</v>
      </c>
      <c r="H1333" s="1" t="s">
        <v>4372</v>
      </c>
      <c r="I1333" s="1" t="s">
        <v>4377</v>
      </c>
      <c r="J1333" s="1" t="s">
        <v>6363</v>
      </c>
      <c r="K1333" s="1" t="s">
        <v>318</v>
      </c>
    </row>
    <row r="1334" spans="1:11" ht="21" x14ac:dyDescent="0.25">
      <c r="A1334" s="11" t="str">
        <f>HYPERLINK("https://rth.dk/resources/bsgatlas/details.php?id=BSGatlas-transcript-1333","BSGatlas-transcript-1333")</f>
        <v>BSGatlas-transcript-1333</v>
      </c>
      <c r="B1334" s="1" t="s">
        <v>6364</v>
      </c>
      <c r="C1334" s="3">
        <v>1211372</v>
      </c>
      <c r="D1334" s="3">
        <v>1215167</v>
      </c>
      <c r="E1334" s="1" t="s">
        <v>9</v>
      </c>
      <c r="F1334" s="1">
        <v>1</v>
      </c>
      <c r="G1334" s="1">
        <v>106</v>
      </c>
      <c r="H1334" s="1" t="s">
        <v>4372</v>
      </c>
      <c r="I1334" s="1" t="s">
        <v>4377</v>
      </c>
      <c r="J1334" s="1" t="s">
        <v>6365</v>
      </c>
      <c r="K1334" s="1" t="s">
        <v>6366</v>
      </c>
    </row>
    <row r="1335" spans="1:11" ht="21" x14ac:dyDescent="0.25">
      <c r="A1335" s="11" t="str">
        <f>HYPERLINK("https://rth.dk/resources/bsgatlas/details.php?id=BSGatlas-transcript-1334","BSGatlas-transcript-1334")</f>
        <v>BSGatlas-transcript-1334</v>
      </c>
      <c r="B1335" s="1" t="s">
        <v>6367</v>
      </c>
      <c r="C1335" s="3">
        <v>1211372</v>
      </c>
      <c r="D1335" s="3">
        <v>1217157</v>
      </c>
      <c r="E1335" s="1" t="s">
        <v>9</v>
      </c>
      <c r="F1335" s="1">
        <v>3</v>
      </c>
      <c r="G1335" s="1">
        <v>106</v>
      </c>
      <c r="H1335" s="1">
        <v>37</v>
      </c>
      <c r="I1335" s="1" t="s">
        <v>4373</v>
      </c>
      <c r="J1335" s="1" t="s">
        <v>6365</v>
      </c>
      <c r="K1335" s="1" t="s">
        <v>6368</v>
      </c>
    </row>
    <row r="1336" spans="1:11" ht="21" x14ac:dyDescent="0.25">
      <c r="A1336" s="11" t="str">
        <f>HYPERLINK("https://rth.dk/resources/bsgatlas/details.php?id=BSGatlas-transcript-1335","BSGatlas-transcript-1335")</f>
        <v>BSGatlas-transcript-1335</v>
      </c>
      <c r="B1336" s="1" t="s">
        <v>6367</v>
      </c>
      <c r="C1336" s="3">
        <v>1211372</v>
      </c>
      <c r="D1336" s="3">
        <v>1217222</v>
      </c>
      <c r="E1336" s="1" t="s">
        <v>9</v>
      </c>
      <c r="F1336" s="1">
        <v>3</v>
      </c>
      <c r="G1336" s="1">
        <v>106</v>
      </c>
      <c r="H1336" s="1">
        <v>102</v>
      </c>
      <c r="I1336" s="1" t="s">
        <v>4373</v>
      </c>
      <c r="J1336" s="1" t="s">
        <v>6365</v>
      </c>
      <c r="K1336" s="1" t="s">
        <v>6369</v>
      </c>
    </row>
    <row r="1337" spans="1:11" ht="21" x14ac:dyDescent="0.25">
      <c r="A1337" s="11" t="str">
        <f>HYPERLINK("https://rth.dk/resources/bsgatlas/details.php?id=BSGatlas-transcript-1336","BSGatlas-transcript-1336")</f>
        <v>BSGatlas-transcript-1336</v>
      </c>
      <c r="B1337" s="1" t="s">
        <v>6370</v>
      </c>
      <c r="C1337" s="3">
        <v>1213460</v>
      </c>
      <c r="D1337" s="3">
        <v>1215167</v>
      </c>
      <c r="E1337" s="1" t="s">
        <v>9</v>
      </c>
      <c r="F1337" s="1">
        <v>0</v>
      </c>
      <c r="G1337" s="1" t="s">
        <v>4372</v>
      </c>
      <c r="H1337" s="1" t="s">
        <v>4372</v>
      </c>
      <c r="I1337" s="1" t="s">
        <v>4377</v>
      </c>
      <c r="J1337" s="1" t="s">
        <v>6371</v>
      </c>
      <c r="K1337" s="1" t="s">
        <v>6366</v>
      </c>
    </row>
    <row r="1338" spans="1:11" ht="21" x14ac:dyDescent="0.25">
      <c r="A1338" s="11" t="str">
        <f>HYPERLINK("https://rth.dk/resources/bsgatlas/details.php?id=BSGatlas-transcript-1337","BSGatlas-transcript-1337")</f>
        <v>BSGatlas-transcript-1337</v>
      </c>
      <c r="B1338" s="1" t="s">
        <v>6372</v>
      </c>
      <c r="C1338" s="3">
        <v>1213460</v>
      </c>
      <c r="D1338" s="3">
        <v>1217157</v>
      </c>
      <c r="E1338" s="1" t="s">
        <v>9</v>
      </c>
      <c r="F1338" s="1">
        <v>2</v>
      </c>
      <c r="G1338" s="1">
        <v>78</v>
      </c>
      <c r="H1338" s="1">
        <v>37</v>
      </c>
      <c r="I1338" s="1" t="s">
        <v>4377</v>
      </c>
      <c r="J1338" s="1" t="s">
        <v>6371</v>
      </c>
      <c r="K1338" s="1" t="s">
        <v>6368</v>
      </c>
    </row>
    <row r="1339" spans="1:11" ht="21" x14ac:dyDescent="0.25">
      <c r="A1339" s="11" t="str">
        <f>HYPERLINK("https://rth.dk/resources/bsgatlas/details.php?id=BSGatlas-transcript-1338","BSGatlas-transcript-1338")</f>
        <v>BSGatlas-transcript-1338</v>
      </c>
      <c r="B1339" s="1" t="s">
        <v>6372</v>
      </c>
      <c r="C1339" s="3">
        <v>1213460</v>
      </c>
      <c r="D1339" s="3">
        <v>1217222</v>
      </c>
      <c r="E1339" s="1" t="s">
        <v>9</v>
      </c>
      <c r="F1339" s="1">
        <v>2</v>
      </c>
      <c r="G1339" s="1">
        <v>78</v>
      </c>
      <c r="H1339" s="1">
        <v>102</v>
      </c>
      <c r="I1339" s="1" t="s">
        <v>4377</v>
      </c>
      <c r="J1339" s="1" t="s">
        <v>6371</v>
      </c>
      <c r="K1339" s="1" t="s">
        <v>6369</v>
      </c>
    </row>
    <row r="1340" spans="1:11" ht="21" x14ac:dyDescent="0.25">
      <c r="A1340" s="11" t="str">
        <f>HYPERLINK("https://rth.dk/resources/bsgatlas/details.php?id=BSGatlas-transcript-1339","BSGatlas-transcript-1339")</f>
        <v>BSGatlas-transcript-1339</v>
      </c>
      <c r="B1340" s="1" t="s">
        <v>1267</v>
      </c>
      <c r="C1340" s="3">
        <v>1217289</v>
      </c>
      <c r="D1340" s="3">
        <v>1218078</v>
      </c>
      <c r="E1340" s="1" t="s">
        <v>9</v>
      </c>
      <c r="F1340" s="1">
        <v>0</v>
      </c>
      <c r="G1340" s="1" t="s">
        <v>4372</v>
      </c>
      <c r="H1340" s="1" t="s">
        <v>4372</v>
      </c>
      <c r="I1340" s="1" t="s">
        <v>4386</v>
      </c>
      <c r="J1340" s="1" t="s">
        <v>6373</v>
      </c>
      <c r="K1340" s="1" t="s">
        <v>6374</v>
      </c>
    </row>
    <row r="1341" spans="1:11" ht="21" x14ac:dyDescent="0.25">
      <c r="A1341" s="11" t="str">
        <f>HYPERLINK("https://rth.dk/resources/bsgatlas/details.php?id=BSGatlas-transcript-1340","BSGatlas-transcript-1340")</f>
        <v>BSGatlas-transcript-1340</v>
      </c>
      <c r="B1341" s="1" t="s">
        <v>1268</v>
      </c>
      <c r="C1341" s="3">
        <v>1218070</v>
      </c>
      <c r="D1341" s="3">
        <v>1219410</v>
      </c>
      <c r="E1341" s="1" t="s">
        <v>13</v>
      </c>
      <c r="F1341" s="1">
        <v>0</v>
      </c>
      <c r="G1341" s="1" t="s">
        <v>4372</v>
      </c>
      <c r="H1341" s="1" t="s">
        <v>4372</v>
      </c>
      <c r="I1341" s="1" t="s">
        <v>4373</v>
      </c>
      <c r="J1341" s="1" t="s">
        <v>6375</v>
      </c>
      <c r="K1341" s="1" t="s">
        <v>6376</v>
      </c>
    </row>
    <row r="1342" spans="1:11" ht="21" x14ac:dyDescent="0.25">
      <c r="A1342" s="11" t="str">
        <f>HYPERLINK("https://rth.dk/resources/bsgatlas/details.php?id=BSGatlas-transcript-1341","BSGatlas-transcript-1341")</f>
        <v>BSGatlas-transcript-1341</v>
      </c>
      <c r="B1342" s="1" t="s">
        <v>1269</v>
      </c>
      <c r="C1342" s="3">
        <v>1219129</v>
      </c>
      <c r="D1342" s="3">
        <v>1219378</v>
      </c>
      <c r="E1342" s="1" t="s">
        <v>13</v>
      </c>
      <c r="F1342" s="1">
        <v>0</v>
      </c>
      <c r="G1342" s="1" t="s">
        <v>4372</v>
      </c>
      <c r="H1342" s="1" t="s">
        <v>4372</v>
      </c>
      <c r="I1342" s="1" t="s">
        <v>4377</v>
      </c>
      <c r="J1342" s="1" t="s">
        <v>318</v>
      </c>
      <c r="K1342" s="1" t="s">
        <v>6377</v>
      </c>
    </row>
    <row r="1343" spans="1:11" ht="21" x14ac:dyDescent="0.25">
      <c r="A1343" s="11" t="str">
        <f>HYPERLINK("https://rth.dk/resources/bsgatlas/details.php?id=BSGatlas-transcript-1342","BSGatlas-transcript-1342")</f>
        <v>BSGatlas-transcript-1342</v>
      </c>
      <c r="B1343" s="1" t="s">
        <v>1270</v>
      </c>
      <c r="C1343" s="3">
        <v>1219687</v>
      </c>
      <c r="D1343" s="3">
        <v>1219801</v>
      </c>
      <c r="E1343" s="1" t="s">
        <v>9</v>
      </c>
      <c r="F1343" s="1">
        <v>0</v>
      </c>
      <c r="G1343" s="1" t="s">
        <v>4372</v>
      </c>
      <c r="H1343" s="1" t="s">
        <v>4372</v>
      </c>
      <c r="I1343" s="1" t="s">
        <v>4377</v>
      </c>
      <c r="J1343" s="1" t="s">
        <v>6378</v>
      </c>
      <c r="K1343" s="1" t="s">
        <v>318</v>
      </c>
    </row>
    <row r="1344" spans="1:11" ht="21" x14ac:dyDescent="0.25">
      <c r="A1344" s="11" t="str">
        <f>HYPERLINK("https://rth.dk/resources/bsgatlas/details.php?id=BSGatlas-transcript-1343","BSGatlas-transcript-1343")</f>
        <v>BSGatlas-transcript-1343</v>
      </c>
      <c r="B1344" s="1" t="s">
        <v>6379</v>
      </c>
      <c r="C1344" s="3">
        <v>1219849</v>
      </c>
      <c r="D1344" s="3">
        <v>1225450</v>
      </c>
      <c r="E1344" s="1" t="s">
        <v>9</v>
      </c>
      <c r="F1344" s="1">
        <v>1</v>
      </c>
      <c r="G1344" s="1" t="s">
        <v>4372</v>
      </c>
      <c r="H1344" s="1" t="s">
        <v>4372</v>
      </c>
      <c r="I1344" s="1" t="s">
        <v>4373</v>
      </c>
      <c r="J1344" s="1" t="s">
        <v>318</v>
      </c>
      <c r="K1344" s="1" t="s">
        <v>6380</v>
      </c>
    </row>
    <row r="1345" spans="1:11" ht="21" x14ac:dyDescent="0.25">
      <c r="A1345" s="11" t="str">
        <f>HYPERLINK("https://rth.dk/resources/bsgatlas/details.php?id=BSGatlas-transcript-1344","BSGatlas-transcript-1344")</f>
        <v>BSGatlas-transcript-1344</v>
      </c>
      <c r="B1345" s="1" t="s">
        <v>6379</v>
      </c>
      <c r="C1345" s="3">
        <v>1219849</v>
      </c>
      <c r="D1345" s="3">
        <v>1225499</v>
      </c>
      <c r="E1345" s="1" t="s">
        <v>9</v>
      </c>
      <c r="F1345" s="1">
        <v>1</v>
      </c>
      <c r="G1345" s="1" t="s">
        <v>4372</v>
      </c>
      <c r="H1345" s="1">
        <v>50</v>
      </c>
      <c r="I1345" s="1" t="s">
        <v>4373</v>
      </c>
      <c r="J1345" s="1" t="s">
        <v>318</v>
      </c>
      <c r="K1345" s="1" t="s">
        <v>6381</v>
      </c>
    </row>
    <row r="1346" spans="1:11" ht="21" x14ac:dyDescent="0.25">
      <c r="A1346" s="11" t="str">
        <f>HYPERLINK("https://rth.dk/resources/bsgatlas/details.php?id=BSGatlas-transcript-1345","BSGatlas-transcript-1345")</f>
        <v>BSGatlas-transcript-1345</v>
      </c>
      <c r="B1346" s="1" t="s">
        <v>1276</v>
      </c>
      <c r="C1346" s="3">
        <v>1225516</v>
      </c>
      <c r="D1346" s="3">
        <v>1226774</v>
      </c>
      <c r="E1346" s="1" t="s">
        <v>9</v>
      </c>
      <c r="F1346" s="1">
        <v>0</v>
      </c>
      <c r="G1346" s="1" t="s">
        <v>4372</v>
      </c>
      <c r="H1346" s="1" t="s">
        <v>4372</v>
      </c>
      <c r="I1346" s="1" t="s">
        <v>4377</v>
      </c>
      <c r="J1346" s="1" t="s">
        <v>6382</v>
      </c>
      <c r="K1346" s="1" t="s">
        <v>318</v>
      </c>
    </row>
    <row r="1347" spans="1:11" ht="21" x14ac:dyDescent="0.25">
      <c r="A1347" s="11" t="str">
        <f>HYPERLINK("https://rth.dk/resources/bsgatlas/details.php?id=BSGatlas-transcript-1346","BSGatlas-transcript-1346")</f>
        <v>BSGatlas-transcript-1346</v>
      </c>
      <c r="B1347" s="1" t="s">
        <v>6383</v>
      </c>
      <c r="C1347" s="3">
        <v>1226830</v>
      </c>
      <c r="D1347" s="3">
        <v>1228147</v>
      </c>
      <c r="E1347" s="1" t="s">
        <v>9</v>
      </c>
      <c r="F1347" s="1">
        <v>1</v>
      </c>
      <c r="G1347" s="1">
        <v>109</v>
      </c>
      <c r="H1347" s="1">
        <v>56</v>
      </c>
      <c r="I1347" s="1" t="s">
        <v>4373</v>
      </c>
      <c r="J1347" s="1" t="s">
        <v>6384</v>
      </c>
      <c r="K1347" s="1" t="s">
        <v>6385</v>
      </c>
    </row>
    <row r="1348" spans="1:11" ht="21" x14ac:dyDescent="0.25">
      <c r="A1348" s="11" t="str">
        <f>HYPERLINK("https://rth.dk/resources/bsgatlas/details.php?id=BSGatlas-transcript-1347","BSGatlas-transcript-1347")</f>
        <v>BSGatlas-transcript-1347</v>
      </c>
      <c r="B1348" s="1" t="s">
        <v>6383</v>
      </c>
      <c r="C1348" s="3">
        <v>1226862</v>
      </c>
      <c r="D1348" s="3">
        <v>1228147</v>
      </c>
      <c r="E1348" s="1" t="s">
        <v>9</v>
      </c>
      <c r="F1348" s="1">
        <v>1</v>
      </c>
      <c r="G1348" s="1">
        <v>77</v>
      </c>
      <c r="H1348" s="1">
        <v>56</v>
      </c>
      <c r="I1348" s="1" t="s">
        <v>4373</v>
      </c>
      <c r="J1348" s="1" t="s">
        <v>6386</v>
      </c>
      <c r="K1348" s="1" t="s">
        <v>6385</v>
      </c>
    </row>
    <row r="1349" spans="1:11" ht="21" x14ac:dyDescent="0.25">
      <c r="A1349" s="11" t="str">
        <f>HYPERLINK("https://rth.dk/resources/bsgatlas/details.php?id=BSGatlas-transcript-1348","BSGatlas-transcript-1348")</f>
        <v>BSGatlas-transcript-1348</v>
      </c>
      <c r="B1349" s="1" t="s">
        <v>6383</v>
      </c>
      <c r="C1349" s="3">
        <v>1226906</v>
      </c>
      <c r="D1349" s="3">
        <v>1228147</v>
      </c>
      <c r="E1349" s="1" t="s">
        <v>9</v>
      </c>
      <c r="F1349" s="1">
        <v>1</v>
      </c>
      <c r="G1349" s="1">
        <v>33</v>
      </c>
      <c r="H1349" s="1">
        <v>56</v>
      </c>
      <c r="I1349" s="1" t="s">
        <v>4373</v>
      </c>
      <c r="J1349" s="1" t="s">
        <v>6387</v>
      </c>
      <c r="K1349" s="1" t="s">
        <v>6385</v>
      </c>
    </row>
    <row r="1350" spans="1:11" ht="21" x14ac:dyDescent="0.25">
      <c r="A1350" s="11" t="str">
        <f>HYPERLINK("https://rth.dk/resources/bsgatlas/details.php?id=BSGatlas-transcript-1349","BSGatlas-transcript-1349")</f>
        <v>BSGatlas-transcript-1349</v>
      </c>
      <c r="B1350" s="1" t="s">
        <v>1278</v>
      </c>
      <c r="C1350" s="3">
        <v>1227574</v>
      </c>
      <c r="D1350" s="3">
        <v>1228147</v>
      </c>
      <c r="E1350" s="1" t="s">
        <v>9</v>
      </c>
      <c r="F1350" s="1">
        <v>0</v>
      </c>
      <c r="G1350" s="1" t="s">
        <v>4372</v>
      </c>
      <c r="H1350" s="1" t="s">
        <v>4372</v>
      </c>
      <c r="I1350" s="1" t="s">
        <v>4397</v>
      </c>
      <c r="J1350" s="1" t="s">
        <v>6388</v>
      </c>
      <c r="K1350" s="1" t="s">
        <v>6385</v>
      </c>
    </row>
    <row r="1351" spans="1:11" ht="21" x14ac:dyDescent="0.25">
      <c r="A1351" s="11" t="str">
        <f>HYPERLINK("https://rth.dk/resources/bsgatlas/details.php?id=BSGatlas-transcript-1350","BSGatlas-transcript-1350")</f>
        <v>BSGatlas-transcript-1350</v>
      </c>
      <c r="B1351" s="1" t="s">
        <v>1278</v>
      </c>
      <c r="C1351" s="3">
        <v>1227619</v>
      </c>
      <c r="D1351" s="3">
        <v>1228147</v>
      </c>
      <c r="E1351" s="1" t="s">
        <v>9</v>
      </c>
      <c r="F1351" s="1">
        <v>0</v>
      </c>
      <c r="G1351" s="1" t="s">
        <v>4372</v>
      </c>
      <c r="H1351" s="1" t="s">
        <v>4372</v>
      </c>
      <c r="I1351" s="1" t="s">
        <v>4397</v>
      </c>
      <c r="J1351" s="1" t="s">
        <v>6389</v>
      </c>
      <c r="K1351" s="1" t="s">
        <v>6385</v>
      </c>
    </row>
    <row r="1352" spans="1:11" ht="21" x14ac:dyDescent="0.25">
      <c r="A1352" s="11" t="str">
        <f>HYPERLINK("https://rth.dk/resources/bsgatlas/details.php?id=BSGatlas-transcript-1351","BSGatlas-transcript-1351")</f>
        <v>BSGatlas-transcript-1351</v>
      </c>
      <c r="B1352" s="1" t="s">
        <v>1279</v>
      </c>
      <c r="C1352" s="3">
        <v>1228099</v>
      </c>
      <c r="D1352" s="3">
        <v>1228836</v>
      </c>
      <c r="E1352" s="1" t="s">
        <v>13</v>
      </c>
      <c r="F1352" s="1">
        <v>0</v>
      </c>
      <c r="G1352" s="1" t="s">
        <v>4372</v>
      </c>
      <c r="H1352" s="1" t="s">
        <v>4372</v>
      </c>
      <c r="I1352" s="1" t="s">
        <v>4373</v>
      </c>
      <c r="J1352" s="1" t="s">
        <v>6390</v>
      </c>
      <c r="K1352" s="1" t="s">
        <v>6391</v>
      </c>
    </row>
    <row r="1353" spans="1:11" ht="21" x14ac:dyDescent="0.25">
      <c r="A1353" s="11" t="str">
        <f>HYPERLINK("https://rth.dk/resources/bsgatlas/details.php?id=BSGatlas-transcript-1352","BSGatlas-transcript-1352")</f>
        <v>BSGatlas-transcript-1352</v>
      </c>
      <c r="B1353" s="1" t="s">
        <v>4760</v>
      </c>
      <c r="C1353" s="3">
        <v>1228926</v>
      </c>
      <c r="D1353" s="3">
        <v>1229101</v>
      </c>
      <c r="E1353" s="1" t="s">
        <v>9</v>
      </c>
      <c r="F1353" s="1">
        <v>0</v>
      </c>
      <c r="G1353" s="1" t="s">
        <v>4372</v>
      </c>
      <c r="H1353" s="1" t="s">
        <v>4372</v>
      </c>
      <c r="I1353" s="1" t="s">
        <v>4377</v>
      </c>
      <c r="J1353" s="1" t="s">
        <v>6392</v>
      </c>
      <c r="K1353" s="1" t="s">
        <v>318</v>
      </c>
    </row>
    <row r="1354" spans="1:11" ht="21" x14ac:dyDescent="0.25">
      <c r="A1354" s="11" t="str">
        <f>HYPERLINK("https://rth.dk/resources/bsgatlas/details.php?id=BSGatlas-transcript-1353","BSGatlas-transcript-1353")</f>
        <v>BSGatlas-transcript-1353</v>
      </c>
      <c r="B1354" s="1" t="s">
        <v>1280</v>
      </c>
      <c r="C1354" s="3">
        <v>1229015</v>
      </c>
      <c r="D1354" s="3">
        <v>1229765</v>
      </c>
      <c r="E1354" s="1" t="s">
        <v>9</v>
      </c>
      <c r="F1354" s="1">
        <v>0</v>
      </c>
      <c r="G1354" s="1" t="s">
        <v>4372</v>
      </c>
      <c r="H1354" s="1" t="s">
        <v>4372</v>
      </c>
      <c r="I1354" s="1" t="s">
        <v>4373</v>
      </c>
      <c r="J1354" s="1" t="s">
        <v>6393</v>
      </c>
      <c r="K1354" s="1" t="s">
        <v>6394</v>
      </c>
    </row>
    <row r="1355" spans="1:11" ht="21" x14ac:dyDescent="0.25">
      <c r="A1355" s="11" t="str">
        <f>HYPERLINK("https://rth.dk/resources/bsgatlas/details.php?id=BSGatlas-transcript-1354","BSGatlas-transcript-1354")</f>
        <v>BSGatlas-transcript-1354</v>
      </c>
      <c r="B1355" s="1" t="s">
        <v>1281</v>
      </c>
      <c r="C1355" s="3">
        <v>1229850</v>
      </c>
      <c r="D1355" s="3">
        <v>1231128</v>
      </c>
      <c r="E1355" s="1" t="s">
        <v>9</v>
      </c>
      <c r="F1355" s="1">
        <v>0</v>
      </c>
      <c r="G1355" s="1" t="s">
        <v>4372</v>
      </c>
      <c r="H1355" s="1" t="s">
        <v>4372</v>
      </c>
      <c r="I1355" s="1" t="s">
        <v>4373</v>
      </c>
      <c r="J1355" s="1" t="s">
        <v>6395</v>
      </c>
      <c r="K1355" s="1" t="s">
        <v>6396</v>
      </c>
    </row>
    <row r="1356" spans="1:11" ht="21" x14ac:dyDescent="0.25">
      <c r="A1356" s="11" t="str">
        <f>HYPERLINK("https://rth.dk/resources/bsgatlas/details.php?id=BSGatlas-transcript-1355","BSGatlas-transcript-1355")</f>
        <v>BSGatlas-transcript-1355</v>
      </c>
      <c r="B1356" s="1" t="s">
        <v>6397</v>
      </c>
      <c r="C1356" s="3">
        <v>1229850</v>
      </c>
      <c r="D1356" s="3">
        <v>1233095</v>
      </c>
      <c r="E1356" s="1" t="s">
        <v>9</v>
      </c>
      <c r="F1356" s="1">
        <v>1</v>
      </c>
      <c r="G1356" s="1">
        <v>66</v>
      </c>
      <c r="H1356" s="1" t="s">
        <v>4372</v>
      </c>
      <c r="I1356" s="1" t="s">
        <v>4386</v>
      </c>
      <c r="J1356" s="1" t="s">
        <v>6395</v>
      </c>
      <c r="K1356" s="1" t="s">
        <v>6398</v>
      </c>
    </row>
    <row r="1357" spans="1:11" ht="21" x14ac:dyDescent="0.25">
      <c r="A1357" s="11" t="str">
        <f>HYPERLINK("https://rth.dk/resources/bsgatlas/details.php?id=BSGatlas-transcript-1356","BSGatlas-transcript-1356")</f>
        <v>BSGatlas-transcript-1356</v>
      </c>
      <c r="B1357" s="1" t="s">
        <v>1282</v>
      </c>
      <c r="C1357" s="3">
        <v>1230708</v>
      </c>
      <c r="D1357" s="3">
        <v>1233095</v>
      </c>
      <c r="E1357" s="1" t="s">
        <v>9</v>
      </c>
      <c r="F1357" s="1">
        <v>0</v>
      </c>
      <c r="G1357" s="1" t="s">
        <v>4372</v>
      </c>
      <c r="H1357" s="1" t="s">
        <v>4372</v>
      </c>
      <c r="I1357" s="1" t="s">
        <v>4386</v>
      </c>
      <c r="J1357" s="1" t="s">
        <v>6399</v>
      </c>
      <c r="K1357" s="1" t="s">
        <v>6398</v>
      </c>
    </row>
    <row r="1358" spans="1:11" ht="21" x14ac:dyDescent="0.25">
      <c r="A1358" s="11" t="str">
        <f>HYPERLINK("https://rth.dk/resources/bsgatlas/details.php?id=BSGatlas-transcript-1357","BSGatlas-transcript-1357")</f>
        <v>BSGatlas-transcript-1357</v>
      </c>
      <c r="B1358" s="1" t="s">
        <v>1282</v>
      </c>
      <c r="C1358" s="3">
        <v>1230949</v>
      </c>
      <c r="D1358" s="3">
        <v>1233095</v>
      </c>
      <c r="E1358" s="1" t="s">
        <v>9</v>
      </c>
      <c r="F1358" s="1">
        <v>0</v>
      </c>
      <c r="G1358" s="1" t="s">
        <v>4372</v>
      </c>
      <c r="H1358" s="1" t="s">
        <v>4372</v>
      </c>
      <c r="I1358" s="1" t="s">
        <v>4386</v>
      </c>
      <c r="J1358" s="1" t="s">
        <v>6400</v>
      </c>
      <c r="K1358" s="1" t="s">
        <v>6398</v>
      </c>
    </row>
    <row r="1359" spans="1:11" ht="21" x14ac:dyDescent="0.25">
      <c r="A1359" s="11" t="str">
        <f>HYPERLINK("https://rth.dk/resources/bsgatlas/details.php?id=BSGatlas-transcript-1358","BSGatlas-transcript-1358")</f>
        <v>BSGatlas-transcript-1358</v>
      </c>
      <c r="B1359" s="1" t="s">
        <v>1282</v>
      </c>
      <c r="C1359" s="3">
        <v>1231060</v>
      </c>
      <c r="D1359" s="3">
        <v>1233095</v>
      </c>
      <c r="E1359" s="1" t="s">
        <v>9</v>
      </c>
      <c r="F1359" s="1">
        <v>0</v>
      </c>
      <c r="G1359" s="1" t="s">
        <v>4372</v>
      </c>
      <c r="H1359" s="1" t="s">
        <v>4372</v>
      </c>
      <c r="I1359" s="1" t="s">
        <v>4386</v>
      </c>
      <c r="J1359" s="1" t="s">
        <v>6401</v>
      </c>
      <c r="K1359" s="1" t="s">
        <v>6398</v>
      </c>
    </row>
    <row r="1360" spans="1:11" ht="21" x14ac:dyDescent="0.25">
      <c r="A1360" s="11" t="str">
        <f>HYPERLINK("https://rth.dk/resources/bsgatlas/details.php?id=BSGatlas-transcript-1359","BSGatlas-transcript-1359")</f>
        <v>BSGatlas-transcript-1359</v>
      </c>
      <c r="B1360" s="1" t="s">
        <v>1282</v>
      </c>
      <c r="C1360" s="3">
        <v>1231083</v>
      </c>
      <c r="D1360" s="3">
        <v>1233095</v>
      </c>
      <c r="E1360" s="1" t="s">
        <v>9</v>
      </c>
      <c r="F1360" s="1">
        <v>0</v>
      </c>
      <c r="G1360" s="1" t="s">
        <v>4372</v>
      </c>
      <c r="H1360" s="1" t="s">
        <v>4372</v>
      </c>
      <c r="I1360" s="1" t="s">
        <v>4386</v>
      </c>
      <c r="J1360" s="1" t="s">
        <v>6402</v>
      </c>
      <c r="K1360" s="1" t="s">
        <v>6398</v>
      </c>
    </row>
    <row r="1361" spans="1:11" ht="21" x14ac:dyDescent="0.25">
      <c r="A1361" s="11" t="str">
        <f>HYPERLINK("https://rth.dk/resources/bsgatlas/details.php?id=BSGatlas-transcript-1360","BSGatlas-transcript-1360")</f>
        <v>BSGatlas-transcript-1360</v>
      </c>
      <c r="B1361" s="1" t="s">
        <v>1283</v>
      </c>
      <c r="C1361" s="3">
        <v>1233133</v>
      </c>
      <c r="D1361" s="3">
        <v>1233336</v>
      </c>
      <c r="E1361" s="1" t="s">
        <v>13</v>
      </c>
      <c r="F1361" s="1">
        <v>0</v>
      </c>
      <c r="G1361" s="1" t="s">
        <v>4372</v>
      </c>
      <c r="H1361" s="1" t="s">
        <v>4372</v>
      </c>
      <c r="I1361" s="1" t="s">
        <v>4386</v>
      </c>
      <c r="J1361" s="1" t="s">
        <v>6403</v>
      </c>
      <c r="K1361" s="1" t="s">
        <v>6404</v>
      </c>
    </row>
    <row r="1362" spans="1:11" ht="21" x14ac:dyDescent="0.25">
      <c r="A1362" s="11" t="str">
        <f>HYPERLINK("https://rth.dk/resources/bsgatlas/details.php?id=BSGatlas-transcript-1361","BSGatlas-transcript-1361")</f>
        <v>BSGatlas-transcript-1361</v>
      </c>
      <c r="B1362" s="1" t="s">
        <v>1284</v>
      </c>
      <c r="C1362" s="3">
        <v>1233405</v>
      </c>
      <c r="D1362" s="3">
        <v>1233545</v>
      </c>
      <c r="E1362" s="1" t="s">
        <v>9</v>
      </c>
      <c r="F1362" s="1">
        <v>0</v>
      </c>
      <c r="G1362" s="1" t="s">
        <v>4372</v>
      </c>
      <c r="H1362" s="1" t="s">
        <v>4372</v>
      </c>
      <c r="I1362" s="1" t="s">
        <v>4377</v>
      </c>
      <c r="J1362" s="1" t="s">
        <v>6405</v>
      </c>
      <c r="K1362" s="1" t="s">
        <v>6406</v>
      </c>
    </row>
    <row r="1363" spans="1:11" ht="21" x14ac:dyDescent="0.25">
      <c r="A1363" s="11" t="str">
        <f>HYPERLINK("https://rth.dk/resources/bsgatlas/details.php?id=BSGatlas-transcript-1362","BSGatlas-transcript-1362")</f>
        <v>BSGatlas-transcript-1362</v>
      </c>
      <c r="B1363" s="1" t="s">
        <v>6407</v>
      </c>
      <c r="C1363" s="3">
        <v>1233614</v>
      </c>
      <c r="D1363" s="3">
        <v>1235088</v>
      </c>
      <c r="E1363" s="1" t="s">
        <v>13</v>
      </c>
      <c r="F1363" s="1">
        <v>0</v>
      </c>
      <c r="G1363" s="1" t="s">
        <v>4372</v>
      </c>
      <c r="H1363" s="1" t="s">
        <v>4372</v>
      </c>
      <c r="I1363" s="1" t="s">
        <v>4397</v>
      </c>
      <c r="J1363" s="1" t="s">
        <v>6408</v>
      </c>
      <c r="K1363" s="1" t="s">
        <v>6409</v>
      </c>
    </row>
    <row r="1364" spans="1:11" ht="21" x14ac:dyDescent="0.25">
      <c r="A1364" s="11" t="str">
        <f>HYPERLINK("https://rth.dk/resources/bsgatlas/details.php?id=BSGatlas-transcript-1363","BSGatlas-transcript-1363")</f>
        <v>BSGatlas-transcript-1363</v>
      </c>
      <c r="B1364" s="1" t="s">
        <v>1287</v>
      </c>
      <c r="C1364" s="3">
        <v>1233861</v>
      </c>
      <c r="D1364" s="3">
        <v>1235778</v>
      </c>
      <c r="E1364" s="1" t="s">
        <v>9</v>
      </c>
      <c r="F1364" s="1">
        <v>0</v>
      </c>
      <c r="G1364" s="1" t="s">
        <v>4372</v>
      </c>
      <c r="H1364" s="1" t="s">
        <v>4372</v>
      </c>
      <c r="I1364" s="1" t="s">
        <v>4377</v>
      </c>
      <c r="J1364" s="1" t="s">
        <v>6410</v>
      </c>
      <c r="K1364" s="1" t="s">
        <v>318</v>
      </c>
    </row>
    <row r="1365" spans="1:11" ht="21" x14ac:dyDescent="0.25">
      <c r="A1365" s="11" t="str">
        <f>HYPERLINK("https://rth.dk/resources/bsgatlas/details.php?id=BSGatlas-transcript-1364","BSGatlas-transcript-1364")</f>
        <v>BSGatlas-transcript-1364</v>
      </c>
      <c r="B1365" s="1" t="s">
        <v>1288</v>
      </c>
      <c r="C1365" s="3">
        <v>1235125</v>
      </c>
      <c r="D1365" s="3">
        <v>1236066</v>
      </c>
      <c r="E1365" s="1" t="s">
        <v>13</v>
      </c>
      <c r="F1365" s="1">
        <v>0</v>
      </c>
      <c r="G1365" s="1" t="s">
        <v>4372</v>
      </c>
      <c r="H1365" s="1" t="s">
        <v>4372</v>
      </c>
      <c r="I1365" s="1" t="s">
        <v>4373</v>
      </c>
      <c r="J1365" s="1" t="s">
        <v>6411</v>
      </c>
      <c r="K1365" s="1" t="s">
        <v>6412</v>
      </c>
    </row>
    <row r="1366" spans="1:11" ht="21" x14ac:dyDescent="0.25">
      <c r="A1366" s="11" t="str">
        <f>HYPERLINK("https://rth.dk/resources/bsgatlas/details.php?id=BSGatlas-transcript-1365","BSGatlas-transcript-1365")</f>
        <v>BSGatlas-transcript-1365</v>
      </c>
      <c r="B1366" s="1" t="s">
        <v>6413</v>
      </c>
      <c r="C1366" s="3">
        <v>1235125</v>
      </c>
      <c r="D1366" s="3">
        <v>1236530</v>
      </c>
      <c r="E1366" s="1" t="s">
        <v>13</v>
      </c>
      <c r="F1366" s="1">
        <v>1</v>
      </c>
      <c r="G1366" s="1">
        <v>47</v>
      </c>
      <c r="H1366" s="1">
        <v>39</v>
      </c>
      <c r="I1366" s="1" t="s">
        <v>4386</v>
      </c>
      <c r="J1366" s="1" t="s">
        <v>6414</v>
      </c>
      <c r="K1366" s="1" t="s">
        <v>6412</v>
      </c>
    </row>
    <row r="1367" spans="1:11" ht="21" x14ac:dyDescent="0.25">
      <c r="A1367" s="11" t="str">
        <f>HYPERLINK("https://rth.dk/resources/bsgatlas/details.php?id=BSGatlas-transcript-1366","BSGatlas-transcript-1366")</f>
        <v>BSGatlas-transcript-1366</v>
      </c>
      <c r="B1367" s="1" t="s">
        <v>6415</v>
      </c>
      <c r="C1367" s="3">
        <v>1236562</v>
      </c>
      <c r="D1367" s="3">
        <v>1239374</v>
      </c>
      <c r="E1367" s="1" t="s">
        <v>9</v>
      </c>
      <c r="F1367" s="1">
        <v>3</v>
      </c>
      <c r="G1367" s="1">
        <v>48</v>
      </c>
      <c r="H1367" s="1" t="s">
        <v>4372</v>
      </c>
      <c r="I1367" s="1" t="s">
        <v>4386</v>
      </c>
      <c r="J1367" s="1" t="s">
        <v>6416</v>
      </c>
      <c r="K1367" s="1" t="s">
        <v>6417</v>
      </c>
    </row>
    <row r="1368" spans="1:11" ht="21" x14ac:dyDescent="0.25">
      <c r="A1368" s="11" t="str">
        <f>HYPERLINK("https://rth.dk/resources/bsgatlas/details.php?id=BSGatlas-transcript-1367","BSGatlas-transcript-1367")</f>
        <v>BSGatlas-transcript-1367</v>
      </c>
      <c r="B1368" s="1" t="s">
        <v>1294</v>
      </c>
      <c r="C1368" s="3">
        <v>1239387</v>
      </c>
      <c r="D1368" s="3">
        <v>1240707</v>
      </c>
      <c r="E1368" s="1" t="s">
        <v>13</v>
      </c>
      <c r="F1368" s="1">
        <v>0</v>
      </c>
      <c r="G1368" s="1" t="s">
        <v>4372</v>
      </c>
      <c r="H1368" s="1" t="s">
        <v>4372</v>
      </c>
      <c r="I1368" s="1" t="s">
        <v>4397</v>
      </c>
      <c r="J1368" s="1" t="s">
        <v>6418</v>
      </c>
      <c r="K1368" s="1" t="s">
        <v>6419</v>
      </c>
    </row>
    <row r="1369" spans="1:11" ht="21" x14ac:dyDescent="0.25">
      <c r="A1369" s="11" t="str">
        <f>HYPERLINK("https://rth.dk/resources/bsgatlas/details.php?id=BSGatlas-transcript-1368","BSGatlas-transcript-1368")</f>
        <v>BSGatlas-transcript-1368</v>
      </c>
      <c r="B1369" s="1" t="s">
        <v>1295</v>
      </c>
      <c r="C1369" s="3">
        <v>1240278</v>
      </c>
      <c r="D1369" s="3">
        <v>1242200</v>
      </c>
      <c r="E1369" s="1" t="s">
        <v>9</v>
      </c>
      <c r="F1369" s="1">
        <v>0</v>
      </c>
      <c r="G1369" s="1" t="s">
        <v>4372</v>
      </c>
      <c r="H1369" s="1" t="s">
        <v>4372</v>
      </c>
      <c r="I1369" s="1" t="s">
        <v>4386</v>
      </c>
      <c r="J1369" s="1" t="s">
        <v>6420</v>
      </c>
      <c r="K1369" s="1" t="s">
        <v>318</v>
      </c>
    </row>
    <row r="1370" spans="1:11" ht="21" x14ac:dyDescent="0.25">
      <c r="A1370" s="11" t="str">
        <f>HYPERLINK("https://rth.dk/resources/bsgatlas/details.php?id=BSGatlas-transcript-1369","BSGatlas-transcript-1369")</f>
        <v>BSGatlas-transcript-1369</v>
      </c>
      <c r="B1370" s="1" t="s">
        <v>6421</v>
      </c>
      <c r="C1370" s="3">
        <v>1242229</v>
      </c>
      <c r="D1370" s="3">
        <v>1247690</v>
      </c>
      <c r="E1370" s="1" t="s">
        <v>9</v>
      </c>
      <c r="F1370" s="1">
        <v>1</v>
      </c>
      <c r="G1370" s="1">
        <v>221</v>
      </c>
      <c r="H1370" s="1">
        <v>39</v>
      </c>
      <c r="I1370" s="1" t="s">
        <v>4373</v>
      </c>
      <c r="J1370" s="1" t="s">
        <v>6422</v>
      </c>
      <c r="K1370" s="1" t="s">
        <v>6423</v>
      </c>
    </row>
    <row r="1371" spans="1:11" ht="21" x14ac:dyDescent="0.25">
      <c r="A1371" s="11" t="str">
        <f>HYPERLINK("https://rth.dk/resources/bsgatlas/details.php?id=BSGatlas-transcript-1370","BSGatlas-transcript-1370")</f>
        <v>BSGatlas-transcript-1370</v>
      </c>
      <c r="B1371" s="1" t="s">
        <v>1303</v>
      </c>
      <c r="C1371" s="3">
        <v>1242261</v>
      </c>
      <c r="D1371" s="3">
        <v>1242434</v>
      </c>
      <c r="E1371" s="1" t="s">
        <v>9</v>
      </c>
      <c r="F1371" s="1">
        <v>0</v>
      </c>
      <c r="G1371" s="1" t="s">
        <v>4372</v>
      </c>
      <c r="H1371" s="1" t="s">
        <v>4372</v>
      </c>
      <c r="I1371" s="1" t="s">
        <v>4377</v>
      </c>
      <c r="J1371" s="1" t="s">
        <v>318</v>
      </c>
      <c r="K1371" s="1" t="s">
        <v>6424</v>
      </c>
    </row>
    <row r="1372" spans="1:11" ht="21" x14ac:dyDescent="0.25">
      <c r="A1372" s="11" t="str">
        <f>HYPERLINK("https://rth.dk/resources/bsgatlas/details.php?id=BSGatlas-transcript-1371","BSGatlas-transcript-1371")</f>
        <v>BSGatlas-transcript-1371</v>
      </c>
      <c r="B1372" s="1" t="s">
        <v>1302</v>
      </c>
      <c r="C1372" s="3">
        <v>1246837</v>
      </c>
      <c r="D1372" s="3">
        <v>1247690</v>
      </c>
      <c r="E1372" s="1" t="s">
        <v>9</v>
      </c>
      <c r="F1372" s="1">
        <v>0</v>
      </c>
      <c r="G1372" s="1" t="s">
        <v>4372</v>
      </c>
      <c r="H1372" s="1" t="s">
        <v>4372</v>
      </c>
      <c r="I1372" s="1" t="s">
        <v>4684</v>
      </c>
      <c r="J1372" s="1" t="s">
        <v>318</v>
      </c>
      <c r="K1372" s="1" t="s">
        <v>6423</v>
      </c>
    </row>
    <row r="1373" spans="1:11" ht="21" x14ac:dyDescent="0.25">
      <c r="A1373" s="11" t="str">
        <f>HYPERLINK("https://rth.dk/resources/bsgatlas/details.php?id=BSGatlas-transcript-1372","BSGatlas-transcript-1372")</f>
        <v>BSGatlas-transcript-1372</v>
      </c>
      <c r="B1373" s="1" t="s">
        <v>1304</v>
      </c>
      <c r="C1373" s="3">
        <v>1247728</v>
      </c>
      <c r="D1373" s="3">
        <v>1248616</v>
      </c>
      <c r="E1373" s="1" t="s">
        <v>9</v>
      </c>
      <c r="F1373" s="1">
        <v>0</v>
      </c>
      <c r="G1373" s="1" t="s">
        <v>4372</v>
      </c>
      <c r="H1373" s="1" t="s">
        <v>4372</v>
      </c>
      <c r="I1373" s="1" t="s">
        <v>4373</v>
      </c>
      <c r="J1373" s="1" t="s">
        <v>6425</v>
      </c>
      <c r="K1373" s="1" t="s">
        <v>6426</v>
      </c>
    </row>
    <row r="1374" spans="1:11" ht="21" x14ac:dyDescent="0.25">
      <c r="A1374" s="11" t="str">
        <f>HYPERLINK("https://rth.dk/resources/bsgatlas/details.php?id=BSGatlas-transcript-1373","BSGatlas-transcript-1373")</f>
        <v>BSGatlas-transcript-1373</v>
      </c>
      <c r="B1374" s="1" t="s">
        <v>1305</v>
      </c>
      <c r="C1374" s="3">
        <v>1248648</v>
      </c>
      <c r="D1374" s="3">
        <v>1249404</v>
      </c>
      <c r="E1374" s="1" t="s">
        <v>9</v>
      </c>
      <c r="F1374" s="1">
        <v>0</v>
      </c>
      <c r="G1374" s="1" t="s">
        <v>4372</v>
      </c>
      <c r="H1374" s="1" t="s">
        <v>4372</v>
      </c>
      <c r="I1374" s="1" t="s">
        <v>4373</v>
      </c>
      <c r="J1374" s="1" t="s">
        <v>6427</v>
      </c>
      <c r="K1374" s="1" t="s">
        <v>6428</v>
      </c>
    </row>
    <row r="1375" spans="1:11" ht="21" x14ac:dyDescent="0.25">
      <c r="A1375" s="11" t="str">
        <f>HYPERLINK("https://rth.dk/resources/bsgatlas/details.php?id=BSGatlas-transcript-1374","BSGatlas-transcript-1374")</f>
        <v>BSGatlas-transcript-1374</v>
      </c>
      <c r="B1375" s="1" t="s">
        <v>1305</v>
      </c>
      <c r="C1375" s="3">
        <v>1248648</v>
      </c>
      <c r="D1375" s="3">
        <v>1249453</v>
      </c>
      <c r="E1375" s="1" t="s">
        <v>9</v>
      </c>
      <c r="F1375" s="1">
        <v>0</v>
      </c>
      <c r="G1375" s="1" t="s">
        <v>4372</v>
      </c>
      <c r="H1375" s="1" t="s">
        <v>4372</v>
      </c>
      <c r="I1375" s="1" t="s">
        <v>4373</v>
      </c>
      <c r="J1375" s="1" t="s">
        <v>6427</v>
      </c>
      <c r="K1375" s="1" t="s">
        <v>6429</v>
      </c>
    </row>
    <row r="1376" spans="1:11" ht="21" x14ac:dyDescent="0.25">
      <c r="A1376" s="11" t="str">
        <f>HYPERLINK("https://rth.dk/resources/bsgatlas/details.php?id=BSGatlas-transcript-1375","BSGatlas-transcript-1375")</f>
        <v>BSGatlas-transcript-1375</v>
      </c>
      <c r="B1376" s="1" t="s">
        <v>1305</v>
      </c>
      <c r="C1376" s="3">
        <v>1248648</v>
      </c>
      <c r="D1376" s="3">
        <v>1250707</v>
      </c>
      <c r="E1376" s="1" t="s">
        <v>9</v>
      </c>
      <c r="F1376" s="1">
        <v>0</v>
      </c>
      <c r="G1376" s="1" t="s">
        <v>4372</v>
      </c>
      <c r="H1376" s="1" t="s">
        <v>4372</v>
      </c>
      <c r="I1376" s="1" t="s">
        <v>4373</v>
      </c>
      <c r="J1376" s="1" t="s">
        <v>6427</v>
      </c>
      <c r="K1376" s="1" t="s">
        <v>6430</v>
      </c>
    </row>
    <row r="1377" spans="1:11" ht="21" x14ac:dyDescent="0.25">
      <c r="A1377" s="11" t="str">
        <f>HYPERLINK("https://rth.dk/resources/bsgatlas/details.php?id=BSGatlas-transcript-1376","BSGatlas-transcript-1376")</f>
        <v>BSGatlas-transcript-1376</v>
      </c>
      <c r="B1377" s="1" t="s">
        <v>6431</v>
      </c>
      <c r="C1377" s="3">
        <v>1249348</v>
      </c>
      <c r="D1377" s="3">
        <v>1250543</v>
      </c>
      <c r="E1377" s="1" t="s">
        <v>13</v>
      </c>
      <c r="F1377" s="1">
        <v>1</v>
      </c>
      <c r="G1377" s="1">
        <v>40</v>
      </c>
      <c r="H1377" s="1">
        <v>95</v>
      </c>
      <c r="I1377" s="1" t="s">
        <v>4373</v>
      </c>
      <c r="J1377" s="1" t="s">
        <v>6432</v>
      </c>
      <c r="K1377" s="1" t="s">
        <v>6433</v>
      </c>
    </row>
    <row r="1378" spans="1:11" ht="21" x14ac:dyDescent="0.25">
      <c r="A1378" s="11" t="str">
        <f>HYPERLINK("https://rth.dk/resources/bsgatlas/details.php?id=BSGatlas-transcript-1377","BSGatlas-transcript-1377")</f>
        <v>BSGatlas-transcript-1377</v>
      </c>
      <c r="B1378" s="1" t="s">
        <v>6431</v>
      </c>
      <c r="C1378" s="3">
        <v>1249348</v>
      </c>
      <c r="D1378" s="3">
        <v>1250607</v>
      </c>
      <c r="E1378" s="1" t="s">
        <v>13</v>
      </c>
      <c r="F1378" s="1">
        <v>1</v>
      </c>
      <c r="G1378" s="1">
        <v>104</v>
      </c>
      <c r="H1378" s="1">
        <v>95</v>
      </c>
      <c r="I1378" s="1" t="s">
        <v>4373</v>
      </c>
      <c r="J1378" s="1" t="s">
        <v>6434</v>
      </c>
      <c r="K1378" s="1" t="s">
        <v>6433</v>
      </c>
    </row>
    <row r="1379" spans="1:11" ht="21" x14ac:dyDescent="0.25">
      <c r="A1379" s="11" t="str">
        <f>HYPERLINK("https://rth.dk/resources/bsgatlas/details.php?id=BSGatlas-transcript-1378","BSGatlas-transcript-1378")</f>
        <v>BSGatlas-transcript-1378</v>
      </c>
      <c r="B1379" s="1" t="s">
        <v>6431</v>
      </c>
      <c r="C1379" s="3">
        <v>1249442</v>
      </c>
      <c r="D1379" s="3">
        <v>1250543</v>
      </c>
      <c r="E1379" s="1" t="s">
        <v>13</v>
      </c>
      <c r="F1379" s="1">
        <v>1</v>
      </c>
      <c r="G1379" s="1">
        <v>40</v>
      </c>
      <c r="H1379" s="1" t="s">
        <v>4372</v>
      </c>
      <c r="I1379" s="1" t="s">
        <v>4373</v>
      </c>
      <c r="J1379" s="1" t="s">
        <v>6432</v>
      </c>
      <c r="K1379" s="1" t="s">
        <v>6435</v>
      </c>
    </row>
    <row r="1380" spans="1:11" ht="21" x14ac:dyDescent="0.25">
      <c r="A1380" s="11" t="str">
        <f>HYPERLINK("https://rth.dk/resources/bsgatlas/details.php?id=BSGatlas-transcript-1379","BSGatlas-transcript-1379")</f>
        <v>BSGatlas-transcript-1379</v>
      </c>
      <c r="B1380" s="1" t="s">
        <v>6431</v>
      </c>
      <c r="C1380" s="3">
        <v>1249442</v>
      </c>
      <c r="D1380" s="3">
        <v>1250607</v>
      </c>
      <c r="E1380" s="1" t="s">
        <v>13</v>
      </c>
      <c r="F1380" s="1">
        <v>1</v>
      </c>
      <c r="G1380" s="1">
        <v>104</v>
      </c>
      <c r="H1380" s="1" t="s">
        <v>4372</v>
      </c>
      <c r="I1380" s="1" t="s">
        <v>4373</v>
      </c>
      <c r="J1380" s="1" t="s">
        <v>6434</v>
      </c>
      <c r="K1380" s="1" t="s">
        <v>6435</v>
      </c>
    </row>
    <row r="1381" spans="1:11" ht="21" x14ac:dyDescent="0.25">
      <c r="A1381" s="11" t="str">
        <f>HYPERLINK("https://rth.dk/resources/bsgatlas/details.php?id=BSGatlas-transcript-1380","BSGatlas-transcript-1380")</f>
        <v>BSGatlas-transcript-1380</v>
      </c>
      <c r="B1381" s="1" t="s">
        <v>1307</v>
      </c>
      <c r="C1381" s="3">
        <v>1249921</v>
      </c>
      <c r="D1381" s="3">
        <v>1250543</v>
      </c>
      <c r="E1381" s="1" t="s">
        <v>13</v>
      </c>
      <c r="F1381" s="1">
        <v>0</v>
      </c>
      <c r="G1381" s="1" t="s">
        <v>4372</v>
      </c>
      <c r="H1381" s="1" t="s">
        <v>4372</v>
      </c>
      <c r="I1381" s="1" t="s">
        <v>4377</v>
      </c>
      <c r="J1381" s="1" t="s">
        <v>6432</v>
      </c>
      <c r="K1381" s="1" t="s">
        <v>6436</v>
      </c>
    </row>
    <row r="1382" spans="1:11" ht="21" x14ac:dyDescent="0.25">
      <c r="A1382" s="11" t="str">
        <f>HYPERLINK("https://rth.dk/resources/bsgatlas/details.php?id=BSGatlas-transcript-1381","BSGatlas-transcript-1381")</f>
        <v>BSGatlas-transcript-1381</v>
      </c>
      <c r="B1382" s="1" t="s">
        <v>1307</v>
      </c>
      <c r="C1382" s="3">
        <v>1249921</v>
      </c>
      <c r="D1382" s="3">
        <v>1250607</v>
      </c>
      <c r="E1382" s="1" t="s">
        <v>13</v>
      </c>
      <c r="F1382" s="1">
        <v>0</v>
      </c>
      <c r="G1382" s="1" t="s">
        <v>4372</v>
      </c>
      <c r="H1382" s="1" t="s">
        <v>4372</v>
      </c>
      <c r="I1382" s="1" t="s">
        <v>4377</v>
      </c>
      <c r="J1382" s="1" t="s">
        <v>6434</v>
      </c>
      <c r="K1382" s="1" t="s">
        <v>6436</v>
      </c>
    </row>
    <row r="1383" spans="1:11" ht="21" x14ac:dyDescent="0.25">
      <c r="A1383" s="11" t="str">
        <f>HYPERLINK("https://rth.dk/resources/bsgatlas/details.php?id=BSGatlas-transcript-1382","BSGatlas-transcript-1382")</f>
        <v>BSGatlas-transcript-1382</v>
      </c>
      <c r="B1383" s="1" t="s">
        <v>1308</v>
      </c>
      <c r="C1383" s="3">
        <v>1250223</v>
      </c>
      <c r="D1383" s="3">
        <v>1252533</v>
      </c>
      <c r="E1383" s="1" t="s">
        <v>9</v>
      </c>
      <c r="F1383" s="1">
        <v>0</v>
      </c>
      <c r="G1383" s="1" t="s">
        <v>4372</v>
      </c>
      <c r="H1383" s="1" t="s">
        <v>4372</v>
      </c>
      <c r="I1383" s="1" t="s">
        <v>4373</v>
      </c>
      <c r="J1383" s="1" t="s">
        <v>6437</v>
      </c>
      <c r="K1383" s="1" t="s">
        <v>318</v>
      </c>
    </row>
    <row r="1384" spans="1:11" ht="21" x14ac:dyDescent="0.25">
      <c r="A1384" s="11" t="str">
        <f>HYPERLINK("https://rth.dk/resources/bsgatlas/details.php?id=BSGatlas-transcript-1383","BSGatlas-transcript-1383")</f>
        <v>BSGatlas-transcript-1383</v>
      </c>
      <c r="B1384" s="1" t="s">
        <v>1308</v>
      </c>
      <c r="C1384" s="3">
        <v>1250531</v>
      </c>
      <c r="D1384" s="3">
        <v>1252533</v>
      </c>
      <c r="E1384" s="1" t="s">
        <v>9</v>
      </c>
      <c r="F1384" s="1">
        <v>0</v>
      </c>
      <c r="G1384" s="1" t="s">
        <v>4372</v>
      </c>
      <c r="H1384" s="1" t="s">
        <v>4372</v>
      </c>
      <c r="I1384" s="1" t="s">
        <v>4373</v>
      </c>
      <c r="J1384" s="1" t="s">
        <v>6438</v>
      </c>
      <c r="K1384" s="1" t="s">
        <v>318</v>
      </c>
    </row>
    <row r="1385" spans="1:11" ht="21" x14ac:dyDescent="0.25">
      <c r="A1385" s="11" t="str">
        <f>HYPERLINK("https://rth.dk/resources/bsgatlas/details.php?id=BSGatlas-transcript-1384","BSGatlas-transcript-1384")</f>
        <v>BSGatlas-transcript-1384</v>
      </c>
      <c r="B1385" s="1" t="s">
        <v>1309</v>
      </c>
      <c r="C1385" s="3">
        <v>1250611</v>
      </c>
      <c r="D1385" s="3">
        <v>1251195</v>
      </c>
      <c r="E1385" s="1" t="s">
        <v>13</v>
      </c>
      <c r="F1385" s="1">
        <v>0</v>
      </c>
      <c r="G1385" s="1" t="s">
        <v>4372</v>
      </c>
      <c r="H1385" s="1" t="s">
        <v>4372</v>
      </c>
      <c r="I1385" s="1" t="s">
        <v>4386</v>
      </c>
      <c r="J1385" s="1" t="s">
        <v>6439</v>
      </c>
      <c r="K1385" s="1" t="s">
        <v>6440</v>
      </c>
    </row>
    <row r="1386" spans="1:11" ht="21" x14ac:dyDescent="0.25">
      <c r="A1386" s="11" t="str">
        <f>HYPERLINK("https://rth.dk/resources/bsgatlas/details.php?id=BSGatlas-transcript-1385","BSGatlas-transcript-1385")</f>
        <v>BSGatlas-transcript-1385</v>
      </c>
      <c r="B1386" s="1" t="s">
        <v>6441</v>
      </c>
      <c r="C1386" s="3">
        <v>1250611</v>
      </c>
      <c r="D1386" s="3">
        <v>1252041</v>
      </c>
      <c r="E1386" s="1" t="s">
        <v>13</v>
      </c>
      <c r="F1386" s="1">
        <v>2</v>
      </c>
      <c r="G1386" s="1">
        <v>25</v>
      </c>
      <c r="H1386" s="1">
        <v>46</v>
      </c>
      <c r="I1386" s="1" t="s">
        <v>4373</v>
      </c>
      <c r="J1386" s="1" t="s">
        <v>6442</v>
      </c>
      <c r="K1386" s="1" t="s">
        <v>6440</v>
      </c>
    </row>
    <row r="1387" spans="1:11" ht="21" x14ac:dyDescent="0.25">
      <c r="A1387" s="11" t="str">
        <f>HYPERLINK("https://rth.dk/resources/bsgatlas/details.php?id=BSGatlas-transcript-1386","BSGatlas-transcript-1386")</f>
        <v>BSGatlas-transcript-1386</v>
      </c>
      <c r="B1387" s="1" t="s">
        <v>1309</v>
      </c>
      <c r="C1387" s="3">
        <v>1250656</v>
      </c>
      <c r="D1387" s="3">
        <v>1251195</v>
      </c>
      <c r="E1387" s="1" t="s">
        <v>13</v>
      </c>
      <c r="F1387" s="1">
        <v>0</v>
      </c>
      <c r="G1387" s="1" t="s">
        <v>4372</v>
      </c>
      <c r="H1387" s="1" t="s">
        <v>4372</v>
      </c>
      <c r="I1387" s="1" t="s">
        <v>4386</v>
      </c>
      <c r="J1387" s="1" t="s">
        <v>6439</v>
      </c>
      <c r="K1387" s="1" t="s">
        <v>6443</v>
      </c>
    </row>
    <row r="1388" spans="1:11" ht="21" x14ac:dyDescent="0.25">
      <c r="A1388" s="11" t="str">
        <f>HYPERLINK("https://rth.dk/resources/bsgatlas/details.php?id=BSGatlas-transcript-1387","BSGatlas-transcript-1387")</f>
        <v>BSGatlas-transcript-1387</v>
      </c>
      <c r="B1388" s="1" t="s">
        <v>6441</v>
      </c>
      <c r="C1388" s="3">
        <v>1250656</v>
      </c>
      <c r="D1388" s="3">
        <v>1252041</v>
      </c>
      <c r="E1388" s="1" t="s">
        <v>13</v>
      </c>
      <c r="F1388" s="1">
        <v>2</v>
      </c>
      <c r="G1388" s="1">
        <v>25</v>
      </c>
      <c r="H1388" s="1" t="s">
        <v>4372</v>
      </c>
      <c r="I1388" s="1" t="s">
        <v>4373</v>
      </c>
      <c r="J1388" s="1" t="s">
        <v>6442</v>
      </c>
      <c r="K1388" s="1" t="s">
        <v>6443</v>
      </c>
    </row>
    <row r="1389" spans="1:11" ht="21" x14ac:dyDescent="0.25">
      <c r="A1389" s="11" t="str">
        <f>HYPERLINK("https://rth.dk/resources/bsgatlas/details.php?id=BSGatlas-transcript-1388","BSGatlas-transcript-1388")</f>
        <v>BSGatlas-transcript-1388</v>
      </c>
      <c r="B1389" s="1" t="s">
        <v>1308</v>
      </c>
      <c r="C1389" s="3">
        <v>1252027</v>
      </c>
      <c r="D1389" s="3">
        <v>1252533</v>
      </c>
      <c r="E1389" s="1" t="s">
        <v>9</v>
      </c>
      <c r="F1389" s="1">
        <v>0</v>
      </c>
      <c r="G1389" s="1" t="s">
        <v>4372</v>
      </c>
      <c r="H1389" s="1" t="s">
        <v>4372</v>
      </c>
      <c r="I1389" s="1" t="s">
        <v>4373</v>
      </c>
      <c r="J1389" s="1" t="s">
        <v>6444</v>
      </c>
      <c r="K1389" s="1" t="s">
        <v>318</v>
      </c>
    </row>
    <row r="1390" spans="1:11" ht="21" x14ac:dyDescent="0.25">
      <c r="A1390" s="11" t="str">
        <f>HYPERLINK("https://rth.dk/resources/bsgatlas/details.php?id=BSGatlas-transcript-1389","BSGatlas-transcript-1389")</f>
        <v>BSGatlas-transcript-1389</v>
      </c>
      <c r="B1390" s="1" t="s">
        <v>1308</v>
      </c>
      <c r="C1390" s="3">
        <v>1252149</v>
      </c>
      <c r="D1390" s="3">
        <v>1252533</v>
      </c>
      <c r="E1390" s="1" t="s">
        <v>9</v>
      </c>
      <c r="F1390" s="1">
        <v>0</v>
      </c>
      <c r="G1390" s="1" t="s">
        <v>4372</v>
      </c>
      <c r="H1390" s="1" t="s">
        <v>4372</v>
      </c>
      <c r="I1390" s="1" t="s">
        <v>4373</v>
      </c>
      <c r="J1390" s="1" t="s">
        <v>6445</v>
      </c>
      <c r="K1390" s="1" t="s">
        <v>318</v>
      </c>
    </row>
    <row r="1391" spans="1:11" ht="21" x14ac:dyDescent="0.25">
      <c r="A1391" s="11" t="str">
        <f>HYPERLINK("https://rth.dk/resources/bsgatlas/details.php?id=BSGatlas-transcript-1390","BSGatlas-transcript-1390")</f>
        <v>BSGatlas-transcript-1390</v>
      </c>
      <c r="B1391" s="1" t="s">
        <v>4760</v>
      </c>
      <c r="C1391" s="3">
        <v>1252558</v>
      </c>
      <c r="D1391" s="3">
        <v>1252791</v>
      </c>
      <c r="E1391" s="1" t="s">
        <v>13</v>
      </c>
      <c r="F1391" s="1">
        <v>0</v>
      </c>
      <c r="G1391" s="1" t="s">
        <v>4372</v>
      </c>
      <c r="H1391" s="1" t="s">
        <v>4372</v>
      </c>
      <c r="I1391" s="1" t="s">
        <v>4377</v>
      </c>
      <c r="J1391" s="1" t="s">
        <v>6446</v>
      </c>
      <c r="K1391" s="1" t="s">
        <v>6447</v>
      </c>
    </row>
    <row r="1392" spans="1:11" ht="21" x14ac:dyDescent="0.25">
      <c r="A1392" s="11" t="str">
        <f>HYPERLINK("https://rth.dk/resources/bsgatlas/details.php?id=BSGatlas-transcript-1391","BSGatlas-transcript-1391")</f>
        <v>BSGatlas-transcript-1391</v>
      </c>
      <c r="B1392" s="1" t="s">
        <v>4760</v>
      </c>
      <c r="C1392" s="3">
        <v>1252558</v>
      </c>
      <c r="D1392" s="3">
        <v>1252791</v>
      </c>
      <c r="E1392" s="1" t="s">
        <v>13</v>
      </c>
      <c r="F1392" s="1">
        <v>0</v>
      </c>
      <c r="G1392" s="1" t="s">
        <v>4372</v>
      </c>
      <c r="H1392" s="1" t="s">
        <v>4372</v>
      </c>
      <c r="I1392" s="1" t="s">
        <v>4377</v>
      </c>
      <c r="J1392" s="1" t="s">
        <v>6448</v>
      </c>
      <c r="K1392" s="1" t="s">
        <v>6447</v>
      </c>
    </row>
    <row r="1393" spans="1:11" ht="21" x14ac:dyDescent="0.25">
      <c r="A1393" s="11" t="str">
        <f>HYPERLINK("https://rth.dk/resources/bsgatlas/details.php?id=BSGatlas-transcript-1392","BSGatlas-transcript-1392")</f>
        <v>BSGatlas-transcript-1392</v>
      </c>
      <c r="B1393" s="1" t="s">
        <v>4760</v>
      </c>
      <c r="C1393" s="3">
        <v>1252558</v>
      </c>
      <c r="D1393" s="3">
        <v>1253093</v>
      </c>
      <c r="E1393" s="1" t="s">
        <v>13</v>
      </c>
      <c r="F1393" s="1">
        <v>0</v>
      </c>
      <c r="G1393" s="1" t="s">
        <v>4372</v>
      </c>
      <c r="H1393" s="1" t="s">
        <v>4372</v>
      </c>
      <c r="I1393" s="1" t="s">
        <v>4377</v>
      </c>
      <c r="J1393" s="1" t="s">
        <v>6449</v>
      </c>
      <c r="K1393" s="1" t="s">
        <v>6447</v>
      </c>
    </row>
    <row r="1394" spans="1:11" ht="21" x14ac:dyDescent="0.25">
      <c r="A1394" s="11" t="str">
        <f>HYPERLINK("https://rth.dk/resources/bsgatlas/details.php?id=BSGatlas-transcript-1393","BSGatlas-transcript-1393")</f>
        <v>BSGatlas-transcript-1393</v>
      </c>
      <c r="B1394" s="1" t="s">
        <v>1312</v>
      </c>
      <c r="C1394" s="3">
        <v>1252566</v>
      </c>
      <c r="D1394" s="3">
        <v>1252769</v>
      </c>
      <c r="E1394" s="1" t="s">
        <v>9</v>
      </c>
      <c r="F1394" s="1">
        <v>0</v>
      </c>
      <c r="G1394" s="1" t="s">
        <v>4372</v>
      </c>
      <c r="H1394" s="1" t="s">
        <v>4372</v>
      </c>
      <c r="I1394" s="1" t="s">
        <v>4377</v>
      </c>
      <c r="J1394" s="1" t="s">
        <v>6450</v>
      </c>
      <c r="K1394" s="1" t="s">
        <v>6451</v>
      </c>
    </row>
    <row r="1395" spans="1:11" ht="21" x14ac:dyDescent="0.25">
      <c r="A1395" s="11" t="str">
        <f>HYPERLINK("https://rth.dk/resources/bsgatlas/details.php?id=BSGatlas-transcript-1394","BSGatlas-transcript-1394")</f>
        <v>BSGatlas-transcript-1394</v>
      </c>
      <c r="B1395" s="1" t="s">
        <v>6452</v>
      </c>
      <c r="C1395" s="3">
        <v>1252815</v>
      </c>
      <c r="D1395" s="3">
        <v>1253252</v>
      </c>
      <c r="E1395" s="1" t="s">
        <v>9</v>
      </c>
      <c r="F1395" s="1">
        <v>1</v>
      </c>
      <c r="G1395" s="1" t="s">
        <v>4372</v>
      </c>
      <c r="H1395" s="1" t="s">
        <v>4372</v>
      </c>
      <c r="I1395" s="1" t="s">
        <v>4547</v>
      </c>
      <c r="J1395" s="1" t="s">
        <v>6453</v>
      </c>
      <c r="K1395" s="1" t="s">
        <v>6454</v>
      </c>
    </row>
    <row r="1396" spans="1:11" ht="21" x14ac:dyDescent="0.25">
      <c r="A1396" s="11" t="str">
        <f>HYPERLINK("https://rth.dk/resources/bsgatlas/details.php?id=BSGatlas-transcript-1395","BSGatlas-transcript-1395")</f>
        <v>BSGatlas-transcript-1395</v>
      </c>
      <c r="B1396" s="1" t="s">
        <v>6452</v>
      </c>
      <c r="C1396" s="3">
        <v>1252815</v>
      </c>
      <c r="D1396" s="3">
        <v>1253252</v>
      </c>
      <c r="E1396" s="1" t="s">
        <v>9</v>
      </c>
      <c r="F1396" s="1">
        <v>1</v>
      </c>
      <c r="G1396" s="1" t="s">
        <v>4372</v>
      </c>
      <c r="H1396" s="1" t="s">
        <v>4372</v>
      </c>
      <c r="I1396" s="1" t="s">
        <v>4547</v>
      </c>
      <c r="J1396" s="1" t="s">
        <v>6455</v>
      </c>
      <c r="K1396" s="1" t="s">
        <v>6454</v>
      </c>
    </row>
    <row r="1397" spans="1:11" ht="21" x14ac:dyDescent="0.25">
      <c r="A1397" s="11" t="str">
        <f>HYPERLINK("https://rth.dk/resources/bsgatlas/details.php?id=BSGatlas-transcript-1396","BSGatlas-transcript-1396")</f>
        <v>BSGatlas-transcript-1396</v>
      </c>
      <c r="B1397" s="1" t="s">
        <v>6452</v>
      </c>
      <c r="C1397" s="3">
        <v>1252815</v>
      </c>
      <c r="D1397" s="3">
        <v>1253310</v>
      </c>
      <c r="E1397" s="1" t="s">
        <v>9</v>
      </c>
      <c r="F1397" s="1">
        <v>1</v>
      </c>
      <c r="G1397" s="1" t="s">
        <v>4372</v>
      </c>
      <c r="H1397" s="1">
        <v>59</v>
      </c>
      <c r="I1397" s="1" t="s">
        <v>4547</v>
      </c>
      <c r="J1397" s="1" t="s">
        <v>6453</v>
      </c>
      <c r="K1397" s="1" t="s">
        <v>6456</v>
      </c>
    </row>
    <row r="1398" spans="1:11" ht="21" x14ac:dyDescent="0.25">
      <c r="A1398" s="11" t="str">
        <f>HYPERLINK("https://rth.dk/resources/bsgatlas/details.php?id=BSGatlas-transcript-1397","BSGatlas-transcript-1397")</f>
        <v>BSGatlas-transcript-1397</v>
      </c>
      <c r="B1398" s="1" t="s">
        <v>6452</v>
      </c>
      <c r="C1398" s="3">
        <v>1252815</v>
      </c>
      <c r="D1398" s="3">
        <v>1253310</v>
      </c>
      <c r="E1398" s="1" t="s">
        <v>9</v>
      </c>
      <c r="F1398" s="1">
        <v>1</v>
      </c>
      <c r="G1398" s="1" t="s">
        <v>4372</v>
      </c>
      <c r="H1398" s="1">
        <v>59</v>
      </c>
      <c r="I1398" s="1" t="s">
        <v>4547</v>
      </c>
      <c r="J1398" s="1" t="s">
        <v>6455</v>
      </c>
      <c r="K1398" s="1" t="s">
        <v>6456</v>
      </c>
    </row>
    <row r="1399" spans="1:11" ht="21" x14ac:dyDescent="0.25">
      <c r="A1399" s="11" t="str">
        <f>HYPERLINK("https://rth.dk/resources/bsgatlas/details.php?id=BSGatlas-transcript-1398","BSGatlas-transcript-1398")</f>
        <v>BSGatlas-transcript-1398</v>
      </c>
      <c r="B1399" s="1" t="s">
        <v>6457</v>
      </c>
      <c r="C1399" s="3">
        <v>1252815</v>
      </c>
      <c r="D1399" s="3">
        <v>1253687</v>
      </c>
      <c r="E1399" s="1" t="s">
        <v>9</v>
      </c>
      <c r="F1399" s="1">
        <v>2</v>
      </c>
      <c r="G1399" s="1" t="s">
        <v>4372</v>
      </c>
      <c r="H1399" s="1">
        <v>49</v>
      </c>
      <c r="I1399" s="1" t="s">
        <v>4386</v>
      </c>
      <c r="J1399" s="1" t="s">
        <v>6453</v>
      </c>
      <c r="K1399" s="1" t="s">
        <v>6458</v>
      </c>
    </row>
    <row r="1400" spans="1:11" ht="21" x14ac:dyDescent="0.25">
      <c r="A1400" s="11" t="str">
        <f>HYPERLINK("https://rth.dk/resources/bsgatlas/details.php?id=BSGatlas-transcript-1399","BSGatlas-transcript-1399")</f>
        <v>BSGatlas-transcript-1399</v>
      </c>
      <c r="B1400" s="1" t="s">
        <v>6457</v>
      </c>
      <c r="C1400" s="3">
        <v>1252815</v>
      </c>
      <c r="D1400" s="3">
        <v>1253687</v>
      </c>
      <c r="E1400" s="1" t="s">
        <v>9</v>
      </c>
      <c r="F1400" s="1">
        <v>2</v>
      </c>
      <c r="G1400" s="1" t="s">
        <v>4372</v>
      </c>
      <c r="H1400" s="1">
        <v>49</v>
      </c>
      <c r="I1400" s="1" t="s">
        <v>4386</v>
      </c>
      <c r="J1400" s="1" t="s">
        <v>6455</v>
      </c>
      <c r="K1400" s="1" t="s">
        <v>6458</v>
      </c>
    </row>
    <row r="1401" spans="1:11" ht="21" x14ac:dyDescent="0.25">
      <c r="A1401" s="11" t="str">
        <f>HYPERLINK("https://rth.dk/resources/bsgatlas/details.php?id=BSGatlas-transcript-1400","BSGatlas-transcript-1400")</f>
        <v>BSGatlas-transcript-1400</v>
      </c>
      <c r="B1401" s="1" t="s">
        <v>6457</v>
      </c>
      <c r="C1401" s="3">
        <v>1252815</v>
      </c>
      <c r="D1401" s="3">
        <v>1254802</v>
      </c>
      <c r="E1401" s="1" t="s">
        <v>9</v>
      </c>
      <c r="F1401" s="1">
        <v>2</v>
      </c>
      <c r="G1401" s="1" t="s">
        <v>4372</v>
      </c>
      <c r="H1401" s="1">
        <v>1164</v>
      </c>
      <c r="I1401" s="1" t="s">
        <v>4386</v>
      </c>
      <c r="J1401" s="1" t="s">
        <v>6453</v>
      </c>
      <c r="K1401" s="1" t="s">
        <v>6459</v>
      </c>
    </row>
    <row r="1402" spans="1:11" ht="21" x14ac:dyDescent="0.25">
      <c r="A1402" s="11" t="str">
        <f>HYPERLINK("https://rth.dk/resources/bsgatlas/details.php?id=BSGatlas-transcript-1401","BSGatlas-transcript-1401")</f>
        <v>BSGatlas-transcript-1401</v>
      </c>
      <c r="B1402" s="1" t="s">
        <v>6457</v>
      </c>
      <c r="C1402" s="3">
        <v>1252815</v>
      </c>
      <c r="D1402" s="3">
        <v>1254802</v>
      </c>
      <c r="E1402" s="1" t="s">
        <v>9</v>
      </c>
      <c r="F1402" s="1">
        <v>2</v>
      </c>
      <c r="G1402" s="1" t="s">
        <v>4372</v>
      </c>
      <c r="H1402" s="1">
        <v>1164</v>
      </c>
      <c r="I1402" s="1" t="s">
        <v>4386</v>
      </c>
      <c r="J1402" s="1" t="s">
        <v>6455</v>
      </c>
      <c r="K1402" s="1" t="s">
        <v>6459</v>
      </c>
    </row>
    <row r="1403" spans="1:11" ht="21" x14ac:dyDescent="0.25">
      <c r="A1403" s="11" t="str">
        <f>HYPERLINK("https://rth.dk/resources/bsgatlas/details.php?id=BSGatlas-transcript-1402","BSGatlas-transcript-1402")</f>
        <v>BSGatlas-transcript-1402</v>
      </c>
      <c r="B1403" s="1" t="s">
        <v>6460</v>
      </c>
      <c r="C1403" s="3">
        <v>1252858</v>
      </c>
      <c r="D1403" s="3">
        <v>1253687</v>
      </c>
      <c r="E1403" s="1" t="s">
        <v>9</v>
      </c>
      <c r="F1403" s="1">
        <v>2</v>
      </c>
      <c r="G1403" s="1" t="s">
        <v>4372</v>
      </c>
      <c r="H1403" s="1">
        <v>49</v>
      </c>
      <c r="I1403" s="1" t="s">
        <v>4684</v>
      </c>
      <c r="J1403" s="1" t="s">
        <v>318</v>
      </c>
      <c r="K1403" s="1" t="s">
        <v>6458</v>
      </c>
    </row>
    <row r="1404" spans="1:11" ht="21" x14ac:dyDescent="0.25">
      <c r="A1404" s="11" t="str">
        <f>HYPERLINK("https://rth.dk/resources/bsgatlas/details.php?id=BSGatlas-transcript-1403","BSGatlas-transcript-1403")</f>
        <v>BSGatlas-transcript-1403</v>
      </c>
      <c r="B1404" s="1" t="s">
        <v>6460</v>
      </c>
      <c r="C1404" s="3">
        <v>1252858</v>
      </c>
      <c r="D1404" s="3">
        <v>1254802</v>
      </c>
      <c r="E1404" s="1" t="s">
        <v>9</v>
      </c>
      <c r="F1404" s="1">
        <v>2</v>
      </c>
      <c r="G1404" s="1" t="s">
        <v>4372</v>
      </c>
      <c r="H1404" s="1">
        <v>1164</v>
      </c>
      <c r="I1404" s="1" t="s">
        <v>4684</v>
      </c>
      <c r="J1404" s="1" t="s">
        <v>318</v>
      </c>
      <c r="K1404" s="1" t="s">
        <v>6459</v>
      </c>
    </row>
    <row r="1405" spans="1:11" ht="21" x14ac:dyDescent="0.25">
      <c r="A1405" s="11" t="str">
        <f>HYPERLINK("https://rth.dk/resources/bsgatlas/details.php?id=BSGatlas-transcript-1404","BSGatlas-transcript-1404")</f>
        <v>BSGatlas-transcript-1404</v>
      </c>
      <c r="B1405" s="1" t="s">
        <v>1315</v>
      </c>
      <c r="C1405" s="3">
        <v>1253081</v>
      </c>
      <c r="D1405" s="3">
        <v>1253252</v>
      </c>
      <c r="E1405" s="1" t="s">
        <v>9</v>
      </c>
      <c r="F1405" s="1">
        <v>0</v>
      </c>
      <c r="G1405" s="1" t="s">
        <v>4372</v>
      </c>
      <c r="H1405" s="1" t="s">
        <v>4372</v>
      </c>
      <c r="I1405" s="1" t="s">
        <v>4547</v>
      </c>
      <c r="J1405" s="1" t="s">
        <v>6461</v>
      </c>
      <c r="K1405" s="1" t="s">
        <v>6454</v>
      </c>
    </row>
    <row r="1406" spans="1:11" ht="21" x14ac:dyDescent="0.25">
      <c r="A1406" s="11" t="str">
        <f>HYPERLINK("https://rth.dk/resources/bsgatlas/details.php?id=BSGatlas-transcript-1405","BSGatlas-transcript-1405")</f>
        <v>BSGatlas-transcript-1405</v>
      </c>
      <c r="B1406" s="1" t="s">
        <v>1315</v>
      </c>
      <c r="C1406" s="3">
        <v>1253081</v>
      </c>
      <c r="D1406" s="3">
        <v>1253310</v>
      </c>
      <c r="E1406" s="1" t="s">
        <v>9</v>
      </c>
      <c r="F1406" s="1">
        <v>0</v>
      </c>
      <c r="G1406" s="1" t="s">
        <v>4372</v>
      </c>
      <c r="H1406" s="1" t="s">
        <v>4372</v>
      </c>
      <c r="I1406" s="1" t="s">
        <v>4547</v>
      </c>
      <c r="J1406" s="1" t="s">
        <v>6461</v>
      </c>
      <c r="K1406" s="1" t="s">
        <v>6456</v>
      </c>
    </row>
    <row r="1407" spans="1:11" ht="21" x14ac:dyDescent="0.25">
      <c r="A1407" s="11" t="str">
        <f>HYPERLINK("https://rth.dk/resources/bsgatlas/details.php?id=BSGatlas-transcript-1406","BSGatlas-transcript-1406")</f>
        <v>BSGatlas-transcript-1406</v>
      </c>
      <c r="B1407" s="1" t="s">
        <v>6462</v>
      </c>
      <c r="C1407" s="3">
        <v>1253081</v>
      </c>
      <c r="D1407" s="3">
        <v>1253687</v>
      </c>
      <c r="E1407" s="1" t="s">
        <v>9</v>
      </c>
      <c r="F1407" s="1">
        <v>1</v>
      </c>
      <c r="G1407" s="1">
        <v>23</v>
      </c>
      <c r="H1407" s="1">
        <v>49</v>
      </c>
      <c r="I1407" s="1" t="s">
        <v>4547</v>
      </c>
      <c r="J1407" s="1" t="s">
        <v>6461</v>
      </c>
      <c r="K1407" s="1" t="s">
        <v>6458</v>
      </c>
    </row>
    <row r="1408" spans="1:11" ht="21" x14ac:dyDescent="0.25">
      <c r="A1408" s="11" t="str">
        <f>HYPERLINK("https://rth.dk/resources/bsgatlas/details.php?id=BSGatlas-transcript-1407","BSGatlas-transcript-1407")</f>
        <v>BSGatlas-transcript-1407</v>
      </c>
      <c r="B1408" s="1" t="s">
        <v>6462</v>
      </c>
      <c r="C1408" s="3">
        <v>1253081</v>
      </c>
      <c r="D1408" s="3">
        <v>1254802</v>
      </c>
      <c r="E1408" s="1" t="s">
        <v>9</v>
      </c>
      <c r="F1408" s="1">
        <v>1</v>
      </c>
      <c r="G1408" s="1">
        <v>23</v>
      </c>
      <c r="H1408" s="1">
        <v>1164</v>
      </c>
      <c r="I1408" s="1" t="s">
        <v>4547</v>
      </c>
      <c r="J1408" s="1" t="s">
        <v>6461</v>
      </c>
      <c r="K1408" s="1" t="s">
        <v>6459</v>
      </c>
    </row>
    <row r="1409" spans="1:11" ht="21" x14ac:dyDescent="0.25">
      <c r="A1409" s="11" t="str">
        <f>HYPERLINK("https://rth.dk/resources/bsgatlas/details.php?id=BSGatlas-transcript-1408","BSGatlas-transcript-1408")</f>
        <v>BSGatlas-transcript-1408</v>
      </c>
      <c r="B1409" s="1" t="s">
        <v>1316</v>
      </c>
      <c r="C1409" s="3">
        <v>1253359</v>
      </c>
      <c r="D1409" s="3">
        <v>1253687</v>
      </c>
      <c r="E1409" s="1" t="s">
        <v>9</v>
      </c>
      <c r="F1409" s="1">
        <v>0</v>
      </c>
      <c r="G1409" s="1" t="s">
        <v>4372</v>
      </c>
      <c r="H1409" s="1" t="s">
        <v>4372</v>
      </c>
      <c r="I1409" s="1" t="s">
        <v>4397</v>
      </c>
      <c r="J1409" s="1" t="s">
        <v>6463</v>
      </c>
      <c r="K1409" s="1" t="s">
        <v>6458</v>
      </c>
    </row>
    <row r="1410" spans="1:11" ht="21" x14ac:dyDescent="0.25">
      <c r="A1410" s="11" t="str">
        <f>HYPERLINK("https://rth.dk/resources/bsgatlas/details.php?id=BSGatlas-transcript-1409","BSGatlas-transcript-1409")</f>
        <v>BSGatlas-transcript-1409</v>
      </c>
      <c r="B1410" s="1" t="s">
        <v>1316</v>
      </c>
      <c r="C1410" s="3">
        <v>1253359</v>
      </c>
      <c r="D1410" s="3">
        <v>1254802</v>
      </c>
      <c r="E1410" s="1" t="s">
        <v>9</v>
      </c>
      <c r="F1410" s="1">
        <v>0</v>
      </c>
      <c r="G1410" s="1" t="s">
        <v>4372</v>
      </c>
      <c r="H1410" s="1" t="s">
        <v>4372</v>
      </c>
      <c r="I1410" s="1" t="s">
        <v>4397</v>
      </c>
      <c r="J1410" s="1" t="s">
        <v>6463</v>
      </c>
      <c r="K1410" s="1" t="s">
        <v>6459</v>
      </c>
    </row>
    <row r="1411" spans="1:11" ht="21" x14ac:dyDescent="0.25">
      <c r="A1411" s="11" t="str">
        <f>HYPERLINK("https://rth.dk/resources/bsgatlas/details.php?id=BSGatlas-transcript-1410","BSGatlas-transcript-1410")</f>
        <v>BSGatlas-transcript-1410</v>
      </c>
      <c r="B1411" s="1" t="s">
        <v>1317</v>
      </c>
      <c r="C1411" s="3">
        <v>1253621</v>
      </c>
      <c r="D1411" s="3">
        <v>1256040</v>
      </c>
      <c r="E1411" s="1" t="s">
        <v>13</v>
      </c>
      <c r="F1411" s="1">
        <v>0</v>
      </c>
      <c r="G1411" s="1" t="s">
        <v>4372</v>
      </c>
      <c r="H1411" s="1" t="s">
        <v>4372</v>
      </c>
      <c r="I1411" s="1" t="s">
        <v>4397</v>
      </c>
      <c r="J1411" s="1" t="s">
        <v>6464</v>
      </c>
      <c r="K1411" s="1" t="s">
        <v>6465</v>
      </c>
    </row>
    <row r="1412" spans="1:11" ht="21" x14ac:dyDescent="0.25">
      <c r="A1412" s="11" t="str">
        <f>HYPERLINK("https://rth.dk/resources/bsgatlas/details.php?id=BSGatlas-transcript-1411","BSGatlas-transcript-1411")</f>
        <v>BSGatlas-transcript-1411</v>
      </c>
      <c r="B1412" s="1" t="s">
        <v>1317</v>
      </c>
      <c r="C1412" s="3">
        <v>1253713</v>
      </c>
      <c r="D1412" s="3">
        <v>1256040</v>
      </c>
      <c r="E1412" s="1" t="s">
        <v>13</v>
      </c>
      <c r="F1412" s="1">
        <v>0</v>
      </c>
      <c r="G1412" s="1" t="s">
        <v>4372</v>
      </c>
      <c r="H1412" s="1" t="s">
        <v>4372</v>
      </c>
      <c r="I1412" s="1" t="s">
        <v>4397</v>
      </c>
      <c r="J1412" s="1" t="s">
        <v>6464</v>
      </c>
      <c r="K1412" s="1" t="s">
        <v>6466</v>
      </c>
    </row>
    <row r="1413" spans="1:11" ht="21" x14ac:dyDescent="0.25">
      <c r="A1413" s="11" t="str">
        <f>HYPERLINK("https://rth.dk/resources/bsgatlas/details.php?id=BSGatlas-transcript-1412","BSGatlas-transcript-1412")</f>
        <v>BSGatlas-transcript-1412</v>
      </c>
      <c r="B1413" s="1" t="s">
        <v>1318</v>
      </c>
      <c r="C1413" s="3">
        <v>1255943</v>
      </c>
      <c r="D1413" s="3">
        <v>1256363</v>
      </c>
      <c r="E1413" s="1" t="s">
        <v>9</v>
      </c>
      <c r="F1413" s="1">
        <v>0</v>
      </c>
      <c r="G1413" s="1" t="s">
        <v>4372</v>
      </c>
      <c r="H1413" s="1" t="s">
        <v>4372</v>
      </c>
      <c r="I1413" s="1" t="s">
        <v>4397</v>
      </c>
      <c r="J1413" s="1" t="s">
        <v>6467</v>
      </c>
      <c r="K1413" s="1" t="s">
        <v>6468</v>
      </c>
    </row>
    <row r="1414" spans="1:11" ht="21" x14ac:dyDescent="0.25">
      <c r="A1414" s="11" t="str">
        <f>HYPERLINK("https://rth.dk/resources/bsgatlas/details.php?id=BSGatlas-transcript-1413","BSGatlas-transcript-1413")</f>
        <v>BSGatlas-transcript-1413</v>
      </c>
      <c r="B1414" s="1" t="s">
        <v>1318</v>
      </c>
      <c r="C1414" s="3">
        <v>1256080</v>
      </c>
      <c r="D1414" s="3">
        <v>1256363</v>
      </c>
      <c r="E1414" s="1" t="s">
        <v>9</v>
      </c>
      <c r="F1414" s="1">
        <v>0</v>
      </c>
      <c r="G1414" s="1" t="s">
        <v>4372</v>
      </c>
      <c r="H1414" s="1" t="s">
        <v>4372</v>
      </c>
      <c r="I1414" s="1" t="s">
        <v>4397</v>
      </c>
      <c r="J1414" s="1" t="s">
        <v>6469</v>
      </c>
      <c r="K1414" s="1" t="s">
        <v>6468</v>
      </c>
    </row>
    <row r="1415" spans="1:11" ht="21" x14ac:dyDescent="0.25">
      <c r="A1415" s="11" t="str">
        <f>HYPERLINK("https://rth.dk/resources/bsgatlas/details.php?id=BSGatlas-transcript-1414","BSGatlas-transcript-1414")</f>
        <v>BSGatlas-transcript-1414</v>
      </c>
      <c r="B1415" s="1" t="s">
        <v>6470</v>
      </c>
      <c r="C1415" s="3">
        <v>1256407</v>
      </c>
      <c r="D1415" s="3">
        <v>1258196</v>
      </c>
      <c r="E1415" s="1" t="s">
        <v>13</v>
      </c>
      <c r="F1415" s="1">
        <v>1</v>
      </c>
      <c r="G1415" s="1">
        <v>61</v>
      </c>
      <c r="H1415" s="1">
        <v>30</v>
      </c>
      <c r="I1415" s="1" t="s">
        <v>4386</v>
      </c>
      <c r="J1415" s="1" t="s">
        <v>6471</v>
      </c>
      <c r="K1415" s="1" t="s">
        <v>6472</v>
      </c>
    </row>
    <row r="1416" spans="1:11" ht="21" x14ac:dyDescent="0.25">
      <c r="A1416" s="11" t="str">
        <f>HYPERLINK("https://rth.dk/resources/bsgatlas/details.php?id=BSGatlas-transcript-1415","BSGatlas-transcript-1415")</f>
        <v>BSGatlas-transcript-1415</v>
      </c>
      <c r="B1416" s="1" t="s">
        <v>6473</v>
      </c>
      <c r="C1416" s="3">
        <v>1258282</v>
      </c>
      <c r="D1416" s="3">
        <v>1260820</v>
      </c>
      <c r="E1416" s="1" t="s">
        <v>9</v>
      </c>
      <c r="F1416" s="1">
        <v>0</v>
      </c>
      <c r="G1416" s="1" t="s">
        <v>4372</v>
      </c>
      <c r="H1416" s="1" t="s">
        <v>4372</v>
      </c>
      <c r="I1416" s="1" t="s">
        <v>4373</v>
      </c>
      <c r="J1416" s="1" t="s">
        <v>6474</v>
      </c>
      <c r="K1416" s="1" t="s">
        <v>6475</v>
      </c>
    </row>
    <row r="1417" spans="1:11" ht="21" x14ac:dyDescent="0.25">
      <c r="A1417" s="11" t="str">
        <f>HYPERLINK("https://rth.dk/resources/bsgatlas/details.php?id=BSGatlas-transcript-1416","BSGatlas-transcript-1416")</f>
        <v>BSGatlas-transcript-1416</v>
      </c>
      <c r="B1417" s="1" t="s">
        <v>6473</v>
      </c>
      <c r="C1417" s="3">
        <v>1258282</v>
      </c>
      <c r="D1417" s="3">
        <v>1262368</v>
      </c>
      <c r="E1417" s="1" t="s">
        <v>9</v>
      </c>
      <c r="F1417" s="1">
        <v>0</v>
      </c>
      <c r="G1417" s="1" t="s">
        <v>4372</v>
      </c>
      <c r="H1417" s="1" t="s">
        <v>4372</v>
      </c>
      <c r="I1417" s="1" t="s">
        <v>4373</v>
      </c>
      <c r="J1417" s="1" t="s">
        <v>6474</v>
      </c>
      <c r="K1417" s="1" t="s">
        <v>6476</v>
      </c>
    </row>
    <row r="1418" spans="1:11" ht="21" x14ac:dyDescent="0.25">
      <c r="A1418" s="11" t="str">
        <f>HYPERLINK("https://rth.dk/resources/bsgatlas/details.php?id=BSGatlas-transcript-1417","BSGatlas-transcript-1417")</f>
        <v>BSGatlas-transcript-1417</v>
      </c>
      <c r="B1418" s="1" t="s">
        <v>1324</v>
      </c>
      <c r="C1418" s="3">
        <v>1258303</v>
      </c>
      <c r="D1418" s="3">
        <v>1258451</v>
      </c>
      <c r="E1418" s="1" t="s">
        <v>9</v>
      </c>
      <c r="F1418" s="1">
        <v>0</v>
      </c>
      <c r="G1418" s="1" t="s">
        <v>4372</v>
      </c>
      <c r="H1418" s="1" t="s">
        <v>4372</v>
      </c>
      <c r="I1418" s="1" t="s">
        <v>4377</v>
      </c>
      <c r="J1418" s="1" t="s">
        <v>318</v>
      </c>
      <c r="K1418" s="1" t="s">
        <v>6477</v>
      </c>
    </row>
    <row r="1419" spans="1:11" ht="21" x14ac:dyDescent="0.25">
      <c r="A1419" s="11" t="str">
        <f>HYPERLINK("https://rth.dk/resources/bsgatlas/details.php?id=BSGatlas-transcript-1418","BSGatlas-transcript-1418")</f>
        <v>BSGatlas-transcript-1418</v>
      </c>
      <c r="B1419" s="1" t="s">
        <v>1325</v>
      </c>
      <c r="C1419" s="3">
        <v>1260805</v>
      </c>
      <c r="D1419" s="3">
        <v>1262861</v>
      </c>
      <c r="E1419" s="1" t="s">
        <v>9</v>
      </c>
      <c r="F1419" s="1">
        <v>0</v>
      </c>
      <c r="G1419" s="1" t="s">
        <v>4372</v>
      </c>
      <c r="H1419" s="1" t="s">
        <v>4372</v>
      </c>
      <c r="I1419" s="1" t="s">
        <v>4377</v>
      </c>
      <c r="J1419" s="1" t="s">
        <v>6478</v>
      </c>
      <c r="K1419" s="1" t="s">
        <v>6479</v>
      </c>
    </row>
    <row r="1420" spans="1:11" ht="21" x14ac:dyDescent="0.25">
      <c r="A1420" s="11" t="str">
        <f>HYPERLINK("https://rth.dk/resources/bsgatlas/details.php?id=BSGatlas-transcript-1419","BSGatlas-transcript-1419")</f>
        <v>BSGatlas-transcript-1419</v>
      </c>
      <c r="B1420" s="1" t="s">
        <v>1325</v>
      </c>
      <c r="C1420" s="3">
        <v>1260805</v>
      </c>
      <c r="D1420" s="3">
        <v>1264523</v>
      </c>
      <c r="E1420" s="1" t="s">
        <v>9</v>
      </c>
      <c r="F1420" s="1">
        <v>0</v>
      </c>
      <c r="G1420" s="1" t="s">
        <v>4372</v>
      </c>
      <c r="H1420" s="1" t="s">
        <v>4372</v>
      </c>
      <c r="I1420" s="1" t="s">
        <v>4377</v>
      </c>
      <c r="J1420" s="1" t="s">
        <v>6478</v>
      </c>
      <c r="K1420" s="1" t="s">
        <v>6480</v>
      </c>
    </row>
    <row r="1421" spans="1:11" ht="21" x14ac:dyDescent="0.25">
      <c r="A1421" s="11" t="str">
        <f>HYPERLINK("https://rth.dk/resources/bsgatlas/details.php?id=BSGatlas-transcript-1420","BSGatlas-transcript-1420")</f>
        <v>BSGatlas-transcript-1420</v>
      </c>
      <c r="B1421" s="1" t="s">
        <v>6481</v>
      </c>
      <c r="C1421" s="3">
        <v>1260811</v>
      </c>
      <c r="D1421" s="3">
        <v>1262646</v>
      </c>
      <c r="E1421" s="1" t="s">
        <v>13</v>
      </c>
      <c r="F1421" s="1">
        <v>1</v>
      </c>
      <c r="G1421" s="1">
        <v>31</v>
      </c>
      <c r="H1421" s="1" t="s">
        <v>4372</v>
      </c>
      <c r="I1421" s="1" t="s">
        <v>4386</v>
      </c>
      <c r="J1421" s="1" t="s">
        <v>6482</v>
      </c>
      <c r="K1421" s="1" t="s">
        <v>6483</v>
      </c>
    </row>
    <row r="1422" spans="1:11" ht="21" x14ac:dyDescent="0.25">
      <c r="A1422" s="11" t="str">
        <f>HYPERLINK("https://rth.dk/resources/bsgatlas/details.php?id=BSGatlas-transcript-1421","BSGatlas-transcript-1421")</f>
        <v>BSGatlas-transcript-1421</v>
      </c>
      <c r="B1422" s="1" t="s">
        <v>6481</v>
      </c>
      <c r="C1422" s="3">
        <v>1260811</v>
      </c>
      <c r="D1422" s="3">
        <v>1262817</v>
      </c>
      <c r="E1422" s="1" t="s">
        <v>13</v>
      </c>
      <c r="F1422" s="1">
        <v>1</v>
      </c>
      <c r="G1422" s="1">
        <v>202</v>
      </c>
      <c r="H1422" s="1" t="s">
        <v>4372</v>
      </c>
      <c r="I1422" s="1" t="s">
        <v>4386</v>
      </c>
      <c r="J1422" s="1" t="s">
        <v>6484</v>
      </c>
      <c r="K1422" s="1" t="s">
        <v>6483</v>
      </c>
    </row>
    <row r="1423" spans="1:11" ht="21" x14ac:dyDescent="0.25">
      <c r="A1423" s="11" t="str">
        <f>HYPERLINK("https://rth.dk/resources/bsgatlas/details.php?id=BSGatlas-transcript-1422","BSGatlas-transcript-1422")</f>
        <v>BSGatlas-transcript-1422</v>
      </c>
      <c r="B1423" s="1" t="s">
        <v>1325</v>
      </c>
      <c r="C1423" s="3">
        <v>1262721</v>
      </c>
      <c r="D1423" s="3">
        <v>1262861</v>
      </c>
      <c r="E1423" s="1" t="s">
        <v>9</v>
      </c>
      <c r="F1423" s="1">
        <v>0</v>
      </c>
      <c r="G1423" s="1" t="s">
        <v>4372</v>
      </c>
      <c r="H1423" s="1" t="s">
        <v>4372</v>
      </c>
      <c r="I1423" s="1" t="s">
        <v>4377</v>
      </c>
      <c r="J1423" s="1" t="s">
        <v>6485</v>
      </c>
      <c r="K1423" s="1" t="s">
        <v>6479</v>
      </c>
    </row>
    <row r="1424" spans="1:11" ht="21" x14ac:dyDescent="0.25">
      <c r="A1424" s="11" t="str">
        <f>HYPERLINK("https://rth.dk/resources/bsgatlas/details.php?id=BSGatlas-transcript-1423","BSGatlas-transcript-1423")</f>
        <v>BSGatlas-transcript-1423</v>
      </c>
      <c r="B1424" s="1" t="s">
        <v>1325</v>
      </c>
      <c r="C1424" s="3">
        <v>1262721</v>
      </c>
      <c r="D1424" s="3">
        <v>1264523</v>
      </c>
      <c r="E1424" s="1" t="s">
        <v>9</v>
      </c>
      <c r="F1424" s="1">
        <v>0</v>
      </c>
      <c r="G1424" s="1" t="s">
        <v>4372</v>
      </c>
      <c r="H1424" s="1" t="s">
        <v>4372</v>
      </c>
      <c r="I1424" s="1" t="s">
        <v>4377</v>
      </c>
      <c r="J1424" s="1" t="s">
        <v>6485</v>
      </c>
      <c r="K1424" s="1" t="s">
        <v>6480</v>
      </c>
    </row>
    <row r="1425" spans="1:11" ht="21" x14ac:dyDescent="0.25">
      <c r="A1425" s="11" t="str">
        <f>HYPERLINK("https://rth.dk/resources/bsgatlas/details.php?id=BSGatlas-transcript-1424","BSGatlas-transcript-1424")</f>
        <v>BSGatlas-transcript-1424</v>
      </c>
      <c r="B1425" s="1" t="s">
        <v>1328</v>
      </c>
      <c r="C1425" s="3">
        <v>1262883</v>
      </c>
      <c r="D1425" s="3">
        <v>1265021</v>
      </c>
      <c r="E1425" s="1" t="s">
        <v>13</v>
      </c>
      <c r="F1425" s="1">
        <v>0</v>
      </c>
      <c r="G1425" s="1" t="s">
        <v>4372</v>
      </c>
      <c r="H1425" s="1" t="s">
        <v>4372</v>
      </c>
      <c r="I1425" s="1" t="s">
        <v>4386</v>
      </c>
      <c r="J1425" s="1" t="s">
        <v>6486</v>
      </c>
      <c r="K1425" s="1" t="s">
        <v>6487</v>
      </c>
    </row>
    <row r="1426" spans="1:11" ht="21" x14ac:dyDescent="0.25">
      <c r="A1426" s="11" t="str">
        <f>HYPERLINK("https://rth.dk/resources/bsgatlas/details.php?id=BSGatlas-transcript-1425","BSGatlas-transcript-1425")</f>
        <v>BSGatlas-transcript-1425</v>
      </c>
      <c r="B1426" s="1" t="s">
        <v>1328</v>
      </c>
      <c r="C1426" s="3">
        <v>1263634</v>
      </c>
      <c r="D1426" s="3">
        <v>1265021</v>
      </c>
      <c r="E1426" s="1" t="s">
        <v>13</v>
      </c>
      <c r="F1426" s="1">
        <v>0</v>
      </c>
      <c r="G1426" s="1" t="s">
        <v>4372</v>
      </c>
      <c r="H1426" s="1" t="s">
        <v>4372</v>
      </c>
      <c r="I1426" s="1" t="s">
        <v>4386</v>
      </c>
      <c r="J1426" s="1" t="s">
        <v>6486</v>
      </c>
      <c r="K1426" s="1" t="s">
        <v>6488</v>
      </c>
    </row>
    <row r="1427" spans="1:11" ht="21" x14ac:dyDescent="0.25">
      <c r="A1427" s="11" t="str">
        <f>HYPERLINK("https://rth.dk/resources/bsgatlas/details.php?id=BSGatlas-transcript-1426","BSGatlas-transcript-1426")</f>
        <v>BSGatlas-transcript-1426</v>
      </c>
      <c r="B1427" s="1" t="s">
        <v>1328</v>
      </c>
      <c r="C1427" s="3">
        <v>1263702</v>
      </c>
      <c r="D1427" s="3">
        <v>1265021</v>
      </c>
      <c r="E1427" s="1" t="s">
        <v>13</v>
      </c>
      <c r="F1427" s="1">
        <v>0</v>
      </c>
      <c r="G1427" s="1" t="s">
        <v>4372</v>
      </c>
      <c r="H1427" s="1" t="s">
        <v>4372</v>
      </c>
      <c r="I1427" s="1" t="s">
        <v>4386</v>
      </c>
      <c r="J1427" s="1" t="s">
        <v>6486</v>
      </c>
      <c r="K1427" s="1" t="s">
        <v>6489</v>
      </c>
    </row>
    <row r="1428" spans="1:11" ht="21" x14ac:dyDescent="0.25">
      <c r="A1428" s="11" t="str">
        <f>HYPERLINK("https://rth.dk/resources/bsgatlas/details.php?id=BSGatlas-transcript-1427","BSGatlas-transcript-1427")</f>
        <v>BSGatlas-transcript-1427</v>
      </c>
      <c r="B1428" s="1" t="s">
        <v>1329</v>
      </c>
      <c r="C1428" s="3">
        <v>1265007</v>
      </c>
      <c r="D1428" s="3">
        <v>1265409</v>
      </c>
      <c r="E1428" s="1" t="s">
        <v>9</v>
      </c>
      <c r="F1428" s="1">
        <v>0</v>
      </c>
      <c r="G1428" s="1" t="s">
        <v>4372</v>
      </c>
      <c r="H1428" s="1" t="s">
        <v>4372</v>
      </c>
      <c r="I1428" s="1" t="s">
        <v>4373</v>
      </c>
      <c r="J1428" s="1" t="s">
        <v>6490</v>
      </c>
      <c r="K1428" s="1" t="s">
        <v>6491</v>
      </c>
    </row>
    <row r="1429" spans="1:11" ht="21" x14ac:dyDescent="0.25">
      <c r="A1429" s="11" t="str">
        <f>HYPERLINK("https://rth.dk/resources/bsgatlas/details.php?id=BSGatlas-transcript-1428","BSGatlas-transcript-1428")</f>
        <v>BSGatlas-transcript-1428</v>
      </c>
      <c r="B1429" s="1" t="s">
        <v>1329</v>
      </c>
      <c r="C1429" s="3">
        <v>1265007</v>
      </c>
      <c r="D1429" s="3">
        <v>1265482</v>
      </c>
      <c r="E1429" s="1" t="s">
        <v>9</v>
      </c>
      <c r="F1429" s="1">
        <v>0</v>
      </c>
      <c r="G1429" s="1" t="s">
        <v>4372</v>
      </c>
      <c r="H1429" s="1" t="s">
        <v>4372</v>
      </c>
      <c r="I1429" s="1" t="s">
        <v>4373</v>
      </c>
      <c r="J1429" s="1" t="s">
        <v>6490</v>
      </c>
      <c r="K1429" s="1" t="s">
        <v>6492</v>
      </c>
    </row>
    <row r="1430" spans="1:11" ht="21" x14ac:dyDescent="0.25">
      <c r="A1430" s="11" t="str">
        <f>HYPERLINK("https://rth.dk/resources/bsgatlas/details.php?id=BSGatlas-transcript-1429","BSGatlas-transcript-1429")</f>
        <v>BSGatlas-transcript-1429</v>
      </c>
      <c r="B1430" s="1" t="s">
        <v>6493</v>
      </c>
      <c r="C1430" s="3">
        <v>1266349</v>
      </c>
      <c r="D1430" s="3">
        <v>1267413</v>
      </c>
      <c r="E1430" s="1" t="s">
        <v>9</v>
      </c>
      <c r="F1430" s="1">
        <v>0</v>
      </c>
      <c r="G1430" s="1" t="s">
        <v>4372</v>
      </c>
      <c r="H1430" s="1" t="s">
        <v>4372</v>
      </c>
      <c r="I1430" s="1" t="s">
        <v>4373</v>
      </c>
      <c r="J1430" s="1" t="s">
        <v>6494</v>
      </c>
      <c r="K1430" s="1" t="s">
        <v>6495</v>
      </c>
    </row>
    <row r="1431" spans="1:11" ht="21" x14ac:dyDescent="0.25">
      <c r="A1431" s="11" t="str">
        <f>HYPERLINK("https://rth.dk/resources/bsgatlas/details.php?id=BSGatlas-transcript-1430","BSGatlas-transcript-1430")</f>
        <v>BSGatlas-transcript-1430</v>
      </c>
      <c r="B1431" s="1" t="s">
        <v>6493</v>
      </c>
      <c r="C1431" s="3">
        <v>1266349</v>
      </c>
      <c r="D1431" s="3">
        <v>1267449</v>
      </c>
      <c r="E1431" s="1" t="s">
        <v>9</v>
      </c>
      <c r="F1431" s="1">
        <v>0</v>
      </c>
      <c r="G1431" s="1" t="s">
        <v>4372</v>
      </c>
      <c r="H1431" s="1" t="s">
        <v>4372</v>
      </c>
      <c r="I1431" s="1" t="s">
        <v>4373</v>
      </c>
      <c r="J1431" s="1" t="s">
        <v>6494</v>
      </c>
      <c r="K1431" s="1" t="s">
        <v>6496</v>
      </c>
    </row>
    <row r="1432" spans="1:11" ht="21" x14ac:dyDescent="0.25">
      <c r="A1432" s="11" t="str">
        <f>HYPERLINK("https://rth.dk/resources/bsgatlas/details.php?id=BSGatlas-transcript-1431","BSGatlas-transcript-1431")</f>
        <v>BSGatlas-transcript-1431</v>
      </c>
      <c r="B1432" s="1" t="s">
        <v>6493</v>
      </c>
      <c r="C1432" s="3">
        <v>1266591</v>
      </c>
      <c r="D1432" s="3">
        <v>1267413</v>
      </c>
      <c r="E1432" s="1" t="s">
        <v>9</v>
      </c>
      <c r="F1432" s="1">
        <v>0</v>
      </c>
      <c r="G1432" s="1" t="s">
        <v>4372</v>
      </c>
      <c r="H1432" s="1" t="s">
        <v>4372</v>
      </c>
      <c r="I1432" s="1" t="s">
        <v>4373</v>
      </c>
      <c r="J1432" s="1" t="s">
        <v>6497</v>
      </c>
      <c r="K1432" s="1" t="s">
        <v>6495</v>
      </c>
    </row>
    <row r="1433" spans="1:11" ht="21" x14ac:dyDescent="0.25">
      <c r="A1433" s="11" t="str">
        <f>HYPERLINK("https://rth.dk/resources/bsgatlas/details.php?id=BSGatlas-transcript-1432","BSGatlas-transcript-1432")</f>
        <v>BSGatlas-transcript-1432</v>
      </c>
      <c r="B1433" s="1" t="s">
        <v>6493</v>
      </c>
      <c r="C1433" s="3">
        <v>1266591</v>
      </c>
      <c r="D1433" s="3">
        <v>1267449</v>
      </c>
      <c r="E1433" s="1" t="s">
        <v>9</v>
      </c>
      <c r="F1433" s="1">
        <v>0</v>
      </c>
      <c r="G1433" s="1" t="s">
        <v>4372</v>
      </c>
      <c r="H1433" s="1" t="s">
        <v>4372</v>
      </c>
      <c r="I1433" s="1" t="s">
        <v>4373</v>
      </c>
      <c r="J1433" s="1" t="s">
        <v>6497</v>
      </c>
      <c r="K1433" s="1" t="s">
        <v>6496</v>
      </c>
    </row>
    <row r="1434" spans="1:11" ht="21" x14ac:dyDescent="0.25">
      <c r="A1434" s="11" t="str">
        <f>HYPERLINK("https://rth.dk/resources/bsgatlas/details.php?id=BSGatlas-transcript-1433","BSGatlas-transcript-1433")</f>
        <v>BSGatlas-transcript-1433</v>
      </c>
      <c r="B1434" s="1" t="s">
        <v>6498</v>
      </c>
      <c r="C1434" s="3">
        <v>1268275</v>
      </c>
      <c r="D1434" s="3">
        <v>1269651</v>
      </c>
      <c r="E1434" s="1" t="s">
        <v>9</v>
      </c>
      <c r="F1434" s="1">
        <v>1</v>
      </c>
      <c r="G1434" s="1" t="s">
        <v>4372</v>
      </c>
      <c r="H1434" s="1">
        <v>68</v>
      </c>
      <c r="I1434" s="1" t="s">
        <v>4386</v>
      </c>
      <c r="J1434" s="1" t="s">
        <v>6499</v>
      </c>
      <c r="K1434" s="1" t="s">
        <v>6500</v>
      </c>
    </row>
    <row r="1435" spans="1:11" ht="21" x14ac:dyDescent="0.25">
      <c r="A1435" s="11" t="str">
        <f>HYPERLINK("https://rth.dk/resources/bsgatlas/details.php?id=BSGatlas-transcript-1434","BSGatlas-transcript-1434")</f>
        <v>BSGatlas-transcript-1434</v>
      </c>
      <c r="B1435" s="1" t="s">
        <v>1334</v>
      </c>
      <c r="C1435" s="3">
        <v>1269642</v>
      </c>
      <c r="D1435" s="3">
        <v>1270125</v>
      </c>
      <c r="E1435" s="1" t="s">
        <v>13</v>
      </c>
      <c r="F1435" s="1">
        <v>0</v>
      </c>
      <c r="G1435" s="1" t="s">
        <v>4372</v>
      </c>
      <c r="H1435" s="1" t="s">
        <v>4372</v>
      </c>
      <c r="I1435" s="1" t="s">
        <v>4373</v>
      </c>
      <c r="J1435" s="1" t="s">
        <v>6501</v>
      </c>
      <c r="K1435" s="1" t="s">
        <v>6502</v>
      </c>
    </row>
    <row r="1436" spans="1:11" ht="21" x14ac:dyDescent="0.25">
      <c r="A1436" s="11" t="str">
        <f>HYPERLINK("https://rth.dk/resources/bsgatlas/details.php?id=BSGatlas-transcript-1435","BSGatlas-transcript-1435")</f>
        <v>BSGatlas-transcript-1435</v>
      </c>
      <c r="B1436" s="1" t="s">
        <v>1334</v>
      </c>
      <c r="C1436" s="3">
        <v>1269642</v>
      </c>
      <c r="D1436" s="3">
        <v>1270583</v>
      </c>
      <c r="E1436" s="1" t="s">
        <v>13</v>
      </c>
      <c r="F1436" s="1">
        <v>0</v>
      </c>
      <c r="G1436" s="1" t="s">
        <v>4372</v>
      </c>
      <c r="H1436" s="1" t="s">
        <v>4372</v>
      </c>
      <c r="I1436" s="1" t="s">
        <v>4373</v>
      </c>
      <c r="J1436" s="1" t="s">
        <v>6503</v>
      </c>
      <c r="K1436" s="1" t="s">
        <v>6502</v>
      </c>
    </row>
    <row r="1437" spans="1:11" ht="21" x14ac:dyDescent="0.25">
      <c r="A1437" s="11" t="str">
        <f>HYPERLINK("https://rth.dk/resources/bsgatlas/details.php?id=BSGatlas-transcript-1436","BSGatlas-transcript-1436")</f>
        <v>BSGatlas-transcript-1436</v>
      </c>
      <c r="B1437" s="1" t="s">
        <v>1335</v>
      </c>
      <c r="C1437" s="3">
        <v>1270555</v>
      </c>
      <c r="D1437" s="3">
        <v>1272577</v>
      </c>
      <c r="E1437" s="1" t="s">
        <v>9</v>
      </c>
      <c r="F1437" s="1">
        <v>0</v>
      </c>
      <c r="G1437" s="1" t="s">
        <v>4372</v>
      </c>
      <c r="H1437" s="1" t="s">
        <v>4372</v>
      </c>
      <c r="I1437" s="1" t="s">
        <v>4397</v>
      </c>
      <c r="J1437" s="1" t="s">
        <v>6504</v>
      </c>
      <c r="K1437" s="1" t="s">
        <v>6505</v>
      </c>
    </row>
    <row r="1438" spans="1:11" ht="21" x14ac:dyDescent="0.25">
      <c r="A1438" s="11" t="str">
        <f>HYPERLINK("https://rth.dk/resources/bsgatlas/details.php?id=BSGatlas-transcript-1437","BSGatlas-transcript-1437")</f>
        <v>BSGatlas-transcript-1437</v>
      </c>
      <c r="B1438" s="1" t="s">
        <v>6506</v>
      </c>
      <c r="C1438" s="3">
        <v>1272683</v>
      </c>
      <c r="D1438" s="3">
        <v>1276291</v>
      </c>
      <c r="E1438" s="1" t="s">
        <v>9</v>
      </c>
      <c r="F1438" s="1">
        <v>1</v>
      </c>
      <c r="G1438" s="1">
        <v>43</v>
      </c>
      <c r="H1438" s="1" t="s">
        <v>4372</v>
      </c>
      <c r="I1438" s="1" t="s">
        <v>4397</v>
      </c>
      <c r="J1438" s="1" t="s">
        <v>6507</v>
      </c>
      <c r="K1438" s="1" t="s">
        <v>6508</v>
      </c>
    </row>
    <row r="1439" spans="1:11" ht="21" x14ac:dyDescent="0.25">
      <c r="A1439" s="11" t="str">
        <f>HYPERLINK("https://rth.dk/resources/bsgatlas/details.php?id=BSGatlas-transcript-1438","BSGatlas-transcript-1438")</f>
        <v>BSGatlas-transcript-1438</v>
      </c>
      <c r="B1439" s="1" t="s">
        <v>1338</v>
      </c>
      <c r="C1439" s="3">
        <v>1275740</v>
      </c>
      <c r="D1439" s="3">
        <v>1276291</v>
      </c>
      <c r="E1439" s="1" t="s">
        <v>9</v>
      </c>
      <c r="F1439" s="1">
        <v>0</v>
      </c>
      <c r="G1439" s="1" t="s">
        <v>4372</v>
      </c>
      <c r="H1439" s="1" t="s">
        <v>4372</v>
      </c>
      <c r="I1439" s="1" t="s">
        <v>4377</v>
      </c>
      <c r="J1439" s="1" t="s">
        <v>6509</v>
      </c>
      <c r="K1439" s="1" t="s">
        <v>6508</v>
      </c>
    </row>
    <row r="1440" spans="1:11" ht="21" x14ac:dyDescent="0.25">
      <c r="A1440" s="11" t="str">
        <f>HYPERLINK("https://rth.dk/resources/bsgatlas/details.php?id=BSGatlas-transcript-1439","BSGatlas-transcript-1439")</f>
        <v>BSGatlas-transcript-1439</v>
      </c>
      <c r="B1440" s="1" t="s">
        <v>1339</v>
      </c>
      <c r="C1440" s="3">
        <v>1276337</v>
      </c>
      <c r="D1440" s="3">
        <v>1276874</v>
      </c>
      <c r="E1440" s="1" t="s">
        <v>13</v>
      </c>
      <c r="F1440" s="1">
        <v>0</v>
      </c>
      <c r="G1440" s="1" t="s">
        <v>4372</v>
      </c>
      <c r="H1440" s="1" t="s">
        <v>4372</v>
      </c>
      <c r="I1440" s="1" t="s">
        <v>4386</v>
      </c>
      <c r="J1440" s="1" t="s">
        <v>6510</v>
      </c>
      <c r="K1440" s="1" t="s">
        <v>6511</v>
      </c>
    </row>
    <row r="1441" spans="1:11" ht="21" x14ac:dyDescent="0.25">
      <c r="A1441" s="11" t="str">
        <f>HYPERLINK("https://rth.dk/resources/bsgatlas/details.php?id=BSGatlas-transcript-1440","BSGatlas-transcript-1440")</f>
        <v>BSGatlas-transcript-1440</v>
      </c>
      <c r="B1441" s="1" t="s">
        <v>1340</v>
      </c>
      <c r="C1441" s="3">
        <v>1276981</v>
      </c>
      <c r="D1441" s="3">
        <v>1277493</v>
      </c>
      <c r="E1441" s="1" t="s">
        <v>13</v>
      </c>
      <c r="F1441" s="1">
        <v>0</v>
      </c>
      <c r="G1441" s="1" t="s">
        <v>4372</v>
      </c>
      <c r="H1441" s="1" t="s">
        <v>4372</v>
      </c>
      <c r="I1441" s="1" t="s">
        <v>4373</v>
      </c>
      <c r="J1441" s="1" t="s">
        <v>6512</v>
      </c>
      <c r="K1441" s="1" t="s">
        <v>6513</v>
      </c>
    </row>
    <row r="1442" spans="1:11" ht="21" x14ac:dyDescent="0.25">
      <c r="A1442" s="11" t="str">
        <f>HYPERLINK("https://rth.dk/resources/bsgatlas/details.php?id=BSGatlas-transcript-1441","BSGatlas-transcript-1441")</f>
        <v>BSGatlas-transcript-1441</v>
      </c>
      <c r="B1442" s="1" t="s">
        <v>1341</v>
      </c>
      <c r="C1442" s="3">
        <v>1277633</v>
      </c>
      <c r="D1442" s="3">
        <v>1278186</v>
      </c>
      <c r="E1442" s="1" t="s">
        <v>9</v>
      </c>
      <c r="F1442" s="1">
        <v>0</v>
      </c>
      <c r="G1442" s="1" t="s">
        <v>4372</v>
      </c>
      <c r="H1442" s="1" t="s">
        <v>4372</v>
      </c>
      <c r="I1442" s="1" t="s">
        <v>4397</v>
      </c>
      <c r="J1442" s="1" t="s">
        <v>6514</v>
      </c>
      <c r="K1442" s="1" t="s">
        <v>6515</v>
      </c>
    </row>
    <row r="1443" spans="1:11" ht="21" x14ac:dyDescent="0.25">
      <c r="A1443" s="11" t="str">
        <f>HYPERLINK("https://rth.dk/resources/bsgatlas/details.php?id=BSGatlas-transcript-1442","BSGatlas-transcript-1442")</f>
        <v>BSGatlas-transcript-1442</v>
      </c>
      <c r="B1443" s="1" t="s">
        <v>1342</v>
      </c>
      <c r="C1443" s="3">
        <v>1278205</v>
      </c>
      <c r="D1443" s="3">
        <v>1278429</v>
      </c>
      <c r="E1443" s="1" t="s">
        <v>13</v>
      </c>
      <c r="F1443" s="1">
        <v>0</v>
      </c>
      <c r="G1443" s="1" t="s">
        <v>4372</v>
      </c>
      <c r="H1443" s="1" t="s">
        <v>4372</v>
      </c>
      <c r="I1443" s="1" t="s">
        <v>4386</v>
      </c>
      <c r="J1443" s="1" t="s">
        <v>6516</v>
      </c>
      <c r="K1443" s="1" t="s">
        <v>6517</v>
      </c>
    </row>
    <row r="1444" spans="1:11" ht="21" x14ac:dyDescent="0.25">
      <c r="A1444" s="11" t="str">
        <f>HYPERLINK("https://rth.dk/resources/bsgatlas/details.php?id=BSGatlas-transcript-1443","BSGatlas-transcript-1443")</f>
        <v>BSGatlas-transcript-1443</v>
      </c>
      <c r="B1444" s="1" t="s">
        <v>1343</v>
      </c>
      <c r="C1444" s="3">
        <v>1278565</v>
      </c>
      <c r="D1444" s="3">
        <v>1278944</v>
      </c>
      <c r="E1444" s="1" t="s">
        <v>13</v>
      </c>
      <c r="F1444" s="1">
        <v>0</v>
      </c>
      <c r="G1444" s="1" t="s">
        <v>4372</v>
      </c>
      <c r="H1444" s="1" t="s">
        <v>4372</v>
      </c>
      <c r="I1444" s="1" t="s">
        <v>4377</v>
      </c>
      <c r="J1444" s="1" t="s">
        <v>6518</v>
      </c>
      <c r="K1444" s="1" t="s">
        <v>318</v>
      </c>
    </row>
    <row r="1445" spans="1:11" ht="21" x14ac:dyDescent="0.25">
      <c r="A1445" s="11" t="str">
        <f>HYPERLINK("https://rth.dk/resources/bsgatlas/details.php?id=BSGatlas-transcript-1444","BSGatlas-transcript-1444")</f>
        <v>BSGatlas-transcript-1444</v>
      </c>
      <c r="B1445" s="1" t="s">
        <v>1344</v>
      </c>
      <c r="C1445" s="3">
        <v>1279031</v>
      </c>
      <c r="D1445" s="3">
        <v>1279381</v>
      </c>
      <c r="E1445" s="1" t="s">
        <v>9</v>
      </c>
      <c r="F1445" s="1">
        <v>0</v>
      </c>
      <c r="G1445" s="1" t="s">
        <v>4372</v>
      </c>
      <c r="H1445" s="1" t="s">
        <v>4372</v>
      </c>
      <c r="I1445" s="1" t="s">
        <v>4377</v>
      </c>
      <c r="J1445" s="1" t="s">
        <v>6519</v>
      </c>
      <c r="K1445" s="1" t="s">
        <v>318</v>
      </c>
    </row>
    <row r="1446" spans="1:11" ht="21" x14ac:dyDescent="0.25">
      <c r="A1446" s="11" t="str">
        <f>HYPERLINK("https://rth.dk/resources/bsgatlas/details.php?id=BSGatlas-transcript-1445","BSGatlas-transcript-1445")</f>
        <v>BSGatlas-transcript-1445</v>
      </c>
      <c r="B1446" s="1" t="s">
        <v>1345</v>
      </c>
      <c r="C1446" s="3">
        <v>1279514</v>
      </c>
      <c r="D1446" s="3">
        <v>1280503</v>
      </c>
      <c r="E1446" s="1" t="s">
        <v>13</v>
      </c>
      <c r="F1446" s="1">
        <v>0</v>
      </c>
      <c r="G1446" s="1" t="s">
        <v>4372</v>
      </c>
      <c r="H1446" s="1" t="s">
        <v>4372</v>
      </c>
      <c r="I1446" s="1" t="s">
        <v>4386</v>
      </c>
      <c r="J1446" s="1" t="s">
        <v>6520</v>
      </c>
      <c r="K1446" s="1" t="s">
        <v>318</v>
      </c>
    </row>
    <row r="1447" spans="1:11" ht="21" x14ac:dyDescent="0.25">
      <c r="A1447" s="11" t="str">
        <f>HYPERLINK("https://rth.dk/resources/bsgatlas/details.php?id=BSGatlas-transcript-1446","BSGatlas-transcript-1446")</f>
        <v>BSGatlas-transcript-1446</v>
      </c>
      <c r="B1447" s="1" t="s">
        <v>1346</v>
      </c>
      <c r="C1447" s="3">
        <v>1280574</v>
      </c>
      <c r="D1447" s="3">
        <v>1280903</v>
      </c>
      <c r="E1447" s="1" t="s">
        <v>13</v>
      </c>
      <c r="F1447" s="1">
        <v>0</v>
      </c>
      <c r="G1447" s="1" t="s">
        <v>4372</v>
      </c>
      <c r="H1447" s="1" t="s">
        <v>4372</v>
      </c>
      <c r="I1447" s="1" t="s">
        <v>4377</v>
      </c>
      <c r="J1447" s="1" t="s">
        <v>6521</v>
      </c>
      <c r="K1447" s="1" t="s">
        <v>6522</v>
      </c>
    </row>
    <row r="1448" spans="1:11" ht="21" x14ac:dyDescent="0.25">
      <c r="A1448" s="11" t="str">
        <f>HYPERLINK("https://rth.dk/resources/bsgatlas/details.php?id=BSGatlas-transcript-1447","BSGatlas-transcript-1447")</f>
        <v>BSGatlas-transcript-1447</v>
      </c>
      <c r="B1448" s="1" t="s">
        <v>1346</v>
      </c>
      <c r="C1448" s="3">
        <v>1280574</v>
      </c>
      <c r="D1448" s="3">
        <v>1281012</v>
      </c>
      <c r="E1448" s="1" t="s">
        <v>13</v>
      </c>
      <c r="F1448" s="1">
        <v>0</v>
      </c>
      <c r="G1448" s="1" t="s">
        <v>4372</v>
      </c>
      <c r="H1448" s="1" t="s">
        <v>4372</v>
      </c>
      <c r="I1448" s="1" t="s">
        <v>4377</v>
      </c>
      <c r="J1448" s="1" t="s">
        <v>6523</v>
      </c>
      <c r="K1448" s="1" t="s">
        <v>6522</v>
      </c>
    </row>
    <row r="1449" spans="1:11" ht="21" x14ac:dyDescent="0.25">
      <c r="A1449" s="11" t="str">
        <f>HYPERLINK("https://rth.dk/resources/bsgatlas/details.php?id=BSGatlas-transcript-1448","BSGatlas-transcript-1448")</f>
        <v>BSGatlas-transcript-1448</v>
      </c>
      <c r="B1449" s="1" t="s">
        <v>6524</v>
      </c>
      <c r="C1449" s="3">
        <v>1280574</v>
      </c>
      <c r="D1449" s="3">
        <v>1281012</v>
      </c>
      <c r="E1449" s="1" t="s">
        <v>13</v>
      </c>
      <c r="F1449" s="1">
        <v>0</v>
      </c>
      <c r="G1449" s="1" t="s">
        <v>4372</v>
      </c>
      <c r="H1449" s="1" t="s">
        <v>4372</v>
      </c>
      <c r="I1449" s="1" t="s">
        <v>4397</v>
      </c>
      <c r="J1449" s="1" t="s">
        <v>6523</v>
      </c>
      <c r="K1449" s="1" t="s">
        <v>6522</v>
      </c>
    </row>
    <row r="1450" spans="1:11" ht="21" x14ac:dyDescent="0.25">
      <c r="A1450" s="11" t="str">
        <f>HYPERLINK("https://rth.dk/resources/bsgatlas/details.php?id=BSGatlas-transcript-1449","BSGatlas-transcript-1449")</f>
        <v>BSGatlas-transcript-1449</v>
      </c>
      <c r="B1450" s="1" t="s">
        <v>1347</v>
      </c>
      <c r="C1450" s="3">
        <v>1280892</v>
      </c>
      <c r="D1450" s="3">
        <v>1282531</v>
      </c>
      <c r="E1450" s="1" t="s">
        <v>9</v>
      </c>
      <c r="F1450" s="1">
        <v>0</v>
      </c>
      <c r="G1450" s="1" t="s">
        <v>4372</v>
      </c>
      <c r="H1450" s="1" t="s">
        <v>4372</v>
      </c>
      <c r="I1450" s="1" t="s">
        <v>4397</v>
      </c>
      <c r="J1450" s="1" t="s">
        <v>6525</v>
      </c>
      <c r="K1450" s="1" t="s">
        <v>6526</v>
      </c>
    </row>
    <row r="1451" spans="1:11" ht="21" x14ac:dyDescent="0.25">
      <c r="A1451" s="11" t="str">
        <f>HYPERLINK("https://rth.dk/resources/bsgatlas/details.php?id=BSGatlas-transcript-1450","BSGatlas-transcript-1450")</f>
        <v>BSGatlas-transcript-1450</v>
      </c>
      <c r="B1451" s="1" t="s">
        <v>1347</v>
      </c>
      <c r="C1451" s="3">
        <v>1281023</v>
      </c>
      <c r="D1451" s="3">
        <v>1282531</v>
      </c>
      <c r="E1451" s="1" t="s">
        <v>9</v>
      </c>
      <c r="F1451" s="1">
        <v>0</v>
      </c>
      <c r="G1451" s="1" t="s">
        <v>4372</v>
      </c>
      <c r="H1451" s="1" t="s">
        <v>4372</v>
      </c>
      <c r="I1451" s="1" t="s">
        <v>4397</v>
      </c>
      <c r="J1451" s="1" t="s">
        <v>6527</v>
      </c>
      <c r="K1451" s="1" t="s">
        <v>6526</v>
      </c>
    </row>
    <row r="1452" spans="1:11" ht="21" x14ac:dyDescent="0.25">
      <c r="A1452" s="11" t="str">
        <f>HYPERLINK("https://rth.dk/resources/bsgatlas/details.php?id=BSGatlas-transcript-1451","BSGatlas-transcript-1451")</f>
        <v>BSGatlas-transcript-1451</v>
      </c>
      <c r="B1452" s="1" t="s">
        <v>1348</v>
      </c>
      <c r="C1452" s="3">
        <v>1282526</v>
      </c>
      <c r="D1452" s="3">
        <v>1283084</v>
      </c>
      <c r="E1452" s="1" t="s">
        <v>13</v>
      </c>
      <c r="F1452" s="1">
        <v>0</v>
      </c>
      <c r="G1452" s="1" t="s">
        <v>4372</v>
      </c>
      <c r="H1452" s="1" t="s">
        <v>4372</v>
      </c>
      <c r="I1452" s="1" t="s">
        <v>4373</v>
      </c>
      <c r="J1452" s="1" t="s">
        <v>6528</v>
      </c>
      <c r="K1452" s="1" t="s">
        <v>6529</v>
      </c>
    </row>
    <row r="1453" spans="1:11" ht="21" x14ac:dyDescent="0.25">
      <c r="A1453" s="11" t="str">
        <f>HYPERLINK("https://rth.dk/resources/bsgatlas/details.php?id=BSGatlas-transcript-1452","BSGatlas-transcript-1452")</f>
        <v>BSGatlas-transcript-1452</v>
      </c>
      <c r="B1453" s="1" t="s">
        <v>1349</v>
      </c>
      <c r="C1453" s="3">
        <v>1283111</v>
      </c>
      <c r="D1453" s="3">
        <v>1283357</v>
      </c>
      <c r="E1453" s="1" t="s">
        <v>13</v>
      </c>
      <c r="F1453" s="1">
        <v>0</v>
      </c>
      <c r="G1453" s="1" t="s">
        <v>4372</v>
      </c>
      <c r="H1453" s="1" t="s">
        <v>4372</v>
      </c>
      <c r="I1453" s="1" t="s">
        <v>4373</v>
      </c>
      <c r="J1453" s="1" t="s">
        <v>6530</v>
      </c>
      <c r="K1453" s="1" t="s">
        <v>6531</v>
      </c>
    </row>
    <row r="1454" spans="1:11" ht="21" x14ac:dyDescent="0.25">
      <c r="A1454" s="11" t="str">
        <f>HYPERLINK("https://rth.dk/resources/bsgatlas/details.php?id=BSGatlas-transcript-1453","BSGatlas-transcript-1453")</f>
        <v>BSGatlas-transcript-1453</v>
      </c>
      <c r="B1454" s="1" t="s">
        <v>1350</v>
      </c>
      <c r="C1454" s="3">
        <v>1283463</v>
      </c>
      <c r="D1454" s="3">
        <v>1284362</v>
      </c>
      <c r="E1454" s="1" t="s">
        <v>9</v>
      </c>
      <c r="F1454" s="1">
        <v>0</v>
      </c>
      <c r="G1454" s="1" t="s">
        <v>4372</v>
      </c>
      <c r="H1454" s="1" t="s">
        <v>4372</v>
      </c>
      <c r="I1454" s="1" t="s">
        <v>4547</v>
      </c>
      <c r="J1454" s="1" t="s">
        <v>318</v>
      </c>
      <c r="K1454" s="1" t="s">
        <v>318</v>
      </c>
    </row>
    <row r="1455" spans="1:11" ht="21" x14ac:dyDescent="0.25">
      <c r="A1455" s="11" t="str">
        <f>HYPERLINK("https://rth.dk/resources/bsgatlas/details.php?id=BSGatlas-transcript-1454","BSGatlas-transcript-1454")</f>
        <v>BSGatlas-transcript-1454</v>
      </c>
      <c r="B1455" s="1" t="s">
        <v>1351</v>
      </c>
      <c r="C1455" s="3">
        <v>1284371</v>
      </c>
      <c r="D1455" s="3">
        <v>1284817</v>
      </c>
      <c r="E1455" s="1" t="s">
        <v>13</v>
      </c>
      <c r="F1455" s="1">
        <v>0</v>
      </c>
      <c r="G1455" s="1" t="s">
        <v>4372</v>
      </c>
      <c r="H1455" s="1" t="s">
        <v>4372</v>
      </c>
      <c r="I1455" s="1" t="s">
        <v>4386</v>
      </c>
      <c r="J1455" s="1" t="s">
        <v>6532</v>
      </c>
      <c r="K1455" s="1" t="s">
        <v>6533</v>
      </c>
    </row>
    <row r="1456" spans="1:11" ht="21" x14ac:dyDescent="0.25">
      <c r="A1456" s="11" t="str">
        <f>HYPERLINK("https://rth.dk/resources/bsgatlas/details.php?id=BSGatlas-transcript-1455","BSGatlas-transcript-1455")</f>
        <v>BSGatlas-transcript-1455</v>
      </c>
      <c r="B1456" s="1" t="s">
        <v>6534</v>
      </c>
      <c r="C1456" s="3">
        <v>1284371</v>
      </c>
      <c r="D1456" s="3">
        <v>1285479</v>
      </c>
      <c r="E1456" s="1" t="s">
        <v>13</v>
      </c>
      <c r="F1456" s="1">
        <v>1</v>
      </c>
      <c r="G1456" s="1">
        <v>35</v>
      </c>
      <c r="H1456" s="1" t="s">
        <v>4372</v>
      </c>
      <c r="I1456" s="1" t="s">
        <v>4386</v>
      </c>
      <c r="J1456" s="1" t="s">
        <v>6535</v>
      </c>
      <c r="K1456" s="1" t="s">
        <v>6533</v>
      </c>
    </row>
    <row r="1457" spans="1:11" ht="21" x14ac:dyDescent="0.25">
      <c r="A1457" s="11" t="str">
        <f>HYPERLINK("https://rth.dk/resources/bsgatlas/details.php?id=BSGatlas-transcript-1456","BSGatlas-transcript-1456")</f>
        <v>BSGatlas-transcript-1456</v>
      </c>
      <c r="B1457" s="1" t="s">
        <v>1352</v>
      </c>
      <c r="C1457" s="3">
        <v>1284830</v>
      </c>
      <c r="D1457" s="3">
        <v>1285479</v>
      </c>
      <c r="E1457" s="1" t="s">
        <v>13</v>
      </c>
      <c r="F1457" s="1">
        <v>0</v>
      </c>
      <c r="G1457" s="1" t="s">
        <v>4372</v>
      </c>
      <c r="H1457" s="1" t="s">
        <v>4372</v>
      </c>
      <c r="I1457" s="1" t="s">
        <v>4373</v>
      </c>
      <c r="J1457" s="1" t="s">
        <v>6535</v>
      </c>
      <c r="K1457" s="1" t="s">
        <v>6536</v>
      </c>
    </row>
    <row r="1458" spans="1:11" ht="21" x14ac:dyDescent="0.25">
      <c r="A1458" s="11" t="str">
        <f>HYPERLINK("https://rth.dk/resources/bsgatlas/details.php?id=BSGatlas-transcript-1457","BSGatlas-transcript-1457")</f>
        <v>BSGatlas-transcript-1457</v>
      </c>
      <c r="B1458" s="1" t="s">
        <v>6537</v>
      </c>
      <c r="C1458" s="3">
        <v>1285542</v>
      </c>
      <c r="D1458" s="3">
        <v>1289116</v>
      </c>
      <c r="E1458" s="1" t="s">
        <v>9</v>
      </c>
      <c r="F1458" s="1">
        <v>0</v>
      </c>
      <c r="G1458" s="1" t="s">
        <v>4372</v>
      </c>
      <c r="H1458" s="1" t="s">
        <v>4372</v>
      </c>
      <c r="I1458" s="1" t="s">
        <v>4386</v>
      </c>
      <c r="J1458" s="1" t="s">
        <v>6538</v>
      </c>
      <c r="K1458" s="1" t="s">
        <v>6539</v>
      </c>
    </row>
    <row r="1459" spans="1:11" ht="21" x14ac:dyDescent="0.25">
      <c r="A1459" s="11" t="str">
        <f>HYPERLINK("https://rth.dk/resources/bsgatlas/details.php?id=BSGatlas-transcript-1458","BSGatlas-transcript-1458")</f>
        <v>BSGatlas-transcript-1458</v>
      </c>
      <c r="B1459" s="1" t="s">
        <v>1355</v>
      </c>
      <c r="C1459" s="3">
        <v>1289259</v>
      </c>
      <c r="D1459" s="3">
        <v>1289939</v>
      </c>
      <c r="E1459" s="1" t="s">
        <v>9</v>
      </c>
      <c r="F1459" s="1">
        <v>0</v>
      </c>
      <c r="G1459" s="1" t="s">
        <v>4372</v>
      </c>
      <c r="H1459" s="1" t="s">
        <v>4372</v>
      </c>
      <c r="I1459" s="1" t="s">
        <v>4386</v>
      </c>
      <c r="J1459" s="1" t="s">
        <v>6540</v>
      </c>
      <c r="K1459" s="1" t="s">
        <v>6541</v>
      </c>
    </row>
    <row r="1460" spans="1:11" ht="21" x14ac:dyDescent="0.25">
      <c r="A1460" s="11" t="str">
        <f>HYPERLINK("https://rth.dk/resources/bsgatlas/details.php?id=BSGatlas-transcript-1459","BSGatlas-transcript-1459")</f>
        <v>BSGatlas-transcript-1459</v>
      </c>
      <c r="B1460" s="1" t="s">
        <v>6542</v>
      </c>
      <c r="C1460" s="3">
        <v>1289259</v>
      </c>
      <c r="D1460" s="3">
        <v>1290668</v>
      </c>
      <c r="E1460" s="1" t="s">
        <v>9</v>
      </c>
      <c r="F1460" s="1">
        <v>1</v>
      </c>
      <c r="G1460" s="1">
        <v>40</v>
      </c>
      <c r="H1460" s="1">
        <v>25</v>
      </c>
      <c r="I1460" s="1" t="s">
        <v>4386</v>
      </c>
      <c r="J1460" s="1" t="s">
        <v>6540</v>
      </c>
      <c r="K1460" s="1" t="s">
        <v>6543</v>
      </c>
    </row>
    <row r="1461" spans="1:11" ht="21" x14ac:dyDescent="0.25">
      <c r="A1461" s="11" t="str">
        <f>HYPERLINK("https://rth.dk/resources/bsgatlas/details.php?id=BSGatlas-transcript-1460","BSGatlas-transcript-1460")</f>
        <v>BSGatlas-transcript-1460</v>
      </c>
      <c r="B1461" s="1" t="s">
        <v>1357</v>
      </c>
      <c r="C1461" s="3">
        <v>1289285</v>
      </c>
      <c r="D1461" s="3">
        <v>1291001</v>
      </c>
      <c r="E1461" s="1" t="s">
        <v>13</v>
      </c>
      <c r="F1461" s="1">
        <v>0</v>
      </c>
      <c r="G1461" s="1" t="s">
        <v>4372</v>
      </c>
      <c r="H1461" s="1" t="s">
        <v>4372</v>
      </c>
      <c r="I1461" s="1" t="s">
        <v>4397</v>
      </c>
      <c r="J1461" s="1" t="s">
        <v>6544</v>
      </c>
      <c r="K1461" s="1" t="s">
        <v>6545</v>
      </c>
    </row>
    <row r="1462" spans="1:11" ht="21" x14ac:dyDescent="0.25">
      <c r="A1462" s="11" t="str">
        <f>HYPERLINK("https://rth.dk/resources/bsgatlas/details.php?id=BSGatlas-transcript-1461","BSGatlas-transcript-1461")</f>
        <v>BSGatlas-transcript-1461</v>
      </c>
      <c r="B1462" s="1" t="s">
        <v>1357</v>
      </c>
      <c r="C1462" s="3">
        <v>1289285</v>
      </c>
      <c r="D1462" s="3">
        <v>1291419</v>
      </c>
      <c r="E1462" s="1" t="s">
        <v>13</v>
      </c>
      <c r="F1462" s="1">
        <v>0</v>
      </c>
      <c r="G1462" s="1" t="s">
        <v>4372</v>
      </c>
      <c r="H1462" s="1" t="s">
        <v>4372</v>
      </c>
      <c r="I1462" s="1" t="s">
        <v>4397</v>
      </c>
      <c r="J1462" s="1" t="s">
        <v>6546</v>
      </c>
      <c r="K1462" s="1" t="s">
        <v>6545</v>
      </c>
    </row>
    <row r="1463" spans="1:11" ht="21" x14ac:dyDescent="0.25">
      <c r="A1463" s="11" t="str">
        <f>HYPERLINK("https://rth.dk/resources/bsgatlas/details.php?id=BSGatlas-transcript-1462","BSGatlas-transcript-1462")</f>
        <v>BSGatlas-transcript-1462</v>
      </c>
      <c r="B1463" s="1" t="s">
        <v>1357</v>
      </c>
      <c r="C1463" s="3">
        <v>1290627</v>
      </c>
      <c r="D1463" s="3">
        <v>1291001</v>
      </c>
      <c r="E1463" s="1" t="s">
        <v>13</v>
      </c>
      <c r="F1463" s="1">
        <v>0</v>
      </c>
      <c r="G1463" s="1" t="s">
        <v>4372</v>
      </c>
      <c r="H1463" s="1" t="s">
        <v>4372</v>
      </c>
      <c r="I1463" s="1" t="s">
        <v>4397</v>
      </c>
      <c r="J1463" s="1" t="s">
        <v>6544</v>
      </c>
      <c r="K1463" s="1" t="s">
        <v>6547</v>
      </c>
    </row>
    <row r="1464" spans="1:11" ht="21" x14ac:dyDescent="0.25">
      <c r="A1464" s="11" t="str">
        <f>HYPERLINK("https://rth.dk/resources/bsgatlas/details.php?id=BSGatlas-transcript-1463","BSGatlas-transcript-1463")</f>
        <v>BSGatlas-transcript-1463</v>
      </c>
      <c r="B1464" s="1" t="s">
        <v>1357</v>
      </c>
      <c r="C1464" s="3">
        <v>1290627</v>
      </c>
      <c r="D1464" s="3">
        <v>1291419</v>
      </c>
      <c r="E1464" s="1" t="s">
        <v>13</v>
      </c>
      <c r="F1464" s="1">
        <v>0</v>
      </c>
      <c r="G1464" s="1" t="s">
        <v>4372</v>
      </c>
      <c r="H1464" s="1" t="s">
        <v>4372</v>
      </c>
      <c r="I1464" s="1" t="s">
        <v>4397</v>
      </c>
      <c r="J1464" s="1" t="s">
        <v>6546</v>
      </c>
      <c r="K1464" s="1" t="s">
        <v>6547</v>
      </c>
    </row>
    <row r="1465" spans="1:11" ht="21" x14ac:dyDescent="0.25">
      <c r="A1465" s="11" t="str">
        <f>HYPERLINK("https://rth.dk/resources/bsgatlas/details.php?id=BSGatlas-transcript-1464","BSGatlas-transcript-1464")</f>
        <v>BSGatlas-transcript-1464</v>
      </c>
      <c r="B1465" s="1" t="s">
        <v>6548</v>
      </c>
      <c r="C1465" s="3">
        <v>1291171</v>
      </c>
      <c r="D1465" s="3">
        <v>1293735</v>
      </c>
      <c r="E1465" s="1" t="s">
        <v>9</v>
      </c>
      <c r="F1465" s="1">
        <v>1</v>
      </c>
      <c r="G1465" s="1">
        <v>174</v>
      </c>
      <c r="H1465" s="1" t="s">
        <v>4372</v>
      </c>
      <c r="I1465" s="1" t="s">
        <v>4386</v>
      </c>
      <c r="J1465" s="1" t="s">
        <v>6549</v>
      </c>
      <c r="K1465" s="1" t="s">
        <v>318</v>
      </c>
    </row>
    <row r="1466" spans="1:11" ht="21" x14ac:dyDescent="0.25">
      <c r="A1466" s="11" t="str">
        <f>HYPERLINK("https://rth.dk/resources/bsgatlas/details.php?id=BSGatlas-transcript-1465","BSGatlas-transcript-1465")</f>
        <v>BSGatlas-transcript-1465</v>
      </c>
      <c r="B1466" s="1" t="s">
        <v>1360</v>
      </c>
      <c r="C1466" s="3">
        <v>1293776</v>
      </c>
      <c r="D1466" s="3">
        <v>1293993</v>
      </c>
      <c r="E1466" s="1" t="s">
        <v>13</v>
      </c>
      <c r="F1466" s="1">
        <v>0</v>
      </c>
      <c r="G1466" s="1" t="s">
        <v>4372</v>
      </c>
      <c r="H1466" s="1" t="s">
        <v>4372</v>
      </c>
      <c r="I1466" s="1" t="s">
        <v>4397</v>
      </c>
      <c r="J1466" s="1" t="s">
        <v>6550</v>
      </c>
      <c r="K1466" s="1" t="s">
        <v>6551</v>
      </c>
    </row>
    <row r="1467" spans="1:11" ht="21" x14ac:dyDescent="0.25">
      <c r="A1467" s="11" t="str">
        <f>HYPERLINK("https://rth.dk/resources/bsgatlas/details.php?id=BSGatlas-transcript-1466","BSGatlas-transcript-1466")</f>
        <v>BSGatlas-transcript-1466</v>
      </c>
      <c r="B1467" s="1" t="s">
        <v>1360</v>
      </c>
      <c r="C1467" s="3">
        <v>1293776</v>
      </c>
      <c r="D1467" s="3">
        <v>1294103</v>
      </c>
      <c r="E1467" s="1" t="s">
        <v>13</v>
      </c>
      <c r="F1467" s="1">
        <v>0</v>
      </c>
      <c r="G1467" s="1" t="s">
        <v>4372</v>
      </c>
      <c r="H1467" s="1" t="s">
        <v>4372</v>
      </c>
      <c r="I1467" s="1" t="s">
        <v>4397</v>
      </c>
      <c r="J1467" s="1" t="s">
        <v>6552</v>
      </c>
      <c r="K1467" s="1" t="s">
        <v>6551</v>
      </c>
    </row>
    <row r="1468" spans="1:11" ht="21" x14ac:dyDescent="0.25">
      <c r="A1468" s="11" t="str">
        <f>HYPERLINK("https://rth.dk/resources/bsgatlas/details.php?id=BSGatlas-transcript-1467","BSGatlas-transcript-1467")</f>
        <v>BSGatlas-transcript-1467</v>
      </c>
      <c r="B1468" s="1" t="s">
        <v>1361</v>
      </c>
      <c r="C1468" s="3">
        <v>1294084</v>
      </c>
      <c r="D1468" s="3">
        <v>1294950</v>
      </c>
      <c r="E1468" s="1" t="s">
        <v>9</v>
      </c>
      <c r="F1468" s="1">
        <v>0</v>
      </c>
      <c r="G1468" s="1" t="s">
        <v>4372</v>
      </c>
      <c r="H1468" s="1" t="s">
        <v>4372</v>
      </c>
      <c r="I1468" s="1" t="s">
        <v>4397</v>
      </c>
      <c r="J1468" s="1" t="s">
        <v>6553</v>
      </c>
      <c r="K1468" s="1" t="s">
        <v>6554</v>
      </c>
    </row>
    <row r="1469" spans="1:11" ht="21" x14ac:dyDescent="0.25">
      <c r="A1469" s="11" t="str">
        <f>HYPERLINK("https://rth.dk/resources/bsgatlas/details.php?id=BSGatlas-transcript-1468","BSGatlas-transcript-1468")</f>
        <v>BSGatlas-transcript-1468</v>
      </c>
      <c r="B1469" s="1" t="s">
        <v>6555</v>
      </c>
      <c r="C1469" s="3">
        <v>1294996</v>
      </c>
      <c r="D1469" s="3">
        <v>1296500</v>
      </c>
      <c r="E1469" s="1" t="s">
        <v>13</v>
      </c>
      <c r="F1469" s="1">
        <v>0</v>
      </c>
      <c r="G1469" s="1" t="s">
        <v>4372</v>
      </c>
      <c r="H1469" s="1" t="s">
        <v>4372</v>
      </c>
      <c r="I1469" s="1" t="s">
        <v>4386</v>
      </c>
      <c r="J1469" s="1" t="s">
        <v>318</v>
      </c>
      <c r="K1469" s="1" t="s">
        <v>6556</v>
      </c>
    </row>
    <row r="1470" spans="1:11" ht="21" x14ac:dyDescent="0.25">
      <c r="A1470" s="11" t="str">
        <f>HYPERLINK("https://rth.dk/resources/bsgatlas/details.php?id=BSGatlas-transcript-1469","BSGatlas-transcript-1469")</f>
        <v>BSGatlas-transcript-1469</v>
      </c>
      <c r="B1470" s="1" t="s">
        <v>1364</v>
      </c>
      <c r="C1470" s="3">
        <v>1296620</v>
      </c>
      <c r="D1470" s="3">
        <v>1297641</v>
      </c>
      <c r="E1470" s="1" t="s">
        <v>13</v>
      </c>
      <c r="F1470" s="1">
        <v>0</v>
      </c>
      <c r="G1470" s="1" t="s">
        <v>4372</v>
      </c>
      <c r="H1470" s="1" t="s">
        <v>4372</v>
      </c>
      <c r="I1470" s="1" t="s">
        <v>4386</v>
      </c>
      <c r="J1470" s="1" t="s">
        <v>6557</v>
      </c>
      <c r="K1470" s="1" t="s">
        <v>6558</v>
      </c>
    </row>
    <row r="1471" spans="1:11" ht="21" x14ac:dyDescent="0.25">
      <c r="A1471" s="11" t="str">
        <f>HYPERLINK("https://rth.dk/resources/bsgatlas/details.php?id=BSGatlas-transcript-1470","BSGatlas-transcript-1470")</f>
        <v>BSGatlas-transcript-1470</v>
      </c>
      <c r="B1471" s="1" t="s">
        <v>6559</v>
      </c>
      <c r="C1471" s="3">
        <v>1297701</v>
      </c>
      <c r="D1471" s="3">
        <v>1300273</v>
      </c>
      <c r="E1471" s="1" t="s">
        <v>9</v>
      </c>
      <c r="F1471" s="1">
        <v>2</v>
      </c>
      <c r="G1471" s="1">
        <v>26</v>
      </c>
      <c r="H1471" s="1">
        <v>22</v>
      </c>
      <c r="I1471" s="1" t="s">
        <v>4386</v>
      </c>
      <c r="J1471" s="1" t="s">
        <v>6560</v>
      </c>
      <c r="K1471" s="1" t="s">
        <v>6561</v>
      </c>
    </row>
    <row r="1472" spans="1:11" ht="21" x14ac:dyDescent="0.25">
      <c r="A1472" s="11" t="str">
        <f>HYPERLINK("https://rth.dk/resources/bsgatlas/details.php?id=BSGatlas-transcript-1471","BSGatlas-transcript-1471")</f>
        <v>BSGatlas-transcript-1471</v>
      </c>
      <c r="B1472" s="1" t="s">
        <v>6562</v>
      </c>
      <c r="C1472" s="3">
        <v>1298355</v>
      </c>
      <c r="D1472" s="3">
        <v>1300273</v>
      </c>
      <c r="E1472" s="1" t="s">
        <v>9</v>
      </c>
      <c r="F1472" s="1">
        <v>1</v>
      </c>
      <c r="G1472" s="1">
        <v>258</v>
      </c>
      <c r="H1472" s="1">
        <v>22</v>
      </c>
      <c r="I1472" s="1" t="s">
        <v>4397</v>
      </c>
      <c r="J1472" s="1" t="s">
        <v>6563</v>
      </c>
      <c r="K1472" s="1" t="s">
        <v>6561</v>
      </c>
    </row>
    <row r="1473" spans="1:11" ht="21" x14ac:dyDescent="0.25">
      <c r="A1473" s="11" t="str">
        <f>HYPERLINK("https://rth.dk/resources/bsgatlas/details.php?id=BSGatlas-transcript-1472","BSGatlas-transcript-1472")</f>
        <v>BSGatlas-transcript-1472</v>
      </c>
      <c r="B1473" s="1" t="s">
        <v>6564</v>
      </c>
      <c r="C1473" s="3">
        <v>1300143</v>
      </c>
      <c r="D1473" s="3">
        <v>1309803</v>
      </c>
      <c r="E1473" s="1" t="s">
        <v>9</v>
      </c>
      <c r="F1473" s="1">
        <v>5</v>
      </c>
      <c r="G1473" s="1">
        <v>308</v>
      </c>
      <c r="H1473" s="1" t="s">
        <v>4372</v>
      </c>
      <c r="I1473" s="1" t="s">
        <v>4377</v>
      </c>
      <c r="J1473" s="1" t="s">
        <v>6565</v>
      </c>
      <c r="K1473" s="1" t="s">
        <v>6566</v>
      </c>
    </row>
    <row r="1474" spans="1:11" ht="21" x14ac:dyDescent="0.25">
      <c r="A1474" s="11" t="str">
        <f>HYPERLINK("https://rth.dk/resources/bsgatlas/details.php?id=BSGatlas-transcript-1473","BSGatlas-transcript-1473")</f>
        <v>BSGatlas-transcript-1473</v>
      </c>
      <c r="B1474" s="1" t="s">
        <v>6567</v>
      </c>
      <c r="C1474" s="3">
        <v>1300143</v>
      </c>
      <c r="D1474" s="3">
        <v>1312858</v>
      </c>
      <c r="E1474" s="1" t="s">
        <v>9</v>
      </c>
      <c r="F1474" s="1">
        <v>6</v>
      </c>
      <c r="G1474" s="1">
        <v>308</v>
      </c>
      <c r="H1474" s="1">
        <v>47</v>
      </c>
      <c r="I1474" s="1" t="s">
        <v>4373</v>
      </c>
      <c r="J1474" s="1" t="s">
        <v>6565</v>
      </c>
      <c r="K1474" s="1" t="s">
        <v>6568</v>
      </c>
    </row>
    <row r="1475" spans="1:11" ht="21" x14ac:dyDescent="0.25">
      <c r="A1475" s="11" t="str">
        <f>HYPERLINK("https://rth.dk/resources/bsgatlas/details.php?id=BSGatlas-transcript-1474","BSGatlas-transcript-1474")</f>
        <v>BSGatlas-transcript-1474</v>
      </c>
      <c r="B1475" s="1" t="s">
        <v>6564</v>
      </c>
      <c r="C1475" s="3">
        <v>1300397</v>
      </c>
      <c r="D1475" s="3">
        <v>1309803</v>
      </c>
      <c r="E1475" s="1" t="s">
        <v>9</v>
      </c>
      <c r="F1475" s="1">
        <v>5</v>
      </c>
      <c r="G1475" s="1">
        <v>54</v>
      </c>
      <c r="H1475" s="1" t="s">
        <v>4372</v>
      </c>
      <c r="I1475" s="1" t="s">
        <v>4377</v>
      </c>
      <c r="J1475" s="1" t="s">
        <v>6569</v>
      </c>
      <c r="K1475" s="1" t="s">
        <v>6566</v>
      </c>
    </row>
    <row r="1476" spans="1:11" ht="21" x14ac:dyDescent="0.25">
      <c r="A1476" s="11" t="str">
        <f>HYPERLINK("https://rth.dk/resources/bsgatlas/details.php?id=BSGatlas-transcript-1475","BSGatlas-transcript-1475")</f>
        <v>BSGatlas-transcript-1475</v>
      </c>
      <c r="B1476" s="1" t="s">
        <v>6567</v>
      </c>
      <c r="C1476" s="3">
        <v>1300397</v>
      </c>
      <c r="D1476" s="3">
        <v>1312858</v>
      </c>
      <c r="E1476" s="1" t="s">
        <v>9</v>
      </c>
      <c r="F1476" s="1">
        <v>6</v>
      </c>
      <c r="G1476" s="1">
        <v>54</v>
      </c>
      <c r="H1476" s="1">
        <v>47</v>
      </c>
      <c r="I1476" s="1" t="s">
        <v>4373</v>
      </c>
      <c r="J1476" s="1" t="s">
        <v>6569</v>
      </c>
      <c r="K1476" s="1" t="s">
        <v>6568</v>
      </c>
    </row>
    <row r="1477" spans="1:11" ht="21" x14ac:dyDescent="0.25">
      <c r="A1477" s="11" t="str">
        <f>HYPERLINK("https://rth.dk/resources/bsgatlas/details.php?id=BSGatlas-transcript-1476","BSGatlas-transcript-1476")</f>
        <v>BSGatlas-transcript-1476</v>
      </c>
      <c r="B1477" s="1" t="s">
        <v>6570</v>
      </c>
      <c r="C1477" s="3">
        <v>1303368</v>
      </c>
      <c r="D1477" s="3">
        <v>1309803</v>
      </c>
      <c r="E1477" s="1" t="s">
        <v>9</v>
      </c>
      <c r="F1477" s="1">
        <v>3</v>
      </c>
      <c r="G1477" s="1">
        <v>56</v>
      </c>
      <c r="H1477" s="1" t="s">
        <v>4372</v>
      </c>
      <c r="I1477" s="1" t="s">
        <v>4377</v>
      </c>
      <c r="J1477" s="1" t="s">
        <v>6571</v>
      </c>
      <c r="K1477" s="1" t="s">
        <v>6566</v>
      </c>
    </row>
    <row r="1478" spans="1:11" ht="21" x14ac:dyDescent="0.25">
      <c r="A1478" s="11" t="str">
        <f>HYPERLINK("https://rth.dk/resources/bsgatlas/details.php?id=BSGatlas-transcript-1477","BSGatlas-transcript-1477")</f>
        <v>BSGatlas-transcript-1477</v>
      </c>
      <c r="B1478" s="1" t="s">
        <v>6572</v>
      </c>
      <c r="C1478" s="3">
        <v>1303368</v>
      </c>
      <c r="D1478" s="3">
        <v>1312858</v>
      </c>
      <c r="E1478" s="1" t="s">
        <v>9</v>
      </c>
      <c r="F1478" s="1">
        <v>4</v>
      </c>
      <c r="G1478" s="1">
        <v>56</v>
      </c>
      <c r="H1478" s="1">
        <v>47</v>
      </c>
      <c r="I1478" s="1" t="s">
        <v>4386</v>
      </c>
      <c r="J1478" s="1" t="s">
        <v>6571</v>
      </c>
      <c r="K1478" s="1" t="s">
        <v>6568</v>
      </c>
    </row>
    <row r="1479" spans="1:11" ht="21" x14ac:dyDescent="0.25">
      <c r="A1479" s="11" t="str">
        <f>HYPERLINK("https://rth.dk/resources/bsgatlas/details.php?id=BSGatlas-transcript-1478","BSGatlas-transcript-1478")</f>
        <v>BSGatlas-transcript-1478</v>
      </c>
      <c r="B1479" s="1" t="s">
        <v>1375</v>
      </c>
      <c r="C1479" s="3">
        <v>1308679</v>
      </c>
      <c r="D1479" s="3">
        <v>1309803</v>
      </c>
      <c r="E1479" s="1" t="s">
        <v>9</v>
      </c>
      <c r="F1479" s="1">
        <v>0</v>
      </c>
      <c r="G1479" s="1" t="s">
        <v>4372</v>
      </c>
      <c r="H1479" s="1" t="s">
        <v>4372</v>
      </c>
      <c r="I1479" s="1" t="s">
        <v>4377</v>
      </c>
      <c r="J1479" s="1" t="s">
        <v>6573</v>
      </c>
      <c r="K1479" s="1" t="s">
        <v>6566</v>
      </c>
    </row>
    <row r="1480" spans="1:11" ht="21" x14ac:dyDescent="0.25">
      <c r="A1480" s="11" t="str">
        <f>HYPERLINK("https://rth.dk/resources/bsgatlas/details.php?id=BSGatlas-transcript-1479","BSGatlas-transcript-1479")</f>
        <v>BSGatlas-transcript-1479</v>
      </c>
      <c r="B1480" s="1" t="s">
        <v>6574</v>
      </c>
      <c r="C1480" s="3">
        <v>1308679</v>
      </c>
      <c r="D1480" s="3">
        <v>1312858</v>
      </c>
      <c r="E1480" s="1" t="s">
        <v>9</v>
      </c>
      <c r="F1480" s="1">
        <v>1</v>
      </c>
      <c r="G1480" s="1">
        <v>124</v>
      </c>
      <c r="H1480" s="1">
        <v>47</v>
      </c>
      <c r="I1480" s="1" t="s">
        <v>4377</v>
      </c>
      <c r="J1480" s="1" t="s">
        <v>6573</v>
      </c>
      <c r="K1480" s="1" t="s">
        <v>6568</v>
      </c>
    </row>
    <row r="1481" spans="1:11" ht="21" x14ac:dyDescent="0.25">
      <c r="A1481" s="11" t="str">
        <f>HYPERLINK("https://rth.dk/resources/bsgatlas/details.php?id=BSGatlas-transcript-1480","BSGatlas-transcript-1480")</f>
        <v>BSGatlas-transcript-1480</v>
      </c>
      <c r="B1481" s="1" t="s">
        <v>1375</v>
      </c>
      <c r="C1481" s="3">
        <v>1308747</v>
      </c>
      <c r="D1481" s="3">
        <v>1309803</v>
      </c>
      <c r="E1481" s="1" t="s">
        <v>9</v>
      </c>
      <c r="F1481" s="1">
        <v>0</v>
      </c>
      <c r="G1481" s="1" t="s">
        <v>4372</v>
      </c>
      <c r="H1481" s="1" t="s">
        <v>4372</v>
      </c>
      <c r="I1481" s="1" t="s">
        <v>4377</v>
      </c>
      <c r="J1481" s="1" t="s">
        <v>6575</v>
      </c>
      <c r="K1481" s="1" t="s">
        <v>6566</v>
      </c>
    </row>
    <row r="1482" spans="1:11" ht="21" x14ac:dyDescent="0.25">
      <c r="A1482" s="11" t="str">
        <f>HYPERLINK("https://rth.dk/resources/bsgatlas/details.php?id=BSGatlas-transcript-1481","BSGatlas-transcript-1481")</f>
        <v>BSGatlas-transcript-1481</v>
      </c>
      <c r="B1482" s="1" t="s">
        <v>6574</v>
      </c>
      <c r="C1482" s="3">
        <v>1308747</v>
      </c>
      <c r="D1482" s="3">
        <v>1312858</v>
      </c>
      <c r="E1482" s="1" t="s">
        <v>9</v>
      </c>
      <c r="F1482" s="1">
        <v>1</v>
      </c>
      <c r="G1482" s="1">
        <v>56</v>
      </c>
      <c r="H1482" s="1">
        <v>47</v>
      </c>
      <c r="I1482" s="1" t="s">
        <v>4377</v>
      </c>
      <c r="J1482" s="1" t="s">
        <v>6575</v>
      </c>
      <c r="K1482" s="1" t="s">
        <v>6568</v>
      </c>
    </row>
    <row r="1483" spans="1:11" ht="21" x14ac:dyDescent="0.25">
      <c r="A1483" s="11" t="str">
        <f>HYPERLINK("https://rth.dk/resources/bsgatlas/details.php?id=BSGatlas-transcript-1482","BSGatlas-transcript-1482")</f>
        <v>BSGatlas-transcript-1482</v>
      </c>
      <c r="B1483" s="1" t="s">
        <v>1378</v>
      </c>
      <c r="C1483" s="3">
        <v>1312851</v>
      </c>
      <c r="D1483" s="3">
        <v>1313661</v>
      </c>
      <c r="E1483" s="1" t="s">
        <v>13</v>
      </c>
      <c r="F1483" s="1">
        <v>0</v>
      </c>
      <c r="G1483" s="1" t="s">
        <v>4372</v>
      </c>
      <c r="H1483" s="1" t="s">
        <v>4372</v>
      </c>
      <c r="I1483" s="1" t="s">
        <v>4386</v>
      </c>
      <c r="J1483" s="1" t="s">
        <v>6576</v>
      </c>
      <c r="K1483" s="1" t="s">
        <v>6577</v>
      </c>
    </row>
    <row r="1484" spans="1:11" ht="21" x14ac:dyDescent="0.25">
      <c r="A1484" s="11" t="str">
        <f>HYPERLINK("https://rth.dk/resources/bsgatlas/details.php?id=BSGatlas-transcript-1483","BSGatlas-transcript-1483")</f>
        <v>BSGatlas-transcript-1483</v>
      </c>
      <c r="B1484" s="1" t="s">
        <v>1378</v>
      </c>
      <c r="C1484" s="3">
        <v>1312851</v>
      </c>
      <c r="D1484" s="3">
        <v>1313744</v>
      </c>
      <c r="E1484" s="1" t="s">
        <v>13</v>
      </c>
      <c r="F1484" s="1">
        <v>0</v>
      </c>
      <c r="G1484" s="1" t="s">
        <v>4372</v>
      </c>
      <c r="H1484" s="1" t="s">
        <v>4372</v>
      </c>
      <c r="I1484" s="1" t="s">
        <v>4386</v>
      </c>
      <c r="J1484" s="1" t="s">
        <v>6578</v>
      </c>
      <c r="K1484" s="1" t="s">
        <v>6577</v>
      </c>
    </row>
    <row r="1485" spans="1:11" ht="21" x14ac:dyDescent="0.25">
      <c r="A1485" s="11" t="str">
        <f>HYPERLINK("https://rth.dk/resources/bsgatlas/details.php?id=BSGatlas-transcript-1484","BSGatlas-transcript-1484")</f>
        <v>BSGatlas-transcript-1484</v>
      </c>
      <c r="B1485" s="1" t="s">
        <v>1379</v>
      </c>
      <c r="C1485" s="3">
        <v>1313815</v>
      </c>
      <c r="D1485" s="3">
        <v>1314350</v>
      </c>
      <c r="E1485" s="1" t="s">
        <v>13</v>
      </c>
      <c r="F1485" s="1">
        <v>0</v>
      </c>
      <c r="G1485" s="1" t="s">
        <v>4372</v>
      </c>
      <c r="H1485" s="1" t="s">
        <v>4372</v>
      </c>
      <c r="I1485" s="1" t="s">
        <v>4386</v>
      </c>
      <c r="J1485" s="1" t="s">
        <v>6579</v>
      </c>
      <c r="K1485" s="1" t="s">
        <v>6580</v>
      </c>
    </row>
    <row r="1486" spans="1:11" ht="21" x14ac:dyDescent="0.25">
      <c r="A1486" s="11" t="str">
        <f>HYPERLINK("https://rth.dk/resources/bsgatlas/details.php?id=BSGatlas-transcript-1485","BSGatlas-transcript-1485")</f>
        <v>BSGatlas-transcript-1485</v>
      </c>
      <c r="B1486" s="1" t="s">
        <v>1379</v>
      </c>
      <c r="C1486" s="3">
        <v>1313815</v>
      </c>
      <c r="D1486" s="3">
        <v>1315846</v>
      </c>
      <c r="E1486" s="1" t="s">
        <v>13</v>
      </c>
      <c r="F1486" s="1">
        <v>0</v>
      </c>
      <c r="G1486" s="1" t="s">
        <v>4372</v>
      </c>
      <c r="H1486" s="1" t="s">
        <v>4372</v>
      </c>
      <c r="I1486" s="1" t="s">
        <v>4386</v>
      </c>
      <c r="J1486" s="1" t="s">
        <v>6581</v>
      </c>
      <c r="K1486" s="1" t="s">
        <v>6580</v>
      </c>
    </row>
    <row r="1487" spans="1:11" ht="21" x14ac:dyDescent="0.25">
      <c r="A1487" s="11" t="str">
        <f>HYPERLINK("https://rth.dk/resources/bsgatlas/details.php?id=BSGatlas-transcript-1486","BSGatlas-transcript-1486")</f>
        <v>BSGatlas-transcript-1486</v>
      </c>
      <c r="B1487" s="1" t="s">
        <v>1380</v>
      </c>
      <c r="C1487" s="3">
        <v>1314424</v>
      </c>
      <c r="D1487" s="3">
        <v>1315724</v>
      </c>
      <c r="E1487" s="1" t="s">
        <v>9</v>
      </c>
      <c r="F1487" s="1">
        <v>0</v>
      </c>
      <c r="G1487" s="1" t="s">
        <v>4372</v>
      </c>
      <c r="H1487" s="1" t="s">
        <v>4372</v>
      </c>
      <c r="I1487" s="1" t="s">
        <v>4373</v>
      </c>
      <c r="J1487" s="1" t="s">
        <v>6582</v>
      </c>
      <c r="K1487" s="1" t="s">
        <v>6583</v>
      </c>
    </row>
    <row r="1488" spans="1:11" ht="21" x14ac:dyDescent="0.25">
      <c r="A1488" s="11" t="str">
        <f>HYPERLINK("https://rth.dk/resources/bsgatlas/details.php?id=BSGatlas-transcript-1487","BSGatlas-transcript-1487")</f>
        <v>BSGatlas-transcript-1487</v>
      </c>
      <c r="B1488" s="1" t="s">
        <v>1380</v>
      </c>
      <c r="C1488" s="3">
        <v>1314424</v>
      </c>
      <c r="D1488" s="3">
        <v>1315770</v>
      </c>
      <c r="E1488" s="1" t="s">
        <v>9</v>
      </c>
      <c r="F1488" s="1">
        <v>0</v>
      </c>
      <c r="G1488" s="1" t="s">
        <v>4372</v>
      </c>
      <c r="H1488" s="1" t="s">
        <v>4372</v>
      </c>
      <c r="I1488" s="1" t="s">
        <v>4373</v>
      </c>
      <c r="J1488" s="1" t="s">
        <v>6582</v>
      </c>
      <c r="K1488" s="1" t="s">
        <v>6584</v>
      </c>
    </row>
    <row r="1489" spans="1:11" ht="21" x14ac:dyDescent="0.25">
      <c r="A1489" s="11" t="str">
        <f>HYPERLINK("https://rth.dk/resources/bsgatlas/details.php?id=BSGatlas-transcript-1488","BSGatlas-transcript-1488")</f>
        <v>BSGatlas-transcript-1488</v>
      </c>
      <c r="B1489" s="1" t="s">
        <v>6585</v>
      </c>
      <c r="C1489" s="3">
        <v>1315838</v>
      </c>
      <c r="D1489" s="3">
        <v>1317158</v>
      </c>
      <c r="E1489" s="1" t="s">
        <v>9</v>
      </c>
      <c r="F1489" s="1">
        <v>0</v>
      </c>
      <c r="G1489" s="1" t="s">
        <v>4372</v>
      </c>
      <c r="H1489" s="1" t="s">
        <v>4372</v>
      </c>
      <c r="I1489" s="1" t="s">
        <v>4373</v>
      </c>
      <c r="J1489" s="1" t="s">
        <v>6586</v>
      </c>
      <c r="K1489" s="1" t="s">
        <v>6587</v>
      </c>
    </row>
    <row r="1490" spans="1:11" ht="21" x14ac:dyDescent="0.25">
      <c r="A1490" s="11" t="str">
        <f>HYPERLINK("https://rth.dk/resources/bsgatlas/details.php?id=BSGatlas-transcript-1489","BSGatlas-transcript-1489")</f>
        <v>BSGatlas-transcript-1489</v>
      </c>
      <c r="B1490" s="1" t="s">
        <v>1383</v>
      </c>
      <c r="C1490" s="3">
        <v>1317157</v>
      </c>
      <c r="D1490" s="3">
        <v>1317442</v>
      </c>
      <c r="E1490" s="1" t="s">
        <v>13</v>
      </c>
      <c r="F1490" s="1">
        <v>0</v>
      </c>
      <c r="G1490" s="1" t="s">
        <v>4372</v>
      </c>
      <c r="H1490" s="1" t="s">
        <v>4372</v>
      </c>
      <c r="I1490" s="1" t="s">
        <v>4547</v>
      </c>
      <c r="J1490" s="1" t="s">
        <v>6588</v>
      </c>
      <c r="K1490" s="1" t="s">
        <v>6589</v>
      </c>
    </row>
    <row r="1491" spans="1:11" ht="21" x14ac:dyDescent="0.25">
      <c r="A1491" s="11" t="str">
        <f>HYPERLINK("https://rth.dk/resources/bsgatlas/details.php?id=BSGatlas-transcript-1490","BSGatlas-transcript-1490")</f>
        <v>BSGatlas-transcript-1490</v>
      </c>
      <c r="B1491" s="1" t="s">
        <v>1384</v>
      </c>
      <c r="C1491" s="3">
        <v>1317497</v>
      </c>
      <c r="D1491" s="3">
        <v>1318514</v>
      </c>
      <c r="E1491" s="1" t="s">
        <v>9</v>
      </c>
      <c r="F1491" s="1">
        <v>0</v>
      </c>
      <c r="G1491" s="1" t="s">
        <v>4372</v>
      </c>
      <c r="H1491" s="1" t="s">
        <v>4372</v>
      </c>
      <c r="I1491" s="1" t="s">
        <v>4397</v>
      </c>
      <c r="J1491" s="1" t="s">
        <v>6590</v>
      </c>
      <c r="K1491" s="1" t="s">
        <v>6591</v>
      </c>
    </row>
    <row r="1492" spans="1:11" ht="21" x14ac:dyDescent="0.25">
      <c r="A1492" s="11" t="str">
        <f>HYPERLINK("https://rth.dk/resources/bsgatlas/details.php?id=BSGatlas-transcript-1491","BSGatlas-transcript-1491")</f>
        <v>BSGatlas-transcript-1491</v>
      </c>
      <c r="B1492" s="1" t="s">
        <v>6592</v>
      </c>
      <c r="C1492" s="3">
        <v>1318443</v>
      </c>
      <c r="D1492" s="3">
        <v>1320526</v>
      </c>
      <c r="E1492" s="1" t="s">
        <v>9</v>
      </c>
      <c r="F1492" s="1">
        <v>1</v>
      </c>
      <c r="G1492" s="1">
        <v>569</v>
      </c>
      <c r="H1492" s="1" t="s">
        <v>4372</v>
      </c>
      <c r="I1492" s="1" t="s">
        <v>4386</v>
      </c>
      <c r="J1492" s="1" t="s">
        <v>6593</v>
      </c>
      <c r="K1492" s="1" t="s">
        <v>6594</v>
      </c>
    </row>
    <row r="1493" spans="1:11" ht="21" x14ac:dyDescent="0.25">
      <c r="A1493" s="11" t="str">
        <f>HYPERLINK("https://rth.dk/resources/bsgatlas/details.php?id=BSGatlas-transcript-1492","BSGatlas-transcript-1492")</f>
        <v>BSGatlas-transcript-1492</v>
      </c>
      <c r="B1493" s="1" t="s">
        <v>1387</v>
      </c>
      <c r="C1493" s="3">
        <v>1318475</v>
      </c>
      <c r="D1493" s="3">
        <v>1318940</v>
      </c>
      <c r="E1493" s="1" t="s">
        <v>13</v>
      </c>
      <c r="F1493" s="1">
        <v>0</v>
      </c>
      <c r="G1493" s="1" t="s">
        <v>4372</v>
      </c>
      <c r="H1493" s="1" t="s">
        <v>4372</v>
      </c>
      <c r="I1493" s="1" t="s">
        <v>4397</v>
      </c>
      <c r="J1493" s="1" t="s">
        <v>6595</v>
      </c>
      <c r="K1493" s="1" t="s">
        <v>6596</v>
      </c>
    </row>
    <row r="1494" spans="1:11" ht="21" x14ac:dyDescent="0.25">
      <c r="A1494" s="11" t="str">
        <f>HYPERLINK("https://rth.dk/resources/bsgatlas/details.php?id=BSGatlas-transcript-1493","BSGatlas-transcript-1493")</f>
        <v>BSGatlas-transcript-1493</v>
      </c>
      <c r="B1494" s="1" t="s">
        <v>6592</v>
      </c>
      <c r="C1494" s="3">
        <v>1318974</v>
      </c>
      <c r="D1494" s="3">
        <v>1320526</v>
      </c>
      <c r="E1494" s="1" t="s">
        <v>9</v>
      </c>
      <c r="F1494" s="1">
        <v>1</v>
      </c>
      <c r="G1494" s="1">
        <v>38</v>
      </c>
      <c r="H1494" s="1" t="s">
        <v>4372</v>
      </c>
      <c r="I1494" s="1" t="s">
        <v>4386</v>
      </c>
      <c r="J1494" s="1" t="s">
        <v>6597</v>
      </c>
      <c r="K1494" s="1" t="s">
        <v>6594</v>
      </c>
    </row>
    <row r="1495" spans="1:11" ht="21" x14ac:dyDescent="0.25">
      <c r="A1495" s="11" t="str">
        <f>HYPERLINK("https://rth.dk/resources/bsgatlas/details.php?id=BSGatlas-transcript-1494","BSGatlas-transcript-1494")</f>
        <v>BSGatlas-transcript-1494</v>
      </c>
      <c r="B1495" s="1" t="s">
        <v>1388</v>
      </c>
      <c r="C1495" s="3">
        <v>1319607</v>
      </c>
      <c r="D1495" s="3">
        <v>1321166</v>
      </c>
      <c r="E1495" s="1" t="s">
        <v>13</v>
      </c>
      <c r="F1495" s="1">
        <v>0</v>
      </c>
      <c r="G1495" s="1" t="s">
        <v>4372</v>
      </c>
      <c r="H1495" s="1" t="s">
        <v>4372</v>
      </c>
      <c r="I1495" s="1" t="s">
        <v>4373</v>
      </c>
      <c r="J1495" s="1" t="s">
        <v>318</v>
      </c>
      <c r="K1495" s="1" t="s">
        <v>6598</v>
      </c>
    </row>
    <row r="1496" spans="1:11" ht="21" x14ac:dyDescent="0.25">
      <c r="A1496" s="11" t="str">
        <f>HYPERLINK("https://rth.dk/resources/bsgatlas/details.php?id=BSGatlas-transcript-1495","BSGatlas-transcript-1495")</f>
        <v>BSGatlas-transcript-1495</v>
      </c>
      <c r="B1496" s="1" t="s">
        <v>1386</v>
      </c>
      <c r="C1496" s="3">
        <v>1319656</v>
      </c>
      <c r="D1496" s="3">
        <v>1320526</v>
      </c>
      <c r="E1496" s="1" t="s">
        <v>9</v>
      </c>
      <c r="F1496" s="1">
        <v>0</v>
      </c>
      <c r="G1496" s="1" t="s">
        <v>4372</v>
      </c>
      <c r="H1496" s="1" t="s">
        <v>4372</v>
      </c>
      <c r="I1496" s="1" t="s">
        <v>4386</v>
      </c>
      <c r="J1496" s="1" t="s">
        <v>6599</v>
      </c>
      <c r="K1496" s="1" t="s">
        <v>6594</v>
      </c>
    </row>
    <row r="1497" spans="1:11" ht="21" x14ac:dyDescent="0.25">
      <c r="A1497" s="11" t="str">
        <f>HYPERLINK("https://rth.dk/resources/bsgatlas/details.php?id=BSGatlas-transcript-1496","BSGatlas-transcript-1496")</f>
        <v>BSGatlas-transcript-1496</v>
      </c>
      <c r="B1497" s="1" t="s">
        <v>1389</v>
      </c>
      <c r="C1497" s="3">
        <v>1321226</v>
      </c>
      <c r="D1497" s="3">
        <v>1321712</v>
      </c>
      <c r="E1497" s="1" t="s">
        <v>13</v>
      </c>
      <c r="F1497" s="1">
        <v>0</v>
      </c>
      <c r="G1497" s="1" t="s">
        <v>4372</v>
      </c>
      <c r="H1497" s="1" t="s">
        <v>4372</v>
      </c>
      <c r="I1497" s="1" t="s">
        <v>4373</v>
      </c>
      <c r="J1497" s="1" t="s">
        <v>6600</v>
      </c>
      <c r="K1497" s="1" t="s">
        <v>6601</v>
      </c>
    </row>
    <row r="1498" spans="1:11" ht="21" x14ac:dyDescent="0.25">
      <c r="A1498" s="11" t="str">
        <f>HYPERLINK("https://rth.dk/resources/bsgatlas/details.php?id=BSGatlas-transcript-1497","BSGatlas-transcript-1497")</f>
        <v>BSGatlas-transcript-1497</v>
      </c>
      <c r="B1498" s="1" t="s">
        <v>6602</v>
      </c>
      <c r="C1498" s="3">
        <v>1321790</v>
      </c>
      <c r="D1498" s="3">
        <v>1324451</v>
      </c>
      <c r="E1498" s="1" t="s">
        <v>9</v>
      </c>
      <c r="F1498" s="1">
        <v>1</v>
      </c>
      <c r="G1498" s="1">
        <v>59</v>
      </c>
      <c r="H1498" s="1">
        <v>97</v>
      </c>
      <c r="I1498" s="1" t="s">
        <v>4386</v>
      </c>
      <c r="J1498" s="1" t="s">
        <v>6603</v>
      </c>
      <c r="K1498" s="1" t="s">
        <v>6604</v>
      </c>
    </row>
    <row r="1499" spans="1:11" ht="21" x14ac:dyDescent="0.25">
      <c r="A1499" s="11" t="str">
        <f>HYPERLINK("https://rth.dk/resources/bsgatlas/details.php?id=BSGatlas-transcript-1498","BSGatlas-transcript-1498")</f>
        <v>BSGatlas-transcript-1498</v>
      </c>
      <c r="B1499" s="1" t="s">
        <v>6605</v>
      </c>
      <c r="C1499" s="3">
        <v>1322014</v>
      </c>
      <c r="D1499" s="3">
        <v>1324451</v>
      </c>
      <c r="E1499" s="1" t="s">
        <v>9</v>
      </c>
      <c r="F1499" s="1">
        <v>1</v>
      </c>
      <c r="G1499" s="1" t="s">
        <v>4372</v>
      </c>
      <c r="H1499" s="1">
        <v>97</v>
      </c>
      <c r="I1499" s="1" t="s">
        <v>4382</v>
      </c>
      <c r="J1499" s="1" t="s">
        <v>318</v>
      </c>
      <c r="K1499" s="1" t="s">
        <v>6604</v>
      </c>
    </row>
    <row r="1500" spans="1:11" ht="21" x14ac:dyDescent="0.25">
      <c r="A1500" s="11" t="str">
        <f>HYPERLINK("https://rth.dk/resources/bsgatlas/details.php?id=BSGatlas-transcript-1499","BSGatlas-transcript-1499")</f>
        <v>BSGatlas-transcript-1499</v>
      </c>
      <c r="B1500" s="1" t="s">
        <v>6606</v>
      </c>
      <c r="C1500" s="3">
        <v>1325005</v>
      </c>
      <c r="D1500" s="3">
        <v>1334308</v>
      </c>
      <c r="E1500" s="1" t="s">
        <v>9</v>
      </c>
      <c r="F1500" s="1">
        <v>3</v>
      </c>
      <c r="G1500" s="1">
        <v>92</v>
      </c>
      <c r="H1500" s="1">
        <v>62</v>
      </c>
      <c r="I1500" s="1" t="s">
        <v>4382</v>
      </c>
      <c r="J1500" s="1" t="s">
        <v>6607</v>
      </c>
      <c r="K1500" s="1" t="s">
        <v>6608</v>
      </c>
    </row>
    <row r="1501" spans="1:11" ht="21" x14ac:dyDescent="0.25">
      <c r="A1501" s="11" t="str">
        <f>HYPERLINK("https://rth.dk/resources/bsgatlas/details.php?id=BSGatlas-transcript-1500","BSGatlas-transcript-1500")</f>
        <v>BSGatlas-transcript-1500</v>
      </c>
      <c r="B1501" s="1" t="s">
        <v>6609</v>
      </c>
      <c r="C1501" s="3">
        <v>1325005</v>
      </c>
      <c r="D1501" s="3">
        <v>1336418</v>
      </c>
      <c r="E1501" s="1" t="s">
        <v>9</v>
      </c>
      <c r="F1501" s="1">
        <v>5</v>
      </c>
      <c r="G1501" s="1">
        <v>92</v>
      </c>
      <c r="H1501" s="1">
        <v>1455</v>
      </c>
      <c r="I1501" s="1" t="s">
        <v>4377</v>
      </c>
      <c r="J1501" s="1" t="s">
        <v>6607</v>
      </c>
      <c r="K1501" s="1" t="s">
        <v>6610</v>
      </c>
    </row>
    <row r="1502" spans="1:11" ht="21" x14ac:dyDescent="0.25">
      <c r="A1502" s="11" t="str">
        <f>HYPERLINK("https://rth.dk/resources/bsgatlas/details.php?id=BSGatlas-transcript-1501","BSGatlas-transcript-1501")</f>
        <v>BSGatlas-transcript-1501</v>
      </c>
      <c r="B1502" s="1" t="s">
        <v>6611</v>
      </c>
      <c r="C1502" s="3">
        <v>1325005</v>
      </c>
      <c r="D1502" s="3">
        <v>1348213</v>
      </c>
      <c r="E1502" s="1" t="s">
        <v>9</v>
      </c>
      <c r="F1502" s="1">
        <v>8</v>
      </c>
      <c r="G1502" s="1">
        <v>92</v>
      </c>
      <c r="H1502" s="1">
        <v>32</v>
      </c>
      <c r="I1502" s="1" t="s">
        <v>4386</v>
      </c>
      <c r="J1502" s="1" t="s">
        <v>6607</v>
      </c>
      <c r="K1502" s="1" t="s">
        <v>6612</v>
      </c>
    </row>
    <row r="1503" spans="1:11" ht="21" x14ac:dyDescent="0.25">
      <c r="A1503" s="11" t="str">
        <f>HYPERLINK("https://rth.dk/resources/bsgatlas/details.php?id=BSGatlas-transcript-1502","BSGatlas-transcript-1502")</f>
        <v>BSGatlas-transcript-1502</v>
      </c>
      <c r="B1503" s="1" t="s">
        <v>6613</v>
      </c>
      <c r="C1503" s="3">
        <v>1328239</v>
      </c>
      <c r="D1503" s="3">
        <v>1334308</v>
      </c>
      <c r="E1503" s="1" t="s">
        <v>9</v>
      </c>
      <c r="F1503" s="1">
        <v>2</v>
      </c>
      <c r="G1503" s="1">
        <v>464</v>
      </c>
      <c r="H1503" s="1">
        <v>62</v>
      </c>
      <c r="I1503" s="1" t="s">
        <v>4377</v>
      </c>
      <c r="J1503" s="1" t="s">
        <v>6614</v>
      </c>
      <c r="K1503" s="1" t="s">
        <v>6608</v>
      </c>
    </row>
    <row r="1504" spans="1:11" ht="21" x14ac:dyDescent="0.25">
      <c r="A1504" s="11" t="str">
        <f>HYPERLINK("https://rth.dk/resources/bsgatlas/details.php?id=BSGatlas-transcript-1503","BSGatlas-transcript-1503")</f>
        <v>BSGatlas-transcript-1503</v>
      </c>
      <c r="B1504" s="1" t="s">
        <v>6615</v>
      </c>
      <c r="C1504" s="3">
        <v>1328239</v>
      </c>
      <c r="D1504" s="3">
        <v>1336418</v>
      </c>
      <c r="E1504" s="1" t="s">
        <v>9</v>
      </c>
      <c r="F1504" s="1">
        <v>4</v>
      </c>
      <c r="G1504" s="1">
        <v>464</v>
      </c>
      <c r="H1504" s="1">
        <v>1455</v>
      </c>
      <c r="I1504" s="1" t="s">
        <v>4377</v>
      </c>
      <c r="J1504" s="1" t="s">
        <v>6614</v>
      </c>
      <c r="K1504" s="1" t="s">
        <v>6610</v>
      </c>
    </row>
    <row r="1505" spans="1:11" ht="21" x14ac:dyDescent="0.25">
      <c r="A1505" s="11" t="str">
        <f>HYPERLINK("https://rth.dk/resources/bsgatlas/details.php?id=BSGatlas-transcript-1504","BSGatlas-transcript-1504")</f>
        <v>BSGatlas-transcript-1504</v>
      </c>
      <c r="B1505" s="1" t="s">
        <v>6616</v>
      </c>
      <c r="C1505" s="3">
        <v>1328239</v>
      </c>
      <c r="D1505" s="3">
        <v>1348213</v>
      </c>
      <c r="E1505" s="1" t="s">
        <v>9</v>
      </c>
      <c r="F1505" s="1">
        <v>7</v>
      </c>
      <c r="G1505" s="1">
        <v>464</v>
      </c>
      <c r="H1505" s="1">
        <v>32</v>
      </c>
      <c r="I1505" s="1" t="s">
        <v>4377</v>
      </c>
      <c r="J1505" s="1" t="s">
        <v>6614</v>
      </c>
      <c r="K1505" s="1" t="s">
        <v>6612</v>
      </c>
    </row>
    <row r="1506" spans="1:11" ht="21" x14ac:dyDescent="0.25">
      <c r="A1506" s="11" t="str">
        <f>HYPERLINK("https://rth.dk/resources/bsgatlas/details.php?id=BSGatlas-transcript-1505","BSGatlas-transcript-1505")</f>
        <v>BSGatlas-transcript-1505</v>
      </c>
      <c r="B1506" s="1" t="s">
        <v>6617</v>
      </c>
      <c r="C1506" s="3">
        <v>1346693</v>
      </c>
      <c r="D1506" s="3">
        <v>1348213</v>
      </c>
      <c r="E1506" s="1" t="s">
        <v>9</v>
      </c>
      <c r="F1506" s="1">
        <v>0</v>
      </c>
      <c r="G1506" s="1" t="s">
        <v>4372</v>
      </c>
      <c r="H1506" s="1" t="s">
        <v>4372</v>
      </c>
      <c r="I1506" s="1" t="s">
        <v>4386</v>
      </c>
      <c r="J1506" s="1" t="s">
        <v>6618</v>
      </c>
      <c r="K1506" s="1" t="s">
        <v>6612</v>
      </c>
    </row>
    <row r="1507" spans="1:11" ht="21" x14ac:dyDescent="0.25">
      <c r="A1507" s="11" t="str">
        <f>HYPERLINK("https://rth.dk/resources/bsgatlas/details.php?id=BSGatlas-transcript-1506","BSGatlas-transcript-1506")</f>
        <v>BSGatlas-transcript-1506</v>
      </c>
      <c r="B1507" s="1" t="s">
        <v>1425</v>
      </c>
      <c r="C1507" s="3">
        <v>1348219</v>
      </c>
      <c r="D1507" s="3">
        <v>1348356</v>
      </c>
      <c r="E1507" s="1" t="s">
        <v>13</v>
      </c>
      <c r="F1507" s="1">
        <v>0</v>
      </c>
      <c r="G1507" s="1" t="s">
        <v>4372</v>
      </c>
      <c r="H1507" s="1" t="s">
        <v>4372</v>
      </c>
      <c r="I1507" s="1" t="s">
        <v>4377</v>
      </c>
      <c r="J1507" s="1" t="s">
        <v>318</v>
      </c>
      <c r="K1507" s="1" t="s">
        <v>6619</v>
      </c>
    </row>
    <row r="1508" spans="1:11" ht="21" x14ac:dyDescent="0.25">
      <c r="A1508" s="11" t="str">
        <f>HYPERLINK("https://rth.dk/resources/bsgatlas/details.php?id=BSGatlas-transcript-1507","BSGatlas-transcript-1507")</f>
        <v>BSGatlas-transcript-1507</v>
      </c>
      <c r="B1508" s="1" t="s">
        <v>6620</v>
      </c>
      <c r="C1508" s="3">
        <v>1348426</v>
      </c>
      <c r="D1508" s="3">
        <v>1349358</v>
      </c>
      <c r="E1508" s="1" t="s">
        <v>13</v>
      </c>
      <c r="F1508" s="1">
        <v>0</v>
      </c>
      <c r="G1508" s="1" t="s">
        <v>4372</v>
      </c>
      <c r="H1508" s="1" t="s">
        <v>4372</v>
      </c>
      <c r="I1508" s="1" t="s">
        <v>4386</v>
      </c>
      <c r="J1508" s="1" t="s">
        <v>6621</v>
      </c>
      <c r="K1508" s="1" t="s">
        <v>6622</v>
      </c>
    </row>
    <row r="1509" spans="1:11" ht="21" x14ac:dyDescent="0.25">
      <c r="A1509" s="11" t="str">
        <f>HYPERLINK("https://rth.dk/resources/bsgatlas/details.php?id=BSGatlas-transcript-1508","BSGatlas-transcript-1508")</f>
        <v>BSGatlas-transcript-1508</v>
      </c>
      <c r="B1509" s="1" t="s">
        <v>6620</v>
      </c>
      <c r="C1509" s="3">
        <v>1348426</v>
      </c>
      <c r="D1509" s="3">
        <v>1349397</v>
      </c>
      <c r="E1509" s="1" t="s">
        <v>13</v>
      </c>
      <c r="F1509" s="1">
        <v>0</v>
      </c>
      <c r="G1509" s="1" t="s">
        <v>4372</v>
      </c>
      <c r="H1509" s="1" t="s">
        <v>4372</v>
      </c>
      <c r="I1509" s="1" t="s">
        <v>4386</v>
      </c>
      <c r="J1509" s="1" t="s">
        <v>6623</v>
      </c>
      <c r="K1509" s="1" t="s">
        <v>6622</v>
      </c>
    </row>
    <row r="1510" spans="1:11" ht="21" x14ac:dyDescent="0.25">
      <c r="A1510" s="11" t="str">
        <f>HYPERLINK("https://rth.dk/resources/bsgatlas/details.php?id=BSGatlas-transcript-1509","BSGatlas-transcript-1509")</f>
        <v>BSGatlas-transcript-1509</v>
      </c>
      <c r="B1510" s="1" t="s">
        <v>6624</v>
      </c>
      <c r="C1510" s="3">
        <v>1349439</v>
      </c>
      <c r="D1510" s="3">
        <v>1351137</v>
      </c>
      <c r="E1510" s="1" t="s">
        <v>13</v>
      </c>
      <c r="F1510" s="1">
        <v>0</v>
      </c>
      <c r="G1510" s="1" t="s">
        <v>4372</v>
      </c>
      <c r="H1510" s="1" t="s">
        <v>4372</v>
      </c>
      <c r="I1510" s="1" t="s">
        <v>4397</v>
      </c>
      <c r="J1510" s="1" t="s">
        <v>6625</v>
      </c>
      <c r="K1510" s="1" t="s">
        <v>6626</v>
      </c>
    </row>
    <row r="1511" spans="1:11" ht="21" x14ac:dyDescent="0.25">
      <c r="A1511" s="11" t="str">
        <f>HYPERLINK("https://rth.dk/resources/bsgatlas/details.php?id=BSGatlas-transcript-1510","BSGatlas-transcript-1510")</f>
        <v>BSGatlas-transcript-1510</v>
      </c>
      <c r="B1511" s="1" t="s">
        <v>6624</v>
      </c>
      <c r="C1511" s="3">
        <v>1349439</v>
      </c>
      <c r="D1511" s="3">
        <v>1351236</v>
      </c>
      <c r="E1511" s="1" t="s">
        <v>13</v>
      </c>
      <c r="F1511" s="1">
        <v>0</v>
      </c>
      <c r="G1511" s="1" t="s">
        <v>4372</v>
      </c>
      <c r="H1511" s="1" t="s">
        <v>4372</v>
      </c>
      <c r="I1511" s="1" t="s">
        <v>4397</v>
      </c>
      <c r="J1511" s="1" t="s">
        <v>6627</v>
      </c>
      <c r="K1511" s="1" t="s">
        <v>6626</v>
      </c>
    </row>
    <row r="1512" spans="1:11" ht="21" x14ac:dyDescent="0.25">
      <c r="A1512" s="11" t="str">
        <f>HYPERLINK("https://rth.dk/resources/bsgatlas/details.php?id=BSGatlas-transcript-1511","BSGatlas-transcript-1511")</f>
        <v>BSGatlas-transcript-1511</v>
      </c>
      <c r="B1512" s="1" t="s">
        <v>6624</v>
      </c>
      <c r="C1512" s="3">
        <v>1349439</v>
      </c>
      <c r="D1512" s="3">
        <v>1351293</v>
      </c>
      <c r="E1512" s="1" t="s">
        <v>13</v>
      </c>
      <c r="F1512" s="1">
        <v>0</v>
      </c>
      <c r="G1512" s="1" t="s">
        <v>4372</v>
      </c>
      <c r="H1512" s="1" t="s">
        <v>4372</v>
      </c>
      <c r="I1512" s="1" t="s">
        <v>4397</v>
      </c>
      <c r="J1512" s="1" t="s">
        <v>6628</v>
      </c>
      <c r="K1512" s="1" t="s">
        <v>6626</v>
      </c>
    </row>
    <row r="1513" spans="1:11" ht="21" x14ac:dyDescent="0.25">
      <c r="A1513" s="11" t="str">
        <f>HYPERLINK("https://rth.dk/resources/bsgatlas/details.php?id=BSGatlas-transcript-1512","BSGatlas-transcript-1512")</f>
        <v>BSGatlas-transcript-1512</v>
      </c>
      <c r="B1513" s="1" t="s">
        <v>6624</v>
      </c>
      <c r="C1513" s="3">
        <v>1349468</v>
      </c>
      <c r="D1513" s="3">
        <v>1351137</v>
      </c>
      <c r="E1513" s="1" t="s">
        <v>13</v>
      </c>
      <c r="F1513" s="1">
        <v>0</v>
      </c>
      <c r="G1513" s="1" t="s">
        <v>4372</v>
      </c>
      <c r="H1513" s="1" t="s">
        <v>4372</v>
      </c>
      <c r="I1513" s="1" t="s">
        <v>4397</v>
      </c>
      <c r="J1513" s="1" t="s">
        <v>6625</v>
      </c>
      <c r="K1513" s="1" t="s">
        <v>6629</v>
      </c>
    </row>
    <row r="1514" spans="1:11" ht="21" x14ac:dyDescent="0.25">
      <c r="A1514" s="11" t="str">
        <f>HYPERLINK("https://rth.dk/resources/bsgatlas/details.php?id=BSGatlas-transcript-1513","BSGatlas-transcript-1513")</f>
        <v>BSGatlas-transcript-1513</v>
      </c>
      <c r="B1514" s="1" t="s">
        <v>6624</v>
      </c>
      <c r="C1514" s="3">
        <v>1349468</v>
      </c>
      <c r="D1514" s="3">
        <v>1351236</v>
      </c>
      <c r="E1514" s="1" t="s">
        <v>13</v>
      </c>
      <c r="F1514" s="1">
        <v>0</v>
      </c>
      <c r="G1514" s="1" t="s">
        <v>4372</v>
      </c>
      <c r="H1514" s="1" t="s">
        <v>4372</v>
      </c>
      <c r="I1514" s="1" t="s">
        <v>4397</v>
      </c>
      <c r="J1514" s="1" t="s">
        <v>6627</v>
      </c>
      <c r="K1514" s="1" t="s">
        <v>6629</v>
      </c>
    </row>
    <row r="1515" spans="1:11" ht="21" x14ac:dyDescent="0.25">
      <c r="A1515" s="11" t="str">
        <f>HYPERLINK("https://rth.dk/resources/bsgatlas/details.php?id=BSGatlas-transcript-1514","BSGatlas-transcript-1514")</f>
        <v>BSGatlas-transcript-1514</v>
      </c>
      <c r="B1515" s="1" t="s">
        <v>6624</v>
      </c>
      <c r="C1515" s="3">
        <v>1349468</v>
      </c>
      <c r="D1515" s="3">
        <v>1351293</v>
      </c>
      <c r="E1515" s="1" t="s">
        <v>13</v>
      </c>
      <c r="F1515" s="1">
        <v>0</v>
      </c>
      <c r="G1515" s="1" t="s">
        <v>4372</v>
      </c>
      <c r="H1515" s="1" t="s">
        <v>4372</v>
      </c>
      <c r="I1515" s="1" t="s">
        <v>4397</v>
      </c>
      <c r="J1515" s="1" t="s">
        <v>6628</v>
      </c>
      <c r="K1515" s="1" t="s">
        <v>6629</v>
      </c>
    </row>
    <row r="1516" spans="1:11" ht="21" x14ac:dyDescent="0.25">
      <c r="A1516" s="11" t="str">
        <f>HYPERLINK("https://rth.dk/resources/bsgatlas/details.php?id=BSGatlas-transcript-1515","BSGatlas-transcript-1515")</f>
        <v>BSGatlas-transcript-1515</v>
      </c>
      <c r="B1516" s="1" t="s">
        <v>1430</v>
      </c>
      <c r="C1516" s="3">
        <v>1351375</v>
      </c>
      <c r="D1516" s="3">
        <v>1352754</v>
      </c>
      <c r="E1516" s="1" t="s">
        <v>13</v>
      </c>
      <c r="F1516" s="1">
        <v>0</v>
      </c>
      <c r="G1516" s="1" t="s">
        <v>4372</v>
      </c>
      <c r="H1516" s="1" t="s">
        <v>4372</v>
      </c>
      <c r="I1516" s="1" t="s">
        <v>4386</v>
      </c>
      <c r="J1516" s="1" t="s">
        <v>6630</v>
      </c>
      <c r="K1516" s="1" t="s">
        <v>6631</v>
      </c>
    </row>
    <row r="1517" spans="1:11" ht="21" x14ac:dyDescent="0.25">
      <c r="A1517" s="11" t="str">
        <f>HYPERLINK("https://rth.dk/resources/bsgatlas/details.php?id=BSGatlas-transcript-1516","BSGatlas-transcript-1516")</f>
        <v>BSGatlas-transcript-1516</v>
      </c>
      <c r="B1517" s="1" t="s">
        <v>1431</v>
      </c>
      <c r="C1517" s="3">
        <v>1353011</v>
      </c>
      <c r="D1517" s="3">
        <v>1354030</v>
      </c>
      <c r="E1517" s="1" t="s">
        <v>9</v>
      </c>
      <c r="F1517" s="1">
        <v>0</v>
      </c>
      <c r="G1517" s="1" t="s">
        <v>4372</v>
      </c>
      <c r="H1517" s="1" t="s">
        <v>4372</v>
      </c>
      <c r="I1517" s="1" t="s">
        <v>4397</v>
      </c>
      <c r="J1517" s="1" t="s">
        <v>6632</v>
      </c>
      <c r="K1517" s="1" t="s">
        <v>6633</v>
      </c>
    </row>
    <row r="1518" spans="1:11" ht="21" x14ac:dyDescent="0.25">
      <c r="A1518" s="11" t="str">
        <f>HYPERLINK("https://rth.dk/resources/bsgatlas/details.php?id=BSGatlas-transcript-1517","BSGatlas-transcript-1517")</f>
        <v>BSGatlas-transcript-1517</v>
      </c>
      <c r="B1518" s="1" t="s">
        <v>1431</v>
      </c>
      <c r="C1518" s="3">
        <v>1353011</v>
      </c>
      <c r="D1518" s="3">
        <v>1354067</v>
      </c>
      <c r="E1518" s="1" t="s">
        <v>9</v>
      </c>
      <c r="F1518" s="1">
        <v>0</v>
      </c>
      <c r="G1518" s="1" t="s">
        <v>4372</v>
      </c>
      <c r="H1518" s="1" t="s">
        <v>4372</v>
      </c>
      <c r="I1518" s="1" t="s">
        <v>4397</v>
      </c>
      <c r="J1518" s="1" t="s">
        <v>6632</v>
      </c>
      <c r="K1518" s="1" t="s">
        <v>6634</v>
      </c>
    </row>
    <row r="1519" spans="1:11" ht="21" x14ac:dyDescent="0.25">
      <c r="A1519" s="11" t="str">
        <f>HYPERLINK("https://rth.dk/resources/bsgatlas/details.php?id=BSGatlas-transcript-1518","BSGatlas-transcript-1518")</f>
        <v>BSGatlas-transcript-1518</v>
      </c>
      <c r="B1519" s="1" t="s">
        <v>4760</v>
      </c>
      <c r="C1519" s="3">
        <v>1354131</v>
      </c>
      <c r="D1519" s="3">
        <v>1355344</v>
      </c>
      <c r="E1519" s="1" t="s">
        <v>9</v>
      </c>
      <c r="F1519" s="1">
        <v>0</v>
      </c>
      <c r="G1519" s="1" t="s">
        <v>4372</v>
      </c>
      <c r="H1519" s="1" t="s">
        <v>4372</v>
      </c>
      <c r="I1519" s="1" t="s">
        <v>4377</v>
      </c>
      <c r="J1519" s="1" t="s">
        <v>318</v>
      </c>
      <c r="K1519" s="1" t="s">
        <v>6635</v>
      </c>
    </row>
    <row r="1520" spans="1:11" ht="21" x14ac:dyDescent="0.25">
      <c r="A1520" s="11" t="str">
        <f>HYPERLINK("https://rth.dk/resources/bsgatlas/details.php?id=BSGatlas-transcript-1519","BSGatlas-transcript-1519")</f>
        <v>BSGatlas-transcript-1519</v>
      </c>
      <c r="B1520" s="1" t="s">
        <v>6636</v>
      </c>
      <c r="C1520" s="3">
        <v>1354285</v>
      </c>
      <c r="D1520" s="3">
        <v>1357418</v>
      </c>
      <c r="E1520" s="1" t="s">
        <v>9</v>
      </c>
      <c r="F1520" s="1">
        <v>0</v>
      </c>
      <c r="G1520" s="1" t="s">
        <v>4372</v>
      </c>
      <c r="H1520" s="1" t="s">
        <v>4372</v>
      </c>
      <c r="I1520" s="1" t="s">
        <v>4386</v>
      </c>
      <c r="J1520" s="1" t="s">
        <v>6637</v>
      </c>
      <c r="K1520" s="1" t="s">
        <v>318</v>
      </c>
    </row>
    <row r="1521" spans="1:11" ht="21" x14ac:dyDescent="0.25">
      <c r="A1521" s="11" t="str">
        <f>HYPERLINK("https://rth.dk/resources/bsgatlas/details.php?id=BSGatlas-transcript-1520","BSGatlas-transcript-1520")</f>
        <v>BSGatlas-transcript-1520</v>
      </c>
      <c r="B1521" s="1" t="s">
        <v>1434</v>
      </c>
      <c r="C1521" s="3">
        <v>1356742</v>
      </c>
      <c r="D1521" s="3">
        <v>1357852</v>
      </c>
      <c r="E1521" s="1" t="s">
        <v>13</v>
      </c>
      <c r="F1521" s="1">
        <v>0</v>
      </c>
      <c r="G1521" s="1" t="s">
        <v>4372</v>
      </c>
      <c r="H1521" s="1" t="s">
        <v>4372</v>
      </c>
      <c r="I1521" s="1" t="s">
        <v>4377</v>
      </c>
      <c r="J1521" s="1" t="s">
        <v>6638</v>
      </c>
      <c r="K1521" s="1" t="s">
        <v>6639</v>
      </c>
    </row>
    <row r="1522" spans="1:11" ht="21" x14ac:dyDescent="0.25">
      <c r="A1522" s="11" t="str">
        <f>HYPERLINK("https://rth.dk/resources/bsgatlas/details.php?id=BSGatlas-transcript-1521","BSGatlas-transcript-1521")</f>
        <v>BSGatlas-transcript-1521</v>
      </c>
      <c r="B1522" s="1" t="s">
        <v>1434</v>
      </c>
      <c r="C1522" s="3">
        <v>1357439</v>
      </c>
      <c r="D1522" s="3">
        <v>1357852</v>
      </c>
      <c r="E1522" s="1" t="s">
        <v>13</v>
      </c>
      <c r="F1522" s="1">
        <v>0</v>
      </c>
      <c r="G1522" s="1" t="s">
        <v>4372</v>
      </c>
      <c r="H1522" s="1" t="s">
        <v>4372</v>
      </c>
      <c r="I1522" s="1" t="s">
        <v>4377</v>
      </c>
      <c r="J1522" s="1" t="s">
        <v>6638</v>
      </c>
      <c r="K1522" s="1" t="s">
        <v>6640</v>
      </c>
    </row>
    <row r="1523" spans="1:11" ht="21" x14ac:dyDescent="0.25">
      <c r="A1523" s="11" t="str">
        <f>HYPERLINK("https://rth.dk/resources/bsgatlas/details.php?id=BSGatlas-transcript-1522","BSGatlas-transcript-1522")</f>
        <v>BSGatlas-transcript-1522</v>
      </c>
      <c r="B1523" s="1" t="s">
        <v>1434</v>
      </c>
      <c r="C1523" s="3">
        <v>1357481</v>
      </c>
      <c r="D1523" s="3">
        <v>1357852</v>
      </c>
      <c r="E1523" s="1" t="s">
        <v>13</v>
      </c>
      <c r="F1523" s="1">
        <v>0</v>
      </c>
      <c r="G1523" s="1" t="s">
        <v>4372</v>
      </c>
      <c r="H1523" s="1" t="s">
        <v>4372</v>
      </c>
      <c r="I1523" s="1" t="s">
        <v>4377</v>
      </c>
      <c r="J1523" s="1" t="s">
        <v>6638</v>
      </c>
      <c r="K1523" s="1" t="s">
        <v>6641</v>
      </c>
    </row>
    <row r="1524" spans="1:11" ht="21" x14ac:dyDescent="0.25">
      <c r="A1524" s="11" t="str">
        <f>HYPERLINK("https://rth.dk/resources/bsgatlas/details.php?id=BSGatlas-transcript-1523","BSGatlas-transcript-1523")</f>
        <v>BSGatlas-transcript-1523</v>
      </c>
      <c r="B1524" s="1" t="s">
        <v>1435</v>
      </c>
      <c r="C1524" s="3">
        <v>1357885</v>
      </c>
      <c r="D1524" s="3">
        <v>1359345</v>
      </c>
      <c r="E1524" s="1" t="s">
        <v>13</v>
      </c>
      <c r="F1524" s="1">
        <v>0</v>
      </c>
      <c r="G1524" s="1" t="s">
        <v>4372</v>
      </c>
      <c r="H1524" s="1" t="s">
        <v>4372</v>
      </c>
      <c r="I1524" s="1" t="s">
        <v>4373</v>
      </c>
      <c r="J1524" s="1" t="s">
        <v>6642</v>
      </c>
      <c r="K1524" s="1" t="s">
        <v>6643</v>
      </c>
    </row>
    <row r="1525" spans="1:11" ht="21" x14ac:dyDescent="0.25">
      <c r="A1525" s="11" t="str">
        <f>HYPERLINK("https://rth.dk/resources/bsgatlas/details.php?id=BSGatlas-transcript-1524","BSGatlas-transcript-1524")</f>
        <v>BSGatlas-transcript-1524</v>
      </c>
      <c r="B1525" s="1" t="s">
        <v>1435</v>
      </c>
      <c r="C1525" s="3">
        <v>1357885</v>
      </c>
      <c r="D1525" s="3">
        <v>1359439</v>
      </c>
      <c r="E1525" s="1" t="s">
        <v>13</v>
      </c>
      <c r="F1525" s="1">
        <v>0</v>
      </c>
      <c r="G1525" s="1" t="s">
        <v>4372</v>
      </c>
      <c r="H1525" s="1" t="s">
        <v>4372</v>
      </c>
      <c r="I1525" s="1" t="s">
        <v>4373</v>
      </c>
      <c r="J1525" s="1" t="s">
        <v>6644</v>
      </c>
      <c r="K1525" s="1" t="s">
        <v>6643</v>
      </c>
    </row>
    <row r="1526" spans="1:11" ht="21" x14ac:dyDescent="0.25">
      <c r="A1526" s="11" t="str">
        <f>HYPERLINK("https://rth.dk/resources/bsgatlas/details.php?id=BSGatlas-transcript-1525","BSGatlas-transcript-1525")</f>
        <v>BSGatlas-transcript-1525</v>
      </c>
      <c r="B1526" s="1" t="s">
        <v>1436</v>
      </c>
      <c r="C1526" s="3">
        <v>1359345</v>
      </c>
      <c r="D1526" s="3">
        <v>1360305</v>
      </c>
      <c r="E1526" s="1" t="s">
        <v>9</v>
      </c>
      <c r="F1526" s="1">
        <v>0</v>
      </c>
      <c r="G1526" s="1" t="s">
        <v>4372</v>
      </c>
      <c r="H1526" s="1" t="s">
        <v>4372</v>
      </c>
      <c r="I1526" s="1" t="s">
        <v>4373</v>
      </c>
      <c r="J1526" s="1" t="s">
        <v>6645</v>
      </c>
      <c r="K1526" s="1" t="s">
        <v>6646</v>
      </c>
    </row>
    <row r="1527" spans="1:11" ht="21" x14ac:dyDescent="0.25">
      <c r="A1527" s="11" t="str">
        <f>HYPERLINK("https://rth.dk/resources/bsgatlas/details.php?id=BSGatlas-transcript-1526","BSGatlas-transcript-1526")</f>
        <v>BSGatlas-transcript-1526</v>
      </c>
      <c r="B1527" s="1" t="s">
        <v>1436</v>
      </c>
      <c r="C1527" s="3">
        <v>1359420</v>
      </c>
      <c r="D1527" s="3">
        <v>1360305</v>
      </c>
      <c r="E1527" s="1" t="s">
        <v>9</v>
      </c>
      <c r="F1527" s="1">
        <v>0</v>
      </c>
      <c r="G1527" s="1" t="s">
        <v>4372</v>
      </c>
      <c r="H1527" s="1" t="s">
        <v>4372</v>
      </c>
      <c r="I1527" s="1" t="s">
        <v>4373</v>
      </c>
      <c r="J1527" s="1" t="s">
        <v>6647</v>
      </c>
      <c r="K1527" s="1" t="s">
        <v>6646</v>
      </c>
    </row>
    <row r="1528" spans="1:11" ht="21" x14ac:dyDescent="0.25">
      <c r="A1528" s="11" t="str">
        <f>HYPERLINK("https://rth.dk/resources/bsgatlas/details.php?id=BSGatlas-transcript-1527","BSGatlas-transcript-1527")</f>
        <v>BSGatlas-transcript-1527</v>
      </c>
      <c r="B1528" s="1" t="s">
        <v>6648</v>
      </c>
      <c r="C1528" s="3">
        <v>1360365</v>
      </c>
      <c r="D1528" s="3">
        <v>1365816</v>
      </c>
      <c r="E1528" s="1" t="s">
        <v>9</v>
      </c>
      <c r="F1528" s="1">
        <v>1</v>
      </c>
      <c r="G1528" s="1">
        <v>37</v>
      </c>
      <c r="H1528" s="1">
        <v>17</v>
      </c>
      <c r="I1528" s="1" t="s">
        <v>4373</v>
      </c>
      <c r="J1528" s="1" t="s">
        <v>6649</v>
      </c>
      <c r="K1528" s="1" t="s">
        <v>6650</v>
      </c>
    </row>
    <row r="1529" spans="1:11" ht="21" x14ac:dyDescent="0.25">
      <c r="A1529" s="11" t="str">
        <f>HYPERLINK("https://rth.dk/resources/bsgatlas/details.php?id=BSGatlas-transcript-1528","BSGatlas-transcript-1528")</f>
        <v>BSGatlas-transcript-1528</v>
      </c>
      <c r="B1529" s="1" t="s">
        <v>6648</v>
      </c>
      <c r="C1529" s="3">
        <v>1360365</v>
      </c>
      <c r="D1529" s="3">
        <v>1365847</v>
      </c>
      <c r="E1529" s="1" t="s">
        <v>9</v>
      </c>
      <c r="F1529" s="1">
        <v>1</v>
      </c>
      <c r="G1529" s="1">
        <v>37</v>
      </c>
      <c r="H1529" s="1">
        <v>48</v>
      </c>
      <c r="I1529" s="1" t="s">
        <v>4373</v>
      </c>
      <c r="J1529" s="1" t="s">
        <v>6649</v>
      </c>
      <c r="K1529" s="1" t="s">
        <v>6651</v>
      </c>
    </row>
    <row r="1530" spans="1:11" ht="21" x14ac:dyDescent="0.25">
      <c r="A1530" s="11" t="str">
        <f>HYPERLINK("https://rth.dk/resources/bsgatlas/details.php?id=BSGatlas-transcript-1529","BSGatlas-transcript-1529")</f>
        <v>BSGatlas-transcript-1529</v>
      </c>
      <c r="B1530" s="1" t="s">
        <v>6652</v>
      </c>
      <c r="C1530" s="3">
        <v>1360365</v>
      </c>
      <c r="D1530" s="3">
        <v>1369833</v>
      </c>
      <c r="E1530" s="1" t="s">
        <v>9</v>
      </c>
      <c r="F1530" s="1">
        <v>2</v>
      </c>
      <c r="G1530" s="1">
        <v>37</v>
      </c>
      <c r="H1530" s="1" t="s">
        <v>4372</v>
      </c>
      <c r="I1530" s="1" t="s">
        <v>4386</v>
      </c>
      <c r="J1530" s="1" t="s">
        <v>6649</v>
      </c>
      <c r="K1530" s="1" t="s">
        <v>6653</v>
      </c>
    </row>
    <row r="1531" spans="1:11" ht="21" x14ac:dyDescent="0.25">
      <c r="A1531" s="11" t="str">
        <f>HYPERLINK("https://rth.dk/resources/bsgatlas/details.php?id=BSGatlas-transcript-1530","BSGatlas-transcript-1530")</f>
        <v>BSGatlas-transcript-1530</v>
      </c>
      <c r="B1531" s="1" t="s">
        <v>6652</v>
      </c>
      <c r="C1531" s="3">
        <v>1360365</v>
      </c>
      <c r="D1531" s="3">
        <v>1371069</v>
      </c>
      <c r="E1531" s="1" t="s">
        <v>9</v>
      </c>
      <c r="F1531" s="1">
        <v>2</v>
      </c>
      <c r="G1531" s="1">
        <v>37</v>
      </c>
      <c r="H1531" s="1">
        <v>1237</v>
      </c>
      <c r="I1531" s="1" t="s">
        <v>4386</v>
      </c>
      <c r="J1531" s="1" t="s">
        <v>6649</v>
      </c>
      <c r="K1531" s="1" t="s">
        <v>6654</v>
      </c>
    </row>
    <row r="1532" spans="1:11" ht="21" x14ac:dyDescent="0.25">
      <c r="A1532" s="11" t="str">
        <f>HYPERLINK("https://rth.dk/resources/bsgatlas/details.php?id=BSGatlas-transcript-1531","BSGatlas-transcript-1531")</f>
        <v>BSGatlas-transcript-1531</v>
      </c>
      <c r="B1532" s="1" t="s">
        <v>6655</v>
      </c>
      <c r="C1532" s="3">
        <v>1362890</v>
      </c>
      <c r="D1532" s="3">
        <v>1365816</v>
      </c>
      <c r="E1532" s="1" t="s">
        <v>9</v>
      </c>
      <c r="F1532" s="1">
        <v>0</v>
      </c>
      <c r="G1532" s="1" t="s">
        <v>4372</v>
      </c>
      <c r="H1532" s="1" t="s">
        <v>4372</v>
      </c>
      <c r="I1532" s="1" t="s">
        <v>4377</v>
      </c>
      <c r="J1532" s="1" t="s">
        <v>6656</v>
      </c>
      <c r="K1532" s="1" t="s">
        <v>6650</v>
      </c>
    </row>
    <row r="1533" spans="1:11" ht="21" x14ac:dyDescent="0.25">
      <c r="A1533" s="11" t="str">
        <f>HYPERLINK("https://rth.dk/resources/bsgatlas/details.php?id=BSGatlas-transcript-1532","BSGatlas-transcript-1532")</f>
        <v>BSGatlas-transcript-1532</v>
      </c>
      <c r="B1533" s="1" t="s">
        <v>6655</v>
      </c>
      <c r="C1533" s="3">
        <v>1362890</v>
      </c>
      <c r="D1533" s="3">
        <v>1365847</v>
      </c>
      <c r="E1533" s="1" t="s">
        <v>9</v>
      </c>
      <c r="F1533" s="1">
        <v>0</v>
      </c>
      <c r="G1533" s="1" t="s">
        <v>4372</v>
      </c>
      <c r="H1533" s="1" t="s">
        <v>4372</v>
      </c>
      <c r="I1533" s="1" t="s">
        <v>4377</v>
      </c>
      <c r="J1533" s="1" t="s">
        <v>6656</v>
      </c>
      <c r="K1533" s="1" t="s">
        <v>6651</v>
      </c>
    </row>
    <row r="1534" spans="1:11" ht="21" x14ac:dyDescent="0.25">
      <c r="A1534" s="11" t="str">
        <f>HYPERLINK("https://rth.dk/resources/bsgatlas/details.php?id=BSGatlas-transcript-1533","BSGatlas-transcript-1533")</f>
        <v>BSGatlas-transcript-1533</v>
      </c>
      <c r="B1534" s="1" t="s">
        <v>6657</v>
      </c>
      <c r="C1534" s="3">
        <v>1362890</v>
      </c>
      <c r="D1534" s="3">
        <v>1369833</v>
      </c>
      <c r="E1534" s="1" t="s">
        <v>9</v>
      </c>
      <c r="F1534" s="1">
        <v>1</v>
      </c>
      <c r="G1534" s="1">
        <v>252</v>
      </c>
      <c r="H1534" s="1" t="s">
        <v>4372</v>
      </c>
      <c r="I1534" s="1" t="s">
        <v>4377</v>
      </c>
      <c r="J1534" s="1" t="s">
        <v>6656</v>
      </c>
      <c r="K1534" s="1" t="s">
        <v>6653</v>
      </c>
    </row>
    <row r="1535" spans="1:11" ht="21" x14ac:dyDescent="0.25">
      <c r="A1535" s="11" t="str">
        <f>HYPERLINK("https://rth.dk/resources/bsgatlas/details.php?id=BSGatlas-transcript-1534","BSGatlas-transcript-1534")</f>
        <v>BSGatlas-transcript-1534</v>
      </c>
      <c r="B1535" s="1" t="s">
        <v>6657</v>
      </c>
      <c r="C1535" s="3">
        <v>1362890</v>
      </c>
      <c r="D1535" s="3">
        <v>1371069</v>
      </c>
      <c r="E1535" s="1" t="s">
        <v>9</v>
      </c>
      <c r="F1535" s="1">
        <v>1</v>
      </c>
      <c r="G1535" s="1">
        <v>252</v>
      </c>
      <c r="H1535" s="1">
        <v>1237</v>
      </c>
      <c r="I1535" s="1" t="s">
        <v>4377</v>
      </c>
      <c r="J1535" s="1" t="s">
        <v>6656</v>
      </c>
      <c r="K1535" s="1" t="s">
        <v>6654</v>
      </c>
    </row>
    <row r="1536" spans="1:11" ht="21" x14ac:dyDescent="0.25">
      <c r="A1536" s="11" t="str">
        <f>HYPERLINK("https://rth.dk/resources/bsgatlas/details.php?id=BSGatlas-transcript-1535","BSGatlas-transcript-1535")</f>
        <v>BSGatlas-transcript-1535</v>
      </c>
      <c r="B1536" s="1" t="s">
        <v>6658</v>
      </c>
      <c r="C1536" s="3">
        <v>1365888</v>
      </c>
      <c r="D1536" s="3">
        <v>1369833</v>
      </c>
      <c r="E1536" s="1" t="s">
        <v>9</v>
      </c>
      <c r="F1536" s="1">
        <v>0</v>
      </c>
      <c r="G1536" s="1" t="s">
        <v>4372</v>
      </c>
      <c r="H1536" s="1" t="s">
        <v>4372</v>
      </c>
      <c r="I1536" s="1" t="s">
        <v>4547</v>
      </c>
      <c r="J1536" s="1" t="s">
        <v>318</v>
      </c>
      <c r="K1536" s="1" t="s">
        <v>6653</v>
      </c>
    </row>
    <row r="1537" spans="1:11" ht="21" x14ac:dyDescent="0.25">
      <c r="A1537" s="11" t="str">
        <f>HYPERLINK("https://rth.dk/resources/bsgatlas/details.php?id=BSGatlas-transcript-1536","BSGatlas-transcript-1536")</f>
        <v>BSGatlas-transcript-1536</v>
      </c>
      <c r="B1537" s="1" t="s">
        <v>6658</v>
      </c>
      <c r="C1537" s="3">
        <v>1365888</v>
      </c>
      <c r="D1537" s="3">
        <v>1371069</v>
      </c>
      <c r="E1537" s="1" t="s">
        <v>9</v>
      </c>
      <c r="F1537" s="1">
        <v>0</v>
      </c>
      <c r="G1537" s="1" t="s">
        <v>4372</v>
      </c>
      <c r="H1537" s="1" t="s">
        <v>4372</v>
      </c>
      <c r="I1537" s="1" t="s">
        <v>4547</v>
      </c>
      <c r="J1537" s="1" t="s">
        <v>318</v>
      </c>
      <c r="K1537" s="1" t="s">
        <v>6654</v>
      </c>
    </row>
    <row r="1538" spans="1:11" ht="21" x14ac:dyDescent="0.25">
      <c r="A1538" s="11" t="str">
        <f>HYPERLINK("https://rth.dk/resources/bsgatlas/details.php?id=BSGatlas-transcript-1537","BSGatlas-transcript-1537")</f>
        <v>BSGatlas-transcript-1537</v>
      </c>
      <c r="B1538" s="1" t="s">
        <v>1446</v>
      </c>
      <c r="C1538" s="3">
        <v>1369094</v>
      </c>
      <c r="D1538" s="3">
        <v>1370963</v>
      </c>
      <c r="E1538" s="1" t="s">
        <v>13</v>
      </c>
      <c r="F1538" s="1">
        <v>0</v>
      </c>
      <c r="G1538" s="1" t="s">
        <v>4372</v>
      </c>
      <c r="H1538" s="1" t="s">
        <v>4372</v>
      </c>
      <c r="I1538" s="1" t="s">
        <v>4377</v>
      </c>
      <c r="J1538" s="1" t="s">
        <v>6659</v>
      </c>
      <c r="K1538" s="1" t="s">
        <v>6660</v>
      </c>
    </row>
    <row r="1539" spans="1:11" ht="21" x14ac:dyDescent="0.25">
      <c r="A1539" s="11" t="str">
        <f>HYPERLINK("https://rth.dk/resources/bsgatlas/details.php?id=BSGatlas-transcript-1538","BSGatlas-transcript-1538")</f>
        <v>BSGatlas-transcript-1538</v>
      </c>
      <c r="B1539" s="1" t="s">
        <v>6661</v>
      </c>
      <c r="C1539" s="3">
        <v>1369094</v>
      </c>
      <c r="D1539" s="3">
        <v>1371917</v>
      </c>
      <c r="E1539" s="1" t="s">
        <v>13</v>
      </c>
      <c r="F1539" s="1">
        <v>1</v>
      </c>
      <c r="G1539" s="1">
        <v>43</v>
      </c>
      <c r="H1539" s="1">
        <v>783</v>
      </c>
      <c r="I1539" s="1" t="s">
        <v>4373</v>
      </c>
      <c r="J1539" s="1" t="s">
        <v>6662</v>
      </c>
      <c r="K1539" s="1" t="s">
        <v>6660</v>
      </c>
    </row>
    <row r="1540" spans="1:11" ht="21" x14ac:dyDescent="0.25">
      <c r="A1540" s="11" t="str">
        <f>HYPERLINK("https://rth.dk/resources/bsgatlas/details.php?id=BSGatlas-transcript-1539","BSGatlas-transcript-1539")</f>
        <v>BSGatlas-transcript-1539</v>
      </c>
      <c r="B1540" s="1" t="s">
        <v>1446</v>
      </c>
      <c r="C1540" s="3">
        <v>1369826</v>
      </c>
      <c r="D1540" s="3">
        <v>1370963</v>
      </c>
      <c r="E1540" s="1" t="s">
        <v>13</v>
      </c>
      <c r="F1540" s="1">
        <v>0</v>
      </c>
      <c r="G1540" s="1" t="s">
        <v>4372</v>
      </c>
      <c r="H1540" s="1" t="s">
        <v>4372</v>
      </c>
      <c r="I1540" s="1" t="s">
        <v>4377</v>
      </c>
      <c r="J1540" s="1" t="s">
        <v>6659</v>
      </c>
      <c r="K1540" s="1" t="s">
        <v>6663</v>
      </c>
    </row>
    <row r="1541" spans="1:11" ht="21" x14ac:dyDescent="0.25">
      <c r="A1541" s="11" t="str">
        <f>HYPERLINK("https://rth.dk/resources/bsgatlas/details.php?id=BSGatlas-transcript-1540","BSGatlas-transcript-1540")</f>
        <v>BSGatlas-transcript-1540</v>
      </c>
      <c r="B1541" s="1" t="s">
        <v>6661</v>
      </c>
      <c r="C1541" s="3">
        <v>1369826</v>
      </c>
      <c r="D1541" s="3">
        <v>1371917</v>
      </c>
      <c r="E1541" s="1" t="s">
        <v>13</v>
      </c>
      <c r="F1541" s="1">
        <v>1</v>
      </c>
      <c r="G1541" s="1">
        <v>43</v>
      </c>
      <c r="H1541" s="1">
        <v>51</v>
      </c>
      <c r="I1541" s="1" t="s">
        <v>4373</v>
      </c>
      <c r="J1541" s="1" t="s">
        <v>6662</v>
      </c>
      <c r="K1541" s="1" t="s">
        <v>6663</v>
      </c>
    </row>
    <row r="1542" spans="1:11" ht="21" x14ac:dyDescent="0.25">
      <c r="A1542" s="11" t="str">
        <f>HYPERLINK("https://rth.dk/resources/bsgatlas/details.php?id=BSGatlas-transcript-1541","BSGatlas-transcript-1541")</f>
        <v>BSGatlas-transcript-1541</v>
      </c>
      <c r="B1542" s="1" t="s">
        <v>1446</v>
      </c>
      <c r="C1542" s="3">
        <v>1369876</v>
      </c>
      <c r="D1542" s="3">
        <v>1370963</v>
      </c>
      <c r="E1542" s="1" t="s">
        <v>13</v>
      </c>
      <c r="F1542" s="1">
        <v>0</v>
      </c>
      <c r="G1542" s="1" t="s">
        <v>4372</v>
      </c>
      <c r="H1542" s="1" t="s">
        <v>4372</v>
      </c>
      <c r="I1542" s="1" t="s">
        <v>4377</v>
      </c>
      <c r="J1542" s="1" t="s">
        <v>6659</v>
      </c>
      <c r="K1542" s="1" t="s">
        <v>6664</v>
      </c>
    </row>
    <row r="1543" spans="1:11" ht="21" x14ac:dyDescent="0.25">
      <c r="A1543" s="11" t="str">
        <f>HYPERLINK("https://rth.dk/resources/bsgatlas/details.php?id=BSGatlas-transcript-1542","BSGatlas-transcript-1542")</f>
        <v>BSGatlas-transcript-1542</v>
      </c>
      <c r="B1543" s="1" t="s">
        <v>6661</v>
      </c>
      <c r="C1543" s="3">
        <v>1369876</v>
      </c>
      <c r="D1543" s="3">
        <v>1371917</v>
      </c>
      <c r="E1543" s="1" t="s">
        <v>13</v>
      </c>
      <c r="F1543" s="1">
        <v>1</v>
      </c>
      <c r="G1543" s="1">
        <v>43</v>
      </c>
      <c r="H1543" s="1" t="s">
        <v>4372</v>
      </c>
      <c r="I1543" s="1" t="s">
        <v>4373</v>
      </c>
      <c r="J1543" s="1" t="s">
        <v>6662</v>
      </c>
      <c r="K1543" s="1" t="s">
        <v>6664</v>
      </c>
    </row>
    <row r="1544" spans="1:11" ht="21" x14ac:dyDescent="0.25">
      <c r="A1544" s="11" t="str">
        <f>HYPERLINK("https://rth.dk/resources/bsgatlas/details.php?id=BSGatlas-transcript-1543","BSGatlas-transcript-1543")</f>
        <v>BSGatlas-transcript-1543</v>
      </c>
      <c r="B1544" s="1" t="s">
        <v>1448</v>
      </c>
      <c r="C1544" s="3">
        <v>1371977</v>
      </c>
      <c r="D1544" s="3">
        <v>1372553</v>
      </c>
      <c r="E1544" s="1" t="s">
        <v>9</v>
      </c>
      <c r="F1544" s="1">
        <v>0</v>
      </c>
      <c r="G1544" s="1" t="s">
        <v>4372</v>
      </c>
      <c r="H1544" s="1" t="s">
        <v>4372</v>
      </c>
      <c r="I1544" s="1" t="s">
        <v>4386</v>
      </c>
      <c r="J1544" s="1" t="s">
        <v>6665</v>
      </c>
      <c r="K1544" s="1" t="s">
        <v>6666</v>
      </c>
    </row>
    <row r="1545" spans="1:11" ht="21" x14ac:dyDescent="0.25">
      <c r="A1545" s="11" t="str">
        <f>HYPERLINK("https://rth.dk/resources/bsgatlas/details.php?id=BSGatlas-transcript-1544","BSGatlas-transcript-1544")</f>
        <v>BSGatlas-transcript-1544</v>
      </c>
      <c r="B1545" s="1" t="s">
        <v>1449</v>
      </c>
      <c r="C1545" s="3">
        <v>1372636</v>
      </c>
      <c r="D1545" s="3">
        <v>1374042</v>
      </c>
      <c r="E1545" s="1" t="s">
        <v>9</v>
      </c>
      <c r="F1545" s="1">
        <v>0</v>
      </c>
      <c r="G1545" s="1" t="s">
        <v>4372</v>
      </c>
      <c r="H1545" s="1" t="s">
        <v>4372</v>
      </c>
      <c r="I1545" s="1" t="s">
        <v>4373</v>
      </c>
      <c r="J1545" s="1" t="s">
        <v>6667</v>
      </c>
      <c r="K1545" s="1" t="s">
        <v>6668</v>
      </c>
    </row>
    <row r="1546" spans="1:11" ht="21" x14ac:dyDescent="0.25">
      <c r="A1546" s="11" t="str">
        <f>HYPERLINK("https://rth.dk/resources/bsgatlas/details.php?id=BSGatlas-transcript-1545","BSGatlas-transcript-1545")</f>
        <v>BSGatlas-transcript-1545</v>
      </c>
      <c r="B1546" s="1" t="s">
        <v>6669</v>
      </c>
      <c r="C1546" s="3">
        <v>1372636</v>
      </c>
      <c r="D1546" s="3">
        <v>1375168</v>
      </c>
      <c r="E1546" s="1" t="s">
        <v>9</v>
      </c>
      <c r="F1546" s="1">
        <v>1</v>
      </c>
      <c r="G1546" s="1">
        <v>157</v>
      </c>
      <c r="H1546" s="1" t="s">
        <v>4372</v>
      </c>
      <c r="I1546" s="1" t="s">
        <v>4386</v>
      </c>
      <c r="J1546" s="1" t="s">
        <v>6667</v>
      </c>
      <c r="K1546" s="1" t="s">
        <v>6670</v>
      </c>
    </row>
    <row r="1547" spans="1:11" ht="21" x14ac:dyDescent="0.25">
      <c r="A1547" s="11" t="str">
        <f>HYPERLINK("https://rth.dk/resources/bsgatlas/details.php?id=BSGatlas-transcript-1546","BSGatlas-transcript-1546")</f>
        <v>BSGatlas-transcript-1546</v>
      </c>
      <c r="B1547" s="1" t="s">
        <v>1449</v>
      </c>
      <c r="C1547" s="3">
        <v>1372753</v>
      </c>
      <c r="D1547" s="3">
        <v>1374042</v>
      </c>
      <c r="E1547" s="1" t="s">
        <v>9</v>
      </c>
      <c r="F1547" s="1">
        <v>0</v>
      </c>
      <c r="G1547" s="1" t="s">
        <v>4372</v>
      </c>
      <c r="H1547" s="1" t="s">
        <v>4372</v>
      </c>
      <c r="I1547" s="1" t="s">
        <v>4373</v>
      </c>
      <c r="J1547" s="1" t="s">
        <v>6671</v>
      </c>
      <c r="K1547" s="1" t="s">
        <v>6668</v>
      </c>
    </row>
    <row r="1548" spans="1:11" ht="21" x14ac:dyDescent="0.25">
      <c r="A1548" s="11" t="str">
        <f>HYPERLINK("https://rth.dk/resources/bsgatlas/details.php?id=BSGatlas-transcript-1547","BSGatlas-transcript-1547")</f>
        <v>BSGatlas-transcript-1547</v>
      </c>
      <c r="B1548" s="1" t="s">
        <v>6669</v>
      </c>
      <c r="C1548" s="3">
        <v>1372753</v>
      </c>
      <c r="D1548" s="3">
        <v>1375168</v>
      </c>
      <c r="E1548" s="1" t="s">
        <v>9</v>
      </c>
      <c r="F1548" s="1">
        <v>1</v>
      </c>
      <c r="G1548" s="1">
        <v>40</v>
      </c>
      <c r="H1548" s="1" t="s">
        <v>4372</v>
      </c>
      <c r="I1548" s="1" t="s">
        <v>4386</v>
      </c>
      <c r="J1548" s="1" t="s">
        <v>6671</v>
      </c>
      <c r="K1548" s="1" t="s">
        <v>6670</v>
      </c>
    </row>
    <row r="1549" spans="1:11" ht="21" x14ac:dyDescent="0.25">
      <c r="A1549" s="11" t="str">
        <f>HYPERLINK("https://rth.dk/resources/bsgatlas/details.php?id=BSGatlas-transcript-1548","BSGatlas-transcript-1548")</f>
        <v>BSGatlas-transcript-1548</v>
      </c>
      <c r="B1549" s="1" t="s">
        <v>1451</v>
      </c>
      <c r="C1549" s="3">
        <v>1374068</v>
      </c>
      <c r="D1549" s="3">
        <v>1374292</v>
      </c>
      <c r="E1549" s="1" t="s">
        <v>13</v>
      </c>
      <c r="F1549" s="1">
        <v>0</v>
      </c>
      <c r="G1549" s="1" t="s">
        <v>4372</v>
      </c>
      <c r="H1549" s="1" t="s">
        <v>4372</v>
      </c>
      <c r="I1549" s="1" t="s">
        <v>4547</v>
      </c>
      <c r="J1549" s="1" t="s">
        <v>318</v>
      </c>
      <c r="K1549" s="1" t="s">
        <v>318</v>
      </c>
    </row>
    <row r="1550" spans="1:11" ht="21" x14ac:dyDescent="0.25">
      <c r="A1550" s="11" t="str">
        <f>HYPERLINK("https://rth.dk/resources/bsgatlas/details.php?id=BSGatlas-transcript-1549","BSGatlas-transcript-1549")</f>
        <v>BSGatlas-transcript-1549</v>
      </c>
      <c r="B1550" s="1" t="s">
        <v>1450</v>
      </c>
      <c r="C1550" s="3">
        <v>1374398</v>
      </c>
      <c r="D1550" s="3">
        <v>1375168</v>
      </c>
      <c r="E1550" s="1" t="s">
        <v>9</v>
      </c>
      <c r="F1550" s="1">
        <v>0</v>
      </c>
      <c r="G1550" s="1" t="s">
        <v>4372</v>
      </c>
      <c r="H1550" s="1" t="s">
        <v>4372</v>
      </c>
      <c r="I1550" s="1" t="s">
        <v>4377</v>
      </c>
      <c r="J1550" s="1" t="s">
        <v>6672</v>
      </c>
      <c r="K1550" s="1" t="s">
        <v>6670</v>
      </c>
    </row>
    <row r="1551" spans="1:11" ht="21" x14ac:dyDescent="0.25">
      <c r="A1551" s="11" t="str">
        <f>HYPERLINK("https://rth.dk/resources/bsgatlas/details.php?id=BSGatlas-transcript-1550","BSGatlas-transcript-1550")</f>
        <v>BSGatlas-transcript-1550</v>
      </c>
      <c r="B1551" s="1" t="s">
        <v>6673</v>
      </c>
      <c r="C1551" s="3">
        <v>1375234</v>
      </c>
      <c r="D1551" s="3">
        <v>1376295</v>
      </c>
      <c r="E1551" s="1" t="s">
        <v>9</v>
      </c>
      <c r="F1551" s="1">
        <v>0</v>
      </c>
      <c r="G1551" s="1" t="s">
        <v>4372</v>
      </c>
      <c r="H1551" s="1" t="s">
        <v>4372</v>
      </c>
      <c r="I1551" s="1" t="s">
        <v>4386</v>
      </c>
      <c r="J1551" s="1" t="s">
        <v>6674</v>
      </c>
      <c r="K1551" s="1" t="s">
        <v>318</v>
      </c>
    </row>
    <row r="1552" spans="1:11" ht="21" x14ac:dyDescent="0.25">
      <c r="A1552" s="11" t="str">
        <f>HYPERLINK("https://rth.dk/resources/bsgatlas/details.php?id=BSGatlas-transcript-1551","BSGatlas-transcript-1551")</f>
        <v>BSGatlas-transcript-1551</v>
      </c>
      <c r="B1552" s="1" t="s">
        <v>6675</v>
      </c>
      <c r="C1552" s="3">
        <v>1376313</v>
      </c>
      <c r="D1552" s="3">
        <v>1377172</v>
      </c>
      <c r="E1552" s="1" t="s">
        <v>9</v>
      </c>
      <c r="F1552" s="1">
        <v>0</v>
      </c>
      <c r="G1552" s="1" t="s">
        <v>4372</v>
      </c>
      <c r="H1552" s="1" t="s">
        <v>4372</v>
      </c>
      <c r="I1552" s="1" t="s">
        <v>4386</v>
      </c>
      <c r="J1552" s="1" t="s">
        <v>6676</v>
      </c>
      <c r="K1552" s="1" t="s">
        <v>318</v>
      </c>
    </row>
    <row r="1553" spans="1:11" ht="21" x14ac:dyDescent="0.25">
      <c r="A1553" s="11" t="str">
        <f>HYPERLINK("https://rth.dk/resources/bsgatlas/details.php?id=BSGatlas-transcript-1552","BSGatlas-transcript-1552")</f>
        <v>BSGatlas-transcript-1552</v>
      </c>
      <c r="B1553" s="1" t="s">
        <v>1456</v>
      </c>
      <c r="C1553" s="3">
        <v>1376327</v>
      </c>
      <c r="D1553" s="3">
        <v>1376439</v>
      </c>
      <c r="E1553" s="1" t="s">
        <v>9</v>
      </c>
      <c r="F1553" s="1">
        <v>0</v>
      </c>
      <c r="G1553" s="1" t="s">
        <v>4372</v>
      </c>
      <c r="H1553" s="1" t="s">
        <v>4372</v>
      </c>
      <c r="I1553" s="1" t="s">
        <v>4377</v>
      </c>
      <c r="J1553" s="1" t="s">
        <v>318</v>
      </c>
      <c r="K1553" s="1" t="s">
        <v>6677</v>
      </c>
    </row>
    <row r="1554" spans="1:11" ht="21" x14ac:dyDescent="0.25">
      <c r="A1554" s="11" t="str">
        <f>HYPERLINK("https://rth.dk/resources/bsgatlas/details.php?id=BSGatlas-transcript-1553","BSGatlas-transcript-1553")</f>
        <v>BSGatlas-transcript-1553</v>
      </c>
      <c r="B1554" s="1" t="s">
        <v>1457</v>
      </c>
      <c r="C1554" s="3">
        <v>1377203</v>
      </c>
      <c r="D1554" s="3">
        <v>1378145</v>
      </c>
      <c r="E1554" s="1" t="s">
        <v>9</v>
      </c>
      <c r="F1554" s="1">
        <v>0</v>
      </c>
      <c r="G1554" s="1" t="s">
        <v>4372</v>
      </c>
      <c r="H1554" s="1" t="s">
        <v>4372</v>
      </c>
      <c r="I1554" s="1" t="s">
        <v>4386</v>
      </c>
      <c r="J1554" s="1" t="s">
        <v>6678</v>
      </c>
      <c r="K1554" s="1" t="s">
        <v>6679</v>
      </c>
    </row>
    <row r="1555" spans="1:11" ht="21" x14ac:dyDescent="0.25">
      <c r="A1555" s="11" t="str">
        <f>HYPERLINK("https://rth.dk/resources/bsgatlas/details.php?id=BSGatlas-transcript-1554","BSGatlas-transcript-1554")</f>
        <v>BSGatlas-transcript-1554</v>
      </c>
      <c r="B1555" s="1" t="s">
        <v>6680</v>
      </c>
      <c r="C1555" s="3">
        <v>1378226</v>
      </c>
      <c r="D1555" s="3">
        <v>1380852</v>
      </c>
      <c r="E1555" s="1" t="s">
        <v>9</v>
      </c>
      <c r="F1555" s="1">
        <v>0</v>
      </c>
      <c r="G1555" s="1" t="s">
        <v>4372</v>
      </c>
      <c r="H1555" s="1" t="s">
        <v>4372</v>
      </c>
      <c r="I1555" s="1" t="s">
        <v>4397</v>
      </c>
      <c r="J1555" s="1" t="s">
        <v>6681</v>
      </c>
      <c r="K1555" s="1" t="s">
        <v>6682</v>
      </c>
    </row>
    <row r="1556" spans="1:11" ht="21" x14ac:dyDescent="0.25">
      <c r="A1556" s="11" t="str">
        <f>HYPERLINK("https://rth.dk/resources/bsgatlas/details.php?id=BSGatlas-transcript-1555","BSGatlas-transcript-1555")</f>
        <v>BSGatlas-transcript-1555</v>
      </c>
      <c r="B1556" s="1" t="s">
        <v>1460</v>
      </c>
      <c r="C1556" s="3">
        <v>1378233</v>
      </c>
      <c r="D1556" s="3">
        <v>1378443</v>
      </c>
      <c r="E1556" s="1" t="s">
        <v>9</v>
      </c>
      <c r="F1556" s="1">
        <v>0</v>
      </c>
      <c r="G1556" s="1" t="s">
        <v>4372</v>
      </c>
      <c r="H1556" s="1" t="s">
        <v>4372</v>
      </c>
      <c r="I1556" s="1" t="s">
        <v>4377</v>
      </c>
      <c r="J1556" s="1" t="s">
        <v>318</v>
      </c>
      <c r="K1556" s="1" t="s">
        <v>6683</v>
      </c>
    </row>
    <row r="1557" spans="1:11" ht="21" x14ac:dyDescent="0.25">
      <c r="A1557" s="11" t="str">
        <f>HYPERLINK("https://rth.dk/resources/bsgatlas/details.php?id=BSGatlas-transcript-1556","BSGatlas-transcript-1556")</f>
        <v>BSGatlas-transcript-1556</v>
      </c>
      <c r="B1557" s="1" t="s">
        <v>1460</v>
      </c>
      <c r="C1557" s="3">
        <v>1378233</v>
      </c>
      <c r="D1557" s="3">
        <v>1378463</v>
      </c>
      <c r="E1557" s="1" t="s">
        <v>9</v>
      </c>
      <c r="F1557" s="1">
        <v>0</v>
      </c>
      <c r="G1557" s="1" t="s">
        <v>4372</v>
      </c>
      <c r="H1557" s="1" t="s">
        <v>4372</v>
      </c>
      <c r="I1557" s="1" t="s">
        <v>4377</v>
      </c>
      <c r="J1557" s="1" t="s">
        <v>318</v>
      </c>
      <c r="K1557" s="1" t="s">
        <v>6684</v>
      </c>
    </row>
    <row r="1558" spans="1:11" ht="21" x14ac:dyDescent="0.25">
      <c r="A1558" s="11" t="str">
        <f>HYPERLINK("https://rth.dk/resources/bsgatlas/details.php?id=BSGatlas-transcript-1557","BSGatlas-transcript-1557")</f>
        <v>BSGatlas-transcript-1557</v>
      </c>
      <c r="B1558" s="1" t="s">
        <v>6680</v>
      </c>
      <c r="C1558" s="3">
        <v>1378496</v>
      </c>
      <c r="D1558" s="3">
        <v>1380852</v>
      </c>
      <c r="E1558" s="1" t="s">
        <v>9</v>
      </c>
      <c r="F1558" s="1">
        <v>0</v>
      </c>
      <c r="G1558" s="1" t="s">
        <v>4372</v>
      </c>
      <c r="H1558" s="1" t="s">
        <v>4372</v>
      </c>
      <c r="I1558" s="1" t="s">
        <v>4397</v>
      </c>
      <c r="J1558" s="1" t="s">
        <v>6685</v>
      </c>
      <c r="K1558" s="1" t="s">
        <v>6682</v>
      </c>
    </row>
    <row r="1559" spans="1:11" ht="21" x14ac:dyDescent="0.25">
      <c r="A1559" s="11" t="str">
        <f>HYPERLINK("https://rth.dk/resources/bsgatlas/details.php?id=BSGatlas-transcript-1558","BSGatlas-transcript-1558")</f>
        <v>BSGatlas-transcript-1558</v>
      </c>
      <c r="B1559" s="1" t="s">
        <v>1461</v>
      </c>
      <c r="C1559" s="3">
        <v>1380951</v>
      </c>
      <c r="D1559" s="3">
        <v>1381452</v>
      </c>
      <c r="E1559" s="1" t="s">
        <v>9</v>
      </c>
      <c r="F1559" s="1">
        <v>0</v>
      </c>
      <c r="G1559" s="1" t="s">
        <v>4372</v>
      </c>
      <c r="H1559" s="1" t="s">
        <v>4372</v>
      </c>
      <c r="I1559" s="1" t="s">
        <v>4373</v>
      </c>
      <c r="J1559" s="1" t="s">
        <v>6686</v>
      </c>
      <c r="K1559" s="1" t="s">
        <v>6687</v>
      </c>
    </row>
    <row r="1560" spans="1:11" ht="21" x14ac:dyDescent="0.25">
      <c r="A1560" s="11" t="str">
        <f>HYPERLINK("https://rth.dk/resources/bsgatlas/details.php?id=BSGatlas-transcript-1559","BSGatlas-transcript-1559")</f>
        <v>BSGatlas-transcript-1559</v>
      </c>
      <c r="B1560" s="1" t="s">
        <v>1462</v>
      </c>
      <c r="C1560" s="3">
        <v>1381396</v>
      </c>
      <c r="D1560" s="3">
        <v>1381910</v>
      </c>
      <c r="E1560" s="1" t="s">
        <v>13</v>
      </c>
      <c r="F1560" s="1">
        <v>0</v>
      </c>
      <c r="G1560" s="1" t="s">
        <v>4372</v>
      </c>
      <c r="H1560" s="1" t="s">
        <v>4372</v>
      </c>
      <c r="I1560" s="1" t="s">
        <v>4373</v>
      </c>
      <c r="J1560" s="1" t="s">
        <v>6688</v>
      </c>
      <c r="K1560" s="1" t="s">
        <v>6689</v>
      </c>
    </row>
    <row r="1561" spans="1:11" ht="21" x14ac:dyDescent="0.25">
      <c r="A1561" s="11" t="str">
        <f>HYPERLINK("https://rth.dk/resources/bsgatlas/details.php?id=BSGatlas-transcript-1560","BSGatlas-transcript-1560")</f>
        <v>BSGatlas-transcript-1560</v>
      </c>
      <c r="B1561" s="1" t="s">
        <v>1462</v>
      </c>
      <c r="C1561" s="3">
        <v>1381434</v>
      </c>
      <c r="D1561" s="3">
        <v>1381910</v>
      </c>
      <c r="E1561" s="1" t="s">
        <v>13</v>
      </c>
      <c r="F1561" s="1">
        <v>0</v>
      </c>
      <c r="G1561" s="1" t="s">
        <v>4372</v>
      </c>
      <c r="H1561" s="1" t="s">
        <v>4372</v>
      </c>
      <c r="I1561" s="1" t="s">
        <v>4373</v>
      </c>
      <c r="J1561" s="1" t="s">
        <v>6688</v>
      </c>
      <c r="K1561" s="1" t="s">
        <v>6690</v>
      </c>
    </row>
    <row r="1562" spans="1:11" ht="21" x14ac:dyDescent="0.25">
      <c r="A1562" s="11" t="str">
        <f>HYPERLINK("https://rth.dk/resources/bsgatlas/details.php?id=BSGatlas-transcript-1561","BSGatlas-transcript-1561")</f>
        <v>BSGatlas-transcript-1561</v>
      </c>
      <c r="B1562" s="1" t="s">
        <v>1463</v>
      </c>
      <c r="C1562" s="3">
        <v>1381994</v>
      </c>
      <c r="D1562" s="3">
        <v>1382430</v>
      </c>
      <c r="E1562" s="1" t="s">
        <v>9</v>
      </c>
      <c r="F1562" s="1">
        <v>0</v>
      </c>
      <c r="G1562" s="1" t="s">
        <v>4372</v>
      </c>
      <c r="H1562" s="1" t="s">
        <v>4372</v>
      </c>
      <c r="I1562" s="1" t="s">
        <v>4373</v>
      </c>
      <c r="J1562" s="1" t="s">
        <v>6691</v>
      </c>
      <c r="K1562" s="1" t="s">
        <v>6692</v>
      </c>
    </row>
    <row r="1563" spans="1:11" ht="21" x14ac:dyDescent="0.25">
      <c r="A1563" s="11" t="str">
        <f>HYPERLINK("https://rth.dk/resources/bsgatlas/details.php?id=BSGatlas-transcript-1562","BSGatlas-transcript-1562")</f>
        <v>BSGatlas-transcript-1562</v>
      </c>
      <c r="B1563" s="1" t="s">
        <v>1463</v>
      </c>
      <c r="C1563" s="3">
        <v>1381994</v>
      </c>
      <c r="D1563" s="3">
        <v>1382474</v>
      </c>
      <c r="E1563" s="1" t="s">
        <v>9</v>
      </c>
      <c r="F1563" s="1">
        <v>0</v>
      </c>
      <c r="G1563" s="1" t="s">
        <v>4372</v>
      </c>
      <c r="H1563" s="1" t="s">
        <v>4372</v>
      </c>
      <c r="I1563" s="1" t="s">
        <v>4373</v>
      </c>
      <c r="J1563" s="1" t="s">
        <v>6691</v>
      </c>
      <c r="K1563" s="1" t="s">
        <v>6693</v>
      </c>
    </row>
    <row r="1564" spans="1:11" ht="21" x14ac:dyDescent="0.25">
      <c r="A1564" s="11" t="str">
        <f>HYPERLINK("https://rth.dk/resources/bsgatlas/details.php?id=BSGatlas-transcript-1563","BSGatlas-transcript-1563")</f>
        <v>BSGatlas-transcript-1563</v>
      </c>
      <c r="B1564" s="1" t="s">
        <v>6694</v>
      </c>
      <c r="C1564" s="3">
        <v>1381994</v>
      </c>
      <c r="D1564" s="3">
        <v>1383285</v>
      </c>
      <c r="E1564" s="1" t="s">
        <v>9</v>
      </c>
      <c r="F1564" s="1">
        <v>1</v>
      </c>
      <c r="G1564" s="1">
        <v>27</v>
      </c>
      <c r="H1564" s="1">
        <v>659</v>
      </c>
      <c r="I1564" s="1" t="s">
        <v>4386</v>
      </c>
      <c r="J1564" s="1" t="s">
        <v>6691</v>
      </c>
      <c r="K1564" s="1" t="s">
        <v>6695</v>
      </c>
    </row>
    <row r="1565" spans="1:11" ht="21" x14ac:dyDescent="0.25">
      <c r="A1565" s="11" t="str">
        <f>HYPERLINK("https://rth.dk/resources/bsgatlas/details.php?id=BSGatlas-transcript-1564","BSGatlas-transcript-1564")</f>
        <v>BSGatlas-transcript-1564</v>
      </c>
      <c r="B1565" s="1" t="s">
        <v>1465</v>
      </c>
      <c r="C1565" s="3">
        <v>1382635</v>
      </c>
      <c r="D1565" s="3">
        <v>1383171</v>
      </c>
      <c r="E1565" s="1" t="s">
        <v>13</v>
      </c>
      <c r="F1565" s="1">
        <v>0</v>
      </c>
      <c r="G1565" s="1" t="s">
        <v>4372</v>
      </c>
      <c r="H1565" s="1" t="s">
        <v>4372</v>
      </c>
      <c r="I1565" s="1" t="s">
        <v>4373</v>
      </c>
      <c r="J1565" s="1" t="s">
        <v>6696</v>
      </c>
      <c r="K1565" s="1" t="s">
        <v>6697</v>
      </c>
    </row>
    <row r="1566" spans="1:11" ht="21" x14ac:dyDescent="0.25">
      <c r="A1566" s="11" t="str">
        <f>HYPERLINK("https://rth.dk/resources/bsgatlas/details.php?id=BSGatlas-transcript-1565","BSGatlas-transcript-1565")</f>
        <v>BSGatlas-transcript-1565</v>
      </c>
      <c r="B1566" s="1" t="s">
        <v>1466</v>
      </c>
      <c r="C1566" s="3">
        <v>1383320</v>
      </c>
      <c r="D1566" s="3">
        <v>1385671</v>
      </c>
      <c r="E1566" s="1" t="s">
        <v>13</v>
      </c>
      <c r="F1566" s="1">
        <v>0</v>
      </c>
      <c r="G1566" s="1" t="s">
        <v>4372</v>
      </c>
      <c r="H1566" s="1" t="s">
        <v>4372</v>
      </c>
      <c r="I1566" s="1" t="s">
        <v>4386</v>
      </c>
      <c r="J1566" s="1" t="s">
        <v>6698</v>
      </c>
      <c r="K1566" s="1" t="s">
        <v>6699</v>
      </c>
    </row>
    <row r="1567" spans="1:11" ht="21" x14ac:dyDescent="0.25">
      <c r="A1567" s="11" t="str">
        <f>HYPERLINK("https://rth.dk/resources/bsgatlas/details.php?id=BSGatlas-transcript-1566","BSGatlas-transcript-1566")</f>
        <v>BSGatlas-transcript-1566</v>
      </c>
      <c r="B1567" s="1" t="s">
        <v>1466</v>
      </c>
      <c r="C1567" s="3">
        <v>1383320</v>
      </c>
      <c r="D1567" s="3">
        <v>1385936</v>
      </c>
      <c r="E1567" s="1" t="s">
        <v>13</v>
      </c>
      <c r="F1567" s="1">
        <v>0</v>
      </c>
      <c r="G1567" s="1" t="s">
        <v>4372</v>
      </c>
      <c r="H1567" s="1" t="s">
        <v>4372</v>
      </c>
      <c r="I1567" s="1" t="s">
        <v>4386</v>
      </c>
      <c r="J1567" s="1" t="s">
        <v>6700</v>
      </c>
      <c r="K1567" s="1" t="s">
        <v>6699</v>
      </c>
    </row>
    <row r="1568" spans="1:11" ht="21" x14ac:dyDescent="0.25">
      <c r="A1568" s="11" t="str">
        <f>HYPERLINK("https://rth.dk/resources/bsgatlas/details.php?id=BSGatlas-transcript-1567","BSGatlas-transcript-1567")</f>
        <v>BSGatlas-transcript-1567</v>
      </c>
      <c r="B1568" s="1" t="s">
        <v>1467</v>
      </c>
      <c r="C1568" s="3">
        <v>1385673</v>
      </c>
      <c r="D1568" s="3">
        <v>1385891</v>
      </c>
      <c r="E1568" s="1" t="s">
        <v>13</v>
      </c>
      <c r="F1568" s="1">
        <v>0</v>
      </c>
      <c r="G1568" s="1" t="s">
        <v>4372</v>
      </c>
      <c r="H1568" s="1" t="s">
        <v>4372</v>
      </c>
      <c r="I1568" s="1" t="s">
        <v>4377</v>
      </c>
      <c r="J1568" s="1" t="s">
        <v>318</v>
      </c>
      <c r="K1568" s="1" t="s">
        <v>6701</v>
      </c>
    </row>
    <row r="1569" spans="1:11" ht="21" x14ac:dyDescent="0.25">
      <c r="A1569" s="11" t="str">
        <f>HYPERLINK("https://rth.dk/resources/bsgatlas/details.php?id=BSGatlas-transcript-1568","BSGatlas-transcript-1568")</f>
        <v>BSGatlas-transcript-1568</v>
      </c>
      <c r="B1569" s="1" t="s">
        <v>1468</v>
      </c>
      <c r="C1569" s="3">
        <v>1386024</v>
      </c>
      <c r="D1569" s="3">
        <v>1387028</v>
      </c>
      <c r="E1569" s="1" t="s">
        <v>13</v>
      </c>
      <c r="F1569" s="1">
        <v>0</v>
      </c>
      <c r="G1569" s="1" t="s">
        <v>4372</v>
      </c>
      <c r="H1569" s="1" t="s">
        <v>4372</v>
      </c>
      <c r="I1569" s="1" t="s">
        <v>4397</v>
      </c>
      <c r="J1569" s="1" t="s">
        <v>6702</v>
      </c>
      <c r="K1569" s="1" t="s">
        <v>318</v>
      </c>
    </row>
    <row r="1570" spans="1:11" ht="21" x14ac:dyDescent="0.25">
      <c r="A1570" s="11" t="str">
        <f>HYPERLINK("https://rth.dk/resources/bsgatlas/details.php?id=BSGatlas-transcript-1569","BSGatlas-transcript-1569")</f>
        <v>BSGatlas-transcript-1569</v>
      </c>
      <c r="B1570" s="1" t="s">
        <v>1469</v>
      </c>
      <c r="C1570" s="3">
        <v>1387168</v>
      </c>
      <c r="D1570" s="3">
        <v>1388039</v>
      </c>
      <c r="E1570" s="1" t="s">
        <v>9</v>
      </c>
      <c r="F1570" s="1">
        <v>0</v>
      </c>
      <c r="G1570" s="1" t="s">
        <v>4372</v>
      </c>
      <c r="H1570" s="1" t="s">
        <v>4372</v>
      </c>
      <c r="I1570" s="1" t="s">
        <v>4397</v>
      </c>
      <c r="J1570" s="1" t="s">
        <v>6703</v>
      </c>
      <c r="K1570" s="1" t="s">
        <v>6704</v>
      </c>
    </row>
    <row r="1571" spans="1:11" ht="21" x14ac:dyDescent="0.25">
      <c r="A1571" s="11" t="str">
        <f>HYPERLINK("https://rth.dk/resources/bsgatlas/details.php?id=BSGatlas-transcript-1570","BSGatlas-transcript-1570")</f>
        <v>BSGatlas-transcript-1570</v>
      </c>
      <c r="B1571" s="1" t="s">
        <v>6705</v>
      </c>
      <c r="C1571" s="3">
        <v>1388070</v>
      </c>
      <c r="D1571" s="3">
        <v>1391887</v>
      </c>
      <c r="E1571" s="1" t="s">
        <v>13</v>
      </c>
      <c r="F1571" s="1">
        <v>0</v>
      </c>
      <c r="G1571" s="1" t="s">
        <v>4372</v>
      </c>
      <c r="H1571" s="1" t="s">
        <v>4372</v>
      </c>
      <c r="I1571" s="1" t="s">
        <v>4386</v>
      </c>
      <c r="J1571" s="1" t="s">
        <v>6706</v>
      </c>
      <c r="K1571" s="1" t="s">
        <v>6707</v>
      </c>
    </row>
    <row r="1572" spans="1:11" ht="21" x14ac:dyDescent="0.25">
      <c r="A1572" s="11" t="str">
        <f>HYPERLINK("https://rth.dk/resources/bsgatlas/details.php?id=BSGatlas-transcript-1571","BSGatlas-transcript-1571")</f>
        <v>BSGatlas-transcript-1571</v>
      </c>
      <c r="B1572" s="1" t="s">
        <v>1474</v>
      </c>
      <c r="C1572" s="3">
        <v>1391698</v>
      </c>
      <c r="D1572" s="3">
        <v>1391851</v>
      </c>
      <c r="E1572" s="1" t="s">
        <v>13</v>
      </c>
      <c r="F1572" s="1">
        <v>0</v>
      </c>
      <c r="G1572" s="1" t="s">
        <v>4372</v>
      </c>
      <c r="H1572" s="1" t="s">
        <v>4372</v>
      </c>
      <c r="I1572" s="1" t="s">
        <v>4377</v>
      </c>
      <c r="J1572" s="1" t="s">
        <v>318</v>
      </c>
      <c r="K1572" s="1" t="s">
        <v>6708</v>
      </c>
    </row>
    <row r="1573" spans="1:11" ht="21" x14ac:dyDescent="0.25">
      <c r="A1573" s="11" t="str">
        <f>HYPERLINK("https://rth.dk/resources/bsgatlas/details.php?id=BSGatlas-transcript-1572","BSGatlas-transcript-1572")</f>
        <v>BSGatlas-transcript-1572</v>
      </c>
      <c r="B1573" s="1" t="s">
        <v>6709</v>
      </c>
      <c r="C1573" s="3">
        <v>1391882</v>
      </c>
      <c r="D1573" s="3">
        <v>1395288</v>
      </c>
      <c r="E1573" s="1" t="s">
        <v>9</v>
      </c>
      <c r="F1573" s="1">
        <v>1</v>
      </c>
      <c r="G1573" s="1">
        <v>72</v>
      </c>
      <c r="H1573" s="1" t="s">
        <v>4372</v>
      </c>
      <c r="I1573" s="1" t="s">
        <v>4386</v>
      </c>
      <c r="J1573" s="1" t="s">
        <v>6710</v>
      </c>
      <c r="K1573" s="1" t="s">
        <v>6711</v>
      </c>
    </row>
    <row r="1574" spans="1:11" ht="21" x14ac:dyDescent="0.25">
      <c r="A1574" s="11" t="str">
        <f>HYPERLINK("https://rth.dk/resources/bsgatlas/details.php?id=BSGatlas-transcript-1573","BSGatlas-transcript-1573")</f>
        <v>BSGatlas-transcript-1573</v>
      </c>
      <c r="B1574" s="1" t="s">
        <v>1478</v>
      </c>
      <c r="C1574" s="3">
        <v>1394737</v>
      </c>
      <c r="D1574" s="3">
        <v>1395288</v>
      </c>
      <c r="E1574" s="1" t="s">
        <v>9</v>
      </c>
      <c r="F1574" s="1">
        <v>0</v>
      </c>
      <c r="G1574" s="1" t="s">
        <v>4372</v>
      </c>
      <c r="H1574" s="1" t="s">
        <v>4372</v>
      </c>
      <c r="I1574" s="1" t="s">
        <v>4386</v>
      </c>
      <c r="J1574" s="1" t="s">
        <v>6712</v>
      </c>
      <c r="K1574" s="1" t="s">
        <v>6711</v>
      </c>
    </row>
    <row r="1575" spans="1:11" ht="21" x14ac:dyDescent="0.25">
      <c r="A1575" s="11" t="str">
        <f>HYPERLINK("https://rth.dk/resources/bsgatlas/details.php?id=BSGatlas-transcript-1574","BSGatlas-transcript-1574")</f>
        <v>BSGatlas-transcript-1574</v>
      </c>
      <c r="B1575" s="1" t="s">
        <v>1479</v>
      </c>
      <c r="C1575" s="3">
        <v>1395340</v>
      </c>
      <c r="D1575" s="3">
        <v>1395508</v>
      </c>
      <c r="E1575" s="1" t="s">
        <v>9</v>
      </c>
      <c r="F1575" s="1">
        <v>0</v>
      </c>
      <c r="G1575" s="1" t="s">
        <v>4372</v>
      </c>
      <c r="H1575" s="1" t="s">
        <v>4372</v>
      </c>
      <c r="I1575" s="1" t="s">
        <v>4386</v>
      </c>
      <c r="J1575" s="1" t="s">
        <v>6713</v>
      </c>
      <c r="K1575" s="1" t="s">
        <v>6714</v>
      </c>
    </row>
    <row r="1576" spans="1:11" ht="21" x14ac:dyDescent="0.25">
      <c r="A1576" s="11" t="str">
        <f>HYPERLINK("https://rth.dk/resources/bsgatlas/details.php?id=BSGatlas-transcript-1575","BSGatlas-transcript-1575")</f>
        <v>BSGatlas-transcript-1575</v>
      </c>
      <c r="B1576" s="1" t="s">
        <v>1480</v>
      </c>
      <c r="C1576" s="3">
        <v>1395590</v>
      </c>
      <c r="D1576" s="3">
        <v>1397368</v>
      </c>
      <c r="E1576" s="1" t="s">
        <v>9</v>
      </c>
      <c r="F1576" s="1">
        <v>0</v>
      </c>
      <c r="G1576" s="1" t="s">
        <v>4372</v>
      </c>
      <c r="H1576" s="1" t="s">
        <v>4372</v>
      </c>
      <c r="I1576" s="1" t="s">
        <v>4397</v>
      </c>
      <c r="J1576" s="1" t="s">
        <v>6715</v>
      </c>
      <c r="K1576" s="1" t="s">
        <v>6716</v>
      </c>
    </row>
    <row r="1577" spans="1:11" ht="21" x14ac:dyDescent="0.25">
      <c r="A1577" s="11" t="str">
        <f>HYPERLINK("https://rth.dk/resources/bsgatlas/details.php?id=BSGatlas-transcript-1576","BSGatlas-transcript-1576")</f>
        <v>BSGatlas-transcript-1576</v>
      </c>
      <c r="B1577" s="1" t="s">
        <v>1481</v>
      </c>
      <c r="C1577" s="3">
        <v>1395615</v>
      </c>
      <c r="D1577" s="3">
        <v>1395824</v>
      </c>
      <c r="E1577" s="1" t="s">
        <v>9</v>
      </c>
      <c r="F1577" s="1">
        <v>0</v>
      </c>
      <c r="G1577" s="1" t="s">
        <v>4372</v>
      </c>
      <c r="H1577" s="1" t="s">
        <v>4372</v>
      </c>
      <c r="I1577" s="1" t="s">
        <v>4377</v>
      </c>
      <c r="J1577" s="1" t="s">
        <v>318</v>
      </c>
      <c r="K1577" s="1" t="s">
        <v>6717</v>
      </c>
    </row>
    <row r="1578" spans="1:11" ht="21" x14ac:dyDescent="0.25">
      <c r="A1578" s="11" t="str">
        <f>HYPERLINK("https://rth.dk/resources/bsgatlas/details.php?id=BSGatlas-transcript-1577","BSGatlas-transcript-1577")</f>
        <v>BSGatlas-transcript-1577</v>
      </c>
      <c r="B1578" s="1" t="s">
        <v>1480</v>
      </c>
      <c r="C1578" s="3">
        <v>1395911</v>
      </c>
      <c r="D1578" s="3">
        <v>1397368</v>
      </c>
      <c r="E1578" s="1" t="s">
        <v>9</v>
      </c>
      <c r="F1578" s="1">
        <v>0</v>
      </c>
      <c r="G1578" s="1" t="s">
        <v>4372</v>
      </c>
      <c r="H1578" s="1" t="s">
        <v>4372</v>
      </c>
      <c r="I1578" s="1" t="s">
        <v>4397</v>
      </c>
      <c r="J1578" s="1" t="s">
        <v>6718</v>
      </c>
      <c r="K1578" s="1" t="s">
        <v>6716</v>
      </c>
    </row>
    <row r="1579" spans="1:11" ht="21" x14ac:dyDescent="0.25">
      <c r="A1579" s="11" t="str">
        <f>HYPERLINK("https://rth.dk/resources/bsgatlas/details.php?id=BSGatlas-transcript-1578","BSGatlas-transcript-1578")</f>
        <v>BSGatlas-transcript-1578</v>
      </c>
      <c r="B1579" s="1" t="s">
        <v>1482</v>
      </c>
      <c r="C1579" s="3">
        <v>1397363</v>
      </c>
      <c r="D1579" s="3">
        <v>1397769</v>
      </c>
      <c r="E1579" s="1" t="s">
        <v>13</v>
      </c>
      <c r="F1579" s="1">
        <v>0</v>
      </c>
      <c r="G1579" s="1" t="s">
        <v>4372</v>
      </c>
      <c r="H1579" s="1" t="s">
        <v>4372</v>
      </c>
      <c r="I1579" s="1" t="s">
        <v>4373</v>
      </c>
      <c r="J1579" s="1" t="s">
        <v>6719</v>
      </c>
      <c r="K1579" s="1" t="s">
        <v>6720</v>
      </c>
    </row>
    <row r="1580" spans="1:11" ht="21" x14ac:dyDescent="0.25">
      <c r="A1580" s="11" t="str">
        <f>HYPERLINK("https://rth.dk/resources/bsgatlas/details.php?id=BSGatlas-transcript-1579","BSGatlas-transcript-1579")</f>
        <v>BSGatlas-transcript-1579</v>
      </c>
      <c r="B1580" s="1" t="s">
        <v>1482</v>
      </c>
      <c r="C1580" s="3">
        <v>1397363</v>
      </c>
      <c r="D1580" s="3">
        <v>1398159</v>
      </c>
      <c r="E1580" s="1" t="s">
        <v>13</v>
      </c>
      <c r="F1580" s="1">
        <v>0</v>
      </c>
      <c r="G1580" s="1" t="s">
        <v>4372</v>
      </c>
      <c r="H1580" s="1" t="s">
        <v>4372</v>
      </c>
      <c r="I1580" s="1" t="s">
        <v>4373</v>
      </c>
      <c r="J1580" s="1" t="s">
        <v>6721</v>
      </c>
      <c r="K1580" s="1" t="s">
        <v>6720</v>
      </c>
    </row>
    <row r="1581" spans="1:11" ht="21" x14ac:dyDescent="0.25">
      <c r="A1581" s="11" t="str">
        <f>HYPERLINK("https://rth.dk/resources/bsgatlas/details.php?id=BSGatlas-transcript-1580","BSGatlas-transcript-1580")</f>
        <v>BSGatlas-transcript-1580</v>
      </c>
      <c r="B1581" s="1" t="s">
        <v>6722</v>
      </c>
      <c r="C1581" s="3">
        <v>1397909</v>
      </c>
      <c r="D1581" s="3">
        <v>1398388</v>
      </c>
      <c r="E1581" s="1" t="s">
        <v>9</v>
      </c>
      <c r="F1581" s="1">
        <v>1</v>
      </c>
      <c r="G1581" s="1">
        <v>30</v>
      </c>
      <c r="H1581" s="1">
        <v>26</v>
      </c>
      <c r="I1581" s="1" t="s">
        <v>4373</v>
      </c>
      <c r="J1581" s="1" t="s">
        <v>6723</v>
      </c>
      <c r="K1581" s="1" t="s">
        <v>6724</v>
      </c>
    </row>
    <row r="1582" spans="1:11" ht="21" x14ac:dyDescent="0.25">
      <c r="A1582" s="11" t="str">
        <f>HYPERLINK("https://rth.dk/resources/bsgatlas/details.php?id=BSGatlas-transcript-1581","BSGatlas-transcript-1581")</f>
        <v>BSGatlas-transcript-1581</v>
      </c>
      <c r="B1582" s="1" t="s">
        <v>1484</v>
      </c>
      <c r="C1582" s="3">
        <v>1398153</v>
      </c>
      <c r="D1582" s="3">
        <v>1398388</v>
      </c>
      <c r="E1582" s="1" t="s">
        <v>9</v>
      </c>
      <c r="F1582" s="1">
        <v>0</v>
      </c>
      <c r="G1582" s="1" t="s">
        <v>4372</v>
      </c>
      <c r="H1582" s="1" t="s">
        <v>4372</v>
      </c>
      <c r="I1582" s="1" t="s">
        <v>4386</v>
      </c>
      <c r="J1582" s="1" t="s">
        <v>6725</v>
      </c>
      <c r="K1582" s="1" t="s">
        <v>6724</v>
      </c>
    </row>
    <row r="1583" spans="1:11" ht="21" x14ac:dyDescent="0.25">
      <c r="A1583" s="11" t="str">
        <f>HYPERLINK("https://rth.dk/resources/bsgatlas/details.php?id=BSGatlas-transcript-1582","BSGatlas-transcript-1582")</f>
        <v>BSGatlas-transcript-1582</v>
      </c>
      <c r="B1583" s="1" t="s">
        <v>1485</v>
      </c>
      <c r="C1583" s="3">
        <v>1398413</v>
      </c>
      <c r="D1583" s="3">
        <v>1398960</v>
      </c>
      <c r="E1583" s="1" t="s">
        <v>9</v>
      </c>
      <c r="F1583" s="1">
        <v>0</v>
      </c>
      <c r="G1583" s="1" t="s">
        <v>4372</v>
      </c>
      <c r="H1583" s="1" t="s">
        <v>4372</v>
      </c>
      <c r="I1583" s="1" t="s">
        <v>4386</v>
      </c>
      <c r="J1583" s="1" t="s">
        <v>6726</v>
      </c>
      <c r="K1583" s="1" t="s">
        <v>6727</v>
      </c>
    </row>
    <row r="1584" spans="1:11" ht="21" x14ac:dyDescent="0.25">
      <c r="A1584" s="11" t="str">
        <f>HYPERLINK("https://rth.dk/resources/bsgatlas/details.php?id=BSGatlas-transcript-1583","BSGatlas-transcript-1583")</f>
        <v>BSGatlas-transcript-1583</v>
      </c>
      <c r="B1584" s="1" t="s">
        <v>1486</v>
      </c>
      <c r="C1584" s="3">
        <v>1398975</v>
      </c>
      <c r="D1584" s="3">
        <v>1400145</v>
      </c>
      <c r="E1584" s="1" t="s">
        <v>13</v>
      </c>
      <c r="F1584" s="1">
        <v>0</v>
      </c>
      <c r="G1584" s="1" t="s">
        <v>4372</v>
      </c>
      <c r="H1584" s="1" t="s">
        <v>4372</v>
      </c>
      <c r="I1584" s="1" t="s">
        <v>4547</v>
      </c>
      <c r="J1584" s="1" t="s">
        <v>6728</v>
      </c>
      <c r="K1584" s="1" t="s">
        <v>318</v>
      </c>
    </row>
    <row r="1585" spans="1:11" ht="21" x14ac:dyDescent="0.25">
      <c r="A1585" s="11" t="str">
        <f>HYPERLINK("https://rth.dk/resources/bsgatlas/details.php?id=BSGatlas-transcript-1584","BSGatlas-transcript-1584")</f>
        <v>BSGatlas-transcript-1584</v>
      </c>
      <c r="B1585" s="1" t="s">
        <v>1487</v>
      </c>
      <c r="C1585" s="3">
        <v>1399409</v>
      </c>
      <c r="D1585" s="3">
        <v>1400739</v>
      </c>
      <c r="E1585" s="1" t="s">
        <v>9</v>
      </c>
      <c r="F1585" s="1">
        <v>0</v>
      </c>
      <c r="G1585" s="1" t="s">
        <v>4372</v>
      </c>
      <c r="H1585" s="1" t="s">
        <v>4372</v>
      </c>
      <c r="I1585" s="1" t="s">
        <v>4397</v>
      </c>
      <c r="J1585" s="1" t="s">
        <v>6729</v>
      </c>
      <c r="K1585" s="1" t="s">
        <v>6730</v>
      </c>
    </row>
    <row r="1586" spans="1:11" ht="21" x14ac:dyDescent="0.25">
      <c r="A1586" s="11" t="str">
        <f>HYPERLINK("https://rth.dk/resources/bsgatlas/details.php?id=BSGatlas-transcript-1585","BSGatlas-transcript-1585")</f>
        <v>BSGatlas-transcript-1585</v>
      </c>
      <c r="B1586" s="1" t="s">
        <v>1488</v>
      </c>
      <c r="C1586" s="3">
        <v>1400767</v>
      </c>
      <c r="D1586" s="3">
        <v>1401579</v>
      </c>
      <c r="E1586" s="1" t="s">
        <v>13</v>
      </c>
      <c r="F1586" s="1">
        <v>0</v>
      </c>
      <c r="G1586" s="1" t="s">
        <v>4372</v>
      </c>
      <c r="H1586" s="1" t="s">
        <v>4372</v>
      </c>
      <c r="I1586" s="1" t="s">
        <v>4397</v>
      </c>
      <c r="J1586" s="1" t="s">
        <v>6731</v>
      </c>
      <c r="K1586" s="1" t="s">
        <v>318</v>
      </c>
    </row>
    <row r="1587" spans="1:11" ht="21" x14ac:dyDescent="0.25">
      <c r="A1587" s="11" t="str">
        <f>HYPERLINK("https://rth.dk/resources/bsgatlas/details.php?id=BSGatlas-transcript-1586","BSGatlas-transcript-1586")</f>
        <v>BSGatlas-transcript-1586</v>
      </c>
      <c r="B1587" s="1" t="s">
        <v>6732</v>
      </c>
      <c r="C1587" s="3">
        <v>1401697</v>
      </c>
      <c r="D1587" s="3">
        <v>1404492</v>
      </c>
      <c r="E1587" s="1" t="s">
        <v>9</v>
      </c>
      <c r="F1587" s="1">
        <v>0</v>
      </c>
      <c r="G1587" s="1" t="s">
        <v>4372</v>
      </c>
      <c r="H1587" s="1" t="s">
        <v>4372</v>
      </c>
      <c r="I1587" s="1" t="s">
        <v>4386</v>
      </c>
      <c r="J1587" s="1" t="s">
        <v>6733</v>
      </c>
      <c r="K1587" s="1" t="s">
        <v>6734</v>
      </c>
    </row>
    <row r="1588" spans="1:11" ht="21" x14ac:dyDescent="0.25">
      <c r="A1588" s="11" t="str">
        <f>HYPERLINK("https://rth.dk/resources/bsgatlas/details.php?id=BSGatlas-transcript-1587","BSGatlas-transcript-1587")</f>
        <v>BSGatlas-transcript-1587</v>
      </c>
      <c r="B1588" s="1" t="s">
        <v>6735</v>
      </c>
      <c r="C1588" s="3">
        <v>1404518</v>
      </c>
      <c r="D1588" s="3">
        <v>1407292</v>
      </c>
      <c r="E1588" s="1" t="s">
        <v>13</v>
      </c>
      <c r="F1588" s="1">
        <v>0</v>
      </c>
      <c r="G1588" s="1" t="s">
        <v>4372</v>
      </c>
      <c r="H1588" s="1" t="s">
        <v>4372</v>
      </c>
      <c r="I1588" s="1" t="s">
        <v>4386</v>
      </c>
      <c r="J1588" s="1" t="s">
        <v>6736</v>
      </c>
      <c r="K1588" s="1" t="s">
        <v>6737</v>
      </c>
    </row>
    <row r="1589" spans="1:11" ht="21" x14ac:dyDescent="0.25">
      <c r="A1589" s="11" t="str">
        <f>HYPERLINK("https://rth.dk/resources/bsgatlas/details.php?id=BSGatlas-transcript-1588","BSGatlas-transcript-1588")</f>
        <v>BSGatlas-transcript-1588</v>
      </c>
      <c r="B1589" s="1" t="s">
        <v>1493</v>
      </c>
      <c r="C1589" s="3">
        <v>1407329</v>
      </c>
      <c r="D1589" s="3">
        <v>1409781</v>
      </c>
      <c r="E1589" s="1" t="s">
        <v>13</v>
      </c>
      <c r="F1589" s="1">
        <v>0</v>
      </c>
      <c r="G1589" s="1" t="s">
        <v>4372</v>
      </c>
      <c r="H1589" s="1" t="s">
        <v>4372</v>
      </c>
      <c r="I1589" s="1" t="s">
        <v>4386</v>
      </c>
      <c r="J1589" s="1" t="s">
        <v>6738</v>
      </c>
      <c r="K1589" s="1" t="s">
        <v>6739</v>
      </c>
    </row>
    <row r="1590" spans="1:11" ht="21" x14ac:dyDescent="0.25">
      <c r="A1590" s="11" t="str">
        <f>HYPERLINK("https://rth.dk/resources/bsgatlas/details.php?id=BSGatlas-transcript-1589","BSGatlas-transcript-1589")</f>
        <v>BSGatlas-transcript-1589</v>
      </c>
      <c r="B1590" s="1" t="s">
        <v>1493</v>
      </c>
      <c r="C1590" s="3">
        <v>1407329</v>
      </c>
      <c r="D1590" s="3">
        <v>1410463</v>
      </c>
      <c r="E1590" s="1" t="s">
        <v>13</v>
      </c>
      <c r="F1590" s="1">
        <v>0</v>
      </c>
      <c r="G1590" s="1" t="s">
        <v>4372</v>
      </c>
      <c r="H1590" s="1" t="s">
        <v>4372</v>
      </c>
      <c r="I1590" s="1" t="s">
        <v>4386</v>
      </c>
      <c r="J1590" s="1" t="s">
        <v>6740</v>
      </c>
      <c r="K1590" s="1" t="s">
        <v>6739</v>
      </c>
    </row>
    <row r="1591" spans="1:11" ht="21" x14ac:dyDescent="0.25">
      <c r="A1591" s="11" t="str">
        <f>HYPERLINK("https://rth.dk/resources/bsgatlas/details.php?id=BSGatlas-transcript-1590","BSGatlas-transcript-1590")</f>
        <v>BSGatlas-transcript-1590</v>
      </c>
      <c r="B1591" s="1" t="s">
        <v>6741</v>
      </c>
      <c r="C1591" s="3">
        <v>1409881</v>
      </c>
      <c r="D1591" s="3">
        <v>1410766</v>
      </c>
      <c r="E1591" s="1" t="s">
        <v>9</v>
      </c>
      <c r="F1591" s="1">
        <v>1</v>
      </c>
      <c r="G1591" s="1">
        <v>32</v>
      </c>
      <c r="H1591" s="1" t="s">
        <v>4372</v>
      </c>
      <c r="I1591" s="1" t="s">
        <v>4377</v>
      </c>
      <c r="J1591" s="1" t="s">
        <v>6742</v>
      </c>
      <c r="K1591" s="1" t="s">
        <v>6743</v>
      </c>
    </row>
    <row r="1592" spans="1:11" ht="21" x14ac:dyDescent="0.25">
      <c r="A1592" s="11" t="str">
        <f>HYPERLINK("https://rth.dk/resources/bsgatlas/details.php?id=BSGatlas-transcript-1591","BSGatlas-transcript-1591")</f>
        <v>BSGatlas-transcript-1591</v>
      </c>
      <c r="B1592" s="1" t="s">
        <v>6744</v>
      </c>
      <c r="C1592" s="3">
        <v>1409881</v>
      </c>
      <c r="D1592" s="3">
        <v>1411628</v>
      </c>
      <c r="E1592" s="1" t="s">
        <v>9</v>
      </c>
      <c r="F1592" s="1">
        <v>1</v>
      </c>
      <c r="G1592" s="1">
        <v>32</v>
      </c>
      <c r="H1592" s="1" t="s">
        <v>4372</v>
      </c>
      <c r="I1592" s="1" t="s">
        <v>4386</v>
      </c>
      <c r="J1592" s="1" t="s">
        <v>6742</v>
      </c>
      <c r="K1592" s="1" t="s">
        <v>6745</v>
      </c>
    </row>
    <row r="1593" spans="1:11" ht="21" x14ac:dyDescent="0.25">
      <c r="A1593" s="11" t="str">
        <f>HYPERLINK("https://rth.dk/resources/bsgatlas/details.php?id=BSGatlas-transcript-1592","BSGatlas-transcript-1592")</f>
        <v>BSGatlas-transcript-1592</v>
      </c>
      <c r="B1593" s="1" t="s">
        <v>1496</v>
      </c>
      <c r="C1593" s="3">
        <v>1410607</v>
      </c>
      <c r="D1593" s="3">
        <v>1411628</v>
      </c>
      <c r="E1593" s="1" t="s">
        <v>9</v>
      </c>
      <c r="F1593" s="1">
        <v>0</v>
      </c>
      <c r="G1593" s="1" t="s">
        <v>4372</v>
      </c>
      <c r="H1593" s="1" t="s">
        <v>4372</v>
      </c>
      <c r="I1593" s="1" t="s">
        <v>4386</v>
      </c>
      <c r="J1593" s="1" t="s">
        <v>6746</v>
      </c>
      <c r="K1593" s="1" t="s">
        <v>6745</v>
      </c>
    </row>
    <row r="1594" spans="1:11" ht="21" x14ac:dyDescent="0.25">
      <c r="A1594" s="11" t="str">
        <f>HYPERLINK("https://rth.dk/resources/bsgatlas/details.php?id=BSGatlas-transcript-1593","BSGatlas-transcript-1593")</f>
        <v>BSGatlas-transcript-1593</v>
      </c>
      <c r="B1594" s="1" t="s">
        <v>6747</v>
      </c>
      <c r="C1594" s="3">
        <v>1411776</v>
      </c>
      <c r="D1594" s="3">
        <v>1414159</v>
      </c>
      <c r="E1594" s="1" t="s">
        <v>9</v>
      </c>
      <c r="F1594" s="1">
        <v>0</v>
      </c>
      <c r="G1594" s="1" t="s">
        <v>4372</v>
      </c>
      <c r="H1594" s="1" t="s">
        <v>4372</v>
      </c>
      <c r="I1594" s="1" t="s">
        <v>4373</v>
      </c>
      <c r="J1594" s="1" t="s">
        <v>6748</v>
      </c>
      <c r="K1594" s="1" t="s">
        <v>6749</v>
      </c>
    </row>
    <row r="1595" spans="1:11" ht="21" x14ac:dyDescent="0.25">
      <c r="A1595" s="11" t="str">
        <f>HYPERLINK("https://rth.dk/resources/bsgatlas/details.php?id=BSGatlas-transcript-1594","BSGatlas-transcript-1594")</f>
        <v>BSGatlas-transcript-1594</v>
      </c>
      <c r="B1595" s="1" t="s">
        <v>6747</v>
      </c>
      <c r="C1595" s="3">
        <v>1411861</v>
      </c>
      <c r="D1595" s="3">
        <v>1414159</v>
      </c>
      <c r="E1595" s="1" t="s">
        <v>9</v>
      </c>
      <c r="F1595" s="1">
        <v>0</v>
      </c>
      <c r="G1595" s="1" t="s">
        <v>4372</v>
      </c>
      <c r="H1595" s="1" t="s">
        <v>4372</v>
      </c>
      <c r="I1595" s="1" t="s">
        <v>4373</v>
      </c>
      <c r="J1595" s="1" t="s">
        <v>6750</v>
      </c>
      <c r="K1595" s="1" t="s">
        <v>6749</v>
      </c>
    </row>
    <row r="1596" spans="1:11" ht="21" x14ac:dyDescent="0.25">
      <c r="A1596" s="11" t="str">
        <f>HYPERLINK("https://rth.dk/resources/bsgatlas/details.php?id=BSGatlas-transcript-1595","BSGatlas-transcript-1595")</f>
        <v>BSGatlas-transcript-1595</v>
      </c>
      <c r="B1596" s="1" t="s">
        <v>1499</v>
      </c>
      <c r="C1596" s="3">
        <v>1413748</v>
      </c>
      <c r="D1596" s="3">
        <v>1414033</v>
      </c>
      <c r="E1596" s="1" t="s">
        <v>13</v>
      </c>
      <c r="F1596" s="1">
        <v>0</v>
      </c>
      <c r="G1596" s="1" t="s">
        <v>4372</v>
      </c>
      <c r="H1596" s="1" t="s">
        <v>4372</v>
      </c>
      <c r="I1596" s="1" t="s">
        <v>4373</v>
      </c>
      <c r="J1596" s="1" t="s">
        <v>6751</v>
      </c>
      <c r="K1596" s="1" t="s">
        <v>6752</v>
      </c>
    </row>
    <row r="1597" spans="1:11" ht="21" x14ac:dyDescent="0.25">
      <c r="A1597" s="11" t="str">
        <f>HYPERLINK("https://rth.dk/resources/bsgatlas/details.php?id=BSGatlas-transcript-1596","BSGatlas-transcript-1596")</f>
        <v>BSGatlas-transcript-1596</v>
      </c>
      <c r="B1597" s="1" t="s">
        <v>1500</v>
      </c>
      <c r="C1597" s="3">
        <v>1414125</v>
      </c>
      <c r="D1597" s="3">
        <v>1414907</v>
      </c>
      <c r="E1597" s="1" t="s">
        <v>13</v>
      </c>
      <c r="F1597" s="1">
        <v>0</v>
      </c>
      <c r="G1597" s="1" t="s">
        <v>4372</v>
      </c>
      <c r="H1597" s="1" t="s">
        <v>4372</v>
      </c>
      <c r="I1597" s="1" t="s">
        <v>4386</v>
      </c>
      <c r="J1597" s="1" t="s">
        <v>6753</v>
      </c>
      <c r="K1597" s="1" t="s">
        <v>6754</v>
      </c>
    </row>
    <row r="1598" spans="1:11" ht="21" x14ac:dyDescent="0.25">
      <c r="A1598" s="11" t="str">
        <f>HYPERLINK("https://rth.dk/resources/bsgatlas/details.php?id=BSGatlas-transcript-1597","BSGatlas-transcript-1597")</f>
        <v>BSGatlas-transcript-1597</v>
      </c>
      <c r="B1598" s="1" t="s">
        <v>1501</v>
      </c>
      <c r="C1598" s="3">
        <v>1414951</v>
      </c>
      <c r="D1598" s="3">
        <v>1415909</v>
      </c>
      <c r="E1598" s="1" t="s">
        <v>9</v>
      </c>
      <c r="F1598" s="1">
        <v>0</v>
      </c>
      <c r="G1598" s="1" t="s">
        <v>4372</v>
      </c>
      <c r="H1598" s="1" t="s">
        <v>4372</v>
      </c>
      <c r="I1598" s="1" t="s">
        <v>4386</v>
      </c>
      <c r="J1598" s="1" t="s">
        <v>6755</v>
      </c>
      <c r="K1598" s="1" t="s">
        <v>6756</v>
      </c>
    </row>
    <row r="1599" spans="1:11" ht="21" x14ac:dyDescent="0.25">
      <c r="A1599" s="11" t="str">
        <f>HYPERLINK("https://rth.dk/resources/bsgatlas/details.php?id=BSGatlas-transcript-1598","BSGatlas-transcript-1598")</f>
        <v>BSGatlas-transcript-1598</v>
      </c>
      <c r="B1599" s="1" t="s">
        <v>1502</v>
      </c>
      <c r="C1599" s="3">
        <v>1416022</v>
      </c>
      <c r="D1599" s="3">
        <v>1417416</v>
      </c>
      <c r="E1599" s="1" t="s">
        <v>9</v>
      </c>
      <c r="F1599" s="1">
        <v>0</v>
      </c>
      <c r="G1599" s="1" t="s">
        <v>4372</v>
      </c>
      <c r="H1599" s="1" t="s">
        <v>4372</v>
      </c>
      <c r="I1599" s="1" t="s">
        <v>4386</v>
      </c>
      <c r="J1599" s="1" t="s">
        <v>6757</v>
      </c>
      <c r="K1599" s="1" t="s">
        <v>6758</v>
      </c>
    </row>
    <row r="1600" spans="1:11" ht="21" x14ac:dyDescent="0.25">
      <c r="A1600" s="11" t="str">
        <f>HYPERLINK("https://rth.dk/resources/bsgatlas/details.php?id=BSGatlas-transcript-1599","BSGatlas-transcript-1599")</f>
        <v>BSGatlas-transcript-1599</v>
      </c>
      <c r="B1600" s="1" t="s">
        <v>6759</v>
      </c>
      <c r="C1600" s="3">
        <v>1417493</v>
      </c>
      <c r="D1600" s="3">
        <v>1417913</v>
      </c>
      <c r="E1600" s="1" t="s">
        <v>9</v>
      </c>
      <c r="F1600" s="1">
        <v>0</v>
      </c>
      <c r="G1600" s="1" t="s">
        <v>4372</v>
      </c>
      <c r="H1600" s="1" t="s">
        <v>4372</v>
      </c>
      <c r="I1600" s="1" t="s">
        <v>4386</v>
      </c>
      <c r="J1600" s="1" t="s">
        <v>6760</v>
      </c>
      <c r="K1600" s="1" t="s">
        <v>6761</v>
      </c>
    </row>
    <row r="1601" spans="1:11" ht="21" x14ac:dyDescent="0.25">
      <c r="A1601" s="11" t="str">
        <f>HYPERLINK("https://rth.dk/resources/bsgatlas/details.php?id=BSGatlas-transcript-1600","BSGatlas-transcript-1600")</f>
        <v>BSGatlas-transcript-1600</v>
      </c>
      <c r="B1601" s="1" t="s">
        <v>1504</v>
      </c>
      <c r="C1601" s="3">
        <v>1417719</v>
      </c>
      <c r="D1601" s="3">
        <v>1417913</v>
      </c>
      <c r="E1601" s="1" t="s">
        <v>9</v>
      </c>
      <c r="F1601" s="1">
        <v>0</v>
      </c>
      <c r="G1601" s="1" t="s">
        <v>4372</v>
      </c>
      <c r="H1601" s="1" t="s">
        <v>4372</v>
      </c>
      <c r="I1601" s="1" t="s">
        <v>4377</v>
      </c>
      <c r="J1601" s="1" t="s">
        <v>6762</v>
      </c>
      <c r="K1601" s="1" t="s">
        <v>6761</v>
      </c>
    </row>
    <row r="1602" spans="1:11" ht="21" x14ac:dyDescent="0.25">
      <c r="A1602" s="11" t="str">
        <f>HYPERLINK("https://rth.dk/resources/bsgatlas/details.php?id=BSGatlas-transcript-1601","BSGatlas-transcript-1601")</f>
        <v>BSGatlas-transcript-1601</v>
      </c>
      <c r="B1602" s="1" t="s">
        <v>1505</v>
      </c>
      <c r="C1602" s="3">
        <v>1417938</v>
      </c>
      <c r="D1602" s="3">
        <v>1419021</v>
      </c>
      <c r="E1602" s="1" t="s">
        <v>13</v>
      </c>
      <c r="F1602" s="1">
        <v>0</v>
      </c>
      <c r="G1602" s="1" t="s">
        <v>4372</v>
      </c>
      <c r="H1602" s="1" t="s">
        <v>4372</v>
      </c>
      <c r="I1602" s="1" t="s">
        <v>4397</v>
      </c>
      <c r="J1602" s="1" t="s">
        <v>6763</v>
      </c>
      <c r="K1602" s="1" t="s">
        <v>6764</v>
      </c>
    </row>
    <row r="1603" spans="1:11" ht="21" x14ac:dyDescent="0.25">
      <c r="A1603" s="11" t="str">
        <f>HYPERLINK("https://rth.dk/resources/bsgatlas/details.php?id=BSGatlas-transcript-1602","BSGatlas-transcript-1602")</f>
        <v>BSGatlas-transcript-1602</v>
      </c>
      <c r="B1603" s="1" t="s">
        <v>6765</v>
      </c>
      <c r="C1603" s="3">
        <v>1419165</v>
      </c>
      <c r="D1603" s="3">
        <v>1421923</v>
      </c>
      <c r="E1603" s="1" t="s">
        <v>9</v>
      </c>
      <c r="F1603" s="1">
        <v>0</v>
      </c>
      <c r="G1603" s="1" t="s">
        <v>4372</v>
      </c>
      <c r="H1603" s="1" t="s">
        <v>4372</v>
      </c>
      <c r="I1603" s="1" t="s">
        <v>4373</v>
      </c>
      <c r="J1603" s="1" t="s">
        <v>6766</v>
      </c>
      <c r="K1603" s="1" t="s">
        <v>318</v>
      </c>
    </row>
    <row r="1604" spans="1:11" ht="21" x14ac:dyDescent="0.25">
      <c r="A1604" s="11" t="str">
        <f>HYPERLINK("https://rth.dk/resources/bsgatlas/details.php?id=BSGatlas-transcript-1603","BSGatlas-transcript-1603")</f>
        <v>BSGatlas-transcript-1603</v>
      </c>
      <c r="B1604" s="1" t="s">
        <v>6767</v>
      </c>
      <c r="C1604" s="3">
        <v>1421171</v>
      </c>
      <c r="D1604" s="3">
        <v>1424721</v>
      </c>
      <c r="E1604" s="1" t="s">
        <v>13</v>
      </c>
      <c r="F1604" s="1">
        <v>0</v>
      </c>
      <c r="G1604" s="1" t="s">
        <v>4372</v>
      </c>
      <c r="H1604" s="1" t="s">
        <v>4372</v>
      </c>
      <c r="I1604" s="1" t="s">
        <v>4373</v>
      </c>
      <c r="J1604" s="1" t="s">
        <v>6768</v>
      </c>
      <c r="K1604" s="1" t="s">
        <v>6769</v>
      </c>
    </row>
    <row r="1605" spans="1:11" ht="21" x14ac:dyDescent="0.25">
      <c r="A1605" s="11" t="str">
        <f>HYPERLINK("https://rth.dk/resources/bsgatlas/details.php?id=BSGatlas-transcript-1604","BSGatlas-transcript-1604")</f>
        <v>BSGatlas-transcript-1604</v>
      </c>
      <c r="B1605" s="1" t="s">
        <v>4760</v>
      </c>
      <c r="C1605" s="3">
        <v>1422013</v>
      </c>
      <c r="D1605" s="3">
        <v>1422182</v>
      </c>
      <c r="E1605" s="1" t="s">
        <v>9</v>
      </c>
      <c r="F1605" s="1">
        <v>0</v>
      </c>
      <c r="G1605" s="1" t="s">
        <v>4372</v>
      </c>
      <c r="H1605" s="1" t="s">
        <v>4372</v>
      </c>
      <c r="I1605" s="1" t="s">
        <v>4377</v>
      </c>
      <c r="J1605" s="1" t="s">
        <v>318</v>
      </c>
      <c r="K1605" s="1" t="s">
        <v>6770</v>
      </c>
    </row>
    <row r="1606" spans="1:11" ht="21" x14ac:dyDescent="0.25">
      <c r="A1606" s="11" t="str">
        <f>HYPERLINK("https://rth.dk/resources/bsgatlas/details.php?id=BSGatlas-transcript-1605","BSGatlas-transcript-1605")</f>
        <v>BSGatlas-transcript-1605</v>
      </c>
      <c r="B1606" s="1" t="s">
        <v>4760</v>
      </c>
      <c r="C1606" s="3">
        <v>1422013</v>
      </c>
      <c r="D1606" s="3">
        <v>1423323</v>
      </c>
      <c r="E1606" s="1" t="s">
        <v>9</v>
      </c>
      <c r="F1606" s="1">
        <v>0</v>
      </c>
      <c r="G1606" s="1" t="s">
        <v>4372</v>
      </c>
      <c r="H1606" s="1" t="s">
        <v>4372</v>
      </c>
      <c r="I1606" s="1" t="s">
        <v>4377</v>
      </c>
      <c r="J1606" s="1" t="s">
        <v>318</v>
      </c>
      <c r="K1606" s="1" t="s">
        <v>6771</v>
      </c>
    </row>
    <row r="1607" spans="1:11" ht="21" x14ac:dyDescent="0.25">
      <c r="A1607" s="11" t="str">
        <f>HYPERLINK("https://rth.dk/resources/bsgatlas/details.php?id=BSGatlas-transcript-1606","BSGatlas-transcript-1606")</f>
        <v>BSGatlas-transcript-1606</v>
      </c>
      <c r="B1607" s="1" t="s">
        <v>6767</v>
      </c>
      <c r="C1607" s="3">
        <v>1422117</v>
      </c>
      <c r="D1607" s="3">
        <v>1424721</v>
      </c>
      <c r="E1607" s="1" t="s">
        <v>13</v>
      </c>
      <c r="F1607" s="1">
        <v>0</v>
      </c>
      <c r="G1607" s="1" t="s">
        <v>4372</v>
      </c>
      <c r="H1607" s="1" t="s">
        <v>4372</v>
      </c>
      <c r="I1607" s="1" t="s">
        <v>4373</v>
      </c>
      <c r="J1607" s="1" t="s">
        <v>6768</v>
      </c>
      <c r="K1607" s="1" t="s">
        <v>6772</v>
      </c>
    </row>
    <row r="1608" spans="1:11" ht="21" x14ac:dyDescent="0.25">
      <c r="A1608" s="11" t="str">
        <f>HYPERLINK("https://rth.dk/resources/bsgatlas/details.php?id=BSGatlas-transcript-1607","BSGatlas-transcript-1607")</f>
        <v>BSGatlas-transcript-1607</v>
      </c>
      <c r="B1608" s="1" t="s">
        <v>1510</v>
      </c>
      <c r="C1608" s="3">
        <v>1424483</v>
      </c>
      <c r="D1608" s="3">
        <v>1424683</v>
      </c>
      <c r="E1608" s="1" t="s">
        <v>13</v>
      </c>
      <c r="F1608" s="1">
        <v>0</v>
      </c>
      <c r="G1608" s="1" t="s">
        <v>4372</v>
      </c>
      <c r="H1608" s="1" t="s">
        <v>4372</v>
      </c>
      <c r="I1608" s="1" t="s">
        <v>4377</v>
      </c>
      <c r="J1608" s="1" t="s">
        <v>318</v>
      </c>
      <c r="K1608" s="1" t="s">
        <v>6773</v>
      </c>
    </row>
    <row r="1609" spans="1:11" ht="21" x14ac:dyDescent="0.25">
      <c r="A1609" s="11" t="str">
        <f>HYPERLINK("https://rth.dk/resources/bsgatlas/details.php?id=BSGatlas-transcript-1608","BSGatlas-transcript-1608")</f>
        <v>BSGatlas-transcript-1608</v>
      </c>
      <c r="B1609" s="1" t="s">
        <v>1510</v>
      </c>
      <c r="C1609" s="3">
        <v>1424526</v>
      </c>
      <c r="D1609" s="3">
        <v>1424683</v>
      </c>
      <c r="E1609" s="1" t="s">
        <v>13</v>
      </c>
      <c r="F1609" s="1">
        <v>0</v>
      </c>
      <c r="G1609" s="1" t="s">
        <v>4372</v>
      </c>
      <c r="H1609" s="1" t="s">
        <v>4372</v>
      </c>
      <c r="I1609" s="1" t="s">
        <v>4377</v>
      </c>
      <c r="J1609" s="1" t="s">
        <v>318</v>
      </c>
      <c r="K1609" s="1" t="s">
        <v>6774</v>
      </c>
    </row>
    <row r="1610" spans="1:11" ht="21" x14ac:dyDescent="0.25">
      <c r="A1610" s="11" t="str">
        <f>HYPERLINK("https://rth.dk/resources/bsgatlas/details.php?id=BSGatlas-transcript-1609","BSGatlas-transcript-1609")</f>
        <v>BSGatlas-transcript-1609</v>
      </c>
      <c r="B1610" s="1" t="s">
        <v>1511</v>
      </c>
      <c r="C1610" s="3">
        <v>1424767</v>
      </c>
      <c r="D1610" s="3">
        <v>1425576</v>
      </c>
      <c r="E1610" s="1" t="s">
        <v>13</v>
      </c>
      <c r="F1610" s="1">
        <v>0</v>
      </c>
      <c r="G1610" s="1" t="s">
        <v>4372</v>
      </c>
      <c r="H1610" s="1" t="s">
        <v>4372</v>
      </c>
      <c r="I1610" s="1" t="s">
        <v>4373</v>
      </c>
      <c r="J1610" s="1" t="s">
        <v>6775</v>
      </c>
      <c r="K1610" s="1" t="s">
        <v>318</v>
      </c>
    </row>
    <row r="1611" spans="1:11" ht="21" x14ac:dyDescent="0.25">
      <c r="A1611" s="11" t="str">
        <f>HYPERLINK("https://rth.dk/resources/bsgatlas/details.php?id=BSGatlas-transcript-1610","BSGatlas-transcript-1610")</f>
        <v>BSGatlas-transcript-1610</v>
      </c>
      <c r="B1611" s="1" t="s">
        <v>1512</v>
      </c>
      <c r="C1611" s="3">
        <v>1424791</v>
      </c>
      <c r="D1611" s="3">
        <v>1426837</v>
      </c>
      <c r="E1611" s="1" t="s">
        <v>9</v>
      </c>
      <c r="F1611" s="1">
        <v>0</v>
      </c>
      <c r="G1611" s="1" t="s">
        <v>4372</v>
      </c>
      <c r="H1611" s="1" t="s">
        <v>4372</v>
      </c>
      <c r="I1611" s="1" t="s">
        <v>4373</v>
      </c>
      <c r="J1611" s="1" t="s">
        <v>6776</v>
      </c>
      <c r="K1611" s="1" t="s">
        <v>318</v>
      </c>
    </row>
    <row r="1612" spans="1:11" ht="21" x14ac:dyDescent="0.25">
      <c r="A1612" s="11" t="str">
        <f>HYPERLINK("https://rth.dk/resources/bsgatlas/details.php?id=BSGatlas-transcript-1611","BSGatlas-transcript-1611")</f>
        <v>BSGatlas-transcript-1611</v>
      </c>
      <c r="B1612" s="1" t="s">
        <v>1512</v>
      </c>
      <c r="C1612" s="3">
        <v>1425274</v>
      </c>
      <c r="D1612" s="3">
        <v>1426837</v>
      </c>
      <c r="E1612" s="1" t="s">
        <v>9</v>
      </c>
      <c r="F1612" s="1">
        <v>0</v>
      </c>
      <c r="G1612" s="1" t="s">
        <v>4372</v>
      </c>
      <c r="H1612" s="1" t="s">
        <v>4372</v>
      </c>
      <c r="I1612" s="1" t="s">
        <v>4373</v>
      </c>
      <c r="J1612" s="1" t="s">
        <v>6777</v>
      </c>
      <c r="K1612" s="1" t="s">
        <v>318</v>
      </c>
    </row>
    <row r="1613" spans="1:11" ht="21" x14ac:dyDescent="0.25">
      <c r="A1613" s="11" t="str">
        <f>HYPERLINK("https://rth.dk/resources/bsgatlas/details.php?id=BSGatlas-transcript-1612","BSGatlas-transcript-1612")</f>
        <v>BSGatlas-transcript-1612</v>
      </c>
      <c r="B1613" s="1" t="s">
        <v>1512</v>
      </c>
      <c r="C1613" s="3">
        <v>1425607</v>
      </c>
      <c r="D1613" s="3">
        <v>1426837</v>
      </c>
      <c r="E1613" s="1" t="s">
        <v>9</v>
      </c>
      <c r="F1613" s="1">
        <v>0</v>
      </c>
      <c r="G1613" s="1" t="s">
        <v>4372</v>
      </c>
      <c r="H1613" s="1" t="s">
        <v>4372</v>
      </c>
      <c r="I1613" s="1" t="s">
        <v>4373</v>
      </c>
      <c r="J1613" s="1" t="s">
        <v>6778</v>
      </c>
      <c r="K1613" s="1" t="s">
        <v>318</v>
      </c>
    </row>
    <row r="1614" spans="1:11" ht="21" x14ac:dyDescent="0.25">
      <c r="A1614" s="11" t="str">
        <f>HYPERLINK("https://rth.dk/resources/bsgatlas/details.php?id=BSGatlas-transcript-1613","BSGatlas-transcript-1613")</f>
        <v>BSGatlas-transcript-1613</v>
      </c>
      <c r="B1614" s="1" t="s">
        <v>6779</v>
      </c>
      <c r="C1614" s="3">
        <v>1426857</v>
      </c>
      <c r="D1614" s="3">
        <v>1430166</v>
      </c>
      <c r="E1614" s="1" t="s">
        <v>9</v>
      </c>
      <c r="F1614" s="1">
        <v>0</v>
      </c>
      <c r="G1614" s="1" t="s">
        <v>4372</v>
      </c>
      <c r="H1614" s="1" t="s">
        <v>4372</v>
      </c>
      <c r="I1614" s="1" t="s">
        <v>4373</v>
      </c>
      <c r="J1614" s="1" t="s">
        <v>6780</v>
      </c>
      <c r="K1614" s="1" t="s">
        <v>6781</v>
      </c>
    </row>
    <row r="1615" spans="1:11" ht="21" x14ac:dyDescent="0.25">
      <c r="A1615" s="11" t="str">
        <f>HYPERLINK("https://rth.dk/resources/bsgatlas/details.php?id=BSGatlas-transcript-1614","BSGatlas-transcript-1614")</f>
        <v>BSGatlas-transcript-1614</v>
      </c>
      <c r="B1615" s="1" t="s">
        <v>1517</v>
      </c>
      <c r="C1615" s="3">
        <v>1426875</v>
      </c>
      <c r="D1615" s="3">
        <v>1426997</v>
      </c>
      <c r="E1615" s="1" t="s">
        <v>9</v>
      </c>
      <c r="F1615" s="1">
        <v>0</v>
      </c>
      <c r="G1615" s="1" t="s">
        <v>4372</v>
      </c>
      <c r="H1615" s="1" t="s">
        <v>4372</v>
      </c>
      <c r="I1615" s="1" t="s">
        <v>4377</v>
      </c>
      <c r="J1615" s="1" t="s">
        <v>318</v>
      </c>
      <c r="K1615" s="1" t="s">
        <v>6782</v>
      </c>
    </row>
    <row r="1616" spans="1:11" ht="21" x14ac:dyDescent="0.25">
      <c r="A1616" s="11" t="str">
        <f>HYPERLINK("https://rth.dk/resources/bsgatlas/details.php?id=BSGatlas-transcript-1615","BSGatlas-transcript-1615")</f>
        <v>BSGatlas-transcript-1615</v>
      </c>
      <c r="B1616" s="1" t="s">
        <v>6779</v>
      </c>
      <c r="C1616" s="3">
        <v>1426876</v>
      </c>
      <c r="D1616" s="3">
        <v>1430166</v>
      </c>
      <c r="E1616" s="1" t="s">
        <v>9</v>
      </c>
      <c r="F1616" s="1">
        <v>0</v>
      </c>
      <c r="G1616" s="1" t="s">
        <v>4372</v>
      </c>
      <c r="H1616" s="1" t="s">
        <v>4372</v>
      </c>
      <c r="I1616" s="1" t="s">
        <v>4373</v>
      </c>
      <c r="J1616" s="1" t="s">
        <v>6783</v>
      </c>
      <c r="K1616" s="1" t="s">
        <v>6781</v>
      </c>
    </row>
    <row r="1617" spans="1:11" ht="21" x14ac:dyDescent="0.25">
      <c r="A1617" s="11" t="str">
        <f>HYPERLINK("https://rth.dk/resources/bsgatlas/details.php?id=BSGatlas-transcript-1616","BSGatlas-transcript-1616")</f>
        <v>BSGatlas-transcript-1616</v>
      </c>
      <c r="B1617" s="1" t="s">
        <v>1518</v>
      </c>
      <c r="C1617" s="3">
        <v>1429934</v>
      </c>
      <c r="D1617" s="3">
        <v>1430570</v>
      </c>
      <c r="E1617" s="1" t="s">
        <v>13</v>
      </c>
      <c r="F1617" s="1">
        <v>0</v>
      </c>
      <c r="G1617" s="1" t="s">
        <v>4372</v>
      </c>
      <c r="H1617" s="1" t="s">
        <v>4372</v>
      </c>
      <c r="I1617" s="1" t="s">
        <v>4397</v>
      </c>
      <c r="J1617" s="1" t="s">
        <v>6784</v>
      </c>
      <c r="K1617" s="1" t="s">
        <v>6785</v>
      </c>
    </row>
    <row r="1618" spans="1:11" ht="21" x14ac:dyDescent="0.25">
      <c r="A1618" s="11" t="str">
        <f>HYPERLINK("https://rth.dk/resources/bsgatlas/details.php?id=BSGatlas-transcript-1617","BSGatlas-transcript-1617")</f>
        <v>BSGatlas-transcript-1617</v>
      </c>
      <c r="B1618" s="1" t="s">
        <v>1518</v>
      </c>
      <c r="C1618" s="3">
        <v>1430161</v>
      </c>
      <c r="D1618" s="3">
        <v>1430570</v>
      </c>
      <c r="E1618" s="1" t="s">
        <v>13</v>
      </c>
      <c r="F1618" s="1">
        <v>0</v>
      </c>
      <c r="G1618" s="1" t="s">
        <v>4372</v>
      </c>
      <c r="H1618" s="1" t="s">
        <v>4372</v>
      </c>
      <c r="I1618" s="1" t="s">
        <v>4397</v>
      </c>
      <c r="J1618" s="1" t="s">
        <v>6784</v>
      </c>
      <c r="K1618" s="1" t="s">
        <v>6786</v>
      </c>
    </row>
    <row r="1619" spans="1:11" ht="21" x14ac:dyDescent="0.25">
      <c r="A1619" s="11" t="str">
        <f>HYPERLINK("https://rth.dk/resources/bsgatlas/details.php?id=BSGatlas-transcript-1618","BSGatlas-transcript-1618")</f>
        <v>BSGatlas-transcript-1618</v>
      </c>
      <c r="B1619" s="1" t="s">
        <v>1519</v>
      </c>
      <c r="C1619" s="3">
        <v>1430538</v>
      </c>
      <c r="D1619" s="3">
        <v>1430957</v>
      </c>
      <c r="E1619" s="1" t="s">
        <v>9</v>
      </c>
      <c r="F1619" s="1">
        <v>0</v>
      </c>
      <c r="G1619" s="1" t="s">
        <v>4372</v>
      </c>
      <c r="H1619" s="1" t="s">
        <v>4372</v>
      </c>
      <c r="I1619" s="1" t="s">
        <v>4373</v>
      </c>
      <c r="J1619" s="1" t="s">
        <v>6787</v>
      </c>
      <c r="K1619" s="1" t="s">
        <v>6788</v>
      </c>
    </row>
    <row r="1620" spans="1:11" ht="21" x14ac:dyDescent="0.25">
      <c r="A1620" s="11" t="str">
        <f>HYPERLINK("https://rth.dk/resources/bsgatlas/details.php?id=BSGatlas-transcript-1619","BSGatlas-transcript-1619")</f>
        <v>BSGatlas-transcript-1619</v>
      </c>
      <c r="B1620" s="1" t="s">
        <v>1519</v>
      </c>
      <c r="C1620" s="3">
        <v>1430538</v>
      </c>
      <c r="D1620" s="3">
        <v>1431003</v>
      </c>
      <c r="E1620" s="1" t="s">
        <v>9</v>
      </c>
      <c r="F1620" s="1">
        <v>0</v>
      </c>
      <c r="G1620" s="1" t="s">
        <v>4372</v>
      </c>
      <c r="H1620" s="1" t="s">
        <v>4372</v>
      </c>
      <c r="I1620" s="1" t="s">
        <v>4373</v>
      </c>
      <c r="J1620" s="1" t="s">
        <v>6787</v>
      </c>
      <c r="K1620" s="1" t="s">
        <v>6789</v>
      </c>
    </row>
    <row r="1621" spans="1:11" ht="21" x14ac:dyDescent="0.25">
      <c r="A1621" s="11" t="str">
        <f>HYPERLINK("https://rth.dk/resources/bsgatlas/details.php?id=BSGatlas-transcript-1620","BSGatlas-transcript-1620")</f>
        <v>BSGatlas-transcript-1620</v>
      </c>
      <c r="B1621" s="1" t="s">
        <v>1519</v>
      </c>
      <c r="C1621" s="3">
        <v>1430636</v>
      </c>
      <c r="D1621" s="3">
        <v>1430957</v>
      </c>
      <c r="E1621" s="1" t="s">
        <v>9</v>
      </c>
      <c r="F1621" s="1">
        <v>0</v>
      </c>
      <c r="G1621" s="1" t="s">
        <v>4372</v>
      </c>
      <c r="H1621" s="1" t="s">
        <v>4372</v>
      </c>
      <c r="I1621" s="1" t="s">
        <v>4373</v>
      </c>
      <c r="J1621" s="1" t="s">
        <v>6790</v>
      </c>
      <c r="K1621" s="1" t="s">
        <v>6788</v>
      </c>
    </row>
    <row r="1622" spans="1:11" ht="21" x14ac:dyDescent="0.25">
      <c r="A1622" s="11" t="str">
        <f>HYPERLINK("https://rth.dk/resources/bsgatlas/details.php?id=BSGatlas-transcript-1621","BSGatlas-transcript-1621")</f>
        <v>BSGatlas-transcript-1621</v>
      </c>
      <c r="B1622" s="1" t="s">
        <v>1519</v>
      </c>
      <c r="C1622" s="3">
        <v>1430636</v>
      </c>
      <c r="D1622" s="3">
        <v>1431003</v>
      </c>
      <c r="E1622" s="1" t="s">
        <v>9</v>
      </c>
      <c r="F1622" s="1">
        <v>0</v>
      </c>
      <c r="G1622" s="1" t="s">
        <v>4372</v>
      </c>
      <c r="H1622" s="1" t="s">
        <v>4372</v>
      </c>
      <c r="I1622" s="1" t="s">
        <v>4373</v>
      </c>
      <c r="J1622" s="1" t="s">
        <v>6790</v>
      </c>
      <c r="K1622" s="1" t="s">
        <v>6789</v>
      </c>
    </row>
    <row r="1623" spans="1:11" ht="21" x14ac:dyDescent="0.25">
      <c r="A1623" s="11" t="str">
        <f>HYPERLINK("https://rth.dk/resources/bsgatlas/details.php?id=BSGatlas-transcript-1622","BSGatlas-transcript-1622")</f>
        <v>BSGatlas-transcript-1622</v>
      </c>
      <c r="B1623" s="1" t="s">
        <v>1520</v>
      </c>
      <c r="C1623" s="3">
        <v>1430659</v>
      </c>
      <c r="D1623" s="3">
        <v>1433035</v>
      </c>
      <c r="E1623" s="1" t="s">
        <v>13</v>
      </c>
      <c r="F1623" s="1">
        <v>0</v>
      </c>
      <c r="G1623" s="1" t="s">
        <v>4372</v>
      </c>
      <c r="H1623" s="1" t="s">
        <v>4372</v>
      </c>
      <c r="I1623" s="1" t="s">
        <v>4397</v>
      </c>
      <c r="J1623" s="1" t="s">
        <v>6791</v>
      </c>
      <c r="K1623" s="1" t="s">
        <v>6792</v>
      </c>
    </row>
    <row r="1624" spans="1:11" ht="21" x14ac:dyDescent="0.25">
      <c r="A1624" s="11" t="str">
        <f>HYPERLINK("https://rth.dk/resources/bsgatlas/details.php?id=BSGatlas-transcript-1623","BSGatlas-transcript-1623")</f>
        <v>BSGatlas-transcript-1623</v>
      </c>
      <c r="B1624" s="1" t="s">
        <v>1521</v>
      </c>
      <c r="C1624" s="3">
        <v>1431027</v>
      </c>
      <c r="D1624" s="3">
        <v>1431458</v>
      </c>
      <c r="E1624" s="1" t="s">
        <v>9</v>
      </c>
      <c r="F1624" s="1">
        <v>0</v>
      </c>
      <c r="G1624" s="1" t="s">
        <v>4372</v>
      </c>
      <c r="H1624" s="1" t="s">
        <v>4372</v>
      </c>
      <c r="I1624" s="1" t="s">
        <v>4373</v>
      </c>
      <c r="J1624" s="1" t="s">
        <v>318</v>
      </c>
      <c r="K1624" s="1" t="s">
        <v>318</v>
      </c>
    </row>
    <row r="1625" spans="1:11" ht="21" x14ac:dyDescent="0.25">
      <c r="A1625" s="11" t="str">
        <f>HYPERLINK("https://rth.dk/resources/bsgatlas/details.php?id=BSGatlas-transcript-1624","BSGatlas-transcript-1624")</f>
        <v>BSGatlas-transcript-1624</v>
      </c>
      <c r="B1625" s="1" t="s">
        <v>1520</v>
      </c>
      <c r="C1625" s="3">
        <v>1431486</v>
      </c>
      <c r="D1625" s="3">
        <v>1433035</v>
      </c>
      <c r="E1625" s="1" t="s">
        <v>13</v>
      </c>
      <c r="F1625" s="1">
        <v>0</v>
      </c>
      <c r="G1625" s="1" t="s">
        <v>4372</v>
      </c>
      <c r="H1625" s="1" t="s">
        <v>4372</v>
      </c>
      <c r="I1625" s="1" t="s">
        <v>4397</v>
      </c>
      <c r="J1625" s="1" t="s">
        <v>6791</v>
      </c>
      <c r="K1625" s="1" t="s">
        <v>6793</v>
      </c>
    </row>
    <row r="1626" spans="1:11" ht="21" x14ac:dyDescent="0.25">
      <c r="A1626" s="11" t="str">
        <f>HYPERLINK("https://rth.dk/resources/bsgatlas/details.php?id=BSGatlas-transcript-1625","BSGatlas-transcript-1625")</f>
        <v>BSGatlas-transcript-1625</v>
      </c>
      <c r="B1626" s="1" t="s">
        <v>1522</v>
      </c>
      <c r="C1626" s="3">
        <v>1432233</v>
      </c>
      <c r="D1626" s="3">
        <v>1433636</v>
      </c>
      <c r="E1626" s="1" t="s">
        <v>9</v>
      </c>
      <c r="F1626" s="1">
        <v>0</v>
      </c>
      <c r="G1626" s="1" t="s">
        <v>4372</v>
      </c>
      <c r="H1626" s="1" t="s">
        <v>4372</v>
      </c>
      <c r="I1626" s="1" t="s">
        <v>4397</v>
      </c>
      <c r="J1626" s="1" t="s">
        <v>6794</v>
      </c>
      <c r="K1626" s="1" t="s">
        <v>6795</v>
      </c>
    </row>
    <row r="1627" spans="1:11" ht="21" x14ac:dyDescent="0.25">
      <c r="A1627" s="11" t="str">
        <f>HYPERLINK("https://rth.dk/resources/bsgatlas/details.php?id=BSGatlas-transcript-1626","BSGatlas-transcript-1626")</f>
        <v>BSGatlas-transcript-1626</v>
      </c>
      <c r="B1627" s="1" t="s">
        <v>1522</v>
      </c>
      <c r="C1627" s="3">
        <v>1433157</v>
      </c>
      <c r="D1627" s="3">
        <v>1433636</v>
      </c>
      <c r="E1627" s="1" t="s">
        <v>9</v>
      </c>
      <c r="F1627" s="1">
        <v>0</v>
      </c>
      <c r="G1627" s="1" t="s">
        <v>4372</v>
      </c>
      <c r="H1627" s="1" t="s">
        <v>4372</v>
      </c>
      <c r="I1627" s="1" t="s">
        <v>4397</v>
      </c>
      <c r="J1627" s="1" t="s">
        <v>6796</v>
      </c>
      <c r="K1627" s="1" t="s">
        <v>6795</v>
      </c>
    </row>
    <row r="1628" spans="1:11" ht="21" x14ac:dyDescent="0.25">
      <c r="A1628" s="11" t="str">
        <f>HYPERLINK("https://rth.dk/resources/bsgatlas/details.php?id=BSGatlas-transcript-1627","BSGatlas-transcript-1627")</f>
        <v>BSGatlas-transcript-1627</v>
      </c>
      <c r="B1628" s="1" t="s">
        <v>6797</v>
      </c>
      <c r="C1628" s="3">
        <v>1433627</v>
      </c>
      <c r="D1628" s="3">
        <v>1435279</v>
      </c>
      <c r="E1628" s="1" t="s">
        <v>13</v>
      </c>
      <c r="F1628" s="1">
        <v>0</v>
      </c>
      <c r="G1628" s="1" t="s">
        <v>4372</v>
      </c>
      <c r="H1628" s="1" t="s">
        <v>4372</v>
      </c>
      <c r="I1628" s="1" t="s">
        <v>4373</v>
      </c>
      <c r="J1628" s="1" t="s">
        <v>6798</v>
      </c>
      <c r="K1628" s="1" t="s">
        <v>6799</v>
      </c>
    </row>
    <row r="1629" spans="1:11" ht="21" x14ac:dyDescent="0.25">
      <c r="A1629" s="11" t="str">
        <f>HYPERLINK("https://rth.dk/resources/bsgatlas/details.php?id=BSGatlas-transcript-1628","BSGatlas-transcript-1628")</f>
        <v>BSGatlas-transcript-1628</v>
      </c>
      <c r="B1629" s="1" t="s">
        <v>1524</v>
      </c>
      <c r="C1629" s="3">
        <v>1434135</v>
      </c>
      <c r="D1629" s="3">
        <v>1435279</v>
      </c>
      <c r="E1629" s="1" t="s">
        <v>13</v>
      </c>
      <c r="F1629" s="1">
        <v>0</v>
      </c>
      <c r="G1629" s="1" t="s">
        <v>4372</v>
      </c>
      <c r="H1629" s="1" t="s">
        <v>4372</v>
      </c>
      <c r="I1629" s="1" t="s">
        <v>4377</v>
      </c>
      <c r="J1629" s="1" t="s">
        <v>6798</v>
      </c>
      <c r="K1629" s="1" t="s">
        <v>6800</v>
      </c>
    </row>
    <row r="1630" spans="1:11" ht="21" x14ac:dyDescent="0.25">
      <c r="A1630" s="11" t="str">
        <f>HYPERLINK("https://rth.dk/resources/bsgatlas/details.php?id=BSGatlas-transcript-1629","BSGatlas-transcript-1629")</f>
        <v>BSGatlas-transcript-1629</v>
      </c>
      <c r="B1630" s="1" t="s">
        <v>1525</v>
      </c>
      <c r="C1630" s="3">
        <v>1435393</v>
      </c>
      <c r="D1630" s="3">
        <v>1437808</v>
      </c>
      <c r="E1630" s="1" t="s">
        <v>13</v>
      </c>
      <c r="F1630" s="1">
        <v>0</v>
      </c>
      <c r="G1630" s="1" t="s">
        <v>4372</v>
      </c>
      <c r="H1630" s="1" t="s">
        <v>4372</v>
      </c>
      <c r="I1630" s="1" t="s">
        <v>4373</v>
      </c>
      <c r="J1630" s="1" t="s">
        <v>6801</v>
      </c>
      <c r="K1630" s="1" t="s">
        <v>6802</v>
      </c>
    </row>
    <row r="1631" spans="1:11" ht="21" x14ac:dyDescent="0.25">
      <c r="A1631" s="11" t="str">
        <f>HYPERLINK("https://rth.dk/resources/bsgatlas/details.php?id=BSGatlas-transcript-1630","BSGatlas-transcript-1630")</f>
        <v>BSGatlas-transcript-1630</v>
      </c>
      <c r="B1631" s="1" t="s">
        <v>1525</v>
      </c>
      <c r="C1631" s="3">
        <v>1435393</v>
      </c>
      <c r="D1631" s="3">
        <v>1437927</v>
      </c>
      <c r="E1631" s="1" t="s">
        <v>13</v>
      </c>
      <c r="F1631" s="1">
        <v>0</v>
      </c>
      <c r="G1631" s="1" t="s">
        <v>4372</v>
      </c>
      <c r="H1631" s="1" t="s">
        <v>4372</v>
      </c>
      <c r="I1631" s="1" t="s">
        <v>4373</v>
      </c>
      <c r="J1631" s="1" t="s">
        <v>6803</v>
      </c>
      <c r="K1631" s="1" t="s">
        <v>6802</v>
      </c>
    </row>
    <row r="1632" spans="1:11" ht="21" x14ac:dyDescent="0.25">
      <c r="A1632" s="11" t="str">
        <f>HYPERLINK("https://rth.dk/resources/bsgatlas/details.php?id=BSGatlas-transcript-1631","BSGatlas-transcript-1631")</f>
        <v>BSGatlas-transcript-1631</v>
      </c>
      <c r="B1632" s="1" t="s">
        <v>1525</v>
      </c>
      <c r="C1632" s="3">
        <v>1435393</v>
      </c>
      <c r="D1632" s="3">
        <v>1437978</v>
      </c>
      <c r="E1632" s="1" t="s">
        <v>13</v>
      </c>
      <c r="F1632" s="1">
        <v>0</v>
      </c>
      <c r="G1632" s="1" t="s">
        <v>4372</v>
      </c>
      <c r="H1632" s="1" t="s">
        <v>4372</v>
      </c>
      <c r="I1632" s="1" t="s">
        <v>4373</v>
      </c>
      <c r="J1632" s="1" t="s">
        <v>6804</v>
      </c>
      <c r="K1632" s="1" t="s">
        <v>6802</v>
      </c>
    </row>
    <row r="1633" spans="1:11" ht="21" x14ac:dyDescent="0.25">
      <c r="A1633" s="11" t="str">
        <f>HYPERLINK("https://rth.dk/resources/bsgatlas/details.php?id=BSGatlas-transcript-1632","BSGatlas-transcript-1632")</f>
        <v>BSGatlas-transcript-1632</v>
      </c>
      <c r="B1633" s="1" t="s">
        <v>1525</v>
      </c>
      <c r="C1633" s="3">
        <v>1435584</v>
      </c>
      <c r="D1633" s="3">
        <v>1437808</v>
      </c>
      <c r="E1633" s="1" t="s">
        <v>13</v>
      </c>
      <c r="F1633" s="1">
        <v>0</v>
      </c>
      <c r="G1633" s="1" t="s">
        <v>4372</v>
      </c>
      <c r="H1633" s="1" t="s">
        <v>4372</v>
      </c>
      <c r="I1633" s="1" t="s">
        <v>4373</v>
      </c>
      <c r="J1633" s="1" t="s">
        <v>6801</v>
      </c>
      <c r="K1633" s="1" t="s">
        <v>6805</v>
      </c>
    </row>
    <row r="1634" spans="1:11" ht="21" x14ac:dyDescent="0.25">
      <c r="A1634" s="11" t="str">
        <f>HYPERLINK("https://rth.dk/resources/bsgatlas/details.php?id=BSGatlas-transcript-1633","BSGatlas-transcript-1633")</f>
        <v>BSGatlas-transcript-1633</v>
      </c>
      <c r="B1634" s="1" t="s">
        <v>1525</v>
      </c>
      <c r="C1634" s="3">
        <v>1435584</v>
      </c>
      <c r="D1634" s="3">
        <v>1437927</v>
      </c>
      <c r="E1634" s="1" t="s">
        <v>13</v>
      </c>
      <c r="F1634" s="1">
        <v>0</v>
      </c>
      <c r="G1634" s="1" t="s">
        <v>4372</v>
      </c>
      <c r="H1634" s="1" t="s">
        <v>4372</v>
      </c>
      <c r="I1634" s="1" t="s">
        <v>4373</v>
      </c>
      <c r="J1634" s="1" t="s">
        <v>6803</v>
      </c>
      <c r="K1634" s="1" t="s">
        <v>6805</v>
      </c>
    </row>
    <row r="1635" spans="1:11" ht="21" x14ac:dyDescent="0.25">
      <c r="A1635" s="11" t="str">
        <f>HYPERLINK("https://rth.dk/resources/bsgatlas/details.php?id=BSGatlas-transcript-1634","BSGatlas-transcript-1634")</f>
        <v>BSGatlas-transcript-1634</v>
      </c>
      <c r="B1635" s="1" t="s">
        <v>1525</v>
      </c>
      <c r="C1635" s="3">
        <v>1435584</v>
      </c>
      <c r="D1635" s="3">
        <v>1437978</v>
      </c>
      <c r="E1635" s="1" t="s">
        <v>13</v>
      </c>
      <c r="F1635" s="1">
        <v>0</v>
      </c>
      <c r="G1635" s="1" t="s">
        <v>4372</v>
      </c>
      <c r="H1635" s="1" t="s">
        <v>4372</v>
      </c>
      <c r="I1635" s="1" t="s">
        <v>4373</v>
      </c>
      <c r="J1635" s="1" t="s">
        <v>6804</v>
      </c>
      <c r="K1635" s="1" t="s">
        <v>6805</v>
      </c>
    </row>
    <row r="1636" spans="1:11" ht="21" x14ac:dyDescent="0.25">
      <c r="A1636" s="11" t="str">
        <f>HYPERLINK("https://rth.dk/resources/bsgatlas/details.php?id=BSGatlas-transcript-1635","BSGatlas-transcript-1635")</f>
        <v>BSGatlas-transcript-1635</v>
      </c>
      <c r="B1636" s="1" t="s">
        <v>1525</v>
      </c>
      <c r="C1636" s="3">
        <v>1435628</v>
      </c>
      <c r="D1636" s="3">
        <v>1437808</v>
      </c>
      <c r="E1636" s="1" t="s">
        <v>13</v>
      </c>
      <c r="F1636" s="1">
        <v>0</v>
      </c>
      <c r="G1636" s="1" t="s">
        <v>4372</v>
      </c>
      <c r="H1636" s="1" t="s">
        <v>4372</v>
      </c>
      <c r="I1636" s="1" t="s">
        <v>4373</v>
      </c>
      <c r="J1636" s="1" t="s">
        <v>6801</v>
      </c>
      <c r="K1636" s="1" t="s">
        <v>6806</v>
      </c>
    </row>
    <row r="1637" spans="1:11" ht="21" x14ac:dyDescent="0.25">
      <c r="A1637" s="11" t="str">
        <f>HYPERLINK("https://rth.dk/resources/bsgatlas/details.php?id=BSGatlas-transcript-1636","BSGatlas-transcript-1636")</f>
        <v>BSGatlas-transcript-1636</v>
      </c>
      <c r="B1637" s="1" t="s">
        <v>1525</v>
      </c>
      <c r="C1637" s="3">
        <v>1435628</v>
      </c>
      <c r="D1637" s="3">
        <v>1437927</v>
      </c>
      <c r="E1637" s="1" t="s">
        <v>13</v>
      </c>
      <c r="F1637" s="1">
        <v>0</v>
      </c>
      <c r="G1637" s="1" t="s">
        <v>4372</v>
      </c>
      <c r="H1637" s="1" t="s">
        <v>4372</v>
      </c>
      <c r="I1637" s="1" t="s">
        <v>4373</v>
      </c>
      <c r="J1637" s="1" t="s">
        <v>6803</v>
      </c>
      <c r="K1637" s="1" t="s">
        <v>6806</v>
      </c>
    </row>
    <row r="1638" spans="1:11" ht="21" x14ac:dyDescent="0.25">
      <c r="A1638" s="11" t="str">
        <f>HYPERLINK("https://rth.dk/resources/bsgatlas/details.php?id=BSGatlas-transcript-1637","BSGatlas-transcript-1637")</f>
        <v>BSGatlas-transcript-1637</v>
      </c>
      <c r="B1638" s="1" t="s">
        <v>1525</v>
      </c>
      <c r="C1638" s="3">
        <v>1435628</v>
      </c>
      <c r="D1638" s="3">
        <v>1437978</v>
      </c>
      <c r="E1638" s="1" t="s">
        <v>13</v>
      </c>
      <c r="F1638" s="1">
        <v>0</v>
      </c>
      <c r="G1638" s="1" t="s">
        <v>4372</v>
      </c>
      <c r="H1638" s="1" t="s">
        <v>4372</v>
      </c>
      <c r="I1638" s="1" t="s">
        <v>4373</v>
      </c>
      <c r="J1638" s="1" t="s">
        <v>6804</v>
      </c>
      <c r="K1638" s="1" t="s">
        <v>6806</v>
      </c>
    </row>
    <row r="1639" spans="1:11" ht="21" x14ac:dyDescent="0.25">
      <c r="A1639" s="11" t="str">
        <f>HYPERLINK("https://rth.dk/resources/bsgatlas/details.php?id=BSGatlas-transcript-1638","BSGatlas-transcript-1638")</f>
        <v>BSGatlas-transcript-1638</v>
      </c>
      <c r="B1639" s="1" t="s">
        <v>1526</v>
      </c>
      <c r="C1639" s="3">
        <v>1438046</v>
      </c>
      <c r="D1639" s="3">
        <v>1439135</v>
      </c>
      <c r="E1639" s="1" t="s">
        <v>9</v>
      </c>
      <c r="F1639" s="1">
        <v>0</v>
      </c>
      <c r="G1639" s="1" t="s">
        <v>4372</v>
      </c>
      <c r="H1639" s="1" t="s">
        <v>4372</v>
      </c>
      <c r="I1639" s="1" t="s">
        <v>4373</v>
      </c>
      <c r="J1639" s="1" t="s">
        <v>6807</v>
      </c>
      <c r="K1639" s="1" t="s">
        <v>318</v>
      </c>
    </row>
    <row r="1640" spans="1:11" ht="21" x14ac:dyDescent="0.25">
      <c r="A1640" s="11" t="str">
        <f>HYPERLINK("https://rth.dk/resources/bsgatlas/details.php?id=BSGatlas-transcript-1639","BSGatlas-transcript-1639")</f>
        <v>BSGatlas-transcript-1639</v>
      </c>
      <c r="B1640" s="1" t="s">
        <v>6808</v>
      </c>
      <c r="C1640" s="3">
        <v>1439229</v>
      </c>
      <c r="D1640" s="3">
        <v>1442045</v>
      </c>
      <c r="E1640" s="1" t="s">
        <v>9</v>
      </c>
      <c r="F1640" s="1">
        <v>1</v>
      </c>
      <c r="G1640" s="1">
        <v>220</v>
      </c>
      <c r="H1640" s="1">
        <v>258</v>
      </c>
      <c r="I1640" s="1" t="s">
        <v>4386</v>
      </c>
      <c r="J1640" s="1" t="s">
        <v>6809</v>
      </c>
      <c r="K1640" s="1" t="s">
        <v>6810</v>
      </c>
    </row>
    <row r="1641" spans="1:11" ht="21" x14ac:dyDescent="0.25">
      <c r="A1641" s="11" t="str">
        <f>HYPERLINK("https://rth.dk/resources/bsgatlas/details.php?id=BSGatlas-transcript-1640","BSGatlas-transcript-1640")</f>
        <v>BSGatlas-transcript-1640</v>
      </c>
      <c r="B1641" s="1" t="s">
        <v>1531</v>
      </c>
      <c r="C1641" s="3">
        <v>1439274</v>
      </c>
      <c r="D1641" s="3">
        <v>1439354</v>
      </c>
      <c r="E1641" s="1" t="s">
        <v>9</v>
      </c>
      <c r="F1641" s="1">
        <v>0</v>
      </c>
      <c r="G1641" s="1" t="s">
        <v>4372</v>
      </c>
      <c r="H1641" s="1" t="s">
        <v>4372</v>
      </c>
      <c r="I1641" s="1" t="s">
        <v>4377</v>
      </c>
      <c r="J1641" s="1" t="s">
        <v>318</v>
      </c>
      <c r="K1641" s="1" t="s">
        <v>6811</v>
      </c>
    </row>
    <row r="1642" spans="1:11" ht="21" x14ac:dyDescent="0.25">
      <c r="A1642" s="11" t="str">
        <f>HYPERLINK("https://rth.dk/resources/bsgatlas/details.php?id=BSGatlas-transcript-1641","BSGatlas-transcript-1641")</f>
        <v>BSGatlas-transcript-1641</v>
      </c>
      <c r="B1642" s="1" t="s">
        <v>1532</v>
      </c>
      <c r="C1642" s="3">
        <v>1442011</v>
      </c>
      <c r="D1642" s="3">
        <v>1442751</v>
      </c>
      <c r="E1642" s="1" t="s">
        <v>13</v>
      </c>
      <c r="F1642" s="1">
        <v>0</v>
      </c>
      <c r="G1642" s="1" t="s">
        <v>4372</v>
      </c>
      <c r="H1642" s="1" t="s">
        <v>4372</v>
      </c>
      <c r="I1642" s="1" t="s">
        <v>4397</v>
      </c>
      <c r="J1642" s="1" t="s">
        <v>6812</v>
      </c>
      <c r="K1642" s="1" t="s">
        <v>6813</v>
      </c>
    </row>
    <row r="1643" spans="1:11" ht="21" x14ac:dyDescent="0.25">
      <c r="A1643" s="11" t="str">
        <f>HYPERLINK("https://rth.dk/resources/bsgatlas/details.php?id=BSGatlas-transcript-1642","BSGatlas-transcript-1642")</f>
        <v>BSGatlas-transcript-1642</v>
      </c>
      <c r="B1643" s="1" t="s">
        <v>1532</v>
      </c>
      <c r="C1643" s="3">
        <v>1442121</v>
      </c>
      <c r="D1643" s="3">
        <v>1442751</v>
      </c>
      <c r="E1643" s="1" t="s">
        <v>13</v>
      </c>
      <c r="F1643" s="1">
        <v>0</v>
      </c>
      <c r="G1643" s="1" t="s">
        <v>4372</v>
      </c>
      <c r="H1643" s="1" t="s">
        <v>4372</v>
      </c>
      <c r="I1643" s="1" t="s">
        <v>4397</v>
      </c>
      <c r="J1643" s="1" t="s">
        <v>6812</v>
      </c>
      <c r="K1643" s="1" t="s">
        <v>6814</v>
      </c>
    </row>
    <row r="1644" spans="1:11" ht="21" x14ac:dyDescent="0.25">
      <c r="A1644" s="11" t="str">
        <f>HYPERLINK("https://rth.dk/resources/bsgatlas/details.php?id=BSGatlas-transcript-1643","BSGatlas-transcript-1643")</f>
        <v>BSGatlas-transcript-1643</v>
      </c>
      <c r="B1644" s="1" t="s">
        <v>1533</v>
      </c>
      <c r="C1644" s="3">
        <v>1442793</v>
      </c>
      <c r="D1644" s="3">
        <v>1443695</v>
      </c>
      <c r="E1644" s="1" t="s">
        <v>9</v>
      </c>
      <c r="F1644" s="1">
        <v>0</v>
      </c>
      <c r="G1644" s="1" t="s">
        <v>4372</v>
      </c>
      <c r="H1644" s="1" t="s">
        <v>4372</v>
      </c>
      <c r="I1644" s="1" t="s">
        <v>4386</v>
      </c>
      <c r="J1644" s="1" t="s">
        <v>6815</v>
      </c>
      <c r="K1644" s="1" t="s">
        <v>6816</v>
      </c>
    </row>
    <row r="1645" spans="1:11" ht="21" x14ac:dyDescent="0.25">
      <c r="A1645" s="11" t="str">
        <f>HYPERLINK("https://rth.dk/resources/bsgatlas/details.php?id=BSGatlas-transcript-1644","BSGatlas-transcript-1644")</f>
        <v>BSGatlas-transcript-1644</v>
      </c>
      <c r="B1645" s="1" t="s">
        <v>6817</v>
      </c>
      <c r="C1645" s="3">
        <v>1444047</v>
      </c>
      <c r="D1645" s="3">
        <v>1446336</v>
      </c>
      <c r="E1645" s="1" t="s">
        <v>9</v>
      </c>
      <c r="F1645" s="1">
        <v>1</v>
      </c>
      <c r="G1645" s="1">
        <v>53</v>
      </c>
      <c r="H1645" s="1" t="s">
        <v>4372</v>
      </c>
      <c r="I1645" s="1" t="s">
        <v>4373</v>
      </c>
      <c r="J1645" s="1" t="s">
        <v>6818</v>
      </c>
      <c r="K1645" s="1" t="s">
        <v>318</v>
      </c>
    </row>
    <row r="1646" spans="1:11" ht="21" x14ac:dyDescent="0.25">
      <c r="A1646" s="11" t="str">
        <f>HYPERLINK("https://rth.dk/resources/bsgatlas/details.php?id=BSGatlas-transcript-1645","BSGatlas-transcript-1645")</f>
        <v>BSGatlas-transcript-1645</v>
      </c>
      <c r="B1646" s="1" t="s">
        <v>6817</v>
      </c>
      <c r="C1646" s="3">
        <v>1444099</v>
      </c>
      <c r="D1646" s="3">
        <v>1446336</v>
      </c>
      <c r="E1646" s="1" t="s">
        <v>9</v>
      </c>
      <c r="F1646" s="1">
        <v>1</v>
      </c>
      <c r="G1646" s="1" t="s">
        <v>4372</v>
      </c>
      <c r="H1646" s="1" t="s">
        <v>4372</v>
      </c>
      <c r="I1646" s="1" t="s">
        <v>4373</v>
      </c>
      <c r="J1646" s="1" t="s">
        <v>6819</v>
      </c>
      <c r="K1646" s="1" t="s">
        <v>318</v>
      </c>
    </row>
    <row r="1647" spans="1:11" ht="21" x14ac:dyDescent="0.25">
      <c r="A1647" s="11" t="str">
        <f>HYPERLINK("https://rth.dk/resources/bsgatlas/details.php?id=BSGatlas-transcript-1646","BSGatlas-transcript-1646")</f>
        <v>BSGatlas-transcript-1646</v>
      </c>
      <c r="B1647" s="1" t="s">
        <v>1535</v>
      </c>
      <c r="C1647" s="3">
        <v>1445314</v>
      </c>
      <c r="D1647" s="3">
        <v>1445541</v>
      </c>
      <c r="E1647" s="1" t="s">
        <v>9</v>
      </c>
      <c r="F1647" s="1">
        <v>0</v>
      </c>
      <c r="G1647" s="1" t="s">
        <v>4372</v>
      </c>
      <c r="H1647" s="1" t="s">
        <v>4372</v>
      </c>
      <c r="I1647" s="1" t="s">
        <v>4386</v>
      </c>
      <c r="J1647" s="1" t="s">
        <v>6820</v>
      </c>
      <c r="K1647" s="1" t="s">
        <v>318</v>
      </c>
    </row>
    <row r="1648" spans="1:11" ht="21" x14ac:dyDescent="0.25">
      <c r="A1648" s="11" t="str">
        <f>HYPERLINK("https://rth.dk/resources/bsgatlas/details.php?id=BSGatlas-transcript-1647","BSGatlas-transcript-1647")</f>
        <v>BSGatlas-transcript-1647</v>
      </c>
      <c r="B1648" s="1" t="s">
        <v>1537</v>
      </c>
      <c r="C1648" s="3">
        <v>1446289</v>
      </c>
      <c r="D1648" s="3">
        <v>1447115</v>
      </c>
      <c r="E1648" s="1" t="s">
        <v>13</v>
      </c>
      <c r="F1648" s="1">
        <v>0</v>
      </c>
      <c r="G1648" s="1" t="s">
        <v>4372</v>
      </c>
      <c r="H1648" s="1" t="s">
        <v>4372</v>
      </c>
      <c r="I1648" s="1" t="s">
        <v>4377</v>
      </c>
      <c r="J1648" s="1" t="s">
        <v>6821</v>
      </c>
      <c r="K1648" s="1" t="s">
        <v>318</v>
      </c>
    </row>
    <row r="1649" spans="1:11" ht="21" x14ac:dyDescent="0.25">
      <c r="A1649" s="11" t="str">
        <f>HYPERLINK("https://rth.dk/resources/bsgatlas/details.php?id=BSGatlas-transcript-1648","BSGatlas-transcript-1648")</f>
        <v>BSGatlas-transcript-1648</v>
      </c>
      <c r="B1649" s="1" t="s">
        <v>1538</v>
      </c>
      <c r="C1649" s="3">
        <v>1446806</v>
      </c>
      <c r="D1649" s="3">
        <v>1447046</v>
      </c>
      <c r="E1649" s="1" t="s">
        <v>9</v>
      </c>
      <c r="F1649" s="1">
        <v>0</v>
      </c>
      <c r="G1649" s="1" t="s">
        <v>4372</v>
      </c>
      <c r="H1649" s="1" t="s">
        <v>4372</v>
      </c>
      <c r="I1649" s="1" t="s">
        <v>4377</v>
      </c>
      <c r="J1649" s="1" t="s">
        <v>6822</v>
      </c>
      <c r="K1649" s="1" t="s">
        <v>6823</v>
      </c>
    </row>
    <row r="1650" spans="1:11" ht="21" x14ac:dyDescent="0.25">
      <c r="A1650" s="11" t="str">
        <f>HYPERLINK("https://rth.dk/resources/bsgatlas/details.php?id=BSGatlas-transcript-1649","BSGatlas-transcript-1649")</f>
        <v>BSGatlas-transcript-1649</v>
      </c>
      <c r="B1650" s="1" t="s">
        <v>1539</v>
      </c>
      <c r="C1650" s="3">
        <v>1447215</v>
      </c>
      <c r="D1650" s="3">
        <v>1447562</v>
      </c>
      <c r="E1650" s="1" t="s">
        <v>9</v>
      </c>
      <c r="F1650" s="1">
        <v>0</v>
      </c>
      <c r="G1650" s="1" t="s">
        <v>4372</v>
      </c>
      <c r="H1650" s="1" t="s">
        <v>4372</v>
      </c>
      <c r="I1650" s="1" t="s">
        <v>4373</v>
      </c>
      <c r="J1650" s="1" t="s">
        <v>6824</v>
      </c>
      <c r="K1650" s="1" t="s">
        <v>6825</v>
      </c>
    </row>
    <row r="1651" spans="1:11" ht="21" x14ac:dyDescent="0.25">
      <c r="A1651" s="11" t="str">
        <f>HYPERLINK("https://rth.dk/resources/bsgatlas/details.php?id=BSGatlas-transcript-1650","BSGatlas-transcript-1650")</f>
        <v>BSGatlas-transcript-1650</v>
      </c>
      <c r="B1651" s="1" t="s">
        <v>1540</v>
      </c>
      <c r="C1651" s="3">
        <v>1447599</v>
      </c>
      <c r="D1651" s="3">
        <v>1447891</v>
      </c>
      <c r="E1651" s="1" t="s">
        <v>13</v>
      </c>
      <c r="F1651" s="1">
        <v>0</v>
      </c>
      <c r="G1651" s="1" t="s">
        <v>4372</v>
      </c>
      <c r="H1651" s="1" t="s">
        <v>4372</v>
      </c>
      <c r="I1651" s="1" t="s">
        <v>4397</v>
      </c>
      <c r="J1651" s="1" t="s">
        <v>6826</v>
      </c>
      <c r="K1651" s="1" t="s">
        <v>6827</v>
      </c>
    </row>
    <row r="1652" spans="1:11" ht="21" x14ac:dyDescent="0.25">
      <c r="A1652" s="11" t="str">
        <f>HYPERLINK("https://rth.dk/resources/bsgatlas/details.php?id=BSGatlas-transcript-1651","BSGatlas-transcript-1651")</f>
        <v>BSGatlas-transcript-1651</v>
      </c>
      <c r="B1652" s="1" t="s">
        <v>1540</v>
      </c>
      <c r="C1652" s="3">
        <v>1447599</v>
      </c>
      <c r="D1652" s="3">
        <v>1448244</v>
      </c>
      <c r="E1652" s="1" t="s">
        <v>13</v>
      </c>
      <c r="F1652" s="1">
        <v>0</v>
      </c>
      <c r="G1652" s="1" t="s">
        <v>4372</v>
      </c>
      <c r="H1652" s="1" t="s">
        <v>4372</v>
      </c>
      <c r="I1652" s="1" t="s">
        <v>4397</v>
      </c>
      <c r="J1652" s="1" t="s">
        <v>6828</v>
      </c>
      <c r="K1652" s="1" t="s">
        <v>6827</v>
      </c>
    </row>
    <row r="1653" spans="1:11" ht="21" x14ac:dyDescent="0.25">
      <c r="A1653" s="11" t="str">
        <f>HYPERLINK("https://rth.dk/resources/bsgatlas/details.php?id=BSGatlas-transcript-1652","BSGatlas-transcript-1652")</f>
        <v>BSGatlas-transcript-1652</v>
      </c>
      <c r="B1653" s="1" t="s">
        <v>1541</v>
      </c>
      <c r="C1653" s="3">
        <v>1447974</v>
      </c>
      <c r="D1653" s="3">
        <v>1448207</v>
      </c>
      <c r="E1653" s="1" t="s">
        <v>9</v>
      </c>
      <c r="F1653" s="1">
        <v>0</v>
      </c>
      <c r="G1653" s="1" t="s">
        <v>4372</v>
      </c>
      <c r="H1653" s="1" t="s">
        <v>4372</v>
      </c>
      <c r="I1653" s="1" t="s">
        <v>4377</v>
      </c>
      <c r="J1653" s="1" t="s">
        <v>6829</v>
      </c>
      <c r="K1653" s="1" t="s">
        <v>6830</v>
      </c>
    </row>
    <row r="1654" spans="1:11" ht="21" x14ac:dyDescent="0.25">
      <c r="A1654" s="11" t="str">
        <f>HYPERLINK("https://rth.dk/resources/bsgatlas/details.php?id=BSGatlas-transcript-1653","BSGatlas-transcript-1653")</f>
        <v>BSGatlas-transcript-1653</v>
      </c>
      <c r="B1654" s="1" t="s">
        <v>6831</v>
      </c>
      <c r="C1654" s="3">
        <v>1447974</v>
      </c>
      <c r="D1654" s="3">
        <v>1449132</v>
      </c>
      <c r="E1654" s="1" t="s">
        <v>9</v>
      </c>
      <c r="F1654" s="1">
        <v>1</v>
      </c>
      <c r="G1654" s="1">
        <v>40</v>
      </c>
      <c r="H1654" s="1" t="s">
        <v>4372</v>
      </c>
      <c r="I1654" s="1" t="s">
        <v>4386</v>
      </c>
      <c r="J1654" s="1" t="s">
        <v>6829</v>
      </c>
      <c r="K1654" s="1" t="s">
        <v>6832</v>
      </c>
    </row>
    <row r="1655" spans="1:11" ht="21" x14ac:dyDescent="0.25">
      <c r="A1655" s="11" t="str">
        <f>HYPERLINK("https://rth.dk/resources/bsgatlas/details.php?id=BSGatlas-transcript-1654","BSGatlas-transcript-1654")</f>
        <v>BSGatlas-transcript-1654</v>
      </c>
      <c r="B1655" s="1" t="s">
        <v>6831</v>
      </c>
      <c r="C1655" s="3">
        <v>1447974</v>
      </c>
      <c r="D1655" s="3">
        <v>1449178</v>
      </c>
      <c r="E1655" s="1" t="s">
        <v>9</v>
      </c>
      <c r="F1655" s="1">
        <v>1</v>
      </c>
      <c r="G1655" s="1">
        <v>40</v>
      </c>
      <c r="H1655" s="1">
        <v>47</v>
      </c>
      <c r="I1655" s="1" t="s">
        <v>4386</v>
      </c>
      <c r="J1655" s="1" t="s">
        <v>6829</v>
      </c>
      <c r="K1655" s="1" t="s">
        <v>6833</v>
      </c>
    </row>
    <row r="1656" spans="1:11" ht="21" x14ac:dyDescent="0.25">
      <c r="A1656" s="11" t="str">
        <f>HYPERLINK("https://rth.dk/resources/bsgatlas/details.php?id=BSGatlas-transcript-1655","BSGatlas-transcript-1655")</f>
        <v>BSGatlas-transcript-1655</v>
      </c>
      <c r="B1656" s="1" t="s">
        <v>1542</v>
      </c>
      <c r="C1656" s="3">
        <v>1448506</v>
      </c>
      <c r="D1656" s="3">
        <v>1449132</v>
      </c>
      <c r="E1656" s="1" t="s">
        <v>9</v>
      </c>
      <c r="F1656" s="1">
        <v>0</v>
      </c>
      <c r="G1656" s="1" t="s">
        <v>4372</v>
      </c>
      <c r="H1656" s="1" t="s">
        <v>4372</v>
      </c>
      <c r="I1656" s="1" t="s">
        <v>4382</v>
      </c>
      <c r="J1656" s="1" t="s">
        <v>318</v>
      </c>
      <c r="K1656" s="1" t="s">
        <v>6832</v>
      </c>
    </row>
    <row r="1657" spans="1:11" ht="21" x14ac:dyDescent="0.25">
      <c r="A1657" s="11" t="str">
        <f>HYPERLINK("https://rth.dk/resources/bsgatlas/details.php?id=BSGatlas-transcript-1656","BSGatlas-transcript-1656")</f>
        <v>BSGatlas-transcript-1656</v>
      </c>
      <c r="B1657" s="1" t="s">
        <v>1542</v>
      </c>
      <c r="C1657" s="3">
        <v>1448506</v>
      </c>
      <c r="D1657" s="3">
        <v>1449178</v>
      </c>
      <c r="E1657" s="1" t="s">
        <v>9</v>
      </c>
      <c r="F1657" s="1">
        <v>0</v>
      </c>
      <c r="G1657" s="1" t="s">
        <v>4372</v>
      </c>
      <c r="H1657" s="1" t="s">
        <v>4372</v>
      </c>
      <c r="I1657" s="1" t="s">
        <v>4382</v>
      </c>
      <c r="J1657" s="1" t="s">
        <v>318</v>
      </c>
      <c r="K1657" s="1" t="s">
        <v>6833</v>
      </c>
    </row>
    <row r="1658" spans="1:11" ht="21" x14ac:dyDescent="0.25">
      <c r="A1658" s="11" t="str">
        <f>HYPERLINK("https://rth.dk/resources/bsgatlas/details.php?id=BSGatlas-transcript-1657","BSGatlas-transcript-1657")</f>
        <v>BSGatlas-transcript-1657</v>
      </c>
      <c r="B1658" s="1" t="s">
        <v>6834</v>
      </c>
      <c r="C1658" s="3">
        <v>1449201</v>
      </c>
      <c r="D1658" s="3">
        <v>1451171</v>
      </c>
      <c r="E1658" s="1" t="s">
        <v>9</v>
      </c>
      <c r="F1658" s="1">
        <v>1</v>
      </c>
      <c r="G1658" s="1">
        <v>50</v>
      </c>
      <c r="H1658" s="1">
        <v>37</v>
      </c>
      <c r="I1658" s="1" t="s">
        <v>4373</v>
      </c>
      <c r="J1658" s="1" t="s">
        <v>6835</v>
      </c>
      <c r="K1658" s="1" t="s">
        <v>6836</v>
      </c>
    </row>
    <row r="1659" spans="1:11" ht="21" x14ac:dyDescent="0.25">
      <c r="A1659" s="11" t="str">
        <f>HYPERLINK("https://rth.dk/resources/bsgatlas/details.php?id=BSGatlas-transcript-1658","BSGatlas-transcript-1658")</f>
        <v>BSGatlas-transcript-1658</v>
      </c>
      <c r="B1659" s="1" t="s">
        <v>6834</v>
      </c>
      <c r="C1659" s="3">
        <v>1449225</v>
      </c>
      <c r="D1659" s="3">
        <v>1451171</v>
      </c>
      <c r="E1659" s="1" t="s">
        <v>9</v>
      </c>
      <c r="F1659" s="1">
        <v>1</v>
      </c>
      <c r="G1659" s="1">
        <v>26</v>
      </c>
      <c r="H1659" s="1">
        <v>37</v>
      </c>
      <c r="I1659" s="1" t="s">
        <v>4373</v>
      </c>
      <c r="J1659" s="1" t="s">
        <v>6837</v>
      </c>
      <c r="K1659" s="1" t="s">
        <v>6836</v>
      </c>
    </row>
    <row r="1660" spans="1:11" ht="21" x14ac:dyDescent="0.25">
      <c r="A1660" s="11" t="str">
        <f>HYPERLINK("https://rth.dk/resources/bsgatlas/details.php?id=BSGatlas-transcript-1659","BSGatlas-transcript-1659")</f>
        <v>BSGatlas-transcript-1659</v>
      </c>
      <c r="B1660" s="1" t="s">
        <v>1544</v>
      </c>
      <c r="C1660" s="3">
        <v>1450613</v>
      </c>
      <c r="D1660" s="3">
        <v>1451171</v>
      </c>
      <c r="E1660" s="1" t="s">
        <v>9</v>
      </c>
      <c r="F1660" s="1">
        <v>0</v>
      </c>
      <c r="G1660" s="1" t="s">
        <v>4372</v>
      </c>
      <c r="H1660" s="1" t="s">
        <v>4372</v>
      </c>
      <c r="I1660" s="1" t="s">
        <v>4386</v>
      </c>
      <c r="J1660" s="1" t="s">
        <v>6838</v>
      </c>
      <c r="K1660" s="1" t="s">
        <v>6836</v>
      </c>
    </row>
    <row r="1661" spans="1:11" ht="21" x14ac:dyDescent="0.25">
      <c r="A1661" s="11" t="str">
        <f>HYPERLINK("https://rth.dk/resources/bsgatlas/details.php?id=BSGatlas-transcript-1660","BSGatlas-transcript-1660")</f>
        <v>BSGatlas-transcript-1660</v>
      </c>
      <c r="B1661" s="1" t="s">
        <v>1545</v>
      </c>
      <c r="C1661" s="3">
        <v>1450999</v>
      </c>
      <c r="D1661" s="3">
        <v>1451315</v>
      </c>
      <c r="E1661" s="1" t="s">
        <v>9</v>
      </c>
      <c r="F1661" s="1">
        <v>0</v>
      </c>
      <c r="G1661" s="1" t="s">
        <v>4372</v>
      </c>
      <c r="H1661" s="1" t="s">
        <v>4372</v>
      </c>
      <c r="I1661" s="1" t="s">
        <v>4377</v>
      </c>
      <c r="J1661" s="1" t="s">
        <v>6839</v>
      </c>
      <c r="K1661" s="1" t="s">
        <v>318</v>
      </c>
    </row>
    <row r="1662" spans="1:11" ht="21" x14ac:dyDescent="0.25">
      <c r="A1662" s="11" t="str">
        <f>HYPERLINK("https://rth.dk/resources/bsgatlas/details.php?id=BSGatlas-transcript-1661","BSGatlas-transcript-1661")</f>
        <v>BSGatlas-transcript-1661</v>
      </c>
      <c r="B1662" s="1" t="s">
        <v>1545</v>
      </c>
      <c r="C1662" s="3">
        <v>1451260</v>
      </c>
      <c r="D1662" s="3">
        <v>1451315</v>
      </c>
      <c r="E1662" s="1" t="s">
        <v>9</v>
      </c>
      <c r="F1662" s="1">
        <v>0</v>
      </c>
      <c r="G1662" s="1" t="s">
        <v>4372</v>
      </c>
      <c r="H1662" s="1" t="s">
        <v>4372</v>
      </c>
      <c r="I1662" s="1" t="s">
        <v>4377</v>
      </c>
      <c r="J1662" s="1" t="s">
        <v>6840</v>
      </c>
      <c r="K1662" s="1" t="s">
        <v>318</v>
      </c>
    </row>
    <row r="1663" spans="1:11" ht="21" x14ac:dyDescent="0.25">
      <c r="A1663" s="11" t="str">
        <f>HYPERLINK("https://rth.dk/resources/bsgatlas/details.php?id=BSGatlas-transcript-1662","BSGatlas-transcript-1662")</f>
        <v>BSGatlas-transcript-1662</v>
      </c>
      <c r="B1663" s="1" t="s">
        <v>1546</v>
      </c>
      <c r="C1663" s="3">
        <v>1451371</v>
      </c>
      <c r="D1663" s="3">
        <v>1453326</v>
      </c>
      <c r="E1663" s="1" t="s">
        <v>9</v>
      </c>
      <c r="F1663" s="1">
        <v>0</v>
      </c>
      <c r="G1663" s="1" t="s">
        <v>4372</v>
      </c>
      <c r="H1663" s="1" t="s">
        <v>4372</v>
      </c>
      <c r="I1663" s="1" t="s">
        <v>4373</v>
      </c>
      <c r="J1663" s="1" t="s">
        <v>318</v>
      </c>
      <c r="K1663" s="1" t="s">
        <v>6841</v>
      </c>
    </row>
    <row r="1664" spans="1:11" ht="21" x14ac:dyDescent="0.25">
      <c r="A1664" s="11" t="str">
        <f>HYPERLINK("https://rth.dk/resources/bsgatlas/details.php?id=BSGatlas-transcript-1663","BSGatlas-transcript-1663")</f>
        <v>BSGatlas-transcript-1663</v>
      </c>
      <c r="B1664" s="1" t="s">
        <v>1547</v>
      </c>
      <c r="C1664" s="3">
        <v>1453319</v>
      </c>
      <c r="D1664" s="3">
        <v>1455013</v>
      </c>
      <c r="E1664" s="1" t="s">
        <v>13</v>
      </c>
      <c r="F1664" s="1">
        <v>0</v>
      </c>
      <c r="G1664" s="1" t="s">
        <v>4372</v>
      </c>
      <c r="H1664" s="1" t="s">
        <v>4372</v>
      </c>
      <c r="I1664" s="1" t="s">
        <v>4377</v>
      </c>
      <c r="J1664" s="1" t="s">
        <v>6842</v>
      </c>
      <c r="K1664" s="1" t="s">
        <v>6843</v>
      </c>
    </row>
    <row r="1665" spans="1:11" ht="21" x14ac:dyDescent="0.25">
      <c r="A1665" s="11" t="str">
        <f>HYPERLINK("https://rth.dk/resources/bsgatlas/details.php?id=BSGatlas-transcript-1664","BSGatlas-transcript-1664")</f>
        <v>BSGatlas-transcript-1664</v>
      </c>
      <c r="B1665" s="1" t="s">
        <v>1548</v>
      </c>
      <c r="C1665" s="3">
        <v>1453646</v>
      </c>
      <c r="D1665" s="3">
        <v>1454782</v>
      </c>
      <c r="E1665" s="1" t="s">
        <v>9</v>
      </c>
      <c r="F1665" s="1">
        <v>0</v>
      </c>
      <c r="G1665" s="1" t="s">
        <v>4372</v>
      </c>
      <c r="H1665" s="1" t="s">
        <v>4372</v>
      </c>
      <c r="I1665" s="1" t="s">
        <v>4386</v>
      </c>
      <c r="J1665" s="1" t="s">
        <v>6844</v>
      </c>
      <c r="K1665" s="1" t="s">
        <v>6845</v>
      </c>
    </row>
    <row r="1666" spans="1:11" ht="21" x14ac:dyDescent="0.25">
      <c r="A1666" s="11" t="str">
        <f>HYPERLINK("https://rth.dk/resources/bsgatlas/details.php?id=BSGatlas-transcript-1665","BSGatlas-transcript-1665")</f>
        <v>BSGatlas-transcript-1665</v>
      </c>
      <c r="B1666" s="1" t="s">
        <v>1548</v>
      </c>
      <c r="C1666" s="3">
        <v>1453646</v>
      </c>
      <c r="D1666" s="3">
        <v>1454782</v>
      </c>
      <c r="E1666" s="1" t="s">
        <v>9</v>
      </c>
      <c r="F1666" s="1">
        <v>0</v>
      </c>
      <c r="G1666" s="1" t="s">
        <v>4372</v>
      </c>
      <c r="H1666" s="1" t="s">
        <v>4372</v>
      </c>
      <c r="I1666" s="1" t="s">
        <v>4386</v>
      </c>
      <c r="J1666" s="1" t="s">
        <v>6844</v>
      </c>
      <c r="K1666" s="1" t="s">
        <v>6846</v>
      </c>
    </row>
    <row r="1667" spans="1:11" ht="21" x14ac:dyDescent="0.25">
      <c r="A1667" s="11" t="str">
        <f>HYPERLINK("https://rth.dk/resources/bsgatlas/details.php?id=BSGatlas-transcript-1666","BSGatlas-transcript-1666")</f>
        <v>BSGatlas-transcript-1666</v>
      </c>
      <c r="B1667" s="1" t="s">
        <v>6847</v>
      </c>
      <c r="C1667" s="3">
        <v>1453646</v>
      </c>
      <c r="D1667" s="3">
        <v>1456982</v>
      </c>
      <c r="E1667" s="1" t="s">
        <v>9</v>
      </c>
      <c r="F1667" s="1">
        <v>2</v>
      </c>
      <c r="G1667" s="1">
        <v>46</v>
      </c>
      <c r="H1667" s="1">
        <v>25</v>
      </c>
      <c r="I1667" s="1" t="s">
        <v>4386</v>
      </c>
      <c r="J1667" s="1" t="s">
        <v>6844</v>
      </c>
      <c r="K1667" s="1" t="s">
        <v>6848</v>
      </c>
    </row>
    <row r="1668" spans="1:11" ht="21" x14ac:dyDescent="0.25">
      <c r="A1668" s="11" t="str">
        <f>HYPERLINK("https://rth.dk/resources/bsgatlas/details.php?id=BSGatlas-transcript-1667","BSGatlas-transcript-1667")</f>
        <v>BSGatlas-transcript-1667</v>
      </c>
      <c r="B1668" s="1" t="s">
        <v>1550</v>
      </c>
      <c r="C1668" s="3">
        <v>1456092</v>
      </c>
      <c r="D1668" s="3">
        <v>1456982</v>
      </c>
      <c r="E1668" s="1" t="s">
        <v>9</v>
      </c>
      <c r="F1668" s="1">
        <v>0</v>
      </c>
      <c r="G1668" s="1" t="s">
        <v>4372</v>
      </c>
      <c r="H1668" s="1" t="s">
        <v>4372</v>
      </c>
      <c r="I1668" s="1" t="s">
        <v>4377</v>
      </c>
      <c r="J1668" s="1" t="s">
        <v>6849</v>
      </c>
      <c r="K1668" s="1" t="s">
        <v>6848</v>
      </c>
    </row>
    <row r="1669" spans="1:11" ht="21" x14ac:dyDescent="0.25">
      <c r="A1669" s="11" t="str">
        <f>HYPERLINK("https://rth.dk/resources/bsgatlas/details.php?id=BSGatlas-transcript-1668","BSGatlas-transcript-1668")</f>
        <v>BSGatlas-transcript-1668</v>
      </c>
      <c r="B1669" s="1" t="s">
        <v>6850</v>
      </c>
      <c r="C1669" s="3">
        <v>1456852</v>
      </c>
      <c r="D1669" s="3">
        <v>1461411</v>
      </c>
      <c r="E1669" s="1" t="s">
        <v>9</v>
      </c>
      <c r="F1669" s="1">
        <v>1</v>
      </c>
      <c r="G1669" s="1">
        <v>336</v>
      </c>
      <c r="H1669" s="1">
        <v>50</v>
      </c>
      <c r="I1669" s="1" t="s">
        <v>4373</v>
      </c>
      <c r="J1669" s="1" t="s">
        <v>6851</v>
      </c>
      <c r="K1669" s="1" t="s">
        <v>6852</v>
      </c>
    </row>
    <row r="1670" spans="1:11" ht="21" x14ac:dyDescent="0.25">
      <c r="A1670" s="11" t="str">
        <f>HYPERLINK("https://rth.dk/resources/bsgatlas/details.php?id=BSGatlas-transcript-1669","BSGatlas-transcript-1669")</f>
        <v>BSGatlas-transcript-1669</v>
      </c>
      <c r="B1670" s="1" t="s">
        <v>6850</v>
      </c>
      <c r="C1670" s="3">
        <v>1457158</v>
      </c>
      <c r="D1670" s="3">
        <v>1461411</v>
      </c>
      <c r="E1670" s="1" t="s">
        <v>9</v>
      </c>
      <c r="F1670" s="1">
        <v>1</v>
      </c>
      <c r="G1670" s="1">
        <v>30</v>
      </c>
      <c r="H1670" s="1">
        <v>50</v>
      </c>
      <c r="I1670" s="1" t="s">
        <v>4373</v>
      </c>
      <c r="J1670" s="1" t="s">
        <v>6853</v>
      </c>
      <c r="K1670" s="1" t="s">
        <v>6852</v>
      </c>
    </row>
    <row r="1671" spans="1:11" ht="21" x14ac:dyDescent="0.25">
      <c r="A1671" s="11" t="str">
        <f>HYPERLINK("https://rth.dk/resources/bsgatlas/details.php?id=BSGatlas-transcript-1670","BSGatlas-transcript-1670")</f>
        <v>BSGatlas-transcript-1670</v>
      </c>
      <c r="B1671" s="1" t="s">
        <v>6854</v>
      </c>
      <c r="C1671" s="3">
        <v>1459340</v>
      </c>
      <c r="D1671" s="3">
        <v>1461411</v>
      </c>
      <c r="E1671" s="1" t="s">
        <v>9</v>
      </c>
      <c r="F1671" s="1">
        <v>0</v>
      </c>
      <c r="G1671" s="1" t="s">
        <v>4372</v>
      </c>
      <c r="H1671" s="1" t="s">
        <v>4372</v>
      </c>
      <c r="I1671" s="1" t="s">
        <v>4386</v>
      </c>
      <c r="J1671" s="1" t="s">
        <v>6855</v>
      </c>
      <c r="K1671" s="1" t="s">
        <v>6852</v>
      </c>
    </row>
    <row r="1672" spans="1:11" ht="21" x14ac:dyDescent="0.25">
      <c r="A1672" s="11" t="str">
        <f>HYPERLINK("https://rth.dk/resources/bsgatlas/details.php?id=BSGatlas-transcript-1671","BSGatlas-transcript-1671")</f>
        <v>BSGatlas-transcript-1671</v>
      </c>
      <c r="B1672" s="1" t="s">
        <v>6856</v>
      </c>
      <c r="C1672" s="3">
        <v>1461437</v>
      </c>
      <c r="D1672" s="3">
        <v>1462798</v>
      </c>
      <c r="E1672" s="1" t="s">
        <v>9</v>
      </c>
      <c r="F1672" s="1">
        <v>1</v>
      </c>
      <c r="G1672" s="1">
        <v>17</v>
      </c>
      <c r="H1672" s="1" t="s">
        <v>4372</v>
      </c>
      <c r="I1672" s="1" t="s">
        <v>4373</v>
      </c>
      <c r="J1672" s="1" t="s">
        <v>6857</v>
      </c>
      <c r="K1672" s="1" t="s">
        <v>6858</v>
      </c>
    </row>
    <row r="1673" spans="1:11" ht="21" x14ac:dyDescent="0.25">
      <c r="A1673" s="11" t="str">
        <f>HYPERLINK("https://rth.dk/resources/bsgatlas/details.php?id=BSGatlas-transcript-1672","BSGatlas-transcript-1672")</f>
        <v>BSGatlas-transcript-1672</v>
      </c>
      <c r="B1673" s="1" t="s">
        <v>6856</v>
      </c>
      <c r="C1673" s="3">
        <v>1461437</v>
      </c>
      <c r="D1673" s="3">
        <v>1462839</v>
      </c>
      <c r="E1673" s="1" t="s">
        <v>9</v>
      </c>
      <c r="F1673" s="1">
        <v>1</v>
      </c>
      <c r="G1673" s="1">
        <v>17</v>
      </c>
      <c r="H1673" s="1">
        <v>42</v>
      </c>
      <c r="I1673" s="1" t="s">
        <v>4373</v>
      </c>
      <c r="J1673" s="1" t="s">
        <v>6857</v>
      </c>
      <c r="K1673" s="1" t="s">
        <v>6859</v>
      </c>
    </row>
    <row r="1674" spans="1:11" ht="21" x14ac:dyDescent="0.25">
      <c r="A1674" s="11" t="str">
        <f>HYPERLINK("https://rth.dk/resources/bsgatlas/details.php?id=BSGatlas-transcript-1673","BSGatlas-transcript-1673")</f>
        <v>BSGatlas-transcript-1673</v>
      </c>
      <c r="B1674" s="1" t="s">
        <v>1556</v>
      </c>
      <c r="C1674" s="3">
        <v>1461440</v>
      </c>
      <c r="D1674" s="3">
        <v>1463526</v>
      </c>
      <c r="E1674" s="1" t="s">
        <v>13</v>
      </c>
      <c r="F1674" s="1">
        <v>0</v>
      </c>
      <c r="G1674" s="1" t="s">
        <v>4372</v>
      </c>
      <c r="H1674" s="1" t="s">
        <v>4372</v>
      </c>
      <c r="I1674" s="1" t="s">
        <v>4397</v>
      </c>
      <c r="J1674" s="1" t="s">
        <v>6860</v>
      </c>
      <c r="K1674" s="1" t="s">
        <v>6861</v>
      </c>
    </row>
    <row r="1675" spans="1:11" ht="21" x14ac:dyDescent="0.25">
      <c r="A1675" s="11" t="str">
        <f>HYPERLINK("https://rth.dk/resources/bsgatlas/details.php?id=BSGatlas-transcript-1674","BSGatlas-transcript-1674")</f>
        <v>BSGatlas-transcript-1674</v>
      </c>
      <c r="B1675" s="1" t="s">
        <v>1556</v>
      </c>
      <c r="C1675" s="3">
        <v>1461440</v>
      </c>
      <c r="D1675" s="3">
        <v>1464080</v>
      </c>
      <c r="E1675" s="1" t="s">
        <v>13</v>
      </c>
      <c r="F1675" s="1">
        <v>0</v>
      </c>
      <c r="G1675" s="1" t="s">
        <v>4372</v>
      </c>
      <c r="H1675" s="1" t="s">
        <v>4372</v>
      </c>
      <c r="I1675" s="1" t="s">
        <v>4397</v>
      </c>
      <c r="J1675" s="1" t="s">
        <v>6862</v>
      </c>
      <c r="K1675" s="1" t="s">
        <v>6861</v>
      </c>
    </row>
    <row r="1676" spans="1:11" ht="21" x14ac:dyDescent="0.25">
      <c r="A1676" s="11" t="str">
        <f>HYPERLINK("https://rth.dk/resources/bsgatlas/details.php?id=BSGatlas-transcript-1675","BSGatlas-transcript-1675")</f>
        <v>BSGatlas-transcript-1675</v>
      </c>
      <c r="B1676" s="1" t="s">
        <v>1555</v>
      </c>
      <c r="C1676" s="3">
        <v>1461746</v>
      </c>
      <c r="D1676" s="3">
        <v>1462798</v>
      </c>
      <c r="E1676" s="1" t="s">
        <v>9</v>
      </c>
      <c r="F1676" s="1">
        <v>0</v>
      </c>
      <c r="G1676" s="1" t="s">
        <v>4372</v>
      </c>
      <c r="H1676" s="1" t="s">
        <v>4372</v>
      </c>
      <c r="I1676" s="1" t="s">
        <v>4377</v>
      </c>
      <c r="J1676" s="1" t="s">
        <v>6863</v>
      </c>
      <c r="K1676" s="1" t="s">
        <v>6858</v>
      </c>
    </row>
    <row r="1677" spans="1:11" ht="21" x14ac:dyDescent="0.25">
      <c r="A1677" s="11" t="str">
        <f>HYPERLINK("https://rth.dk/resources/bsgatlas/details.php?id=BSGatlas-transcript-1676","BSGatlas-transcript-1676")</f>
        <v>BSGatlas-transcript-1676</v>
      </c>
      <c r="B1677" s="1" t="s">
        <v>1555</v>
      </c>
      <c r="C1677" s="3">
        <v>1461746</v>
      </c>
      <c r="D1677" s="3">
        <v>1462839</v>
      </c>
      <c r="E1677" s="1" t="s">
        <v>9</v>
      </c>
      <c r="F1677" s="1">
        <v>0</v>
      </c>
      <c r="G1677" s="1" t="s">
        <v>4372</v>
      </c>
      <c r="H1677" s="1" t="s">
        <v>4372</v>
      </c>
      <c r="I1677" s="1" t="s">
        <v>4377</v>
      </c>
      <c r="J1677" s="1" t="s">
        <v>6863</v>
      </c>
      <c r="K1677" s="1" t="s">
        <v>6859</v>
      </c>
    </row>
    <row r="1678" spans="1:11" ht="21" x14ac:dyDescent="0.25">
      <c r="A1678" s="11" t="str">
        <f>HYPERLINK("https://rth.dk/resources/bsgatlas/details.php?id=BSGatlas-transcript-1677","BSGatlas-transcript-1677")</f>
        <v>BSGatlas-transcript-1677</v>
      </c>
      <c r="B1678" s="1" t="s">
        <v>1557</v>
      </c>
      <c r="C1678" s="3">
        <v>1463628</v>
      </c>
      <c r="D1678" s="3">
        <v>1465595</v>
      </c>
      <c r="E1678" s="1" t="s">
        <v>9</v>
      </c>
      <c r="F1678" s="1">
        <v>0</v>
      </c>
      <c r="G1678" s="1" t="s">
        <v>4372</v>
      </c>
      <c r="H1678" s="1" t="s">
        <v>4372</v>
      </c>
      <c r="I1678" s="1" t="s">
        <v>4373</v>
      </c>
      <c r="J1678" s="1" t="s">
        <v>6864</v>
      </c>
      <c r="K1678" s="1" t="s">
        <v>6865</v>
      </c>
    </row>
    <row r="1679" spans="1:11" ht="21" x14ac:dyDescent="0.25">
      <c r="A1679" s="11" t="str">
        <f>HYPERLINK("https://rth.dk/resources/bsgatlas/details.php?id=BSGatlas-transcript-1678","BSGatlas-transcript-1678")</f>
        <v>BSGatlas-transcript-1678</v>
      </c>
      <c r="B1679" s="1" t="s">
        <v>1557</v>
      </c>
      <c r="C1679" s="3">
        <v>1463628</v>
      </c>
      <c r="D1679" s="3">
        <v>1465631</v>
      </c>
      <c r="E1679" s="1" t="s">
        <v>9</v>
      </c>
      <c r="F1679" s="1">
        <v>0</v>
      </c>
      <c r="G1679" s="1" t="s">
        <v>4372</v>
      </c>
      <c r="H1679" s="1" t="s">
        <v>4372</v>
      </c>
      <c r="I1679" s="1" t="s">
        <v>4373</v>
      </c>
      <c r="J1679" s="1" t="s">
        <v>6864</v>
      </c>
      <c r="K1679" s="1" t="s">
        <v>6866</v>
      </c>
    </row>
    <row r="1680" spans="1:11" ht="21" x14ac:dyDescent="0.25">
      <c r="A1680" s="11" t="str">
        <f>HYPERLINK("https://rth.dk/resources/bsgatlas/details.php?id=BSGatlas-transcript-1679","BSGatlas-transcript-1679")</f>
        <v>BSGatlas-transcript-1679</v>
      </c>
      <c r="B1680" s="1" t="s">
        <v>1558</v>
      </c>
      <c r="C1680" s="3">
        <v>1465667</v>
      </c>
      <c r="D1680" s="3">
        <v>1466599</v>
      </c>
      <c r="E1680" s="1" t="s">
        <v>9</v>
      </c>
      <c r="F1680" s="1">
        <v>0</v>
      </c>
      <c r="G1680" s="1" t="s">
        <v>4372</v>
      </c>
      <c r="H1680" s="1" t="s">
        <v>4372</v>
      </c>
      <c r="I1680" s="1" t="s">
        <v>4386</v>
      </c>
      <c r="J1680" s="1" t="s">
        <v>6867</v>
      </c>
      <c r="K1680" s="1" t="s">
        <v>6868</v>
      </c>
    </row>
    <row r="1681" spans="1:11" ht="21" x14ac:dyDescent="0.25">
      <c r="A1681" s="11" t="str">
        <f>HYPERLINK("https://rth.dk/resources/bsgatlas/details.php?id=BSGatlas-transcript-1680","BSGatlas-transcript-1680")</f>
        <v>BSGatlas-transcript-1680</v>
      </c>
      <c r="B1681" s="1" t="s">
        <v>1559</v>
      </c>
      <c r="C1681" s="3">
        <v>1465687</v>
      </c>
      <c r="D1681" s="3">
        <v>1467453</v>
      </c>
      <c r="E1681" s="1" t="s">
        <v>13</v>
      </c>
      <c r="F1681" s="1">
        <v>0</v>
      </c>
      <c r="G1681" s="1" t="s">
        <v>4372</v>
      </c>
      <c r="H1681" s="1" t="s">
        <v>4372</v>
      </c>
      <c r="I1681" s="1" t="s">
        <v>4397</v>
      </c>
      <c r="J1681" s="1" t="s">
        <v>6869</v>
      </c>
      <c r="K1681" s="1" t="s">
        <v>6870</v>
      </c>
    </row>
    <row r="1682" spans="1:11" ht="21" x14ac:dyDescent="0.25">
      <c r="A1682" s="11" t="str">
        <f>HYPERLINK("https://rth.dk/resources/bsgatlas/details.php?id=BSGatlas-transcript-1681","BSGatlas-transcript-1681")</f>
        <v>BSGatlas-transcript-1681</v>
      </c>
      <c r="B1682" s="1" t="s">
        <v>1559</v>
      </c>
      <c r="C1682" s="3">
        <v>1465687</v>
      </c>
      <c r="D1682" s="3">
        <v>1469053</v>
      </c>
      <c r="E1682" s="1" t="s">
        <v>13</v>
      </c>
      <c r="F1682" s="1">
        <v>0</v>
      </c>
      <c r="G1682" s="1" t="s">
        <v>4372</v>
      </c>
      <c r="H1682" s="1" t="s">
        <v>4372</v>
      </c>
      <c r="I1682" s="1" t="s">
        <v>4397</v>
      </c>
      <c r="J1682" s="1" t="s">
        <v>6871</v>
      </c>
      <c r="K1682" s="1" t="s">
        <v>6870</v>
      </c>
    </row>
    <row r="1683" spans="1:11" ht="21" x14ac:dyDescent="0.25">
      <c r="A1683" s="11" t="str">
        <f>HYPERLINK("https://rth.dk/resources/bsgatlas/details.php?id=BSGatlas-transcript-1682","BSGatlas-transcript-1682")</f>
        <v>BSGatlas-transcript-1682</v>
      </c>
      <c r="B1683" s="1" t="s">
        <v>1559</v>
      </c>
      <c r="C1683" s="3">
        <v>1466638</v>
      </c>
      <c r="D1683" s="3">
        <v>1467453</v>
      </c>
      <c r="E1683" s="1" t="s">
        <v>13</v>
      </c>
      <c r="F1683" s="1">
        <v>0</v>
      </c>
      <c r="G1683" s="1" t="s">
        <v>4372</v>
      </c>
      <c r="H1683" s="1" t="s">
        <v>4372</v>
      </c>
      <c r="I1683" s="1" t="s">
        <v>4397</v>
      </c>
      <c r="J1683" s="1" t="s">
        <v>6869</v>
      </c>
      <c r="K1683" s="1" t="s">
        <v>6872</v>
      </c>
    </row>
    <row r="1684" spans="1:11" ht="21" x14ac:dyDescent="0.25">
      <c r="A1684" s="11" t="str">
        <f>HYPERLINK("https://rth.dk/resources/bsgatlas/details.php?id=BSGatlas-transcript-1683","BSGatlas-transcript-1683")</f>
        <v>BSGatlas-transcript-1683</v>
      </c>
      <c r="B1684" s="1" t="s">
        <v>1559</v>
      </c>
      <c r="C1684" s="3">
        <v>1466638</v>
      </c>
      <c r="D1684" s="3">
        <v>1469053</v>
      </c>
      <c r="E1684" s="1" t="s">
        <v>13</v>
      </c>
      <c r="F1684" s="1">
        <v>0</v>
      </c>
      <c r="G1684" s="1" t="s">
        <v>4372</v>
      </c>
      <c r="H1684" s="1" t="s">
        <v>4372</v>
      </c>
      <c r="I1684" s="1" t="s">
        <v>4397</v>
      </c>
      <c r="J1684" s="1" t="s">
        <v>6871</v>
      </c>
      <c r="K1684" s="1" t="s">
        <v>6872</v>
      </c>
    </row>
    <row r="1685" spans="1:11" ht="21" x14ac:dyDescent="0.25">
      <c r="A1685" s="11" t="str">
        <f>HYPERLINK("https://rth.dk/resources/bsgatlas/details.php?id=BSGatlas-transcript-1684","BSGatlas-transcript-1684")</f>
        <v>BSGatlas-transcript-1684</v>
      </c>
      <c r="B1685" s="1" t="s">
        <v>1560</v>
      </c>
      <c r="C1685" s="3">
        <v>1467704</v>
      </c>
      <c r="D1685" s="3">
        <v>1467761</v>
      </c>
      <c r="E1685" s="1" t="s">
        <v>9</v>
      </c>
      <c r="F1685" s="1">
        <v>0</v>
      </c>
      <c r="G1685" s="1" t="s">
        <v>4372</v>
      </c>
      <c r="H1685" s="1" t="s">
        <v>4372</v>
      </c>
      <c r="I1685" s="1" t="s">
        <v>4377</v>
      </c>
      <c r="J1685" s="1" t="s">
        <v>6873</v>
      </c>
      <c r="K1685" s="1" t="s">
        <v>318</v>
      </c>
    </row>
    <row r="1686" spans="1:11" ht="21" x14ac:dyDescent="0.25">
      <c r="A1686" s="11" t="str">
        <f>HYPERLINK("https://rth.dk/resources/bsgatlas/details.php?id=BSGatlas-transcript-1685","BSGatlas-transcript-1685")</f>
        <v>BSGatlas-transcript-1685</v>
      </c>
      <c r="B1686" s="1" t="s">
        <v>1561</v>
      </c>
      <c r="C1686" s="3">
        <v>1467748</v>
      </c>
      <c r="D1686" s="3">
        <v>1469862</v>
      </c>
      <c r="E1686" s="1" t="s">
        <v>9</v>
      </c>
      <c r="F1686" s="1">
        <v>0</v>
      </c>
      <c r="G1686" s="1" t="s">
        <v>4372</v>
      </c>
      <c r="H1686" s="1" t="s">
        <v>4372</v>
      </c>
      <c r="I1686" s="1" t="s">
        <v>4386</v>
      </c>
      <c r="J1686" s="1" t="s">
        <v>318</v>
      </c>
      <c r="K1686" s="1" t="s">
        <v>6874</v>
      </c>
    </row>
    <row r="1687" spans="1:11" ht="21" x14ac:dyDescent="0.25">
      <c r="A1687" s="11" t="str">
        <f>HYPERLINK("https://rth.dk/resources/bsgatlas/details.php?id=BSGatlas-transcript-1686","BSGatlas-transcript-1686")</f>
        <v>BSGatlas-transcript-1686</v>
      </c>
      <c r="B1687" s="1" t="s">
        <v>1562</v>
      </c>
      <c r="C1687" s="3">
        <v>1469969</v>
      </c>
      <c r="D1687" s="3">
        <v>1471884</v>
      </c>
      <c r="E1687" s="1" t="s">
        <v>9</v>
      </c>
      <c r="F1687" s="1">
        <v>0</v>
      </c>
      <c r="G1687" s="1" t="s">
        <v>4372</v>
      </c>
      <c r="H1687" s="1" t="s">
        <v>4372</v>
      </c>
      <c r="I1687" s="1" t="s">
        <v>4373</v>
      </c>
      <c r="J1687" s="1" t="s">
        <v>6875</v>
      </c>
      <c r="K1687" s="1" t="s">
        <v>6876</v>
      </c>
    </row>
    <row r="1688" spans="1:11" ht="21" x14ac:dyDescent="0.25">
      <c r="A1688" s="11" t="str">
        <f>HYPERLINK("https://rth.dk/resources/bsgatlas/details.php?id=BSGatlas-transcript-1687","BSGatlas-transcript-1687")</f>
        <v>BSGatlas-transcript-1687</v>
      </c>
      <c r="B1688" s="1" t="s">
        <v>1563</v>
      </c>
      <c r="C1688" s="3">
        <v>1471857</v>
      </c>
      <c r="D1688" s="3">
        <v>1473082</v>
      </c>
      <c r="E1688" s="1" t="s">
        <v>13</v>
      </c>
      <c r="F1688" s="1">
        <v>0</v>
      </c>
      <c r="G1688" s="1" t="s">
        <v>4372</v>
      </c>
      <c r="H1688" s="1" t="s">
        <v>4372</v>
      </c>
      <c r="I1688" s="1" t="s">
        <v>4386</v>
      </c>
      <c r="J1688" s="1" t="s">
        <v>6877</v>
      </c>
      <c r="K1688" s="1" t="s">
        <v>6878</v>
      </c>
    </row>
    <row r="1689" spans="1:11" ht="21" x14ac:dyDescent="0.25">
      <c r="A1689" s="11" t="str">
        <f>HYPERLINK("https://rth.dk/resources/bsgatlas/details.php?id=BSGatlas-transcript-1688","BSGatlas-transcript-1688")</f>
        <v>BSGatlas-transcript-1688</v>
      </c>
      <c r="B1689" s="1" t="s">
        <v>1563</v>
      </c>
      <c r="C1689" s="3">
        <v>1471857</v>
      </c>
      <c r="D1689" s="3">
        <v>1473126</v>
      </c>
      <c r="E1689" s="1" t="s">
        <v>13</v>
      </c>
      <c r="F1689" s="1">
        <v>0</v>
      </c>
      <c r="G1689" s="1" t="s">
        <v>4372</v>
      </c>
      <c r="H1689" s="1" t="s">
        <v>4372</v>
      </c>
      <c r="I1689" s="1" t="s">
        <v>4386</v>
      </c>
      <c r="J1689" s="1" t="s">
        <v>6879</v>
      </c>
      <c r="K1689" s="1" t="s">
        <v>6878</v>
      </c>
    </row>
    <row r="1690" spans="1:11" ht="21" x14ac:dyDescent="0.25">
      <c r="A1690" s="11" t="str">
        <f>HYPERLINK("https://rth.dk/resources/bsgatlas/details.php?id=BSGatlas-transcript-1689","BSGatlas-transcript-1689")</f>
        <v>BSGatlas-transcript-1689</v>
      </c>
      <c r="B1690" s="1" t="s">
        <v>1563</v>
      </c>
      <c r="C1690" s="3">
        <v>1471857</v>
      </c>
      <c r="D1690" s="3">
        <v>1473196</v>
      </c>
      <c r="E1690" s="1" t="s">
        <v>13</v>
      </c>
      <c r="F1690" s="1">
        <v>0</v>
      </c>
      <c r="G1690" s="1" t="s">
        <v>4372</v>
      </c>
      <c r="H1690" s="1" t="s">
        <v>4372</v>
      </c>
      <c r="I1690" s="1" t="s">
        <v>4386</v>
      </c>
      <c r="J1690" s="1" t="s">
        <v>6880</v>
      </c>
      <c r="K1690" s="1" t="s">
        <v>6878</v>
      </c>
    </row>
    <row r="1691" spans="1:11" ht="21" x14ac:dyDescent="0.25">
      <c r="A1691" s="11" t="str">
        <f>HYPERLINK("https://rth.dk/resources/bsgatlas/details.php?id=BSGatlas-transcript-1690","BSGatlas-transcript-1690")</f>
        <v>BSGatlas-transcript-1690</v>
      </c>
      <c r="B1691" s="1" t="s">
        <v>6881</v>
      </c>
      <c r="C1691" s="3">
        <v>1471857</v>
      </c>
      <c r="D1691" s="3">
        <v>1473437</v>
      </c>
      <c r="E1691" s="1" t="s">
        <v>13</v>
      </c>
      <c r="F1691" s="1">
        <v>1</v>
      </c>
      <c r="G1691" s="1">
        <v>37</v>
      </c>
      <c r="H1691" s="1" t="s">
        <v>4372</v>
      </c>
      <c r="I1691" s="1" t="s">
        <v>4386</v>
      </c>
      <c r="J1691" s="1" t="s">
        <v>6882</v>
      </c>
      <c r="K1691" s="1" t="s">
        <v>6878</v>
      </c>
    </row>
    <row r="1692" spans="1:11" ht="21" x14ac:dyDescent="0.25">
      <c r="A1692" s="11" t="str">
        <f>HYPERLINK("https://rth.dk/resources/bsgatlas/details.php?id=BSGatlas-transcript-1691","BSGatlas-transcript-1691")</f>
        <v>BSGatlas-transcript-1691</v>
      </c>
      <c r="B1692" s="1" t="s">
        <v>1565</v>
      </c>
      <c r="C1692" s="3">
        <v>1473573</v>
      </c>
      <c r="D1692" s="3">
        <v>1474566</v>
      </c>
      <c r="E1692" s="1" t="s">
        <v>9</v>
      </c>
      <c r="F1692" s="1">
        <v>0</v>
      </c>
      <c r="G1692" s="1" t="s">
        <v>4372</v>
      </c>
      <c r="H1692" s="1" t="s">
        <v>4372</v>
      </c>
      <c r="I1692" s="1" t="s">
        <v>4373</v>
      </c>
      <c r="J1692" s="1" t="s">
        <v>6883</v>
      </c>
      <c r="K1692" s="1" t="s">
        <v>6884</v>
      </c>
    </row>
    <row r="1693" spans="1:11" ht="21" x14ac:dyDescent="0.25">
      <c r="A1693" s="11" t="str">
        <f>HYPERLINK("https://rth.dk/resources/bsgatlas/details.php?id=BSGatlas-transcript-1692","BSGatlas-transcript-1692")</f>
        <v>BSGatlas-transcript-1692</v>
      </c>
      <c r="B1693" s="1" t="s">
        <v>1566</v>
      </c>
      <c r="C1693" s="3">
        <v>1473588</v>
      </c>
      <c r="D1693" s="3">
        <v>1475064</v>
      </c>
      <c r="E1693" s="1" t="s">
        <v>13</v>
      </c>
      <c r="F1693" s="1">
        <v>0</v>
      </c>
      <c r="G1693" s="1" t="s">
        <v>4372</v>
      </c>
      <c r="H1693" s="1" t="s">
        <v>4372</v>
      </c>
      <c r="I1693" s="1" t="s">
        <v>4373</v>
      </c>
      <c r="J1693" s="1" t="s">
        <v>6885</v>
      </c>
      <c r="K1693" s="1" t="s">
        <v>6886</v>
      </c>
    </row>
    <row r="1694" spans="1:11" ht="21" x14ac:dyDescent="0.25">
      <c r="A1694" s="11" t="str">
        <f>HYPERLINK("https://rth.dk/resources/bsgatlas/details.php?id=BSGatlas-transcript-1693","BSGatlas-transcript-1693")</f>
        <v>BSGatlas-transcript-1693</v>
      </c>
      <c r="B1694" s="1" t="s">
        <v>1565</v>
      </c>
      <c r="C1694" s="3">
        <v>1473605</v>
      </c>
      <c r="D1694" s="3">
        <v>1474566</v>
      </c>
      <c r="E1694" s="1" t="s">
        <v>9</v>
      </c>
      <c r="F1694" s="1">
        <v>0</v>
      </c>
      <c r="G1694" s="1" t="s">
        <v>4372</v>
      </c>
      <c r="H1694" s="1" t="s">
        <v>4372</v>
      </c>
      <c r="I1694" s="1" t="s">
        <v>4373</v>
      </c>
      <c r="J1694" s="1" t="s">
        <v>6887</v>
      </c>
      <c r="K1694" s="1" t="s">
        <v>6884</v>
      </c>
    </row>
    <row r="1695" spans="1:11" ht="21" x14ac:dyDescent="0.25">
      <c r="A1695" s="11" t="str">
        <f>HYPERLINK("https://rth.dk/resources/bsgatlas/details.php?id=BSGatlas-transcript-1694","BSGatlas-transcript-1694")</f>
        <v>BSGatlas-transcript-1694</v>
      </c>
      <c r="B1695" s="1" t="s">
        <v>1566</v>
      </c>
      <c r="C1695" s="3">
        <v>1474509</v>
      </c>
      <c r="D1695" s="3">
        <v>1475064</v>
      </c>
      <c r="E1695" s="1" t="s">
        <v>13</v>
      </c>
      <c r="F1695" s="1">
        <v>0</v>
      </c>
      <c r="G1695" s="1" t="s">
        <v>4372</v>
      </c>
      <c r="H1695" s="1" t="s">
        <v>4372</v>
      </c>
      <c r="I1695" s="1" t="s">
        <v>4373</v>
      </c>
      <c r="J1695" s="1" t="s">
        <v>6885</v>
      </c>
      <c r="K1695" s="1" t="s">
        <v>6888</v>
      </c>
    </row>
    <row r="1696" spans="1:11" ht="21" x14ac:dyDescent="0.25">
      <c r="A1696" s="11" t="str">
        <f>HYPERLINK("https://rth.dk/resources/bsgatlas/details.php?id=BSGatlas-transcript-1695","BSGatlas-transcript-1695")</f>
        <v>BSGatlas-transcript-1695</v>
      </c>
      <c r="B1696" s="1" t="s">
        <v>1567</v>
      </c>
      <c r="C1696" s="3">
        <v>1475150</v>
      </c>
      <c r="D1696" s="3">
        <v>1476470</v>
      </c>
      <c r="E1696" s="1" t="s">
        <v>13</v>
      </c>
      <c r="F1696" s="1">
        <v>0</v>
      </c>
      <c r="G1696" s="1" t="s">
        <v>4372</v>
      </c>
      <c r="H1696" s="1" t="s">
        <v>4372</v>
      </c>
      <c r="I1696" s="1" t="s">
        <v>4377</v>
      </c>
      <c r="J1696" s="1" t="s">
        <v>6889</v>
      </c>
      <c r="K1696" s="1" t="s">
        <v>6890</v>
      </c>
    </row>
    <row r="1697" spans="1:11" ht="21" x14ac:dyDescent="0.25">
      <c r="A1697" s="11" t="str">
        <f>HYPERLINK("https://rth.dk/resources/bsgatlas/details.php?id=BSGatlas-transcript-1696","BSGatlas-transcript-1696")</f>
        <v>BSGatlas-transcript-1696</v>
      </c>
      <c r="B1697" s="1" t="s">
        <v>6891</v>
      </c>
      <c r="C1697" s="3">
        <v>1475150</v>
      </c>
      <c r="D1697" s="3">
        <v>1477032</v>
      </c>
      <c r="E1697" s="1" t="s">
        <v>13</v>
      </c>
      <c r="F1697" s="1">
        <v>1</v>
      </c>
      <c r="G1697" s="1">
        <v>21</v>
      </c>
      <c r="H1697" s="1" t="s">
        <v>4372</v>
      </c>
      <c r="I1697" s="1" t="s">
        <v>4377</v>
      </c>
      <c r="J1697" s="1" t="s">
        <v>6892</v>
      </c>
      <c r="K1697" s="1" t="s">
        <v>6890</v>
      </c>
    </row>
    <row r="1698" spans="1:11" ht="21" x14ac:dyDescent="0.25">
      <c r="A1698" s="11" t="str">
        <f>HYPERLINK("https://rth.dk/resources/bsgatlas/details.php?id=BSGatlas-transcript-1697","BSGatlas-transcript-1697")</f>
        <v>BSGatlas-transcript-1697</v>
      </c>
      <c r="B1698" s="1" t="s">
        <v>6893</v>
      </c>
      <c r="C1698" s="3">
        <v>1475150</v>
      </c>
      <c r="D1698" s="3">
        <v>1477963</v>
      </c>
      <c r="E1698" s="1" t="s">
        <v>13</v>
      </c>
      <c r="F1698" s="1">
        <v>2</v>
      </c>
      <c r="G1698" s="1">
        <v>35</v>
      </c>
      <c r="H1698" s="1" t="s">
        <v>4372</v>
      </c>
      <c r="I1698" s="1" t="s">
        <v>4386</v>
      </c>
      <c r="J1698" s="1" t="s">
        <v>6894</v>
      </c>
      <c r="K1698" s="1" t="s">
        <v>6890</v>
      </c>
    </row>
    <row r="1699" spans="1:11" ht="21" x14ac:dyDescent="0.25">
      <c r="A1699" s="11" t="str">
        <f>HYPERLINK("https://rth.dk/resources/bsgatlas/details.php?id=BSGatlas-transcript-1698","BSGatlas-transcript-1698")</f>
        <v>BSGatlas-transcript-1698</v>
      </c>
      <c r="B1699" s="1" t="s">
        <v>1568</v>
      </c>
      <c r="C1699" s="3">
        <v>1476501</v>
      </c>
      <c r="D1699" s="3">
        <v>1477032</v>
      </c>
      <c r="E1699" s="1" t="s">
        <v>13</v>
      </c>
      <c r="F1699" s="1">
        <v>0</v>
      </c>
      <c r="G1699" s="1" t="s">
        <v>4372</v>
      </c>
      <c r="H1699" s="1" t="s">
        <v>4372</v>
      </c>
      <c r="I1699" s="1" t="s">
        <v>4373</v>
      </c>
      <c r="J1699" s="1" t="s">
        <v>6892</v>
      </c>
      <c r="K1699" s="1" t="s">
        <v>6895</v>
      </c>
    </row>
    <row r="1700" spans="1:11" ht="21" x14ac:dyDescent="0.25">
      <c r="A1700" s="11" t="str">
        <f>HYPERLINK("https://rth.dk/resources/bsgatlas/details.php?id=BSGatlas-transcript-1699","BSGatlas-transcript-1699")</f>
        <v>BSGatlas-transcript-1699</v>
      </c>
      <c r="B1700" s="1" t="s">
        <v>6896</v>
      </c>
      <c r="C1700" s="3">
        <v>1476501</v>
      </c>
      <c r="D1700" s="3">
        <v>1477963</v>
      </c>
      <c r="E1700" s="1" t="s">
        <v>13</v>
      </c>
      <c r="F1700" s="1">
        <v>1</v>
      </c>
      <c r="G1700" s="1">
        <v>35</v>
      </c>
      <c r="H1700" s="1">
        <v>18</v>
      </c>
      <c r="I1700" s="1" t="s">
        <v>4377</v>
      </c>
      <c r="J1700" s="1" t="s">
        <v>6894</v>
      </c>
      <c r="K1700" s="1" t="s">
        <v>6895</v>
      </c>
    </row>
    <row r="1701" spans="1:11" ht="21" x14ac:dyDescent="0.25">
      <c r="A1701" s="11" t="str">
        <f>HYPERLINK("https://rth.dk/resources/bsgatlas/details.php?id=BSGatlas-transcript-1700","BSGatlas-transcript-1700")</f>
        <v>BSGatlas-transcript-1700</v>
      </c>
      <c r="B1701" s="1" t="s">
        <v>6897</v>
      </c>
      <c r="C1701" s="3">
        <v>1478034</v>
      </c>
      <c r="D1701" s="3">
        <v>1480867</v>
      </c>
      <c r="E1701" s="1" t="s">
        <v>9</v>
      </c>
      <c r="F1701" s="1">
        <v>1</v>
      </c>
      <c r="G1701" s="1">
        <v>39</v>
      </c>
      <c r="H1701" s="1" t="s">
        <v>4372</v>
      </c>
      <c r="I1701" s="1" t="s">
        <v>4382</v>
      </c>
      <c r="J1701" s="1" t="s">
        <v>6898</v>
      </c>
      <c r="K1701" s="1" t="s">
        <v>318</v>
      </c>
    </row>
    <row r="1702" spans="1:11" ht="21" x14ac:dyDescent="0.25">
      <c r="A1702" s="11" t="str">
        <f>HYPERLINK("https://rth.dk/resources/bsgatlas/details.php?id=BSGatlas-transcript-1701","BSGatlas-transcript-1701")</f>
        <v>BSGatlas-transcript-1701</v>
      </c>
      <c r="B1702" s="1" t="s">
        <v>6899</v>
      </c>
      <c r="C1702" s="3">
        <v>1478034</v>
      </c>
      <c r="D1702" s="3">
        <v>1481506</v>
      </c>
      <c r="E1702" s="1" t="s">
        <v>9</v>
      </c>
      <c r="F1702" s="1">
        <v>2</v>
      </c>
      <c r="G1702" s="1">
        <v>39</v>
      </c>
      <c r="H1702" s="1">
        <v>56</v>
      </c>
      <c r="I1702" s="1" t="s">
        <v>4386</v>
      </c>
      <c r="J1702" s="1" t="s">
        <v>6898</v>
      </c>
      <c r="K1702" s="1" t="s">
        <v>6900</v>
      </c>
    </row>
    <row r="1703" spans="1:11" ht="21" x14ac:dyDescent="0.25">
      <c r="A1703" s="11" t="str">
        <f>HYPERLINK("https://rth.dk/resources/bsgatlas/details.php?id=BSGatlas-transcript-1702","BSGatlas-transcript-1702")</f>
        <v>BSGatlas-transcript-1702</v>
      </c>
      <c r="B1703" s="1" t="s">
        <v>6901</v>
      </c>
      <c r="C1703" s="3">
        <v>1478987</v>
      </c>
      <c r="D1703" s="3">
        <v>1481506</v>
      </c>
      <c r="E1703" s="1" t="s">
        <v>9</v>
      </c>
      <c r="F1703" s="1">
        <v>1</v>
      </c>
      <c r="G1703" s="1">
        <v>151</v>
      </c>
      <c r="H1703" s="1">
        <v>56</v>
      </c>
      <c r="I1703" s="1" t="s">
        <v>4377</v>
      </c>
      <c r="J1703" s="1" t="s">
        <v>6902</v>
      </c>
      <c r="K1703" s="1" t="s">
        <v>6900</v>
      </c>
    </row>
    <row r="1704" spans="1:11" ht="21" x14ac:dyDescent="0.25">
      <c r="A1704" s="11" t="str">
        <f>HYPERLINK("https://rth.dk/resources/bsgatlas/details.php?id=BSGatlas-transcript-1703","BSGatlas-transcript-1703")</f>
        <v>BSGatlas-transcript-1703</v>
      </c>
      <c r="B1704" s="1" t="s">
        <v>6903</v>
      </c>
      <c r="C1704" s="3">
        <v>1481515</v>
      </c>
      <c r="D1704" s="3">
        <v>1483471</v>
      </c>
      <c r="E1704" s="1" t="s">
        <v>9</v>
      </c>
      <c r="F1704" s="1">
        <v>1</v>
      </c>
      <c r="G1704" s="1">
        <v>33</v>
      </c>
      <c r="H1704" s="1" t="s">
        <v>4372</v>
      </c>
      <c r="I1704" s="1" t="s">
        <v>4386</v>
      </c>
      <c r="J1704" s="1" t="s">
        <v>6904</v>
      </c>
      <c r="K1704" s="1" t="s">
        <v>6905</v>
      </c>
    </row>
    <row r="1705" spans="1:11" ht="21" x14ac:dyDescent="0.25">
      <c r="A1705" s="11" t="str">
        <f>HYPERLINK("https://rth.dk/resources/bsgatlas/details.php?id=BSGatlas-transcript-1704","BSGatlas-transcript-1704")</f>
        <v>BSGatlas-transcript-1704</v>
      </c>
      <c r="B1705" s="1" t="s">
        <v>1575</v>
      </c>
      <c r="C1705" s="3">
        <v>1483548</v>
      </c>
      <c r="D1705" s="3">
        <v>1483656</v>
      </c>
      <c r="E1705" s="1" t="s">
        <v>9</v>
      </c>
      <c r="F1705" s="1">
        <v>0</v>
      </c>
      <c r="G1705" s="1" t="s">
        <v>4372</v>
      </c>
      <c r="H1705" s="1" t="s">
        <v>4372</v>
      </c>
      <c r="I1705" s="1" t="s">
        <v>4377</v>
      </c>
      <c r="J1705" s="1" t="s">
        <v>6906</v>
      </c>
      <c r="K1705" s="1" t="s">
        <v>6907</v>
      </c>
    </row>
    <row r="1706" spans="1:11" ht="21" x14ac:dyDescent="0.25">
      <c r="A1706" s="11" t="str">
        <f>HYPERLINK("https://rth.dk/resources/bsgatlas/details.php?id=BSGatlas-transcript-1705","BSGatlas-transcript-1705")</f>
        <v>BSGatlas-transcript-1705</v>
      </c>
      <c r="B1706" s="1" t="s">
        <v>6908</v>
      </c>
      <c r="C1706" s="3">
        <v>1483671</v>
      </c>
      <c r="D1706" s="3">
        <v>1485333</v>
      </c>
      <c r="E1706" s="1" t="s">
        <v>9</v>
      </c>
      <c r="F1706" s="1">
        <v>2</v>
      </c>
      <c r="G1706" s="1">
        <v>447</v>
      </c>
      <c r="H1706" s="1">
        <v>19</v>
      </c>
      <c r="I1706" s="1" t="s">
        <v>4377</v>
      </c>
      <c r="J1706" s="1" t="s">
        <v>6909</v>
      </c>
      <c r="K1706" s="1" t="s">
        <v>6910</v>
      </c>
    </row>
    <row r="1707" spans="1:11" ht="21" x14ac:dyDescent="0.25">
      <c r="A1707" s="11" t="str">
        <f>HYPERLINK("https://rth.dk/resources/bsgatlas/details.php?id=BSGatlas-transcript-1706","BSGatlas-transcript-1706")</f>
        <v>BSGatlas-transcript-1706</v>
      </c>
      <c r="B1707" s="1" t="s">
        <v>6911</v>
      </c>
      <c r="C1707" s="3">
        <v>1483671</v>
      </c>
      <c r="D1707" s="3">
        <v>1486959</v>
      </c>
      <c r="E1707" s="1" t="s">
        <v>9</v>
      </c>
      <c r="F1707" s="1">
        <v>4</v>
      </c>
      <c r="G1707" s="1">
        <v>447</v>
      </c>
      <c r="H1707" s="1">
        <v>34</v>
      </c>
      <c r="I1707" s="1" t="s">
        <v>4373</v>
      </c>
      <c r="J1707" s="1" t="s">
        <v>6909</v>
      </c>
      <c r="K1707" s="1" t="s">
        <v>6912</v>
      </c>
    </row>
    <row r="1708" spans="1:11" ht="21" x14ac:dyDescent="0.25">
      <c r="A1708" s="11" t="str">
        <f>HYPERLINK("https://rth.dk/resources/bsgatlas/details.php?id=BSGatlas-transcript-1707","BSGatlas-transcript-1707")</f>
        <v>BSGatlas-transcript-1707</v>
      </c>
      <c r="B1708" s="1" t="s">
        <v>6908</v>
      </c>
      <c r="C1708" s="3">
        <v>1483957</v>
      </c>
      <c r="D1708" s="3">
        <v>1485333</v>
      </c>
      <c r="E1708" s="1" t="s">
        <v>9</v>
      </c>
      <c r="F1708" s="1">
        <v>2</v>
      </c>
      <c r="G1708" s="1">
        <v>161</v>
      </c>
      <c r="H1708" s="1">
        <v>19</v>
      </c>
      <c r="I1708" s="1" t="s">
        <v>4377</v>
      </c>
      <c r="J1708" s="1" t="s">
        <v>6913</v>
      </c>
      <c r="K1708" s="1" t="s">
        <v>6910</v>
      </c>
    </row>
    <row r="1709" spans="1:11" ht="21" x14ac:dyDescent="0.25">
      <c r="A1709" s="11" t="str">
        <f>HYPERLINK("https://rth.dk/resources/bsgatlas/details.php?id=BSGatlas-transcript-1708","BSGatlas-transcript-1708")</f>
        <v>BSGatlas-transcript-1708</v>
      </c>
      <c r="B1709" s="1" t="s">
        <v>6911</v>
      </c>
      <c r="C1709" s="3">
        <v>1483957</v>
      </c>
      <c r="D1709" s="3">
        <v>1486959</v>
      </c>
      <c r="E1709" s="1" t="s">
        <v>9</v>
      </c>
      <c r="F1709" s="1">
        <v>4</v>
      </c>
      <c r="G1709" s="1">
        <v>161</v>
      </c>
      <c r="H1709" s="1">
        <v>34</v>
      </c>
      <c r="I1709" s="1" t="s">
        <v>4373</v>
      </c>
      <c r="J1709" s="1" t="s">
        <v>6913</v>
      </c>
      <c r="K1709" s="1" t="s">
        <v>6912</v>
      </c>
    </row>
    <row r="1710" spans="1:11" ht="21" x14ac:dyDescent="0.25">
      <c r="A1710" s="11" t="str">
        <f>HYPERLINK("https://rth.dk/resources/bsgatlas/details.php?id=BSGatlas-transcript-1709","BSGatlas-transcript-1709")</f>
        <v>BSGatlas-transcript-1709</v>
      </c>
      <c r="B1710" s="1" t="s">
        <v>6908</v>
      </c>
      <c r="C1710" s="3">
        <v>1484046</v>
      </c>
      <c r="D1710" s="3">
        <v>1485333</v>
      </c>
      <c r="E1710" s="1" t="s">
        <v>9</v>
      </c>
      <c r="F1710" s="1">
        <v>2</v>
      </c>
      <c r="G1710" s="1">
        <v>72</v>
      </c>
      <c r="H1710" s="1">
        <v>19</v>
      </c>
      <c r="I1710" s="1" t="s">
        <v>4377</v>
      </c>
      <c r="J1710" s="1" t="s">
        <v>6914</v>
      </c>
      <c r="K1710" s="1" t="s">
        <v>6910</v>
      </c>
    </row>
    <row r="1711" spans="1:11" ht="21" x14ac:dyDescent="0.25">
      <c r="A1711" s="11" t="str">
        <f>HYPERLINK("https://rth.dk/resources/bsgatlas/details.php?id=BSGatlas-transcript-1710","BSGatlas-transcript-1710")</f>
        <v>BSGatlas-transcript-1710</v>
      </c>
      <c r="B1711" s="1" t="s">
        <v>6911</v>
      </c>
      <c r="C1711" s="3">
        <v>1484046</v>
      </c>
      <c r="D1711" s="3">
        <v>1486959</v>
      </c>
      <c r="E1711" s="1" t="s">
        <v>9</v>
      </c>
      <c r="F1711" s="1">
        <v>4</v>
      </c>
      <c r="G1711" s="1">
        <v>72</v>
      </c>
      <c r="H1711" s="1">
        <v>34</v>
      </c>
      <c r="I1711" s="1" t="s">
        <v>4373</v>
      </c>
      <c r="J1711" s="1" t="s">
        <v>6914</v>
      </c>
      <c r="K1711" s="1" t="s">
        <v>6912</v>
      </c>
    </row>
    <row r="1712" spans="1:11" ht="21" x14ac:dyDescent="0.25">
      <c r="A1712" s="11" t="str">
        <f>HYPERLINK("https://rth.dk/resources/bsgatlas/details.php?id=BSGatlas-transcript-1711","BSGatlas-transcript-1711")</f>
        <v>BSGatlas-transcript-1711</v>
      </c>
      <c r="B1712" s="1" t="s">
        <v>1578</v>
      </c>
      <c r="C1712" s="3">
        <v>1485056</v>
      </c>
      <c r="D1712" s="3">
        <v>1485333</v>
      </c>
      <c r="E1712" s="1" t="s">
        <v>9</v>
      </c>
      <c r="F1712" s="1">
        <v>0</v>
      </c>
      <c r="G1712" s="1" t="s">
        <v>4372</v>
      </c>
      <c r="H1712" s="1" t="s">
        <v>4372</v>
      </c>
      <c r="I1712" s="1" t="s">
        <v>4377</v>
      </c>
      <c r="J1712" s="1" t="s">
        <v>6915</v>
      </c>
      <c r="K1712" s="1" t="s">
        <v>6910</v>
      </c>
    </row>
    <row r="1713" spans="1:11" ht="21" x14ac:dyDescent="0.25">
      <c r="A1713" s="11" t="str">
        <f>HYPERLINK("https://rth.dk/resources/bsgatlas/details.php?id=BSGatlas-transcript-1712","BSGatlas-transcript-1712")</f>
        <v>BSGatlas-transcript-1712</v>
      </c>
      <c r="B1713" s="1" t="s">
        <v>6916</v>
      </c>
      <c r="C1713" s="3">
        <v>1485056</v>
      </c>
      <c r="D1713" s="3">
        <v>1486959</v>
      </c>
      <c r="E1713" s="1" t="s">
        <v>9</v>
      </c>
      <c r="F1713" s="1">
        <v>2</v>
      </c>
      <c r="G1713" s="1">
        <v>63</v>
      </c>
      <c r="H1713" s="1">
        <v>34</v>
      </c>
      <c r="I1713" s="1" t="s">
        <v>4377</v>
      </c>
      <c r="J1713" s="1" t="s">
        <v>6915</v>
      </c>
      <c r="K1713" s="1" t="s">
        <v>6912</v>
      </c>
    </row>
    <row r="1714" spans="1:11" ht="21" x14ac:dyDescent="0.25">
      <c r="A1714" s="11" t="str">
        <f>HYPERLINK("https://rth.dk/resources/bsgatlas/details.php?id=BSGatlas-transcript-1713","BSGatlas-transcript-1713")</f>
        <v>BSGatlas-transcript-1713</v>
      </c>
      <c r="B1714" s="1" t="s">
        <v>1580</v>
      </c>
      <c r="C1714" s="3">
        <v>1486013</v>
      </c>
      <c r="D1714" s="3">
        <v>1486959</v>
      </c>
      <c r="E1714" s="1" t="s">
        <v>9</v>
      </c>
      <c r="F1714" s="1">
        <v>0</v>
      </c>
      <c r="G1714" s="1" t="s">
        <v>4372</v>
      </c>
      <c r="H1714" s="1" t="s">
        <v>4372</v>
      </c>
      <c r="I1714" s="1" t="s">
        <v>4386</v>
      </c>
      <c r="J1714" s="1" t="s">
        <v>6917</v>
      </c>
      <c r="K1714" s="1" t="s">
        <v>6912</v>
      </c>
    </row>
    <row r="1715" spans="1:11" ht="21" x14ac:dyDescent="0.25">
      <c r="A1715" s="11" t="str">
        <f>HYPERLINK("https://rth.dk/resources/bsgatlas/details.php?id=BSGatlas-transcript-1714","BSGatlas-transcript-1714")</f>
        <v>BSGatlas-transcript-1714</v>
      </c>
      <c r="B1715" s="1" t="s">
        <v>6918</v>
      </c>
      <c r="C1715" s="3">
        <v>1486997</v>
      </c>
      <c r="D1715" s="3">
        <v>1488884</v>
      </c>
      <c r="E1715" s="1" t="s">
        <v>9</v>
      </c>
      <c r="F1715" s="1">
        <v>0</v>
      </c>
      <c r="G1715" s="1" t="s">
        <v>4372</v>
      </c>
      <c r="H1715" s="1" t="s">
        <v>4372</v>
      </c>
      <c r="I1715" s="1" t="s">
        <v>4373</v>
      </c>
      <c r="J1715" s="1" t="s">
        <v>6919</v>
      </c>
      <c r="K1715" s="1" t="s">
        <v>6920</v>
      </c>
    </row>
    <row r="1716" spans="1:11" ht="21" x14ac:dyDescent="0.25">
      <c r="A1716" s="11" t="str">
        <f>HYPERLINK("https://rth.dk/resources/bsgatlas/details.php?id=BSGatlas-transcript-1715","BSGatlas-transcript-1715")</f>
        <v>BSGatlas-transcript-1715</v>
      </c>
      <c r="B1716" s="1" t="s">
        <v>6921</v>
      </c>
      <c r="C1716" s="3">
        <v>1488929</v>
      </c>
      <c r="D1716" s="3">
        <v>1491184</v>
      </c>
      <c r="E1716" s="1" t="s">
        <v>9</v>
      </c>
      <c r="F1716" s="1">
        <v>2</v>
      </c>
      <c r="G1716" s="1">
        <v>45</v>
      </c>
      <c r="H1716" s="1" t="s">
        <v>4372</v>
      </c>
      <c r="I1716" s="1" t="s">
        <v>4386</v>
      </c>
      <c r="J1716" s="1" t="s">
        <v>6922</v>
      </c>
      <c r="K1716" s="1" t="s">
        <v>6923</v>
      </c>
    </row>
    <row r="1717" spans="1:11" ht="21" x14ac:dyDescent="0.25">
      <c r="A1717" s="11" t="str">
        <f>HYPERLINK("https://rth.dk/resources/bsgatlas/details.php?id=BSGatlas-transcript-1716","BSGatlas-transcript-1716")</f>
        <v>BSGatlas-transcript-1716</v>
      </c>
      <c r="B1717" s="1" t="s">
        <v>1586</v>
      </c>
      <c r="C1717" s="3">
        <v>1490911</v>
      </c>
      <c r="D1717" s="3">
        <v>1491184</v>
      </c>
      <c r="E1717" s="1" t="s">
        <v>9</v>
      </c>
      <c r="F1717" s="1">
        <v>0</v>
      </c>
      <c r="G1717" s="1" t="s">
        <v>4372</v>
      </c>
      <c r="H1717" s="1" t="s">
        <v>4372</v>
      </c>
      <c r="I1717" s="1" t="s">
        <v>4386</v>
      </c>
      <c r="J1717" s="1" t="s">
        <v>6924</v>
      </c>
      <c r="K1717" s="1" t="s">
        <v>6923</v>
      </c>
    </row>
    <row r="1718" spans="1:11" ht="21" x14ac:dyDescent="0.25">
      <c r="A1718" s="11" t="str">
        <f>HYPERLINK("https://rth.dk/resources/bsgatlas/details.php?id=BSGatlas-transcript-1717","BSGatlas-transcript-1717")</f>
        <v>BSGatlas-transcript-1717</v>
      </c>
      <c r="B1718" s="1" t="s">
        <v>1587</v>
      </c>
      <c r="C1718" s="3">
        <v>1491221</v>
      </c>
      <c r="D1718" s="3">
        <v>1492084</v>
      </c>
      <c r="E1718" s="1" t="s">
        <v>13</v>
      </c>
      <c r="F1718" s="1">
        <v>0</v>
      </c>
      <c r="G1718" s="1" t="s">
        <v>4372</v>
      </c>
      <c r="H1718" s="1" t="s">
        <v>4372</v>
      </c>
      <c r="I1718" s="1" t="s">
        <v>4397</v>
      </c>
      <c r="J1718" s="1" t="s">
        <v>6925</v>
      </c>
      <c r="K1718" s="1" t="s">
        <v>6926</v>
      </c>
    </row>
    <row r="1719" spans="1:11" ht="21" x14ac:dyDescent="0.25">
      <c r="A1719" s="11" t="str">
        <f>HYPERLINK("https://rth.dk/resources/bsgatlas/details.php?id=BSGatlas-transcript-1718","BSGatlas-transcript-1718")</f>
        <v>BSGatlas-transcript-1718</v>
      </c>
      <c r="B1719" s="1" t="s">
        <v>6927</v>
      </c>
      <c r="C1719" s="3">
        <v>1492169</v>
      </c>
      <c r="D1719" s="3">
        <v>1493351</v>
      </c>
      <c r="E1719" s="1" t="s">
        <v>9</v>
      </c>
      <c r="F1719" s="1">
        <v>1</v>
      </c>
      <c r="G1719" s="1">
        <v>93</v>
      </c>
      <c r="H1719" s="1">
        <v>31</v>
      </c>
      <c r="I1719" s="1" t="s">
        <v>4386</v>
      </c>
      <c r="J1719" s="1" t="s">
        <v>6928</v>
      </c>
      <c r="K1719" s="1" t="s">
        <v>6929</v>
      </c>
    </row>
    <row r="1720" spans="1:11" ht="21" x14ac:dyDescent="0.25">
      <c r="A1720" s="11" t="str">
        <f>HYPERLINK("https://rth.dk/resources/bsgatlas/details.php?id=BSGatlas-transcript-1719","BSGatlas-transcript-1719")</f>
        <v>BSGatlas-transcript-1719</v>
      </c>
      <c r="B1720" s="1" t="s">
        <v>1590</v>
      </c>
      <c r="C1720" s="3">
        <v>1493734</v>
      </c>
      <c r="D1720" s="3">
        <v>1494362</v>
      </c>
      <c r="E1720" s="1" t="s">
        <v>9</v>
      </c>
      <c r="F1720" s="1">
        <v>0</v>
      </c>
      <c r="G1720" s="1" t="s">
        <v>4372</v>
      </c>
      <c r="H1720" s="1" t="s">
        <v>4372</v>
      </c>
      <c r="I1720" s="1" t="s">
        <v>4373</v>
      </c>
      <c r="J1720" s="1" t="s">
        <v>6930</v>
      </c>
      <c r="K1720" s="1" t="s">
        <v>6931</v>
      </c>
    </row>
    <row r="1721" spans="1:11" ht="21" x14ac:dyDescent="0.25">
      <c r="A1721" s="11" t="str">
        <f>HYPERLINK("https://rth.dk/resources/bsgatlas/details.php?id=BSGatlas-transcript-1720","BSGatlas-transcript-1720")</f>
        <v>BSGatlas-transcript-1720</v>
      </c>
      <c r="B1721" s="1" t="s">
        <v>1590</v>
      </c>
      <c r="C1721" s="3">
        <v>1493734</v>
      </c>
      <c r="D1721" s="3">
        <v>1494412</v>
      </c>
      <c r="E1721" s="1" t="s">
        <v>9</v>
      </c>
      <c r="F1721" s="1">
        <v>0</v>
      </c>
      <c r="G1721" s="1" t="s">
        <v>4372</v>
      </c>
      <c r="H1721" s="1" t="s">
        <v>4372</v>
      </c>
      <c r="I1721" s="1" t="s">
        <v>4373</v>
      </c>
      <c r="J1721" s="1" t="s">
        <v>6930</v>
      </c>
      <c r="K1721" s="1" t="s">
        <v>6932</v>
      </c>
    </row>
    <row r="1722" spans="1:11" ht="21" x14ac:dyDescent="0.25">
      <c r="A1722" s="11" t="str">
        <f>HYPERLINK("https://rth.dk/resources/bsgatlas/details.php?id=BSGatlas-transcript-1721","BSGatlas-transcript-1721")</f>
        <v>BSGatlas-transcript-1721</v>
      </c>
      <c r="B1722" s="1" t="s">
        <v>1591</v>
      </c>
      <c r="C1722" s="3">
        <v>1494361</v>
      </c>
      <c r="D1722" s="3">
        <v>1495388</v>
      </c>
      <c r="E1722" s="1" t="s">
        <v>13</v>
      </c>
      <c r="F1722" s="1">
        <v>0</v>
      </c>
      <c r="G1722" s="1" t="s">
        <v>4372</v>
      </c>
      <c r="H1722" s="1" t="s">
        <v>4372</v>
      </c>
      <c r="I1722" s="1" t="s">
        <v>4373</v>
      </c>
      <c r="J1722" s="1" t="s">
        <v>6933</v>
      </c>
      <c r="K1722" s="1" t="s">
        <v>6934</v>
      </c>
    </row>
    <row r="1723" spans="1:11" ht="21" x14ac:dyDescent="0.25">
      <c r="A1723" s="11" t="str">
        <f>HYPERLINK("https://rth.dk/resources/bsgatlas/details.php?id=BSGatlas-transcript-1722","BSGatlas-transcript-1722")</f>
        <v>BSGatlas-transcript-1722</v>
      </c>
      <c r="B1723" s="1" t="s">
        <v>6935</v>
      </c>
      <c r="C1723" s="3">
        <v>1494737</v>
      </c>
      <c r="D1723" s="3">
        <v>1499665</v>
      </c>
      <c r="E1723" s="1" t="s">
        <v>9</v>
      </c>
      <c r="F1723" s="1">
        <v>2</v>
      </c>
      <c r="G1723" s="1">
        <v>769</v>
      </c>
      <c r="H1723" s="1" t="s">
        <v>4372</v>
      </c>
      <c r="I1723" s="1" t="s">
        <v>4386</v>
      </c>
      <c r="J1723" s="1" t="s">
        <v>6936</v>
      </c>
      <c r="K1723" s="1" t="s">
        <v>6937</v>
      </c>
    </row>
    <row r="1724" spans="1:11" ht="21" x14ac:dyDescent="0.25">
      <c r="A1724" s="11" t="str">
        <f>HYPERLINK("https://rth.dk/resources/bsgatlas/details.php?id=BSGatlas-transcript-1723","BSGatlas-transcript-1723")</f>
        <v>BSGatlas-transcript-1723</v>
      </c>
      <c r="B1724" s="1" t="s">
        <v>6935</v>
      </c>
      <c r="C1724" s="3">
        <v>1495464</v>
      </c>
      <c r="D1724" s="3">
        <v>1499665</v>
      </c>
      <c r="E1724" s="1" t="s">
        <v>9</v>
      </c>
      <c r="F1724" s="1">
        <v>2</v>
      </c>
      <c r="G1724" s="1">
        <v>42</v>
      </c>
      <c r="H1724" s="1" t="s">
        <v>4372</v>
      </c>
      <c r="I1724" s="1" t="s">
        <v>4386</v>
      </c>
      <c r="J1724" s="1" t="s">
        <v>6938</v>
      </c>
      <c r="K1724" s="1" t="s">
        <v>6937</v>
      </c>
    </row>
    <row r="1725" spans="1:11" ht="21" x14ac:dyDescent="0.25">
      <c r="A1725" s="11" t="str">
        <f>HYPERLINK("https://rth.dk/resources/bsgatlas/details.php?id=BSGatlas-transcript-1724","BSGatlas-transcript-1724")</f>
        <v>BSGatlas-transcript-1724</v>
      </c>
      <c r="B1725" s="1" t="s">
        <v>6939</v>
      </c>
      <c r="C1725" s="3">
        <v>1499740</v>
      </c>
      <c r="D1725" s="3">
        <v>1507334</v>
      </c>
      <c r="E1725" s="1" t="s">
        <v>9</v>
      </c>
      <c r="F1725" s="1">
        <v>1</v>
      </c>
      <c r="G1725" s="1">
        <v>150</v>
      </c>
      <c r="H1725" s="1">
        <v>37</v>
      </c>
      <c r="I1725" s="1" t="s">
        <v>4386</v>
      </c>
      <c r="J1725" s="1" t="s">
        <v>6940</v>
      </c>
      <c r="K1725" s="1" t="s">
        <v>6941</v>
      </c>
    </row>
    <row r="1726" spans="1:11" ht="21" x14ac:dyDescent="0.25">
      <c r="A1726" s="11" t="str">
        <f>HYPERLINK("https://rth.dk/resources/bsgatlas/details.php?id=BSGatlas-transcript-1725","BSGatlas-transcript-1725")</f>
        <v>BSGatlas-transcript-1725</v>
      </c>
      <c r="B1726" s="1" t="s">
        <v>6939</v>
      </c>
      <c r="C1726" s="3">
        <v>1499840</v>
      </c>
      <c r="D1726" s="3">
        <v>1507334</v>
      </c>
      <c r="E1726" s="1" t="s">
        <v>9</v>
      </c>
      <c r="F1726" s="1">
        <v>1</v>
      </c>
      <c r="G1726" s="1">
        <v>50</v>
      </c>
      <c r="H1726" s="1">
        <v>37</v>
      </c>
      <c r="I1726" s="1" t="s">
        <v>4386</v>
      </c>
      <c r="J1726" s="1" t="s">
        <v>6942</v>
      </c>
      <c r="K1726" s="1" t="s">
        <v>6941</v>
      </c>
    </row>
    <row r="1727" spans="1:11" ht="21" x14ac:dyDescent="0.25">
      <c r="A1727" s="11" t="str">
        <f>HYPERLINK("https://rth.dk/resources/bsgatlas/details.php?id=BSGatlas-transcript-1726","BSGatlas-transcript-1726")</f>
        <v>BSGatlas-transcript-1726</v>
      </c>
      <c r="B1727" s="1" t="s">
        <v>6943</v>
      </c>
      <c r="C1727" s="3">
        <v>1503557</v>
      </c>
      <c r="D1727" s="3">
        <v>1507334</v>
      </c>
      <c r="E1727" s="1" t="s">
        <v>9</v>
      </c>
      <c r="F1727" s="1">
        <v>0</v>
      </c>
      <c r="G1727" s="1" t="s">
        <v>4372</v>
      </c>
      <c r="H1727" s="1" t="s">
        <v>4372</v>
      </c>
      <c r="I1727" s="1" t="s">
        <v>4373</v>
      </c>
      <c r="J1727" s="1" t="s">
        <v>6944</v>
      </c>
      <c r="K1727" s="1" t="s">
        <v>6941</v>
      </c>
    </row>
    <row r="1728" spans="1:11" ht="21" x14ac:dyDescent="0.25">
      <c r="A1728" s="11" t="str">
        <f>HYPERLINK("https://rth.dk/resources/bsgatlas/details.php?id=BSGatlas-transcript-1727","BSGatlas-transcript-1727")</f>
        <v>BSGatlas-transcript-1727</v>
      </c>
      <c r="B1728" s="1" t="s">
        <v>6945</v>
      </c>
      <c r="C1728" s="3">
        <v>1507375</v>
      </c>
      <c r="D1728" s="3">
        <v>1511209</v>
      </c>
      <c r="E1728" s="1" t="s">
        <v>9</v>
      </c>
      <c r="F1728" s="1">
        <v>0</v>
      </c>
      <c r="G1728" s="1" t="s">
        <v>4372</v>
      </c>
      <c r="H1728" s="1" t="s">
        <v>4372</v>
      </c>
      <c r="I1728" s="1" t="s">
        <v>4373</v>
      </c>
      <c r="J1728" s="1" t="s">
        <v>6946</v>
      </c>
      <c r="K1728" s="1" t="s">
        <v>6947</v>
      </c>
    </row>
    <row r="1729" spans="1:11" ht="21" x14ac:dyDescent="0.25">
      <c r="A1729" s="11" t="str">
        <f>HYPERLINK("https://rth.dk/resources/bsgatlas/details.php?id=BSGatlas-transcript-1728","BSGatlas-transcript-1728")</f>
        <v>BSGatlas-transcript-1728</v>
      </c>
      <c r="B1729" s="1" t="s">
        <v>6945</v>
      </c>
      <c r="C1729" s="3">
        <v>1507447</v>
      </c>
      <c r="D1729" s="3">
        <v>1511209</v>
      </c>
      <c r="E1729" s="1" t="s">
        <v>9</v>
      </c>
      <c r="F1729" s="1">
        <v>0</v>
      </c>
      <c r="G1729" s="1" t="s">
        <v>4372</v>
      </c>
      <c r="H1729" s="1" t="s">
        <v>4372</v>
      </c>
      <c r="I1729" s="1" t="s">
        <v>4373</v>
      </c>
      <c r="J1729" s="1" t="s">
        <v>6948</v>
      </c>
      <c r="K1729" s="1" t="s">
        <v>6947</v>
      </c>
    </row>
    <row r="1730" spans="1:11" ht="21" x14ac:dyDescent="0.25">
      <c r="A1730" s="11" t="str">
        <f>HYPERLINK("https://rth.dk/resources/bsgatlas/details.php?id=BSGatlas-transcript-1729","BSGatlas-transcript-1729")</f>
        <v>BSGatlas-transcript-1729</v>
      </c>
      <c r="B1730" s="1" t="s">
        <v>6945</v>
      </c>
      <c r="C1730" s="3">
        <v>1507540</v>
      </c>
      <c r="D1730" s="3">
        <v>1511209</v>
      </c>
      <c r="E1730" s="1" t="s">
        <v>9</v>
      </c>
      <c r="F1730" s="1">
        <v>0</v>
      </c>
      <c r="G1730" s="1" t="s">
        <v>4372</v>
      </c>
      <c r="H1730" s="1" t="s">
        <v>4372</v>
      </c>
      <c r="I1730" s="1" t="s">
        <v>4373</v>
      </c>
      <c r="J1730" s="1" t="s">
        <v>6949</v>
      </c>
      <c r="K1730" s="1" t="s">
        <v>6947</v>
      </c>
    </row>
    <row r="1731" spans="1:11" ht="21" x14ac:dyDescent="0.25">
      <c r="A1731" s="11" t="str">
        <f>HYPERLINK("https://rth.dk/resources/bsgatlas/details.php?id=BSGatlas-transcript-1730","BSGatlas-transcript-1730")</f>
        <v>BSGatlas-transcript-1730</v>
      </c>
      <c r="B1731" s="1" t="s">
        <v>1607</v>
      </c>
      <c r="C1731" s="3">
        <v>1511253</v>
      </c>
      <c r="D1731" s="3">
        <v>1511934</v>
      </c>
      <c r="E1731" s="1" t="s">
        <v>9</v>
      </c>
      <c r="F1731" s="1">
        <v>0</v>
      </c>
      <c r="G1731" s="1" t="s">
        <v>4372</v>
      </c>
      <c r="H1731" s="1" t="s">
        <v>4372</v>
      </c>
      <c r="I1731" s="1" t="s">
        <v>4373</v>
      </c>
      <c r="J1731" s="1" t="s">
        <v>6950</v>
      </c>
      <c r="K1731" s="1" t="s">
        <v>6951</v>
      </c>
    </row>
    <row r="1732" spans="1:11" ht="21" x14ac:dyDescent="0.25">
      <c r="A1732" s="11" t="str">
        <f>HYPERLINK("https://rth.dk/resources/bsgatlas/details.php?id=BSGatlas-transcript-1731","BSGatlas-transcript-1731")</f>
        <v>BSGatlas-transcript-1731</v>
      </c>
      <c r="B1732" s="1" t="s">
        <v>1608</v>
      </c>
      <c r="C1732" s="3">
        <v>1511906</v>
      </c>
      <c r="D1732" s="3">
        <v>1512258</v>
      </c>
      <c r="E1732" s="1" t="s">
        <v>13</v>
      </c>
      <c r="F1732" s="1">
        <v>0</v>
      </c>
      <c r="G1732" s="1" t="s">
        <v>4372</v>
      </c>
      <c r="H1732" s="1" t="s">
        <v>4372</v>
      </c>
      <c r="I1732" s="1" t="s">
        <v>4397</v>
      </c>
      <c r="J1732" s="1" t="s">
        <v>6952</v>
      </c>
      <c r="K1732" s="1" t="s">
        <v>6953</v>
      </c>
    </row>
    <row r="1733" spans="1:11" ht="21" x14ac:dyDescent="0.25">
      <c r="A1733" s="11" t="str">
        <f>HYPERLINK("https://rth.dk/resources/bsgatlas/details.php?id=BSGatlas-transcript-1732","BSGatlas-transcript-1732")</f>
        <v>BSGatlas-transcript-1732</v>
      </c>
      <c r="B1733" s="1" t="s">
        <v>1609</v>
      </c>
      <c r="C1733" s="3">
        <v>1512333</v>
      </c>
      <c r="D1733" s="3">
        <v>1513995</v>
      </c>
      <c r="E1733" s="1" t="s">
        <v>9</v>
      </c>
      <c r="F1733" s="1">
        <v>0</v>
      </c>
      <c r="G1733" s="1" t="s">
        <v>4372</v>
      </c>
      <c r="H1733" s="1" t="s">
        <v>4372</v>
      </c>
      <c r="I1733" s="1" t="s">
        <v>4386</v>
      </c>
      <c r="J1733" s="1" t="s">
        <v>6954</v>
      </c>
      <c r="K1733" s="1" t="s">
        <v>6955</v>
      </c>
    </row>
    <row r="1734" spans="1:11" ht="21" x14ac:dyDescent="0.25">
      <c r="A1734" s="11" t="str">
        <f>HYPERLINK("https://rth.dk/resources/bsgatlas/details.php?id=BSGatlas-transcript-1733","BSGatlas-transcript-1733")</f>
        <v>BSGatlas-transcript-1733</v>
      </c>
      <c r="B1734" s="1" t="s">
        <v>6956</v>
      </c>
      <c r="C1734" s="3">
        <v>1512333</v>
      </c>
      <c r="D1734" s="3">
        <v>1514990</v>
      </c>
      <c r="E1734" s="1" t="s">
        <v>9</v>
      </c>
      <c r="F1734" s="1">
        <v>1</v>
      </c>
      <c r="G1734" s="1">
        <v>41</v>
      </c>
      <c r="H1734" s="1">
        <v>28</v>
      </c>
      <c r="I1734" s="1" t="s">
        <v>4386</v>
      </c>
      <c r="J1734" s="1" t="s">
        <v>6954</v>
      </c>
      <c r="K1734" s="1" t="s">
        <v>6957</v>
      </c>
    </row>
    <row r="1735" spans="1:11" ht="21" x14ac:dyDescent="0.25">
      <c r="A1735" s="11" t="str">
        <f>HYPERLINK("https://rth.dk/resources/bsgatlas/details.php?id=BSGatlas-transcript-1734","BSGatlas-transcript-1734")</f>
        <v>BSGatlas-transcript-1734</v>
      </c>
      <c r="B1735" s="1" t="s">
        <v>1611</v>
      </c>
      <c r="C1735" s="3">
        <v>1514997</v>
      </c>
      <c r="D1735" s="3">
        <v>1516271</v>
      </c>
      <c r="E1735" s="1" t="s">
        <v>13</v>
      </c>
      <c r="F1735" s="1">
        <v>0</v>
      </c>
      <c r="G1735" s="1" t="s">
        <v>4372</v>
      </c>
      <c r="H1735" s="1" t="s">
        <v>4372</v>
      </c>
      <c r="I1735" s="1" t="s">
        <v>4386</v>
      </c>
      <c r="J1735" s="1" t="s">
        <v>6958</v>
      </c>
      <c r="K1735" s="1" t="s">
        <v>6959</v>
      </c>
    </row>
    <row r="1736" spans="1:11" ht="21" x14ac:dyDescent="0.25">
      <c r="A1736" s="11" t="str">
        <f>HYPERLINK("https://rth.dk/resources/bsgatlas/details.php?id=BSGatlas-transcript-1735","BSGatlas-transcript-1735")</f>
        <v>BSGatlas-transcript-1735</v>
      </c>
      <c r="B1736" s="1" t="s">
        <v>1612</v>
      </c>
      <c r="C1736" s="3">
        <v>1516339</v>
      </c>
      <c r="D1736" s="3">
        <v>1516506</v>
      </c>
      <c r="E1736" s="1" t="s">
        <v>13</v>
      </c>
      <c r="F1736" s="1">
        <v>0</v>
      </c>
      <c r="G1736" s="1" t="s">
        <v>4372</v>
      </c>
      <c r="H1736" s="1" t="s">
        <v>4372</v>
      </c>
      <c r="I1736" s="1" t="s">
        <v>4377</v>
      </c>
      <c r="J1736" s="1" t="s">
        <v>6960</v>
      </c>
      <c r="K1736" s="1" t="s">
        <v>6961</v>
      </c>
    </row>
    <row r="1737" spans="1:11" ht="21" x14ac:dyDescent="0.25">
      <c r="A1737" s="11" t="str">
        <f>HYPERLINK("https://rth.dk/resources/bsgatlas/details.php?id=BSGatlas-transcript-1736","BSGatlas-transcript-1736")</f>
        <v>BSGatlas-transcript-1736</v>
      </c>
      <c r="B1737" s="1" t="s">
        <v>6962</v>
      </c>
      <c r="C1737" s="3">
        <v>1516339</v>
      </c>
      <c r="D1737" s="3">
        <v>1517627</v>
      </c>
      <c r="E1737" s="1" t="s">
        <v>13</v>
      </c>
      <c r="F1737" s="1">
        <v>1</v>
      </c>
      <c r="G1737" s="1">
        <v>47</v>
      </c>
      <c r="H1737" s="1" t="s">
        <v>4372</v>
      </c>
      <c r="I1737" s="1" t="s">
        <v>4386</v>
      </c>
      <c r="J1737" s="1" t="s">
        <v>6963</v>
      </c>
      <c r="K1737" s="1" t="s">
        <v>6961</v>
      </c>
    </row>
    <row r="1738" spans="1:11" ht="21" x14ac:dyDescent="0.25">
      <c r="A1738" s="11" t="str">
        <f>HYPERLINK("https://rth.dk/resources/bsgatlas/details.php?id=BSGatlas-transcript-1737","BSGatlas-transcript-1737")</f>
        <v>BSGatlas-transcript-1737</v>
      </c>
      <c r="B1738" s="1" t="s">
        <v>1614</v>
      </c>
      <c r="C1738" s="3">
        <v>1517802</v>
      </c>
      <c r="D1738" s="3">
        <v>1518196</v>
      </c>
      <c r="E1738" s="1" t="s">
        <v>9</v>
      </c>
      <c r="F1738" s="1">
        <v>0</v>
      </c>
      <c r="G1738" s="1" t="s">
        <v>4372</v>
      </c>
      <c r="H1738" s="1" t="s">
        <v>4372</v>
      </c>
      <c r="I1738" s="1" t="s">
        <v>4373</v>
      </c>
      <c r="J1738" s="1" t="s">
        <v>6964</v>
      </c>
      <c r="K1738" s="1" t="s">
        <v>6965</v>
      </c>
    </row>
    <row r="1739" spans="1:11" ht="21" x14ac:dyDescent="0.25">
      <c r="A1739" s="11" t="str">
        <f>HYPERLINK("https://rth.dk/resources/bsgatlas/details.php?id=BSGatlas-transcript-1738","BSGatlas-transcript-1738")</f>
        <v>BSGatlas-transcript-1738</v>
      </c>
      <c r="B1739" s="1" t="s">
        <v>1614</v>
      </c>
      <c r="C1739" s="3">
        <v>1517806</v>
      </c>
      <c r="D1739" s="3">
        <v>1518196</v>
      </c>
      <c r="E1739" s="1" t="s">
        <v>9</v>
      </c>
      <c r="F1739" s="1">
        <v>0</v>
      </c>
      <c r="G1739" s="1" t="s">
        <v>4372</v>
      </c>
      <c r="H1739" s="1" t="s">
        <v>4372</v>
      </c>
      <c r="I1739" s="1" t="s">
        <v>4373</v>
      </c>
      <c r="J1739" s="1" t="s">
        <v>6966</v>
      </c>
      <c r="K1739" s="1" t="s">
        <v>6965</v>
      </c>
    </row>
    <row r="1740" spans="1:11" ht="21" x14ac:dyDescent="0.25">
      <c r="A1740" s="11" t="str">
        <f>HYPERLINK("https://rth.dk/resources/bsgatlas/details.php?id=BSGatlas-transcript-1739","BSGatlas-transcript-1739")</f>
        <v>BSGatlas-transcript-1739</v>
      </c>
      <c r="B1740" s="1" t="s">
        <v>1615</v>
      </c>
      <c r="C1740" s="3">
        <v>1518175</v>
      </c>
      <c r="D1740" s="3">
        <v>1519804</v>
      </c>
      <c r="E1740" s="1" t="s">
        <v>13</v>
      </c>
      <c r="F1740" s="1">
        <v>0</v>
      </c>
      <c r="G1740" s="1" t="s">
        <v>4372</v>
      </c>
      <c r="H1740" s="1" t="s">
        <v>4372</v>
      </c>
      <c r="I1740" s="1" t="s">
        <v>4377</v>
      </c>
      <c r="J1740" s="1" t="s">
        <v>6967</v>
      </c>
      <c r="K1740" s="1" t="s">
        <v>6968</v>
      </c>
    </row>
    <row r="1741" spans="1:11" ht="21" x14ac:dyDescent="0.25">
      <c r="A1741" s="11" t="str">
        <f>HYPERLINK("https://rth.dk/resources/bsgatlas/details.php?id=BSGatlas-transcript-1740","BSGatlas-transcript-1740")</f>
        <v>BSGatlas-transcript-1740</v>
      </c>
      <c r="B1741" s="1" t="s">
        <v>1615</v>
      </c>
      <c r="C1741" s="3">
        <v>1518175</v>
      </c>
      <c r="D1741" s="3">
        <v>1521322</v>
      </c>
      <c r="E1741" s="1" t="s">
        <v>13</v>
      </c>
      <c r="F1741" s="1">
        <v>0</v>
      </c>
      <c r="G1741" s="1" t="s">
        <v>4372</v>
      </c>
      <c r="H1741" s="1" t="s">
        <v>4372</v>
      </c>
      <c r="I1741" s="1" t="s">
        <v>4377</v>
      </c>
      <c r="J1741" s="1" t="s">
        <v>6969</v>
      </c>
      <c r="K1741" s="1" t="s">
        <v>6968</v>
      </c>
    </row>
    <row r="1742" spans="1:11" ht="21" x14ac:dyDescent="0.25">
      <c r="A1742" s="11" t="str">
        <f>HYPERLINK("https://rth.dk/resources/bsgatlas/details.php?id=BSGatlas-transcript-1741","BSGatlas-transcript-1741")</f>
        <v>BSGatlas-transcript-1741</v>
      </c>
      <c r="B1742" s="1" t="s">
        <v>1616</v>
      </c>
      <c r="C1742" s="3">
        <v>1518308</v>
      </c>
      <c r="D1742" s="3">
        <v>1519619</v>
      </c>
      <c r="E1742" s="1" t="s">
        <v>9</v>
      </c>
      <c r="F1742" s="1">
        <v>0</v>
      </c>
      <c r="G1742" s="1" t="s">
        <v>4372</v>
      </c>
      <c r="H1742" s="1" t="s">
        <v>4372</v>
      </c>
      <c r="I1742" s="1" t="s">
        <v>4382</v>
      </c>
      <c r="J1742" s="1" t="s">
        <v>6970</v>
      </c>
      <c r="K1742" s="1" t="s">
        <v>318</v>
      </c>
    </row>
    <row r="1743" spans="1:11" ht="21" x14ac:dyDescent="0.25">
      <c r="A1743" s="11" t="str">
        <f>HYPERLINK("https://rth.dk/resources/bsgatlas/details.php?id=BSGatlas-transcript-1742","BSGatlas-transcript-1742")</f>
        <v>BSGatlas-transcript-1742</v>
      </c>
      <c r="B1743" s="1" t="s">
        <v>6971</v>
      </c>
      <c r="C1743" s="3">
        <v>1518308</v>
      </c>
      <c r="D1743" s="3">
        <v>1521196</v>
      </c>
      <c r="E1743" s="1" t="s">
        <v>9</v>
      </c>
      <c r="F1743" s="1">
        <v>1</v>
      </c>
      <c r="G1743" s="1">
        <v>26</v>
      </c>
      <c r="H1743" s="1" t="s">
        <v>4372</v>
      </c>
      <c r="I1743" s="1" t="s">
        <v>4386</v>
      </c>
      <c r="J1743" s="1" t="s">
        <v>6970</v>
      </c>
      <c r="K1743" s="1" t="s">
        <v>6972</v>
      </c>
    </row>
    <row r="1744" spans="1:11" ht="21" x14ac:dyDescent="0.25">
      <c r="A1744" s="11" t="str">
        <f>HYPERLINK("https://rth.dk/resources/bsgatlas/details.php?id=BSGatlas-transcript-1743","BSGatlas-transcript-1743")</f>
        <v>BSGatlas-transcript-1743</v>
      </c>
      <c r="B1744" s="1" t="s">
        <v>1618</v>
      </c>
      <c r="C1744" s="3">
        <v>1520531</v>
      </c>
      <c r="D1744" s="3">
        <v>1521196</v>
      </c>
      <c r="E1744" s="1" t="s">
        <v>9</v>
      </c>
      <c r="F1744" s="1">
        <v>0</v>
      </c>
      <c r="G1744" s="1" t="s">
        <v>4372</v>
      </c>
      <c r="H1744" s="1" t="s">
        <v>4372</v>
      </c>
      <c r="I1744" s="1" t="s">
        <v>4386</v>
      </c>
      <c r="J1744" s="1" t="s">
        <v>318</v>
      </c>
      <c r="K1744" s="1" t="s">
        <v>6972</v>
      </c>
    </row>
    <row r="1745" spans="1:11" ht="21" x14ac:dyDescent="0.25">
      <c r="A1745" s="11" t="str">
        <f>HYPERLINK("https://rth.dk/resources/bsgatlas/details.php?id=BSGatlas-transcript-1744","BSGatlas-transcript-1744")</f>
        <v>BSGatlas-transcript-1744</v>
      </c>
      <c r="B1745" s="1" t="s">
        <v>1619</v>
      </c>
      <c r="C1745" s="3">
        <v>1521320</v>
      </c>
      <c r="D1745" s="3">
        <v>1523084</v>
      </c>
      <c r="E1745" s="1" t="s">
        <v>9</v>
      </c>
      <c r="F1745" s="1">
        <v>0</v>
      </c>
      <c r="G1745" s="1" t="s">
        <v>4372</v>
      </c>
      <c r="H1745" s="1" t="s">
        <v>4372</v>
      </c>
      <c r="I1745" s="1" t="s">
        <v>4386</v>
      </c>
      <c r="J1745" s="1" t="s">
        <v>6973</v>
      </c>
      <c r="K1745" s="1" t="s">
        <v>6974</v>
      </c>
    </row>
    <row r="1746" spans="1:11" ht="21" x14ac:dyDescent="0.25">
      <c r="A1746" s="11" t="str">
        <f>HYPERLINK("https://rth.dk/resources/bsgatlas/details.php?id=BSGatlas-transcript-1745","BSGatlas-transcript-1745")</f>
        <v>BSGatlas-transcript-1745</v>
      </c>
      <c r="B1746" s="1" t="s">
        <v>6975</v>
      </c>
      <c r="C1746" s="3">
        <v>1522446</v>
      </c>
      <c r="D1746" s="3">
        <v>1525039</v>
      </c>
      <c r="E1746" s="1" t="s">
        <v>13</v>
      </c>
      <c r="F1746" s="1">
        <v>0</v>
      </c>
      <c r="G1746" s="1" t="s">
        <v>4372</v>
      </c>
      <c r="H1746" s="1" t="s">
        <v>4372</v>
      </c>
      <c r="I1746" s="1" t="s">
        <v>4397</v>
      </c>
      <c r="J1746" s="1" t="s">
        <v>6976</v>
      </c>
      <c r="K1746" s="1" t="s">
        <v>6977</v>
      </c>
    </row>
    <row r="1747" spans="1:11" ht="21" x14ac:dyDescent="0.25">
      <c r="A1747" s="11" t="str">
        <f>HYPERLINK("https://rth.dk/resources/bsgatlas/details.php?id=BSGatlas-transcript-1746","BSGatlas-transcript-1746")</f>
        <v>BSGatlas-transcript-1746</v>
      </c>
      <c r="B1747" s="1" t="s">
        <v>6975</v>
      </c>
      <c r="C1747" s="3">
        <v>1522446</v>
      </c>
      <c r="D1747" s="3">
        <v>1525239</v>
      </c>
      <c r="E1747" s="1" t="s">
        <v>13</v>
      </c>
      <c r="F1747" s="1">
        <v>0</v>
      </c>
      <c r="G1747" s="1" t="s">
        <v>4372</v>
      </c>
      <c r="H1747" s="1" t="s">
        <v>4372</v>
      </c>
      <c r="I1747" s="1" t="s">
        <v>4397</v>
      </c>
      <c r="J1747" s="1" t="s">
        <v>6978</v>
      </c>
      <c r="K1747" s="1" t="s">
        <v>6977</v>
      </c>
    </row>
    <row r="1748" spans="1:11" ht="21" x14ac:dyDescent="0.25">
      <c r="A1748" s="11" t="str">
        <f>HYPERLINK("https://rth.dk/resources/bsgatlas/details.php?id=BSGatlas-transcript-1747","BSGatlas-transcript-1747")</f>
        <v>BSGatlas-transcript-1747</v>
      </c>
      <c r="B1748" s="1" t="s">
        <v>6975</v>
      </c>
      <c r="C1748" s="3">
        <v>1523118</v>
      </c>
      <c r="D1748" s="3">
        <v>1525039</v>
      </c>
      <c r="E1748" s="1" t="s">
        <v>13</v>
      </c>
      <c r="F1748" s="1">
        <v>0</v>
      </c>
      <c r="G1748" s="1" t="s">
        <v>4372</v>
      </c>
      <c r="H1748" s="1" t="s">
        <v>4372</v>
      </c>
      <c r="I1748" s="1" t="s">
        <v>4397</v>
      </c>
      <c r="J1748" s="1" t="s">
        <v>6976</v>
      </c>
      <c r="K1748" s="1" t="s">
        <v>6979</v>
      </c>
    </row>
    <row r="1749" spans="1:11" ht="21" x14ac:dyDescent="0.25">
      <c r="A1749" s="11" t="str">
        <f>HYPERLINK("https://rth.dk/resources/bsgatlas/details.php?id=BSGatlas-transcript-1748","BSGatlas-transcript-1748")</f>
        <v>BSGatlas-transcript-1748</v>
      </c>
      <c r="B1749" s="1" t="s">
        <v>6975</v>
      </c>
      <c r="C1749" s="3">
        <v>1523118</v>
      </c>
      <c r="D1749" s="3">
        <v>1525239</v>
      </c>
      <c r="E1749" s="1" t="s">
        <v>13</v>
      </c>
      <c r="F1749" s="1">
        <v>0</v>
      </c>
      <c r="G1749" s="1" t="s">
        <v>4372</v>
      </c>
      <c r="H1749" s="1" t="s">
        <v>4372</v>
      </c>
      <c r="I1749" s="1" t="s">
        <v>4397</v>
      </c>
      <c r="J1749" s="1" t="s">
        <v>6978</v>
      </c>
      <c r="K1749" s="1" t="s">
        <v>6979</v>
      </c>
    </row>
    <row r="1750" spans="1:11" ht="21" x14ac:dyDescent="0.25">
      <c r="A1750" s="11" t="str">
        <f>HYPERLINK("https://rth.dk/resources/bsgatlas/details.php?id=BSGatlas-transcript-1749","BSGatlas-transcript-1749")</f>
        <v>BSGatlas-transcript-1749</v>
      </c>
      <c r="B1750" s="1" t="s">
        <v>1622</v>
      </c>
      <c r="C1750" s="3">
        <v>1525348</v>
      </c>
      <c r="D1750" s="3">
        <v>1526159</v>
      </c>
      <c r="E1750" s="1" t="s">
        <v>9</v>
      </c>
      <c r="F1750" s="1">
        <v>0</v>
      </c>
      <c r="G1750" s="1" t="s">
        <v>4372</v>
      </c>
      <c r="H1750" s="1" t="s">
        <v>4372</v>
      </c>
      <c r="I1750" s="1" t="s">
        <v>4397</v>
      </c>
      <c r="J1750" s="1" t="s">
        <v>6980</v>
      </c>
      <c r="K1750" s="1" t="s">
        <v>6981</v>
      </c>
    </row>
    <row r="1751" spans="1:11" ht="21" x14ac:dyDescent="0.25">
      <c r="A1751" s="11" t="str">
        <f>HYPERLINK("https://rth.dk/resources/bsgatlas/details.php?id=BSGatlas-transcript-1750","BSGatlas-transcript-1750")</f>
        <v>BSGatlas-transcript-1750</v>
      </c>
      <c r="B1751" s="1" t="s">
        <v>1622</v>
      </c>
      <c r="C1751" s="3">
        <v>1525348</v>
      </c>
      <c r="D1751" s="3">
        <v>1526856</v>
      </c>
      <c r="E1751" s="1" t="s">
        <v>9</v>
      </c>
      <c r="F1751" s="1">
        <v>0</v>
      </c>
      <c r="G1751" s="1" t="s">
        <v>4372</v>
      </c>
      <c r="H1751" s="1" t="s">
        <v>4372</v>
      </c>
      <c r="I1751" s="1" t="s">
        <v>4397</v>
      </c>
      <c r="J1751" s="1" t="s">
        <v>6980</v>
      </c>
      <c r="K1751" s="1" t="s">
        <v>6982</v>
      </c>
    </row>
    <row r="1752" spans="1:11" ht="21" x14ac:dyDescent="0.25">
      <c r="A1752" s="11" t="str">
        <f>HYPERLINK("https://rth.dk/resources/bsgatlas/details.php?id=BSGatlas-transcript-1751","BSGatlas-transcript-1751")</f>
        <v>BSGatlas-transcript-1751</v>
      </c>
      <c r="B1752" s="1" t="s">
        <v>1623</v>
      </c>
      <c r="C1752" s="3">
        <v>1526195</v>
      </c>
      <c r="D1752" s="3">
        <v>1526781</v>
      </c>
      <c r="E1752" s="1" t="s">
        <v>13</v>
      </c>
      <c r="F1752" s="1">
        <v>0</v>
      </c>
      <c r="G1752" s="1" t="s">
        <v>4372</v>
      </c>
      <c r="H1752" s="1" t="s">
        <v>4372</v>
      </c>
      <c r="I1752" s="1" t="s">
        <v>4386</v>
      </c>
      <c r="J1752" s="1" t="s">
        <v>6983</v>
      </c>
      <c r="K1752" s="1" t="s">
        <v>6984</v>
      </c>
    </row>
    <row r="1753" spans="1:11" ht="21" x14ac:dyDescent="0.25">
      <c r="A1753" s="11" t="str">
        <f>HYPERLINK("https://rth.dk/resources/bsgatlas/details.php?id=BSGatlas-transcript-1752","BSGatlas-transcript-1752")</f>
        <v>BSGatlas-transcript-1752</v>
      </c>
      <c r="B1753" s="1" t="s">
        <v>1624</v>
      </c>
      <c r="C1753" s="3">
        <v>1526836</v>
      </c>
      <c r="D1753" s="3">
        <v>1527017</v>
      </c>
      <c r="E1753" s="1" t="s">
        <v>13</v>
      </c>
      <c r="F1753" s="1">
        <v>0</v>
      </c>
      <c r="G1753" s="1" t="s">
        <v>4372</v>
      </c>
      <c r="H1753" s="1" t="s">
        <v>4372</v>
      </c>
      <c r="I1753" s="1" t="s">
        <v>4386</v>
      </c>
      <c r="J1753" s="1" t="s">
        <v>318</v>
      </c>
      <c r="K1753" s="1" t="s">
        <v>6985</v>
      </c>
    </row>
    <row r="1754" spans="1:11" ht="21" x14ac:dyDescent="0.25">
      <c r="A1754" s="11" t="str">
        <f>HYPERLINK("https://rth.dk/resources/bsgatlas/details.php?id=BSGatlas-transcript-1753","BSGatlas-transcript-1753")</f>
        <v>BSGatlas-transcript-1753</v>
      </c>
      <c r="B1754" s="1" t="s">
        <v>4760</v>
      </c>
      <c r="C1754" s="3">
        <v>1526924</v>
      </c>
      <c r="D1754" s="3">
        <v>1527099</v>
      </c>
      <c r="E1754" s="1" t="s">
        <v>13</v>
      </c>
      <c r="F1754" s="1">
        <v>0</v>
      </c>
      <c r="G1754" s="1" t="s">
        <v>4372</v>
      </c>
      <c r="H1754" s="1" t="s">
        <v>4372</v>
      </c>
      <c r="I1754" s="1" t="s">
        <v>4377</v>
      </c>
      <c r="J1754" s="1" t="s">
        <v>6986</v>
      </c>
      <c r="K1754" s="1" t="s">
        <v>318</v>
      </c>
    </row>
    <row r="1755" spans="1:11" ht="21" x14ac:dyDescent="0.25">
      <c r="A1755" s="11" t="str">
        <f>HYPERLINK("https://rth.dk/resources/bsgatlas/details.php?id=BSGatlas-transcript-1754","BSGatlas-transcript-1754")</f>
        <v>BSGatlas-transcript-1754</v>
      </c>
      <c r="B1755" s="1" t="s">
        <v>4760</v>
      </c>
      <c r="C1755" s="3">
        <v>1526924</v>
      </c>
      <c r="D1755" s="3">
        <v>1528120</v>
      </c>
      <c r="E1755" s="1" t="s">
        <v>13</v>
      </c>
      <c r="F1755" s="1">
        <v>0</v>
      </c>
      <c r="G1755" s="1" t="s">
        <v>4372</v>
      </c>
      <c r="H1755" s="1" t="s">
        <v>4372</v>
      </c>
      <c r="I1755" s="1" t="s">
        <v>4377</v>
      </c>
      <c r="J1755" s="1" t="s">
        <v>6987</v>
      </c>
      <c r="K1755" s="1" t="s">
        <v>318</v>
      </c>
    </row>
    <row r="1756" spans="1:11" ht="21" x14ac:dyDescent="0.25">
      <c r="A1756" s="11" t="str">
        <f>HYPERLINK("https://rth.dk/resources/bsgatlas/details.php?id=BSGatlas-transcript-1755","BSGatlas-transcript-1755")</f>
        <v>BSGatlas-transcript-1755</v>
      </c>
      <c r="B1756" s="1" t="s">
        <v>4760</v>
      </c>
      <c r="C1756" s="3">
        <v>1526924</v>
      </c>
      <c r="D1756" s="3">
        <v>1528230</v>
      </c>
      <c r="E1756" s="1" t="s">
        <v>13</v>
      </c>
      <c r="F1756" s="1">
        <v>0</v>
      </c>
      <c r="G1756" s="1" t="s">
        <v>4372</v>
      </c>
      <c r="H1756" s="1" t="s">
        <v>4372</v>
      </c>
      <c r="I1756" s="1" t="s">
        <v>4377</v>
      </c>
      <c r="J1756" s="1" t="s">
        <v>6988</v>
      </c>
      <c r="K1756" s="1" t="s">
        <v>318</v>
      </c>
    </row>
    <row r="1757" spans="1:11" ht="21" x14ac:dyDescent="0.25">
      <c r="A1757" s="11" t="str">
        <f>HYPERLINK("https://rth.dk/resources/bsgatlas/details.php?id=BSGatlas-transcript-1756","BSGatlas-transcript-1756")</f>
        <v>BSGatlas-transcript-1756</v>
      </c>
      <c r="B1757" s="1" t="s">
        <v>1625</v>
      </c>
      <c r="C1757" s="3">
        <v>1527054</v>
      </c>
      <c r="D1757" s="3">
        <v>1527902</v>
      </c>
      <c r="E1757" s="1" t="s">
        <v>9</v>
      </c>
      <c r="F1757" s="1">
        <v>0</v>
      </c>
      <c r="G1757" s="1" t="s">
        <v>4372</v>
      </c>
      <c r="H1757" s="1" t="s">
        <v>4372</v>
      </c>
      <c r="I1757" s="1" t="s">
        <v>4386</v>
      </c>
      <c r="J1757" s="1" t="s">
        <v>6989</v>
      </c>
      <c r="K1757" s="1" t="s">
        <v>6990</v>
      </c>
    </row>
    <row r="1758" spans="1:11" ht="21" x14ac:dyDescent="0.25">
      <c r="A1758" s="11" t="str">
        <f>HYPERLINK("https://rth.dk/resources/bsgatlas/details.php?id=BSGatlas-transcript-1757","BSGatlas-transcript-1757")</f>
        <v>BSGatlas-transcript-1757</v>
      </c>
      <c r="B1758" s="1" t="s">
        <v>1625</v>
      </c>
      <c r="C1758" s="3">
        <v>1527198</v>
      </c>
      <c r="D1758" s="3">
        <v>1527902</v>
      </c>
      <c r="E1758" s="1" t="s">
        <v>9</v>
      </c>
      <c r="F1758" s="1">
        <v>0</v>
      </c>
      <c r="G1758" s="1" t="s">
        <v>4372</v>
      </c>
      <c r="H1758" s="1" t="s">
        <v>4372</v>
      </c>
      <c r="I1758" s="1" t="s">
        <v>4386</v>
      </c>
      <c r="J1758" s="1" t="s">
        <v>6991</v>
      </c>
      <c r="K1758" s="1" t="s">
        <v>6990</v>
      </c>
    </row>
    <row r="1759" spans="1:11" ht="21" x14ac:dyDescent="0.25">
      <c r="A1759" s="11" t="str">
        <f>HYPERLINK("https://rth.dk/resources/bsgatlas/details.php?id=BSGatlas-transcript-1758","BSGatlas-transcript-1758")</f>
        <v>BSGatlas-transcript-1758</v>
      </c>
      <c r="B1759" s="1" t="s">
        <v>1625</v>
      </c>
      <c r="C1759" s="3">
        <v>1527231</v>
      </c>
      <c r="D1759" s="3">
        <v>1527902</v>
      </c>
      <c r="E1759" s="1" t="s">
        <v>9</v>
      </c>
      <c r="F1759" s="1">
        <v>0</v>
      </c>
      <c r="G1759" s="1" t="s">
        <v>4372</v>
      </c>
      <c r="H1759" s="1" t="s">
        <v>4372</v>
      </c>
      <c r="I1759" s="1" t="s">
        <v>4386</v>
      </c>
      <c r="J1759" s="1" t="s">
        <v>6992</v>
      </c>
      <c r="K1759" s="1" t="s">
        <v>6990</v>
      </c>
    </row>
    <row r="1760" spans="1:11" ht="21" x14ac:dyDescent="0.25">
      <c r="A1760" s="11" t="str">
        <f>HYPERLINK("https://rth.dk/resources/bsgatlas/details.php?id=BSGatlas-transcript-1759","BSGatlas-transcript-1759")</f>
        <v>BSGatlas-transcript-1759</v>
      </c>
      <c r="B1760" s="1" t="s">
        <v>6993</v>
      </c>
      <c r="C1760" s="3">
        <v>1528100</v>
      </c>
      <c r="D1760" s="3">
        <v>1533336</v>
      </c>
      <c r="E1760" s="1" t="s">
        <v>9</v>
      </c>
      <c r="F1760" s="1">
        <v>1</v>
      </c>
      <c r="G1760" s="1">
        <v>227</v>
      </c>
      <c r="H1760" s="1">
        <v>55</v>
      </c>
      <c r="I1760" s="1" t="s">
        <v>4373</v>
      </c>
      <c r="J1760" s="1" t="s">
        <v>6994</v>
      </c>
      <c r="K1760" s="1" t="s">
        <v>6995</v>
      </c>
    </row>
    <row r="1761" spans="1:11" ht="21" x14ac:dyDescent="0.25">
      <c r="A1761" s="11" t="str">
        <f>HYPERLINK("https://rth.dk/resources/bsgatlas/details.php?id=BSGatlas-transcript-1760","BSGatlas-transcript-1760")</f>
        <v>BSGatlas-transcript-1760</v>
      </c>
      <c r="B1761" s="1" t="s">
        <v>6993</v>
      </c>
      <c r="C1761" s="3">
        <v>1528255</v>
      </c>
      <c r="D1761" s="3">
        <v>1533336</v>
      </c>
      <c r="E1761" s="1" t="s">
        <v>9</v>
      </c>
      <c r="F1761" s="1">
        <v>1</v>
      </c>
      <c r="G1761" s="1">
        <v>72</v>
      </c>
      <c r="H1761" s="1">
        <v>55</v>
      </c>
      <c r="I1761" s="1" t="s">
        <v>4373</v>
      </c>
      <c r="J1761" s="1" t="s">
        <v>6996</v>
      </c>
      <c r="K1761" s="1" t="s">
        <v>6995</v>
      </c>
    </row>
    <row r="1762" spans="1:11" ht="21" x14ac:dyDescent="0.25">
      <c r="A1762" s="11" t="str">
        <f>HYPERLINK("https://rth.dk/resources/bsgatlas/details.php?id=BSGatlas-transcript-1761","BSGatlas-transcript-1761")</f>
        <v>BSGatlas-transcript-1761</v>
      </c>
      <c r="B1762" s="1" t="s">
        <v>6997</v>
      </c>
      <c r="C1762" s="3">
        <v>1530453</v>
      </c>
      <c r="D1762" s="3">
        <v>1533336</v>
      </c>
      <c r="E1762" s="1" t="s">
        <v>9</v>
      </c>
      <c r="F1762" s="1">
        <v>0</v>
      </c>
      <c r="G1762" s="1" t="s">
        <v>4372</v>
      </c>
      <c r="H1762" s="1" t="s">
        <v>4372</v>
      </c>
      <c r="I1762" s="1" t="s">
        <v>4386</v>
      </c>
      <c r="J1762" s="1" t="s">
        <v>6998</v>
      </c>
      <c r="K1762" s="1" t="s">
        <v>6995</v>
      </c>
    </row>
    <row r="1763" spans="1:11" ht="21" x14ac:dyDescent="0.25">
      <c r="A1763" s="11" t="str">
        <f>HYPERLINK("https://rth.dk/resources/bsgatlas/details.php?id=BSGatlas-transcript-1762","BSGatlas-transcript-1762")</f>
        <v>BSGatlas-transcript-1762</v>
      </c>
      <c r="B1763" s="1" t="s">
        <v>6997</v>
      </c>
      <c r="C1763" s="3">
        <v>1530537</v>
      </c>
      <c r="D1763" s="3">
        <v>1533336</v>
      </c>
      <c r="E1763" s="1" t="s">
        <v>9</v>
      </c>
      <c r="F1763" s="1">
        <v>0</v>
      </c>
      <c r="G1763" s="1" t="s">
        <v>4372</v>
      </c>
      <c r="H1763" s="1" t="s">
        <v>4372</v>
      </c>
      <c r="I1763" s="1" t="s">
        <v>4386</v>
      </c>
      <c r="J1763" s="1" t="s">
        <v>6999</v>
      </c>
      <c r="K1763" s="1" t="s">
        <v>6995</v>
      </c>
    </row>
    <row r="1764" spans="1:11" ht="21" x14ac:dyDescent="0.25">
      <c r="A1764" s="11" t="str">
        <f>HYPERLINK("https://rth.dk/resources/bsgatlas/details.php?id=BSGatlas-transcript-1763","BSGatlas-transcript-1763")</f>
        <v>BSGatlas-transcript-1763</v>
      </c>
      <c r="B1764" s="1" t="s">
        <v>1630</v>
      </c>
      <c r="C1764" s="3">
        <v>1533327</v>
      </c>
      <c r="D1764" s="3">
        <v>1533742</v>
      </c>
      <c r="E1764" s="1" t="s">
        <v>13</v>
      </c>
      <c r="F1764" s="1">
        <v>0</v>
      </c>
      <c r="G1764" s="1" t="s">
        <v>4372</v>
      </c>
      <c r="H1764" s="1" t="s">
        <v>4372</v>
      </c>
      <c r="I1764" s="1" t="s">
        <v>4397</v>
      </c>
      <c r="J1764" s="1" t="s">
        <v>7000</v>
      </c>
      <c r="K1764" s="1" t="s">
        <v>7001</v>
      </c>
    </row>
    <row r="1765" spans="1:11" ht="21" x14ac:dyDescent="0.25">
      <c r="A1765" s="11" t="str">
        <f>HYPERLINK("https://rth.dk/resources/bsgatlas/details.php?id=BSGatlas-transcript-1764","BSGatlas-transcript-1764")</f>
        <v>BSGatlas-transcript-1764</v>
      </c>
      <c r="B1765" s="1" t="s">
        <v>7002</v>
      </c>
      <c r="C1765" s="3">
        <v>1533936</v>
      </c>
      <c r="D1765" s="3">
        <v>1534280</v>
      </c>
      <c r="E1765" s="1" t="s">
        <v>9</v>
      </c>
      <c r="F1765" s="1">
        <v>0</v>
      </c>
      <c r="G1765" s="1" t="s">
        <v>4372</v>
      </c>
      <c r="H1765" s="1" t="s">
        <v>4372</v>
      </c>
      <c r="I1765" s="1" t="s">
        <v>4386</v>
      </c>
      <c r="J1765" s="1" t="s">
        <v>7003</v>
      </c>
      <c r="K1765" s="1" t="s">
        <v>7004</v>
      </c>
    </row>
    <row r="1766" spans="1:11" ht="21" x14ac:dyDescent="0.25">
      <c r="A1766" s="11" t="str">
        <f>HYPERLINK("https://rth.dk/resources/bsgatlas/details.php?id=BSGatlas-transcript-1765","BSGatlas-transcript-1765")</f>
        <v>BSGatlas-transcript-1765</v>
      </c>
      <c r="B1766" s="1" t="s">
        <v>1633</v>
      </c>
      <c r="C1766" s="3">
        <v>1533950</v>
      </c>
      <c r="D1766" s="3">
        <v>1535847</v>
      </c>
      <c r="E1766" s="1" t="s">
        <v>13</v>
      </c>
      <c r="F1766" s="1">
        <v>0</v>
      </c>
      <c r="G1766" s="1" t="s">
        <v>4372</v>
      </c>
      <c r="H1766" s="1" t="s">
        <v>4372</v>
      </c>
      <c r="I1766" s="1" t="s">
        <v>4397</v>
      </c>
      <c r="J1766" s="1" t="s">
        <v>7005</v>
      </c>
      <c r="K1766" s="1" t="s">
        <v>7006</v>
      </c>
    </row>
    <row r="1767" spans="1:11" ht="21" x14ac:dyDescent="0.25">
      <c r="A1767" s="11" t="str">
        <f>HYPERLINK("https://rth.dk/resources/bsgatlas/details.php?id=BSGatlas-transcript-1766","BSGatlas-transcript-1766")</f>
        <v>BSGatlas-transcript-1766</v>
      </c>
      <c r="B1767" s="1" t="s">
        <v>7002</v>
      </c>
      <c r="C1767" s="3">
        <v>1534051</v>
      </c>
      <c r="D1767" s="3">
        <v>1534280</v>
      </c>
      <c r="E1767" s="1" t="s">
        <v>9</v>
      </c>
      <c r="F1767" s="1">
        <v>0</v>
      </c>
      <c r="G1767" s="1" t="s">
        <v>4372</v>
      </c>
      <c r="H1767" s="1" t="s">
        <v>4372</v>
      </c>
      <c r="I1767" s="1" t="s">
        <v>4386</v>
      </c>
      <c r="J1767" s="1" t="s">
        <v>7007</v>
      </c>
      <c r="K1767" s="1" t="s">
        <v>7004</v>
      </c>
    </row>
    <row r="1768" spans="1:11" ht="21" x14ac:dyDescent="0.25">
      <c r="A1768" s="11" t="str">
        <f>HYPERLINK("https://rth.dk/resources/bsgatlas/details.php?id=BSGatlas-transcript-1767","BSGatlas-transcript-1767")</f>
        <v>BSGatlas-transcript-1767</v>
      </c>
      <c r="B1768" s="1" t="s">
        <v>1633</v>
      </c>
      <c r="C1768" s="3">
        <v>1534104</v>
      </c>
      <c r="D1768" s="3">
        <v>1535847</v>
      </c>
      <c r="E1768" s="1" t="s">
        <v>13</v>
      </c>
      <c r="F1768" s="1">
        <v>0</v>
      </c>
      <c r="G1768" s="1" t="s">
        <v>4372</v>
      </c>
      <c r="H1768" s="1" t="s">
        <v>4372</v>
      </c>
      <c r="I1768" s="1" t="s">
        <v>4397</v>
      </c>
      <c r="J1768" s="1" t="s">
        <v>7005</v>
      </c>
      <c r="K1768" s="1" t="s">
        <v>7008</v>
      </c>
    </row>
    <row r="1769" spans="1:11" ht="21" x14ac:dyDescent="0.25">
      <c r="A1769" s="11" t="str">
        <f>HYPERLINK("https://rth.dk/resources/bsgatlas/details.php?id=BSGatlas-transcript-1768","BSGatlas-transcript-1768")</f>
        <v>BSGatlas-transcript-1768</v>
      </c>
      <c r="B1769" s="1" t="s">
        <v>1633</v>
      </c>
      <c r="C1769" s="3">
        <v>1534279</v>
      </c>
      <c r="D1769" s="3">
        <v>1535847</v>
      </c>
      <c r="E1769" s="1" t="s">
        <v>13</v>
      </c>
      <c r="F1769" s="1">
        <v>0</v>
      </c>
      <c r="G1769" s="1" t="s">
        <v>4372</v>
      </c>
      <c r="H1769" s="1" t="s">
        <v>4372</v>
      </c>
      <c r="I1769" s="1" t="s">
        <v>4397</v>
      </c>
      <c r="J1769" s="1" t="s">
        <v>7005</v>
      </c>
      <c r="K1769" s="1" t="s">
        <v>7009</v>
      </c>
    </row>
    <row r="1770" spans="1:11" ht="21" x14ac:dyDescent="0.25">
      <c r="A1770" s="11" t="str">
        <f>HYPERLINK("https://rth.dk/resources/bsgatlas/details.php?id=BSGatlas-transcript-1769","BSGatlas-transcript-1769")</f>
        <v>BSGatlas-transcript-1769</v>
      </c>
      <c r="B1770" s="1" t="s">
        <v>1634</v>
      </c>
      <c r="C1770" s="3">
        <v>1535876</v>
      </c>
      <c r="D1770" s="3">
        <v>1536202</v>
      </c>
      <c r="E1770" s="1" t="s">
        <v>9</v>
      </c>
      <c r="F1770" s="1">
        <v>0</v>
      </c>
      <c r="G1770" s="1" t="s">
        <v>4372</v>
      </c>
      <c r="H1770" s="1" t="s">
        <v>4372</v>
      </c>
      <c r="I1770" s="1" t="s">
        <v>4397</v>
      </c>
      <c r="J1770" s="1" t="s">
        <v>7010</v>
      </c>
      <c r="K1770" s="1" t="s">
        <v>7011</v>
      </c>
    </row>
    <row r="1771" spans="1:11" ht="21" x14ac:dyDescent="0.25">
      <c r="A1771" s="11" t="str">
        <f>HYPERLINK("https://rth.dk/resources/bsgatlas/details.php?id=BSGatlas-transcript-1770","BSGatlas-transcript-1770")</f>
        <v>BSGatlas-transcript-1770</v>
      </c>
      <c r="B1771" s="1" t="s">
        <v>1635</v>
      </c>
      <c r="C1771" s="3">
        <v>1536235</v>
      </c>
      <c r="D1771" s="3">
        <v>1536918</v>
      </c>
      <c r="E1771" s="1" t="s">
        <v>13</v>
      </c>
      <c r="F1771" s="1">
        <v>0</v>
      </c>
      <c r="G1771" s="1" t="s">
        <v>4372</v>
      </c>
      <c r="H1771" s="1" t="s">
        <v>4372</v>
      </c>
      <c r="I1771" s="1" t="s">
        <v>4397</v>
      </c>
      <c r="J1771" s="1" t="s">
        <v>7012</v>
      </c>
      <c r="K1771" s="1" t="s">
        <v>7013</v>
      </c>
    </row>
    <row r="1772" spans="1:11" ht="21" x14ac:dyDescent="0.25">
      <c r="A1772" s="11" t="str">
        <f>HYPERLINK("https://rth.dk/resources/bsgatlas/details.php?id=BSGatlas-transcript-1771","BSGatlas-transcript-1771")</f>
        <v>BSGatlas-transcript-1771</v>
      </c>
      <c r="B1772" s="1" t="s">
        <v>1635</v>
      </c>
      <c r="C1772" s="3">
        <v>1536235</v>
      </c>
      <c r="D1772" s="3">
        <v>1537316</v>
      </c>
      <c r="E1772" s="1" t="s">
        <v>13</v>
      </c>
      <c r="F1772" s="1">
        <v>0</v>
      </c>
      <c r="G1772" s="1" t="s">
        <v>4372</v>
      </c>
      <c r="H1772" s="1" t="s">
        <v>4372</v>
      </c>
      <c r="I1772" s="1" t="s">
        <v>4397</v>
      </c>
      <c r="J1772" s="1" t="s">
        <v>7014</v>
      </c>
      <c r="K1772" s="1" t="s">
        <v>7013</v>
      </c>
    </row>
    <row r="1773" spans="1:11" ht="21" x14ac:dyDescent="0.25">
      <c r="A1773" s="11" t="str">
        <f>HYPERLINK("https://rth.dk/resources/bsgatlas/details.php?id=BSGatlas-transcript-1772","BSGatlas-transcript-1772")</f>
        <v>BSGatlas-transcript-1772</v>
      </c>
      <c r="B1773" s="1" t="s">
        <v>1636</v>
      </c>
      <c r="C1773" s="3">
        <v>1536965</v>
      </c>
      <c r="D1773" s="3">
        <v>1537316</v>
      </c>
      <c r="E1773" s="1" t="s">
        <v>9</v>
      </c>
      <c r="F1773" s="1">
        <v>0</v>
      </c>
      <c r="G1773" s="1" t="s">
        <v>4372</v>
      </c>
      <c r="H1773" s="1" t="s">
        <v>4372</v>
      </c>
      <c r="I1773" s="1" t="s">
        <v>4386</v>
      </c>
      <c r="J1773" s="1" t="s">
        <v>7015</v>
      </c>
      <c r="K1773" s="1" t="s">
        <v>7016</v>
      </c>
    </row>
    <row r="1774" spans="1:11" ht="21" x14ac:dyDescent="0.25">
      <c r="A1774" s="11" t="str">
        <f>HYPERLINK("https://rth.dk/resources/bsgatlas/details.php?id=BSGatlas-transcript-1773","BSGatlas-transcript-1773")</f>
        <v>BSGatlas-transcript-1773</v>
      </c>
      <c r="B1774" s="1" t="s">
        <v>1636</v>
      </c>
      <c r="C1774" s="3">
        <v>1537029</v>
      </c>
      <c r="D1774" s="3">
        <v>1537316</v>
      </c>
      <c r="E1774" s="1" t="s">
        <v>9</v>
      </c>
      <c r="F1774" s="1">
        <v>0</v>
      </c>
      <c r="G1774" s="1" t="s">
        <v>4372</v>
      </c>
      <c r="H1774" s="1" t="s">
        <v>4372</v>
      </c>
      <c r="I1774" s="1" t="s">
        <v>4386</v>
      </c>
      <c r="J1774" s="1" t="s">
        <v>7017</v>
      </c>
      <c r="K1774" s="1" t="s">
        <v>7016</v>
      </c>
    </row>
    <row r="1775" spans="1:11" ht="21" x14ac:dyDescent="0.25">
      <c r="A1775" s="11" t="str">
        <f>HYPERLINK("https://rth.dk/resources/bsgatlas/details.php?id=BSGatlas-transcript-1774","BSGatlas-transcript-1774")</f>
        <v>BSGatlas-transcript-1774</v>
      </c>
      <c r="B1775" s="1" t="s">
        <v>1637</v>
      </c>
      <c r="C1775" s="3">
        <v>1537096</v>
      </c>
      <c r="D1775" s="3">
        <v>1539758</v>
      </c>
      <c r="E1775" s="1" t="s">
        <v>13</v>
      </c>
      <c r="F1775" s="1">
        <v>0</v>
      </c>
      <c r="G1775" s="1" t="s">
        <v>4372</v>
      </c>
      <c r="H1775" s="1" t="s">
        <v>4372</v>
      </c>
      <c r="I1775" s="1" t="s">
        <v>4386</v>
      </c>
      <c r="J1775" s="1" t="s">
        <v>7018</v>
      </c>
      <c r="K1775" s="1" t="s">
        <v>7019</v>
      </c>
    </row>
    <row r="1776" spans="1:11" ht="21" x14ac:dyDescent="0.25">
      <c r="A1776" s="11" t="str">
        <f>HYPERLINK("https://rth.dk/resources/bsgatlas/details.php?id=BSGatlas-transcript-1775","BSGatlas-transcript-1775")</f>
        <v>BSGatlas-transcript-1775</v>
      </c>
      <c r="B1776" s="1" t="s">
        <v>7020</v>
      </c>
      <c r="C1776" s="3">
        <v>1537394</v>
      </c>
      <c r="D1776" s="3">
        <v>1538692</v>
      </c>
      <c r="E1776" s="1" t="s">
        <v>9</v>
      </c>
      <c r="F1776" s="1">
        <v>1</v>
      </c>
      <c r="G1776" s="1">
        <v>48</v>
      </c>
      <c r="H1776" s="1" t="s">
        <v>4372</v>
      </c>
      <c r="I1776" s="1" t="s">
        <v>4386</v>
      </c>
      <c r="J1776" s="1" t="s">
        <v>7021</v>
      </c>
      <c r="K1776" s="1" t="s">
        <v>7022</v>
      </c>
    </row>
    <row r="1777" spans="1:11" ht="21" x14ac:dyDescent="0.25">
      <c r="A1777" s="11" t="str">
        <f>HYPERLINK("https://rth.dk/resources/bsgatlas/details.php?id=BSGatlas-transcript-1776","BSGatlas-transcript-1776")</f>
        <v>BSGatlas-transcript-1776</v>
      </c>
      <c r="B1777" s="1" t="s">
        <v>7020</v>
      </c>
      <c r="C1777" s="3">
        <v>1537394</v>
      </c>
      <c r="D1777" s="3">
        <v>1539679</v>
      </c>
      <c r="E1777" s="1" t="s">
        <v>9</v>
      </c>
      <c r="F1777" s="1">
        <v>1</v>
      </c>
      <c r="G1777" s="1">
        <v>48</v>
      </c>
      <c r="H1777" s="1">
        <v>988</v>
      </c>
      <c r="I1777" s="1" t="s">
        <v>4386</v>
      </c>
      <c r="J1777" s="1" t="s">
        <v>7021</v>
      </c>
      <c r="K1777" s="1" t="s">
        <v>7023</v>
      </c>
    </row>
    <row r="1778" spans="1:11" ht="21" x14ac:dyDescent="0.25">
      <c r="A1778" s="11" t="str">
        <f>HYPERLINK("https://rth.dk/resources/bsgatlas/details.php?id=BSGatlas-transcript-1777","BSGatlas-transcript-1777")</f>
        <v>BSGatlas-transcript-1777</v>
      </c>
      <c r="B1778" s="1" t="s">
        <v>1637</v>
      </c>
      <c r="C1778" s="3">
        <v>1538746</v>
      </c>
      <c r="D1778" s="3">
        <v>1539758</v>
      </c>
      <c r="E1778" s="1" t="s">
        <v>13</v>
      </c>
      <c r="F1778" s="1">
        <v>0</v>
      </c>
      <c r="G1778" s="1" t="s">
        <v>4372</v>
      </c>
      <c r="H1778" s="1" t="s">
        <v>4372</v>
      </c>
      <c r="I1778" s="1" t="s">
        <v>4386</v>
      </c>
      <c r="J1778" s="1" t="s">
        <v>7018</v>
      </c>
      <c r="K1778" s="1" t="s">
        <v>7024</v>
      </c>
    </row>
    <row r="1779" spans="1:11" ht="21" x14ac:dyDescent="0.25">
      <c r="A1779" s="11" t="str">
        <f>HYPERLINK("https://rth.dk/resources/bsgatlas/details.php?id=BSGatlas-transcript-1778","BSGatlas-transcript-1778")</f>
        <v>BSGatlas-transcript-1778</v>
      </c>
      <c r="B1779" s="1" t="s">
        <v>1640</v>
      </c>
      <c r="C1779" s="3">
        <v>1539992</v>
      </c>
      <c r="D1779" s="3">
        <v>1541647</v>
      </c>
      <c r="E1779" s="1" t="s">
        <v>13</v>
      </c>
      <c r="F1779" s="1">
        <v>0</v>
      </c>
      <c r="G1779" s="1" t="s">
        <v>4372</v>
      </c>
      <c r="H1779" s="1" t="s">
        <v>4372</v>
      </c>
      <c r="I1779" s="1" t="s">
        <v>4373</v>
      </c>
      <c r="J1779" s="1" t="s">
        <v>7025</v>
      </c>
      <c r="K1779" s="1" t="s">
        <v>7026</v>
      </c>
    </row>
    <row r="1780" spans="1:11" ht="21" x14ac:dyDescent="0.25">
      <c r="A1780" s="11" t="str">
        <f>HYPERLINK("https://rth.dk/resources/bsgatlas/details.php?id=BSGatlas-transcript-1779","BSGatlas-transcript-1779")</f>
        <v>BSGatlas-transcript-1779</v>
      </c>
      <c r="B1780" s="1" t="s">
        <v>7027</v>
      </c>
      <c r="C1780" s="3">
        <v>1541862</v>
      </c>
      <c r="D1780" s="3">
        <v>1544941</v>
      </c>
      <c r="E1780" s="1" t="s">
        <v>9</v>
      </c>
      <c r="F1780" s="1">
        <v>0</v>
      </c>
      <c r="G1780" s="1" t="s">
        <v>4372</v>
      </c>
      <c r="H1780" s="1" t="s">
        <v>4372</v>
      </c>
      <c r="I1780" s="1" t="s">
        <v>4373</v>
      </c>
      <c r="J1780" s="1" t="s">
        <v>7028</v>
      </c>
      <c r="K1780" s="1" t="s">
        <v>7029</v>
      </c>
    </row>
    <row r="1781" spans="1:11" ht="21" x14ac:dyDescent="0.25">
      <c r="A1781" s="11" t="str">
        <f>HYPERLINK("https://rth.dk/resources/bsgatlas/details.php?id=BSGatlas-transcript-1780","BSGatlas-transcript-1780")</f>
        <v>BSGatlas-transcript-1780</v>
      </c>
      <c r="B1781" s="1" t="s">
        <v>7030</v>
      </c>
      <c r="C1781" s="3">
        <v>1544085</v>
      </c>
      <c r="D1781" s="3">
        <v>1544941</v>
      </c>
      <c r="E1781" s="1" t="s">
        <v>9</v>
      </c>
      <c r="F1781" s="1">
        <v>0</v>
      </c>
      <c r="G1781" s="1" t="s">
        <v>4372</v>
      </c>
      <c r="H1781" s="1" t="s">
        <v>4372</v>
      </c>
      <c r="I1781" s="1" t="s">
        <v>4386</v>
      </c>
      <c r="J1781" s="1" t="s">
        <v>7031</v>
      </c>
      <c r="K1781" s="1" t="s">
        <v>7029</v>
      </c>
    </row>
    <row r="1782" spans="1:11" ht="21" x14ac:dyDescent="0.25">
      <c r="A1782" s="11" t="str">
        <f>HYPERLINK("https://rth.dk/resources/bsgatlas/details.php?id=BSGatlas-transcript-1781","BSGatlas-transcript-1781")</f>
        <v>BSGatlas-transcript-1781</v>
      </c>
      <c r="B1782" s="1" t="s">
        <v>1645</v>
      </c>
      <c r="C1782" s="3">
        <v>1544936</v>
      </c>
      <c r="D1782" s="3">
        <v>1545588</v>
      </c>
      <c r="E1782" s="1" t="s">
        <v>13</v>
      </c>
      <c r="F1782" s="1">
        <v>0</v>
      </c>
      <c r="G1782" s="1" t="s">
        <v>4372</v>
      </c>
      <c r="H1782" s="1" t="s">
        <v>4372</v>
      </c>
      <c r="I1782" s="1" t="s">
        <v>4386</v>
      </c>
      <c r="J1782" s="1" t="s">
        <v>7032</v>
      </c>
      <c r="K1782" s="1" t="s">
        <v>7033</v>
      </c>
    </row>
    <row r="1783" spans="1:11" ht="21" x14ac:dyDescent="0.25">
      <c r="A1783" s="11" t="str">
        <f>HYPERLINK("https://rth.dk/resources/bsgatlas/details.php?id=BSGatlas-transcript-1782","BSGatlas-transcript-1782")</f>
        <v>BSGatlas-transcript-1782</v>
      </c>
      <c r="B1783" s="1" t="s">
        <v>1646</v>
      </c>
      <c r="C1783" s="3">
        <v>1545781</v>
      </c>
      <c r="D1783" s="3">
        <v>1546047</v>
      </c>
      <c r="E1783" s="1" t="s">
        <v>13</v>
      </c>
      <c r="F1783" s="1">
        <v>0</v>
      </c>
      <c r="G1783" s="1" t="s">
        <v>4372</v>
      </c>
      <c r="H1783" s="1" t="s">
        <v>4372</v>
      </c>
      <c r="I1783" s="1" t="s">
        <v>4386</v>
      </c>
      <c r="J1783" s="1" t="s">
        <v>7034</v>
      </c>
      <c r="K1783" s="1" t="s">
        <v>7035</v>
      </c>
    </row>
    <row r="1784" spans="1:11" ht="21" x14ac:dyDescent="0.25">
      <c r="A1784" s="11" t="str">
        <f>HYPERLINK("https://rth.dk/resources/bsgatlas/details.php?id=BSGatlas-transcript-1783","BSGatlas-transcript-1783")</f>
        <v>BSGatlas-transcript-1783</v>
      </c>
      <c r="B1784" s="1" t="s">
        <v>1646</v>
      </c>
      <c r="C1784" s="3">
        <v>1545820</v>
      </c>
      <c r="D1784" s="3">
        <v>1546047</v>
      </c>
      <c r="E1784" s="1" t="s">
        <v>13</v>
      </c>
      <c r="F1784" s="1">
        <v>0</v>
      </c>
      <c r="G1784" s="1" t="s">
        <v>4372</v>
      </c>
      <c r="H1784" s="1" t="s">
        <v>4372</v>
      </c>
      <c r="I1784" s="1" t="s">
        <v>4386</v>
      </c>
      <c r="J1784" s="1" t="s">
        <v>7034</v>
      </c>
      <c r="K1784" s="1" t="s">
        <v>7036</v>
      </c>
    </row>
    <row r="1785" spans="1:11" ht="21" x14ac:dyDescent="0.25">
      <c r="A1785" s="11" t="str">
        <f>HYPERLINK("https://rth.dk/resources/bsgatlas/details.php?id=BSGatlas-transcript-1784","BSGatlas-transcript-1784")</f>
        <v>BSGatlas-transcript-1784</v>
      </c>
      <c r="B1785" s="1" t="s">
        <v>7037</v>
      </c>
      <c r="C1785" s="3">
        <v>1546082</v>
      </c>
      <c r="D1785" s="3">
        <v>1548333</v>
      </c>
      <c r="E1785" s="1" t="s">
        <v>9</v>
      </c>
      <c r="F1785" s="1">
        <v>1</v>
      </c>
      <c r="G1785" s="1">
        <v>40</v>
      </c>
      <c r="H1785" s="1" t="s">
        <v>4372</v>
      </c>
      <c r="I1785" s="1" t="s">
        <v>4386</v>
      </c>
      <c r="J1785" s="1" t="s">
        <v>7038</v>
      </c>
      <c r="K1785" s="1" t="s">
        <v>7039</v>
      </c>
    </row>
    <row r="1786" spans="1:11" ht="21" x14ac:dyDescent="0.25">
      <c r="A1786" s="11" t="str">
        <f>HYPERLINK("https://rth.dk/resources/bsgatlas/details.php?id=BSGatlas-transcript-1785","BSGatlas-transcript-1785")</f>
        <v>BSGatlas-transcript-1785</v>
      </c>
      <c r="B1786" s="1" t="s">
        <v>1649</v>
      </c>
      <c r="C1786" s="3">
        <v>1548360</v>
      </c>
      <c r="D1786" s="3">
        <v>1548627</v>
      </c>
      <c r="E1786" s="1" t="s">
        <v>13</v>
      </c>
      <c r="F1786" s="1">
        <v>0</v>
      </c>
      <c r="G1786" s="1" t="s">
        <v>4372</v>
      </c>
      <c r="H1786" s="1" t="s">
        <v>4372</v>
      </c>
      <c r="I1786" s="1" t="s">
        <v>4386</v>
      </c>
      <c r="J1786" s="1" t="s">
        <v>7040</v>
      </c>
      <c r="K1786" s="1" t="s">
        <v>7041</v>
      </c>
    </row>
    <row r="1787" spans="1:11" ht="21" x14ac:dyDescent="0.25">
      <c r="A1787" s="11" t="str">
        <f>HYPERLINK("https://rth.dk/resources/bsgatlas/details.php?id=BSGatlas-transcript-1786","BSGatlas-transcript-1786")</f>
        <v>BSGatlas-transcript-1786</v>
      </c>
      <c r="B1787" s="1" t="s">
        <v>1650</v>
      </c>
      <c r="C1787" s="3">
        <v>1548645</v>
      </c>
      <c r="D1787" s="3">
        <v>1549310</v>
      </c>
      <c r="E1787" s="1" t="s">
        <v>13</v>
      </c>
      <c r="F1787" s="1">
        <v>0</v>
      </c>
      <c r="G1787" s="1" t="s">
        <v>4372</v>
      </c>
      <c r="H1787" s="1" t="s">
        <v>4372</v>
      </c>
      <c r="I1787" s="1" t="s">
        <v>4373</v>
      </c>
      <c r="J1787" s="1" t="s">
        <v>7042</v>
      </c>
      <c r="K1787" s="1" t="s">
        <v>7043</v>
      </c>
    </row>
    <row r="1788" spans="1:11" ht="21" x14ac:dyDescent="0.25">
      <c r="A1788" s="11" t="str">
        <f>HYPERLINK("https://rth.dk/resources/bsgatlas/details.php?id=BSGatlas-transcript-1787","BSGatlas-transcript-1787")</f>
        <v>BSGatlas-transcript-1787</v>
      </c>
      <c r="B1788" s="1" t="s">
        <v>1650</v>
      </c>
      <c r="C1788" s="3">
        <v>1548645</v>
      </c>
      <c r="D1788" s="3">
        <v>1549350</v>
      </c>
      <c r="E1788" s="1" t="s">
        <v>13</v>
      </c>
      <c r="F1788" s="1">
        <v>0</v>
      </c>
      <c r="G1788" s="1" t="s">
        <v>4372</v>
      </c>
      <c r="H1788" s="1" t="s">
        <v>4372</v>
      </c>
      <c r="I1788" s="1" t="s">
        <v>4373</v>
      </c>
      <c r="J1788" s="1" t="s">
        <v>7044</v>
      </c>
      <c r="K1788" s="1" t="s">
        <v>7043</v>
      </c>
    </row>
    <row r="1789" spans="1:11" ht="21" x14ac:dyDescent="0.25">
      <c r="A1789" s="11" t="str">
        <f>HYPERLINK("https://rth.dk/resources/bsgatlas/details.php?id=BSGatlas-transcript-1788","BSGatlas-transcript-1788")</f>
        <v>BSGatlas-transcript-1788</v>
      </c>
      <c r="B1789" s="1" t="s">
        <v>1651</v>
      </c>
      <c r="C1789" s="3">
        <v>1549383</v>
      </c>
      <c r="D1789" s="3">
        <v>1550793</v>
      </c>
      <c r="E1789" s="1" t="s">
        <v>9</v>
      </c>
      <c r="F1789" s="1">
        <v>0</v>
      </c>
      <c r="G1789" s="1" t="s">
        <v>4372</v>
      </c>
      <c r="H1789" s="1" t="s">
        <v>4372</v>
      </c>
      <c r="I1789" s="1" t="s">
        <v>4547</v>
      </c>
      <c r="J1789" s="1" t="s">
        <v>7045</v>
      </c>
      <c r="K1789" s="1" t="s">
        <v>318</v>
      </c>
    </row>
    <row r="1790" spans="1:11" ht="21" x14ac:dyDescent="0.25">
      <c r="A1790" s="11" t="str">
        <f>HYPERLINK("https://rth.dk/resources/bsgatlas/details.php?id=BSGatlas-transcript-1789","BSGatlas-transcript-1789")</f>
        <v>BSGatlas-transcript-1789</v>
      </c>
      <c r="B1790" s="1" t="s">
        <v>7046</v>
      </c>
      <c r="C1790" s="3">
        <v>1549383</v>
      </c>
      <c r="D1790" s="3">
        <v>1552314</v>
      </c>
      <c r="E1790" s="1" t="s">
        <v>9</v>
      </c>
      <c r="F1790" s="1">
        <v>1</v>
      </c>
      <c r="G1790" s="1">
        <v>83</v>
      </c>
      <c r="H1790" s="1" t="s">
        <v>4372</v>
      </c>
      <c r="I1790" s="1" t="s">
        <v>4386</v>
      </c>
      <c r="J1790" s="1" t="s">
        <v>7045</v>
      </c>
      <c r="K1790" s="1" t="s">
        <v>318</v>
      </c>
    </row>
    <row r="1791" spans="1:11" ht="21" x14ac:dyDescent="0.25">
      <c r="A1791" s="11" t="str">
        <f>HYPERLINK("https://rth.dk/resources/bsgatlas/details.php?id=BSGatlas-transcript-1790","BSGatlas-transcript-1790")</f>
        <v>BSGatlas-transcript-1790</v>
      </c>
      <c r="B1791" s="1" t="s">
        <v>1653</v>
      </c>
      <c r="C1791" s="3">
        <v>1550670</v>
      </c>
      <c r="D1791" s="3">
        <v>1551322</v>
      </c>
      <c r="E1791" s="1" t="s">
        <v>13</v>
      </c>
      <c r="F1791" s="1">
        <v>0</v>
      </c>
      <c r="G1791" s="1" t="s">
        <v>4372</v>
      </c>
      <c r="H1791" s="1" t="s">
        <v>4372</v>
      </c>
      <c r="I1791" s="1" t="s">
        <v>4397</v>
      </c>
      <c r="J1791" s="1" t="s">
        <v>7047</v>
      </c>
      <c r="K1791" s="1" t="s">
        <v>7048</v>
      </c>
    </row>
    <row r="1792" spans="1:11" ht="21" x14ac:dyDescent="0.25">
      <c r="A1792" s="11" t="str">
        <f>HYPERLINK("https://rth.dk/resources/bsgatlas/details.php?id=BSGatlas-transcript-1791","BSGatlas-transcript-1791")</f>
        <v>BSGatlas-transcript-1791</v>
      </c>
      <c r="B1792" s="1" t="s">
        <v>1654</v>
      </c>
      <c r="C1792" s="3">
        <v>1551908</v>
      </c>
      <c r="D1792" s="3">
        <v>1552693</v>
      </c>
      <c r="E1792" s="1" t="s">
        <v>9</v>
      </c>
      <c r="F1792" s="1">
        <v>0</v>
      </c>
      <c r="G1792" s="1" t="s">
        <v>4372</v>
      </c>
      <c r="H1792" s="1" t="s">
        <v>4372</v>
      </c>
      <c r="I1792" s="1" t="s">
        <v>4386</v>
      </c>
      <c r="J1792" s="1" t="s">
        <v>7049</v>
      </c>
      <c r="K1792" s="1" t="s">
        <v>7050</v>
      </c>
    </row>
    <row r="1793" spans="1:11" ht="21" x14ac:dyDescent="0.25">
      <c r="A1793" s="11" t="str">
        <f>HYPERLINK("https://rth.dk/resources/bsgatlas/details.php?id=BSGatlas-transcript-1792","BSGatlas-transcript-1792")</f>
        <v>BSGatlas-transcript-1792</v>
      </c>
      <c r="B1793" s="1" t="s">
        <v>1654</v>
      </c>
      <c r="C1793" s="3">
        <v>1552364</v>
      </c>
      <c r="D1793" s="3">
        <v>1552693</v>
      </c>
      <c r="E1793" s="1" t="s">
        <v>9</v>
      </c>
      <c r="F1793" s="1">
        <v>0</v>
      </c>
      <c r="G1793" s="1" t="s">
        <v>4372</v>
      </c>
      <c r="H1793" s="1" t="s">
        <v>4372</v>
      </c>
      <c r="I1793" s="1" t="s">
        <v>4386</v>
      </c>
      <c r="J1793" s="1" t="s">
        <v>7051</v>
      </c>
      <c r="K1793" s="1" t="s">
        <v>7050</v>
      </c>
    </row>
    <row r="1794" spans="1:11" ht="21" x14ac:dyDescent="0.25">
      <c r="A1794" s="11" t="str">
        <f>HYPERLINK("https://rth.dk/resources/bsgatlas/details.php?id=BSGatlas-transcript-1793","BSGatlas-transcript-1793")</f>
        <v>BSGatlas-transcript-1793</v>
      </c>
      <c r="B1794" s="1" t="s">
        <v>7052</v>
      </c>
      <c r="C1794" s="3">
        <v>1552772</v>
      </c>
      <c r="D1794" s="3">
        <v>1557682</v>
      </c>
      <c r="E1794" s="1" t="s">
        <v>9</v>
      </c>
      <c r="F1794" s="1">
        <v>1</v>
      </c>
      <c r="G1794" s="1">
        <v>128</v>
      </c>
      <c r="H1794" s="1">
        <v>52</v>
      </c>
      <c r="I1794" s="1" t="s">
        <v>4373</v>
      </c>
      <c r="J1794" s="1" t="s">
        <v>7053</v>
      </c>
      <c r="K1794" s="1" t="s">
        <v>7054</v>
      </c>
    </row>
    <row r="1795" spans="1:11" ht="21" x14ac:dyDescent="0.25">
      <c r="A1795" s="11" t="str">
        <f>HYPERLINK("https://rth.dk/resources/bsgatlas/details.php?id=BSGatlas-transcript-1794","BSGatlas-transcript-1794")</f>
        <v>BSGatlas-transcript-1794</v>
      </c>
      <c r="B1795" s="1" t="s">
        <v>1656</v>
      </c>
      <c r="C1795" s="3">
        <v>1554158</v>
      </c>
      <c r="D1795" s="3">
        <v>1557682</v>
      </c>
      <c r="E1795" s="1" t="s">
        <v>9</v>
      </c>
      <c r="F1795" s="1">
        <v>0</v>
      </c>
      <c r="G1795" s="1" t="s">
        <v>4372</v>
      </c>
      <c r="H1795" s="1" t="s">
        <v>4372</v>
      </c>
      <c r="I1795" s="1" t="s">
        <v>4386</v>
      </c>
      <c r="J1795" s="1" t="s">
        <v>7055</v>
      </c>
      <c r="K1795" s="1" t="s">
        <v>7054</v>
      </c>
    </row>
    <row r="1796" spans="1:11" ht="21" x14ac:dyDescent="0.25">
      <c r="A1796" s="11" t="str">
        <f>HYPERLINK("https://rth.dk/resources/bsgatlas/details.php?id=BSGatlas-transcript-1795","BSGatlas-transcript-1795")</f>
        <v>BSGatlas-transcript-1795</v>
      </c>
      <c r="B1796" s="1" t="s">
        <v>1657</v>
      </c>
      <c r="C1796" s="3">
        <v>1557666</v>
      </c>
      <c r="D1796" s="3">
        <v>1558982</v>
      </c>
      <c r="E1796" s="1" t="s">
        <v>13</v>
      </c>
      <c r="F1796" s="1">
        <v>0</v>
      </c>
      <c r="G1796" s="1" t="s">
        <v>4372</v>
      </c>
      <c r="H1796" s="1" t="s">
        <v>4372</v>
      </c>
      <c r="I1796" s="1" t="s">
        <v>4373</v>
      </c>
      <c r="J1796" s="1" t="s">
        <v>7056</v>
      </c>
      <c r="K1796" s="1" t="s">
        <v>7057</v>
      </c>
    </row>
    <row r="1797" spans="1:11" ht="21" x14ac:dyDescent="0.25">
      <c r="A1797" s="11" t="str">
        <f>HYPERLINK("https://rth.dk/resources/bsgatlas/details.php?id=BSGatlas-transcript-1796","BSGatlas-transcript-1796")</f>
        <v>BSGatlas-transcript-1796</v>
      </c>
      <c r="B1797" s="1" t="s">
        <v>1657</v>
      </c>
      <c r="C1797" s="3">
        <v>1557666</v>
      </c>
      <c r="D1797" s="3">
        <v>1558996</v>
      </c>
      <c r="E1797" s="1" t="s">
        <v>13</v>
      </c>
      <c r="F1797" s="1">
        <v>0</v>
      </c>
      <c r="G1797" s="1" t="s">
        <v>4372</v>
      </c>
      <c r="H1797" s="1" t="s">
        <v>4372</v>
      </c>
      <c r="I1797" s="1" t="s">
        <v>4373</v>
      </c>
      <c r="J1797" s="1" t="s">
        <v>7058</v>
      </c>
      <c r="K1797" s="1" t="s">
        <v>7057</v>
      </c>
    </row>
    <row r="1798" spans="1:11" ht="21" x14ac:dyDescent="0.25">
      <c r="A1798" s="11" t="str">
        <f>HYPERLINK("https://rth.dk/resources/bsgatlas/details.php?id=BSGatlas-transcript-1797","BSGatlas-transcript-1797")</f>
        <v>BSGatlas-transcript-1797</v>
      </c>
      <c r="B1798" s="1" t="s">
        <v>1657</v>
      </c>
      <c r="C1798" s="3">
        <v>1557985</v>
      </c>
      <c r="D1798" s="3">
        <v>1558982</v>
      </c>
      <c r="E1798" s="1" t="s">
        <v>13</v>
      </c>
      <c r="F1798" s="1">
        <v>0</v>
      </c>
      <c r="G1798" s="1" t="s">
        <v>4372</v>
      </c>
      <c r="H1798" s="1" t="s">
        <v>4372</v>
      </c>
      <c r="I1798" s="1" t="s">
        <v>4373</v>
      </c>
      <c r="J1798" s="1" t="s">
        <v>7056</v>
      </c>
      <c r="K1798" s="1" t="s">
        <v>7059</v>
      </c>
    </row>
    <row r="1799" spans="1:11" ht="21" x14ac:dyDescent="0.25">
      <c r="A1799" s="11" t="str">
        <f>HYPERLINK("https://rth.dk/resources/bsgatlas/details.php?id=BSGatlas-transcript-1798","BSGatlas-transcript-1798")</f>
        <v>BSGatlas-transcript-1798</v>
      </c>
      <c r="B1799" s="1" t="s">
        <v>1657</v>
      </c>
      <c r="C1799" s="3">
        <v>1557985</v>
      </c>
      <c r="D1799" s="3">
        <v>1558996</v>
      </c>
      <c r="E1799" s="1" t="s">
        <v>13</v>
      </c>
      <c r="F1799" s="1">
        <v>0</v>
      </c>
      <c r="G1799" s="1" t="s">
        <v>4372</v>
      </c>
      <c r="H1799" s="1" t="s">
        <v>4372</v>
      </c>
      <c r="I1799" s="1" t="s">
        <v>4373</v>
      </c>
      <c r="J1799" s="1" t="s">
        <v>7058</v>
      </c>
      <c r="K1799" s="1" t="s">
        <v>7059</v>
      </c>
    </row>
    <row r="1800" spans="1:11" ht="21" x14ac:dyDescent="0.25">
      <c r="A1800" s="11" t="str">
        <f>HYPERLINK("https://rth.dk/resources/bsgatlas/details.php?id=BSGatlas-transcript-1799","BSGatlas-transcript-1799")</f>
        <v>BSGatlas-transcript-1799</v>
      </c>
      <c r="B1800" s="1" t="s">
        <v>1658</v>
      </c>
      <c r="C1800" s="3">
        <v>1559111</v>
      </c>
      <c r="D1800" s="3">
        <v>1560277</v>
      </c>
      <c r="E1800" s="1" t="s">
        <v>9</v>
      </c>
      <c r="F1800" s="1">
        <v>0</v>
      </c>
      <c r="G1800" s="1" t="s">
        <v>4372</v>
      </c>
      <c r="H1800" s="1" t="s">
        <v>4372</v>
      </c>
      <c r="I1800" s="1" t="s">
        <v>4377</v>
      </c>
      <c r="J1800" s="1" t="s">
        <v>7060</v>
      </c>
      <c r="K1800" s="1" t="s">
        <v>7061</v>
      </c>
    </row>
    <row r="1801" spans="1:11" ht="21" x14ac:dyDescent="0.25">
      <c r="A1801" s="11" t="str">
        <f>HYPERLINK("https://rth.dk/resources/bsgatlas/details.php?id=BSGatlas-transcript-1800","BSGatlas-transcript-1800")</f>
        <v>BSGatlas-transcript-1800</v>
      </c>
      <c r="B1801" s="1" t="s">
        <v>1658</v>
      </c>
      <c r="C1801" s="3">
        <v>1559111</v>
      </c>
      <c r="D1801" s="3">
        <v>1560325</v>
      </c>
      <c r="E1801" s="1" t="s">
        <v>9</v>
      </c>
      <c r="F1801" s="1">
        <v>0</v>
      </c>
      <c r="G1801" s="1" t="s">
        <v>4372</v>
      </c>
      <c r="H1801" s="1" t="s">
        <v>4372</v>
      </c>
      <c r="I1801" s="1" t="s">
        <v>4377</v>
      </c>
      <c r="J1801" s="1" t="s">
        <v>7060</v>
      </c>
      <c r="K1801" s="1" t="s">
        <v>7062</v>
      </c>
    </row>
    <row r="1802" spans="1:11" ht="21" x14ac:dyDescent="0.25">
      <c r="A1802" s="11" t="str">
        <f>HYPERLINK("https://rth.dk/resources/bsgatlas/details.php?id=BSGatlas-transcript-1801","BSGatlas-transcript-1801")</f>
        <v>BSGatlas-transcript-1801</v>
      </c>
      <c r="B1802" s="1" t="s">
        <v>7063</v>
      </c>
      <c r="C1802" s="3">
        <v>1559111</v>
      </c>
      <c r="D1802" s="3">
        <v>1565355</v>
      </c>
      <c r="E1802" s="1" t="s">
        <v>9</v>
      </c>
      <c r="F1802" s="1">
        <v>3</v>
      </c>
      <c r="G1802" s="1">
        <v>199</v>
      </c>
      <c r="H1802" s="1">
        <v>41</v>
      </c>
      <c r="I1802" s="1" t="s">
        <v>4373</v>
      </c>
      <c r="J1802" s="1" t="s">
        <v>7060</v>
      </c>
      <c r="K1802" s="1" t="s">
        <v>7064</v>
      </c>
    </row>
    <row r="1803" spans="1:11" ht="21" x14ac:dyDescent="0.25">
      <c r="A1803" s="11" t="str">
        <f>HYPERLINK("https://rth.dk/resources/bsgatlas/details.php?id=BSGatlas-transcript-1802","BSGatlas-transcript-1802")</f>
        <v>BSGatlas-transcript-1802</v>
      </c>
      <c r="B1803" s="1" t="s">
        <v>1658</v>
      </c>
      <c r="C1803" s="3">
        <v>1559218</v>
      </c>
      <c r="D1803" s="3">
        <v>1560277</v>
      </c>
      <c r="E1803" s="1" t="s">
        <v>9</v>
      </c>
      <c r="F1803" s="1">
        <v>0</v>
      </c>
      <c r="G1803" s="1" t="s">
        <v>4372</v>
      </c>
      <c r="H1803" s="1" t="s">
        <v>4372</v>
      </c>
      <c r="I1803" s="1" t="s">
        <v>4377</v>
      </c>
      <c r="J1803" s="1" t="s">
        <v>7065</v>
      </c>
      <c r="K1803" s="1" t="s">
        <v>7061</v>
      </c>
    </row>
    <row r="1804" spans="1:11" ht="21" x14ac:dyDescent="0.25">
      <c r="A1804" s="11" t="str">
        <f>HYPERLINK("https://rth.dk/resources/bsgatlas/details.php?id=BSGatlas-transcript-1803","BSGatlas-transcript-1803")</f>
        <v>BSGatlas-transcript-1803</v>
      </c>
      <c r="B1804" s="1" t="s">
        <v>1658</v>
      </c>
      <c r="C1804" s="3">
        <v>1559218</v>
      </c>
      <c r="D1804" s="3">
        <v>1560325</v>
      </c>
      <c r="E1804" s="1" t="s">
        <v>9</v>
      </c>
      <c r="F1804" s="1">
        <v>0</v>
      </c>
      <c r="G1804" s="1" t="s">
        <v>4372</v>
      </c>
      <c r="H1804" s="1" t="s">
        <v>4372</v>
      </c>
      <c r="I1804" s="1" t="s">
        <v>4377</v>
      </c>
      <c r="J1804" s="1" t="s">
        <v>7065</v>
      </c>
      <c r="K1804" s="1" t="s">
        <v>7062</v>
      </c>
    </row>
    <row r="1805" spans="1:11" ht="21" x14ac:dyDescent="0.25">
      <c r="A1805" s="11" t="str">
        <f>HYPERLINK("https://rth.dk/resources/bsgatlas/details.php?id=BSGatlas-transcript-1804","BSGatlas-transcript-1804")</f>
        <v>BSGatlas-transcript-1804</v>
      </c>
      <c r="B1805" s="1" t="s">
        <v>7063</v>
      </c>
      <c r="C1805" s="3">
        <v>1559218</v>
      </c>
      <c r="D1805" s="3">
        <v>1565355</v>
      </c>
      <c r="E1805" s="1" t="s">
        <v>9</v>
      </c>
      <c r="F1805" s="1">
        <v>3</v>
      </c>
      <c r="G1805" s="1">
        <v>92</v>
      </c>
      <c r="H1805" s="1">
        <v>41</v>
      </c>
      <c r="I1805" s="1" t="s">
        <v>4373</v>
      </c>
      <c r="J1805" s="1" t="s">
        <v>7065</v>
      </c>
      <c r="K1805" s="1" t="s">
        <v>7064</v>
      </c>
    </row>
    <row r="1806" spans="1:11" ht="21" x14ac:dyDescent="0.25">
      <c r="A1806" s="11" t="str">
        <f>HYPERLINK("https://rth.dk/resources/bsgatlas/details.php?id=BSGatlas-transcript-1805","BSGatlas-transcript-1805")</f>
        <v>BSGatlas-transcript-1805</v>
      </c>
      <c r="B1806" s="1" t="s">
        <v>7066</v>
      </c>
      <c r="C1806" s="3">
        <v>1560274</v>
      </c>
      <c r="D1806" s="3">
        <v>1565355</v>
      </c>
      <c r="E1806" s="1" t="s">
        <v>9</v>
      </c>
      <c r="F1806" s="1">
        <v>2</v>
      </c>
      <c r="G1806" s="1">
        <v>193</v>
      </c>
      <c r="H1806" s="1">
        <v>41</v>
      </c>
      <c r="I1806" s="1" t="s">
        <v>4377</v>
      </c>
      <c r="J1806" s="1" t="s">
        <v>7067</v>
      </c>
      <c r="K1806" s="1" t="s">
        <v>7064</v>
      </c>
    </row>
    <row r="1807" spans="1:11" ht="21" x14ac:dyDescent="0.25">
      <c r="A1807" s="11" t="str">
        <f>HYPERLINK("https://rth.dk/resources/bsgatlas/details.php?id=BSGatlas-transcript-1806","BSGatlas-transcript-1806")</f>
        <v>BSGatlas-transcript-1806</v>
      </c>
      <c r="B1807" s="1" t="s">
        <v>7066</v>
      </c>
      <c r="C1807" s="3">
        <v>1560362</v>
      </c>
      <c r="D1807" s="3">
        <v>1565355</v>
      </c>
      <c r="E1807" s="1" t="s">
        <v>9</v>
      </c>
      <c r="F1807" s="1">
        <v>2</v>
      </c>
      <c r="G1807" s="1">
        <v>105</v>
      </c>
      <c r="H1807" s="1">
        <v>41</v>
      </c>
      <c r="I1807" s="1" t="s">
        <v>4377</v>
      </c>
      <c r="J1807" s="1" t="s">
        <v>7068</v>
      </c>
      <c r="K1807" s="1" t="s">
        <v>7064</v>
      </c>
    </row>
    <row r="1808" spans="1:11" ht="21" x14ac:dyDescent="0.25">
      <c r="A1808" s="11" t="str">
        <f>HYPERLINK("https://rth.dk/resources/bsgatlas/details.php?id=BSGatlas-transcript-1807","BSGatlas-transcript-1807")</f>
        <v>BSGatlas-transcript-1807</v>
      </c>
      <c r="B1808" s="1" t="s">
        <v>1664</v>
      </c>
      <c r="C1808" s="3">
        <v>1565347</v>
      </c>
      <c r="D1808" s="3">
        <v>1565745</v>
      </c>
      <c r="E1808" s="1" t="s">
        <v>13</v>
      </c>
      <c r="F1808" s="1">
        <v>0</v>
      </c>
      <c r="G1808" s="1" t="s">
        <v>4372</v>
      </c>
      <c r="H1808" s="1" t="s">
        <v>4372</v>
      </c>
      <c r="I1808" s="1" t="s">
        <v>4397</v>
      </c>
      <c r="J1808" s="1" t="s">
        <v>7069</v>
      </c>
      <c r="K1808" s="1" t="s">
        <v>7070</v>
      </c>
    </row>
    <row r="1809" spans="1:11" ht="21" x14ac:dyDescent="0.25">
      <c r="A1809" s="11" t="str">
        <f>HYPERLINK("https://rth.dk/resources/bsgatlas/details.php?id=BSGatlas-transcript-1808","BSGatlas-transcript-1808")</f>
        <v>BSGatlas-transcript-1808</v>
      </c>
      <c r="B1809" s="1" t="s">
        <v>1664</v>
      </c>
      <c r="C1809" s="3">
        <v>1565347</v>
      </c>
      <c r="D1809" s="3">
        <v>1567347</v>
      </c>
      <c r="E1809" s="1" t="s">
        <v>13</v>
      </c>
      <c r="F1809" s="1">
        <v>0</v>
      </c>
      <c r="G1809" s="1" t="s">
        <v>4372</v>
      </c>
      <c r="H1809" s="1" t="s">
        <v>4372</v>
      </c>
      <c r="I1809" s="1" t="s">
        <v>4397</v>
      </c>
      <c r="J1809" s="1" t="s">
        <v>7071</v>
      </c>
      <c r="K1809" s="1" t="s">
        <v>7070</v>
      </c>
    </row>
    <row r="1810" spans="1:11" ht="21" x14ac:dyDescent="0.25">
      <c r="A1810" s="11" t="str">
        <f>HYPERLINK("https://rth.dk/resources/bsgatlas/details.php?id=BSGatlas-transcript-1809","BSGatlas-transcript-1809")</f>
        <v>BSGatlas-transcript-1809</v>
      </c>
      <c r="B1810" s="1" t="s">
        <v>7072</v>
      </c>
      <c r="C1810" s="3">
        <v>1565755</v>
      </c>
      <c r="D1810" s="3">
        <v>1567462</v>
      </c>
      <c r="E1810" s="1" t="s">
        <v>9</v>
      </c>
      <c r="F1810" s="1">
        <v>1</v>
      </c>
      <c r="G1810" s="1">
        <v>95</v>
      </c>
      <c r="H1810" s="1">
        <v>44</v>
      </c>
      <c r="I1810" s="1" t="s">
        <v>4373</v>
      </c>
      <c r="J1810" s="1" t="s">
        <v>7073</v>
      </c>
      <c r="K1810" s="1" t="s">
        <v>7074</v>
      </c>
    </row>
    <row r="1811" spans="1:11" ht="21" x14ac:dyDescent="0.25">
      <c r="A1811" s="11" t="str">
        <f>HYPERLINK("https://rth.dk/resources/bsgatlas/details.php?id=BSGatlas-transcript-1810","BSGatlas-transcript-1810")</f>
        <v>BSGatlas-transcript-1810</v>
      </c>
      <c r="B1811" s="1" t="s">
        <v>7072</v>
      </c>
      <c r="C1811" s="3">
        <v>1565849</v>
      </c>
      <c r="D1811" s="3">
        <v>1567462</v>
      </c>
      <c r="E1811" s="1" t="s">
        <v>9</v>
      </c>
      <c r="F1811" s="1">
        <v>1</v>
      </c>
      <c r="G1811" s="1" t="s">
        <v>4372</v>
      </c>
      <c r="H1811" s="1">
        <v>44</v>
      </c>
      <c r="I1811" s="1" t="s">
        <v>4373</v>
      </c>
      <c r="J1811" s="1" t="s">
        <v>7075</v>
      </c>
      <c r="K1811" s="1" t="s">
        <v>7074</v>
      </c>
    </row>
    <row r="1812" spans="1:11" ht="21" x14ac:dyDescent="0.25">
      <c r="A1812" s="11" t="str">
        <f>HYPERLINK("https://rth.dk/resources/bsgatlas/details.php?id=BSGatlas-transcript-1811","BSGatlas-transcript-1811")</f>
        <v>BSGatlas-transcript-1811</v>
      </c>
      <c r="B1812" s="1" t="s">
        <v>1666</v>
      </c>
      <c r="C1812" s="3">
        <v>1566336</v>
      </c>
      <c r="D1812" s="3">
        <v>1567462</v>
      </c>
      <c r="E1812" s="1" t="s">
        <v>9</v>
      </c>
      <c r="F1812" s="1">
        <v>0</v>
      </c>
      <c r="G1812" s="1" t="s">
        <v>4372</v>
      </c>
      <c r="H1812" s="1" t="s">
        <v>4372</v>
      </c>
      <c r="I1812" s="1" t="s">
        <v>4377</v>
      </c>
      <c r="J1812" s="1" t="s">
        <v>7076</v>
      </c>
      <c r="K1812" s="1" t="s">
        <v>7074</v>
      </c>
    </row>
    <row r="1813" spans="1:11" ht="21" x14ac:dyDescent="0.25">
      <c r="A1813" s="11" t="str">
        <f>HYPERLINK("https://rth.dk/resources/bsgatlas/details.php?id=BSGatlas-transcript-1812","BSGatlas-transcript-1812")</f>
        <v>BSGatlas-transcript-1812</v>
      </c>
      <c r="B1813" s="1" t="s">
        <v>7077</v>
      </c>
      <c r="C1813" s="3">
        <v>1567621</v>
      </c>
      <c r="D1813" s="3">
        <v>1568338</v>
      </c>
      <c r="E1813" s="1" t="s">
        <v>9</v>
      </c>
      <c r="F1813" s="1">
        <v>0</v>
      </c>
      <c r="G1813" s="1" t="s">
        <v>4372</v>
      </c>
      <c r="H1813" s="1" t="s">
        <v>4372</v>
      </c>
      <c r="I1813" s="1" t="s">
        <v>4373</v>
      </c>
      <c r="J1813" s="1" t="s">
        <v>7078</v>
      </c>
      <c r="K1813" s="1" t="s">
        <v>7079</v>
      </c>
    </row>
    <row r="1814" spans="1:11" ht="21" x14ac:dyDescent="0.25">
      <c r="A1814" s="11" t="str">
        <f>HYPERLINK("https://rth.dk/resources/bsgatlas/details.php?id=BSGatlas-transcript-1813","BSGatlas-transcript-1813")</f>
        <v>BSGatlas-transcript-1813</v>
      </c>
      <c r="B1814" s="1" t="s">
        <v>1669</v>
      </c>
      <c r="C1814" s="3">
        <v>1567633</v>
      </c>
      <c r="D1814" s="3">
        <v>1569349</v>
      </c>
      <c r="E1814" s="1" t="s">
        <v>13</v>
      </c>
      <c r="F1814" s="1">
        <v>0</v>
      </c>
      <c r="G1814" s="1" t="s">
        <v>4372</v>
      </c>
      <c r="H1814" s="1" t="s">
        <v>4372</v>
      </c>
      <c r="I1814" s="1" t="s">
        <v>4386</v>
      </c>
      <c r="J1814" s="1" t="s">
        <v>7080</v>
      </c>
      <c r="K1814" s="1" t="s">
        <v>7081</v>
      </c>
    </row>
    <row r="1815" spans="1:11" ht="21" x14ac:dyDescent="0.25">
      <c r="A1815" s="11" t="str">
        <f>HYPERLINK("https://rth.dk/resources/bsgatlas/details.php?id=BSGatlas-transcript-1814","BSGatlas-transcript-1814")</f>
        <v>BSGatlas-transcript-1814</v>
      </c>
      <c r="B1815" s="1" t="s">
        <v>1670</v>
      </c>
      <c r="C1815" s="3">
        <v>1568394</v>
      </c>
      <c r="D1815" s="3">
        <v>1568869</v>
      </c>
      <c r="E1815" s="1" t="s">
        <v>9</v>
      </c>
      <c r="F1815" s="1">
        <v>0</v>
      </c>
      <c r="G1815" s="1" t="s">
        <v>4372</v>
      </c>
      <c r="H1815" s="1" t="s">
        <v>4372</v>
      </c>
      <c r="I1815" s="1" t="s">
        <v>4386</v>
      </c>
      <c r="J1815" s="1" t="s">
        <v>7082</v>
      </c>
      <c r="K1815" s="1" t="s">
        <v>7083</v>
      </c>
    </row>
    <row r="1816" spans="1:11" ht="21" x14ac:dyDescent="0.25">
      <c r="A1816" s="11" t="str">
        <f>HYPERLINK("https://rth.dk/resources/bsgatlas/details.php?id=BSGatlas-transcript-1815","BSGatlas-transcript-1815")</f>
        <v>BSGatlas-transcript-1815</v>
      </c>
      <c r="B1816" s="1" t="s">
        <v>7084</v>
      </c>
      <c r="C1816" s="3">
        <v>1568394</v>
      </c>
      <c r="D1816" s="3">
        <v>1570563</v>
      </c>
      <c r="E1816" s="1" t="s">
        <v>9</v>
      </c>
      <c r="F1816" s="1">
        <v>2</v>
      </c>
      <c r="G1816" s="1">
        <v>27</v>
      </c>
      <c r="H1816" s="1" t="s">
        <v>4372</v>
      </c>
      <c r="I1816" s="1" t="s">
        <v>4386</v>
      </c>
      <c r="J1816" s="1" t="s">
        <v>7082</v>
      </c>
      <c r="K1816" s="1" t="s">
        <v>7085</v>
      </c>
    </row>
    <row r="1817" spans="1:11" ht="21" x14ac:dyDescent="0.25">
      <c r="A1817" s="11" t="str">
        <f>HYPERLINK("https://rth.dk/resources/bsgatlas/details.php?id=BSGatlas-transcript-1816","BSGatlas-transcript-1816")</f>
        <v>BSGatlas-transcript-1816</v>
      </c>
      <c r="B1817" s="1" t="s">
        <v>1669</v>
      </c>
      <c r="C1817" s="3">
        <v>1568968</v>
      </c>
      <c r="D1817" s="3">
        <v>1569349</v>
      </c>
      <c r="E1817" s="1" t="s">
        <v>13</v>
      </c>
      <c r="F1817" s="1">
        <v>0</v>
      </c>
      <c r="G1817" s="1" t="s">
        <v>4372</v>
      </c>
      <c r="H1817" s="1" t="s">
        <v>4372</v>
      </c>
      <c r="I1817" s="1" t="s">
        <v>4386</v>
      </c>
      <c r="J1817" s="1" t="s">
        <v>7080</v>
      </c>
      <c r="K1817" s="1" t="s">
        <v>7086</v>
      </c>
    </row>
    <row r="1818" spans="1:11" ht="21" x14ac:dyDescent="0.25">
      <c r="A1818" s="11" t="str">
        <f>HYPERLINK("https://rth.dk/resources/bsgatlas/details.php?id=BSGatlas-transcript-1817","BSGatlas-transcript-1817")</f>
        <v>BSGatlas-transcript-1817</v>
      </c>
      <c r="B1818" s="1" t="s">
        <v>1669</v>
      </c>
      <c r="C1818" s="3">
        <v>1569226</v>
      </c>
      <c r="D1818" s="3">
        <v>1569349</v>
      </c>
      <c r="E1818" s="1" t="s">
        <v>13</v>
      </c>
      <c r="F1818" s="1">
        <v>0</v>
      </c>
      <c r="G1818" s="1" t="s">
        <v>4372</v>
      </c>
      <c r="H1818" s="1" t="s">
        <v>4372</v>
      </c>
      <c r="I1818" s="1" t="s">
        <v>4386</v>
      </c>
      <c r="J1818" s="1" t="s">
        <v>7080</v>
      </c>
      <c r="K1818" s="1" t="s">
        <v>7087</v>
      </c>
    </row>
    <row r="1819" spans="1:11" ht="21" x14ac:dyDescent="0.25">
      <c r="A1819" s="11" t="str">
        <f>HYPERLINK("https://rth.dk/resources/bsgatlas/details.php?id=BSGatlas-transcript-1818","BSGatlas-transcript-1818")</f>
        <v>BSGatlas-transcript-1818</v>
      </c>
      <c r="B1819" s="1" t="s">
        <v>7088</v>
      </c>
      <c r="C1819" s="3">
        <v>1569427</v>
      </c>
      <c r="D1819" s="3">
        <v>1570563</v>
      </c>
      <c r="E1819" s="1" t="s">
        <v>9</v>
      </c>
      <c r="F1819" s="1">
        <v>0</v>
      </c>
      <c r="G1819" s="1" t="s">
        <v>4372</v>
      </c>
      <c r="H1819" s="1" t="s">
        <v>4372</v>
      </c>
      <c r="I1819" s="1" t="s">
        <v>4386</v>
      </c>
      <c r="J1819" s="1" t="s">
        <v>7089</v>
      </c>
      <c r="K1819" s="1" t="s">
        <v>7085</v>
      </c>
    </row>
    <row r="1820" spans="1:11" ht="21" x14ac:dyDescent="0.25">
      <c r="A1820" s="11" t="str">
        <f>HYPERLINK("https://rth.dk/resources/bsgatlas/details.php?id=BSGatlas-transcript-1819","BSGatlas-transcript-1819")</f>
        <v>BSGatlas-transcript-1819</v>
      </c>
      <c r="B1820" s="1" t="s">
        <v>1675</v>
      </c>
      <c r="C1820" s="3">
        <v>1570543</v>
      </c>
      <c r="D1820" s="3">
        <v>1571901</v>
      </c>
      <c r="E1820" s="1" t="s">
        <v>13</v>
      </c>
      <c r="F1820" s="1">
        <v>0</v>
      </c>
      <c r="G1820" s="1" t="s">
        <v>4372</v>
      </c>
      <c r="H1820" s="1" t="s">
        <v>4372</v>
      </c>
      <c r="I1820" s="1" t="s">
        <v>4373</v>
      </c>
      <c r="J1820" s="1" t="s">
        <v>7090</v>
      </c>
      <c r="K1820" s="1" t="s">
        <v>7091</v>
      </c>
    </row>
    <row r="1821" spans="1:11" ht="21" x14ac:dyDescent="0.25">
      <c r="A1821" s="11" t="str">
        <f>HYPERLINK("https://rth.dk/resources/bsgatlas/details.php?id=BSGatlas-transcript-1820","BSGatlas-transcript-1820")</f>
        <v>BSGatlas-transcript-1820</v>
      </c>
      <c r="B1821" s="1" t="s">
        <v>7092</v>
      </c>
      <c r="C1821" s="3">
        <v>1571851</v>
      </c>
      <c r="D1821" s="3">
        <v>1573790</v>
      </c>
      <c r="E1821" s="1" t="s">
        <v>9</v>
      </c>
      <c r="F1821" s="1">
        <v>0</v>
      </c>
      <c r="G1821" s="1" t="s">
        <v>4372</v>
      </c>
      <c r="H1821" s="1" t="s">
        <v>4372</v>
      </c>
      <c r="I1821" s="1" t="s">
        <v>4386</v>
      </c>
      <c r="J1821" s="1" t="s">
        <v>7093</v>
      </c>
      <c r="K1821" s="1" t="s">
        <v>7094</v>
      </c>
    </row>
    <row r="1822" spans="1:11" ht="21" x14ac:dyDescent="0.25">
      <c r="A1822" s="11" t="str">
        <f>HYPERLINK("https://rth.dk/resources/bsgatlas/details.php?id=BSGatlas-transcript-1821","BSGatlas-transcript-1821")</f>
        <v>BSGatlas-transcript-1821</v>
      </c>
      <c r="B1822" s="1" t="s">
        <v>1677</v>
      </c>
      <c r="C1822" s="3">
        <v>1572574</v>
      </c>
      <c r="D1822" s="3">
        <v>1573790</v>
      </c>
      <c r="E1822" s="1" t="s">
        <v>9</v>
      </c>
      <c r="F1822" s="1">
        <v>0</v>
      </c>
      <c r="G1822" s="1" t="s">
        <v>4372</v>
      </c>
      <c r="H1822" s="1" t="s">
        <v>4372</v>
      </c>
      <c r="I1822" s="1" t="s">
        <v>4386</v>
      </c>
      <c r="J1822" s="1" t="s">
        <v>7095</v>
      </c>
      <c r="K1822" s="1" t="s">
        <v>7094</v>
      </c>
    </row>
    <row r="1823" spans="1:11" ht="21" x14ac:dyDescent="0.25">
      <c r="A1823" s="11" t="str">
        <f>HYPERLINK("https://rth.dk/resources/bsgatlas/details.php?id=BSGatlas-transcript-1822","BSGatlas-transcript-1822")</f>
        <v>BSGatlas-transcript-1822</v>
      </c>
      <c r="B1823" s="1" t="s">
        <v>1678</v>
      </c>
      <c r="C1823" s="3">
        <v>1573807</v>
      </c>
      <c r="D1823" s="3">
        <v>1575137</v>
      </c>
      <c r="E1823" s="1" t="s">
        <v>13</v>
      </c>
      <c r="F1823" s="1">
        <v>0</v>
      </c>
      <c r="G1823" s="1" t="s">
        <v>4372</v>
      </c>
      <c r="H1823" s="1" t="s">
        <v>4372</v>
      </c>
      <c r="I1823" s="1" t="s">
        <v>4377</v>
      </c>
      <c r="J1823" s="1" t="s">
        <v>7096</v>
      </c>
      <c r="K1823" s="1" t="s">
        <v>7097</v>
      </c>
    </row>
    <row r="1824" spans="1:11" ht="21" x14ac:dyDescent="0.25">
      <c r="A1824" s="11" t="str">
        <f>HYPERLINK("https://rth.dk/resources/bsgatlas/details.php?id=BSGatlas-transcript-1823","BSGatlas-transcript-1823")</f>
        <v>BSGatlas-transcript-1823</v>
      </c>
      <c r="B1824" s="1" t="s">
        <v>7098</v>
      </c>
      <c r="C1824" s="3">
        <v>1573807</v>
      </c>
      <c r="D1824" s="3">
        <v>1576006</v>
      </c>
      <c r="E1824" s="1" t="s">
        <v>13</v>
      </c>
      <c r="F1824" s="1">
        <v>0</v>
      </c>
      <c r="G1824" s="1" t="s">
        <v>4372</v>
      </c>
      <c r="H1824" s="1" t="s">
        <v>4372</v>
      </c>
      <c r="I1824" s="1" t="s">
        <v>4386</v>
      </c>
      <c r="J1824" s="1" t="s">
        <v>7099</v>
      </c>
      <c r="K1824" s="1" t="s">
        <v>7097</v>
      </c>
    </row>
    <row r="1825" spans="1:11" ht="21" x14ac:dyDescent="0.25">
      <c r="A1825" s="11" t="str">
        <f>HYPERLINK("https://rth.dk/resources/bsgatlas/details.php?id=BSGatlas-transcript-1824","BSGatlas-transcript-1824")</f>
        <v>BSGatlas-transcript-1824</v>
      </c>
      <c r="B1825" s="1" t="s">
        <v>7100</v>
      </c>
      <c r="C1825" s="3">
        <v>1574995</v>
      </c>
      <c r="D1825" s="3">
        <v>1575983</v>
      </c>
      <c r="E1825" s="1" t="s">
        <v>9</v>
      </c>
      <c r="F1825" s="1">
        <v>1</v>
      </c>
      <c r="G1825" s="1">
        <v>270</v>
      </c>
      <c r="H1825" s="1" t="s">
        <v>4372</v>
      </c>
      <c r="I1825" s="1" t="s">
        <v>4386</v>
      </c>
      <c r="J1825" s="1" t="s">
        <v>7101</v>
      </c>
      <c r="K1825" s="1" t="s">
        <v>7102</v>
      </c>
    </row>
    <row r="1826" spans="1:11" ht="21" x14ac:dyDescent="0.25">
      <c r="A1826" s="11" t="str">
        <f>HYPERLINK("https://rth.dk/resources/bsgatlas/details.php?id=BSGatlas-transcript-1825","BSGatlas-transcript-1825")</f>
        <v>BSGatlas-transcript-1825</v>
      </c>
      <c r="B1826" s="1" t="s">
        <v>7100</v>
      </c>
      <c r="C1826" s="3">
        <v>1575098</v>
      </c>
      <c r="D1826" s="3">
        <v>1575983</v>
      </c>
      <c r="E1826" s="1" t="s">
        <v>9</v>
      </c>
      <c r="F1826" s="1">
        <v>1</v>
      </c>
      <c r="G1826" s="1">
        <v>167</v>
      </c>
      <c r="H1826" s="1" t="s">
        <v>4372</v>
      </c>
      <c r="I1826" s="1" t="s">
        <v>4386</v>
      </c>
      <c r="J1826" s="1" t="s">
        <v>7103</v>
      </c>
      <c r="K1826" s="1" t="s">
        <v>7102</v>
      </c>
    </row>
    <row r="1827" spans="1:11" ht="21" x14ac:dyDescent="0.25">
      <c r="A1827" s="11" t="str">
        <f>HYPERLINK("https://rth.dk/resources/bsgatlas/details.php?id=BSGatlas-transcript-1826","BSGatlas-transcript-1826")</f>
        <v>BSGatlas-transcript-1826</v>
      </c>
      <c r="B1827" s="1" t="s">
        <v>7100</v>
      </c>
      <c r="C1827" s="3">
        <v>1575235</v>
      </c>
      <c r="D1827" s="3">
        <v>1575983</v>
      </c>
      <c r="E1827" s="1" t="s">
        <v>9</v>
      </c>
      <c r="F1827" s="1">
        <v>1</v>
      </c>
      <c r="G1827" s="1">
        <v>30</v>
      </c>
      <c r="H1827" s="1" t="s">
        <v>4372</v>
      </c>
      <c r="I1827" s="1" t="s">
        <v>4386</v>
      </c>
      <c r="J1827" s="1" t="s">
        <v>7104</v>
      </c>
      <c r="K1827" s="1" t="s">
        <v>7102</v>
      </c>
    </row>
    <row r="1828" spans="1:11" ht="21" x14ac:dyDescent="0.25">
      <c r="A1828" s="11" t="str">
        <f>HYPERLINK("https://rth.dk/resources/bsgatlas/details.php?id=BSGatlas-transcript-1827","BSGatlas-transcript-1827")</f>
        <v>BSGatlas-transcript-1827</v>
      </c>
      <c r="B1828" s="1" t="s">
        <v>1682</v>
      </c>
      <c r="C1828" s="3">
        <v>1576086</v>
      </c>
      <c r="D1828" s="3">
        <v>1576772</v>
      </c>
      <c r="E1828" s="1" t="s">
        <v>9</v>
      </c>
      <c r="F1828" s="1">
        <v>0</v>
      </c>
      <c r="G1828" s="1" t="s">
        <v>4372</v>
      </c>
      <c r="H1828" s="1" t="s">
        <v>4372</v>
      </c>
      <c r="I1828" s="1" t="s">
        <v>4373</v>
      </c>
      <c r="J1828" s="1" t="s">
        <v>7105</v>
      </c>
      <c r="K1828" s="1" t="s">
        <v>7106</v>
      </c>
    </row>
    <row r="1829" spans="1:11" ht="21" x14ac:dyDescent="0.25">
      <c r="A1829" s="11" t="str">
        <f>HYPERLINK("https://rth.dk/resources/bsgatlas/details.php?id=BSGatlas-transcript-1828","BSGatlas-transcript-1828")</f>
        <v>BSGatlas-transcript-1828</v>
      </c>
      <c r="B1829" s="1" t="s">
        <v>1682</v>
      </c>
      <c r="C1829" s="3">
        <v>1576086</v>
      </c>
      <c r="D1829" s="3">
        <v>1577261</v>
      </c>
      <c r="E1829" s="1" t="s">
        <v>9</v>
      </c>
      <c r="F1829" s="1">
        <v>0</v>
      </c>
      <c r="G1829" s="1" t="s">
        <v>4372</v>
      </c>
      <c r="H1829" s="1" t="s">
        <v>4372</v>
      </c>
      <c r="I1829" s="1" t="s">
        <v>4373</v>
      </c>
      <c r="J1829" s="1" t="s">
        <v>7105</v>
      </c>
      <c r="K1829" s="1" t="s">
        <v>7107</v>
      </c>
    </row>
    <row r="1830" spans="1:11" ht="21" x14ac:dyDescent="0.25">
      <c r="A1830" s="11" t="str">
        <f>HYPERLINK("https://rth.dk/resources/bsgatlas/details.php?id=BSGatlas-transcript-1829","BSGatlas-transcript-1829")</f>
        <v>BSGatlas-transcript-1829</v>
      </c>
      <c r="B1830" s="1" t="s">
        <v>1683</v>
      </c>
      <c r="C1830" s="3">
        <v>1576767</v>
      </c>
      <c r="D1830" s="3">
        <v>1577291</v>
      </c>
      <c r="E1830" s="1" t="s">
        <v>13</v>
      </c>
      <c r="F1830" s="1">
        <v>0</v>
      </c>
      <c r="G1830" s="1" t="s">
        <v>4372</v>
      </c>
      <c r="H1830" s="1" t="s">
        <v>4372</v>
      </c>
      <c r="I1830" s="1" t="s">
        <v>4397</v>
      </c>
      <c r="J1830" s="1" t="s">
        <v>7108</v>
      </c>
      <c r="K1830" s="1" t="s">
        <v>7109</v>
      </c>
    </row>
    <row r="1831" spans="1:11" ht="21" x14ac:dyDescent="0.25">
      <c r="A1831" s="11" t="str">
        <f>HYPERLINK("https://rth.dk/resources/bsgatlas/details.php?id=BSGatlas-transcript-1830","BSGatlas-transcript-1830")</f>
        <v>BSGatlas-transcript-1830</v>
      </c>
      <c r="B1831" s="1" t="s">
        <v>7110</v>
      </c>
      <c r="C1831" s="3">
        <v>1577385</v>
      </c>
      <c r="D1831" s="3">
        <v>1579995</v>
      </c>
      <c r="E1831" s="1" t="s">
        <v>9</v>
      </c>
      <c r="F1831" s="1">
        <v>1</v>
      </c>
      <c r="G1831" s="1">
        <v>25</v>
      </c>
      <c r="H1831" s="1" t="s">
        <v>4372</v>
      </c>
      <c r="I1831" s="1" t="s">
        <v>4397</v>
      </c>
      <c r="J1831" s="1" t="s">
        <v>7111</v>
      </c>
      <c r="K1831" s="1" t="s">
        <v>7112</v>
      </c>
    </row>
    <row r="1832" spans="1:11" ht="21" x14ac:dyDescent="0.25">
      <c r="A1832" s="11" t="str">
        <f>HYPERLINK("https://rth.dk/resources/bsgatlas/details.php?id=BSGatlas-transcript-1831","BSGatlas-transcript-1831")</f>
        <v>BSGatlas-transcript-1831</v>
      </c>
      <c r="B1832" s="1" t="s">
        <v>7110</v>
      </c>
      <c r="C1832" s="3">
        <v>1577385</v>
      </c>
      <c r="D1832" s="3">
        <v>1580030</v>
      </c>
      <c r="E1832" s="1" t="s">
        <v>9</v>
      </c>
      <c r="F1832" s="1">
        <v>1</v>
      </c>
      <c r="G1832" s="1">
        <v>25</v>
      </c>
      <c r="H1832" s="1">
        <v>36</v>
      </c>
      <c r="I1832" s="1" t="s">
        <v>4397</v>
      </c>
      <c r="J1832" s="1" t="s">
        <v>7111</v>
      </c>
      <c r="K1832" s="1" t="s">
        <v>7113</v>
      </c>
    </row>
    <row r="1833" spans="1:11" ht="21" x14ac:dyDescent="0.25">
      <c r="A1833" s="11" t="str">
        <f>HYPERLINK("https://rth.dk/resources/bsgatlas/details.php?id=BSGatlas-transcript-1832","BSGatlas-transcript-1832")</f>
        <v>BSGatlas-transcript-1832</v>
      </c>
      <c r="B1833" s="1" t="s">
        <v>1684</v>
      </c>
      <c r="C1833" s="3">
        <v>1578337</v>
      </c>
      <c r="D1833" s="3">
        <v>1579995</v>
      </c>
      <c r="E1833" s="1" t="s">
        <v>9</v>
      </c>
      <c r="F1833" s="1">
        <v>0</v>
      </c>
      <c r="G1833" s="1" t="s">
        <v>4372</v>
      </c>
      <c r="H1833" s="1" t="s">
        <v>4372</v>
      </c>
      <c r="I1833" s="1" t="s">
        <v>4382</v>
      </c>
      <c r="J1833" s="1" t="s">
        <v>7114</v>
      </c>
      <c r="K1833" s="1" t="s">
        <v>7112</v>
      </c>
    </row>
    <row r="1834" spans="1:11" ht="21" x14ac:dyDescent="0.25">
      <c r="A1834" s="11" t="str">
        <f>HYPERLINK("https://rth.dk/resources/bsgatlas/details.php?id=BSGatlas-transcript-1833","BSGatlas-transcript-1833")</f>
        <v>BSGatlas-transcript-1833</v>
      </c>
      <c r="B1834" s="1" t="s">
        <v>1684</v>
      </c>
      <c r="C1834" s="3">
        <v>1578337</v>
      </c>
      <c r="D1834" s="3">
        <v>1580030</v>
      </c>
      <c r="E1834" s="1" t="s">
        <v>9</v>
      </c>
      <c r="F1834" s="1">
        <v>0</v>
      </c>
      <c r="G1834" s="1" t="s">
        <v>4372</v>
      </c>
      <c r="H1834" s="1" t="s">
        <v>4372</v>
      </c>
      <c r="I1834" s="1" t="s">
        <v>4382</v>
      </c>
      <c r="J1834" s="1" t="s">
        <v>7114</v>
      </c>
      <c r="K1834" s="1" t="s">
        <v>7113</v>
      </c>
    </row>
    <row r="1835" spans="1:11" ht="21" x14ac:dyDescent="0.25">
      <c r="A1835" s="11" t="str">
        <f>HYPERLINK("https://rth.dk/resources/bsgatlas/details.php?id=BSGatlas-transcript-1834","BSGatlas-transcript-1834")</f>
        <v>BSGatlas-transcript-1834</v>
      </c>
      <c r="B1835" s="1" t="s">
        <v>7115</v>
      </c>
      <c r="C1835" s="3">
        <v>1580047</v>
      </c>
      <c r="D1835" s="3">
        <v>1584140</v>
      </c>
      <c r="E1835" s="1" t="s">
        <v>9</v>
      </c>
      <c r="F1835" s="1">
        <v>2</v>
      </c>
      <c r="G1835" s="1">
        <v>75</v>
      </c>
      <c r="H1835" s="1">
        <v>44</v>
      </c>
      <c r="I1835" s="1" t="s">
        <v>4373</v>
      </c>
      <c r="J1835" s="1" t="s">
        <v>7116</v>
      </c>
      <c r="K1835" s="1" t="s">
        <v>7117</v>
      </c>
    </row>
    <row r="1836" spans="1:11" ht="21" x14ac:dyDescent="0.25">
      <c r="A1836" s="11" t="str">
        <f>HYPERLINK("https://rth.dk/resources/bsgatlas/details.php?id=BSGatlas-transcript-1835","BSGatlas-transcript-1835")</f>
        <v>BSGatlas-transcript-1835</v>
      </c>
      <c r="B1836" s="1" t="s">
        <v>1689</v>
      </c>
      <c r="C1836" s="3">
        <v>1580082</v>
      </c>
      <c r="D1836" s="3">
        <v>1582676</v>
      </c>
      <c r="E1836" s="1" t="s">
        <v>13</v>
      </c>
      <c r="F1836" s="1">
        <v>0</v>
      </c>
      <c r="G1836" s="1" t="s">
        <v>4372</v>
      </c>
      <c r="H1836" s="1" t="s">
        <v>4372</v>
      </c>
      <c r="I1836" s="1" t="s">
        <v>4377</v>
      </c>
      <c r="J1836" s="1" t="s">
        <v>7118</v>
      </c>
      <c r="K1836" s="1" t="s">
        <v>7119</v>
      </c>
    </row>
    <row r="1837" spans="1:11" ht="21" x14ac:dyDescent="0.25">
      <c r="A1837" s="11" t="str">
        <f>HYPERLINK("https://rth.dk/resources/bsgatlas/details.php?id=BSGatlas-transcript-1836","BSGatlas-transcript-1836")</f>
        <v>BSGatlas-transcript-1836</v>
      </c>
      <c r="B1837" s="1" t="s">
        <v>1690</v>
      </c>
      <c r="C1837" s="3">
        <v>1584186</v>
      </c>
      <c r="D1837" s="3">
        <v>1586182</v>
      </c>
      <c r="E1837" s="1" t="s">
        <v>9</v>
      </c>
      <c r="F1837" s="1">
        <v>0</v>
      </c>
      <c r="G1837" s="1" t="s">
        <v>4372</v>
      </c>
      <c r="H1837" s="1" t="s">
        <v>4372</v>
      </c>
      <c r="I1837" s="1" t="s">
        <v>4373</v>
      </c>
      <c r="J1837" s="1" t="s">
        <v>7120</v>
      </c>
      <c r="K1837" s="1" t="s">
        <v>7121</v>
      </c>
    </row>
    <row r="1838" spans="1:11" ht="21" x14ac:dyDescent="0.25">
      <c r="A1838" s="11" t="str">
        <f>HYPERLINK("https://rth.dk/resources/bsgatlas/details.php?id=BSGatlas-transcript-1837","BSGatlas-transcript-1837")</f>
        <v>BSGatlas-transcript-1837</v>
      </c>
      <c r="B1838" s="1" t="s">
        <v>7122</v>
      </c>
      <c r="C1838" s="3">
        <v>1585977</v>
      </c>
      <c r="D1838" s="3">
        <v>1591516</v>
      </c>
      <c r="E1838" s="1" t="s">
        <v>9</v>
      </c>
      <c r="F1838" s="1">
        <v>2</v>
      </c>
      <c r="G1838" s="1">
        <v>354</v>
      </c>
      <c r="H1838" s="1">
        <v>100</v>
      </c>
      <c r="I1838" s="1" t="s">
        <v>4377</v>
      </c>
      <c r="J1838" s="1" t="s">
        <v>7123</v>
      </c>
      <c r="K1838" s="1" t="s">
        <v>7124</v>
      </c>
    </row>
    <row r="1839" spans="1:11" ht="21" x14ac:dyDescent="0.25">
      <c r="A1839" s="11" t="str">
        <f>HYPERLINK("https://rth.dk/resources/bsgatlas/details.php?id=BSGatlas-transcript-1838","BSGatlas-transcript-1838")</f>
        <v>BSGatlas-transcript-1838</v>
      </c>
      <c r="B1839" s="1" t="s">
        <v>7125</v>
      </c>
      <c r="C1839" s="3">
        <v>1585977</v>
      </c>
      <c r="D1839" s="3">
        <v>1593614</v>
      </c>
      <c r="E1839" s="1" t="s">
        <v>9</v>
      </c>
      <c r="F1839" s="1">
        <v>4</v>
      </c>
      <c r="G1839" s="1">
        <v>354</v>
      </c>
      <c r="H1839" s="1">
        <v>41</v>
      </c>
      <c r="I1839" s="1" t="s">
        <v>4377</v>
      </c>
      <c r="J1839" s="1" t="s">
        <v>7123</v>
      </c>
      <c r="K1839" s="1" t="s">
        <v>7126</v>
      </c>
    </row>
    <row r="1840" spans="1:11" ht="21" x14ac:dyDescent="0.25">
      <c r="A1840" s="11" t="str">
        <f>HYPERLINK("https://rth.dk/resources/bsgatlas/details.php?id=BSGatlas-transcript-1839","BSGatlas-transcript-1839")</f>
        <v>BSGatlas-transcript-1839</v>
      </c>
      <c r="B1840" s="1" t="s">
        <v>7127</v>
      </c>
      <c r="C1840" s="3">
        <v>1585977</v>
      </c>
      <c r="D1840" s="3">
        <v>1596300</v>
      </c>
      <c r="E1840" s="1" t="s">
        <v>9</v>
      </c>
      <c r="F1840" s="1">
        <v>7</v>
      </c>
      <c r="G1840" s="1">
        <v>354</v>
      </c>
      <c r="H1840" s="1" t="s">
        <v>4372</v>
      </c>
      <c r="I1840" s="1" t="s">
        <v>4373</v>
      </c>
      <c r="J1840" s="1" t="s">
        <v>7123</v>
      </c>
      <c r="K1840" s="1" t="s">
        <v>318</v>
      </c>
    </row>
    <row r="1841" spans="1:11" ht="21" x14ac:dyDescent="0.25">
      <c r="A1841" s="11" t="str">
        <f>HYPERLINK("https://rth.dk/resources/bsgatlas/details.php?id=BSGatlas-transcript-1840","BSGatlas-transcript-1840")</f>
        <v>BSGatlas-transcript-1840</v>
      </c>
      <c r="B1841" s="1" t="s">
        <v>7122</v>
      </c>
      <c r="C1841" s="3">
        <v>1586241</v>
      </c>
      <c r="D1841" s="3">
        <v>1591516</v>
      </c>
      <c r="E1841" s="1" t="s">
        <v>9</v>
      </c>
      <c r="F1841" s="1">
        <v>2</v>
      </c>
      <c r="G1841" s="1">
        <v>90</v>
      </c>
      <c r="H1841" s="1">
        <v>100</v>
      </c>
      <c r="I1841" s="1" t="s">
        <v>4377</v>
      </c>
      <c r="J1841" s="1" t="s">
        <v>7128</v>
      </c>
      <c r="K1841" s="1" t="s">
        <v>7124</v>
      </c>
    </row>
    <row r="1842" spans="1:11" ht="21" x14ac:dyDescent="0.25">
      <c r="A1842" s="11" t="str">
        <f>HYPERLINK("https://rth.dk/resources/bsgatlas/details.php?id=BSGatlas-transcript-1841","BSGatlas-transcript-1841")</f>
        <v>BSGatlas-transcript-1841</v>
      </c>
      <c r="B1842" s="1" t="s">
        <v>7125</v>
      </c>
      <c r="C1842" s="3">
        <v>1586241</v>
      </c>
      <c r="D1842" s="3">
        <v>1593614</v>
      </c>
      <c r="E1842" s="1" t="s">
        <v>9</v>
      </c>
      <c r="F1842" s="1">
        <v>4</v>
      </c>
      <c r="G1842" s="1">
        <v>90</v>
      </c>
      <c r="H1842" s="1">
        <v>41</v>
      </c>
      <c r="I1842" s="1" t="s">
        <v>4377</v>
      </c>
      <c r="J1842" s="1" t="s">
        <v>7128</v>
      </c>
      <c r="K1842" s="1" t="s">
        <v>7126</v>
      </c>
    </row>
    <row r="1843" spans="1:11" ht="21" x14ac:dyDescent="0.25">
      <c r="A1843" s="11" t="str">
        <f>HYPERLINK("https://rth.dk/resources/bsgatlas/details.php?id=BSGatlas-transcript-1842","BSGatlas-transcript-1842")</f>
        <v>BSGatlas-transcript-1842</v>
      </c>
      <c r="B1843" s="1" t="s">
        <v>7127</v>
      </c>
      <c r="C1843" s="3">
        <v>1586241</v>
      </c>
      <c r="D1843" s="3">
        <v>1596300</v>
      </c>
      <c r="E1843" s="1" t="s">
        <v>9</v>
      </c>
      <c r="F1843" s="1">
        <v>7</v>
      </c>
      <c r="G1843" s="1">
        <v>90</v>
      </c>
      <c r="H1843" s="1" t="s">
        <v>4372</v>
      </c>
      <c r="I1843" s="1" t="s">
        <v>4373</v>
      </c>
      <c r="J1843" s="1" t="s">
        <v>7128</v>
      </c>
      <c r="K1843" s="1" t="s">
        <v>318</v>
      </c>
    </row>
    <row r="1844" spans="1:11" ht="21" x14ac:dyDescent="0.25">
      <c r="A1844" s="11" t="str">
        <f>HYPERLINK("https://rth.dk/resources/bsgatlas/details.php?id=BSGatlas-transcript-1843","BSGatlas-transcript-1843")</f>
        <v>BSGatlas-transcript-1843</v>
      </c>
      <c r="B1844" s="1" t="s">
        <v>1694</v>
      </c>
      <c r="C1844" s="3">
        <v>1590117</v>
      </c>
      <c r="D1844" s="3">
        <v>1591516</v>
      </c>
      <c r="E1844" s="1" t="s">
        <v>9</v>
      </c>
      <c r="F1844" s="1">
        <v>0</v>
      </c>
      <c r="G1844" s="1" t="s">
        <v>4372</v>
      </c>
      <c r="H1844" s="1" t="s">
        <v>4372</v>
      </c>
      <c r="I1844" s="1" t="s">
        <v>4386</v>
      </c>
      <c r="J1844" s="1" t="s">
        <v>7129</v>
      </c>
      <c r="K1844" s="1" t="s">
        <v>7124</v>
      </c>
    </row>
    <row r="1845" spans="1:11" ht="21" x14ac:dyDescent="0.25">
      <c r="A1845" s="11" t="str">
        <f>HYPERLINK("https://rth.dk/resources/bsgatlas/details.php?id=BSGatlas-transcript-1844","BSGatlas-transcript-1844")</f>
        <v>BSGatlas-transcript-1844</v>
      </c>
      <c r="B1845" s="1" t="s">
        <v>7130</v>
      </c>
      <c r="C1845" s="3">
        <v>1590117</v>
      </c>
      <c r="D1845" s="3">
        <v>1593614</v>
      </c>
      <c r="E1845" s="1" t="s">
        <v>9</v>
      </c>
      <c r="F1845" s="1">
        <v>2</v>
      </c>
      <c r="G1845" s="1">
        <v>201</v>
      </c>
      <c r="H1845" s="1">
        <v>41</v>
      </c>
      <c r="I1845" s="1" t="s">
        <v>4377</v>
      </c>
      <c r="J1845" s="1" t="s">
        <v>7129</v>
      </c>
      <c r="K1845" s="1" t="s">
        <v>7126</v>
      </c>
    </row>
    <row r="1846" spans="1:11" ht="21" x14ac:dyDescent="0.25">
      <c r="A1846" s="11" t="str">
        <f>HYPERLINK("https://rth.dk/resources/bsgatlas/details.php?id=BSGatlas-transcript-1845","BSGatlas-transcript-1845")</f>
        <v>BSGatlas-transcript-1845</v>
      </c>
      <c r="B1846" s="1" t="s">
        <v>7131</v>
      </c>
      <c r="C1846" s="3">
        <v>1590117</v>
      </c>
      <c r="D1846" s="3">
        <v>1596300</v>
      </c>
      <c r="E1846" s="1" t="s">
        <v>9</v>
      </c>
      <c r="F1846" s="1">
        <v>5</v>
      </c>
      <c r="G1846" s="1">
        <v>201</v>
      </c>
      <c r="H1846" s="1" t="s">
        <v>4372</v>
      </c>
      <c r="I1846" s="1" t="s">
        <v>4386</v>
      </c>
      <c r="J1846" s="1" t="s">
        <v>7129</v>
      </c>
      <c r="K1846" s="1" t="s">
        <v>318</v>
      </c>
    </row>
    <row r="1847" spans="1:11" ht="21" x14ac:dyDescent="0.25">
      <c r="A1847" s="11" t="str">
        <f>HYPERLINK("https://rth.dk/resources/bsgatlas/details.php?id=BSGatlas-transcript-1846","BSGatlas-transcript-1846")</f>
        <v>BSGatlas-transcript-1846</v>
      </c>
      <c r="B1847" s="1" t="s">
        <v>1694</v>
      </c>
      <c r="C1847" s="3">
        <v>1590255</v>
      </c>
      <c r="D1847" s="3">
        <v>1591516</v>
      </c>
      <c r="E1847" s="1" t="s">
        <v>9</v>
      </c>
      <c r="F1847" s="1">
        <v>0</v>
      </c>
      <c r="G1847" s="1" t="s">
        <v>4372</v>
      </c>
      <c r="H1847" s="1" t="s">
        <v>4372</v>
      </c>
      <c r="I1847" s="1" t="s">
        <v>4386</v>
      </c>
      <c r="J1847" s="1" t="s">
        <v>7132</v>
      </c>
      <c r="K1847" s="1" t="s">
        <v>7124</v>
      </c>
    </row>
    <row r="1848" spans="1:11" ht="21" x14ac:dyDescent="0.25">
      <c r="A1848" s="11" t="str">
        <f>HYPERLINK("https://rth.dk/resources/bsgatlas/details.php?id=BSGatlas-transcript-1847","BSGatlas-transcript-1847")</f>
        <v>BSGatlas-transcript-1847</v>
      </c>
      <c r="B1848" s="1" t="s">
        <v>7130</v>
      </c>
      <c r="C1848" s="3">
        <v>1590255</v>
      </c>
      <c r="D1848" s="3">
        <v>1593614</v>
      </c>
      <c r="E1848" s="1" t="s">
        <v>9</v>
      </c>
      <c r="F1848" s="1">
        <v>2</v>
      </c>
      <c r="G1848" s="1">
        <v>63</v>
      </c>
      <c r="H1848" s="1">
        <v>41</v>
      </c>
      <c r="I1848" s="1" t="s">
        <v>4377</v>
      </c>
      <c r="J1848" s="1" t="s">
        <v>7132</v>
      </c>
      <c r="K1848" s="1" t="s">
        <v>7126</v>
      </c>
    </row>
    <row r="1849" spans="1:11" ht="21" x14ac:dyDescent="0.25">
      <c r="A1849" s="11" t="str">
        <f>HYPERLINK("https://rth.dk/resources/bsgatlas/details.php?id=BSGatlas-transcript-1848","BSGatlas-transcript-1848")</f>
        <v>BSGatlas-transcript-1848</v>
      </c>
      <c r="B1849" s="1" t="s">
        <v>7131</v>
      </c>
      <c r="C1849" s="3">
        <v>1590255</v>
      </c>
      <c r="D1849" s="3">
        <v>1596300</v>
      </c>
      <c r="E1849" s="1" t="s">
        <v>9</v>
      </c>
      <c r="F1849" s="1">
        <v>5</v>
      </c>
      <c r="G1849" s="1">
        <v>63</v>
      </c>
      <c r="H1849" s="1" t="s">
        <v>4372</v>
      </c>
      <c r="I1849" s="1" t="s">
        <v>4386</v>
      </c>
      <c r="J1849" s="1" t="s">
        <v>7132</v>
      </c>
      <c r="K1849" s="1" t="s">
        <v>318</v>
      </c>
    </row>
    <row r="1850" spans="1:11" ht="21" x14ac:dyDescent="0.25">
      <c r="A1850" s="11" t="str">
        <f>HYPERLINK("https://rth.dk/resources/bsgatlas/details.php?id=BSGatlas-transcript-1849","BSGatlas-transcript-1849")</f>
        <v>BSGatlas-transcript-1849</v>
      </c>
      <c r="B1850" s="1" t="s">
        <v>7133</v>
      </c>
      <c r="C1850" s="3">
        <v>1591540</v>
      </c>
      <c r="D1850" s="3">
        <v>1593614</v>
      </c>
      <c r="E1850" s="1" t="s">
        <v>9</v>
      </c>
      <c r="F1850" s="1">
        <v>1</v>
      </c>
      <c r="G1850" s="1" t="s">
        <v>4372</v>
      </c>
      <c r="H1850" s="1">
        <v>41</v>
      </c>
      <c r="I1850" s="1" t="s">
        <v>4377</v>
      </c>
      <c r="J1850" s="1" t="s">
        <v>7134</v>
      </c>
      <c r="K1850" s="1" t="s">
        <v>7126</v>
      </c>
    </row>
    <row r="1851" spans="1:11" ht="21" x14ac:dyDescent="0.25">
      <c r="A1851" s="11" t="str">
        <f>HYPERLINK("https://rth.dk/resources/bsgatlas/details.php?id=BSGatlas-transcript-1850","BSGatlas-transcript-1850")</f>
        <v>BSGatlas-transcript-1850</v>
      </c>
      <c r="B1851" s="1" t="s">
        <v>7135</v>
      </c>
      <c r="C1851" s="3">
        <v>1591540</v>
      </c>
      <c r="D1851" s="3">
        <v>1596300</v>
      </c>
      <c r="E1851" s="1" t="s">
        <v>9</v>
      </c>
      <c r="F1851" s="1">
        <v>4</v>
      </c>
      <c r="G1851" s="1" t="s">
        <v>4372</v>
      </c>
      <c r="H1851" s="1" t="s">
        <v>4372</v>
      </c>
      <c r="I1851" s="1" t="s">
        <v>4386</v>
      </c>
      <c r="J1851" s="1" t="s">
        <v>7134</v>
      </c>
      <c r="K1851" s="1" t="s">
        <v>318</v>
      </c>
    </row>
    <row r="1852" spans="1:11" ht="21" x14ac:dyDescent="0.25">
      <c r="A1852" s="11" t="str">
        <f>HYPERLINK("https://rth.dk/resources/bsgatlas/details.php?id=BSGatlas-transcript-1851","BSGatlas-transcript-1851")</f>
        <v>BSGatlas-transcript-1851</v>
      </c>
      <c r="B1852" s="1" t="s">
        <v>1696</v>
      </c>
      <c r="C1852" s="3">
        <v>1592113</v>
      </c>
      <c r="D1852" s="3">
        <v>1593614</v>
      </c>
      <c r="E1852" s="1" t="s">
        <v>9</v>
      </c>
      <c r="F1852" s="1">
        <v>0</v>
      </c>
      <c r="G1852" s="1" t="s">
        <v>4372</v>
      </c>
      <c r="H1852" s="1" t="s">
        <v>4372</v>
      </c>
      <c r="I1852" s="1" t="s">
        <v>4377</v>
      </c>
      <c r="J1852" s="1" t="s">
        <v>7136</v>
      </c>
      <c r="K1852" s="1" t="s">
        <v>7126</v>
      </c>
    </row>
    <row r="1853" spans="1:11" ht="21" x14ac:dyDescent="0.25">
      <c r="A1853" s="11" t="str">
        <f>HYPERLINK("https://rth.dk/resources/bsgatlas/details.php?id=BSGatlas-transcript-1852","BSGatlas-transcript-1852")</f>
        <v>BSGatlas-transcript-1852</v>
      </c>
      <c r="B1853" s="1" t="s">
        <v>7137</v>
      </c>
      <c r="C1853" s="3">
        <v>1592113</v>
      </c>
      <c r="D1853" s="3">
        <v>1596300</v>
      </c>
      <c r="E1853" s="1" t="s">
        <v>9</v>
      </c>
      <c r="F1853" s="1">
        <v>3</v>
      </c>
      <c r="G1853" s="1">
        <v>551</v>
      </c>
      <c r="H1853" s="1" t="s">
        <v>4372</v>
      </c>
      <c r="I1853" s="1" t="s">
        <v>4386</v>
      </c>
      <c r="J1853" s="1" t="s">
        <v>7136</v>
      </c>
      <c r="K1853" s="1" t="s">
        <v>318</v>
      </c>
    </row>
    <row r="1854" spans="1:11" ht="21" x14ac:dyDescent="0.25">
      <c r="A1854" s="11" t="str">
        <f>HYPERLINK("https://rth.dk/resources/bsgatlas/details.php?id=BSGatlas-transcript-1853","BSGatlas-transcript-1853")</f>
        <v>BSGatlas-transcript-1853</v>
      </c>
      <c r="B1854" s="1" t="s">
        <v>7138</v>
      </c>
      <c r="C1854" s="3">
        <v>1593704</v>
      </c>
      <c r="D1854" s="3">
        <v>1596300</v>
      </c>
      <c r="E1854" s="1" t="s">
        <v>9</v>
      </c>
      <c r="F1854" s="1">
        <v>2</v>
      </c>
      <c r="G1854" s="1" t="s">
        <v>4372</v>
      </c>
      <c r="H1854" s="1" t="s">
        <v>4372</v>
      </c>
      <c r="I1854" s="1" t="s">
        <v>4386</v>
      </c>
      <c r="J1854" s="1" t="s">
        <v>318</v>
      </c>
      <c r="K1854" s="1" t="s">
        <v>318</v>
      </c>
    </row>
    <row r="1855" spans="1:11" ht="21" x14ac:dyDescent="0.25">
      <c r="A1855" s="11" t="str">
        <f>HYPERLINK("https://rth.dk/resources/bsgatlas/details.php?id=BSGatlas-transcript-1854","BSGatlas-transcript-1854")</f>
        <v>BSGatlas-transcript-1854</v>
      </c>
      <c r="B1855" s="1" t="s">
        <v>1701</v>
      </c>
      <c r="C1855" s="3">
        <v>1596188</v>
      </c>
      <c r="D1855" s="3">
        <v>1596409</v>
      </c>
      <c r="E1855" s="1" t="s">
        <v>9</v>
      </c>
      <c r="F1855" s="1">
        <v>0</v>
      </c>
      <c r="G1855" s="1" t="s">
        <v>4372</v>
      </c>
      <c r="H1855" s="1" t="s">
        <v>4372</v>
      </c>
      <c r="I1855" s="1" t="s">
        <v>4377</v>
      </c>
      <c r="J1855" s="1" t="s">
        <v>7139</v>
      </c>
      <c r="K1855" s="1" t="s">
        <v>318</v>
      </c>
    </row>
    <row r="1856" spans="1:11" ht="21" x14ac:dyDescent="0.25">
      <c r="A1856" s="11" t="str">
        <f>HYPERLINK("https://rth.dk/resources/bsgatlas/details.php?id=BSGatlas-transcript-1855","BSGatlas-transcript-1855")</f>
        <v>BSGatlas-transcript-1855</v>
      </c>
      <c r="B1856" s="1" t="s">
        <v>1701</v>
      </c>
      <c r="C1856" s="3">
        <v>1596301</v>
      </c>
      <c r="D1856" s="3">
        <v>1596409</v>
      </c>
      <c r="E1856" s="1" t="s">
        <v>9</v>
      </c>
      <c r="F1856" s="1">
        <v>0</v>
      </c>
      <c r="G1856" s="1" t="s">
        <v>4372</v>
      </c>
      <c r="H1856" s="1" t="s">
        <v>4372</v>
      </c>
      <c r="I1856" s="1" t="s">
        <v>4377</v>
      </c>
      <c r="J1856" s="1" t="s">
        <v>7140</v>
      </c>
      <c r="K1856" s="1" t="s">
        <v>318</v>
      </c>
    </row>
    <row r="1857" spans="1:11" ht="21" x14ac:dyDescent="0.25">
      <c r="A1857" s="11" t="str">
        <f>HYPERLINK("https://rth.dk/resources/bsgatlas/details.php?id=BSGatlas-transcript-1856","BSGatlas-transcript-1856")</f>
        <v>BSGatlas-transcript-1856</v>
      </c>
      <c r="B1857" s="1" t="s">
        <v>1701</v>
      </c>
      <c r="C1857" s="3">
        <v>1596338</v>
      </c>
      <c r="D1857" s="3">
        <v>1596409</v>
      </c>
      <c r="E1857" s="1" t="s">
        <v>9</v>
      </c>
      <c r="F1857" s="1">
        <v>0</v>
      </c>
      <c r="G1857" s="1" t="s">
        <v>4372</v>
      </c>
      <c r="H1857" s="1" t="s">
        <v>4372</v>
      </c>
      <c r="I1857" s="1" t="s">
        <v>4377</v>
      </c>
      <c r="J1857" s="1" t="s">
        <v>7141</v>
      </c>
      <c r="K1857" s="1" t="s">
        <v>318</v>
      </c>
    </row>
    <row r="1858" spans="1:11" ht="21" x14ac:dyDescent="0.25">
      <c r="A1858" s="11" t="str">
        <f>HYPERLINK("https://rth.dk/resources/bsgatlas/details.php?id=BSGatlas-transcript-1857","BSGatlas-transcript-1857")</f>
        <v>BSGatlas-transcript-1857</v>
      </c>
      <c r="B1858" s="1" t="s">
        <v>7142</v>
      </c>
      <c r="C1858" s="3">
        <v>1596447</v>
      </c>
      <c r="D1858" s="3">
        <v>1598980</v>
      </c>
      <c r="E1858" s="1" t="s">
        <v>9</v>
      </c>
      <c r="F1858" s="1">
        <v>1</v>
      </c>
      <c r="G1858" s="1">
        <v>28</v>
      </c>
      <c r="H1858" s="1" t="s">
        <v>4372</v>
      </c>
      <c r="I1858" s="1" t="s">
        <v>4373</v>
      </c>
      <c r="J1858" s="1" t="s">
        <v>7143</v>
      </c>
      <c r="K1858" s="1" t="s">
        <v>7144</v>
      </c>
    </row>
    <row r="1859" spans="1:11" ht="21" x14ac:dyDescent="0.25">
      <c r="A1859" s="11" t="str">
        <f>HYPERLINK("https://rth.dk/resources/bsgatlas/details.php?id=BSGatlas-transcript-1858","BSGatlas-transcript-1858")</f>
        <v>BSGatlas-transcript-1858</v>
      </c>
      <c r="B1859" s="1" t="s">
        <v>7142</v>
      </c>
      <c r="C1859" s="3">
        <v>1596447</v>
      </c>
      <c r="D1859" s="3">
        <v>1599012</v>
      </c>
      <c r="E1859" s="1" t="s">
        <v>9</v>
      </c>
      <c r="F1859" s="1">
        <v>1</v>
      </c>
      <c r="G1859" s="1">
        <v>28</v>
      </c>
      <c r="H1859" s="1">
        <v>33</v>
      </c>
      <c r="I1859" s="1" t="s">
        <v>4373</v>
      </c>
      <c r="J1859" s="1" t="s">
        <v>7143</v>
      </c>
      <c r="K1859" s="1" t="s">
        <v>7145</v>
      </c>
    </row>
    <row r="1860" spans="1:11" ht="21" x14ac:dyDescent="0.25">
      <c r="A1860" s="11" t="str">
        <f>HYPERLINK("https://rth.dk/resources/bsgatlas/details.php?id=BSGatlas-transcript-1859","BSGatlas-transcript-1859")</f>
        <v>BSGatlas-transcript-1859</v>
      </c>
      <c r="B1860" s="1" t="s">
        <v>1704</v>
      </c>
      <c r="C1860" s="3">
        <v>1599179</v>
      </c>
      <c r="D1860" s="3">
        <v>1603603</v>
      </c>
      <c r="E1860" s="1" t="s">
        <v>9</v>
      </c>
      <c r="F1860" s="1">
        <v>0</v>
      </c>
      <c r="G1860" s="1" t="s">
        <v>4372</v>
      </c>
      <c r="H1860" s="1" t="s">
        <v>4372</v>
      </c>
      <c r="I1860" s="1" t="s">
        <v>4386</v>
      </c>
      <c r="J1860" s="1" t="s">
        <v>7146</v>
      </c>
      <c r="K1860" s="1" t="s">
        <v>7147</v>
      </c>
    </row>
    <row r="1861" spans="1:11" ht="21" x14ac:dyDescent="0.25">
      <c r="A1861" s="11" t="str">
        <f>HYPERLINK("https://rth.dk/resources/bsgatlas/details.php?id=BSGatlas-transcript-1860","BSGatlas-transcript-1860")</f>
        <v>BSGatlas-transcript-1860</v>
      </c>
      <c r="B1861" s="1" t="s">
        <v>1705</v>
      </c>
      <c r="C1861" s="3">
        <v>1603592</v>
      </c>
      <c r="D1861" s="3">
        <v>1604734</v>
      </c>
      <c r="E1861" s="1" t="s">
        <v>13</v>
      </c>
      <c r="F1861" s="1">
        <v>0</v>
      </c>
      <c r="G1861" s="1" t="s">
        <v>4372</v>
      </c>
      <c r="H1861" s="1" t="s">
        <v>4372</v>
      </c>
      <c r="I1861" s="1" t="s">
        <v>4377</v>
      </c>
      <c r="J1861" s="1" t="s">
        <v>7148</v>
      </c>
      <c r="K1861" s="1" t="s">
        <v>7149</v>
      </c>
    </row>
    <row r="1862" spans="1:11" ht="21" x14ac:dyDescent="0.25">
      <c r="A1862" s="11" t="str">
        <f>HYPERLINK("https://rth.dk/resources/bsgatlas/details.php?id=BSGatlas-transcript-1861","BSGatlas-transcript-1861")</f>
        <v>BSGatlas-transcript-1861</v>
      </c>
      <c r="B1862" s="1" t="s">
        <v>1705</v>
      </c>
      <c r="C1862" s="3">
        <v>1603592</v>
      </c>
      <c r="D1862" s="3">
        <v>1604734</v>
      </c>
      <c r="E1862" s="1" t="s">
        <v>13</v>
      </c>
      <c r="F1862" s="1">
        <v>0</v>
      </c>
      <c r="G1862" s="1" t="s">
        <v>4372</v>
      </c>
      <c r="H1862" s="1" t="s">
        <v>4372</v>
      </c>
      <c r="I1862" s="1" t="s">
        <v>4377</v>
      </c>
      <c r="J1862" s="1" t="s">
        <v>7150</v>
      </c>
      <c r="K1862" s="1" t="s">
        <v>7149</v>
      </c>
    </row>
    <row r="1863" spans="1:11" ht="21" x14ac:dyDescent="0.25">
      <c r="A1863" s="11" t="str">
        <f>HYPERLINK("https://rth.dk/resources/bsgatlas/details.php?id=BSGatlas-transcript-1862","BSGatlas-transcript-1862")</f>
        <v>BSGatlas-transcript-1862</v>
      </c>
      <c r="B1863" s="1" t="s">
        <v>7151</v>
      </c>
      <c r="C1863" s="3">
        <v>1603734</v>
      </c>
      <c r="D1863" s="3">
        <v>1606461</v>
      </c>
      <c r="E1863" s="1" t="s">
        <v>9</v>
      </c>
      <c r="F1863" s="1">
        <v>2</v>
      </c>
      <c r="G1863" s="1">
        <v>46</v>
      </c>
      <c r="H1863" s="1">
        <v>50</v>
      </c>
      <c r="I1863" s="1" t="s">
        <v>4373</v>
      </c>
      <c r="J1863" s="1" t="s">
        <v>7152</v>
      </c>
      <c r="K1863" s="1" t="s">
        <v>7153</v>
      </c>
    </row>
    <row r="1864" spans="1:11" ht="21" x14ac:dyDescent="0.25">
      <c r="A1864" s="11" t="str">
        <f>HYPERLINK("https://rth.dk/resources/bsgatlas/details.php?id=BSGatlas-transcript-1863","BSGatlas-transcript-1863")</f>
        <v>BSGatlas-transcript-1863</v>
      </c>
      <c r="B1864" s="1" t="s">
        <v>1708</v>
      </c>
      <c r="C1864" s="3">
        <v>1605600</v>
      </c>
      <c r="D1864" s="3">
        <v>1606461</v>
      </c>
      <c r="E1864" s="1" t="s">
        <v>9</v>
      </c>
      <c r="F1864" s="1">
        <v>0</v>
      </c>
      <c r="G1864" s="1" t="s">
        <v>4372</v>
      </c>
      <c r="H1864" s="1" t="s">
        <v>4372</v>
      </c>
      <c r="I1864" s="1" t="s">
        <v>4386</v>
      </c>
      <c r="J1864" s="1" t="s">
        <v>7154</v>
      </c>
      <c r="K1864" s="1" t="s">
        <v>7153</v>
      </c>
    </row>
    <row r="1865" spans="1:11" ht="21" x14ac:dyDescent="0.25">
      <c r="A1865" s="11" t="str">
        <f>HYPERLINK("https://rth.dk/resources/bsgatlas/details.php?id=BSGatlas-transcript-1864","BSGatlas-transcript-1864")</f>
        <v>BSGatlas-transcript-1864</v>
      </c>
      <c r="B1865" s="1" t="s">
        <v>1709</v>
      </c>
      <c r="C1865" s="3">
        <v>1606506</v>
      </c>
      <c r="D1865" s="3">
        <v>1607354</v>
      </c>
      <c r="E1865" s="1" t="s">
        <v>9</v>
      </c>
      <c r="F1865" s="1">
        <v>0</v>
      </c>
      <c r="G1865" s="1" t="s">
        <v>4372</v>
      </c>
      <c r="H1865" s="1" t="s">
        <v>4372</v>
      </c>
      <c r="I1865" s="1" t="s">
        <v>4397</v>
      </c>
      <c r="J1865" s="1" t="s">
        <v>7155</v>
      </c>
      <c r="K1865" s="1" t="s">
        <v>318</v>
      </c>
    </row>
    <row r="1866" spans="1:11" ht="21" x14ac:dyDescent="0.25">
      <c r="A1866" s="11" t="str">
        <f>HYPERLINK("https://rth.dk/resources/bsgatlas/details.php?id=BSGatlas-transcript-1865","BSGatlas-transcript-1865")</f>
        <v>BSGatlas-transcript-1865</v>
      </c>
      <c r="B1866" s="1" t="s">
        <v>1710</v>
      </c>
      <c r="C1866" s="3">
        <v>1607298</v>
      </c>
      <c r="D1866" s="3">
        <v>1608836</v>
      </c>
      <c r="E1866" s="1" t="s">
        <v>9</v>
      </c>
      <c r="F1866" s="1">
        <v>0</v>
      </c>
      <c r="G1866" s="1" t="s">
        <v>4372</v>
      </c>
      <c r="H1866" s="1" t="s">
        <v>4372</v>
      </c>
      <c r="I1866" s="1" t="s">
        <v>4386</v>
      </c>
      <c r="J1866" s="1" t="s">
        <v>7156</v>
      </c>
      <c r="K1866" s="1" t="s">
        <v>318</v>
      </c>
    </row>
    <row r="1867" spans="1:11" ht="21" x14ac:dyDescent="0.25">
      <c r="A1867" s="11" t="str">
        <f>HYPERLINK("https://rth.dk/resources/bsgatlas/details.php?id=BSGatlas-transcript-1866","BSGatlas-transcript-1866")</f>
        <v>BSGatlas-transcript-1866</v>
      </c>
      <c r="B1867" s="1" t="s">
        <v>1711</v>
      </c>
      <c r="C1867" s="3">
        <v>1607366</v>
      </c>
      <c r="D1867" s="3">
        <v>1607468</v>
      </c>
      <c r="E1867" s="1" t="s">
        <v>9</v>
      </c>
      <c r="F1867" s="1">
        <v>0</v>
      </c>
      <c r="G1867" s="1" t="s">
        <v>4372</v>
      </c>
      <c r="H1867" s="1" t="s">
        <v>4372</v>
      </c>
      <c r="I1867" s="1" t="s">
        <v>4377</v>
      </c>
      <c r="J1867" s="1" t="s">
        <v>318</v>
      </c>
      <c r="K1867" s="1" t="s">
        <v>7157</v>
      </c>
    </row>
    <row r="1868" spans="1:11" ht="21" x14ac:dyDescent="0.25">
      <c r="A1868" s="11" t="str">
        <f>HYPERLINK("https://rth.dk/resources/bsgatlas/details.php?id=BSGatlas-transcript-1867","BSGatlas-transcript-1867")</f>
        <v>BSGatlas-transcript-1867</v>
      </c>
      <c r="B1868" s="1" t="s">
        <v>1712</v>
      </c>
      <c r="C1868" s="3">
        <v>1608882</v>
      </c>
      <c r="D1868" s="3">
        <v>1609164</v>
      </c>
      <c r="E1868" s="1" t="s">
        <v>9</v>
      </c>
      <c r="F1868" s="1">
        <v>0</v>
      </c>
      <c r="G1868" s="1" t="s">
        <v>4372</v>
      </c>
      <c r="H1868" s="1" t="s">
        <v>4372</v>
      </c>
      <c r="I1868" s="1" t="s">
        <v>4386</v>
      </c>
      <c r="J1868" s="1" t="s">
        <v>7158</v>
      </c>
      <c r="K1868" s="1" t="s">
        <v>318</v>
      </c>
    </row>
    <row r="1869" spans="1:11" ht="21" x14ac:dyDescent="0.25">
      <c r="A1869" s="11" t="str">
        <f>HYPERLINK("https://rth.dk/resources/bsgatlas/details.php?id=BSGatlas-transcript-1868","BSGatlas-transcript-1868")</f>
        <v>BSGatlas-transcript-1868</v>
      </c>
      <c r="B1869" s="1" t="s">
        <v>1712</v>
      </c>
      <c r="C1869" s="3">
        <v>1608919</v>
      </c>
      <c r="D1869" s="3">
        <v>1609164</v>
      </c>
      <c r="E1869" s="1" t="s">
        <v>9</v>
      </c>
      <c r="F1869" s="1">
        <v>0</v>
      </c>
      <c r="G1869" s="1" t="s">
        <v>4372</v>
      </c>
      <c r="H1869" s="1" t="s">
        <v>4372</v>
      </c>
      <c r="I1869" s="1" t="s">
        <v>4386</v>
      </c>
      <c r="J1869" s="1" t="s">
        <v>7159</v>
      </c>
      <c r="K1869" s="1" t="s">
        <v>318</v>
      </c>
    </row>
    <row r="1870" spans="1:11" ht="21" x14ac:dyDescent="0.25">
      <c r="A1870" s="11" t="str">
        <f>HYPERLINK("https://rth.dk/resources/bsgatlas/details.php?id=BSGatlas-transcript-1869","BSGatlas-transcript-1869")</f>
        <v>BSGatlas-transcript-1869</v>
      </c>
      <c r="B1870" s="1" t="s">
        <v>7160</v>
      </c>
      <c r="C1870" s="3">
        <v>1609165</v>
      </c>
      <c r="D1870" s="3">
        <v>1611593</v>
      </c>
      <c r="E1870" s="1" t="s">
        <v>9</v>
      </c>
      <c r="F1870" s="1">
        <v>0</v>
      </c>
      <c r="G1870" s="1" t="s">
        <v>4372</v>
      </c>
      <c r="H1870" s="1" t="s">
        <v>4372</v>
      </c>
      <c r="I1870" s="1" t="s">
        <v>4377</v>
      </c>
      <c r="J1870" s="1" t="s">
        <v>7161</v>
      </c>
      <c r="K1870" s="1" t="s">
        <v>7162</v>
      </c>
    </row>
    <row r="1871" spans="1:11" ht="21" x14ac:dyDescent="0.25">
      <c r="A1871" s="11" t="str">
        <f>HYPERLINK("https://rth.dk/resources/bsgatlas/details.php?id=BSGatlas-transcript-1870","BSGatlas-transcript-1870")</f>
        <v>BSGatlas-transcript-1870</v>
      </c>
      <c r="B1871" s="1" t="s">
        <v>7163</v>
      </c>
      <c r="C1871" s="3">
        <v>1609165</v>
      </c>
      <c r="D1871" s="3">
        <v>1612427</v>
      </c>
      <c r="E1871" s="1" t="s">
        <v>9</v>
      </c>
      <c r="F1871" s="1">
        <v>1</v>
      </c>
      <c r="G1871" s="1">
        <v>163</v>
      </c>
      <c r="H1871" s="1" t="s">
        <v>4372</v>
      </c>
      <c r="I1871" s="1" t="s">
        <v>4397</v>
      </c>
      <c r="J1871" s="1" t="s">
        <v>7161</v>
      </c>
      <c r="K1871" s="1" t="s">
        <v>7164</v>
      </c>
    </row>
    <row r="1872" spans="1:11" ht="21" x14ac:dyDescent="0.25">
      <c r="A1872" s="11" t="str">
        <f>HYPERLINK("https://rth.dk/resources/bsgatlas/details.php?id=BSGatlas-transcript-1871","BSGatlas-transcript-1871")</f>
        <v>BSGatlas-transcript-1871</v>
      </c>
      <c r="B1872" s="1" t="s">
        <v>7160</v>
      </c>
      <c r="C1872" s="3">
        <v>1609277</v>
      </c>
      <c r="D1872" s="3">
        <v>1611593</v>
      </c>
      <c r="E1872" s="1" t="s">
        <v>9</v>
      </c>
      <c r="F1872" s="1">
        <v>0</v>
      </c>
      <c r="G1872" s="1" t="s">
        <v>4372</v>
      </c>
      <c r="H1872" s="1" t="s">
        <v>4372</v>
      </c>
      <c r="I1872" s="1" t="s">
        <v>4377</v>
      </c>
      <c r="J1872" s="1" t="s">
        <v>7165</v>
      </c>
      <c r="K1872" s="1" t="s">
        <v>7162</v>
      </c>
    </row>
    <row r="1873" spans="1:11" ht="21" x14ac:dyDescent="0.25">
      <c r="A1873" s="11" t="str">
        <f>HYPERLINK("https://rth.dk/resources/bsgatlas/details.php?id=BSGatlas-transcript-1872","BSGatlas-transcript-1872")</f>
        <v>BSGatlas-transcript-1872</v>
      </c>
      <c r="B1873" s="1" t="s">
        <v>7163</v>
      </c>
      <c r="C1873" s="3">
        <v>1609277</v>
      </c>
      <c r="D1873" s="3">
        <v>1612427</v>
      </c>
      <c r="E1873" s="1" t="s">
        <v>9</v>
      </c>
      <c r="F1873" s="1">
        <v>1</v>
      </c>
      <c r="G1873" s="1">
        <v>51</v>
      </c>
      <c r="H1873" s="1" t="s">
        <v>4372</v>
      </c>
      <c r="I1873" s="1" t="s">
        <v>4397</v>
      </c>
      <c r="J1873" s="1" t="s">
        <v>7165</v>
      </c>
      <c r="K1873" s="1" t="s">
        <v>7164</v>
      </c>
    </row>
    <row r="1874" spans="1:11" ht="21" x14ac:dyDescent="0.25">
      <c r="A1874" s="11" t="str">
        <f>HYPERLINK("https://rth.dk/resources/bsgatlas/details.php?id=BSGatlas-transcript-1873","BSGatlas-transcript-1873")</f>
        <v>BSGatlas-transcript-1873</v>
      </c>
      <c r="B1874" s="1" t="s">
        <v>1718</v>
      </c>
      <c r="C1874" s="3">
        <v>1612187</v>
      </c>
      <c r="D1874" s="3">
        <v>1613015</v>
      </c>
      <c r="E1874" s="1" t="s">
        <v>9</v>
      </c>
      <c r="F1874" s="1">
        <v>0</v>
      </c>
      <c r="G1874" s="1" t="s">
        <v>4372</v>
      </c>
      <c r="H1874" s="1" t="s">
        <v>4372</v>
      </c>
      <c r="I1874" s="1" t="s">
        <v>4397</v>
      </c>
      <c r="J1874" s="1" t="s">
        <v>7166</v>
      </c>
      <c r="K1874" s="1" t="s">
        <v>318</v>
      </c>
    </row>
    <row r="1875" spans="1:11" ht="21" x14ac:dyDescent="0.25">
      <c r="A1875" s="11" t="str">
        <f>HYPERLINK("https://rth.dk/resources/bsgatlas/details.php?id=BSGatlas-transcript-1874","BSGatlas-transcript-1874")</f>
        <v>BSGatlas-transcript-1874</v>
      </c>
      <c r="B1875" s="1" t="s">
        <v>1719</v>
      </c>
      <c r="C1875" s="3">
        <v>1613056</v>
      </c>
      <c r="D1875" s="3">
        <v>1616122</v>
      </c>
      <c r="E1875" s="1" t="s">
        <v>9</v>
      </c>
      <c r="F1875" s="1">
        <v>0</v>
      </c>
      <c r="G1875" s="1" t="s">
        <v>4372</v>
      </c>
      <c r="H1875" s="1" t="s">
        <v>4372</v>
      </c>
      <c r="I1875" s="1" t="s">
        <v>4386</v>
      </c>
      <c r="J1875" s="1" t="s">
        <v>7167</v>
      </c>
      <c r="K1875" s="1" t="s">
        <v>7168</v>
      </c>
    </row>
    <row r="1876" spans="1:11" ht="21" x14ac:dyDescent="0.25">
      <c r="A1876" s="11" t="str">
        <f>HYPERLINK("https://rth.dk/resources/bsgatlas/details.php?id=BSGatlas-transcript-1875","BSGatlas-transcript-1875")</f>
        <v>BSGatlas-transcript-1875</v>
      </c>
      <c r="B1876" s="1" t="s">
        <v>1720</v>
      </c>
      <c r="C1876" s="3">
        <v>1613077</v>
      </c>
      <c r="D1876" s="3">
        <v>1613304</v>
      </c>
      <c r="E1876" s="1" t="s">
        <v>9</v>
      </c>
      <c r="F1876" s="1">
        <v>0</v>
      </c>
      <c r="G1876" s="1" t="s">
        <v>4372</v>
      </c>
      <c r="H1876" s="1" t="s">
        <v>4372</v>
      </c>
      <c r="I1876" s="1" t="s">
        <v>4377</v>
      </c>
      <c r="J1876" s="1" t="s">
        <v>318</v>
      </c>
      <c r="K1876" s="1" t="s">
        <v>7169</v>
      </c>
    </row>
    <row r="1877" spans="1:11" ht="21" x14ac:dyDescent="0.25">
      <c r="A1877" s="11" t="str">
        <f>HYPERLINK("https://rth.dk/resources/bsgatlas/details.php?id=BSGatlas-transcript-1876","BSGatlas-transcript-1876")</f>
        <v>BSGatlas-transcript-1876</v>
      </c>
      <c r="B1877" s="1" t="s">
        <v>1721</v>
      </c>
      <c r="C1877" s="3">
        <v>1616224</v>
      </c>
      <c r="D1877" s="3">
        <v>1616641</v>
      </c>
      <c r="E1877" s="1" t="s">
        <v>9</v>
      </c>
      <c r="F1877" s="1">
        <v>0</v>
      </c>
      <c r="G1877" s="1" t="s">
        <v>4372</v>
      </c>
      <c r="H1877" s="1" t="s">
        <v>4372</v>
      </c>
      <c r="I1877" s="1" t="s">
        <v>4386</v>
      </c>
      <c r="J1877" s="1" t="s">
        <v>7170</v>
      </c>
      <c r="K1877" s="1" t="s">
        <v>318</v>
      </c>
    </row>
    <row r="1878" spans="1:11" ht="21" x14ac:dyDescent="0.25">
      <c r="A1878" s="11" t="str">
        <f>HYPERLINK("https://rth.dk/resources/bsgatlas/details.php?id=BSGatlas-transcript-1877","BSGatlas-transcript-1877")</f>
        <v>BSGatlas-transcript-1877</v>
      </c>
      <c r="B1878" s="1" t="s">
        <v>7171</v>
      </c>
      <c r="C1878" s="3">
        <v>1616692</v>
      </c>
      <c r="D1878" s="3">
        <v>1618277</v>
      </c>
      <c r="E1878" s="1" t="s">
        <v>9</v>
      </c>
      <c r="F1878" s="1">
        <v>1</v>
      </c>
      <c r="G1878" s="1">
        <v>53</v>
      </c>
      <c r="H1878" s="1" t="s">
        <v>4372</v>
      </c>
      <c r="I1878" s="1" t="s">
        <v>4377</v>
      </c>
      <c r="J1878" s="1" t="s">
        <v>7172</v>
      </c>
      <c r="K1878" s="1" t="s">
        <v>7173</v>
      </c>
    </row>
    <row r="1879" spans="1:11" ht="21" x14ac:dyDescent="0.25">
      <c r="A1879" s="11" t="str">
        <f>HYPERLINK("https://rth.dk/resources/bsgatlas/details.php?id=BSGatlas-transcript-1878","BSGatlas-transcript-1878")</f>
        <v>BSGatlas-transcript-1878</v>
      </c>
      <c r="B1879" s="1" t="s">
        <v>7174</v>
      </c>
      <c r="C1879" s="3">
        <v>1616692</v>
      </c>
      <c r="D1879" s="3">
        <v>1618849</v>
      </c>
      <c r="E1879" s="1" t="s">
        <v>9</v>
      </c>
      <c r="F1879" s="1">
        <v>2</v>
      </c>
      <c r="G1879" s="1">
        <v>53</v>
      </c>
      <c r="H1879" s="1" t="s">
        <v>4372</v>
      </c>
      <c r="I1879" s="1" t="s">
        <v>4386</v>
      </c>
      <c r="J1879" s="1" t="s">
        <v>7172</v>
      </c>
      <c r="K1879" s="1" t="s">
        <v>7175</v>
      </c>
    </row>
    <row r="1880" spans="1:11" ht="21" x14ac:dyDescent="0.25">
      <c r="A1880" s="11" t="str">
        <f>HYPERLINK("https://rth.dk/resources/bsgatlas/details.php?id=BSGatlas-transcript-1879","BSGatlas-transcript-1879")</f>
        <v>BSGatlas-transcript-1879</v>
      </c>
      <c r="B1880" s="1" t="s">
        <v>7176</v>
      </c>
      <c r="C1880" s="3">
        <v>1616692</v>
      </c>
      <c r="D1880" s="3">
        <v>1618971</v>
      </c>
      <c r="E1880" s="1" t="s">
        <v>9</v>
      </c>
      <c r="F1880" s="1">
        <v>2</v>
      </c>
      <c r="G1880" s="1">
        <v>53</v>
      </c>
      <c r="H1880" s="1" t="s">
        <v>4372</v>
      </c>
      <c r="I1880" s="1" t="s">
        <v>4377</v>
      </c>
      <c r="J1880" s="1" t="s">
        <v>7172</v>
      </c>
      <c r="K1880" s="1" t="s">
        <v>7177</v>
      </c>
    </row>
    <row r="1881" spans="1:11" ht="21" x14ac:dyDescent="0.25">
      <c r="A1881" s="11" t="str">
        <f>HYPERLINK("https://rth.dk/resources/bsgatlas/details.php?id=BSGatlas-transcript-1880","BSGatlas-transcript-1880")</f>
        <v>BSGatlas-transcript-1880</v>
      </c>
      <c r="B1881" s="1" t="s">
        <v>7178</v>
      </c>
      <c r="C1881" s="3">
        <v>1616692</v>
      </c>
      <c r="D1881" s="3">
        <v>1620445</v>
      </c>
      <c r="E1881" s="1" t="s">
        <v>9</v>
      </c>
      <c r="F1881" s="1">
        <v>3</v>
      </c>
      <c r="G1881" s="1">
        <v>53</v>
      </c>
      <c r="H1881" s="1" t="s">
        <v>4372</v>
      </c>
      <c r="I1881" s="1" t="s">
        <v>4377</v>
      </c>
      <c r="J1881" s="1" t="s">
        <v>7172</v>
      </c>
      <c r="K1881" s="1" t="s">
        <v>7179</v>
      </c>
    </row>
    <row r="1882" spans="1:11" ht="21" x14ac:dyDescent="0.25">
      <c r="A1882" s="11" t="str">
        <f>HYPERLINK("https://rth.dk/resources/bsgatlas/details.php?id=BSGatlas-transcript-1881","BSGatlas-transcript-1881")</f>
        <v>BSGatlas-transcript-1881</v>
      </c>
      <c r="B1882" s="1" t="s">
        <v>7180</v>
      </c>
      <c r="C1882" s="3">
        <v>1616692</v>
      </c>
      <c r="D1882" s="3">
        <v>1630055</v>
      </c>
      <c r="E1882" s="1" t="s">
        <v>9</v>
      </c>
      <c r="F1882" s="1">
        <v>4</v>
      </c>
      <c r="G1882" s="1">
        <v>53</v>
      </c>
      <c r="H1882" s="1">
        <v>86</v>
      </c>
      <c r="I1882" s="1" t="s">
        <v>4377</v>
      </c>
      <c r="J1882" s="1" t="s">
        <v>7172</v>
      </c>
      <c r="K1882" s="1" t="s">
        <v>7181</v>
      </c>
    </row>
    <row r="1883" spans="1:11" ht="21" x14ac:dyDescent="0.25">
      <c r="A1883" s="11" t="str">
        <f>HYPERLINK("https://rth.dk/resources/bsgatlas/details.php?id=BSGatlas-transcript-1882","BSGatlas-transcript-1882")</f>
        <v>BSGatlas-transcript-1882</v>
      </c>
      <c r="B1883" s="1" t="s">
        <v>1725</v>
      </c>
      <c r="C1883" s="3">
        <v>1618154</v>
      </c>
      <c r="D1883" s="3">
        <v>1618849</v>
      </c>
      <c r="E1883" s="1" t="s">
        <v>9</v>
      </c>
      <c r="F1883" s="1">
        <v>0</v>
      </c>
      <c r="G1883" s="1" t="s">
        <v>4372</v>
      </c>
      <c r="H1883" s="1" t="s">
        <v>4372</v>
      </c>
      <c r="I1883" s="1" t="s">
        <v>4386</v>
      </c>
      <c r="J1883" s="1" t="s">
        <v>7182</v>
      </c>
      <c r="K1883" s="1" t="s">
        <v>7175</v>
      </c>
    </row>
    <row r="1884" spans="1:11" ht="21" x14ac:dyDescent="0.25">
      <c r="A1884" s="11" t="str">
        <f>HYPERLINK("https://rth.dk/resources/bsgatlas/details.php?id=BSGatlas-transcript-1883","BSGatlas-transcript-1883")</f>
        <v>BSGatlas-transcript-1883</v>
      </c>
      <c r="B1884" s="1" t="s">
        <v>7183</v>
      </c>
      <c r="C1884" s="3">
        <v>1618154</v>
      </c>
      <c r="D1884" s="3">
        <v>1618971</v>
      </c>
      <c r="E1884" s="1" t="s">
        <v>9</v>
      </c>
      <c r="F1884" s="1">
        <v>0</v>
      </c>
      <c r="G1884" s="1" t="s">
        <v>4372</v>
      </c>
      <c r="H1884" s="1" t="s">
        <v>4372</v>
      </c>
      <c r="I1884" s="1" t="s">
        <v>4377</v>
      </c>
      <c r="J1884" s="1" t="s">
        <v>7182</v>
      </c>
      <c r="K1884" s="1" t="s">
        <v>7177</v>
      </c>
    </row>
    <row r="1885" spans="1:11" ht="21" x14ac:dyDescent="0.25">
      <c r="A1885" s="11" t="str">
        <f>HYPERLINK("https://rth.dk/resources/bsgatlas/details.php?id=BSGatlas-transcript-1884","BSGatlas-transcript-1884")</f>
        <v>BSGatlas-transcript-1884</v>
      </c>
      <c r="B1885" s="1" t="s">
        <v>7184</v>
      </c>
      <c r="C1885" s="3">
        <v>1618154</v>
      </c>
      <c r="D1885" s="3">
        <v>1620445</v>
      </c>
      <c r="E1885" s="1" t="s">
        <v>9</v>
      </c>
      <c r="F1885" s="1">
        <v>1</v>
      </c>
      <c r="G1885" s="1">
        <v>151</v>
      </c>
      <c r="H1885" s="1" t="s">
        <v>4372</v>
      </c>
      <c r="I1885" s="1" t="s">
        <v>4377</v>
      </c>
      <c r="J1885" s="1" t="s">
        <v>7182</v>
      </c>
      <c r="K1885" s="1" t="s">
        <v>7179</v>
      </c>
    </row>
    <row r="1886" spans="1:11" ht="21" x14ac:dyDescent="0.25">
      <c r="A1886" s="11" t="str">
        <f>HYPERLINK("https://rth.dk/resources/bsgatlas/details.php?id=BSGatlas-transcript-1885","BSGatlas-transcript-1885")</f>
        <v>BSGatlas-transcript-1885</v>
      </c>
      <c r="B1886" s="1" t="s">
        <v>7185</v>
      </c>
      <c r="C1886" s="3">
        <v>1618154</v>
      </c>
      <c r="D1886" s="3">
        <v>1630055</v>
      </c>
      <c r="E1886" s="1" t="s">
        <v>9</v>
      </c>
      <c r="F1886" s="1">
        <v>2</v>
      </c>
      <c r="G1886" s="1">
        <v>151</v>
      </c>
      <c r="H1886" s="1">
        <v>86</v>
      </c>
      <c r="I1886" s="1" t="s">
        <v>7186</v>
      </c>
      <c r="J1886" s="1" t="s">
        <v>7182</v>
      </c>
      <c r="K1886" s="1" t="s">
        <v>7181</v>
      </c>
    </row>
    <row r="1887" spans="1:11" ht="21" x14ac:dyDescent="0.25">
      <c r="A1887" s="11" t="str">
        <f>HYPERLINK("https://rth.dk/resources/bsgatlas/details.php?id=BSGatlas-transcript-1886","BSGatlas-transcript-1886")</f>
        <v>BSGatlas-transcript-1886</v>
      </c>
      <c r="B1887" s="1" t="s">
        <v>7187</v>
      </c>
      <c r="C1887" s="3">
        <v>1618160</v>
      </c>
      <c r="D1887" s="3">
        <v>1630055</v>
      </c>
      <c r="E1887" s="1" t="s">
        <v>9</v>
      </c>
      <c r="F1887" s="1">
        <v>3</v>
      </c>
      <c r="G1887" s="1" t="s">
        <v>4372</v>
      </c>
      <c r="H1887" s="1">
        <v>86</v>
      </c>
      <c r="I1887" s="1" t="s">
        <v>4547</v>
      </c>
      <c r="J1887" s="1" t="s">
        <v>318</v>
      </c>
      <c r="K1887" s="1" t="s">
        <v>7181</v>
      </c>
    </row>
    <row r="1888" spans="1:11" ht="21" x14ac:dyDescent="0.25">
      <c r="A1888" s="11" t="str">
        <f>HYPERLINK("https://rth.dk/resources/bsgatlas/details.php?id=BSGatlas-transcript-1887","BSGatlas-transcript-1887")</f>
        <v>BSGatlas-transcript-1887</v>
      </c>
      <c r="B1888" s="1" t="s">
        <v>7188</v>
      </c>
      <c r="C1888" s="3">
        <v>1630103</v>
      </c>
      <c r="D1888" s="3">
        <v>1636130</v>
      </c>
      <c r="E1888" s="1" t="s">
        <v>9</v>
      </c>
      <c r="F1888" s="1">
        <v>2</v>
      </c>
      <c r="G1888" s="1">
        <v>280</v>
      </c>
      <c r="H1888" s="1">
        <v>40</v>
      </c>
      <c r="I1888" s="1" t="s">
        <v>4373</v>
      </c>
      <c r="J1888" s="1" t="s">
        <v>7189</v>
      </c>
      <c r="K1888" s="1" t="s">
        <v>7190</v>
      </c>
    </row>
    <row r="1889" spans="1:11" ht="21" x14ac:dyDescent="0.25">
      <c r="A1889" s="11" t="str">
        <f>HYPERLINK("https://rth.dk/resources/bsgatlas/details.php?id=BSGatlas-transcript-1888","BSGatlas-transcript-1888")</f>
        <v>BSGatlas-transcript-1888</v>
      </c>
      <c r="B1889" s="1" t="s">
        <v>7191</v>
      </c>
      <c r="C1889" s="3">
        <v>1634762</v>
      </c>
      <c r="D1889" s="3">
        <v>1636130</v>
      </c>
      <c r="E1889" s="1" t="s">
        <v>9</v>
      </c>
      <c r="F1889" s="1">
        <v>0</v>
      </c>
      <c r="G1889" s="1" t="s">
        <v>4372</v>
      </c>
      <c r="H1889" s="1" t="s">
        <v>4372</v>
      </c>
      <c r="I1889" s="1" t="s">
        <v>4377</v>
      </c>
      <c r="J1889" s="1" t="s">
        <v>7192</v>
      </c>
      <c r="K1889" s="1" t="s">
        <v>7190</v>
      </c>
    </row>
    <row r="1890" spans="1:11" ht="21" x14ac:dyDescent="0.25">
      <c r="A1890" s="11" t="str">
        <f>HYPERLINK("https://rth.dk/resources/bsgatlas/details.php?id=BSGatlas-transcript-1889","BSGatlas-transcript-1889")</f>
        <v>BSGatlas-transcript-1889</v>
      </c>
      <c r="B1890" s="1" t="s">
        <v>1744</v>
      </c>
      <c r="C1890" s="3">
        <v>1636096</v>
      </c>
      <c r="D1890" s="3">
        <v>1637885</v>
      </c>
      <c r="E1890" s="1" t="s">
        <v>13</v>
      </c>
      <c r="F1890" s="1">
        <v>0</v>
      </c>
      <c r="G1890" s="1" t="s">
        <v>4372</v>
      </c>
      <c r="H1890" s="1" t="s">
        <v>4372</v>
      </c>
      <c r="I1890" s="1" t="s">
        <v>4397</v>
      </c>
      <c r="J1890" s="1" t="s">
        <v>7193</v>
      </c>
      <c r="K1890" s="1" t="s">
        <v>7194</v>
      </c>
    </row>
    <row r="1891" spans="1:11" ht="21" x14ac:dyDescent="0.25">
      <c r="A1891" s="11" t="str">
        <f>HYPERLINK("https://rth.dk/resources/bsgatlas/details.php?id=BSGatlas-transcript-1890","BSGatlas-transcript-1890")</f>
        <v>BSGatlas-transcript-1890</v>
      </c>
      <c r="B1891" s="1" t="s">
        <v>1744</v>
      </c>
      <c r="C1891" s="3">
        <v>1636096</v>
      </c>
      <c r="D1891" s="3">
        <v>1639381</v>
      </c>
      <c r="E1891" s="1" t="s">
        <v>13</v>
      </c>
      <c r="F1891" s="1">
        <v>0</v>
      </c>
      <c r="G1891" s="1" t="s">
        <v>4372</v>
      </c>
      <c r="H1891" s="1" t="s">
        <v>4372</v>
      </c>
      <c r="I1891" s="1" t="s">
        <v>4397</v>
      </c>
      <c r="J1891" s="1" t="s">
        <v>7195</v>
      </c>
      <c r="K1891" s="1" t="s">
        <v>7194</v>
      </c>
    </row>
    <row r="1892" spans="1:11" ht="21" x14ac:dyDescent="0.25">
      <c r="A1892" s="11" t="str">
        <f>HYPERLINK("https://rth.dk/resources/bsgatlas/details.php?id=BSGatlas-transcript-1891","BSGatlas-transcript-1891")</f>
        <v>BSGatlas-transcript-1891</v>
      </c>
      <c r="B1892" s="1" t="s">
        <v>1745</v>
      </c>
      <c r="C1892" s="3">
        <v>1637910</v>
      </c>
      <c r="D1892" s="3">
        <v>1640696</v>
      </c>
      <c r="E1892" s="1" t="s">
        <v>9</v>
      </c>
      <c r="F1892" s="1">
        <v>0</v>
      </c>
      <c r="G1892" s="1" t="s">
        <v>4372</v>
      </c>
      <c r="H1892" s="1" t="s">
        <v>4372</v>
      </c>
      <c r="I1892" s="1" t="s">
        <v>4382</v>
      </c>
      <c r="J1892" s="1" t="s">
        <v>7196</v>
      </c>
      <c r="K1892" s="1" t="s">
        <v>7197</v>
      </c>
    </row>
    <row r="1893" spans="1:11" ht="21" x14ac:dyDescent="0.25">
      <c r="A1893" s="11" t="str">
        <f>HYPERLINK("https://rth.dk/resources/bsgatlas/details.php?id=BSGatlas-transcript-1892","BSGatlas-transcript-1892")</f>
        <v>BSGatlas-transcript-1892</v>
      </c>
      <c r="B1893" s="1" t="s">
        <v>7198</v>
      </c>
      <c r="C1893" s="3">
        <v>1637910</v>
      </c>
      <c r="D1893" s="3">
        <v>1642770</v>
      </c>
      <c r="E1893" s="1" t="s">
        <v>9</v>
      </c>
      <c r="F1893" s="1">
        <v>2</v>
      </c>
      <c r="G1893" s="1">
        <v>56</v>
      </c>
      <c r="H1893" s="1" t="s">
        <v>4372</v>
      </c>
      <c r="I1893" s="1" t="s">
        <v>4386</v>
      </c>
      <c r="J1893" s="1" t="s">
        <v>7196</v>
      </c>
      <c r="K1893" s="1" t="s">
        <v>7199</v>
      </c>
    </row>
    <row r="1894" spans="1:11" ht="21" x14ac:dyDescent="0.25">
      <c r="A1894" s="11" t="str">
        <f>HYPERLINK("https://rth.dk/resources/bsgatlas/details.php?id=BSGatlas-transcript-1893","BSGatlas-transcript-1893")</f>
        <v>BSGatlas-transcript-1893</v>
      </c>
      <c r="B1894" s="1" t="s">
        <v>7200</v>
      </c>
      <c r="C1894" s="3">
        <v>1637910</v>
      </c>
      <c r="D1894" s="3">
        <v>1650459</v>
      </c>
      <c r="E1894" s="1" t="s">
        <v>9</v>
      </c>
      <c r="F1894" s="1">
        <v>4</v>
      </c>
      <c r="G1894" s="1">
        <v>56</v>
      </c>
      <c r="H1894" s="1">
        <v>83</v>
      </c>
      <c r="I1894" s="1" t="s">
        <v>4377</v>
      </c>
      <c r="J1894" s="1" t="s">
        <v>7196</v>
      </c>
      <c r="K1894" s="1" t="s">
        <v>7201</v>
      </c>
    </row>
    <row r="1895" spans="1:11" ht="21" x14ac:dyDescent="0.25">
      <c r="A1895" s="11" t="str">
        <f>HYPERLINK("https://rth.dk/resources/bsgatlas/details.php?id=BSGatlas-transcript-1894","BSGatlas-transcript-1894")</f>
        <v>BSGatlas-transcript-1894</v>
      </c>
      <c r="B1895" s="1" t="s">
        <v>7202</v>
      </c>
      <c r="C1895" s="3">
        <v>1640646</v>
      </c>
      <c r="D1895" s="3">
        <v>1642770</v>
      </c>
      <c r="E1895" s="1" t="s">
        <v>9</v>
      </c>
      <c r="F1895" s="1">
        <v>1</v>
      </c>
      <c r="G1895" s="1">
        <v>75</v>
      </c>
      <c r="H1895" s="1" t="s">
        <v>4372</v>
      </c>
      <c r="I1895" s="1" t="s">
        <v>4386</v>
      </c>
      <c r="J1895" s="1" t="s">
        <v>7203</v>
      </c>
      <c r="K1895" s="1" t="s">
        <v>7199</v>
      </c>
    </row>
    <row r="1896" spans="1:11" ht="21" x14ac:dyDescent="0.25">
      <c r="A1896" s="11" t="str">
        <f>HYPERLINK("https://rth.dk/resources/bsgatlas/details.php?id=BSGatlas-transcript-1895","BSGatlas-transcript-1895")</f>
        <v>BSGatlas-transcript-1895</v>
      </c>
      <c r="B1896" s="1" t="s">
        <v>7204</v>
      </c>
      <c r="C1896" s="3">
        <v>1640646</v>
      </c>
      <c r="D1896" s="3">
        <v>1650459</v>
      </c>
      <c r="E1896" s="1" t="s">
        <v>9</v>
      </c>
      <c r="F1896" s="1">
        <v>3</v>
      </c>
      <c r="G1896" s="1">
        <v>75</v>
      </c>
      <c r="H1896" s="1">
        <v>83</v>
      </c>
      <c r="I1896" s="1" t="s">
        <v>4386</v>
      </c>
      <c r="J1896" s="1" t="s">
        <v>7203</v>
      </c>
      <c r="K1896" s="1" t="s">
        <v>7201</v>
      </c>
    </row>
    <row r="1897" spans="1:11" ht="21" x14ac:dyDescent="0.25">
      <c r="A1897" s="11" t="str">
        <f>HYPERLINK("https://rth.dk/resources/bsgatlas/details.php?id=BSGatlas-transcript-1896","BSGatlas-transcript-1896")</f>
        <v>BSGatlas-transcript-1896</v>
      </c>
      <c r="B1897" s="1" t="s">
        <v>1756</v>
      </c>
      <c r="C1897" s="3">
        <v>1643910</v>
      </c>
      <c r="D1897" s="3">
        <v>1644485</v>
      </c>
      <c r="E1897" s="1" t="s">
        <v>13</v>
      </c>
      <c r="F1897" s="1">
        <v>0</v>
      </c>
      <c r="G1897" s="1" t="s">
        <v>4372</v>
      </c>
      <c r="H1897" s="1" t="s">
        <v>4372</v>
      </c>
      <c r="I1897" s="1" t="s">
        <v>4377</v>
      </c>
      <c r="J1897" s="1" t="s">
        <v>7205</v>
      </c>
      <c r="K1897" s="1" t="s">
        <v>318</v>
      </c>
    </row>
    <row r="1898" spans="1:11" ht="21" x14ac:dyDescent="0.25">
      <c r="A1898" s="11" t="str">
        <f>HYPERLINK("https://rth.dk/resources/bsgatlas/details.php?id=BSGatlas-transcript-1897","BSGatlas-transcript-1897")</f>
        <v>BSGatlas-transcript-1897</v>
      </c>
      <c r="B1898" s="1" t="s">
        <v>7206</v>
      </c>
      <c r="C1898" s="3">
        <v>1646367</v>
      </c>
      <c r="D1898" s="3">
        <v>1650459</v>
      </c>
      <c r="E1898" s="1" t="s">
        <v>9</v>
      </c>
      <c r="F1898" s="1">
        <v>0</v>
      </c>
      <c r="G1898" s="1" t="s">
        <v>4372</v>
      </c>
      <c r="H1898" s="1" t="s">
        <v>4372</v>
      </c>
      <c r="I1898" s="1" t="s">
        <v>4386</v>
      </c>
      <c r="J1898" s="1" t="s">
        <v>7207</v>
      </c>
      <c r="K1898" s="1" t="s">
        <v>7201</v>
      </c>
    </row>
    <row r="1899" spans="1:11" ht="21" x14ac:dyDescent="0.25">
      <c r="A1899" s="11" t="str">
        <f>HYPERLINK("https://rth.dk/resources/bsgatlas/details.php?id=BSGatlas-transcript-1898","BSGatlas-transcript-1898")</f>
        <v>BSGatlas-transcript-1898</v>
      </c>
      <c r="B1899" s="1" t="s">
        <v>7208</v>
      </c>
      <c r="C1899" s="3">
        <v>1650384</v>
      </c>
      <c r="D1899" s="3">
        <v>1655374</v>
      </c>
      <c r="E1899" s="1" t="s">
        <v>9</v>
      </c>
      <c r="F1899" s="1">
        <v>1</v>
      </c>
      <c r="G1899" s="1" t="s">
        <v>4372</v>
      </c>
      <c r="H1899" s="1" t="s">
        <v>4372</v>
      </c>
      <c r="I1899" s="1" t="s">
        <v>4386</v>
      </c>
      <c r="J1899" s="1" t="s">
        <v>318</v>
      </c>
      <c r="K1899" s="1" t="s">
        <v>318</v>
      </c>
    </row>
    <row r="1900" spans="1:11" ht="21" x14ac:dyDescent="0.25">
      <c r="A1900" s="11" t="str">
        <f>HYPERLINK("https://rth.dk/resources/bsgatlas/details.php?id=BSGatlas-transcript-1899","BSGatlas-transcript-1899")</f>
        <v>BSGatlas-transcript-1899</v>
      </c>
      <c r="B1900" s="1" t="s">
        <v>1759</v>
      </c>
      <c r="C1900" s="3">
        <v>1653033</v>
      </c>
      <c r="D1900" s="3">
        <v>1653999</v>
      </c>
      <c r="E1900" s="1" t="s">
        <v>9</v>
      </c>
      <c r="F1900" s="1">
        <v>0</v>
      </c>
      <c r="G1900" s="1" t="s">
        <v>4372</v>
      </c>
      <c r="H1900" s="1" t="s">
        <v>4372</v>
      </c>
      <c r="I1900" s="1" t="s">
        <v>4386</v>
      </c>
      <c r="J1900" s="1" t="s">
        <v>7209</v>
      </c>
      <c r="K1900" s="1" t="s">
        <v>318</v>
      </c>
    </row>
    <row r="1901" spans="1:11" ht="21" x14ac:dyDescent="0.25">
      <c r="A1901" s="11" t="str">
        <f>HYPERLINK("https://rth.dk/resources/bsgatlas/details.php?id=BSGatlas-transcript-1900","BSGatlas-transcript-1900")</f>
        <v>BSGatlas-transcript-1900</v>
      </c>
      <c r="B1901" s="1" t="s">
        <v>1762</v>
      </c>
      <c r="C1901" s="3">
        <v>1655152</v>
      </c>
      <c r="D1901" s="3">
        <v>1655608</v>
      </c>
      <c r="E1901" s="1" t="s">
        <v>9</v>
      </c>
      <c r="F1901" s="1">
        <v>0</v>
      </c>
      <c r="G1901" s="1" t="s">
        <v>4372</v>
      </c>
      <c r="H1901" s="1" t="s">
        <v>4372</v>
      </c>
      <c r="I1901" s="1" t="s">
        <v>4373</v>
      </c>
      <c r="J1901" s="1" t="s">
        <v>7210</v>
      </c>
      <c r="K1901" s="1" t="s">
        <v>7211</v>
      </c>
    </row>
    <row r="1902" spans="1:11" ht="21" x14ac:dyDescent="0.25">
      <c r="A1902" s="11" t="str">
        <f>HYPERLINK("https://rth.dk/resources/bsgatlas/details.php?id=BSGatlas-transcript-1901","BSGatlas-transcript-1901")</f>
        <v>BSGatlas-transcript-1901</v>
      </c>
      <c r="B1902" s="1" t="s">
        <v>1762</v>
      </c>
      <c r="C1902" s="3">
        <v>1655299</v>
      </c>
      <c r="D1902" s="3">
        <v>1655608</v>
      </c>
      <c r="E1902" s="1" t="s">
        <v>9</v>
      </c>
      <c r="F1902" s="1">
        <v>0</v>
      </c>
      <c r="G1902" s="1" t="s">
        <v>4372</v>
      </c>
      <c r="H1902" s="1" t="s">
        <v>4372</v>
      </c>
      <c r="I1902" s="1" t="s">
        <v>4373</v>
      </c>
      <c r="J1902" s="1" t="s">
        <v>7212</v>
      </c>
      <c r="K1902" s="1" t="s">
        <v>7211</v>
      </c>
    </row>
    <row r="1903" spans="1:11" ht="21" x14ac:dyDescent="0.25">
      <c r="A1903" s="11" t="str">
        <f>HYPERLINK("https://rth.dk/resources/bsgatlas/details.php?id=BSGatlas-transcript-1902","BSGatlas-transcript-1902")</f>
        <v>BSGatlas-transcript-1902</v>
      </c>
      <c r="B1903" s="1" t="s">
        <v>1762</v>
      </c>
      <c r="C1903" s="3">
        <v>1655359</v>
      </c>
      <c r="D1903" s="3">
        <v>1655608</v>
      </c>
      <c r="E1903" s="1" t="s">
        <v>9</v>
      </c>
      <c r="F1903" s="1">
        <v>0</v>
      </c>
      <c r="G1903" s="1" t="s">
        <v>4372</v>
      </c>
      <c r="H1903" s="1" t="s">
        <v>4372</v>
      </c>
      <c r="I1903" s="1" t="s">
        <v>4373</v>
      </c>
      <c r="J1903" s="1" t="s">
        <v>7213</v>
      </c>
      <c r="K1903" s="1" t="s">
        <v>7211</v>
      </c>
    </row>
    <row r="1904" spans="1:11" ht="21" x14ac:dyDescent="0.25">
      <c r="A1904" s="11" t="str">
        <f>HYPERLINK("https://rth.dk/resources/bsgatlas/details.php?id=BSGatlas-transcript-1903","BSGatlas-transcript-1903")</f>
        <v>BSGatlas-transcript-1903</v>
      </c>
      <c r="B1904" s="1" t="s">
        <v>1763</v>
      </c>
      <c r="C1904" s="3">
        <v>1655599</v>
      </c>
      <c r="D1904" s="3">
        <v>1655880</v>
      </c>
      <c r="E1904" s="1" t="s">
        <v>13</v>
      </c>
      <c r="F1904" s="1">
        <v>0</v>
      </c>
      <c r="G1904" s="1" t="s">
        <v>4372</v>
      </c>
      <c r="H1904" s="1" t="s">
        <v>4372</v>
      </c>
      <c r="I1904" s="1" t="s">
        <v>4397</v>
      </c>
      <c r="J1904" s="1" t="s">
        <v>7214</v>
      </c>
      <c r="K1904" s="1" t="s">
        <v>7215</v>
      </c>
    </row>
    <row r="1905" spans="1:11" ht="21" x14ac:dyDescent="0.25">
      <c r="A1905" s="11" t="str">
        <f>HYPERLINK("https://rth.dk/resources/bsgatlas/details.php?id=BSGatlas-transcript-1904","BSGatlas-transcript-1904")</f>
        <v>BSGatlas-transcript-1904</v>
      </c>
      <c r="B1905" s="1" t="s">
        <v>1763</v>
      </c>
      <c r="C1905" s="3">
        <v>1655599</v>
      </c>
      <c r="D1905" s="3">
        <v>1655880</v>
      </c>
      <c r="E1905" s="1" t="s">
        <v>13</v>
      </c>
      <c r="F1905" s="1">
        <v>0</v>
      </c>
      <c r="G1905" s="1" t="s">
        <v>4372</v>
      </c>
      <c r="H1905" s="1" t="s">
        <v>4372</v>
      </c>
      <c r="I1905" s="1" t="s">
        <v>4397</v>
      </c>
      <c r="J1905" s="1" t="s">
        <v>7214</v>
      </c>
      <c r="K1905" s="1" t="s">
        <v>7216</v>
      </c>
    </row>
    <row r="1906" spans="1:11" ht="21" x14ac:dyDescent="0.25">
      <c r="A1906" s="11" t="str">
        <f>HYPERLINK("https://rth.dk/resources/bsgatlas/details.php?id=BSGatlas-transcript-1905","BSGatlas-transcript-1905")</f>
        <v>BSGatlas-transcript-1905</v>
      </c>
      <c r="B1906" s="1" t="s">
        <v>7217</v>
      </c>
      <c r="C1906" s="3">
        <v>1655960</v>
      </c>
      <c r="D1906" s="3">
        <v>1658103</v>
      </c>
      <c r="E1906" s="1" t="s">
        <v>9</v>
      </c>
      <c r="F1906" s="1">
        <v>0</v>
      </c>
      <c r="G1906" s="1" t="s">
        <v>4372</v>
      </c>
      <c r="H1906" s="1" t="s">
        <v>4372</v>
      </c>
      <c r="I1906" s="1" t="s">
        <v>4386</v>
      </c>
      <c r="J1906" s="1" t="s">
        <v>7218</v>
      </c>
      <c r="K1906" s="1" t="s">
        <v>318</v>
      </c>
    </row>
    <row r="1907" spans="1:11" ht="21" x14ac:dyDescent="0.25">
      <c r="A1907" s="11" t="str">
        <f>HYPERLINK("https://rth.dk/resources/bsgatlas/details.php?id=BSGatlas-transcript-1906","BSGatlas-transcript-1906")</f>
        <v>BSGatlas-transcript-1906</v>
      </c>
      <c r="B1907" s="1" t="s">
        <v>7217</v>
      </c>
      <c r="C1907" s="3">
        <v>1656025</v>
      </c>
      <c r="D1907" s="3">
        <v>1658103</v>
      </c>
      <c r="E1907" s="1" t="s">
        <v>9</v>
      </c>
      <c r="F1907" s="1">
        <v>0</v>
      </c>
      <c r="G1907" s="1" t="s">
        <v>4372</v>
      </c>
      <c r="H1907" s="1" t="s">
        <v>4372</v>
      </c>
      <c r="I1907" s="1" t="s">
        <v>4386</v>
      </c>
      <c r="J1907" s="1" t="s">
        <v>7219</v>
      </c>
      <c r="K1907" s="1" t="s">
        <v>318</v>
      </c>
    </row>
    <row r="1908" spans="1:11" ht="21" x14ac:dyDescent="0.25">
      <c r="A1908" s="11" t="str">
        <f>HYPERLINK("https://rth.dk/resources/bsgatlas/details.php?id=BSGatlas-transcript-1907","BSGatlas-transcript-1907")</f>
        <v>BSGatlas-transcript-1907</v>
      </c>
      <c r="B1908" s="1" t="s">
        <v>7220</v>
      </c>
      <c r="C1908" s="3">
        <v>1658195</v>
      </c>
      <c r="D1908" s="3">
        <v>1661858</v>
      </c>
      <c r="E1908" s="1" t="s">
        <v>9</v>
      </c>
      <c r="F1908" s="1">
        <v>1</v>
      </c>
      <c r="G1908" s="1">
        <v>48</v>
      </c>
      <c r="H1908" s="1" t="s">
        <v>4372</v>
      </c>
      <c r="I1908" s="1" t="s">
        <v>4386</v>
      </c>
      <c r="J1908" s="1" t="s">
        <v>7221</v>
      </c>
      <c r="K1908" s="1" t="s">
        <v>318</v>
      </c>
    </row>
    <row r="1909" spans="1:11" ht="21" x14ac:dyDescent="0.25">
      <c r="A1909" s="11" t="str">
        <f>HYPERLINK("https://rth.dk/resources/bsgatlas/details.php?id=BSGatlas-transcript-1908","BSGatlas-transcript-1908")</f>
        <v>BSGatlas-transcript-1908</v>
      </c>
      <c r="B1909" s="1" t="s">
        <v>7222</v>
      </c>
      <c r="C1909" s="3">
        <v>1661937</v>
      </c>
      <c r="D1909" s="3">
        <v>1665294</v>
      </c>
      <c r="E1909" s="1" t="s">
        <v>9</v>
      </c>
      <c r="F1909" s="1">
        <v>1</v>
      </c>
      <c r="G1909" s="1">
        <v>31</v>
      </c>
      <c r="H1909" s="1">
        <v>42</v>
      </c>
      <c r="I1909" s="1" t="s">
        <v>4382</v>
      </c>
      <c r="J1909" s="1" t="s">
        <v>7223</v>
      </c>
      <c r="K1909" s="1" t="s">
        <v>7224</v>
      </c>
    </row>
    <row r="1910" spans="1:11" ht="21" x14ac:dyDescent="0.25">
      <c r="A1910" s="11" t="str">
        <f>HYPERLINK("https://rth.dk/resources/bsgatlas/details.php?id=BSGatlas-transcript-1909","BSGatlas-transcript-1909")</f>
        <v>BSGatlas-transcript-1909</v>
      </c>
      <c r="B1910" s="1" t="s">
        <v>7225</v>
      </c>
      <c r="C1910" s="3">
        <v>1661937</v>
      </c>
      <c r="D1910" s="3">
        <v>1665570</v>
      </c>
      <c r="E1910" s="1" t="s">
        <v>9</v>
      </c>
      <c r="F1910" s="1">
        <v>2</v>
      </c>
      <c r="G1910" s="1">
        <v>31</v>
      </c>
      <c r="H1910" s="1" t="s">
        <v>4372</v>
      </c>
      <c r="I1910" s="1" t="s">
        <v>4386</v>
      </c>
      <c r="J1910" s="1" t="s">
        <v>7223</v>
      </c>
      <c r="K1910" s="1" t="s">
        <v>7226</v>
      </c>
    </row>
    <row r="1911" spans="1:11" ht="21" x14ac:dyDescent="0.25">
      <c r="A1911" s="11" t="str">
        <f>HYPERLINK("https://rth.dk/resources/bsgatlas/details.php?id=BSGatlas-transcript-1910","BSGatlas-transcript-1910")</f>
        <v>BSGatlas-transcript-1910</v>
      </c>
      <c r="B1911" s="1" t="s">
        <v>1773</v>
      </c>
      <c r="C1911" s="3">
        <v>1665309</v>
      </c>
      <c r="D1911" s="3">
        <v>1665570</v>
      </c>
      <c r="E1911" s="1" t="s">
        <v>9</v>
      </c>
      <c r="F1911" s="1">
        <v>0</v>
      </c>
      <c r="G1911" s="1" t="s">
        <v>4372</v>
      </c>
      <c r="H1911" s="1" t="s">
        <v>4372</v>
      </c>
      <c r="I1911" s="1" t="s">
        <v>4386</v>
      </c>
      <c r="J1911" s="1" t="s">
        <v>7227</v>
      </c>
      <c r="K1911" s="1" t="s">
        <v>7226</v>
      </c>
    </row>
    <row r="1912" spans="1:11" ht="21" x14ac:dyDescent="0.25">
      <c r="A1912" s="11" t="str">
        <f>HYPERLINK("https://rth.dk/resources/bsgatlas/details.php?id=BSGatlas-transcript-1911","BSGatlas-transcript-1911")</f>
        <v>BSGatlas-transcript-1911</v>
      </c>
      <c r="B1912" s="1" t="s">
        <v>1774</v>
      </c>
      <c r="C1912" s="3">
        <v>1665639</v>
      </c>
      <c r="D1912" s="3">
        <v>1666459</v>
      </c>
      <c r="E1912" s="1" t="s">
        <v>9</v>
      </c>
      <c r="F1912" s="1">
        <v>0</v>
      </c>
      <c r="G1912" s="1" t="s">
        <v>4372</v>
      </c>
      <c r="H1912" s="1" t="s">
        <v>4372</v>
      </c>
      <c r="I1912" s="1" t="s">
        <v>4377</v>
      </c>
      <c r="J1912" s="1" t="s">
        <v>7228</v>
      </c>
      <c r="K1912" s="1" t="s">
        <v>7229</v>
      </c>
    </row>
    <row r="1913" spans="1:11" ht="21" x14ac:dyDescent="0.25">
      <c r="A1913" s="11" t="str">
        <f>HYPERLINK("https://rth.dk/resources/bsgatlas/details.php?id=BSGatlas-transcript-1912","BSGatlas-transcript-1912")</f>
        <v>BSGatlas-transcript-1912</v>
      </c>
      <c r="B1913" s="1" t="s">
        <v>7230</v>
      </c>
      <c r="C1913" s="3">
        <v>1665639</v>
      </c>
      <c r="D1913" s="3">
        <v>1671170</v>
      </c>
      <c r="E1913" s="1" t="s">
        <v>9</v>
      </c>
      <c r="F1913" s="1">
        <v>2</v>
      </c>
      <c r="G1913" s="1">
        <v>72</v>
      </c>
      <c r="H1913" s="1">
        <v>42</v>
      </c>
      <c r="I1913" s="1" t="s">
        <v>4373</v>
      </c>
      <c r="J1913" s="1" t="s">
        <v>7228</v>
      </c>
      <c r="K1913" s="1" t="s">
        <v>7231</v>
      </c>
    </row>
    <row r="1914" spans="1:11" ht="21" x14ac:dyDescent="0.25">
      <c r="A1914" s="11" t="str">
        <f>HYPERLINK("https://rth.dk/resources/bsgatlas/details.php?id=BSGatlas-transcript-1913","BSGatlas-transcript-1913")</f>
        <v>BSGatlas-transcript-1913</v>
      </c>
      <c r="B1914" s="1" t="s">
        <v>7232</v>
      </c>
      <c r="C1914" s="3">
        <v>1666541</v>
      </c>
      <c r="D1914" s="3">
        <v>1671170</v>
      </c>
      <c r="E1914" s="1" t="s">
        <v>9</v>
      </c>
      <c r="F1914" s="1">
        <v>1</v>
      </c>
      <c r="G1914" s="1">
        <v>20</v>
      </c>
      <c r="H1914" s="1">
        <v>42</v>
      </c>
      <c r="I1914" s="1" t="s">
        <v>4377</v>
      </c>
      <c r="J1914" s="1" t="s">
        <v>7233</v>
      </c>
      <c r="K1914" s="1" t="s">
        <v>7231</v>
      </c>
    </row>
    <row r="1915" spans="1:11" ht="21" x14ac:dyDescent="0.25">
      <c r="A1915" s="11" t="str">
        <f>HYPERLINK("https://rth.dk/resources/bsgatlas/details.php?id=BSGatlas-transcript-1914","BSGatlas-transcript-1914")</f>
        <v>BSGatlas-transcript-1914</v>
      </c>
      <c r="B1915" s="1" t="s">
        <v>1776</v>
      </c>
      <c r="C1915" s="3">
        <v>1669432</v>
      </c>
      <c r="D1915" s="3">
        <v>1671170</v>
      </c>
      <c r="E1915" s="1" t="s">
        <v>9</v>
      </c>
      <c r="F1915" s="1">
        <v>0</v>
      </c>
      <c r="G1915" s="1" t="s">
        <v>4372</v>
      </c>
      <c r="H1915" s="1" t="s">
        <v>4372</v>
      </c>
      <c r="I1915" s="1" t="s">
        <v>4386</v>
      </c>
      <c r="J1915" s="1" t="s">
        <v>7234</v>
      </c>
      <c r="K1915" s="1" t="s">
        <v>7231</v>
      </c>
    </row>
    <row r="1916" spans="1:11" ht="21" x14ac:dyDescent="0.25">
      <c r="A1916" s="11" t="str">
        <f>HYPERLINK("https://rth.dk/resources/bsgatlas/details.php?id=BSGatlas-transcript-1915","BSGatlas-transcript-1915")</f>
        <v>BSGatlas-transcript-1915</v>
      </c>
      <c r="B1916" s="1" t="s">
        <v>1777</v>
      </c>
      <c r="C1916" s="3">
        <v>1670021</v>
      </c>
      <c r="D1916" s="3">
        <v>1671689</v>
      </c>
      <c r="E1916" s="1" t="s">
        <v>13</v>
      </c>
      <c r="F1916" s="1">
        <v>0</v>
      </c>
      <c r="G1916" s="1" t="s">
        <v>4372</v>
      </c>
      <c r="H1916" s="1" t="s">
        <v>4372</v>
      </c>
      <c r="I1916" s="1" t="s">
        <v>4373</v>
      </c>
      <c r="J1916" s="1" t="s">
        <v>7235</v>
      </c>
      <c r="K1916" s="1" t="s">
        <v>7236</v>
      </c>
    </row>
    <row r="1917" spans="1:11" ht="21" x14ac:dyDescent="0.25">
      <c r="A1917" s="11" t="str">
        <f>HYPERLINK("https://rth.dk/resources/bsgatlas/details.php?id=BSGatlas-transcript-1916","BSGatlas-transcript-1916")</f>
        <v>BSGatlas-transcript-1916</v>
      </c>
      <c r="B1917" s="1" t="s">
        <v>1777</v>
      </c>
      <c r="C1917" s="3">
        <v>1671121</v>
      </c>
      <c r="D1917" s="3">
        <v>1671689</v>
      </c>
      <c r="E1917" s="1" t="s">
        <v>13</v>
      </c>
      <c r="F1917" s="1">
        <v>0</v>
      </c>
      <c r="G1917" s="1" t="s">
        <v>4372</v>
      </c>
      <c r="H1917" s="1" t="s">
        <v>4372</v>
      </c>
      <c r="I1917" s="1" t="s">
        <v>4373</v>
      </c>
      <c r="J1917" s="1" t="s">
        <v>7235</v>
      </c>
      <c r="K1917" s="1" t="s">
        <v>7237</v>
      </c>
    </row>
    <row r="1918" spans="1:11" ht="21" x14ac:dyDescent="0.25">
      <c r="A1918" s="11" t="str">
        <f>HYPERLINK("https://rth.dk/resources/bsgatlas/details.php?id=BSGatlas-transcript-1917","BSGatlas-transcript-1917")</f>
        <v>BSGatlas-transcript-1917</v>
      </c>
      <c r="B1918" s="1" t="s">
        <v>7238</v>
      </c>
      <c r="C1918" s="3">
        <v>1671791</v>
      </c>
      <c r="D1918" s="3">
        <v>1673514</v>
      </c>
      <c r="E1918" s="1" t="s">
        <v>9</v>
      </c>
      <c r="F1918" s="1">
        <v>0</v>
      </c>
      <c r="G1918" s="1" t="s">
        <v>4372</v>
      </c>
      <c r="H1918" s="1" t="s">
        <v>4372</v>
      </c>
      <c r="I1918" s="1" t="s">
        <v>4382</v>
      </c>
      <c r="J1918" s="1" t="s">
        <v>7239</v>
      </c>
      <c r="K1918" s="1" t="s">
        <v>318</v>
      </c>
    </row>
    <row r="1919" spans="1:11" ht="21" x14ac:dyDescent="0.25">
      <c r="A1919" s="11" t="str">
        <f>HYPERLINK("https://rth.dk/resources/bsgatlas/details.php?id=BSGatlas-transcript-1918","BSGatlas-transcript-1918")</f>
        <v>BSGatlas-transcript-1918</v>
      </c>
      <c r="B1919" s="1" t="s">
        <v>7240</v>
      </c>
      <c r="C1919" s="3">
        <v>1671791</v>
      </c>
      <c r="D1919" s="3">
        <v>1674137</v>
      </c>
      <c r="E1919" s="1" t="s">
        <v>9</v>
      </c>
      <c r="F1919" s="1">
        <v>1</v>
      </c>
      <c r="G1919" s="1">
        <v>38</v>
      </c>
      <c r="H1919" s="1" t="s">
        <v>4372</v>
      </c>
      <c r="I1919" s="1" t="s">
        <v>4377</v>
      </c>
      <c r="J1919" s="1" t="s">
        <v>7239</v>
      </c>
      <c r="K1919" s="1" t="s">
        <v>7241</v>
      </c>
    </row>
    <row r="1920" spans="1:11" ht="21" x14ac:dyDescent="0.25">
      <c r="A1920" s="11" t="str">
        <f>HYPERLINK("https://rth.dk/resources/bsgatlas/details.php?id=BSGatlas-transcript-1919","BSGatlas-transcript-1919")</f>
        <v>BSGatlas-transcript-1919</v>
      </c>
      <c r="B1920" s="1" t="s">
        <v>7240</v>
      </c>
      <c r="C1920" s="3">
        <v>1671791</v>
      </c>
      <c r="D1920" s="3">
        <v>1674176</v>
      </c>
      <c r="E1920" s="1" t="s">
        <v>9</v>
      </c>
      <c r="F1920" s="1">
        <v>1</v>
      </c>
      <c r="G1920" s="1">
        <v>38</v>
      </c>
      <c r="H1920" s="1">
        <v>40</v>
      </c>
      <c r="I1920" s="1" t="s">
        <v>4377</v>
      </c>
      <c r="J1920" s="1" t="s">
        <v>7239</v>
      </c>
      <c r="K1920" s="1" t="s">
        <v>7242</v>
      </c>
    </row>
    <row r="1921" spans="1:11" ht="21" x14ac:dyDescent="0.25">
      <c r="A1921" s="11" t="str">
        <f>HYPERLINK("https://rth.dk/resources/bsgatlas/details.php?id=BSGatlas-transcript-1920","BSGatlas-transcript-1920")</f>
        <v>BSGatlas-transcript-1920</v>
      </c>
      <c r="B1921" s="1" t="s">
        <v>7243</v>
      </c>
      <c r="C1921" s="3">
        <v>1671791</v>
      </c>
      <c r="D1921" s="3">
        <v>1676413</v>
      </c>
      <c r="E1921" s="1" t="s">
        <v>9</v>
      </c>
      <c r="F1921" s="1">
        <v>4</v>
      </c>
      <c r="G1921" s="1">
        <v>38</v>
      </c>
      <c r="H1921" s="1">
        <v>25</v>
      </c>
      <c r="I1921" s="1" t="s">
        <v>4386</v>
      </c>
      <c r="J1921" s="1" t="s">
        <v>7239</v>
      </c>
      <c r="K1921" s="1" t="s">
        <v>7244</v>
      </c>
    </row>
    <row r="1922" spans="1:11" ht="21" x14ac:dyDescent="0.25">
      <c r="A1922" s="11" t="str">
        <f>HYPERLINK("https://rth.dk/resources/bsgatlas/details.php?id=BSGatlas-transcript-1921","BSGatlas-transcript-1921")</f>
        <v>BSGatlas-transcript-1921</v>
      </c>
      <c r="B1922" s="1" t="s">
        <v>7245</v>
      </c>
      <c r="C1922" s="3">
        <v>1673620</v>
      </c>
      <c r="D1922" s="3">
        <v>1674137</v>
      </c>
      <c r="E1922" s="1" t="s">
        <v>9</v>
      </c>
      <c r="F1922" s="1">
        <v>0</v>
      </c>
      <c r="G1922" s="1" t="s">
        <v>4372</v>
      </c>
      <c r="H1922" s="1" t="s">
        <v>4372</v>
      </c>
      <c r="I1922" s="1" t="s">
        <v>4373</v>
      </c>
      <c r="J1922" s="1" t="s">
        <v>318</v>
      </c>
      <c r="K1922" s="1" t="s">
        <v>7241</v>
      </c>
    </row>
    <row r="1923" spans="1:11" ht="21" x14ac:dyDescent="0.25">
      <c r="A1923" s="11" t="str">
        <f>HYPERLINK("https://rth.dk/resources/bsgatlas/details.php?id=BSGatlas-transcript-1922","BSGatlas-transcript-1922")</f>
        <v>BSGatlas-transcript-1922</v>
      </c>
      <c r="B1923" s="1" t="s">
        <v>7245</v>
      </c>
      <c r="C1923" s="3">
        <v>1673620</v>
      </c>
      <c r="D1923" s="3">
        <v>1674176</v>
      </c>
      <c r="E1923" s="1" t="s">
        <v>9</v>
      </c>
      <c r="F1923" s="1">
        <v>0</v>
      </c>
      <c r="G1923" s="1" t="s">
        <v>4372</v>
      </c>
      <c r="H1923" s="1" t="s">
        <v>4372</v>
      </c>
      <c r="I1923" s="1" t="s">
        <v>4373</v>
      </c>
      <c r="J1923" s="1" t="s">
        <v>318</v>
      </c>
      <c r="K1923" s="1" t="s">
        <v>7242</v>
      </c>
    </row>
    <row r="1924" spans="1:11" ht="21" x14ac:dyDescent="0.25">
      <c r="A1924" s="11" t="str">
        <f>HYPERLINK("https://rth.dk/resources/bsgatlas/details.php?id=BSGatlas-transcript-1923","BSGatlas-transcript-1923")</f>
        <v>BSGatlas-transcript-1923</v>
      </c>
      <c r="B1924" s="1" t="s">
        <v>1785</v>
      </c>
      <c r="C1924" s="3">
        <v>1675933</v>
      </c>
      <c r="D1924" s="3">
        <v>1676413</v>
      </c>
      <c r="E1924" s="1" t="s">
        <v>9</v>
      </c>
      <c r="F1924" s="1">
        <v>0</v>
      </c>
      <c r="G1924" s="1" t="s">
        <v>4372</v>
      </c>
      <c r="H1924" s="1" t="s">
        <v>4372</v>
      </c>
      <c r="I1924" s="1" t="s">
        <v>4386</v>
      </c>
      <c r="J1924" s="1" t="s">
        <v>7246</v>
      </c>
      <c r="K1924" s="1" t="s">
        <v>7244</v>
      </c>
    </row>
    <row r="1925" spans="1:11" ht="21" x14ac:dyDescent="0.25">
      <c r="A1925" s="11" t="str">
        <f>HYPERLINK("https://rth.dk/resources/bsgatlas/details.php?id=BSGatlas-transcript-1924","BSGatlas-transcript-1924")</f>
        <v>BSGatlas-transcript-1924</v>
      </c>
      <c r="B1925" s="1" t="s">
        <v>7247</v>
      </c>
      <c r="C1925" s="3">
        <v>1676463</v>
      </c>
      <c r="D1925" s="3">
        <v>1680112</v>
      </c>
      <c r="E1925" s="1" t="s">
        <v>9</v>
      </c>
      <c r="F1925" s="1">
        <v>2</v>
      </c>
      <c r="G1925" s="1">
        <v>70</v>
      </c>
      <c r="H1925" s="1">
        <v>133</v>
      </c>
      <c r="I1925" s="1" t="s">
        <v>4377</v>
      </c>
      <c r="J1925" s="1" t="s">
        <v>7248</v>
      </c>
      <c r="K1925" s="1" t="s">
        <v>7249</v>
      </c>
    </row>
    <row r="1926" spans="1:11" ht="21" x14ac:dyDescent="0.25">
      <c r="A1926" s="11" t="str">
        <f>HYPERLINK("https://rth.dk/resources/bsgatlas/details.php?id=BSGatlas-transcript-1925","BSGatlas-transcript-1925")</f>
        <v>BSGatlas-transcript-1925</v>
      </c>
      <c r="B1926" s="1" t="s">
        <v>7250</v>
      </c>
      <c r="C1926" s="3">
        <v>1676463</v>
      </c>
      <c r="D1926" s="3">
        <v>1680258</v>
      </c>
      <c r="E1926" s="1" t="s">
        <v>9</v>
      </c>
      <c r="F1926" s="1">
        <v>2</v>
      </c>
      <c r="G1926" s="1">
        <v>70</v>
      </c>
      <c r="H1926" s="1" t="s">
        <v>4372</v>
      </c>
      <c r="I1926" s="1" t="s">
        <v>4386</v>
      </c>
      <c r="J1926" s="1" t="s">
        <v>7248</v>
      </c>
      <c r="K1926" s="1" t="s">
        <v>318</v>
      </c>
    </row>
    <row r="1927" spans="1:11" ht="21" x14ac:dyDescent="0.25">
      <c r="A1927" s="11" t="str">
        <f>HYPERLINK("https://rth.dk/resources/bsgatlas/details.php?id=BSGatlas-transcript-1926","BSGatlas-transcript-1926")</f>
        <v>BSGatlas-transcript-1926</v>
      </c>
      <c r="B1927" s="1" t="s">
        <v>7251</v>
      </c>
      <c r="C1927" s="3">
        <v>1677431</v>
      </c>
      <c r="D1927" s="3">
        <v>1680112</v>
      </c>
      <c r="E1927" s="1" t="s">
        <v>9</v>
      </c>
      <c r="F1927" s="1">
        <v>1</v>
      </c>
      <c r="G1927" s="1">
        <v>21</v>
      </c>
      <c r="H1927" s="1">
        <v>133</v>
      </c>
      <c r="I1927" s="1" t="s">
        <v>4377</v>
      </c>
      <c r="J1927" s="1" t="s">
        <v>7252</v>
      </c>
      <c r="K1927" s="1" t="s">
        <v>7249</v>
      </c>
    </row>
    <row r="1928" spans="1:11" ht="21" x14ac:dyDescent="0.25">
      <c r="A1928" s="11" t="str">
        <f>HYPERLINK("https://rth.dk/resources/bsgatlas/details.php?id=BSGatlas-transcript-1927","BSGatlas-transcript-1927")</f>
        <v>BSGatlas-transcript-1927</v>
      </c>
      <c r="B1928" s="1" t="s">
        <v>7253</v>
      </c>
      <c r="C1928" s="3">
        <v>1677431</v>
      </c>
      <c r="D1928" s="3">
        <v>1680258</v>
      </c>
      <c r="E1928" s="1" t="s">
        <v>9</v>
      </c>
      <c r="F1928" s="1">
        <v>1</v>
      </c>
      <c r="G1928" s="1">
        <v>21</v>
      </c>
      <c r="H1928" s="1" t="s">
        <v>4372</v>
      </c>
      <c r="I1928" s="1" t="s">
        <v>4386</v>
      </c>
      <c r="J1928" s="1" t="s">
        <v>7252</v>
      </c>
      <c r="K1928" s="1" t="s">
        <v>318</v>
      </c>
    </row>
    <row r="1929" spans="1:11" ht="21" x14ac:dyDescent="0.25">
      <c r="A1929" s="11" t="str">
        <f>HYPERLINK("https://rth.dk/resources/bsgatlas/details.php?id=BSGatlas-transcript-1928","BSGatlas-transcript-1928")</f>
        <v>BSGatlas-transcript-1928</v>
      </c>
      <c r="B1929" s="1" t="s">
        <v>7254</v>
      </c>
      <c r="C1929" s="3">
        <v>1680380</v>
      </c>
      <c r="D1929" s="3">
        <v>1682567</v>
      </c>
      <c r="E1929" s="1" t="s">
        <v>9</v>
      </c>
      <c r="F1929" s="1">
        <v>1</v>
      </c>
      <c r="G1929" s="1">
        <v>52</v>
      </c>
      <c r="H1929" s="1">
        <v>49</v>
      </c>
      <c r="I1929" s="1" t="s">
        <v>4382</v>
      </c>
      <c r="J1929" s="1" t="s">
        <v>7255</v>
      </c>
      <c r="K1929" s="1" t="s">
        <v>7256</v>
      </c>
    </row>
    <row r="1930" spans="1:11" ht="21" x14ac:dyDescent="0.25">
      <c r="A1930" s="11" t="str">
        <f>HYPERLINK("https://rth.dk/resources/bsgatlas/details.php?id=BSGatlas-transcript-1929","BSGatlas-transcript-1929")</f>
        <v>BSGatlas-transcript-1929</v>
      </c>
      <c r="B1930" s="1" t="s">
        <v>7257</v>
      </c>
      <c r="C1930" s="3">
        <v>1680380</v>
      </c>
      <c r="D1930" s="3">
        <v>1683551</v>
      </c>
      <c r="E1930" s="1" t="s">
        <v>9</v>
      </c>
      <c r="F1930" s="1">
        <v>2</v>
      </c>
      <c r="G1930" s="1">
        <v>52</v>
      </c>
      <c r="H1930" s="1">
        <v>79</v>
      </c>
      <c r="I1930" s="1" t="s">
        <v>4377</v>
      </c>
      <c r="J1930" s="1" t="s">
        <v>7255</v>
      </c>
      <c r="K1930" s="1" t="s">
        <v>7258</v>
      </c>
    </row>
    <row r="1931" spans="1:11" ht="21" x14ac:dyDescent="0.25">
      <c r="A1931" s="11" t="str">
        <f>HYPERLINK("https://rth.dk/resources/bsgatlas/details.php?id=BSGatlas-transcript-1930","BSGatlas-transcript-1930")</f>
        <v>BSGatlas-transcript-1930</v>
      </c>
      <c r="B1931" s="1" t="s">
        <v>7259</v>
      </c>
      <c r="C1931" s="3">
        <v>1680380</v>
      </c>
      <c r="D1931" s="3">
        <v>1685736</v>
      </c>
      <c r="E1931" s="1" t="s">
        <v>9</v>
      </c>
      <c r="F1931" s="1">
        <v>3</v>
      </c>
      <c r="G1931" s="1">
        <v>52</v>
      </c>
      <c r="H1931" s="1" t="s">
        <v>4372</v>
      </c>
      <c r="I1931" s="1" t="s">
        <v>4386</v>
      </c>
      <c r="J1931" s="1" t="s">
        <v>7255</v>
      </c>
      <c r="K1931" s="1" t="s">
        <v>7260</v>
      </c>
    </row>
    <row r="1932" spans="1:11" ht="21" x14ac:dyDescent="0.25">
      <c r="A1932" s="11" t="str">
        <f>HYPERLINK("https://rth.dk/resources/bsgatlas/details.php?id=BSGatlas-transcript-1931","BSGatlas-transcript-1931")</f>
        <v>BSGatlas-transcript-1931</v>
      </c>
      <c r="B1932" s="1" t="s">
        <v>7259</v>
      </c>
      <c r="C1932" s="3">
        <v>1680380</v>
      </c>
      <c r="D1932" s="3">
        <v>1685774</v>
      </c>
      <c r="E1932" s="1" t="s">
        <v>9</v>
      </c>
      <c r="F1932" s="1">
        <v>3</v>
      </c>
      <c r="G1932" s="1">
        <v>52</v>
      </c>
      <c r="H1932" s="1">
        <v>39</v>
      </c>
      <c r="I1932" s="1" t="s">
        <v>4386</v>
      </c>
      <c r="J1932" s="1" t="s">
        <v>7255</v>
      </c>
      <c r="K1932" s="1" t="s">
        <v>7261</v>
      </c>
    </row>
    <row r="1933" spans="1:11" ht="21" x14ac:dyDescent="0.25">
      <c r="A1933" s="11" t="str">
        <f>HYPERLINK("https://rth.dk/resources/bsgatlas/details.php?id=BSGatlas-transcript-1932","BSGatlas-transcript-1932")</f>
        <v>BSGatlas-transcript-1932</v>
      </c>
      <c r="B1933" s="1" t="s">
        <v>1792</v>
      </c>
      <c r="C1933" s="3">
        <v>1682580</v>
      </c>
      <c r="D1933" s="3">
        <v>1683551</v>
      </c>
      <c r="E1933" s="1" t="s">
        <v>9</v>
      </c>
      <c r="F1933" s="1">
        <v>0</v>
      </c>
      <c r="G1933" s="1" t="s">
        <v>4372</v>
      </c>
      <c r="H1933" s="1" t="s">
        <v>4372</v>
      </c>
      <c r="I1933" s="1" t="s">
        <v>4382</v>
      </c>
      <c r="J1933" s="1" t="s">
        <v>318</v>
      </c>
      <c r="K1933" s="1" t="s">
        <v>7258</v>
      </c>
    </row>
    <row r="1934" spans="1:11" ht="21" x14ac:dyDescent="0.25">
      <c r="A1934" s="11" t="str">
        <f>HYPERLINK("https://rth.dk/resources/bsgatlas/details.php?id=BSGatlas-transcript-1933","BSGatlas-transcript-1933")</f>
        <v>BSGatlas-transcript-1933</v>
      </c>
      <c r="B1934" s="1" t="s">
        <v>1793</v>
      </c>
      <c r="C1934" s="3">
        <v>1683508</v>
      </c>
      <c r="D1934" s="3">
        <v>1685736</v>
      </c>
      <c r="E1934" s="1" t="s">
        <v>9</v>
      </c>
      <c r="F1934" s="1">
        <v>0</v>
      </c>
      <c r="G1934" s="1" t="s">
        <v>4372</v>
      </c>
      <c r="H1934" s="1" t="s">
        <v>4372</v>
      </c>
      <c r="I1934" s="1" t="s">
        <v>4373</v>
      </c>
      <c r="J1934" s="1" t="s">
        <v>7262</v>
      </c>
      <c r="K1934" s="1" t="s">
        <v>7260</v>
      </c>
    </row>
    <row r="1935" spans="1:11" ht="21" x14ac:dyDescent="0.25">
      <c r="A1935" s="11" t="str">
        <f>HYPERLINK("https://rth.dk/resources/bsgatlas/details.php?id=BSGatlas-transcript-1934","BSGatlas-transcript-1934")</f>
        <v>BSGatlas-transcript-1934</v>
      </c>
      <c r="B1935" s="1" t="s">
        <v>1793</v>
      </c>
      <c r="C1935" s="3">
        <v>1683508</v>
      </c>
      <c r="D1935" s="3">
        <v>1685774</v>
      </c>
      <c r="E1935" s="1" t="s">
        <v>9</v>
      </c>
      <c r="F1935" s="1">
        <v>0</v>
      </c>
      <c r="G1935" s="1" t="s">
        <v>4372</v>
      </c>
      <c r="H1935" s="1" t="s">
        <v>4372</v>
      </c>
      <c r="I1935" s="1" t="s">
        <v>4373</v>
      </c>
      <c r="J1935" s="1" t="s">
        <v>7262</v>
      </c>
      <c r="K1935" s="1" t="s">
        <v>7261</v>
      </c>
    </row>
    <row r="1936" spans="1:11" ht="21" x14ac:dyDescent="0.25">
      <c r="A1936" s="11" t="str">
        <f>HYPERLINK("https://rth.dk/resources/bsgatlas/details.php?id=BSGatlas-transcript-1935","BSGatlas-transcript-1935")</f>
        <v>BSGatlas-transcript-1935</v>
      </c>
      <c r="B1936" s="1" t="s">
        <v>7263</v>
      </c>
      <c r="C1936" s="3">
        <v>1685780</v>
      </c>
      <c r="D1936" s="3">
        <v>1690941</v>
      </c>
      <c r="E1936" s="1" t="s">
        <v>9</v>
      </c>
      <c r="F1936" s="1">
        <v>3</v>
      </c>
      <c r="G1936" s="1">
        <v>33</v>
      </c>
      <c r="H1936" s="1">
        <v>44</v>
      </c>
      <c r="I1936" s="1" t="s">
        <v>4386</v>
      </c>
      <c r="J1936" s="1" t="s">
        <v>7264</v>
      </c>
      <c r="K1936" s="1" t="s">
        <v>7265</v>
      </c>
    </row>
    <row r="1937" spans="1:11" ht="21" x14ac:dyDescent="0.25">
      <c r="A1937" s="11" t="str">
        <f>HYPERLINK("https://rth.dk/resources/bsgatlas/details.php?id=BSGatlas-transcript-1936","BSGatlas-transcript-1936")</f>
        <v>BSGatlas-transcript-1936</v>
      </c>
      <c r="B1937" s="1" t="s">
        <v>7266</v>
      </c>
      <c r="C1937" s="3">
        <v>1687163</v>
      </c>
      <c r="D1937" s="3">
        <v>1690941</v>
      </c>
      <c r="E1937" s="1" t="s">
        <v>9</v>
      </c>
      <c r="F1937" s="1">
        <v>2</v>
      </c>
      <c r="G1937" s="1">
        <v>25</v>
      </c>
      <c r="H1937" s="1">
        <v>44</v>
      </c>
      <c r="I1937" s="1" t="s">
        <v>4382</v>
      </c>
      <c r="J1937" s="1" t="s">
        <v>7267</v>
      </c>
      <c r="K1937" s="1" t="s">
        <v>7265</v>
      </c>
    </row>
    <row r="1938" spans="1:11" ht="21" x14ac:dyDescent="0.25">
      <c r="A1938" s="11" t="str">
        <f>HYPERLINK("https://rth.dk/resources/bsgatlas/details.php?id=BSGatlas-transcript-1937","BSGatlas-transcript-1937")</f>
        <v>BSGatlas-transcript-1937</v>
      </c>
      <c r="B1938" s="1" t="s">
        <v>7266</v>
      </c>
      <c r="C1938" s="3">
        <v>1687187</v>
      </c>
      <c r="D1938" s="3">
        <v>1690941</v>
      </c>
      <c r="E1938" s="1" t="s">
        <v>9</v>
      </c>
      <c r="F1938" s="1">
        <v>2</v>
      </c>
      <c r="G1938" s="1" t="s">
        <v>4372</v>
      </c>
      <c r="H1938" s="1">
        <v>44</v>
      </c>
      <c r="I1938" s="1" t="s">
        <v>4382</v>
      </c>
      <c r="J1938" s="1" t="s">
        <v>7268</v>
      </c>
      <c r="K1938" s="1" t="s">
        <v>7265</v>
      </c>
    </row>
    <row r="1939" spans="1:11" ht="21" x14ac:dyDescent="0.25">
      <c r="A1939" s="11" t="str">
        <f>HYPERLINK("https://rth.dk/resources/bsgatlas/details.php?id=BSGatlas-transcript-1938","BSGatlas-transcript-1938")</f>
        <v>BSGatlas-transcript-1938</v>
      </c>
      <c r="B1939" s="1" t="s">
        <v>7269</v>
      </c>
      <c r="C1939" s="3">
        <v>1691052</v>
      </c>
      <c r="D1939" s="3">
        <v>1717789</v>
      </c>
      <c r="E1939" s="1" t="s">
        <v>9</v>
      </c>
      <c r="F1939" s="1">
        <v>11</v>
      </c>
      <c r="G1939" s="1">
        <v>227</v>
      </c>
      <c r="H1939" s="1" t="s">
        <v>4372</v>
      </c>
      <c r="I1939" s="1" t="s">
        <v>4373</v>
      </c>
      <c r="J1939" s="1" t="s">
        <v>7270</v>
      </c>
      <c r="K1939" s="1" t="s">
        <v>318</v>
      </c>
    </row>
    <row r="1940" spans="1:11" ht="21" x14ac:dyDescent="0.25">
      <c r="A1940" s="11" t="str">
        <f>HYPERLINK("https://rth.dk/resources/bsgatlas/details.php?id=BSGatlas-transcript-1939","BSGatlas-transcript-1939")</f>
        <v>BSGatlas-transcript-1939</v>
      </c>
      <c r="B1940" s="1" t="s">
        <v>7269</v>
      </c>
      <c r="C1940" s="3">
        <v>1691214</v>
      </c>
      <c r="D1940" s="3">
        <v>1717789</v>
      </c>
      <c r="E1940" s="1" t="s">
        <v>9</v>
      </c>
      <c r="F1940" s="1">
        <v>11</v>
      </c>
      <c r="G1940" s="1">
        <v>65</v>
      </c>
      <c r="H1940" s="1" t="s">
        <v>4372</v>
      </c>
      <c r="I1940" s="1" t="s">
        <v>4373</v>
      </c>
      <c r="J1940" s="1" t="s">
        <v>7271</v>
      </c>
      <c r="K1940" s="1" t="s">
        <v>318</v>
      </c>
    </row>
    <row r="1941" spans="1:11" ht="21" x14ac:dyDescent="0.25">
      <c r="A1941" s="11" t="str">
        <f>HYPERLINK("https://rth.dk/resources/bsgatlas/details.php?id=BSGatlas-transcript-1940","BSGatlas-transcript-1940")</f>
        <v>BSGatlas-transcript-1940</v>
      </c>
      <c r="B1941" s="1" t="s">
        <v>7272</v>
      </c>
      <c r="C1941" s="3">
        <v>1697651</v>
      </c>
      <c r="D1941" s="3">
        <v>1717789</v>
      </c>
      <c r="E1941" s="1" t="s">
        <v>9</v>
      </c>
      <c r="F1941" s="1">
        <v>9</v>
      </c>
      <c r="G1941" s="1" t="s">
        <v>4372</v>
      </c>
      <c r="H1941" s="1" t="s">
        <v>4372</v>
      </c>
      <c r="I1941" s="1" t="s">
        <v>4386</v>
      </c>
      <c r="J1941" s="1" t="s">
        <v>318</v>
      </c>
      <c r="K1941" s="1" t="s">
        <v>318</v>
      </c>
    </row>
    <row r="1942" spans="1:11" ht="21" x14ac:dyDescent="0.25">
      <c r="A1942" s="11" t="str">
        <f>HYPERLINK("https://rth.dk/resources/bsgatlas/details.php?id=BSGatlas-transcript-1941","BSGatlas-transcript-1941")</f>
        <v>BSGatlas-transcript-1941</v>
      </c>
      <c r="B1942" s="1" t="s">
        <v>7273</v>
      </c>
      <c r="C1942" s="3">
        <v>1716477</v>
      </c>
      <c r="D1942" s="3">
        <v>1717789</v>
      </c>
      <c r="E1942" s="1" t="s">
        <v>9</v>
      </c>
      <c r="F1942" s="1">
        <v>1</v>
      </c>
      <c r="G1942" s="1">
        <v>17</v>
      </c>
      <c r="H1942" s="1" t="s">
        <v>4372</v>
      </c>
      <c r="I1942" s="1" t="s">
        <v>4386</v>
      </c>
      <c r="J1942" s="1" t="s">
        <v>7274</v>
      </c>
      <c r="K1942" s="1" t="s">
        <v>318</v>
      </c>
    </row>
    <row r="1943" spans="1:11" ht="21" x14ac:dyDescent="0.25">
      <c r="A1943" s="11" t="str">
        <f>HYPERLINK("https://rth.dk/resources/bsgatlas/details.php?id=BSGatlas-transcript-1942","BSGatlas-transcript-1942")</f>
        <v>BSGatlas-transcript-1942</v>
      </c>
      <c r="B1943" s="1" t="s">
        <v>1831</v>
      </c>
      <c r="C1943" s="3">
        <v>1717808</v>
      </c>
      <c r="D1943" s="3">
        <v>1718673</v>
      </c>
      <c r="E1943" s="1" t="s">
        <v>9</v>
      </c>
      <c r="F1943" s="1">
        <v>0</v>
      </c>
      <c r="G1943" s="1" t="s">
        <v>4372</v>
      </c>
      <c r="H1943" s="1" t="s">
        <v>4372</v>
      </c>
      <c r="I1943" s="1" t="s">
        <v>4386</v>
      </c>
      <c r="J1943" s="1" t="s">
        <v>7275</v>
      </c>
      <c r="K1943" s="1" t="s">
        <v>7276</v>
      </c>
    </row>
    <row r="1944" spans="1:11" ht="21" x14ac:dyDescent="0.25">
      <c r="A1944" s="11" t="str">
        <f>HYPERLINK("https://rth.dk/resources/bsgatlas/details.php?id=BSGatlas-transcript-1943","BSGatlas-transcript-1943")</f>
        <v>BSGatlas-transcript-1943</v>
      </c>
      <c r="B1944" s="1" t="s">
        <v>7277</v>
      </c>
      <c r="C1944" s="3">
        <v>1717808</v>
      </c>
      <c r="D1944" s="3">
        <v>1721083</v>
      </c>
      <c r="E1944" s="1" t="s">
        <v>9</v>
      </c>
      <c r="F1944" s="1">
        <v>2</v>
      </c>
      <c r="G1944" s="1">
        <v>126</v>
      </c>
      <c r="H1944" s="1" t="s">
        <v>4372</v>
      </c>
      <c r="I1944" s="1" t="s">
        <v>4386</v>
      </c>
      <c r="J1944" s="1" t="s">
        <v>7275</v>
      </c>
      <c r="K1944" s="1" t="s">
        <v>318</v>
      </c>
    </row>
    <row r="1945" spans="1:11" ht="21" x14ac:dyDescent="0.25">
      <c r="A1945" s="11" t="str">
        <f>HYPERLINK("https://rth.dk/resources/bsgatlas/details.php?id=BSGatlas-transcript-1944","BSGatlas-transcript-1944")</f>
        <v>BSGatlas-transcript-1944</v>
      </c>
      <c r="B1945" s="1" t="s">
        <v>7278</v>
      </c>
      <c r="C1945" s="3">
        <v>1721108</v>
      </c>
      <c r="D1945" s="3">
        <v>1731446</v>
      </c>
      <c r="E1945" s="1" t="s">
        <v>9</v>
      </c>
      <c r="F1945" s="1">
        <v>3</v>
      </c>
      <c r="G1945" s="1">
        <v>107</v>
      </c>
      <c r="H1945" s="1" t="s">
        <v>4372</v>
      </c>
      <c r="I1945" s="1" t="s">
        <v>4386</v>
      </c>
      <c r="J1945" s="1" t="s">
        <v>7279</v>
      </c>
      <c r="K1945" s="1" t="s">
        <v>318</v>
      </c>
    </row>
    <row r="1946" spans="1:11" ht="21" x14ac:dyDescent="0.25">
      <c r="A1946" s="11" t="str">
        <f>HYPERLINK("https://rth.dk/resources/bsgatlas/details.php?id=BSGatlas-transcript-1945","BSGatlas-transcript-1945")</f>
        <v>BSGatlas-transcript-1945</v>
      </c>
      <c r="B1946" s="1" t="s">
        <v>7280</v>
      </c>
      <c r="C1946" s="3">
        <v>1722813</v>
      </c>
      <c r="D1946" s="3">
        <v>1731446</v>
      </c>
      <c r="E1946" s="1" t="s">
        <v>9</v>
      </c>
      <c r="F1946" s="1">
        <v>2</v>
      </c>
      <c r="G1946" s="1">
        <v>59</v>
      </c>
      <c r="H1946" s="1" t="s">
        <v>4372</v>
      </c>
      <c r="I1946" s="1" t="s">
        <v>4386</v>
      </c>
      <c r="J1946" s="1" t="s">
        <v>7281</v>
      </c>
      <c r="K1946" s="1" t="s">
        <v>318</v>
      </c>
    </row>
    <row r="1947" spans="1:11" ht="21" x14ac:dyDescent="0.25">
      <c r="A1947" s="11" t="str">
        <f>HYPERLINK("https://rth.dk/resources/bsgatlas/details.php?id=BSGatlas-transcript-1946","BSGatlas-transcript-1946")</f>
        <v>BSGatlas-transcript-1946</v>
      </c>
      <c r="B1947" s="1" t="s">
        <v>1841</v>
      </c>
      <c r="C1947" s="3">
        <v>1731457</v>
      </c>
      <c r="D1947" s="3">
        <v>1731674</v>
      </c>
      <c r="E1947" s="1" t="s">
        <v>9</v>
      </c>
      <c r="F1947" s="1">
        <v>0</v>
      </c>
      <c r="G1947" s="1" t="s">
        <v>4372</v>
      </c>
      <c r="H1947" s="1" t="s">
        <v>4372</v>
      </c>
      <c r="I1947" s="1" t="s">
        <v>4377</v>
      </c>
      <c r="J1947" s="1" t="s">
        <v>7282</v>
      </c>
      <c r="K1947" s="1" t="s">
        <v>318</v>
      </c>
    </row>
    <row r="1948" spans="1:11" ht="21" x14ac:dyDescent="0.25">
      <c r="A1948" s="11" t="str">
        <f>HYPERLINK("https://rth.dk/resources/bsgatlas/details.php?id=BSGatlas-transcript-1947","BSGatlas-transcript-1947")</f>
        <v>BSGatlas-transcript-1947</v>
      </c>
      <c r="B1948" s="1" t="s">
        <v>7283</v>
      </c>
      <c r="C1948" s="3">
        <v>1731599</v>
      </c>
      <c r="D1948" s="3">
        <v>1736853</v>
      </c>
      <c r="E1948" s="1" t="s">
        <v>9</v>
      </c>
      <c r="F1948" s="1">
        <v>3</v>
      </c>
      <c r="G1948" s="1">
        <v>178</v>
      </c>
      <c r="H1948" s="1">
        <v>50</v>
      </c>
      <c r="I1948" s="1" t="s">
        <v>4373</v>
      </c>
      <c r="J1948" s="1" t="s">
        <v>7284</v>
      </c>
      <c r="K1948" s="1" t="s">
        <v>7285</v>
      </c>
    </row>
    <row r="1949" spans="1:11" ht="21" x14ac:dyDescent="0.25">
      <c r="A1949" s="11" t="str">
        <f>HYPERLINK("https://rth.dk/resources/bsgatlas/details.php?id=BSGatlas-transcript-1948","BSGatlas-transcript-1948")</f>
        <v>BSGatlas-transcript-1948</v>
      </c>
      <c r="B1949" s="1" t="s">
        <v>7286</v>
      </c>
      <c r="C1949" s="3">
        <v>1736069</v>
      </c>
      <c r="D1949" s="3">
        <v>1736853</v>
      </c>
      <c r="E1949" s="1" t="s">
        <v>9</v>
      </c>
      <c r="F1949" s="1">
        <v>1</v>
      </c>
      <c r="G1949" s="1">
        <v>88</v>
      </c>
      <c r="H1949" s="1">
        <v>50</v>
      </c>
      <c r="I1949" s="1" t="s">
        <v>4377</v>
      </c>
      <c r="J1949" s="1" t="s">
        <v>7287</v>
      </c>
      <c r="K1949" s="1" t="s">
        <v>7285</v>
      </c>
    </row>
    <row r="1950" spans="1:11" ht="21" x14ac:dyDescent="0.25">
      <c r="A1950" s="11" t="str">
        <f>HYPERLINK("https://rth.dk/resources/bsgatlas/details.php?id=BSGatlas-transcript-1949","BSGatlas-transcript-1949")</f>
        <v>BSGatlas-transcript-1949</v>
      </c>
      <c r="B1950" s="1" t="s">
        <v>7288</v>
      </c>
      <c r="C1950" s="3">
        <v>1737630</v>
      </c>
      <c r="D1950" s="3">
        <v>1739210</v>
      </c>
      <c r="E1950" s="1" t="s">
        <v>9</v>
      </c>
      <c r="F1950" s="1">
        <v>1</v>
      </c>
      <c r="G1950" s="1">
        <v>205</v>
      </c>
      <c r="H1950" s="1" t="s">
        <v>4372</v>
      </c>
      <c r="I1950" s="1" t="s">
        <v>4386</v>
      </c>
      <c r="J1950" s="1" t="s">
        <v>7289</v>
      </c>
      <c r="K1950" s="1" t="s">
        <v>7290</v>
      </c>
    </row>
    <row r="1951" spans="1:11" ht="21" x14ac:dyDescent="0.25">
      <c r="A1951" s="11" t="str">
        <f>HYPERLINK("https://rth.dk/resources/bsgatlas/details.php?id=BSGatlas-transcript-1950","BSGatlas-transcript-1950")</f>
        <v>BSGatlas-transcript-1950</v>
      </c>
      <c r="B1951" s="1" t="s">
        <v>1850</v>
      </c>
      <c r="C1951" s="3">
        <v>1738824</v>
      </c>
      <c r="D1951" s="3">
        <v>1739210</v>
      </c>
      <c r="E1951" s="1" t="s">
        <v>9</v>
      </c>
      <c r="F1951" s="1">
        <v>0</v>
      </c>
      <c r="G1951" s="1" t="s">
        <v>4372</v>
      </c>
      <c r="H1951" s="1" t="s">
        <v>4372</v>
      </c>
      <c r="I1951" s="1" t="s">
        <v>4386</v>
      </c>
      <c r="J1951" s="1" t="s">
        <v>7291</v>
      </c>
      <c r="K1951" s="1" t="s">
        <v>7290</v>
      </c>
    </row>
    <row r="1952" spans="1:11" ht="21" x14ac:dyDescent="0.25">
      <c r="A1952" s="11" t="str">
        <f>HYPERLINK("https://rth.dk/resources/bsgatlas/details.php?id=BSGatlas-transcript-1951","BSGatlas-transcript-1951")</f>
        <v>BSGatlas-transcript-1951</v>
      </c>
      <c r="B1952" s="1" t="s">
        <v>1851</v>
      </c>
      <c r="C1952" s="3">
        <v>1739325</v>
      </c>
      <c r="D1952" s="3">
        <v>1741500</v>
      </c>
      <c r="E1952" s="1" t="s">
        <v>9</v>
      </c>
      <c r="F1952" s="1">
        <v>0</v>
      </c>
      <c r="G1952" s="1" t="s">
        <v>4372</v>
      </c>
      <c r="H1952" s="1" t="s">
        <v>4372</v>
      </c>
      <c r="I1952" s="1" t="s">
        <v>4386</v>
      </c>
      <c r="J1952" s="1" t="s">
        <v>7292</v>
      </c>
      <c r="K1952" s="1" t="s">
        <v>7293</v>
      </c>
    </row>
    <row r="1953" spans="1:11" ht="21" x14ac:dyDescent="0.25">
      <c r="A1953" s="11" t="str">
        <f>HYPERLINK("https://rth.dk/resources/bsgatlas/details.php?id=BSGatlas-transcript-1952","BSGatlas-transcript-1952")</f>
        <v>BSGatlas-transcript-1952</v>
      </c>
      <c r="B1953" s="1" t="s">
        <v>1851</v>
      </c>
      <c r="C1953" s="3">
        <v>1739325</v>
      </c>
      <c r="D1953" s="3">
        <v>1741500</v>
      </c>
      <c r="E1953" s="1" t="s">
        <v>9</v>
      </c>
      <c r="F1953" s="1">
        <v>0</v>
      </c>
      <c r="G1953" s="1" t="s">
        <v>4372</v>
      </c>
      <c r="H1953" s="1" t="s">
        <v>4372</v>
      </c>
      <c r="I1953" s="1" t="s">
        <v>4386</v>
      </c>
      <c r="J1953" s="1" t="s">
        <v>7292</v>
      </c>
      <c r="K1953" s="1" t="s">
        <v>7294</v>
      </c>
    </row>
    <row r="1954" spans="1:11" ht="21" x14ac:dyDescent="0.25">
      <c r="A1954" s="11" t="str">
        <f>HYPERLINK("https://rth.dk/resources/bsgatlas/details.php?id=BSGatlas-transcript-1953","BSGatlas-transcript-1953")</f>
        <v>BSGatlas-transcript-1953</v>
      </c>
      <c r="B1954" s="1" t="s">
        <v>1852</v>
      </c>
      <c r="C1954" s="3">
        <v>1742207</v>
      </c>
      <c r="D1954" s="3">
        <v>1743893</v>
      </c>
      <c r="E1954" s="1" t="s">
        <v>9</v>
      </c>
      <c r="F1954" s="1">
        <v>0</v>
      </c>
      <c r="G1954" s="1" t="s">
        <v>4372</v>
      </c>
      <c r="H1954" s="1" t="s">
        <v>4372</v>
      </c>
      <c r="I1954" s="1" t="s">
        <v>4373</v>
      </c>
      <c r="J1954" s="1" t="s">
        <v>7295</v>
      </c>
      <c r="K1954" s="1" t="s">
        <v>7296</v>
      </c>
    </row>
    <row r="1955" spans="1:11" ht="21" x14ac:dyDescent="0.25">
      <c r="A1955" s="11" t="str">
        <f>HYPERLINK("https://rth.dk/resources/bsgatlas/details.php?id=BSGatlas-transcript-1954","BSGatlas-transcript-1954")</f>
        <v>BSGatlas-transcript-1954</v>
      </c>
      <c r="B1955" s="1" t="s">
        <v>1853</v>
      </c>
      <c r="C1955" s="3">
        <v>1743890</v>
      </c>
      <c r="D1955" s="3">
        <v>1744263</v>
      </c>
      <c r="E1955" s="1" t="s">
        <v>9</v>
      </c>
      <c r="F1955" s="1">
        <v>0</v>
      </c>
      <c r="G1955" s="1" t="s">
        <v>4372</v>
      </c>
      <c r="H1955" s="1" t="s">
        <v>4372</v>
      </c>
      <c r="I1955" s="1" t="s">
        <v>4373</v>
      </c>
      <c r="J1955" s="1" t="s">
        <v>7297</v>
      </c>
      <c r="K1955" s="1" t="s">
        <v>7298</v>
      </c>
    </row>
    <row r="1956" spans="1:11" ht="21" x14ac:dyDescent="0.25">
      <c r="A1956" s="11" t="str">
        <f>HYPERLINK("https://rth.dk/resources/bsgatlas/details.php?id=BSGatlas-transcript-1955","BSGatlas-transcript-1955")</f>
        <v>BSGatlas-transcript-1955</v>
      </c>
      <c r="B1956" s="1" t="s">
        <v>7299</v>
      </c>
      <c r="C1956" s="3">
        <v>1744314</v>
      </c>
      <c r="D1956" s="3">
        <v>1749313</v>
      </c>
      <c r="E1956" s="1" t="s">
        <v>9</v>
      </c>
      <c r="F1956" s="1">
        <v>3</v>
      </c>
      <c r="G1956" s="1">
        <v>54</v>
      </c>
      <c r="H1956" s="1">
        <v>74</v>
      </c>
      <c r="I1956" s="1" t="s">
        <v>4373</v>
      </c>
      <c r="J1956" s="1" t="s">
        <v>7300</v>
      </c>
      <c r="K1956" s="1" t="s">
        <v>7301</v>
      </c>
    </row>
    <row r="1957" spans="1:11" ht="21" x14ac:dyDescent="0.25">
      <c r="A1957" s="11" t="str">
        <f>HYPERLINK("https://rth.dk/resources/bsgatlas/details.php?id=BSGatlas-transcript-1956","BSGatlas-transcript-1956")</f>
        <v>BSGatlas-transcript-1956</v>
      </c>
      <c r="B1957" s="1" t="s">
        <v>7302</v>
      </c>
      <c r="C1957" s="3">
        <v>1745936</v>
      </c>
      <c r="D1957" s="3">
        <v>1749313</v>
      </c>
      <c r="E1957" s="1" t="s">
        <v>9</v>
      </c>
      <c r="F1957" s="1">
        <v>2</v>
      </c>
      <c r="G1957" s="1">
        <v>56</v>
      </c>
      <c r="H1957" s="1">
        <v>74</v>
      </c>
      <c r="I1957" s="1" t="s">
        <v>4386</v>
      </c>
      <c r="J1957" s="1" t="s">
        <v>7303</v>
      </c>
      <c r="K1957" s="1" t="s">
        <v>7301</v>
      </c>
    </row>
    <row r="1958" spans="1:11" ht="21" x14ac:dyDescent="0.25">
      <c r="A1958" s="11" t="str">
        <f>HYPERLINK("https://rth.dk/resources/bsgatlas/details.php?id=BSGatlas-transcript-1957","BSGatlas-transcript-1957")</f>
        <v>BSGatlas-transcript-1957</v>
      </c>
      <c r="B1958" s="1" t="s">
        <v>7302</v>
      </c>
      <c r="C1958" s="3">
        <v>1745970</v>
      </c>
      <c r="D1958" s="3">
        <v>1749313</v>
      </c>
      <c r="E1958" s="1" t="s">
        <v>9</v>
      </c>
      <c r="F1958" s="1">
        <v>2</v>
      </c>
      <c r="G1958" s="1">
        <v>22</v>
      </c>
      <c r="H1958" s="1">
        <v>74</v>
      </c>
      <c r="I1958" s="1" t="s">
        <v>4386</v>
      </c>
      <c r="J1958" s="1" t="s">
        <v>7304</v>
      </c>
      <c r="K1958" s="1" t="s">
        <v>7301</v>
      </c>
    </row>
    <row r="1959" spans="1:11" ht="21" x14ac:dyDescent="0.25">
      <c r="A1959" s="11" t="str">
        <f>HYPERLINK("https://rth.dk/resources/bsgatlas/details.php?id=BSGatlas-transcript-1958","BSGatlas-transcript-1958")</f>
        <v>BSGatlas-transcript-1958</v>
      </c>
      <c r="B1959" s="1" t="s">
        <v>1859</v>
      </c>
      <c r="C1959" s="3">
        <v>1748711</v>
      </c>
      <c r="D1959" s="3">
        <v>1749895</v>
      </c>
      <c r="E1959" s="1" t="s">
        <v>13</v>
      </c>
      <c r="F1959" s="1">
        <v>0</v>
      </c>
      <c r="G1959" s="1" t="s">
        <v>4372</v>
      </c>
      <c r="H1959" s="1" t="s">
        <v>4372</v>
      </c>
      <c r="I1959" s="1" t="s">
        <v>4377</v>
      </c>
      <c r="J1959" s="1" t="s">
        <v>7305</v>
      </c>
      <c r="K1959" s="1" t="s">
        <v>318</v>
      </c>
    </row>
    <row r="1960" spans="1:11" ht="21" x14ac:dyDescent="0.25">
      <c r="A1960" s="11" t="str">
        <f>HYPERLINK("https://rth.dk/resources/bsgatlas/details.php?id=BSGatlas-transcript-1959","BSGatlas-transcript-1959")</f>
        <v>BSGatlas-transcript-1959</v>
      </c>
      <c r="B1960" s="1" t="s">
        <v>1860</v>
      </c>
      <c r="C1960" s="3">
        <v>1749377</v>
      </c>
      <c r="D1960" s="3">
        <v>1751085</v>
      </c>
      <c r="E1960" s="1" t="s">
        <v>9</v>
      </c>
      <c r="F1960" s="1">
        <v>0</v>
      </c>
      <c r="G1960" s="1" t="s">
        <v>4372</v>
      </c>
      <c r="H1960" s="1" t="s">
        <v>4372</v>
      </c>
      <c r="I1960" s="1" t="s">
        <v>4397</v>
      </c>
      <c r="J1960" s="1" t="s">
        <v>7306</v>
      </c>
      <c r="K1960" s="1" t="s">
        <v>7307</v>
      </c>
    </row>
    <row r="1961" spans="1:11" ht="21" x14ac:dyDescent="0.25">
      <c r="A1961" s="11" t="str">
        <f>HYPERLINK("https://rth.dk/resources/bsgatlas/details.php?id=BSGatlas-transcript-1960","BSGatlas-transcript-1960")</f>
        <v>BSGatlas-transcript-1960</v>
      </c>
      <c r="B1961" s="1" t="s">
        <v>7308</v>
      </c>
      <c r="C1961" s="3">
        <v>1751161</v>
      </c>
      <c r="D1961" s="3">
        <v>1752147</v>
      </c>
      <c r="E1961" s="1" t="s">
        <v>9</v>
      </c>
      <c r="F1961" s="1">
        <v>0</v>
      </c>
      <c r="G1961" s="1" t="s">
        <v>4372</v>
      </c>
      <c r="H1961" s="1" t="s">
        <v>4372</v>
      </c>
      <c r="I1961" s="1" t="s">
        <v>4386</v>
      </c>
      <c r="J1961" s="1" t="s">
        <v>7309</v>
      </c>
      <c r="K1961" s="1" t="s">
        <v>318</v>
      </c>
    </row>
    <row r="1962" spans="1:11" ht="21" x14ac:dyDescent="0.25">
      <c r="A1962" s="11" t="str">
        <f>HYPERLINK("https://rth.dk/resources/bsgatlas/details.php?id=BSGatlas-transcript-1961","BSGatlas-transcript-1961")</f>
        <v>BSGatlas-transcript-1961</v>
      </c>
      <c r="B1962" s="1" t="s">
        <v>1863</v>
      </c>
      <c r="C1962" s="3">
        <v>1752193</v>
      </c>
      <c r="D1962" s="3">
        <v>1754671</v>
      </c>
      <c r="E1962" s="1" t="s">
        <v>9</v>
      </c>
      <c r="F1962" s="1">
        <v>0</v>
      </c>
      <c r="G1962" s="1" t="s">
        <v>4372</v>
      </c>
      <c r="H1962" s="1" t="s">
        <v>4372</v>
      </c>
      <c r="I1962" s="1" t="s">
        <v>4382</v>
      </c>
      <c r="J1962" s="1" t="s">
        <v>7310</v>
      </c>
      <c r="K1962" s="1" t="s">
        <v>7311</v>
      </c>
    </row>
    <row r="1963" spans="1:11" ht="21" x14ac:dyDescent="0.25">
      <c r="A1963" s="11" t="str">
        <f>HYPERLINK("https://rth.dk/resources/bsgatlas/details.php?id=BSGatlas-transcript-1962","BSGatlas-transcript-1962")</f>
        <v>BSGatlas-transcript-1962</v>
      </c>
      <c r="B1963" s="1" t="s">
        <v>7312</v>
      </c>
      <c r="C1963" s="3">
        <v>1752193</v>
      </c>
      <c r="D1963" s="3">
        <v>1755510</v>
      </c>
      <c r="E1963" s="1" t="s">
        <v>9</v>
      </c>
      <c r="F1963" s="1">
        <v>1</v>
      </c>
      <c r="G1963" s="1">
        <v>86</v>
      </c>
      <c r="H1963" s="1" t="s">
        <v>4372</v>
      </c>
      <c r="I1963" s="1" t="s">
        <v>4386</v>
      </c>
      <c r="J1963" s="1" t="s">
        <v>7310</v>
      </c>
      <c r="K1963" s="1" t="s">
        <v>7313</v>
      </c>
    </row>
    <row r="1964" spans="1:11" ht="21" x14ac:dyDescent="0.25">
      <c r="A1964" s="11" t="str">
        <f>HYPERLINK("https://rth.dk/resources/bsgatlas/details.php?id=BSGatlas-transcript-1963","BSGatlas-transcript-1963")</f>
        <v>BSGatlas-transcript-1963</v>
      </c>
      <c r="B1964" s="1" t="s">
        <v>1864</v>
      </c>
      <c r="C1964" s="3">
        <v>1754743</v>
      </c>
      <c r="D1964" s="3">
        <v>1755510</v>
      </c>
      <c r="E1964" s="1" t="s">
        <v>9</v>
      </c>
      <c r="F1964" s="1">
        <v>0</v>
      </c>
      <c r="G1964" s="1" t="s">
        <v>4372</v>
      </c>
      <c r="H1964" s="1" t="s">
        <v>4372</v>
      </c>
      <c r="I1964" s="1" t="s">
        <v>4386</v>
      </c>
      <c r="J1964" s="1" t="s">
        <v>7314</v>
      </c>
      <c r="K1964" s="1" t="s">
        <v>7313</v>
      </c>
    </row>
    <row r="1965" spans="1:11" ht="21" x14ac:dyDescent="0.25">
      <c r="A1965" s="11" t="str">
        <f>HYPERLINK("https://rth.dk/resources/bsgatlas/details.php?id=BSGatlas-transcript-1964","BSGatlas-transcript-1964")</f>
        <v>BSGatlas-transcript-1964</v>
      </c>
      <c r="B1965" s="1" t="s">
        <v>1865</v>
      </c>
      <c r="C1965" s="3">
        <v>1755585</v>
      </c>
      <c r="D1965" s="3">
        <v>1756857</v>
      </c>
      <c r="E1965" s="1" t="s">
        <v>9</v>
      </c>
      <c r="F1965" s="1">
        <v>0</v>
      </c>
      <c r="G1965" s="1" t="s">
        <v>4372</v>
      </c>
      <c r="H1965" s="1" t="s">
        <v>4372</v>
      </c>
      <c r="I1965" s="1" t="s">
        <v>4377</v>
      </c>
      <c r="J1965" s="1" t="s">
        <v>7315</v>
      </c>
      <c r="K1965" s="1" t="s">
        <v>7316</v>
      </c>
    </row>
    <row r="1966" spans="1:11" ht="21" x14ac:dyDescent="0.25">
      <c r="A1966" s="11" t="str">
        <f>HYPERLINK("https://rth.dk/resources/bsgatlas/details.php?id=BSGatlas-transcript-1965","BSGatlas-transcript-1965")</f>
        <v>BSGatlas-transcript-1965</v>
      </c>
      <c r="B1966" s="1" t="s">
        <v>7317</v>
      </c>
      <c r="C1966" s="3">
        <v>1755585</v>
      </c>
      <c r="D1966" s="3">
        <v>1759600</v>
      </c>
      <c r="E1966" s="1" t="s">
        <v>9</v>
      </c>
      <c r="F1966" s="1">
        <v>1</v>
      </c>
      <c r="G1966" s="1">
        <v>65</v>
      </c>
      <c r="H1966" s="1" t="s">
        <v>4372</v>
      </c>
      <c r="I1966" s="1" t="s">
        <v>4386</v>
      </c>
      <c r="J1966" s="1" t="s">
        <v>7315</v>
      </c>
      <c r="K1966" s="1" t="s">
        <v>7318</v>
      </c>
    </row>
    <row r="1967" spans="1:11" ht="21" x14ac:dyDescent="0.25">
      <c r="A1967" s="11" t="str">
        <f>HYPERLINK("https://rth.dk/resources/bsgatlas/details.php?id=BSGatlas-transcript-1966","BSGatlas-transcript-1966")</f>
        <v>BSGatlas-transcript-1966</v>
      </c>
      <c r="B1967" s="1" t="s">
        <v>7319</v>
      </c>
      <c r="C1967" s="3">
        <v>1756968</v>
      </c>
      <c r="D1967" s="3">
        <v>1759600</v>
      </c>
      <c r="E1967" s="1" t="s">
        <v>9</v>
      </c>
      <c r="F1967" s="1">
        <v>0</v>
      </c>
      <c r="G1967" s="1" t="s">
        <v>4372</v>
      </c>
      <c r="H1967" s="1" t="s">
        <v>4372</v>
      </c>
      <c r="I1967" s="1" t="s">
        <v>4377</v>
      </c>
      <c r="J1967" s="1" t="s">
        <v>7320</v>
      </c>
      <c r="K1967" s="1" t="s">
        <v>7318</v>
      </c>
    </row>
    <row r="1968" spans="1:11" ht="21" x14ac:dyDescent="0.25">
      <c r="A1968" s="11" t="str">
        <f>HYPERLINK("https://rth.dk/resources/bsgatlas/details.php?id=BSGatlas-transcript-1967","BSGatlas-transcript-1967")</f>
        <v>BSGatlas-transcript-1967</v>
      </c>
      <c r="B1968" s="1" t="s">
        <v>7319</v>
      </c>
      <c r="C1968" s="3">
        <v>1757013</v>
      </c>
      <c r="D1968" s="3">
        <v>1759600</v>
      </c>
      <c r="E1968" s="1" t="s">
        <v>9</v>
      </c>
      <c r="F1968" s="1">
        <v>0</v>
      </c>
      <c r="G1968" s="1" t="s">
        <v>4372</v>
      </c>
      <c r="H1968" s="1" t="s">
        <v>4372</v>
      </c>
      <c r="I1968" s="1" t="s">
        <v>4377</v>
      </c>
      <c r="J1968" s="1" t="s">
        <v>7321</v>
      </c>
      <c r="K1968" s="1" t="s">
        <v>7318</v>
      </c>
    </row>
    <row r="1969" spans="1:11" ht="21" x14ac:dyDescent="0.25">
      <c r="A1969" s="11" t="str">
        <f>HYPERLINK("https://rth.dk/resources/bsgatlas/details.php?id=BSGatlas-transcript-1968","BSGatlas-transcript-1968")</f>
        <v>BSGatlas-transcript-1968</v>
      </c>
      <c r="B1969" s="1" t="s">
        <v>1868</v>
      </c>
      <c r="C1969" s="3">
        <v>1760417</v>
      </c>
      <c r="D1969" s="3">
        <v>1760721</v>
      </c>
      <c r="E1969" s="1" t="s">
        <v>9</v>
      </c>
      <c r="F1969" s="1">
        <v>0</v>
      </c>
      <c r="G1969" s="1" t="s">
        <v>4372</v>
      </c>
      <c r="H1969" s="1" t="s">
        <v>4372</v>
      </c>
      <c r="I1969" s="1" t="s">
        <v>4386</v>
      </c>
      <c r="J1969" s="1" t="s">
        <v>7322</v>
      </c>
      <c r="K1969" s="1" t="s">
        <v>7323</v>
      </c>
    </row>
    <row r="1970" spans="1:11" ht="21" x14ac:dyDescent="0.25">
      <c r="A1970" s="11" t="str">
        <f>HYPERLINK("https://rth.dk/resources/bsgatlas/details.php?id=BSGatlas-transcript-1969","BSGatlas-transcript-1969")</f>
        <v>BSGatlas-transcript-1969</v>
      </c>
      <c r="B1970" s="1" t="s">
        <v>7324</v>
      </c>
      <c r="C1970" s="3">
        <v>1760797</v>
      </c>
      <c r="D1970" s="3">
        <v>1762573</v>
      </c>
      <c r="E1970" s="1" t="s">
        <v>9</v>
      </c>
      <c r="F1970" s="1">
        <v>1</v>
      </c>
      <c r="G1970" s="1">
        <v>55</v>
      </c>
      <c r="H1970" s="1" t="s">
        <v>4372</v>
      </c>
      <c r="I1970" s="1" t="s">
        <v>4386</v>
      </c>
      <c r="J1970" s="1" t="s">
        <v>7325</v>
      </c>
      <c r="K1970" s="1" t="s">
        <v>7326</v>
      </c>
    </row>
    <row r="1971" spans="1:11" ht="21" x14ac:dyDescent="0.25">
      <c r="A1971" s="11" t="str">
        <f>HYPERLINK("https://rth.dk/resources/bsgatlas/details.php?id=BSGatlas-transcript-1970","BSGatlas-transcript-1970")</f>
        <v>BSGatlas-transcript-1970</v>
      </c>
      <c r="B1971" s="1" t="s">
        <v>1871</v>
      </c>
      <c r="C1971" s="3">
        <v>1761707</v>
      </c>
      <c r="D1971" s="3">
        <v>1762573</v>
      </c>
      <c r="E1971" s="1" t="s">
        <v>9</v>
      </c>
      <c r="F1971" s="1">
        <v>0</v>
      </c>
      <c r="G1971" s="1" t="s">
        <v>4372</v>
      </c>
      <c r="H1971" s="1" t="s">
        <v>4372</v>
      </c>
      <c r="I1971" s="1" t="s">
        <v>4377</v>
      </c>
      <c r="J1971" s="1" t="s">
        <v>7327</v>
      </c>
      <c r="K1971" s="1" t="s">
        <v>7326</v>
      </c>
    </row>
    <row r="1972" spans="1:11" ht="21" x14ac:dyDescent="0.25">
      <c r="A1972" s="11" t="str">
        <f>HYPERLINK("https://rth.dk/resources/bsgatlas/details.php?id=BSGatlas-transcript-1971","BSGatlas-transcript-1971")</f>
        <v>BSGatlas-transcript-1971</v>
      </c>
      <c r="B1972" s="1" t="s">
        <v>7328</v>
      </c>
      <c r="C1972" s="3">
        <v>1761707</v>
      </c>
      <c r="D1972" s="3">
        <v>1763204</v>
      </c>
      <c r="E1972" s="1" t="s">
        <v>9</v>
      </c>
      <c r="F1972" s="1">
        <v>1</v>
      </c>
      <c r="G1972" s="1" t="s">
        <v>4372</v>
      </c>
      <c r="H1972" s="1" t="s">
        <v>4372</v>
      </c>
      <c r="I1972" s="1" t="s">
        <v>4547</v>
      </c>
      <c r="J1972" s="1" t="s">
        <v>7327</v>
      </c>
      <c r="K1972" s="1" t="s">
        <v>318</v>
      </c>
    </row>
    <row r="1973" spans="1:11" ht="21" x14ac:dyDescent="0.25">
      <c r="A1973" s="11" t="str">
        <f>HYPERLINK("https://rth.dk/resources/bsgatlas/details.php?id=BSGatlas-transcript-1972","BSGatlas-transcript-1972")</f>
        <v>BSGatlas-transcript-1972</v>
      </c>
      <c r="B1973" s="1" t="s">
        <v>1873</v>
      </c>
      <c r="C1973" s="3">
        <v>1764614</v>
      </c>
      <c r="D1973" s="3">
        <v>1765755</v>
      </c>
      <c r="E1973" s="1" t="s">
        <v>9</v>
      </c>
      <c r="F1973" s="1">
        <v>0</v>
      </c>
      <c r="G1973" s="1" t="s">
        <v>4372</v>
      </c>
      <c r="H1973" s="1" t="s">
        <v>4372</v>
      </c>
      <c r="I1973" s="1" t="s">
        <v>4373</v>
      </c>
      <c r="J1973" s="1" t="s">
        <v>7329</v>
      </c>
      <c r="K1973" s="1" t="s">
        <v>7330</v>
      </c>
    </row>
    <row r="1974" spans="1:11" ht="21" x14ac:dyDescent="0.25">
      <c r="A1974" s="11" t="str">
        <f>HYPERLINK("https://rth.dk/resources/bsgatlas/details.php?id=BSGatlas-transcript-1973","BSGatlas-transcript-1973")</f>
        <v>BSGatlas-transcript-1973</v>
      </c>
      <c r="B1974" s="1" t="s">
        <v>1874</v>
      </c>
      <c r="C1974" s="3">
        <v>1765815</v>
      </c>
      <c r="D1974" s="3">
        <v>1767166</v>
      </c>
      <c r="E1974" s="1" t="s">
        <v>9</v>
      </c>
      <c r="F1974" s="1">
        <v>0</v>
      </c>
      <c r="G1974" s="1" t="s">
        <v>4372</v>
      </c>
      <c r="H1974" s="1" t="s">
        <v>4372</v>
      </c>
      <c r="I1974" s="1" t="s">
        <v>4373</v>
      </c>
      <c r="J1974" s="1" t="s">
        <v>7331</v>
      </c>
      <c r="K1974" s="1" t="s">
        <v>7332</v>
      </c>
    </row>
    <row r="1975" spans="1:11" ht="21" x14ac:dyDescent="0.25">
      <c r="A1975" s="11" t="str">
        <f>HYPERLINK("https://rth.dk/resources/bsgatlas/details.php?id=BSGatlas-transcript-1974","BSGatlas-transcript-1974")</f>
        <v>BSGatlas-transcript-1974</v>
      </c>
      <c r="B1975" s="1" t="s">
        <v>1875</v>
      </c>
      <c r="C1975" s="3">
        <v>1767136</v>
      </c>
      <c r="D1975" s="3">
        <v>1768872</v>
      </c>
      <c r="E1975" s="1" t="s">
        <v>9</v>
      </c>
      <c r="F1975" s="1">
        <v>0</v>
      </c>
      <c r="G1975" s="1" t="s">
        <v>4372</v>
      </c>
      <c r="H1975" s="1" t="s">
        <v>4372</v>
      </c>
      <c r="I1975" s="1" t="s">
        <v>4386</v>
      </c>
      <c r="J1975" s="1" t="s">
        <v>7333</v>
      </c>
      <c r="K1975" s="1" t="s">
        <v>7334</v>
      </c>
    </row>
    <row r="1976" spans="1:11" ht="21" x14ac:dyDescent="0.25">
      <c r="A1976" s="11" t="str">
        <f>HYPERLINK("https://rth.dk/resources/bsgatlas/details.php?id=BSGatlas-transcript-1975","BSGatlas-transcript-1975")</f>
        <v>BSGatlas-transcript-1975</v>
      </c>
      <c r="B1976" s="1" t="s">
        <v>7335</v>
      </c>
      <c r="C1976" s="3">
        <v>1767136</v>
      </c>
      <c r="D1976" s="3">
        <v>1769735</v>
      </c>
      <c r="E1976" s="1" t="s">
        <v>9</v>
      </c>
      <c r="F1976" s="1">
        <v>1</v>
      </c>
      <c r="G1976" s="1">
        <v>175</v>
      </c>
      <c r="H1976" s="1" t="s">
        <v>4372</v>
      </c>
      <c r="I1976" s="1" t="s">
        <v>4386</v>
      </c>
      <c r="J1976" s="1" t="s">
        <v>7333</v>
      </c>
      <c r="K1976" s="1" t="s">
        <v>318</v>
      </c>
    </row>
    <row r="1977" spans="1:11" ht="21" x14ac:dyDescent="0.25">
      <c r="A1977" s="11" t="str">
        <f>HYPERLINK("https://rth.dk/resources/bsgatlas/details.php?id=BSGatlas-transcript-1976","BSGatlas-transcript-1976")</f>
        <v>BSGatlas-transcript-1976</v>
      </c>
      <c r="B1977" s="1" t="s">
        <v>1877</v>
      </c>
      <c r="C1977" s="3">
        <v>1769531</v>
      </c>
      <c r="D1977" s="3">
        <v>1770257</v>
      </c>
      <c r="E1977" s="1" t="s">
        <v>9</v>
      </c>
      <c r="F1977" s="1">
        <v>0</v>
      </c>
      <c r="G1977" s="1" t="s">
        <v>4372</v>
      </c>
      <c r="H1977" s="1" t="s">
        <v>4372</v>
      </c>
      <c r="I1977" s="1" t="s">
        <v>4373</v>
      </c>
      <c r="J1977" s="1" t="s">
        <v>7336</v>
      </c>
      <c r="K1977" s="1" t="s">
        <v>7337</v>
      </c>
    </row>
    <row r="1978" spans="1:11" ht="21" x14ac:dyDescent="0.25">
      <c r="A1978" s="11" t="str">
        <f>HYPERLINK("https://rth.dk/resources/bsgatlas/details.php?id=BSGatlas-transcript-1977","BSGatlas-transcript-1977")</f>
        <v>BSGatlas-transcript-1977</v>
      </c>
      <c r="B1978" s="1" t="s">
        <v>1877</v>
      </c>
      <c r="C1978" s="3">
        <v>1769795</v>
      </c>
      <c r="D1978" s="3">
        <v>1770257</v>
      </c>
      <c r="E1978" s="1" t="s">
        <v>9</v>
      </c>
      <c r="F1978" s="1">
        <v>0</v>
      </c>
      <c r="G1978" s="1" t="s">
        <v>4372</v>
      </c>
      <c r="H1978" s="1" t="s">
        <v>4372</v>
      </c>
      <c r="I1978" s="1" t="s">
        <v>4373</v>
      </c>
      <c r="J1978" s="1" t="s">
        <v>7338</v>
      </c>
      <c r="K1978" s="1" t="s">
        <v>7337</v>
      </c>
    </row>
    <row r="1979" spans="1:11" ht="21" x14ac:dyDescent="0.25">
      <c r="A1979" s="11" t="str">
        <f>HYPERLINK("https://rth.dk/resources/bsgatlas/details.php?id=BSGatlas-transcript-1978","BSGatlas-transcript-1978")</f>
        <v>BSGatlas-transcript-1978</v>
      </c>
      <c r="B1979" s="1" t="s">
        <v>7339</v>
      </c>
      <c r="C1979" s="3">
        <v>1770412</v>
      </c>
      <c r="D1979" s="3">
        <v>1772695</v>
      </c>
      <c r="E1979" s="1" t="s">
        <v>9</v>
      </c>
      <c r="F1979" s="1">
        <v>0</v>
      </c>
      <c r="G1979" s="1" t="s">
        <v>4372</v>
      </c>
      <c r="H1979" s="1" t="s">
        <v>4372</v>
      </c>
      <c r="I1979" s="1" t="s">
        <v>4386</v>
      </c>
      <c r="J1979" s="1" t="s">
        <v>7340</v>
      </c>
      <c r="K1979" s="1" t="s">
        <v>7341</v>
      </c>
    </row>
    <row r="1980" spans="1:11" ht="21" x14ac:dyDescent="0.25">
      <c r="A1980" s="11" t="str">
        <f>HYPERLINK("https://rth.dk/resources/bsgatlas/details.php?id=BSGatlas-transcript-1979","BSGatlas-transcript-1979")</f>
        <v>BSGatlas-transcript-1979</v>
      </c>
      <c r="B1980" s="1" t="s">
        <v>7342</v>
      </c>
      <c r="C1980" s="3">
        <v>1772787</v>
      </c>
      <c r="D1980" s="3">
        <v>1774805</v>
      </c>
      <c r="E1980" s="1" t="s">
        <v>9</v>
      </c>
      <c r="F1980" s="1">
        <v>0</v>
      </c>
      <c r="G1980" s="1" t="s">
        <v>4372</v>
      </c>
      <c r="H1980" s="1" t="s">
        <v>4372</v>
      </c>
      <c r="I1980" s="1" t="s">
        <v>4386</v>
      </c>
      <c r="J1980" s="1" t="s">
        <v>7343</v>
      </c>
      <c r="K1980" s="1" t="s">
        <v>7344</v>
      </c>
    </row>
    <row r="1981" spans="1:11" ht="21" x14ac:dyDescent="0.25">
      <c r="A1981" s="11" t="str">
        <f>HYPERLINK("https://rth.dk/resources/bsgatlas/details.php?id=BSGatlas-transcript-1980","BSGatlas-transcript-1980")</f>
        <v>BSGatlas-transcript-1980</v>
      </c>
      <c r="B1981" s="1" t="s">
        <v>1882</v>
      </c>
      <c r="C1981" s="3">
        <v>1774973</v>
      </c>
      <c r="D1981" s="3">
        <v>1775662</v>
      </c>
      <c r="E1981" s="1" t="s">
        <v>9</v>
      </c>
      <c r="F1981" s="1">
        <v>0</v>
      </c>
      <c r="G1981" s="1" t="s">
        <v>4372</v>
      </c>
      <c r="H1981" s="1" t="s">
        <v>4372</v>
      </c>
      <c r="I1981" s="1" t="s">
        <v>4373</v>
      </c>
      <c r="J1981" s="1" t="s">
        <v>7345</v>
      </c>
      <c r="K1981" s="1" t="s">
        <v>7346</v>
      </c>
    </row>
    <row r="1982" spans="1:11" ht="21" x14ac:dyDescent="0.25">
      <c r="A1982" s="11" t="str">
        <f>HYPERLINK("https://rth.dk/resources/bsgatlas/details.php?id=BSGatlas-transcript-1981","BSGatlas-transcript-1981")</f>
        <v>BSGatlas-transcript-1981</v>
      </c>
      <c r="B1982" s="1" t="s">
        <v>1882</v>
      </c>
      <c r="C1982" s="3">
        <v>1775042</v>
      </c>
      <c r="D1982" s="3">
        <v>1775662</v>
      </c>
      <c r="E1982" s="1" t="s">
        <v>9</v>
      </c>
      <c r="F1982" s="1">
        <v>0</v>
      </c>
      <c r="G1982" s="1" t="s">
        <v>4372</v>
      </c>
      <c r="H1982" s="1" t="s">
        <v>4372</v>
      </c>
      <c r="I1982" s="1" t="s">
        <v>4373</v>
      </c>
      <c r="J1982" s="1" t="s">
        <v>7347</v>
      </c>
      <c r="K1982" s="1" t="s">
        <v>7346</v>
      </c>
    </row>
    <row r="1983" spans="1:11" ht="21" x14ac:dyDescent="0.25">
      <c r="A1983" s="11" t="str">
        <f>HYPERLINK("https://rth.dk/resources/bsgatlas/details.php?id=BSGatlas-transcript-1982","BSGatlas-transcript-1982")</f>
        <v>BSGatlas-transcript-1982</v>
      </c>
      <c r="B1983" s="1" t="s">
        <v>7348</v>
      </c>
      <c r="C1983" s="3">
        <v>1775692</v>
      </c>
      <c r="D1983" s="3">
        <v>1780220</v>
      </c>
      <c r="E1983" s="1" t="s">
        <v>9</v>
      </c>
      <c r="F1983" s="1">
        <v>0</v>
      </c>
      <c r="G1983" s="1" t="s">
        <v>4372</v>
      </c>
      <c r="H1983" s="1" t="s">
        <v>4372</v>
      </c>
      <c r="I1983" s="1" t="s">
        <v>4373</v>
      </c>
      <c r="J1983" s="1" t="s">
        <v>7349</v>
      </c>
      <c r="K1983" s="1" t="s">
        <v>7350</v>
      </c>
    </row>
    <row r="1984" spans="1:11" ht="21" x14ac:dyDescent="0.25">
      <c r="A1984" s="11" t="str">
        <f>HYPERLINK("https://rth.dk/resources/bsgatlas/details.php?id=BSGatlas-transcript-1983","BSGatlas-transcript-1983")</f>
        <v>BSGatlas-transcript-1983</v>
      </c>
      <c r="B1984" s="1" t="s">
        <v>7348</v>
      </c>
      <c r="C1984" s="3">
        <v>1775692</v>
      </c>
      <c r="D1984" s="3">
        <v>1780278</v>
      </c>
      <c r="E1984" s="1" t="s">
        <v>9</v>
      </c>
      <c r="F1984" s="1">
        <v>0</v>
      </c>
      <c r="G1984" s="1" t="s">
        <v>4372</v>
      </c>
      <c r="H1984" s="1" t="s">
        <v>4372</v>
      </c>
      <c r="I1984" s="1" t="s">
        <v>4373</v>
      </c>
      <c r="J1984" s="1" t="s">
        <v>7349</v>
      </c>
      <c r="K1984" s="1" t="s">
        <v>7351</v>
      </c>
    </row>
    <row r="1985" spans="1:11" ht="21" x14ac:dyDescent="0.25">
      <c r="A1985" s="11" t="str">
        <f>HYPERLINK("https://rth.dk/resources/bsgatlas/details.php?id=BSGatlas-transcript-1984","BSGatlas-transcript-1984")</f>
        <v>BSGatlas-transcript-1984</v>
      </c>
      <c r="B1985" s="1" t="s">
        <v>1885</v>
      </c>
      <c r="C1985" s="3">
        <v>1780123</v>
      </c>
      <c r="D1985" s="3">
        <v>1780554</v>
      </c>
      <c r="E1985" s="1" t="s">
        <v>13</v>
      </c>
      <c r="F1985" s="1">
        <v>0</v>
      </c>
      <c r="G1985" s="1" t="s">
        <v>4372</v>
      </c>
      <c r="H1985" s="1" t="s">
        <v>4372</v>
      </c>
      <c r="I1985" s="1" t="s">
        <v>4377</v>
      </c>
      <c r="J1985" s="1" t="s">
        <v>318</v>
      </c>
      <c r="K1985" s="1" t="s">
        <v>7352</v>
      </c>
    </row>
    <row r="1986" spans="1:11" ht="21" x14ac:dyDescent="0.25">
      <c r="A1986" s="11" t="str">
        <f>HYPERLINK("https://rth.dk/resources/bsgatlas/details.php?id=BSGatlas-transcript-1985","BSGatlas-transcript-1985")</f>
        <v>BSGatlas-transcript-1985</v>
      </c>
      <c r="B1986" s="1" t="s">
        <v>1886</v>
      </c>
      <c r="C1986" s="3">
        <v>1780404</v>
      </c>
      <c r="D1986" s="3">
        <v>1780554</v>
      </c>
      <c r="E1986" s="1" t="s">
        <v>9</v>
      </c>
      <c r="F1986" s="1">
        <v>0</v>
      </c>
      <c r="G1986" s="1" t="s">
        <v>4372</v>
      </c>
      <c r="H1986" s="1" t="s">
        <v>4372</v>
      </c>
      <c r="I1986" s="1" t="s">
        <v>4377</v>
      </c>
      <c r="J1986" s="1" t="s">
        <v>7353</v>
      </c>
      <c r="K1986" s="1" t="s">
        <v>7354</v>
      </c>
    </row>
    <row r="1987" spans="1:11" ht="21" x14ac:dyDescent="0.25">
      <c r="A1987" s="11" t="str">
        <f>HYPERLINK("https://rth.dk/resources/bsgatlas/details.php?id=BSGatlas-transcript-1986","BSGatlas-transcript-1986")</f>
        <v>BSGatlas-transcript-1986</v>
      </c>
      <c r="B1987" s="1" t="s">
        <v>1887</v>
      </c>
      <c r="C1987" s="3">
        <v>1780618</v>
      </c>
      <c r="D1987" s="3">
        <v>1781165</v>
      </c>
      <c r="E1987" s="1" t="s">
        <v>13</v>
      </c>
      <c r="F1987" s="1">
        <v>0</v>
      </c>
      <c r="G1987" s="1" t="s">
        <v>4372</v>
      </c>
      <c r="H1987" s="1" t="s">
        <v>4372</v>
      </c>
      <c r="I1987" s="1" t="s">
        <v>4386</v>
      </c>
      <c r="J1987" s="1" t="s">
        <v>7355</v>
      </c>
      <c r="K1987" s="1" t="s">
        <v>318</v>
      </c>
    </row>
    <row r="1988" spans="1:11" ht="21" x14ac:dyDescent="0.25">
      <c r="A1988" s="11" t="str">
        <f>HYPERLINK("https://rth.dk/resources/bsgatlas/details.php?id=BSGatlas-transcript-1987","BSGatlas-transcript-1987")</f>
        <v>BSGatlas-transcript-1987</v>
      </c>
      <c r="B1988" s="1" t="s">
        <v>1888</v>
      </c>
      <c r="C1988" s="3">
        <v>1781228</v>
      </c>
      <c r="D1988" s="3">
        <v>1781905</v>
      </c>
      <c r="E1988" s="1" t="s">
        <v>13</v>
      </c>
      <c r="F1988" s="1">
        <v>0</v>
      </c>
      <c r="G1988" s="1" t="s">
        <v>4372</v>
      </c>
      <c r="H1988" s="1" t="s">
        <v>4372</v>
      </c>
      <c r="I1988" s="1" t="s">
        <v>4386</v>
      </c>
      <c r="J1988" s="1" t="s">
        <v>7356</v>
      </c>
      <c r="K1988" s="1" t="s">
        <v>318</v>
      </c>
    </row>
    <row r="1989" spans="1:11" ht="21" x14ac:dyDescent="0.25">
      <c r="A1989" s="11" t="str">
        <f>HYPERLINK("https://rth.dk/resources/bsgatlas/details.php?id=BSGatlas-transcript-1988","BSGatlas-transcript-1988")</f>
        <v>BSGatlas-transcript-1988</v>
      </c>
      <c r="B1989" s="1" t="s">
        <v>1889</v>
      </c>
      <c r="C1989" s="3">
        <v>1781906</v>
      </c>
      <c r="D1989" s="3">
        <v>1782523</v>
      </c>
      <c r="E1989" s="1" t="s">
        <v>9</v>
      </c>
      <c r="F1989" s="1">
        <v>0</v>
      </c>
      <c r="G1989" s="1" t="s">
        <v>4372</v>
      </c>
      <c r="H1989" s="1" t="s">
        <v>4372</v>
      </c>
      <c r="I1989" s="1" t="s">
        <v>4377</v>
      </c>
      <c r="J1989" s="1" t="s">
        <v>7357</v>
      </c>
      <c r="K1989" s="1" t="s">
        <v>7358</v>
      </c>
    </row>
    <row r="1990" spans="1:11" ht="21" x14ac:dyDescent="0.25">
      <c r="A1990" s="11" t="str">
        <f>HYPERLINK("https://rth.dk/resources/bsgatlas/details.php?id=BSGatlas-transcript-1989","BSGatlas-transcript-1989")</f>
        <v>BSGatlas-transcript-1989</v>
      </c>
      <c r="B1990" s="1" t="s">
        <v>7359</v>
      </c>
      <c r="C1990" s="3">
        <v>1782643</v>
      </c>
      <c r="D1990" s="3">
        <v>1858521</v>
      </c>
      <c r="E1990" s="1" t="s">
        <v>9</v>
      </c>
      <c r="F1990" s="1">
        <v>6</v>
      </c>
      <c r="G1990" s="1">
        <v>71</v>
      </c>
      <c r="H1990" s="1" t="s">
        <v>4372</v>
      </c>
      <c r="I1990" s="1" t="s">
        <v>4386</v>
      </c>
      <c r="J1990" s="1" t="s">
        <v>7360</v>
      </c>
      <c r="K1990" s="1" t="s">
        <v>7361</v>
      </c>
    </row>
    <row r="1991" spans="1:11" ht="21" x14ac:dyDescent="0.25">
      <c r="A1991" s="11" t="str">
        <f>HYPERLINK("https://rth.dk/resources/bsgatlas/details.php?id=BSGatlas-transcript-1990","BSGatlas-transcript-1990")</f>
        <v>BSGatlas-transcript-1990</v>
      </c>
      <c r="B1991" s="1" t="s">
        <v>7362</v>
      </c>
      <c r="C1991" s="3">
        <v>1783660</v>
      </c>
      <c r="D1991" s="3">
        <v>1858521</v>
      </c>
      <c r="E1991" s="1" t="s">
        <v>9</v>
      </c>
      <c r="F1991" s="1">
        <v>5</v>
      </c>
      <c r="G1991" s="1">
        <v>104</v>
      </c>
      <c r="H1991" s="1" t="s">
        <v>4372</v>
      </c>
      <c r="I1991" s="1" t="s">
        <v>4397</v>
      </c>
      <c r="J1991" s="1" t="s">
        <v>7363</v>
      </c>
      <c r="K1991" s="1" t="s">
        <v>7361</v>
      </c>
    </row>
    <row r="1992" spans="1:11" ht="21" x14ac:dyDescent="0.25">
      <c r="A1992" s="11" t="str">
        <f>HYPERLINK("https://rth.dk/resources/bsgatlas/details.php?id=BSGatlas-transcript-1991","BSGatlas-transcript-1991")</f>
        <v>BSGatlas-transcript-1991</v>
      </c>
      <c r="B1992" s="1" t="s">
        <v>1904</v>
      </c>
      <c r="C1992" s="3">
        <v>1858566</v>
      </c>
      <c r="D1992" s="3">
        <v>1859838</v>
      </c>
      <c r="E1992" s="1" t="s">
        <v>13</v>
      </c>
      <c r="F1992" s="1">
        <v>0</v>
      </c>
      <c r="G1992" s="1" t="s">
        <v>4372</v>
      </c>
      <c r="H1992" s="1" t="s">
        <v>4372</v>
      </c>
      <c r="I1992" s="1" t="s">
        <v>4386</v>
      </c>
      <c r="J1992" s="1" t="s">
        <v>7364</v>
      </c>
      <c r="K1992" s="1" t="s">
        <v>7365</v>
      </c>
    </row>
    <row r="1993" spans="1:11" ht="21" x14ac:dyDescent="0.25">
      <c r="A1993" s="11" t="str">
        <f>HYPERLINK("https://rth.dk/resources/bsgatlas/details.php?id=BSGatlas-transcript-1992","BSGatlas-transcript-1992")</f>
        <v>BSGatlas-transcript-1992</v>
      </c>
      <c r="B1993" s="1" t="s">
        <v>1904</v>
      </c>
      <c r="C1993" s="3">
        <v>1858566</v>
      </c>
      <c r="D1993" s="3">
        <v>1859882</v>
      </c>
      <c r="E1993" s="1" t="s">
        <v>13</v>
      </c>
      <c r="F1993" s="1">
        <v>0</v>
      </c>
      <c r="G1993" s="1" t="s">
        <v>4372</v>
      </c>
      <c r="H1993" s="1" t="s">
        <v>4372</v>
      </c>
      <c r="I1993" s="1" t="s">
        <v>4386</v>
      </c>
      <c r="J1993" s="1" t="s">
        <v>7366</v>
      </c>
      <c r="K1993" s="1" t="s">
        <v>7365</v>
      </c>
    </row>
    <row r="1994" spans="1:11" ht="21" x14ac:dyDescent="0.25">
      <c r="A1994" s="11" t="str">
        <f>HYPERLINK("https://rth.dk/resources/bsgatlas/details.php?id=BSGatlas-transcript-1993","BSGatlas-transcript-1993")</f>
        <v>BSGatlas-transcript-1993</v>
      </c>
      <c r="B1994" s="1" t="s">
        <v>1905</v>
      </c>
      <c r="C1994" s="3">
        <v>1859986</v>
      </c>
      <c r="D1994" s="3">
        <v>1860435</v>
      </c>
      <c r="E1994" s="1" t="s">
        <v>13</v>
      </c>
      <c r="F1994" s="1">
        <v>0</v>
      </c>
      <c r="G1994" s="1" t="s">
        <v>4372</v>
      </c>
      <c r="H1994" s="1" t="s">
        <v>4372</v>
      </c>
      <c r="I1994" s="1" t="s">
        <v>4386</v>
      </c>
      <c r="J1994" s="1" t="s">
        <v>7367</v>
      </c>
      <c r="K1994" s="1" t="s">
        <v>7368</v>
      </c>
    </row>
    <row r="1995" spans="1:11" ht="21" x14ac:dyDescent="0.25">
      <c r="A1995" s="11" t="str">
        <f>HYPERLINK("https://rth.dk/resources/bsgatlas/details.php?id=BSGatlas-transcript-1994","BSGatlas-transcript-1994")</f>
        <v>BSGatlas-transcript-1994</v>
      </c>
      <c r="B1995" s="1" t="s">
        <v>7369</v>
      </c>
      <c r="C1995" s="3">
        <v>1859986</v>
      </c>
      <c r="D1995" s="3">
        <v>1861311</v>
      </c>
      <c r="E1995" s="1" t="s">
        <v>13</v>
      </c>
      <c r="F1995" s="1">
        <v>1</v>
      </c>
      <c r="G1995" s="1">
        <v>39</v>
      </c>
      <c r="H1995" s="1">
        <v>29</v>
      </c>
      <c r="I1995" s="1" t="s">
        <v>4386</v>
      </c>
      <c r="J1995" s="1" t="s">
        <v>7370</v>
      </c>
      <c r="K1995" s="1" t="s">
        <v>7368</v>
      </c>
    </row>
    <row r="1996" spans="1:11" ht="21" x14ac:dyDescent="0.25">
      <c r="A1996" s="11" t="str">
        <f>HYPERLINK("https://rth.dk/resources/bsgatlas/details.php?id=BSGatlas-transcript-1995","BSGatlas-transcript-1995")</f>
        <v>BSGatlas-transcript-1995</v>
      </c>
      <c r="B1996" s="1" t="s">
        <v>1907</v>
      </c>
      <c r="C1996" s="3">
        <v>1861326</v>
      </c>
      <c r="D1996" s="3">
        <v>1862738</v>
      </c>
      <c r="E1996" s="1" t="s">
        <v>13</v>
      </c>
      <c r="F1996" s="1">
        <v>0</v>
      </c>
      <c r="G1996" s="1" t="s">
        <v>4372</v>
      </c>
      <c r="H1996" s="1" t="s">
        <v>4372</v>
      </c>
      <c r="I1996" s="1" t="s">
        <v>4373</v>
      </c>
      <c r="J1996" s="1" t="s">
        <v>7371</v>
      </c>
      <c r="K1996" s="1" t="s">
        <v>7372</v>
      </c>
    </row>
    <row r="1997" spans="1:11" ht="21" x14ac:dyDescent="0.25">
      <c r="A1997" s="11" t="str">
        <f>HYPERLINK("https://rth.dk/resources/bsgatlas/details.php?id=BSGatlas-transcript-1996","BSGatlas-transcript-1996")</f>
        <v>BSGatlas-transcript-1996</v>
      </c>
      <c r="B1997" s="1" t="s">
        <v>1907</v>
      </c>
      <c r="C1997" s="3">
        <v>1861326</v>
      </c>
      <c r="D1997" s="3">
        <v>1862895</v>
      </c>
      <c r="E1997" s="1" t="s">
        <v>13</v>
      </c>
      <c r="F1997" s="1">
        <v>0</v>
      </c>
      <c r="G1997" s="1" t="s">
        <v>4372</v>
      </c>
      <c r="H1997" s="1" t="s">
        <v>4372</v>
      </c>
      <c r="I1997" s="1" t="s">
        <v>4373</v>
      </c>
      <c r="J1997" s="1" t="s">
        <v>7373</v>
      </c>
      <c r="K1997" s="1" t="s">
        <v>7372</v>
      </c>
    </row>
    <row r="1998" spans="1:11" ht="21" x14ac:dyDescent="0.25">
      <c r="A1998" s="11" t="str">
        <f>HYPERLINK("https://rth.dk/resources/bsgatlas/details.php?id=BSGatlas-transcript-1997","BSGatlas-transcript-1997")</f>
        <v>BSGatlas-transcript-1997</v>
      </c>
      <c r="B1998" s="1" t="s">
        <v>1908</v>
      </c>
      <c r="C1998" s="3">
        <v>1862898</v>
      </c>
      <c r="D1998" s="3">
        <v>1862993</v>
      </c>
      <c r="E1998" s="1" t="s">
        <v>9</v>
      </c>
      <c r="F1998" s="1">
        <v>0</v>
      </c>
      <c r="G1998" s="1" t="s">
        <v>4372</v>
      </c>
      <c r="H1998" s="1" t="s">
        <v>4372</v>
      </c>
      <c r="I1998" s="1" t="s">
        <v>4377</v>
      </c>
      <c r="J1998" s="1" t="s">
        <v>7374</v>
      </c>
      <c r="K1998" s="1" t="s">
        <v>318</v>
      </c>
    </row>
    <row r="1999" spans="1:11" ht="21" x14ac:dyDescent="0.25">
      <c r="A1999" s="11" t="str">
        <f>HYPERLINK("https://rth.dk/resources/bsgatlas/details.php?id=BSGatlas-transcript-1998","BSGatlas-transcript-1998")</f>
        <v>BSGatlas-transcript-1998</v>
      </c>
      <c r="B1999" s="1" t="s">
        <v>7375</v>
      </c>
      <c r="C1999" s="3">
        <v>1862917</v>
      </c>
      <c r="D1999" s="3">
        <v>1865427</v>
      </c>
      <c r="E1999" s="1" t="s">
        <v>13</v>
      </c>
      <c r="F1999" s="1">
        <v>0</v>
      </c>
      <c r="G1999" s="1" t="s">
        <v>4372</v>
      </c>
      <c r="H1999" s="1" t="s">
        <v>4372</v>
      </c>
      <c r="I1999" s="1" t="s">
        <v>4386</v>
      </c>
      <c r="J1999" s="1" t="s">
        <v>7376</v>
      </c>
      <c r="K1999" s="1" t="s">
        <v>7377</v>
      </c>
    </row>
    <row r="2000" spans="1:11" ht="21" x14ac:dyDescent="0.25">
      <c r="A2000" s="11" t="str">
        <f>HYPERLINK("https://rth.dk/resources/bsgatlas/details.php?id=BSGatlas-transcript-1999","BSGatlas-transcript-1999")</f>
        <v>BSGatlas-transcript-1999</v>
      </c>
      <c r="B2000" s="1" t="s">
        <v>1911</v>
      </c>
      <c r="C2000" s="3">
        <v>1862992</v>
      </c>
      <c r="D2000" s="3">
        <v>1863168</v>
      </c>
      <c r="E2000" s="1" t="s">
        <v>9</v>
      </c>
      <c r="F2000" s="1">
        <v>0</v>
      </c>
      <c r="G2000" s="1" t="s">
        <v>4372</v>
      </c>
      <c r="H2000" s="1" t="s">
        <v>4372</v>
      </c>
      <c r="I2000" s="1" t="s">
        <v>4377</v>
      </c>
      <c r="J2000" s="1" t="s">
        <v>318</v>
      </c>
      <c r="K2000" s="1" t="s">
        <v>7378</v>
      </c>
    </row>
    <row r="2001" spans="1:11" ht="21" x14ac:dyDescent="0.25">
      <c r="A2001" s="11" t="str">
        <f>HYPERLINK("https://rth.dk/resources/bsgatlas/details.php?id=BSGatlas-transcript-2000","BSGatlas-transcript-2000")</f>
        <v>BSGatlas-transcript-2000</v>
      </c>
      <c r="B2001" s="1" t="s">
        <v>7379</v>
      </c>
      <c r="C2001" s="3">
        <v>1863384</v>
      </c>
      <c r="D2001" s="3">
        <v>1864677</v>
      </c>
      <c r="E2001" s="1" t="s">
        <v>9</v>
      </c>
      <c r="F2001" s="1">
        <v>1</v>
      </c>
      <c r="G2001" s="1">
        <v>65</v>
      </c>
      <c r="H2001" s="1" t="s">
        <v>4372</v>
      </c>
      <c r="I2001" s="1" t="s">
        <v>4386</v>
      </c>
      <c r="J2001" s="1" t="s">
        <v>7380</v>
      </c>
      <c r="K2001" s="1" t="s">
        <v>7381</v>
      </c>
    </row>
    <row r="2002" spans="1:11" ht="21" x14ac:dyDescent="0.25">
      <c r="A2002" s="11" t="str">
        <f>HYPERLINK("https://rth.dk/resources/bsgatlas/details.php?id=BSGatlas-transcript-2001","BSGatlas-transcript-2001")</f>
        <v>BSGatlas-transcript-2001</v>
      </c>
      <c r="B2002" s="1" t="s">
        <v>1913</v>
      </c>
      <c r="C2002" s="3">
        <v>1864190</v>
      </c>
      <c r="D2002" s="3">
        <v>1864677</v>
      </c>
      <c r="E2002" s="1" t="s">
        <v>9</v>
      </c>
      <c r="F2002" s="1">
        <v>0</v>
      </c>
      <c r="G2002" s="1" t="s">
        <v>4372</v>
      </c>
      <c r="H2002" s="1" t="s">
        <v>4372</v>
      </c>
      <c r="I2002" s="1" t="s">
        <v>4386</v>
      </c>
      <c r="J2002" s="1" t="s">
        <v>7382</v>
      </c>
      <c r="K2002" s="1" t="s">
        <v>7381</v>
      </c>
    </row>
    <row r="2003" spans="1:11" ht="21" x14ac:dyDescent="0.25">
      <c r="A2003" s="11" t="str">
        <f>HYPERLINK("https://rth.dk/resources/bsgatlas/details.php?id=BSGatlas-transcript-2002","BSGatlas-transcript-2002")</f>
        <v>BSGatlas-transcript-2002</v>
      </c>
      <c r="B2003" s="1" t="s">
        <v>7375</v>
      </c>
      <c r="C2003" s="3">
        <v>1864691</v>
      </c>
      <c r="D2003" s="3">
        <v>1865427</v>
      </c>
      <c r="E2003" s="1" t="s">
        <v>13</v>
      </c>
      <c r="F2003" s="1">
        <v>0</v>
      </c>
      <c r="G2003" s="1" t="s">
        <v>4372</v>
      </c>
      <c r="H2003" s="1" t="s">
        <v>4372</v>
      </c>
      <c r="I2003" s="1" t="s">
        <v>4386</v>
      </c>
      <c r="J2003" s="1" t="s">
        <v>7376</v>
      </c>
      <c r="K2003" s="1" t="s">
        <v>7383</v>
      </c>
    </row>
    <row r="2004" spans="1:11" ht="21" x14ac:dyDescent="0.25">
      <c r="A2004" s="11" t="str">
        <f>HYPERLINK("https://rth.dk/resources/bsgatlas/details.php?id=BSGatlas-transcript-2003","BSGatlas-transcript-2003")</f>
        <v>BSGatlas-transcript-2003</v>
      </c>
      <c r="B2004" s="1" t="s">
        <v>1914</v>
      </c>
      <c r="C2004" s="3">
        <v>1865470</v>
      </c>
      <c r="D2004" s="3">
        <v>1865827</v>
      </c>
      <c r="E2004" s="1" t="s">
        <v>13</v>
      </c>
      <c r="F2004" s="1">
        <v>0</v>
      </c>
      <c r="G2004" s="1" t="s">
        <v>4372</v>
      </c>
      <c r="H2004" s="1" t="s">
        <v>4372</v>
      </c>
      <c r="I2004" s="1" t="s">
        <v>4373</v>
      </c>
      <c r="J2004" s="1" t="s">
        <v>7384</v>
      </c>
      <c r="K2004" s="1" t="s">
        <v>7385</v>
      </c>
    </row>
    <row r="2005" spans="1:11" ht="21" x14ac:dyDescent="0.25">
      <c r="A2005" s="11" t="str">
        <f>HYPERLINK("https://rth.dk/resources/bsgatlas/details.php?id=BSGatlas-transcript-2004","BSGatlas-transcript-2004")</f>
        <v>BSGatlas-transcript-2004</v>
      </c>
      <c r="B2005" s="1" t="s">
        <v>1914</v>
      </c>
      <c r="C2005" s="3">
        <v>1865470</v>
      </c>
      <c r="D2005" s="3">
        <v>1867450</v>
      </c>
      <c r="E2005" s="1" t="s">
        <v>13</v>
      </c>
      <c r="F2005" s="1">
        <v>0</v>
      </c>
      <c r="G2005" s="1" t="s">
        <v>4372</v>
      </c>
      <c r="H2005" s="1" t="s">
        <v>4372</v>
      </c>
      <c r="I2005" s="1" t="s">
        <v>4373</v>
      </c>
      <c r="J2005" s="1" t="s">
        <v>7386</v>
      </c>
      <c r="K2005" s="1" t="s">
        <v>7385</v>
      </c>
    </row>
    <row r="2006" spans="1:11" ht="21" x14ac:dyDescent="0.25">
      <c r="A2006" s="11" t="str">
        <f>HYPERLINK("https://rth.dk/resources/bsgatlas/details.php?id=BSGatlas-transcript-2005","BSGatlas-transcript-2005")</f>
        <v>BSGatlas-transcript-2005</v>
      </c>
      <c r="B2006" s="1" t="s">
        <v>7387</v>
      </c>
      <c r="C2006" s="3">
        <v>1865824</v>
      </c>
      <c r="D2006" s="3">
        <v>1867616</v>
      </c>
      <c r="E2006" s="1" t="s">
        <v>9</v>
      </c>
      <c r="F2006" s="1">
        <v>2</v>
      </c>
      <c r="G2006" s="1">
        <v>53</v>
      </c>
      <c r="H2006" s="1">
        <v>23</v>
      </c>
      <c r="I2006" s="1" t="s">
        <v>4386</v>
      </c>
      <c r="J2006" s="1" t="s">
        <v>7388</v>
      </c>
      <c r="K2006" s="1" t="s">
        <v>7389</v>
      </c>
    </row>
    <row r="2007" spans="1:11" ht="21" x14ac:dyDescent="0.25">
      <c r="A2007" s="11" t="str">
        <f>HYPERLINK("https://rth.dk/resources/bsgatlas/details.php?id=BSGatlas-transcript-2006","BSGatlas-transcript-2006")</f>
        <v>BSGatlas-transcript-2006</v>
      </c>
      <c r="B2007" s="1" t="s">
        <v>7390</v>
      </c>
      <c r="C2007" s="3">
        <v>1866340</v>
      </c>
      <c r="D2007" s="3">
        <v>1867616</v>
      </c>
      <c r="E2007" s="1" t="s">
        <v>9</v>
      </c>
      <c r="F2007" s="1">
        <v>1</v>
      </c>
      <c r="G2007" s="1">
        <v>50</v>
      </c>
      <c r="H2007" s="1">
        <v>23</v>
      </c>
      <c r="I2007" s="1" t="s">
        <v>4386</v>
      </c>
      <c r="J2007" s="1" t="s">
        <v>7391</v>
      </c>
      <c r="K2007" s="1" t="s">
        <v>7389</v>
      </c>
    </row>
    <row r="2008" spans="1:11" ht="21" x14ac:dyDescent="0.25">
      <c r="A2008" s="11" t="str">
        <f>HYPERLINK("https://rth.dk/resources/bsgatlas/details.php?id=BSGatlas-transcript-2007","BSGatlas-transcript-2007")</f>
        <v>BSGatlas-transcript-2007</v>
      </c>
      <c r="B2008" s="1" t="s">
        <v>1917</v>
      </c>
      <c r="C2008" s="3">
        <v>1867334</v>
      </c>
      <c r="D2008" s="3">
        <v>1867616</v>
      </c>
      <c r="E2008" s="1" t="s">
        <v>9</v>
      </c>
      <c r="F2008" s="1">
        <v>0</v>
      </c>
      <c r="G2008" s="1" t="s">
        <v>4372</v>
      </c>
      <c r="H2008" s="1" t="s">
        <v>4372</v>
      </c>
      <c r="I2008" s="1" t="s">
        <v>4386</v>
      </c>
      <c r="J2008" s="1" t="s">
        <v>7392</v>
      </c>
      <c r="K2008" s="1" t="s">
        <v>7389</v>
      </c>
    </row>
    <row r="2009" spans="1:11" ht="21" x14ac:dyDescent="0.25">
      <c r="A2009" s="11" t="str">
        <f>HYPERLINK("https://rth.dk/resources/bsgatlas/details.php?id=BSGatlas-transcript-2008","BSGatlas-transcript-2008")</f>
        <v>BSGatlas-transcript-2008</v>
      </c>
      <c r="B2009" s="1" t="s">
        <v>1918</v>
      </c>
      <c r="C2009" s="3">
        <v>1868101</v>
      </c>
      <c r="D2009" s="3">
        <v>1868430</v>
      </c>
      <c r="E2009" s="1" t="s">
        <v>9</v>
      </c>
      <c r="F2009" s="1">
        <v>0</v>
      </c>
      <c r="G2009" s="1" t="s">
        <v>4372</v>
      </c>
      <c r="H2009" s="1" t="s">
        <v>4372</v>
      </c>
      <c r="I2009" s="1" t="s">
        <v>4386</v>
      </c>
      <c r="J2009" s="1" t="s">
        <v>7393</v>
      </c>
      <c r="K2009" s="1" t="s">
        <v>7394</v>
      </c>
    </row>
    <row r="2010" spans="1:11" ht="21" x14ac:dyDescent="0.25">
      <c r="A2010" s="11" t="str">
        <f>HYPERLINK("https://rth.dk/resources/bsgatlas/details.php?id=BSGatlas-transcript-2009","BSGatlas-transcript-2009")</f>
        <v>BSGatlas-transcript-2009</v>
      </c>
      <c r="B2010" s="1" t="s">
        <v>7395</v>
      </c>
      <c r="C2010" s="3">
        <v>1868101</v>
      </c>
      <c r="D2010" s="3">
        <v>1872102</v>
      </c>
      <c r="E2010" s="1" t="s">
        <v>9</v>
      </c>
      <c r="F2010" s="1">
        <v>3</v>
      </c>
      <c r="G2010" s="1">
        <v>44</v>
      </c>
      <c r="H2010" s="1">
        <v>25</v>
      </c>
      <c r="I2010" s="1" t="s">
        <v>4377</v>
      </c>
      <c r="J2010" s="1" t="s">
        <v>7393</v>
      </c>
      <c r="K2010" s="1" t="s">
        <v>7396</v>
      </c>
    </row>
    <row r="2011" spans="1:11" ht="21" x14ac:dyDescent="0.25">
      <c r="A2011" s="11" t="str">
        <f>HYPERLINK("https://rth.dk/resources/bsgatlas/details.php?id=BSGatlas-transcript-2010","BSGatlas-transcript-2010")</f>
        <v>BSGatlas-transcript-2010</v>
      </c>
      <c r="B2011" s="1" t="s">
        <v>7397</v>
      </c>
      <c r="C2011" s="3">
        <v>1868101</v>
      </c>
      <c r="D2011" s="3">
        <v>1872795</v>
      </c>
      <c r="E2011" s="1" t="s">
        <v>9</v>
      </c>
      <c r="F2011" s="1">
        <v>4</v>
      </c>
      <c r="G2011" s="1">
        <v>44</v>
      </c>
      <c r="H2011" s="1">
        <v>48</v>
      </c>
      <c r="I2011" s="1" t="s">
        <v>4386</v>
      </c>
      <c r="J2011" s="1" t="s">
        <v>7393</v>
      </c>
      <c r="K2011" s="1" t="s">
        <v>7398</v>
      </c>
    </row>
    <row r="2012" spans="1:11" ht="21" x14ac:dyDescent="0.25">
      <c r="A2012" s="11" t="str">
        <f>HYPERLINK("https://rth.dk/resources/bsgatlas/details.php?id=BSGatlas-transcript-2011","BSGatlas-transcript-2011")</f>
        <v>BSGatlas-transcript-2011</v>
      </c>
      <c r="B2012" s="1" t="s">
        <v>7399</v>
      </c>
      <c r="C2012" s="3">
        <v>1868569</v>
      </c>
      <c r="D2012" s="3">
        <v>1872102</v>
      </c>
      <c r="E2012" s="1" t="s">
        <v>9</v>
      </c>
      <c r="F2012" s="1">
        <v>1</v>
      </c>
      <c r="G2012" s="1">
        <v>49</v>
      </c>
      <c r="H2012" s="1">
        <v>25</v>
      </c>
      <c r="I2012" s="1" t="s">
        <v>4377</v>
      </c>
      <c r="J2012" s="1" t="s">
        <v>7400</v>
      </c>
      <c r="K2012" s="1" t="s">
        <v>7396</v>
      </c>
    </row>
    <row r="2013" spans="1:11" ht="21" x14ac:dyDescent="0.25">
      <c r="A2013" s="11" t="str">
        <f>HYPERLINK("https://rth.dk/resources/bsgatlas/details.php?id=BSGatlas-transcript-2012","BSGatlas-transcript-2012")</f>
        <v>BSGatlas-transcript-2012</v>
      </c>
      <c r="B2013" s="1" t="s">
        <v>7401</v>
      </c>
      <c r="C2013" s="3">
        <v>1868569</v>
      </c>
      <c r="D2013" s="3">
        <v>1872795</v>
      </c>
      <c r="E2013" s="1" t="s">
        <v>9</v>
      </c>
      <c r="F2013" s="1">
        <v>2</v>
      </c>
      <c r="G2013" s="1">
        <v>49</v>
      </c>
      <c r="H2013" s="1">
        <v>48</v>
      </c>
      <c r="I2013" s="1" t="s">
        <v>4373</v>
      </c>
      <c r="J2013" s="1" t="s">
        <v>7400</v>
      </c>
      <c r="K2013" s="1" t="s">
        <v>7398</v>
      </c>
    </row>
    <row r="2014" spans="1:11" ht="21" x14ac:dyDescent="0.25">
      <c r="A2014" s="11" t="str">
        <f>HYPERLINK("https://rth.dk/resources/bsgatlas/details.php?id=BSGatlas-transcript-2013","BSGatlas-transcript-2013")</f>
        <v>BSGatlas-transcript-2013</v>
      </c>
      <c r="B2014" s="1" t="s">
        <v>1924</v>
      </c>
      <c r="C2014" s="3">
        <v>1872085</v>
      </c>
      <c r="D2014" s="3">
        <v>1873579</v>
      </c>
      <c r="E2014" s="1" t="s">
        <v>13</v>
      </c>
      <c r="F2014" s="1">
        <v>0</v>
      </c>
      <c r="G2014" s="1" t="s">
        <v>4372</v>
      </c>
      <c r="H2014" s="1" t="s">
        <v>4372</v>
      </c>
      <c r="I2014" s="1" t="s">
        <v>4373</v>
      </c>
      <c r="J2014" s="1" t="s">
        <v>7402</v>
      </c>
      <c r="K2014" s="1" t="s">
        <v>7403</v>
      </c>
    </row>
    <row r="2015" spans="1:11" ht="21" x14ac:dyDescent="0.25">
      <c r="A2015" s="11" t="str">
        <f>HYPERLINK("https://rth.dk/resources/bsgatlas/details.php?id=BSGatlas-transcript-2014","BSGatlas-transcript-2014")</f>
        <v>BSGatlas-transcript-2014</v>
      </c>
      <c r="B2015" s="1" t="s">
        <v>1924</v>
      </c>
      <c r="C2015" s="3">
        <v>1872739</v>
      </c>
      <c r="D2015" s="3">
        <v>1873579</v>
      </c>
      <c r="E2015" s="1" t="s">
        <v>13</v>
      </c>
      <c r="F2015" s="1">
        <v>0</v>
      </c>
      <c r="G2015" s="1" t="s">
        <v>4372</v>
      </c>
      <c r="H2015" s="1" t="s">
        <v>4372</v>
      </c>
      <c r="I2015" s="1" t="s">
        <v>4373</v>
      </c>
      <c r="J2015" s="1" t="s">
        <v>7402</v>
      </c>
      <c r="K2015" s="1" t="s">
        <v>7404</v>
      </c>
    </row>
    <row r="2016" spans="1:11" ht="21" x14ac:dyDescent="0.25">
      <c r="A2016" s="11" t="str">
        <f>HYPERLINK("https://rth.dk/resources/bsgatlas/details.php?id=BSGatlas-transcript-2015","BSGatlas-transcript-2015")</f>
        <v>BSGatlas-transcript-2015</v>
      </c>
      <c r="B2016" s="1" t="s">
        <v>1925</v>
      </c>
      <c r="C2016" s="3">
        <v>1872786</v>
      </c>
      <c r="D2016" s="3">
        <v>1873153</v>
      </c>
      <c r="E2016" s="1" t="s">
        <v>9</v>
      </c>
      <c r="F2016" s="1">
        <v>0</v>
      </c>
      <c r="G2016" s="1" t="s">
        <v>4372</v>
      </c>
      <c r="H2016" s="1" t="s">
        <v>4372</v>
      </c>
      <c r="I2016" s="1" t="s">
        <v>4377</v>
      </c>
      <c r="J2016" s="1" t="s">
        <v>7405</v>
      </c>
      <c r="K2016" s="1" t="s">
        <v>318</v>
      </c>
    </row>
    <row r="2017" spans="1:11" ht="21" x14ac:dyDescent="0.25">
      <c r="A2017" s="11" t="str">
        <f>HYPERLINK("https://rth.dk/resources/bsgatlas/details.php?id=BSGatlas-transcript-2016","BSGatlas-transcript-2016")</f>
        <v>BSGatlas-transcript-2016</v>
      </c>
      <c r="B2017" s="1" t="s">
        <v>1926</v>
      </c>
      <c r="C2017" s="3">
        <v>1873754</v>
      </c>
      <c r="D2017" s="3">
        <v>1875171</v>
      </c>
      <c r="E2017" s="1" t="s">
        <v>9</v>
      </c>
      <c r="F2017" s="1">
        <v>0</v>
      </c>
      <c r="G2017" s="1" t="s">
        <v>4372</v>
      </c>
      <c r="H2017" s="1" t="s">
        <v>4372</v>
      </c>
      <c r="I2017" s="1" t="s">
        <v>4373</v>
      </c>
      <c r="J2017" s="1" t="s">
        <v>7406</v>
      </c>
      <c r="K2017" s="1" t="s">
        <v>7407</v>
      </c>
    </row>
    <row r="2018" spans="1:11" ht="21" x14ac:dyDescent="0.25">
      <c r="A2018" s="11" t="str">
        <f>HYPERLINK("https://rth.dk/resources/bsgatlas/details.php?id=BSGatlas-transcript-2017","BSGatlas-transcript-2017")</f>
        <v>BSGatlas-transcript-2017</v>
      </c>
      <c r="B2018" s="1" t="s">
        <v>1926</v>
      </c>
      <c r="C2018" s="3">
        <v>1873754</v>
      </c>
      <c r="D2018" s="3">
        <v>1875210</v>
      </c>
      <c r="E2018" s="1" t="s">
        <v>9</v>
      </c>
      <c r="F2018" s="1">
        <v>0</v>
      </c>
      <c r="G2018" s="1" t="s">
        <v>4372</v>
      </c>
      <c r="H2018" s="1" t="s">
        <v>4372</v>
      </c>
      <c r="I2018" s="1" t="s">
        <v>4373</v>
      </c>
      <c r="J2018" s="1" t="s">
        <v>7406</v>
      </c>
      <c r="K2018" s="1" t="s">
        <v>7408</v>
      </c>
    </row>
    <row r="2019" spans="1:11" ht="21" x14ac:dyDescent="0.25">
      <c r="A2019" s="11" t="str">
        <f>HYPERLINK("https://rth.dk/resources/bsgatlas/details.php?id=BSGatlas-transcript-2018","BSGatlas-transcript-2018")</f>
        <v>BSGatlas-transcript-2018</v>
      </c>
      <c r="B2019" s="1" t="s">
        <v>1926</v>
      </c>
      <c r="C2019" s="3">
        <v>1874073</v>
      </c>
      <c r="D2019" s="3">
        <v>1875171</v>
      </c>
      <c r="E2019" s="1" t="s">
        <v>9</v>
      </c>
      <c r="F2019" s="1">
        <v>0</v>
      </c>
      <c r="G2019" s="1" t="s">
        <v>4372</v>
      </c>
      <c r="H2019" s="1" t="s">
        <v>4372</v>
      </c>
      <c r="I2019" s="1" t="s">
        <v>4373</v>
      </c>
      <c r="J2019" s="1" t="s">
        <v>7409</v>
      </c>
      <c r="K2019" s="1" t="s">
        <v>7407</v>
      </c>
    </row>
    <row r="2020" spans="1:11" ht="21" x14ac:dyDescent="0.25">
      <c r="A2020" s="11" t="str">
        <f>HYPERLINK("https://rth.dk/resources/bsgatlas/details.php?id=BSGatlas-transcript-2019","BSGatlas-transcript-2019")</f>
        <v>BSGatlas-transcript-2019</v>
      </c>
      <c r="B2020" s="1" t="s">
        <v>1926</v>
      </c>
      <c r="C2020" s="3">
        <v>1874073</v>
      </c>
      <c r="D2020" s="3">
        <v>1875210</v>
      </c>
      <c r="E2020" s="1" t="s">
        <v>9</v>
      </c>
      <c r="F2020" s="1">
        <v>0</v>
      </c>
      <c r="G2020" s="1" t="s">
        <v>4372</v>
      </c>
      <c r="H2020" s="1" t="s">
        <v>4372</v>
      </c>
      <c r="I2020" s="1" t="s">
        <v>4373</v>
      </c>
      <c r="J2020" s="1" t="s">
        <v>7409</v>
      </c>
      <c r="K2020" s="1" t="s">
        <v>7408</v>
      </c>
    </row>
    <row r="2021" spans="1:11" ht="21" x14ac:dyDescent="0.25">
      <c r="A2021" s="11" t="str">
        <f>HYPERLINK("https://rth.dk/resources/bsgatlas/details.php?id=BSGatlas-transcript-2020","BSGatlas-transcript-2020")</f>
        <v>BSGatlas-transcript-2020</v>
      </c>
      <c r="B2021" s="1" t="s">
        <v>1926</v>
      </c>
      <c r="C2021" s="3">
        <v>1874186</v>
      </c>
      <c r="D2021" s="3">
        <v>1875171</v>
      </c>
      <c r="E2021" s="1" t="s">
        <v>9</v>
      </c>
      <c r="F2021" s="1">
        <v>0</v>
      </c>
      <c r="G2021" s="1" t="s">
        <v>4372</v>
      </c>
      <c r="H2021" s="1" t="s">
        <v>4372</v>
      </c>
      <c r="I2021" s="1" t="s">
        <v>4373</v>
      </c>
      <c r="J2021" s="1" t="s">
        <v>7410</v>
      </c>
      <c r="K2021" s="1" t="s">
        <v>7407</v>
      </c>
    </row>
    <row r="2022" spans="1:11" ht="21" x14ac:dyDescent="0.25">
      <c r="A2022" s="11" t="str">
        <f>HYPERLINK("https://rth.dk/resources/bsgatlas/details.php?id=BSGatlas-transcript-2021","BSGatlas-transcript-2021")</f>
        <v>BSGatlas-transcript-2021</v>
      </c>
      <c r="B2022" s="1" t="s">
        <v>1926</v>
      </c>
      <c r="C2022" s="3">
        <v>1874186</v>
      </c>
      <c r="D2022" s="3">
        <v>1875210</v>
      </c>
      <c r="E2022" s="1" t="s">
        <v>9</v>
      </c>
      <c r="F2022" s="1">
        <v>0</v>
      </c>
      <c r="G2022" s="1" t="s">
        <v>4372</v>
      </c>
      <c r="H2022" s="1" t="s">
        <v>4372</v>
      </c>
      <c r="I2022" s="1" t="s">
        <v>4373</v>
      </c>
      <c r="J2022" s="1" t="s">
        <v>7410</v>
      </c>
      <c r="K2022" s="1" t="s">
        <v>7408</v>
      </c>
    </row>
    <row r="2023" spans="1:11" ht="21" x14ac:dyDescent="0.25">
      <c r="A2023" s="11" t="str">
        <f>HYPERLINK("https://rth.dk/resources/bsgatlas/details.php?id=BSGatlas-transcript-2022","BSGatlas-transcript-2022")</f>
        <v>BSGatlas-transcript-2022</v>
      </c>
      <c r="B2023" s="1" t="s">
        <v>7411</v>
      </c>
      <c r="C2023" s="3">
        <v>1875250</v>
      </c>
      <c r="D2023" s="3">
        <v>1878366</v>
      </c>
      <c r="E2023" s="1" t="s">
        <v>9</v>
      </c>
      <c r="F2023" s="1">
        <v>2</v>
      </c>
      <c r="G2023" s="1">
        <v>55</v>
      </c>
      <c r="H2023" s="1" t="s">
        <v>4372</v>
      </c>
      <c r="I2023" s="1" t="s">
        <v>4377</v>
      </c>
      <c r="J2023" s="1" t="s">
        <v>7412</v>
      </c>
      <c r="K2023" s="1" t="s">
        <v>7413</v>
      </c>
    </row>
    <row r="2024" spans="1:11" ht="21" x14ac:dyDescent="0.25">
      <c r="A2024" s="11" t="str">
        <f>HYPERLINK("https://rth.dk/resources/bsgatlas/details.php?id=BSGatlas-transcript-2023","BSGatlas-transcript-2023")</f>
        <v>BSGatlas-transcript-2023</v>
      </c>
      <c r="B2024" s="1" t="s">
        <v>7414</v>
      </c>
      <c r="C2024" s="3">
        <v>1875250</v>
      </c>
      <c r="D2024" s="3">
        <v>1879759</v>
      </c>
      <c r="E2024" s="1" t="s">
        <v>9</v>
      </c>
      <c r="F2024" s="1">
        <v>3</v>
      </c>
      <c r="G2024" s="1">
        <v>55</v>
      </c>
      <c r="H2024" s="1" t="s">
        <v>4372</v>
      </c>
      <c r="I2024" s="1" t="s">
        <v>4386</v>
      </c>
      <c r="J2024" s="1" t="s">
        <v>7412</v>
      </c>
      <c r="K2024" s="1" t="s">
        <v>7415</v>
      </c>
    </row>
    <row r="2025" spans="1:11" ht="21" x14ac:dyDescent="0.25">
      <c r="A2025" s="11" t="str">
        <f>HYPERLINK("https://rth.dk/resources/bsgatlas/details.php?id=BSGatlas-transcript-2024","BSGatlas-transcript-2024")</f>
        <v>BSGatlas-transcript-2024</v>
      </c>
      <c r="B2025" s="1" t="s">
        <v>7414</v>
      </c>
      <c r="C2025" s="3">
        <v>1875250</v>
      </c>
      <c r="D2025" s="3">
        <v>1879809</v>
      </c>
      <c r="E2025" s="1" t="s">
        <v>9</v>
      </c>
      <c r="F2025" s="1">
        <v>3</v>
      </c>
      <c r="G2025" s="1">
        <v>55</v>
      </c>
      <c r="H2025" s="1">
        <v>51</v>
      </c>
      <c r="I2025" s="1" t="s">
        <v>4386</v>
      </c>
      <c r="J2025" s="1" t="s">
        <v>7412</v>
      </c>
      <c r="K2025" s="1" t="s">
        <v>7416</v>
      </c>
    </row>
    <row r="2026" spans="1:11" ht="21" x14ac:dyDescent="0.25">
      <c r="A2026" s="11" t="str">
        <f>HYPERLINK("https://rth.dk/resources/bsgatlas/details.php?id=BSGatlas-transcript-2025","BSGatlas-transcript-2025")</f>
        <v>BSGatlas-transcript-2025</v>
      </c>
      <c r="B2026" s="1" t="s">
        <v>1929</v>
      </c>
      <c r="C2026" s="3">
        <v>1877935</v>
      </c>
      <c r="D2026" s="3">
        <v>1878366</v>
      </c>
      <c r="E2026" s="1" t="s">
        <v>9</v>
      </c>
      <c r="F2026" s="1">
        <v>0</v>
      </c>
      <c r="G2026" s="1" t="s">
        <v>4372</v>
      </c>
      <c r="H2026" s="1" t="s">
        <v>4372</v>
      </c>
      <c r="I2026" s="1" t="s">
        <v>4386</v>
      </c>
      <c r="J2026" s="1" t="s">
        <v>7417</v>
      </c>
      <c r="K2026" s="1" t="s">
        <v>7413</v>
      </c>
    </row>
    <row r="2027" spans="1:11" ht="21" x14ac:dyDescent="0.25">
      <c r="A2027" s="11" t="str">
        <f>HYPERLINK("https://rth.dk/resources/bsgatlas/details.php?id=BSGatlas-transcript-2026","BSGatlas-transcript-2026")</f>
        <v>BSGatlas-transcript-2026</v>
      </c>
      <c r="B2027" s="1" t="s">
        <v>7418</v>
      </c>
      <c r="C2027" s="3">
        <v>1877935</v>
      </c>
      <c r="D2027" s="3">
        <v>1879759</v>
      </c>
      <c r="E2027" s="1" t="s">
        <v>9</v>
      </c>
      <c r="F2027" s="1">
        <v>1</v>
      </c>
      <c r="G2027" s="1">
        <v>25</v>
      </c>
      <c r="H2027" s="1" t="s">
        <v>4372</v>
      </c>
      <c r="I2027" s="1" t="s">
        <v>4373</v>
      </c>
      <c r="J2027" s="1" t="s">
        <v>7417</v>
      </c>
      <c r="K2027" s="1" t="s">
        <v>7415</v>
      </c>
    </row>
    <row r="2028" spans="1:11" ht="21" x14ac:dyDescent="0.25">
      <c r="A2028" s="11" t="str">
        <f>HYPERLINK("https://rth.dk/resources/bsgatlas/details.php?id=BSGatlas-transcript-2027","BSGatlas-transcript-2027")</f>
        <v>BSGatlas-transcript-2027</v>
      </c>
      <c r="B2028" s="1" t="s">
        <v>7418</v>
      </c>
      <c r="C2028" s="3">
        <v>1877935</v>
      </c>
      <c r="D2028" s="3">
        <v>1879809</v>
      </c>
      <c r="E2028" s="1" t="s">
        <v>9</v>
      </c>
      <c r="F2028" s="1">
        <v>1</v>
      </c>
      <c r="G2028" s="1">
        <v>25</v>
      </c>
      <c r="H2028" s="1">
        <v>51</v>
      </c>
      <c r="I2028" s="1" t="s">
        <v>4373</v>
      </c>
      <c r="J2028" s="1" t="s">
        <v>7417</v>
      </c>
      <c r="K2028" s="1" t="s">
        <v>7416</v>
      </c>
    </row>
    <row r="2029" spans="1:11" ht="21" x14ac:dyDescent="0.25">
      <c r="A2029" s="11" t="str">
        <f>HYPERLINK("https://rth.dk/resources/bsgatlas/details.php?id=BSGatlas-transcript-2028","BSGatlas-transcript-2028")</f>
        <v>BSGatlas-transcript-2028</v>
      </c>
      <c r="B2029" s="1" t="s">
        <v>1930</v>
      </c>
      <c r="C2029" s="3">
        <v>1878372</v>
      </c>
      <c r="D2029" s="3">
        <v>1879759</v>
      </c>
      <c r="E2029" s="1" t="s">
        <v>9</v>
      </c>
      <c r="F2029" s="1">
        <v>0</v>
      </c>
      <c r="G2029" s="1" t="s">
        <v>4372</v>
      </c>
      <c r="H2029" s="1" t="s">
        <v>4372</v>
      </c>
      <c r="I2029" s="1" t="s">
        <v>4386</v>
      </c>
      <c r="J2029" s="1" t="s">
        <v>7419</v>
      </c>
      <c r="K2029" s="1" t="s">
        <v>7415</v>
      </c>
    </row>
    <row r="2030" spans="1:11" ht="21" x14ac:dyDescent="0.25">
      <c r="A2030" s="11" t="str">
        <f>HYPERLINK("https://rth.dk/resources/bsgatlas/details.php?id=BSGatlas-transcript-2029","BSGatlas-transcript-2029")</f>
        <v>BSGatlas-transcript-2029</v>
      </c>
      <c r="B2030" s="1" t="s">
        <v>1930</v>
      </c>
      <c r="C2030" s="3">
        <v>1878372</v>
      </c>
      <c r="D2030" s="3">
        <v>1879809</v>
      </c>
      <c r="E2030" s="1" t="s">
        <v>9</v>
      </c>
      <c r="F2030" s="1">
        <v>0</v>
      </c>
      <c r="G2030" s="1" t="s">
        <v>4372</v>
      </c>
      <c r="H2030" s="1" t="s">
        <v>4372</v>
      </c>
      <c r="I2030" s="1" t="s">
        <v>4386</v>
      </c>
      <c r="J2030" s="1" t="s">
        <v>7419</v>
      </c>
      <c r="K2030" s="1" t="s">
        <v>7416</v>
      </c>
    </row>
    <row r="2031" spans="1:11" ht="21" x14ac:dyDescent="0.25">
      <c r="A2031" s="11" t="str">
        <f>HYPERLINK("https://rth.dk/resources/bsgatlas/details.php?id=BSGatlas-transcript-2030","BSGatlas-transcript-2030")</f>
        <v>BSGatlas-transcript-2030</v>
      </c>
      <c r="B2031" s="1" t="s">
        <v>1931</v>
      </c>
      <c r="C2031" s="3">
        <v>1880043</v>
      </c>
      <c r="D2031" s="3">
        <v>1880414</v>
      </c>
      <c r="E2031" s="1" t="s">
        <v>9</v>
      </c>
      <c r="F2031" s="1">
        <v>0</v>
      </c>
      <c r="G2031" s="1" t="s">
        <v>4372</v>
      </c>
      <c r="H2031" s="1" t="s">
        <v>4372</v>
      </c>
      <c r="I2031" s="1" t="s">
        <v>4373</v>
      </c>
      <c r="J2031" s="1" t="s">
        <v>7420</v>
      </c>
      <c r="K2031" s="1" t="s">
        <v>7421</v>
      </c>
    </row>
    <row r="2032" spans="1:11" ht="21" x14ac:dyDescent="0.25">
      <c r="A2032" s="11" t="str">
        <f>HYPERLINK("https://rth.dk/resources/bsgatlas/details.php?id=BSGatlas-transcript-2031","BSGatlas-transcript-2031")</f>
        <v>BSGatlas-transcript-2031</v>
      </c>
      <c r="B2032" s="1" t="s">
        <v>1932</v>
      </c>
      <c r="C2032" s="3">
        <v>1880623</v>
      </c>
      <c r="D2032" s="3">
        <v>1880967</v>
      </c>
      <c r="E2032" s="1" t="s">
        <v>9</v>
      </c>
      <c r="F2032" s="1">
        <v>0</v>
      </c>
      <c r="G2032" s="1" t="s">
        <v>4372</v>
      </c>
      <c r="H2032" s="1" t="s">
        <v>4372</v>
      </c>
      <c r="I2032" s="1" t="s">
        <v>4377</v>
      </c>
      <c r="J2032" s="1" t="s">
        <v>318</v>
      </c>
      <c r="K2032" s="1" t="s">
        <v>7422</v>
      </c>
    </row>
    <row r="2033" spans="1:11" ht="21" x14ac:dyDescent="0.25">
      <c r="A2033" s="11" t="str">
        <f>HYPERLINK("https://rth.dk/resources/bsgatlas/details.php?id=BSGatlas-transcript-2032","BSGatlas-transcript-2032")</f>
        <v>BSGatlas-transcript-2032</v>
      </c>
      <c r="B2033" s="1" t="s">
        <v>7423</v>
      </c>
      <c r="C2033" s="3">
        <v>1881406</v>
      </c>
      <c r="D2033" s="3">
        <v>1882849</v>
      </c>
      <c r="E2033" s="1" t="s">
        <v>9</v>
      </c>
      <c r="F2033" s="1">
        <v>1</v>
      </c>
      <c r="G2033" s="1">
        <v>131</v>
      </c>
      <c r="H2033" s="1">
        <v>19</v>
      </c>
      <c r="I2033" s="1" t="s">
        <v>4386</v>
      </c>
      <c r="J2033" s="1" t="s">
        <v>7424</v>
      </c>
      <c r="K2033" s="1" t="s">
        <v>7425</v>
      </c>
    </row>
    <row r="2034" spans="1:11" ht="21" x14ac:dyDescent="0.25">
      <c r="A2034" s="11" t="str">
        <f>HYPERLINK("https://rth.dk/resources/bsgatlas/details.php?id=BSGatlas-transcript-2033","BSGatlas-transcript-2033")</f>
        <v>BSGatlas-transcript-2033</v>
      </c>
      <c r="B2034" s="1" t="s">
        <v>7423</v>
      </c>
      <c r="C2034" s="3">
        <v>1881406</v>
      </c>
      <c r="D2034" s="3">
        <v>1882915</v>
      </c>
      <c r="E2034" s="1" t="s">
        <v>9</v>
      </c>
      <c r="F2034" s="1">
        <v>1</v>
      </c>
      <c r="G2034" s="1">
        <v>131</v>
      </c>
      <c r="H2034" s="1">
        <v>85</v>
      </c>
      <c r="I2034" s="1" t="s">
        <v>4386</v>
      </c>
      <c r="J2034" s="1" t="s">
        <v>7424</v>
      </c>
      <c r="K2034" s="1" t="s">
        <v>7426</v>
      </c>
    </row>
    <row r="2035" spans="1:11" ht="21" x14ac:dyDescent="0.25">
      <c r="A2035" s="11" t="str">
        <f>HYPERLINK("https://rth.dk/resources/bsgatlas/details.php?id=BSGatlas-transcript-2034","BSGatlas-transcript-2034")</f>
        <v>BSGatlas-transcript-2034</v>
      </c>
      <c r="B2035" s="1" t="s">
        <v>1935</v>
      </c>
      <c r="C2035" s="3">
        <v>1883135</v>
      </c>
      <c r="D2035" s="3">
        <v>1883678</v>
      </c>
      <c r="E2035" s="1" t="s">
        <v>9</v>
      </c>
      <c r="F2035" s="1">
        <v>0</v>
      </c>
      <c r="G2035" s="1" t="s">
        <v>4372</v>
      </c>
      <c r="H2035" s="1" t="s">
        <v>4372</v>
      </c>
      <c r="I2035" s="1" t="s">
        <v>4377</v>
      </c>
      <c r="J2035" s="1" t="s">
        <v>7427</v>
      </c>
      <c r="K2035" s="1" t="s">
        <v>318</v>
      </c>
    </row>
    <row r="2036" spans="1:11" ht="21" x14ac:dyDescent="0.25">
      <c r="A2036" s="11" t="str">
        <f>HYPERLINK("https://rth.dk/resources/bsgatlas/details.php?id=BSGatlas-transcript-2035","BSGatlas-transcript-2035")</f>
        <v>BSGatlas-transcript-2035</v>
      </c>
      <c r="B2036" s="1" t="s">
        <v>1936</v>
      </c>
      <c r="C2036" s="3">
        <v>1884125</v>
      </c>
      <c r="D2036" s="3">
        <v>1884879</v>
      </c>
      <c r="E2036" s="1" t="s">
        <v>9</v>
      </c>
      <c r="F2036" s="1">
        <v>0</v>
      </c>
      <c r="G2036" s="1" t="s">
        <v>4372</v>
      </c>
      <c r="H2036" s="1" t="s">
        <v>4372</v>
      </c>
      <c r="I2036" s="1" t="s">
        <v>4377</v>
      </c>
      <c r="J2036" s="1" t="s">
        <v>7428</v>
      </c>
      <c r="K2036" s="1" t="s">
        <v>318</v>
      </c>
    </row>
    <row r="2037" spans="1:11" ht="21" x14ac:dyDescent="0.25">
      <c r="A2037" s="11" t="str">
        <f>HYPERLINK("https://rth.dk/resources/bsgatlas/details.php?id=BSGatlas-transcript-2036","BSGatlas-transcript-2036")</f>
        <v>BSGatlas-transcript-2036</v>
      </c>
      <c r="B2037" s="1" t="s">
        <v>1936</v>
      </c>
      <c r="C2037" s="3">
        <v>1884169</v>
      </c>
      <c r="D2037" s="3">
        <v>1884879</v>
      </c>
      <c r="E2037" s="1" t="s">
        <v>9</v>
      </c>
      <c r="F2037" s="1">
        <v>0</v>
      </c>
      <c r="G2037" s="1" t="s">
        <v>4372</v>
      </c>
      <c r="H2037" s="1" t="s">
        <v>4372</v>
      </c>
      <c r="I2037" s="1" t="s">
        <v>4377</v>
      </c>
      <c r="J2037" s="1" t="s">
        <v>7429</v>
      </c>
      <c r="K2037" s="1" t="s">
        <v>318</v>
      </c>
    </row>
    <row r="2038" spans="1:11" ht="21" x14ac:dyDescent="0.25">
      <c r="A2038" s="11" t="str">
        <f>HYPERLINK("https://rth.dk/resources/bsgatlas/details.php?id=BSGatlas-transcript-2037","BSGatlas-transcript-2037")</f>
        <v>BSGatlas-transcript-2037</v>
      </c>
      <c r="B2038" s="1" t="s">
        <v>7430</v>
      </c>
      <c r="C2038" s="3">
        <v>1887031</v>
      </c>
      <c r="D2038" s="3">
        <v>1890428</v>
      </c>
      <c r="E2038" s="1" t="s">
        <v>9</v>
      </c>
      <c r="F2038" s="1">
        <v>1</v>
      </c>
      <c r="G2038" s="1">
        <v>322</v>
      </c>
      <c r="H2038" s="1">
        <v>54</v>
      </c>
      <c r="I2038" s="1" t="s">
        <v>4373</v>
      </c>
      <c r="J2038" s="1" t="s">
        <v>7431</v>
      </c>
      <c r="K2038" s="1" t="s">
        <v>7432</v>
      </c>
    </row>
    <row r="2039" spans="1:11" ht="21" x14ac:dyDescent="0.25">
      <c r="A2039" s="11" t="str">
        <f>HYPERLINK("https://rth.dk/resources/bsgatlas/details.php?id=BSGatlas-transcript-2038","BSGatlas-transcript-2038")</f>
        <v>BSGatlas-transcript-2038</v>
      </c>
      <c r="B2039" s="1" t="s">
        <v>1939</v>
      </c>
      <c r="C2039" s="3">
        <v>1888890</v>
      </c>
      <c r="D2039" s="3">
        <v>1889195</v>
      </c>
      <c r="E2039" s="1" t="s">
        <v>13</v>
      </c>
      <c r="F2039" s="1">
        <v>0</v>
      </c>
      <c r="G2039" s="1" t="s">
        <v>4372</v>
      </c>
      <c r="H2039" s="1" t="s">
        <v>4372</v>
      </c>
      <c r="I2039" s="1" t="s">
        <v>4377</v>
      </c>
      <c r="J2039" s="1" t="s">
        <v>7433</v>
      </c>
      <c r="K2039" s="1" t="s">
        <v>318</v>
      </c>
    </row>
    <row r="2040" spans="1:11" ht="21" x14ac:dyDescent="0.25">
      <c r="A2040" s="11" t="str">
        <f>HYPERLINK("https://rth.dk/resources/bsgatlas/details.php?id=BSGatlas-transcript-2039","BSGatlas-transcript-2039")</f>
        <v>BSGatlas-transcript-2039</v>
      </c>
      <c r="B2040" s="1" t="s">
        <v>1940</v>
      </c>
      <c r="C2040" s="3">
        <v>1890460</v>
      </c>
      <c r="D2040" s="3">
        <v>1891743</v>
      </c>
      <c r="E2040" s="1" t="s">
        <v>13</v>
      </c>
      <c r="F2040" s="1">
        <v>0</v>
      </c>
      <c r="G2040" s="1" t="s">
        <v>4372</v>
      </c>
      <c r="H2040" s="1" t="s">
        <v>4372</v>
      </c>
      <c r="I2040" s="1" t="s">
        <v>4373</v>
      </c>
      <c r="J2040" s="1" t="s">
        <v>7434</v>
      </c>
      <c r="K2040" s="1" t="s">
        <v>7435</v>
      </c>
    </row>
    <row r="2041" spans="1:11" ht="21" x14ac:dyDescent="0.25">
      <c r="A2041" s="11" t="str">
        <f>HYPERLINK("https://rth.dk/resources/bsgatlas/details.php?id=BSGatlas-transcript-2040","BSGatlas-transcript-2040")</f>
        <v>BSGatlas-transcript-2040</v>
      </c>
      <c r="B2041" s="1" t="s">
        <v>1941</v>
      </c>
      <c r="C2041" s="3">
        <v>1891737</v>
      </c>
      <c r="D2041" s="3">
        <v>1893299</v>
      </c>
      <c r="E2041" s="1" t="s">
        <v>9</v>
      </c>
      <c r="F2041" s="1">
        <v>0</v>
      </c>
      <c r="G2041" s="1" t="s">
        <v>4372</v>
      </c>
      <c r="H2041" s="1" t="s">
        <v>4372</v>
      </c>
      <c r="I2041" s="1" t="s">
        <v>4377</v>
      </c>
      <c r="J2041" s="1" t="s">
        <v>7436</v>
      </c>
      <c r="K2041" s="1" t="s">
        <v>7437</v>
      </c>
    </row>
    <row r="2042" spans="1:11" ht="21" x14ac:dyDescent="0.25">
      <c r="A2042" s="11" t="str">
        <f>HYPERLINK("https://rth.dk/resources/bsgatlas/details.php?id=BSGatlas-transcript-2041","BSGatlas-transcript-2041")</f>
        <v>BSGatlas-transcript-2041</v>
      </c>
      <c r="B2042" s="1" t="s">
        <v>7438</v>
      </c>
      <c r="C2042" s="3">
        <v>1891737</v>
      </c>
      <c r="D2042" s="3">
        <v>1895236</v>
      </c>
      <c r="E2042" s="1" t="s">
        <v>9</v>
      </c>
      <c r="F2042" s="1">
        <v>1</v>
      </c>
      <c r="G2042" s="1">
        <v>172</v>
      </c>
      <c r="H2042" s="1">
        <v>342</v>
      </c>
      <c r="I2042" s="1" t="s">
        <v>4373</v>
      </c>
      <c r="J2042" s="1" t="s">
        <v>7436</v>
      </c>
      <c r="K2042" s="1" t="s">
        <v>7439</v>
      </c>
    </row>
    <row r="2043" spans="1:11" ht="21" x14ac:dyDescent="0.25">
      <c r="A2043" s="11" t="str">
        <f>HYPERLINK("https://rth.dk/resources/bsgatlas/details.php?id=BSGatlas-transcript-2042","BSGatlas-transcript-2042")</f>
        <v>BSGatlas-transcript-2042</v>
      </c>
      <c r="B2043" s="1" t="s">
        <v>1941</v>
      </c>
      <c r="C2043" s="3">
        <v>1891804</v>
      </c>
      <c r="D2043" s="3">
        <v>1893299</v>
      </c>
      <c r="E2043" s="1" t="s">
        <v>9</v>
      </c>
      <c r="F2043" s="1">
        <v>0</v>
      </c>
      <c r="G2043" s="1" t="s">
        <v>4372</v>
      </c>
      <c r="H2043" s="1" t="s">
        <v>4372</v>
      </c>
      <c r="I2043" s="1" t="s">
        <v>4377</v>
      </c>
      <c r="J2043" s="1" t="s">
        <v>7440</v>
      </c>
      <c r="K2043" s="1" t="s">
        <v>7437</v>
      </c>
    </row>
    <row r="2044" spans="1:11" ht="21" x14ac:dyDescent="0.25">
      <c r="A2044" s="11" t="str">
        <f>HYPERLINK("https://rth.dk/resources/bsgatlas/details.php?id=BSGatlas-transcript-2043","BSGatlas-transcript-2043")</f>
        <v>BSGatlas-transcript-2043</v>
      </c>
      <c r="B2044" s="1" t="s">
        <v>7438</v>
      </c>
      <c r="C2044" s="3">
        <v>1891804</v>
      </c>
      <c r="D2044" s="3">
        <v>1895236</v>
      </c>
      <c r="E2044" s="1" t="s">
        <v>9</v>
      </c>
      <c r="F2044" s="1">
        <v>1</v>
      </c>
      <c r="G2044" s="1">
        <v>105</v>
      </c>
      <c r="H2044" s="1">
        <v>342</v>
      </c>
      <c r="I2044" s="1" t="s">
        <v>4373</v>
      </c>
      <c r="J2044" s="1" t="s">
        <v>7440</v>
      </c>
      <c r="K2044" s="1" t="s">
        <v>7439</v>
      </c>
    </row>
    <row r="2045" spans="1:11" ht="21" x14ac:dyDescent="0.25">
      <c r="A2045" s="11" t="str">
        <f>HYPERLINK("https://rth.dk/resources/bsgatlas/details.php?id=BSGatlas-transcript-2044","BSGatlas-transcript-2044")</f>
        <v>BSGatlas-transcript-2044</v>
      </c>
      <c r="B2045" s="1" t="s">
        <v>1943</v>
      </c>
      <c r="C2045" s="3">
        <v>1895378</v>
      </c>
      <c r="D2045" s="3">
        <v>1896059</v>
      </c>
      <c r="E2045" s="1" t="s">
        <v>13</v>
      </c>
      <c r="F2045" s="1">
        <v>0</v>
      </c>
      <c r="G2045" s="1" t="s">
        <v>4372</v>
      </c>
      <c r="H2045" s="1" t="s">
        <v>4372</v>
      </c>
      <c r="I2045" s="1" t="s">
        <v>4397</v>
      </c>
      <c r="J2045" s="1" t="s">
        <v>7441</v>
      </c>
      <c r="K2045" s="1" t="s">
        <v>318</v>
      </c>
    </row>
    <row r="2046" spans="1:11" ht="21" x14ac:dyDescent="0.25">
      <c r="A2046" s="11" t="str">
        <f>HYPERLINK("https://rth.dk/resources/bsgatlas/details.php?id=BSGatlas-transcript-2045","BSGatlas-transcript-2045")</f>
        <v>BSGatlas-transcript-2045</v>
      </c>
      <c r="B2046" s="1" t="s">
        <v>1944</v>
      </c>
      <c r="C2046" s="3">
        <v>1896225</v>
      </c>
      <c r="D2046" s="3">
        <v>1897839</v>
      </c>
      <c r="E2046" s="1" t="s">
        <v>9</v>
      </c>
      <c r="F2046" s="1">
        <v>0</v>
      </c>
      <c r="G2046" s="1" t="s">
        <v>4372</v>
      </c>
      <c r="H2046" s="1" t="s">
        <v>4372</v>
      </c>
      <c r="I2046" s="1" t="s">
        <v>4397</v>
      </c>
      <c r="J2046" s="1" t="s">
        <v>7442</v>
      </c>
      <c r="K2046" s="1" t="s">
        <v>7443</v>
      </c>
    </row>
    <row r="2047" spans="1:11" ht="21" x14ac:dyDescent="0.25">
      <c r="A2047" s="11" t="str">
        <f>HYPERLINK("https://rth.dk/resources/bsgatlas/details.php?id=BSGatlas-transcript-2046","BSGatlas-transcript-2046")</f>
        <v>BSGatlas-transcript-2046</v>
      </c>
      <c r="B2047" s="1" t="s">
        <v>1945</v>
      </c>
      <c r="C2047" s="3">
        <v>1897884</v>
      </c>
      <c r="D2047" s="3">
        <v>1899209</v>
      </c>
      <c r="E2047" s="1" t="s">
        <v>13</v>
      </c>
      <c r="F2047" s="1">
        <v>0</v>
      </c>
      <c r="G2047" s="1" t="s">
        <v>4372</v>
      </c>
      <c r="H2047" s="1" t="s">
        <v>4372</v>
      </c>
      <c r="I2047" s="1" t="s">
        <v>4373</v>
      </c>
      <c r="J2047" s="1" t="s">
        <v>7444</v>
      </c>
      <c r="K2047" s="1" t="s">
        <v>7445</v>
      </c>
    </row>
    <row r="2048" spans="1:11" ht="21" x14ac:dyDescent="0.25">
      <c r="A2048" s="11" t="str">
        <f>HYPERLINK("https://rth.dk/resources/bsgatlas/details.php?id=BSGatlas-transcript-2047","BSGatlas-transcript-2047")</f>
        <v>BSGatlas-transcript-2047</v>
      </c>
      <c r="B2048" s="1" t="s">
        <v>1946</v>
      </c>
      <c r="C2048" s="3">
        <v>1899547</v>
      </c>
      <c r="D2048" s="3">
        <v>1900050</v>
      </c>
      <c r="E2048" s="1" t="s">
        <v>9</v>
      </c>
      <c r="F2048" s="1">
        <v>0</v>
      </c>
      <c r="G2048" s="1" t="s">
        <v>4372</v>
      </c>
      <c r="H2048" s="1" t="s">
        <v>4372</v>
      </c>
      <c r="I2048" s="1" t="s">
        <v>4377</v>
      </c>
      <c r="J2048" s="1" t="s">
        <v>7446</v>
      </c>
      <c r="K2048" s="1" t="s">
        <v>318</v>
      </c>
    </row>
    <row r="2049" spans="1:11" ht="21" x14ac:dyDescent="0.25">
      <c r="A2049" s="11" t="str">
        <f>HYPERLINK("https://rth.dk/resources/bsgatlas/details.php?id=BSGatlas-transcript-2048","BSGatlas-transcript-2048")</f>
        <v>BSGatlas-transcript-2048</v>
      </c>
      <c r="B2049" s="1" t="s">
        <v>1947</v>
      </c>
      <c r="C2049" s="3">
        <v>1900080</v>
      </c>
      <c r="D2049" s="3">
        <v>1900514</v>
      </c>
      <c r="E2049" s="1" t="s">
        <v>9</v>
      </c>
      <c r="F2049" s="1">
        <v>0</v>
      </c>
      <c r="G2049" s="1" t="s">
        <v>4372</v>
      </c>
      <c r="H2049" s="1" t="s">
        <v>4372</v>
      </c>
      <c r="I2049" s="1" t="s">
        <v>4377</v>
      </c>
      <c r="J2049" s="1" t="s">
        <v>318</v>
      </c>
      <c r="K2049" s="1" t="s">
        <v>7447</v>
      </c>
    </row>
    <row r="2050" spans="1:11" ht="21" x14ac:dyDescent="0.25">
      <c r="A2050" s="11" t="str">
        <f>HYPERLINK("https://rth.dk/resources/bsgatlas/details.php?id=BSGatlas-transcript-2049","BSGatlas-transcript-2049")</f>
        <v>BSGatlas-transcript-2049</v>
      </c>
      <c r="B2050" s="1" t="s">
        <v>1948</v>
      </c>
      <c r="C2050" s="3">
        <v>1900230</v>
      </c>
      <c r="D2050" s="3">
        <v>1900855</v>
      </c>
      <c r="E2050" s="1" t="s">
        <v>13</v>
      </c>
      <c r="F2050" s="1">
        <v>0</v>
      </c>
      <c r="G2050" s="1" t="s">
        <v>4372</v>
      </c>
      <c r="H2050" s="1" t="s">
        <v>4372</v>
      </c>
      <c r="I2050" s="1" t="s">
        <v>4377</v>
      </c>
      <c r="J2050" s="1" t="s">
        <v>7448</v>
      </c>
      <c r="K2050" s="1" t="s">
        <v>7449</v>
      </c>
    </row>
    <row r="2051" spans="1:11" ht="21" x14ac:dyDescent="0.25">
      <c r="A2051" s="11" t="str">
        <f>HYPERLINK("https://rth.dk/resources/bsgatlas/details.php?id=BSGatlas-transcript-2050","BSGatlas-transcript-2050")</f>
        <v>BSGatlas-transcript-2050</v>
      </c>
      <c r="B2051" s="1" t="s">
        <v>1948</v>
      </c>
      <c r="C2051" s="3">
        <v>1900570</v>
      </c>
      <c r="D2051" s="3">
        <v>1900855</v>
      </c>
      <c r="E2051" s="1" t="s">
        <v>13</v>
      </c>
      <c r="F2051" s="1">
        <v>0</v>
      </c>
      <c r="G2051" s="1" t="s">
        <v>4372</v>
      </c>
      <c r="H2051" s="1" t="s">
        <v>4372</v>
      </c>
      <c r="I2051" s="1" t="s">
        <v>4377</v>
      </c>
      <c r="J2051" s="1" t="s">
        <v>7448</v>
      </c>
      <c r="K2051" s="1" t="s">
        <v>7450</v>
      </c>
    </row>
    <row r="2052" spans="1:11" ht="21" x14ac:dyDescent="0.25">
      <c r="A2052" s="11" t="str">
        <f>HYPERLINK("https://rth.dk/resources/bsgatlas/details.php?id=BSGatlas-transcript-2051","BSGatlas-transcript-2051")</f>
        <v>BSGatlas-transcript-2051</v>
      </c>
      <c r="B2052" s="1" t="s">
        <v>1949</v>
      </c>
      <c r="C2052" s="3">
        <v>1901095</v>
      </c>
      <c r="D2052" s="3">
        <v>1901408</v>
      </c>
      <c r="E2052" s="1" t="s">
        <v>13</v>
      </c>
      <c r="F2052" s="1">
        <v>0</v>
      </c>
      <c r="G2052" s="1" t="s">
        <v>4372</v>
      </c>
      <c r="H2052" s="1" t="s">
        <v>4372</v>
      </c>
      <c r="I2052" s="1" t="s">
        <v>4397</v>
      </c>
      <c r="J2052" s="1" t="s">
        <v>7451</v>
      </c>
      <c r="K2052" s="1" t="s">
        <v>7452</v>
      </c>
    </row>
    <row r="2053" spans="1:11" ht="21" x14ac:dyDescent="0.25">
      <c r="A2053" s="11" t="str">
        <f>HYPERLINK("https://rth.dk/resources/bsgatlas/details.php?id=BSGatlas-transcript-2052","BSGatlas-transcript-2052")</f>
        <v>BSGatlas-transcript-2052</v>
      </c>
      <c r="B2053" s="1" t="s">
        <v>1949</v>
      </c>
      <c r="C2053" s="3">
        <v>1901095</v>
      </c>
      <c r="D2053" s="3">
        <v>1902262</v>
      </c>
      <c r="E2053" s="1" t="s">
        <v>13</v>
      </c>
      <c r="F2053" s="1">
        <v>0</v>
      </c>
      <c r="G2053" s="1" t="s">
        <v>4372</v>
      </c>
      <c r="H2053" s="1" t="s">
        <v>4372</v>
      </c>
      <c r="I2053" s="1" t="s">
        <v>4397</v>
      </c>
      <c r="J2053" s="1" t="s">
        <v>7453</v>
      </c>
      <c r="K2053" s="1" t="s">
        <v>7452</v>
      </c>
    </row>
    <row r="2054" spans="1:11" ht="21" x14ac:dyDescent="0.25">
      <c r="A2054" s="11" t="str">
        <f>HYPERLINK("https://rth.dk/resources/bsgatlas/details.php?id=BSGatlas-transcript-2053","BSGatlas-transcript-2053")</f>
        <v>BSGatlas-transcript-2053</v>
      </c>
      <c r="B2054" s="1" t="s">
        <v>4760</v>
      </c>
      <c r="C2054" s="3">
        <v>1901781</v>
      </c>
      <c r="D2054" s="3">
        <v>1901945</v>
      </c>
      <c r="E2054" s="1" t="s">
        <v>9</v>
      </c>
      <c r="F2054" s="1">
        <v>0</v>
      </c>
      <c r="G2054" s="1" t="s">
        <v>4372</v>
      </c>
      <c r="H2054" s="1" t="s">
        <v>4372</v>
      </c>
      <c r="I2054" s="1" t="s">
        <v>4377</v>
      </c>
      <c r="J2054" s="1" t="s">
        <v>7454</v>
      </c>
      <c r="K2054" s="1" t="s">
        <v>318</v>
      </c>
    </row>
    <row r="2055" spans="1:11" ht="21" x14ac:dyDescent="0.25">
      <c r="A2055" s="11" t="str">
        <f>HYPERLINK("https://rth.dk/resources/bsgatlas/details.php?id=BSGatlas-transcript-2054","BSGatlas-transcript-2054")</f>
        <v>BSGatlas-transcript-2054</v>
      </c>
      <c r="B2055" s="1" t="s">
        <v>1950</v>
      </c>
      <c r="C2055" s="3">
        <v>1902168</v>
      </c>
      <c r="D2055" s="3">
        <v>1903058</v>
      </c>
      <c r="E2055" s="1" t="s">
        <v>9</v>
      </c>
      <c r="F2055" s="1">
        <v>0</v>
      </c>
      <c r="G2055" s="1" t="s">
        <v>4372</v>
      </c>
      <c r="H2055" s="1" t="s">
        <v>4372</v>
      </c>
      <c r="I2055" s="1" t="s">
        <v>4397</v>
      </c>
      <c r="J2055" s="1" t="s">
        <v>7455</v>
      </c>
      <c r="K2055" s="1" t="s">
        <v>7456</v>
      </c>
    </row>
    <row r="2056" spans="1:11" ht="21" x14ac:dyDescent="0.25">
      <c r="A2056" s="11" t="str">
        <f>HYPERLINK("https://rth.dk/resources/bsgatlas/details.php?id=BSGatlas-transcript-2055","BSGatlas-transcript-2055")</f>
        <v>BSGatlas-transcript-2055</v>
      </c>
      <c r="B2056" s="1" t="s">
        <v>4760</v>
      </c>
      <c r="C2056" s="3">
        <v>1903142</v>
      </c>
      <c r="D2056" s="3">
        <v>1903468</v>
      </c>
      <c r="E2056" s="1" t="s">
        <v>13</v>
      </c>
      <c r="F2056" s="1">
        <v>0</v>
      </c>
      <c r="G2056" s="1" t="s">
        <v>4372</v>
      </c>
      <c r="H2056" s="1" t="s">
        <v>4372</v>
      </c>
      <c r="I2056" s="1" t="s">
        <v>4377</v>
      </c>
      <c r="J2056" s="1" t="s">
        <v>318</v>
      </c>
      <c r="K2056" s="1" t="s">
        <v>7457</v>
      </c>
    </row>
    <row r="2057" spans="1:11" ht="21" x14ac:dyDescent="0.25">
      <c r="A2057" s="11" t="str">
        <f>HYPERLINK("https://rth.dk/resources/bsgatlas/details.php?id=BSGatlas-transcript-2056","BSGatlas-transcript-2056")</f>
        <v>BSGatlas-transcript-2056</v>
      </c>
      <c r="B2057" s="1" t="s">
        <v>1951</v>
      </c>
      <c r="C2057" s="3">
        <v>1903330</v>
      </c>
      <c r="D2057" s="3">
        <v>1903490</v>
      </c>
      <c r="E2057" s="1" t="s">
        <v>9</v>
      </c>
      <c r="F2057" s="1">
        <v>0</v>
      </c>
      <c r="G2057" s="1" t="s">
        <v>4372</v>
      </c>
      <c r="H2057" s="1" t="s">
        <v>4372</v>
      </c>
      <c r="I2057" s="1" t="s">
        <v>4377</v>
      </c>
      <c r="J2057" s="1" t="s">
        <v>7458</v>
      </c>
      <c r="K2057" s="1" t="s">
        <v>7459</v>
      </c>
    </row>
    <row r="2058" spans="1:11" ht="21" x14ac:dyDescent="0.25">
      <c r="A2058" s="11" t="str">
        <f>HYPERLINK("https://rth.dk/resources/bsgatlas/details.php?id=BSGatlas-transcript-2057","BSGatlas-transcript-2057")</f>
        <v>BSGatlas-transcript-2057</v>
      </c>
      <c r="B2058" s="1" t="s">
        <v>1951</v>
      </c>
      <c r="C2058" s="3">
        <v>1903330</v>
      </c>
      <c r="D2058" s="3">
        <v>1905200</v>
      </c>
      <c r="E2058" s="1" t="s">
        <v>9</v>
      </c>
      <c r="F2058" s="1">
        <v>0</v>
      </c>
      <c r="G2058" s="1" t="s">
        <v>4372</v>
      </c>
      <c r="H2058" s="1" t="s">
        <v>4372</v>
      </c>
      <c r="I2058" s="1" t="s">
        <v>4377</v>
      </c>
      <c r="J2058" s="1" t="s">
        <v>7458</v>
      </c>
      <c r="K2058" s="1" t="s">
        <v>7460</v>
      </c>
    </row>
    <row r="2059" spans="1:11" ht="21" x14ac:dyDescent="0.25">
      <c r="A2059" s="11" t="str">
        <f>HYPERLINK("https://rth.dk/resources/bsgatlas/details.php?id=BSGatlas-transcript-2058","BSGatlas-transcript-2058")</f>
        <v>BSGatlas-transcript-2058</v>
      </c>
      <c r="B2059" s="1" t="s">
        <v>1952</v>
      </c>
      <c r="C2059" s="3">
        <v>1903494</v>
      </c>
      <c r="D2059" s="3">
        <v>1904266</v>
      </c>
      <c r="E2059" s="1" t="s">
        <v>13</v>
      </c>
      <c r="F2059" s="1">
        <v>0</v>
      </c>
      <c r="G2059" s="1" t="s">
        <v>4372</v>
      </c>
      <c r="H2059" s="1" t="s">
        <v>4372</v>
      </c>
      <c r="I2059" s="1" t="s">
        <v>4386</v>
      </c>
      <c r="J2059" s="1" t="s">
        <v>7461</v>
      </c>
      <c r="K2059" s="1" t="s">
        <v>7462</v>
      </c>
    </row>
    <row r="2060" spans="1:11" ht="21" x14ac:dyDescent="0.25">
      <c r="A2060" s="11" t="str">
        <f>HYPERLINK("https://rth.dk/resources/bsgatlas/details.php?id=BSGatlas-transcript-2059","BSGatlas-transcript-2059")</f>
        <v>BSGatlas-transcript-2059</v>
      </c>
      <c r="B2060" s="1" t="s">
        <v>1953</v>
      </c>
      <c r="C2060" s="3">
        <v>1904393</v>
      </c>
      <c r="D2060" s="3">
        <v>1904790</v>
      </c>
      <c r="E2060" s="1" t="s">
        <v>13</v>
      </c>
      <c r="F2060" s="1">
        <v>0</v>
      </c>
      <c r="G2060" s="1" t="s">
        <v>4372</v>
      </c>
      <c r="H2060" s="1" t="s">
        <v>4372</v>
      </c>
      <c r="I2060" s="1" t="s">
        <v>4377</v>
      </c>
      <c r="J2060" s="1" t="s">
        <v>7463</v>
      </c>
      <c r="K2060" s="1" t="s">
        <v>318</v>
      </c>
    </row>
    <row r="2061" spans="1:11" ht="21" x14ac:dyDescent="0.25">
      <c r="A2061" s="11" t="str">
        <f>HYPERLINK("https://rth.dk/resources/bsgatlas/details.php?id=BSGatlas-transcript-2060","BSGatlas-transcript-2060")</f>
        <v>BSGatlas-transcript-2060</v>
      </c>
      <c r="B2061" s="1" t="s">
        <v>1954</v>
      </c>
      <c r="C2061" s="3">
        <v>1904930</v>
      </c>
      <c r="D2061" s="3">
        <v>1905221</v>
      </c>
      <c r="E2061" s="1" t="s">
        <v>13</v>
      </c>
      <c r="F2061" s="1">
        <v>0</v>
      </c>
      <c r="G2061" s="1" t="s">
        <v>4372</v>
      </c>
      <c r="H2061" s="1" t="s">
        <v>4372</v>
      </c>
      <c r="I2061" s="1" t="s">
        <v>4373</v>
      </c>
      <c r="J2061" s="1" t="s">
        <v>7464</v>
      </c>
      <c r="K2061" s="1" t="s">
        <v>7465</v>
      </c>
    </row>
    <row r="2062" spans="1:11" ht="21" x14ac:dyDescent="0.25">
      <c r="A2062" s="11" t="str">
        <f>HYPERLINK("https://rth.dk/resources/bsgatlas/details.php?id=BSGatlas-transcript-2061","BSGatlas-transcript-2061")</f>
        <v>BSGatlas-transcript-2061</v>
      </c>
      <c r="B2062" s="1" t="s">
        <v>1955</v>
      </c>
      <c r="C2062" s="3">
        <v>1905370</v>
      </c>
      <c r="D2062" s="3">
        <v>1905558</v>
      </c>
      <c r="E2062" s="1" t="s">
        <v>13</v>
      </c>
      <c r="F2062" s="1">
        <v>0</v>
      </c>
      <c r="G2062" s="1" t="s">
        <v>4372</v>
      </c>
      <c r="H2062" s="1" t="s">
        <v>4372</v>
      </c>
      <c r="I2062" s="1" t="s">
        <v>4386</v>
      </c>
      <c r="J2062" s="1" t="s">
        <v>7466</v>
      </c>
      <c r="K2062" s="1" t="s">
        <v>7467</v>
      </c>
    </row>
    <row r="2063" spans="1:11" ht="21" x14ac:dyDescent="0.25">
      <c r="A2063" s="11" t="str">
        <f>HYPERLINK("https://rth.dk/resources/bsgatlas/details.php?id=BSGatlas-transcript-2062","BSGatlas-transcript-2062")</f>
        <v>BSGatlas-transcript-2062</v>
      </c>
      <c r="B2063" s="1" t="s">
        <v>1955</v>
      </c>
      <c r="C2063" s="3">
        <v>1905370</v>
      </c>
      <c r="D2063" s="3">
        <v>1905605</v>
      </c>
      <c r="E2063" s="1" t="s">
        <v>13</v>
      </c>
      <c r="F2063" s="1">
        <v>0</v>
      </c>
      <c r="G2063" s="1" t="s">
        <v>4372</v>
      </c>
      <c r="H2063" s="1" t="s">
        <v>4372</v>
      </c>
      <c r="I2063" s="1" t="s">
        <v>4386</v>
      </c>
      <c r="J2063" s="1" t="s">
        <v>7468</v>
      </c>
      <c r="K2063" s="1" t="s">
        <v>7467</v>
      </c>
    </row>
    <row r="2064" spans="1:11" ht="21" x14ac:dyDescent="0.25">
      <c r="A2064" s="11" t="str">
        <f>HYPERLINK("https://rth.dk/resources/bsgatlas/details.php?id=BSGatlas-transcript-2063","BSGatlas-transcript-2063")</f>
        <v>BSGatlas-transcript-2063</v>
      </c>
      <c r="B2064" s="1" t="s">
        <v>4760</v>
      </c>
      <c r="C2064" s="3">
        <v>1905637</v>
      </c>
      <c r="D2064" s="3">
        <v>1905774</v>
      </c>
      <c r="E2064" s="1" t="s">
        <v>9</v>
      </c>
      <c r="F2064" s="1">
        <v>0</v>
      </c>
      <c r="G2064" s="1" t="s">
        <v>4372</v>
      </c>
      <c r="H2064" s="1" t="s">
        <v>4372</v>
      </c>
      <c r="I2064" s="1" t="s">
        <v>4377</v>
      </c>
      <c r="J2064" s="1" t="s">
        <v>7469</v>
      </c>
      <c r="K2064" s="1" t="s">
        <v>318</v>
      </c>
    </row>
    <row r="2065" spans="1:11" ht="21" x14ac:dyDescent="0.25">
      <c r="A2065" s="11" t="str">
        <f>HYPERLINK("https://rth.dk/resources/bsgatlas/details.php?id=BSGatlas-transcript-2064","BSGatlas-transcript-2064")</f>
        <v>BSGatlas-transcript-2064</v>
      </c>
      <c r="B2065" s="1" t="s">
        <v>1956</v>
      </c>
      <c r="C2065" s="3">
        <v>1905809</v>
      </c>
      <c r="D2065" s="3">
        <v>1906282</v>
      </c>
      <c r="E2065" s="1" t="s">
        <v>9</v>
      </c>
      <c r="F2065" s="1">
        <v>0</v>
      </c>
      <c r="G2065" s="1" t="s">
        <v>4372</v>
      </c>
      <c r="H2065" s="1" t="s">
        <v>4372</v>
      </c>
      <c r="I2065" s="1" t="s">
        <v>4382</v>
      </c>
      <c r="J2065" s="1" t="s">
        <v>318</v>
      </c>
      <c r="K2065" s="1" t="s">
        <v>7470</v>
      </c>
    </row>
    <row r="2066" spans="1:11" ht="21" x14ac:dyDescent="0.25">
      <c r="A2066" s="11" t="str">
        <f>HYPERLINK("https://rth.dk/resources/bsgatlas/details.php?id=BSGatlas-transcript-2065","BSGatlas-transcript-2065")</f>
        <v>BSGatlas-transcript-2065</v>
      </c>
      <c r="B2066" s="1" t="s">
        <v>7471</v>
      </c>
      <c r="C2066" s="3">
        <v>1905809</v>
      </c>
      <c r="D2066" s="3">
        <v>1907268</v>
      </c>
      <c r="E2066" s="1" t="s">
        <v>9</v>
      </c>
      <c r="F2066" s="1">
        <v>1</v>
      </c>
      <c r="G2066" s="1" t="s">
        <v>4372</v>
      </c>
      <c r="H2066" s="1">
        <v>68</v>
      </c>
      <c r="I2066" s="1" t="s">
        <v>4386</v>
      </c>
      <c r="J2066" s="1" t="s">
        <v>318</v>
      </c>
      <c r="K2066" s="1" t="s">
        <v>7472</v>
      </c>
    </row>
    <row r="2067" spans="1:11" ht="21" x14ac:dyDescent="0.25">
      <c r="A2067" s="11" t="str">
        <f>HYPERLINK("https://rth.dk/resources/bsgatlas/details.php?id=BSGatlas-transcript-2066","BSGatlas-transcript-2066")</f>
        <v>BSGatlas-transcript-2066</v>
      </c>
      <c r="B2067" s="1" t="s">
        <v>1958</v>
      </c>
      <c r="C2067" s="3">
        <v>1906272</v>
      </c>
      <c r="D2067" s="3">
        <v>1906752</v>
      </c>
      <c r="E2067" s="1" t="s">
        <v>13</v>
      </c>
      <c r="F2067" s="1">
        <v>0</v>
      </c>
      <c r="G2067" s="1" t="s">
        <v>4372</v>
      </c>
      <c r="H2067" s="1" t="s">
        <v>4372</v>
      </c>
      <c r="I2067" s="1" t="s">
        <v>4397</v>
      </c>
      <c r="J2067" s="1" t="s">
        <v>7473</v>
      </c>
      <c r="K2067" s="1" t="s">
        <v>7474</v>
      </c>
    </row>
    <row r="2068" spans="1:11" ht="21" x14ac:dyDescent="0.25">
      <c r="A2068" s="11" t="str">
        <f>HYPERLINK("https://rth.dk/resources/bsgatlas/details.php?id=BSGatlas-transcript-2067","BSGatlas-transcript-2067")</f>
        <v>BSGatlas-transcript-2067</v>
      </c>
      <c r="B2068" s="1" t="s">
        <v>1958</v>
      </c>
      <c r="C2068" s="3">
        <v>1906272</v>
      </c>
      <c r="D2068" s="3">
        <v>1907806</v>
      </c>
      <c r="E2068" s="1" t="s">
        <v>13</v>
      </c>
      <c r="F2068" s="1">
        <v>0</v>
      </c>
      <c r="G2068" s="1" t="s">
        <v>4372</v>
      </c>
      <c r="H2068" s="1" t="s">
        <v>4372</v>
      </c>
      <c r="I2068" s="1" t="s">
        <v>4397</v>
      </c>
      <c r="J2068" s="1" t="s">
        <v>7475</v>
      </c>
      <c r="K2068" s="1" t="s">
        <v>7474</v>
      </c>
    </row>
    <row r="2069" spans="1:11" ht="21" x14ac:dyDescent="0.25">
      <c r="A2069" s="11" t="str">
        <f>HYPERLINK("https://rth.dk/resources/bsgatlas/details.php?id=BSGatlas-transcript-2068","BSGatlas-transcript-2068")</f>
        <v>BSGatlas-transcript-2068</v>
      </c>
      <c r="B2069" s="1" t="s">
        <v>7476</v>
      </c>
      <c r="C2069" s="3">
        <v>1907351</v>
      </c>
      <c r="D2069" s="3">
        <v>1911431</v>
      </c>
      <c r="E2069" s="1" t="s">
        <v>9</v>
      </c>
      <c r="F2069" s="1">
        <v>1</v>
      </c>
      <c r="G2069" s="1">
        <v>144</v>
      </c>
      <c r="H2069" s="1">
        <v>51</v>
      </c>
      <c r="I2069" s="1" t="s">
        <v>4373</v>
      </c>
      <c r="J2069" s="1" t="s">
        <v>7477</v>
      </c>
      <c r="K2069" s="1" t="s">
        <v>7478</v>
      </c>
    </row>
    <row r="2070" spans="1:11" ht="21" x14ac:dyDescent="0.25">
      <c r="A2070" s="11" t="str">
        <f>HYPERLINK("https://rth.dk/resources/bsgatlas/details.php?id=BSGatlas-transcript-2069","BSGatlas-transcript-2069")</f>
        <v>BSGatlas-transcript-2069</v>
      </c>
      <c r="B2070" s="1" t="s">
        <v>7479</v>
      </c>
      <c r="C2070" s="3">
        <v>1911492</v>
      </c>
      <c r="D2070" s="3">
        <v>1914995</v>
      </c>
      <c r="E2070" s="1" t="s">
        <v>9</v>
      </c>
      <c r="F2070" s="1">
        <v>1</v>
      </c>
      <c r="G2070" s="1">
        <v>37</v>
      </c>
      <c r="H2070" s="1" t="s">
        <v>4372</v>
      </c>
      <c r="I2070" s="1" t="s">
        <v>4386</v>
      </c>
      <c r="J2070" s="1" t="s">
        <v>7480</v>
      </c>
      <c r="K2070" s="1" t="s">
        <v>7481</v>
      </c>
    </row>
    <row r="2071" spans="1:11" ht="21" x14ac:dyDescent="0.25">
      <c r="A2071" s="11" t="str">
        <f>HYPERLINK("https://rth.dk/resources/bsgatlas/details.php?id=BSGatlas-transcript-2070","BSGatlas-transcript-2070")</f>
        <v>BSGatlas-transcript-2070</v>
      </c>
      <c r="B2071" s="1" t="s">
        <v>1966</v>
      </c>
      <c r="C2071" s="3">
        <v>1912142</v>
      </c>
      <c r="D2071" s="3">
        <v>1913240</v>
      </c>
      <c r="E2071" s="1" t="s">
        <v>13</v>
      </c>
      <c r="F2071" s="1">
        <v>0</v>
      </c>
      <c r="G2071" s="1" t="s">
        <v>4372</v>
      </c>
      <c r="H2071" s="1" t="s">
        <v>4372</v>
      </c>
      <c r="I2071" s="1" t="s">
        <v>4377</v>
      </c>
      <c r="J2071" s="1" t="s">
        <v>7482</v>
      </c>
      <c r="K2071" s="1" t="s">
        <v>318</v>
      </c>
    </row>
    <row r="2072" spans="1:11" ht="21" x14ac:dyDescent="0.25">
      <c r="A2072" s="11" t="str">
        <f>HYPERLINK("https://rth.dk/resources/bsgatlas/details.php?id=BSGatlas-transcript-2071","BSGatlas-transcript-2071")</f>
        <v>BSGatlas-transcript-2071</v>
      </c>
      <c r="B2072" s="1" t="s">
        <v>1967</v>
      </c>
      <c r="C2072" s="3">
        <v>1914200</v>
      </c>
      <c r="D2072" s="3">
        <v>1915272</v>
      </c>
      <c r="E2072" s="1" t="s">
        <v>13</v>
      </c>
      <c r="F2072" s="1">
        <v>0</v>
      </c>
      <c r="G2072" s="1" t="s">
        <v>4372</v>
      </c>
      <c r="H2072" s="1" t="s">
        <v>4372</v>
      </c>
      <c r="I2072" s="1" t="s">
        <v>4377</v>
      </c>
      <c r="J2072" s="1" t="s">
        <v>7483</v>
      </c>
      <c r="K2072" s="1" t="s">
        <v>7484</v>
      </c>
    </row>
    <row r="2073" spans="1:11" ht="21" x14ac:dyDescent="0.25">
      <c r="A2073" s="11" t="str">
        <f>HYPERLINK("https://rth.dk/resources/bsgatlas/details.php?id=BSGatlas-transcript-2072","BSGatlas-transcript-2072")</f>
        <v>BSGatlas-transcript-2072</v>
      </c>
      <c r="B2073" s="1" t="s">
        <v>1967</v>
      </c>
      <c r="C2073" s="3">
        <v>1914200</v>
      </c>
      <c r="D2073" s="3">
        <v>1915272</v>
      </c>
      <c r="E2073" s="1" t="s">
        <v>13</v>
      </c>
      <c r="F2073" s="1">
        <v>0</v>
      </c>
      <c r="G2073" s="1" t="s">
        <v>4372</v>
      </c>
      <c r="H2073" s="1" t="s">
        <v>4372</v>
      </c>
      <c r="I2073" s="1" t="s">
        <v>4377</v>
      </c>
      <c r="J2073" s="1" t="s">
        <v>7485</v>
      </c>
      <c r="K2073" s="1" t="s">
        <v>7484</v>
      </c>
    </row>
    <row r="2074" spans="1:11" ht="21" x14ac:dyDescent="0.25">
      <c r="A2074" s="11" t="str">
        <f>HYPERLINK("https://rth.dk/resources/bsgatlas/details.php?id=BSGatlas-transcript-2073","BSGatlas-transcript-2073")</f>
        <v>BSGatlas-transcript-2073</v>
      </c>
      <c r="B2074" s="1" t="s">
        <v>1967</v>
      </c>
      <c r="C2074" s="3">
        <v>1914991</v>
      </c>
      <c r="D2074" s="3">
        <v>1915272</v>
      </c>
      <c r="E2074" s="1" t="s">
        <v>13</v>
      </c>
      <c r="F2074" s="1">
        <v>0</v>
      </c>
      <c r="G2074" s="1" t="s">
        <v>4372</v>
      </c>
      <c r="H2074" s="1" t="s">
        <v>4372</v>
      </c>
      <c r="I2074" s="1" t="s">
        <v>4377</v>
      </c>
      <c r="J2074" s="1" t="s">
        <v>7483</v>
      </c>
      <c r="K2074" s="1" t="s">
        <v>7486</v>
      </c>
    </row>
    <row r="2075" spans="1:11" ht="21" x14ac:dyDescent="0.25">
      <c r="A2075" s="11" t="str">
        <f>HYPERLINK("https://rth.dk/resources/bsgatlas/details.php?id=BSGatlas-transcript-2074","BSGatlas-transcript-2074")</f>
        <v>BSGatlas-transcript-2074</v>
      </c>
      <c r="B2075" s="1" t="s">
        <v>1967</v>
      </c>
      <c r="C2075" s="3">
        <v>1914991</v>
      </c>
      <c r="D2075" s="3">
        <v>1915272</v>
      </c>
      <c r="E2075" s="1" t="s">
        <v>13</v>
      </c>
      <c r="F2075" s="1">
        <v>0</v>
      </c>
      <c r="G2075" s="1" t="s">
        <v>4372</v>
      </c>
      <c r="H2075" s="1" t="s">
        <v>4372</v>
      </c>
      <c r="I2075" s="1" t="s">
        <v>4377</v>
      </c>
      <c r="J2075" s="1" t="s">
        <v>7485</v>
      </c>
      <c r="K2075" s="1" t="s">
        <v>7486</v>
      </c>
    </row>
    <row r="2076" spans="1:11" ht="21" x14ac:dyDescent="0.25">
      <c r="A2076" s="11" t="str">
        <f>HYPERLINK("https://rth.dk/resources/bsgatlas/details.php?id=BSGatlas-transcript-2075","BSGatlas-transcript-2075")</f>
        <v>BSGatlas-transcript-2075</v>
      </c>
      <c r="B2076" s="1" t="s">
        <v>1968</v>
      </c>
      <c r="C2076" s="3">
        <v>1915124</v>
      </c>
      <c r="D2076" s="3">
        <v>1916027</v>
      </c>
      <c r="E2076" s="1" t="s">
        <v>9</v>
      </c>
      <c r="F2076" s="1">
        <v>0</v>
      </c>
      <c r="G2076" s="1" t="s">
        <v>4372</v>
      </c>
      <c r="H2076" s="1" t="s">
        <v>4372</v>
      </c>
      <c r="I2076" s="1" t="s">
        <v>4373</v>
      </c>
      <c r="J2076" s="1" t="s">
        <v>7487</v>
      </c>
      <c r="K2076" s="1" t="s">
        <v>7488</v>
      </c>
    </row>
    <row r="2077" spans="1:11" ht="21" x14ac:dyDescent="0.25">
      <c r="A2077" s="11" t="str">
        <f>HYPERLINK("https://rth.dk/resources/bsgatlas/details.php?id=BSGatlas-transcript-2076","BSGatlas-transcript-2076")</f>
        <v>BSGatlas-transcript-2076</v>
      </c>
      <c r="B2077" s="1" t="s">
        <v>1968</v>
      </c>
      <c r="C2077" s="3">
        <v>1915221</v>
      </c>
      <c r="D2077" s="3">
        <v>1916027</v>
      </c>
      <c r="E2077" s="1" t="s">
        <v>9</v>
      </c>
      <c r="F2077" s="1">
        <v>0</v>
      </c>
      <c r="G2077" s="1" t="s">
        <v>4372</v>
      </c>
      <c r="H2077" s="1" t="s">
        <v>4372</v>
      </c>
      <c r="I2077" s="1" t="s">
        <v>4373</v>
      </c>
      <c r="J2077" s="1" t="s">
        <v>7489</v>
      </c>
      <c r="K2077" s="1" t="s">
        <v>7488</v>
      </c>
    </row>
    <row r="2078" spans="1:11" ht="21" x14ac:dyDescent="0.25">
      <c r="A2078" s="11" t="str">
        <f>HYPERLINK("https://rth.dk/resources/bsgatlas/details.php?id=BSGatlas-transcript-2077","BSGatlas-transcript-2077")</f>
        <v>BSGatlas-transcript-2077</v>
      </c>
      <c r="B2078" s="1" t="s">
        <v>1969</v>
      </c>
      <c r="C2078" s="3">
        <v>1915761</v>
      </c>
      <c r="D2078" s="3">
        <v>1916545</v>
      </c>
      <c r="E2078" s="1" t="s">
        <v>13</v>
      </c>
      <c r="F2078" s="1">
        <v>0</v>
      </c>
      <c r="G2078" s="1" t="s">
        <v>4372</v>
      </c>
      <c r="H2078" s="1" t="s">
        <v>4372</v>
      </c>
      <c r="I2078" s="1" t="s">
        <v>4397</v>
      </c>
      <c r="J2078" s="1" t="s">
        <v>7490</v>
      </c>
      <c r="K2078" s="1" t="s">
        <v>7491</v>
      </c>
    </row>
    <row r="2079" spans="1:11" ht="21" x14ac:dyDescent="0.25">
      <c r="A2079" s="11" t="str">
        <f>HYPERLINK("https://rth.dk/resources/bsgatlas/details.php?id=BSGatlas-transcript-2078","BSGatlas-transcript-2078")</f>
        <v>BSGatlas-transcript-2078</v>
      </c>
      <c r="B2079" s="1" t="s">
        <v>1970</v>
      </c>
      <c r="C2079" s="3">
        <v>1916636</v>
      </c>
      <c r="D2079" s="3">
        <v>1917097</v>
      </c>
      <c r="E2079" s="1" t="s">
        <v>9</v>
      </c>
      <c r="F2079" s="1">
        <v>0</v>
      </c>
      <c r="G2079" s="1" t="s">
        <v>4372</v>
      </c>
      <c r="H2079" s="1" t="s">
        <v>4372</v>
      </c>
      <c r="I2079" s="1" t="s">
        <v>4373</v>
      </c>
      <c r="J2079" s="1" t="s">
        <v>7492</v>
      </c>
      <c r="K2079" s="1" t="s">
        <v>318</v>
      </c>
    </row>
    <row r="2080" spans="1:11" ht="21" x14ac:dyDescent="0.25">
      <c r="A2080" s="11" t="str">
        <f>HYPERLINK("https://rth.dk/resources/bsgatlas/details.php?id=BSGatlas-transcript-2079","BSGatlas-transcript-2079")</f>
        <v>BSGatlas-transcript-2079</v>
      </c>
      <c r="B2080" s="1" t="s">
        <v>1971</v>
      </c>
      <c r="C2080" s="3">
        <v>1917432</v>
      </c>
      <c r="D2080" s="3">
        <v>1917581</v>
      </c>
      <c r="E2080" s="1" t="s">
        <v>9</v>
      </c>
      <c r="F2080" s="1">
        <v>0</v>
      </c>
      <c r="G2080" s="1" t="s">
        <v>4372</v>
      </c>
      <c r="H2080" s="1" t="s">
        <v>4372</v>
      </c>
      <c r="I2080" s="1" t="s">
        <v>4377</v>
      </c>
      <c r="J2080" s="1" t="s">
        <v>7493</v>
      </c>
      <c r="K2080" s="1" t="s">
        <v>7494</v>
      </c>
    </row>
    <row r="2081" spans="1:11" ht="21" x14ac:dyDescent="0.25">
      <c r="A2081" s="11" t="str">
        <f>HYPERLINK("https://rth.dk/resources/bsgatlas/details.php?id=BSGatlas-transcript-2080","BSGatlas-transcript-2080")</f>
        <v>BSGatlas-transcript-2080</v>
      </c>
      <c r="B2081" s="1" t="s">
        <v>1972</v>
      </c>
      <c r="C2081" s="3">
        <v>1917569</v>
      </c>
      <c r="D2081" s="3">
        <v>1918301</v>
      </c>
      <c r="E2081" s="1" t="s">
        <v>13</v>
      </c>
      <c r="F2081" s="1">
        <v>0</v>
      </c>
      <c r="G2081" s="1" t="s">
        <v>4372</v>
      </c>
      <c r="H2081" s="1" t="s">
        <v>4372</v>
      </c>
      <c r="I2081" s="1" t="s">
        <v>4373</v>
      </c>
      <c r="J2081" s="1" t="s">
        <v>7495</v>
      </c>
      <c r="K2081" s="1" t="s">
        <v>7496</v>
      </c>
    </row>
    <row r="2082" spans="1:11" ht="21" x14ac:dyDescent="0.25">
      <c r="A2082" s="11" t="str">
        <f>HYPERLINK("https://rth.dk/resources/bsgatlas/details.php?id=BSGatlas-transcript-2081","BSGatlas-transcript-2081")</f>
        <v>BSGatlas-transcript-2081</v>
      </c>
      <c r="B2082" s="1" t="s">
        <v>1972</v>
      </c>
      <c r="C2082" s="3">
        <v>1917569</v>
      </c>
      <c r="D2082" s="3">
        <v>1918426</v>
      </c>
      <c r="E2082" s="1" t="s">
        <v>13</v>
      </c>
      <c r="F2082" s="1">
        <v>0</v>
      </c>
      <c r="G2082" s="1" t="s">
        <v>4372</v>
      </c>
      <c r="H2082" s="1" t="s">
        <v>4372</v>
      </c>
      <c r="I2082" s="1" t="s">
        <v>4373</v>
      </c>
      <c r="J2082" s="1" t="s">
        <v>7497</v>
      </c>
      <c r="K2082" s="1" t="s">
        <v>7496</v>
      </c>
    </row>
    <row r="2083" spans="1:11" ht="21" x14ac:dyDescent="0.25">
      <c r="A2083" s="11" t="str">
        <f>HYPERLINK("https://rth.dk/resources/bsgatlas/details.php?id=BSGatlas-transcript-2082","BSGatlas-transcript-2082")</f>
        <v>BSGatlas-transcript-2082</v>
      </c>
      <c r="B2083" s="1" t="s">
        <v>1972</v>
      </c>
      <c r="C2083" s="3">
        <v>1917569</v>
      </c>
      <c r="D2083" s="3">
        <v>1920082</v>
      </c>
      <c r="E2083" s="1" t="s">
        <v>13</v>
      </c>
      <c r="F2083" s="1">
        <v>0</v>
      </c>
      <c r="G2083" s="1" t="s">
        <v>4372</v>
      </c>
      <c r="H2083" s="1" t="s">
        <v>4372</v>
      </c>
      <c r="I2083" s="1" t="s">
        <v>4373</v>
      </c>
      <c r="J2083" s="1" t="s">
        <v>7498</v>
      </c>
      <c r="K2083" s="1" t="s">
        <v>7496</v>
      </c>
    </row>
    <row r="2084" spans="1:11" ht="21" x14ac:dyDescent="0.25">
      <c r="A2084" s="11" t="str">
        <f>HYPERLINK("https://rth.dk/resources/bsgatlas/details.php?id=BSGatlas-transcript-2083","BSGatlas-transcript-2083")</f>
        <v>BSGatlas-transcript-2083</v>
      </c>
      <c r="B2084" s="1" t="s">
        <v>1972</v>
      </c>
      <c r="C2084" s="3">
        <v>1917618</v>
      </c>
      <c r="D2084" s="3">
        <v>1918301</v>
      </c>
      <c r="E2084" s="1" t="s">
        <v>13</v>
      </c>
      <c r="F2084" s="1">
        <v>0</v>
      </c>
      <c r="G2084" s="1" t="s">
        <v>4372</v>
      </c>
      <c r="H2084" s="1" t="s">
        <v>4372</v>
      </c>
      <c r="I2084" s="1" t="s">
        <v>4373</v>
      </c>
      <c r="J2084" s="1" t="s">
        <v>7495</v>
      </c>
      <c r="K2084" s="1" t="s">
        <v>7499</v>
      </c>
    </row>
    <row r="2085" spans="1:11" ht="21" x14ac:dyDescent="0.25">
      <c r="A2085" s="11" t="str">
        <f>HYPERLINK("https://rth.dk/resources/bsgatlas/details.php?id=BSGatlas-transcript-2084","BSGatlas-transcript-2084")</f>
        <v>BSGatlas-transcript-2084</v>
      </c>
      <c r="B2085" s="1" t="s">
        <v>1972</v>
      </c>
      <c r="C2085" s="3">
        <v>1917618</v>
      </c>
      <c r="D2085" s="3">
        <v>1918426</v>
      </c>
      <c r="E2085" s="1" t="s">
        <v>13</v>
      </c>
      <c r="F2085" s="1">
        <v>0</v>
      </c>
      <c r="G2085" s="1" t="s">
        <v>4372</v>
      </c>
      <c r="H2085" s="1" t="s">
        <v>4372</v>
      </c>
      <c r="I2085" s="1" t="s">
        <v>4373</v>
      </c>
      <c r="J2085" s="1" t="s">
        <v>7497</v>
      </c>
      <c r="K2085" s="1" t="s">
        <v>7499</v>
      </c>
    </row>
    <row r="2086" spans="1:11" ht="21" x14ac:dyDescent="0.25">
      <c r="A2086" s="11" t="str">
        <f>HYPERLINK("https://rth.dk/resources/bsgatlas/details.php?id=BSGatlas-transcript-2085","BSGatlas-transcript-2085")</f>
        <v>BSGatlas-transcript-2085</v>
      </c>
      <c r="B2086" s="1" t="s">
        <v>1972</v>
      </c>
      <c r="C2086" s="3">
        <v>1917618</v>
      </c>
      <c r="D2086" s="3">
        <v>1920082</v>
      </c>
      <c r="E2086" s="1" t="s">
        <v>13</v>
      </c>
      <c r="F2086" s="1">
        <v>0</v>
      </c>
      <c r="G2086" s="1" t="s">
        <v>4372</v>
      </c>
      <c r="H2086" s="1" t="s">
        <v>4372</v>
      </c>
      <c r="I2086" s="1" t="s">
        <v>4373</v>
      </c>
      <c r="J2086" s="1" t="s">
        <v>7498</v>
      </c>
      <c r="K2086" s="1" t="s">
        <v>7499</v>
      </c>
    </row>
    <row r="2087" spans="1:11" ht="21" x14ac:dyDescent="0.25">
      <c r="A2087" s="11" t="str">
        <f>HYPERLINK("https://rth.dk/resources/bsgatlas/details.php?id=BSGatlas-transcript-2086","BSGatlas-transcript-2086")</f>
        <v>BSGatlas-transcript-2086</v>
      </c>
      <c r="B2087" s="1" t="s">
        <v>7500</v>
      </c>
      <c r="C2087" s="3">
        <v>1918355</v>
      </c>
      <c r="D2087" s="3">
        <v>1919739</v>
      </c>
      <c r="E2087" s="1" t="s">
        <v>9</v>
      </c>
      <c r="F2087" s="1">
        <v>2</v>
      </c>
      <c r="G2087" s="1">
        <v>52</v>
      </c>
      <c r="H2087" s="1">
        <v>48</v>
      </c>
      <c r="I2087" s="1" t="s">
        <v>4373</v>
      </c>
      <c r="J2087" s="1" t="s">
        <v>7501</v>
      </c>
      <c r="K2087" s="1" t="s">
        <v>7502</v>
      </c>
    </row>
    <row r="2088" spans="1:11" ht="21" x14ac:dyDescent="0.25">
      <c r="A2088" s="11" t="str">
        <f>HYPERLINK("https://rth.dk/resources/bsgatlas/details.php?id=BSGatlas-transcript-2087","BSGatlas-transcript-2087")</f>
        <v>BSGatlas-transcript-2087</v>
      </c>
      <c r="B2088" s="1" t="s">
        <v>1975</v>
      </c>
      <c r="C2088" s="3">
        <v>1919432</v>
      </c>
      <c r="D2088" s="3">
        <v>1919739</v>
      </c>
      <c r="E2088" s="1" t="s">
        <v>9</v>
      </c>
      <c r="F2088" s="1">
        <v>0</v>
      </c>
      <c r="G2088" s="1" t="s">
        <v>4372</v>
      </c>
      <c r="H2088" s="1" t="s">
        <v>4372</v>
      </c>
      <c r="I2088" s="1" t="s">
        <v>4377</v>
      </c>
      <c r="J2088" s="1" t="s">
        <v>7503</v>
      </c>
      <c r="K2088" s="1" t="s">
        <v>7502</v>
      </c>
    </row>
    <row r="2089" spans="1:11" ht="21" x14ac:dyDescent="0.25">
      <c r="A2089" s="11" t="str">
        <f>HYPERLINK("https://rth.dk/resources/bsgatlas/details.php?id=BSGatlas-transcript-2088","BSGatlas-transcript-2088")</f>
        <v>BSGatlas-transcript-2088</v>
      </c>
      <c r="B2089" s="1" t="s">
        <v>1976</v>
      </c>
      <c r="C2089" s="3">
        <v>1919830</v>
      </c>
      <c r="D2089" s="3">
        <v>1921911</v>
      </c>
      <c r="E2089" s="1" t="s">
        <v>9</v>
      </c>
      <c r="F2089" s="1">
        <v>0</v>
      </c>
      <c r="G2089" s="1" t="s">
        <v>4372</v>
      </c>
      <c r="H2089" s="1" t="s">
        <v>4372</v>
      </c>
      <c r="I2089" s="1" t="s">
        <v>4373</v>
      </c>
      <c r="J2089" s="1" t="s">
        <v>7504</v>
      </c>
      <c r="K2089" s="1" t="s">
        <v>7505</v>
      </c>
    </row>
    <row r="2090" spans="1:11" ht="21" x14ac:dyDescent="0.25">
      <c r="A2090" s="11" t="str">
        <f>HYPERLINK("https://rth.dk/resources/bsgatlas/details.php?id=BSGatlas-transcript-2089","BSGatlas-transcript-2089")</f>
        <v>BSGatlas-transcript-2089</v>
      </c>
      <c r="B2090" s="1" t="s">
        <v>1977</v>
      </c>
      <c r="C2090" s="3">
        <v>1921866</v>
      </c>
      <c r="D2090" s="3">
        <v>1922524</v>
      </c>
      <c r="E2090" s="1" t="s">
        <v>13</v>
      </c>
      <c r="F2090" s="1">
        <v>0</v>
      </c>
      <c r="G2090" s="1" t="s">
        <v>4372</v>
      </c>
      <c r="H2090" s="1" t="s">
        <v>4372</v>
      </c>
      <c r="I2090" s="1" t="s">
        <v>4377</v>
      </c>
      <c r="J2090" s="1" t="s">
        <v>7506</v>
      </c>
      <c r="K2090" s="1" t="s">
        <v>318</v>
      </c>
    </row>
    <row r="2091" spans="1:11" ht="21" x14ac:dyDescent="0.25">
      <c r="A2091" s="11" t="str">
        <f>HYPERLINK("https://rth.dk/resources/bsgatlas/details.php?id=BSGatlas-transcript-2090","BSGatlas-transcript-2090")</f>
        <v>BSGatlas-transcript-2090</v>
      </c>
      <c r="B2091" s="1" t="s">
        <v>7507</v>
      </c>
      <c r="C2091" s="3">
        <v>1921964</v>
      </c>
      <c r="D2091" s="3">
        <v>1922801</v>
      </c>
      <c r="E2091" s="1" t="s">
        <v>9</v>
      </c>
      <c r="F2091" s="1">
        <v>1</v>
      </c>
      <c r="G2091" s="1">
        <v>54</v>
      </c>
      <c r="H2091" s="1">
        <v>35</v>
      </c>
      <c r="I2091" s="1" t="s">
        <v>4373</v>
      </c>
      <c r="J2091" s="1" t="s">
        <v>7508</v>
      </c>
      <c r="K2091" s="1" t="s">
        <v>7509</v>
      </c>
    </row>
    <row r="2092" spans="1:11" ht="21" x14ac:dyDescent="0.25">
      <c r="A2092" s="11" t="str">
        <f>HYPERLINK("https://rth.dk/resources/bsgatlas/details.php?id=BSGatlas-transcript-2091","BSGatlas-transcript-2091")</f>
        <v>BSGatlas-transcript-2091</v>
      </c>
      <c r="B2092" s="1" t="s">
        <v>7507</v>
      </c>
      <c r="C2092" s="3">
        <v>1921964</v>
      </c>
      <c r="D2092" s="3">
        <v>1922841</v>
      </c>
      <c r="E2092" s="1" t="s">
        <v>9</v>
      </c>
      <c r="F2092" s="1">
        <v>1</v>
      </c>
      <c r="G2092" s="1">
        <v>54</v>
      </c>
      <c r="H2092" s="1">
        <v>75</v>
      </c>
      <c r="I2092" s="1" t="s">
        <v>4373</v>
      </c>
      <c r="J2092" s="1" t="s">
        <v>7508</v>
      </c>
      <c r="K2092" s="1" t="s">
        <v>7510</v>
      </c>
    </row>
    <row r="2093" spans="1:11" ht="21" x14ac:dyDescent="0.25">
      <c r="A2093" s="11" t="str">
        <f>HYPERLINK("https://rth.dk/resources/bsgatlas/details.php?id=BSGatlas-transcript-2092","BSGatlas-transcript-2092")</f>
        <v>BSGatlas-transcript-2092</v>
      </c>
      <c r="B2093" s="1" t="s">
        <v>1979</v>
      </c>
      <c r="C2093" s="3">
        <v>1922495</v>
      </c>
      <c r="D2093" s="3">
        <v>1922801</v>
      </c>
      <c r="E2093" s="1" t="s">
        <v>9</v>
      </c>
      <c r="F2093" s="1">
        <v>0</v>
      </c>
      <c r="G2093" s="1" t="s">
        <v>4372</v>
      </c>
      <c r="H2093" s="1" t="s">
        <v>4372</v>
      </c>
      <c r="I2093" s="1" t="s">
        <v>4377</v>
      </c>
      <c r="J2093" s="1" t="s">
        <v>7511</v>
      </c>
      <c r="K2093" s="1" t="s">
        <v>7509</v>
      </c>
    </row>
    <row r="2094" spans="1:11" ht="21" x14ac:dyDescent="0.25">
      <c r="A2094" s="11" t="str">
        <f>HYPERLINK("https://rth.dk/resources/bsgatlas/details.php?id=BSGatlas-transcript-2093","BSGatlas-transcript-2093")</f>
        <v>BSGatlas-transcript-2093</v>
      </c>
      <c r="B2094" s="1" t="s">
        <v>1979</v>
      </c>
      <c r="C2094" s="3">
        <v>1922495</v>
      </c>
      <c r="D2094" s="3">
        <v>1922841</v>
      </c>
      <c r="E2094" s="1" t="s">
        <v>9</v>
      </c>
      <c r="F2094" s="1">
        <v>0</v>
      </c>
      <c r="G2094" s="1" t="s">
        <v>4372</v>
      </c>
      <c r="H2094" s="1" t="s">
        <v>4372</v>
      </c>
      <c r="I2094" s="1" t="s">
        <v>4377</v>
      </c>
      <c r="J2094" s="1" t="s">
        <v>7511</v>
      </c>
      <c r="K2094" s="1" t="s">
        <v>7510</v>
      </c>
    </row>
    <row r="2095" spans="1:11" ht="21" x14ac:dyDescent="0.25">
      <c r="A2095" s="11" t="str">
        <f>HYPERLINK("https://rth.dk/resources/bsgatlas/details.php?id=BSGatlas-transcript-2094","BSGatlas-transcript-2094")</f>
        <v>BSGatlas-transcript-2094</v>
      </c>
      <c r="B2095" s="1" t="s">
        <v>1980</v>
      </c>
      <c r="C2095" s="3">
        <v>1922799</v>
      </c>
      <c r="D2095" s="3">
        <v>1923059</v>
      </c>
      <c r="E2095" s="1" t="s">
        <v>13</v>
      </c>
      <c r="F2095" s="1">
        <v>0</v>
      </c>
      <c r="G2095" s="1" t="s">
        <v>4372</v>
      </c>
      <c r="H2095" s="1" t="s">
        <v>4372</v>
      </c>
      <c r="I2095" s="1" t="s">
        <v>4373</v>
      </c>
      <c r="J2095" s="1" t="s">
        <v>7512</v>
      </c>
      <c r="K2095" s="1" t="s">
        <v>7513</v>
      </c>
    </row>
    <row r="2096" spans="1:11" ht="21" x14ac:dyDescent="0.25">
      <c r="A2096" s="11" t="str">
        <f>HYPERLINK("https://rth.dk/resources/bsgatlas/details.php?id=BSGatlas-transcript-2095","BSGatlas-transcript-2095")</f>
        <v>BSGatlas-transcript-2095</v>
      </c>
      <c r="B2096" s="1" t="s">
        <v>1980</v>
      </c>
      <c r="C2096" s="3">
        <v>1922799</v>
      </c>
      <c r="D2096" s="3">
        <v>1923126</v>
      </c>
      <c r="E2096" s="1" t="s">
        <v>13</v>
      </c>
      <c r="F2096" s="1">
        <v>0</v>
      </c>
      <c r="G2096" s="1" t="s">
        <v>4372</v>
      </c>
      <c r="H2096" s="1" t="s">
        <v>4372</v>
      </c>
      <c r="I2096" s="1" t="s">
        <v>4373</v>
      </c>
      <c r="J2096" s="1" t="s">
        <v>7514</v>
      </c>
      <c r="K2096" s="1" t="s">
        <v>7513</v>
      </c>
    </row>
    <row r="2097" spans="1:11" ht="21" x14ac:dyDescent="0.25">
      <c r="A2097" s="11" t="str">
        <f>HYPERLINK("https://rth.dk/resources/bsgatlas/details.php?id=BSGatlas-transcript-2096","BSGatlas-transcript-2096")</f>
        <v>BSGatlas-transcript-2096</v>
      </c>
      <c r="B2097" s="1" t="s">
        <v>1980</v>
      </c>
      <c r="C2097" s="3">
        <v>1922841</v>
      </c>
      <c r="D2097" s="3">
        <v>1923059</v>
      </c>
      <c r="E2097" s="1" t="s">
        <v>13</v>
      </c>
      <c r="F2097" s="1">
        <v>0</v>
      </c>
      <c r="G2097" s="1" t="s">
        <v>4372</v>
      </c>
      <c r="H2097" s="1" t="s">
        <v>4372</v>
      </c>
      <c r="I2097" s="1" t="s">
        <v>4373</v>
      </c>
      <c r="J2097" s="1" t="s">
        <v>7512</v>
      </c>
      <c r="K2097" s="1" t="s">
        <v>7515</v>
      </c>
    </row>
    <row r="2098" spans="1:11" ht="21" x14ac:dyDescent="0.25">
      <c r="A2098" s="11" t="str">
        <f>HYPERLINK("https://rth.dk/resources/bsgatlas/details.php?id=BSGatlas-transcript-2097","BSGatlas-transcript-2097")</f>
        <v>BSGatlas-transcript-2097</v>
      </c>
      <c r="B2098" s="1" t="s">
        <v>1980</v>
      </c>
      <c r="C2098" s="3">
        <v>1922841</v>
      </c>
      <c r="D2098" s="3">
        <v>1923126</v>
      </c>
      <c r="E2098" s="1" t="s">
        <v>13</v>
      </c>
      <c r="F2098" s="1">
        <v>0</v>
      </c>
      <c r="G2098" s="1" t="s">
        <v>4372</v>
      </c>
      <c r="H2098" s="1" t="s">
        <v>4372</v>
      </c>
      <c r="I2098" s="1" t="s">
        <v>4373</v>
      </c>
      <c r="J2098" s="1" t="s">
        <v>7514</v>
      </c>
      <c r="K2098" s="1" t="s">
        <v>7515</v>
      </c>
    </row>
    <row r="2099" spans="1:11" ht="21" x14ac:dyDescent="0.25">
      <c r="A2099" s="11" t="str">
        <f>HYPERLINK("https://rth.dk/resources/bsgatlas/details.php?id=BSGatlas-transcript-2098","BSGatlas-transcript-2098")</f>
        <v>BSGatlas-transcript-2098</v>
      </c>
      <c r="B2099" s="1" t="s">
        <v>7516</v>
      </c>
      <c r="C2099" s="3">
        <v>1923130</v>
      </c>
      <c r="D2099" s="3">
        <v>1925003</v>
      </c>
      <c r="E2099" s="1" t="s">
        <v>9</v>
      </c>
      <c r="F2099" s="1">
        <v>2</v>
      </c>
      <c r="G2099" s="1">
        <v>105</v>
      </c>
      <c r="H2099" s="1">
        <v>42</v>
      </c>
      <c r="I2099" s="1" t="s">
        <v>4373</v>
      </c>
      <c r="J2099" s="1" t="s">
        <v>7517</v>
      </c>
      <c r="K2099" s="1" t="s">
        <v>7518</v>
      </c>
    </row>
    <row r="2100" spans="1:11" ht="21" x14ac:dyDescent="0.25">
      <c r="A2100" s="11" t="str">
        <f>HYPERLINK("https://rth.dk/resources/bsgatlas/details.php?id=BSGatlas-transcript-2099","BSGatlas-transcript-2099")</f>
        <v>BSGatlas-transcript-2099</v>
      </c>
      <c r="B2100" s="1" t="s">
        <v>7519</v>
      </c>
      <c r="C2100" s="3">
        <v>1923997</v>
      </c>
      <c r="D2100" s="3">
        <v>1925003</v>
      </c>
      <c r="E2100" s="1" t="s">
        <v>9</v>
      </c>
      <c r="F2100" s="1">
        <v>1</v>
      </c>
      <c r="G2100" s="1">
        <v>34</v>
      </c>
      <c r="H2100" s="1">
        <v>42</v>
      </c>
      <c r="I2100" s="1" t="s">
        <v>4377</v>
      </c>
      <c r="J2100" s="1" t="s">
        <v>7520</v>
      </c>
      <c r="K2100" s="1" t="s">
        <v>7518</v>
      </c>
    </row>
    <row r="2101" spans="1:11" ht="21" x14ac:dyDescent="0.25">
      <c r="A2101" s="11" t="str">
        <f>HYPERLINK("https://rth.dk/resources/bsgatlas/details.php?id=BSGatlas-transcript-2100","BSGatlas-transcript-2100")</f>
        <v>BSGatlas-transcript-2100</v>
      </c>
      <c r="B2101" s="1" t="s">
        <v>1983</v>
      </c>
      <c r="C2101" s="3">
        <v>1924447</v>
      </c>
      <c r="D2101" s="3">
        <v>1925003</v>
      </c>
      <c r="E2101" s="1" t="s">
        <v>9</v>
      </c>
      <c r="F2101" s="1">
        <v>0</v>
      </c>
      <c r="G2101" s="1" t="s">
        <v>4372</v>
      </c>
      <c r="H2101" s="1" t="s">
        <v>4372</v>
      </c>
      <c r="I2101" s="1" t="s">
        <v>4377</v>
      </c>
      <c r="J2101" s="1" t="s">
        <v>7521</v>
      </c>
      <c r="K2101" s="1" t="s">
        <v>7518</v>
      </c>
    </row>
    <row r="2102" spans="1:11" ht="21" x14ac:dyDescent="0.25">
      <c r="A2102" s="11" t="str">
        <f>HYPERLINK("https://rth.dk/resources/bsgatlas/details.php?id=BSGatlas-transcript-2101","BSGatlas-transcript-2101")</f>
        <v>BSGatlas-transcript-2101</v>
      </c>
      <c r="B2102" s="1" t="s">
        <v>1984</v>
      </c>
      <c r="C2102" s="3">
        <v>1924952</v>
      </c>
      <c r="D2102" s="3">
        <v>1925451</v>
      </c>
      <c r="E2102" s="1" t="s">
        <v>13</v>
      </c>
      <c r="F2102" s="1">
        <v>0</v>
      </c>
      <c r="G2102" s="1" t="s">
        <v>4372</v>
      </c>
      <c r="H2102" s="1" t="s">
        <v>4372</v>
      </c>
      <c r="I2102" s="1" t="s">
        <v>4373</v>
      </c>
      <c r="J2102" s="1" t="s">
        <v>7522</v>
      </c>
      <c r="K2102" s="1" t="s">
        <v>7523</v>
      </c>
    </row>
    <row r="2103" spans="1:11" ht="21" x14ac:dyDescent="0.25">
      <c r="A2103" s="11" t="str">
        <f>HYPERLINK("https://rth.dk/resources/bsgatlas/details.php?id=BSGatlas-transcript-2102","BSGatlas-transcript-2102")</f>
        <v>BSGatlas-transcript-2102</v>
      </c>
      <c r="B2103" s="1" t="s">
        <v>1984</v>
      </c>
      <c r="C2103" s="3">
        <v>1924952</v>
      </c>
      <c r="D2103" s="3">
        <v>1925538</v>
      </c>
      <c r="E2103" s="1" t="s">
        <v>13</v>
      </c>
      <c r="F2103" s="1">
        <v>0</v>
      </c>
      <c r="G2103" s="1" t="s">
        <v>4372</v>
      </c>
      <c r="H2103" s="1" t="s">
        <v>4372</v>
      </c>
      <c r="I2103" s="1" t="s">
        <v>4373</v>
      </c>
      <c r="J2103" s="1" t="s">
        <v>7524</v>
      </c>
      <c r="K2103" s="1" t="s">
        <v>7523</v>
      </c>
    </row>
    <row r="2104" spans="1:11" ht="21" x14ac:dyDescent="0.25">
      <c r="A2104" s="11" t="str">
        <f>HYPERLINK("https://rth.dk/resources/bsgatlas/details.php?id=BSGatlas-transcript-2103","BSGatlas-transcript-2103")</f>
        <v>BSGatlas-transcript-2103</v>
      </c>
      <c r="B2104" s="1" t="s">
        <v>1985</v>
      </c>
      <c r="C2104" s="3">
        <v>1925528</v>
      </c>
      <c r="D2104" s="3">
        <v>1925619</v>
      </c>
      <c r="E2104" s="1" t="s">
        <v>9</v>
      </c>
      <c r="F2104" s="1">
        <v>0</v>
      </c>
      <c r="G2104" s="1" t="s">
        <v>4372</v>
      </c>
      <c r="H2104" s="1" t="s">
        <v>4372</v>
      </c>
      <c r="I2104" s="1" t="s">
        <v>4377</v>
      </c>
      <c r="J2104" s="1" t="s">
        <v>7525</v>
      </c>
      <c r="K2104" s="1" t="s">
        <v>7526</v>
      </c>
    </row>
    <row r="2105" spans="1:11" ht="21" x14ac:dyDescent="0.25">
      <c r="A2105" s="11" t="str">
        <f>HYPERLINK("https://rth.dk/resources/bsgatlas/details.php?id=BSGatlas-transcript-2104","BSGatlas-transcript-2104")</f>
        <v>BSGatlas-transcript-2104</v>
      </c>
      <c r="B2105" s="1" t="s">
        <v>1986</v>
      </c>
      <c r="C2105" s="3">
        <v>1925601</v>
      </c>
      <c r="D2105" s="3">
        <v>1926047</v>
      </c>
      <c r="E2105" s="1" t="s">
        <v>13</v>
      </c>
      <c r="F2105" s="1">
        <v>0</v>
      </c>
      <c r="G2105" s="1" t="s">
        <v>4372</v>
      </c>
      <c r="H2105" s="1" t="s">
        <v>4372</v>
      </c>
      <c r="I2105" s="1" t="s">
        <v>4373</v>
      </c>
      <c r="J2105" s="1" t="s">
        <v>7527</v>
      </c>
      <c r="K2105" s="1" t="s">
        <v>7528</v>
      </c>
    </row>
    <row r="2106" spans="1:11" ht="21" x14ac:dyDescent="0.25">
      <c r="A2106" s="11" t="str">
        <f>HYPERLINK("https://rth.dk/resources/bsgatlas/details.php?id=BSGatlas-transcript-2105","BSGatlas-transcript-2105")</f>
        <v>BSGatlas-transcript-2105</v>
      </c>
      <c r="B2106" s="1" t="s">
        <v>1987</v>
      </c>
      <c r="C2106" s="3">
        <v>1925915</v>
      </c>
      <c r="D2106" s="3">
        <v>1929459</v>
      </c>
      <c r="E2106" s="1" t="s">
        <v>9</v>
      </c>
      <c r="F2106" s="1">
        <v>0</v>
      </c>
      <c r="G2106" s="1" t="s">
        <v>4372</v>
      </c>
      <c r="H2106" s="1" t="s">
        <v>4372</v>
      </c>
      <c r="I2106" s="1" t="s">
        <v>4382</v>
      </c>
      <c r="J2106" s="1" t="s">
        <v>7529</v>
      </c>
      <c r="K2106" s="1" t="s">
        <v>7530</v>
      </c>
    </row>
    <row r="2107" spans="1:11" ht="21" x14ac:dyDescent="0.25">
      <c r="A2107" s="11" t="str">
        <f>HYPERLINK("https://rth.dk/resources/bsgatlas/details.php?id=BSGatlas-transcript-2106","BSGatlas-transcript-2106")</f>
        <v>BSGatlas-transcript-2106</v>
      </c>
      <c r="B2107" s="1" t="s">
        <v>7531</v>
      </c>
      <c r="C2107" s="3">
        <v>1925915</v>
      </c>
      <c r="D2107" s="3">
        <v>1929993</v>
      </c>
      <c r="E2107" s="1" t="s">
        <v>9</v>
      </c>
      <c r="F2107" s="1">
        <v>1</v>
      </c>
      <c r="G2107" s="1">
        <v>766</v>
      </c>
      <c r="H2107" s="1" t="s">
        <v>4372</v>
      </c>
      <c r="I2107" s="1" t="s">
        <v>4386</v>
      </c>
      <c r="J2107" s="1" t="s">
        <v>7529</v>
      </c>
      <c r="K2107" s="1" t="s">
        <v>7532</v>
      </c>
    </row>
    <row r="2108" spans="1:11" ht="21" x14ac:dyDescent="0.25">
      <c r="A2108" s="11" t="str">
        <f>HYPERLINK("https://rth.dk/resources/bsgatlas/details.php?id=BSGatlas-transcript-2107","BSGatlas-transcript-2107")</f>
        <v>BSGatlas-transcript-2107</v>
      </c>
      <c r="B2108" s="1" t="s">
        <v>7531</v>
      </c>
      <c r="C2108" s="3">
        <v>1925915</v>
      </c>
      <c r="D2108" s="3">
        <v>1930014</v>
      </c>
      <c r="E2108" s="1" t="s">
        <v>9</v>
      </c>
      <c r="F2108" s="1">
        <v>1</v>
      </c>
      <c r="G2108" s="1">
        <v>766</v>
      </c>
      <c r="H2108" s="1">
        <v>22</v>
      </c>
      <c r="I2108" s="1" t="s">
        <v>4386</v>
      </c>
      <c r="J2108" s="1" t="s">
        <v>7529</v>
      </c>
      <c r="K2108" s="1" t="s">
        <v>7533</v>
      </c>
    </row>
    <row r="2109" spans="1:11" ht="21" x14ac:dyDescent="0.25">
      <c r="A2109" s="11" t="str">
        <f>HYPERLINK("https://rth.dk/resources/bsgatlas/details.php?id=BSGatlas-transcript-2108","BSGatlas-transcript-2108")</f>
        <v>BSGatlas-transcript-2108</v>
      </c>
      <c r="B2109" s="1" t="s">
        <v>1987</v>
      </c>
      <c r="C2109" s="3">
        <v>1926056</v>
      </c>
      <c r="D2109" s="3">
        <v>1929459</v>
      </c>
      <c r="E2109" s="1" t="s">
        <v>9</v>
      </c>
      <c r="F2109" s="1">
        <v>0</v>
      </c>
      <c r="G2109" s="1" t="s">
        <v>4372</v>
      </c>
      <c r="H2109" s="1" t="s">
        <v>4372</v>
      </c>
      <c r="I2109" s="1" t="s">
        <v>4382</v>
      </c>
      <c r="J2109" s="1" t="s">
        <v>7534</v>
      </c>
      <c r="K2109" s="1" t="s">
        <v>7530</v>
      </c>
    </row>
    <row r="2110" spans="1:11" ht="21" x14ac:dyDescent="0.25">
      <c r="A2110" s="11" t="str">
        <f>HYPERLINK("https://rth.dk/resources/bsgatlas/details.php?id=BSGatlas-transcript-2109","BSGatlas-transcript-2109")</f>
        <v>BSGatlas-transcript-2109</v>
      </c>
      <c r="B2110" s="1" t="s">
        <v>7531</v>
      </c>
      <c r="C2110" s="3">
        <v>1926056</v>
      </c>
      <c r="D2110" s="3">
        <v>1929993</v>
      </c>
      <c r="E2110" s="1" t="s">
        <v>9</v>
      </c>
      <c r="F2110" s="1">
        <v>1</v>
      </c>
      <c r="G2110" s="1">
        <v>625</v>
      </c>
      <c r="H2110" s="1" t="s">
        <v>4372</v>
      </c>
      <c r="I2110" s="1" t="s">
        <v>4386</v>
      </c>
      <c r="J2110" s="1" t="s">
        <v>7534</v>
      </c>
      <c r="K2110" s="1" t="s">
        <v>7532</v>
      </c>
    </row>
    <row r="2111" spans="1:11" ht="21" x14ac:dyDescent="0.25">
      <c r="A2111" s="11" t="str">
        <f>HYPERLINK("https://rth.dk/resources/bsgatlas/details.php?id=BSGatlas-transcript-2110","BSGatlas-transcript-2110")</f>
        <v>BSGatlas-transcript-2110</v>
      </c>
      <c r="B2111" s="1" t="s">
        <v>7531</v>
      </c>
      <c r="C2111" s="3">
        <v>1926056</v>
      </c>
      <c r="D2111" s="3">
        <v>1930014</v>
      </c>
      <c r="E2111" s="1" t="s">
        <v>9</v>
      </c>
      <c r="F2111" s="1">
        <v>1</v>
      </c>
      <c r="G2111" s="1">
        <v>625</v>
      </c>
      <c r="H2111" s="1">
        <v>22</v>
      </c>
      <c r="I2111" s="1" t="s">
        <v>4386</v>
      </c>
      <c r="J2111" s="1" t="s">
        <v>7534</v>
      </c>
      <c r="K2111" s="1" t="s">
        <v>7533</v>
      </c>
    </row>
    <row r="2112" spans="1:11" ht="21" x14ac:dyDescent="0.25">
      <c r="A2112" s="11" t="str">
        <f>HYPERLINK("https://rth.dk/resources/bsgatlas/details.php?id=BSGatlas-transcript-2111","BSGatlas-transcript-2111")</f>
        <v>BSGatlas-transcript-2111</v>
      </c>
      <c r="B2112" s="1" t="s">
        <v>7535</v>
      </c>
      <c r="C2112" s="3">
        <v>1926091</v>
      </c>
      <c r="D2112" s="3">
        <v>1926452</v>
      </c>
      <c r="E2112" s="1" t="s">
        <v>13</v>
      </c>
      <c r="F2112" s="1">
        <v>1</v>
      </c>
      <c r="G2112" s="1" t="s">
        <v>4372</v>
      </c>
      <c r="H2112" s="1">
        <v>38</v>
      </c>
      <c r="I2112" s="1" t="s">
        <v>4373</v>
      </c>
      <c r="J2112" s="1" t="s">
        <v>7536</v>
      </c>
      <c r="K2112" s="1" t="s">
        <v>7537</v>
      </c>
    </row>
    <row r="2113" spans="1:11" ht="21" x14ac:dyDescent="0.25">
      <c r="A2113" s="11" t="str">
        <f>HYPERLINK("https://rth.dk/resources/bsgatlas/details.php?id=BSGatlas-transcript-2112","BSGatlas-transcript-2112")</f>
        <v>BSGatlas-transcript-2112</v>
      </c>
      <c r="B2113" s="1" t="s">
        <v>7535</v>
      </c>
      <c r="C2113" s="3">
        <v>1926091</v>
      </c>
      <c r="D2113" s="3">
        <v>1926704</v>
      </c>
      <c r="E2113" s="1" t="s">
        <v>13</v>
      </c>
      <c r="F2113" s="1">
        <v>1</v>
      </c>
      <c r="G2113" s="1">
        <v>253</v>
      </c>
      <c r="H2113" s="1">
        <v>38</v>
      </c>
      <c r="I2113" s="1" t="s">
        <v>4373</v>
      </c>
      <c r="J2113" s="1" t="s">
        <v>7538</v>
      </c>
      <c r="K2113" s="1" t="s">
        <v>7537</v>
      </c>
    </row>
    <row r="2114" spans="1:11" ht="21" x14ac:dyDescent="0.25">
      <c r="A2114" s="11" t="str">
        <f>HYPERLINK("https://rth.dk/resources/bsgatlas/details.php?id=BSGatlas-transcript-2113","BSGatlas-transcript-2113")</f>
        <v>BSGatlas-transcript-2113</v>
      </c>
      <c r="B2114" s="1" t="s">
        <v>7535</v>
      </c>
      <c r="C2114" s="3">
        <v>1926128</v>
      </c>
      <c r="D2114" s="3">
        <v>1926452</v>
      </c>
      <c r="E2114" s="1" t="s">
        <v>13</v>
      </c>
      <c r="F2114" s="1">
        <v>1</v>
      </c>
      <c r="G2114" s="1" t="s">
        <v>4372</v>
      </c>
      <c r="H2114" s="1" t="s">
        <v>4372</v>
      </c>
      <c r="I2114" s="1" t="s">
        <v>4373</v>
      </c>
      <c r="J2114" s="1" t="s">
        <v>7536</v>
      </c>
      <c r="K2114" s="1" t="s">
        <v>7539</v>
      </c>
    </row>
    <row r="2115" spans="1:11" ht="21" x14ac:dyDescent="0.25">
      <c r="A2115" s="11" t="str">
        <f>HYPERLINK("https://rth.dk/resources/bsgatlas/details.php?id=BSGatlas-transcript-2114","BSGatlas-transcript-2114")</f>
        <v>BSGatlas-transcript-2114</v>
      </c>
      <c r="B2115" s="1" t="s">
        <v>7535</v>
      </c>
      <c r="C2115" s="3">
        <v>1926128</v>
      </c>
      <c r="D2115" s="3">
        <v>1926704</v>
      </c>
      <c r="E2115" s="1" t="s">
        <v>13</v>
      </c>
      <c r="F2115" s="1">
        <v>1</v>
      </c>
      <c r="G2115" s="1">
        <v>253</v>
      </c>
      <c r="H2115" s="1" t="s">
        <v>4372</v>
      </c>
      <c r="I2115" s="1" t="s">
        <v>4373</v>
      </c>
      <c r="J2115" s="1" t="s">
        <v>7538</v>
      </c>
      <c r="K2115" s="1" t="s">
        <v>7539</v>
      </c>
    </row>
    <row r="2116" spans="1:11" ht="21" x14ac:dyDescent="0.25">
      <c r="A2116" s="11" t="str">
        <f>HYPERLINK("https://rth.dk/resources/bsgatlas/details.php?id=BSGatlas-transcript-2115","BSGatlas-transcript-2115")</f>
        <v>BSGatlas-transcript-2115</v>
      </c>
      <c r="B2116" s="1" t="s">
        <v>1987</v>
      </c>
      <c r="C2116" s="3">
        <v>1926452</v>
      </c>
      <c r="D2116" s="3">
        <v>1929459</v>
      </c>
      <c r="E2116" s="1" t="s">
        <v>9</v>
      </c>
      <c r="F2116" s="1">
        <v>0</v>
      </c>
      <c r="G2116" s="1" t="s">
        <v>4372</v>
      </c>
      <c r="H2116" s="1" t="s">
        <v>4372</v>
      </c>
      <c r="I2116" s="1" t="s">
        <v>4382</v>
      </c>
      <c r="J2116" s="1" t="s">
        <v>7540</v>
      </c>
      <c r="K2116" s="1" t="s">
        <v>7530</v>
      </c>
    </row>
    <row r="2117" spans="1:11" ht="21" x14ac:dyDescent="0.25">
      <c r="A2117" s="11" t="str">
        <f>HYPERLINK("https://rth.dk/resources/bsgatlas/details.php?id=BSGatlas-transcript-2116","BSGatlas-transcript-2116")</f>
        <v>BSGatlas-transcript-2116</v>
      </c>
      <c r="B2117" s="1" t="s">
        <v>7531</v>
      </c>
      <c r="C2117" s="3">
        <v>1926452</v>
      </c>
      <c r="D2117" s="3">
        <v>1929993</v>
      </c>
      <c r="E2117" s="1" t="s">
        <v>9</v>
      </c>
      <c r="F2117" s="1">
        <v>1</v>
      </c>
      <c r="G2117" s="1">
        <v>229</v>
      </c>
      <c r="H2117" s="1" t="s">
        <v>4372</v>
      </c>
      <c r="I2117" s="1" t="s">
        <v>4386</v>
      </c>
      <c r="J2117" s="1" t="s">
        <v>7540</v>
      </c>
      <c r="K2117" s="1" t="s">
        <v>7532</v>
      </c>
    </row>
    <row r="2118" spans="1:11" ht="21" x14ac:dyDescent="0.25">
      <c r="A2118" s="11" t="str">
        <f>HYPERLINK("https://rth.dk/resources/bsgatlas/details.php?id=BSGatlas-transcript-2117","BSGatlas-transcript-2117")</f>
        <v>BSGatlas-transcript-2117</v>
      </c>
      <c r="B2118" s="1" t="s">
        <v>7531</v>
      </c>
      <c r="C2118" s="3">
        <v>1926452</v>
      </c>
      <c r="D2118" s="3">
        <v>1930014</v>
      </c>
      <c r="E2118" s="1" t="s">
        <v>9</v>
      </c>
      <c r="F2118" s="1">
        <v>1</v>
      </c>
      <c r="G2118" s="1">
        <v>229</v>
      </c>
      <c r="H2118" s="1">
        <v>22</v>
      </c>
      <c r="I2118" s="1" t="s">
        <v>4386</v>
      </c>
      <c r="J2118" s="1" t="s">
        <v>7540</v>
      </c>
      <c r="K2118" s="1" t="s">
        <v>7533</v>
      </c>
    </row>
    <row r="2119" spans="1:11" ht="21" x14ac:dyDescent="0.25">
      <c r="A2119" s="11" t="str">
        <f>HYPERLINK("https://rth.dk/resources/bsgatlas/details.php?id=BSGatlas-transcript-2118","BSGatlas-transcript-2118")</f>
        <v>BSGatlas-transcript-2118</v>
      </c>
      <c r="B2119" s="1" t="s">
        <v>1987</v>
      </c>
      <c r="C2119" s="3">
        <v>1926612</v>
      </c>
      <c r="D2119" s="3">
        <v>1929459</v>
      </c>
      <c r="E2119" s="1" t="s">
        <v>9</v>
      </c>
      <c r="F2119" s="1">
        <v>0</v>
      </c>
      <c r="G2119" s="1" t="s">
        <v>4372</v>
      </c>
      <c r="H2119" s="1" t="s">
        <v>4372</v>
      </c>
      <c r="I2119" s="1" t="s">
        <v>4382</v>
      </c>
      <c r="J2119" s="1" t="s">
        <v>7541</v>
      </c>
      <c r="K2119" s="1" t="s">
        <v>7530</v>
      </c>
    </row>
    <row r="2120" spans="1:11" ht="21" x14ac:dyDescent="0.25">
      <c r="A2120" s="11" t="str">
        <f>HYPERLINK("https://rth.dk/resources/bsgatlas/details.php?id=BSGatlas-transcript-2119","BSGatlas-transcript-2119")</f>
        <v>BSGatlas-transcript-2119</v>
      </c>
      <c r="B2120" s="1" t="s">
        <v>7531</v>
      </c>
      <c r="C2120" s="3">
        <v>1926612</v>
      </c>
      <c r="D2120" s="3">
        <v>1929993</v>
      </c>
      <c r="E2120" s="1" t="s">
        <v>9</v>
      </c>
      <c r="F2120" s="1">
        <v>1</v>
      </c>
      <c r="G2120" s="1">
        <v>69</v>
      </c>
      <c r="H2120" s="1" t="s">
        <v>4372</v>
      </c>
      <c r="I2120" s="1" t="s">
        <v>4386</v>
      </c>
      <c r="J2120" s="1" t="s">
        <v>7541</v>
      </c>
      <c r="K2120" s="1" t="s">
        <v>7532</v>
      </c>
    </row>
    <row r="2121" spans="1:11" ht="21" x14ac:dyDescent="0.25">
      <c r="A2121" s="11" t="str">
        <f>HYPERLINK("https://rth.dk/resources/bsgatlas/details.php?id=BSGatlas-transcript-2120","BSGatlas-transcript-2120")</f>
        <v>BSGatlas-transcript-2120</v>
      </c>
      <c r="B2121" s="1" t="s">
        <v>7531</v>
      </c>
      <c r="C2121" s="3">
        <v>1926612</v>
      </c>
      <c r="D2121" s="3">
        <v>1930014</v>
      </c>
      <c r="E2121" s="1" t="s">
        <v>9</v>
      </c>
      <c r="F2121" s="1">
        <v>1</v>
      </c>
      <c r="G2121" s="1">
        <v>69</v>
      </c>
      <c r="H2121" s="1">
        <v>22</v>
      </c>
      <c r="I2121" s="1" t="s">
        <v>4386</v>
      </c>
      <c r="J2121" s="1" t="s">
        <v>7541</v>
      </c>
      <c r="K2121" s="1" t="s">
        <v>7533</v>
      </c>
    </row>
    <row r="2122" spans="1:11" ht="21" x14ac:dyDescent="0.25">
      <c r="A2122" s="11" t="str">
        <f>HYPERLINK("https://rth.dk/resources/bsgatlas/details.php?id=BSGatlas-transcript-2121","BSGatlas-transcript-2121")</f>
        <v>BSGatlas-transcript-2121</v>
      </c>
      <c r="B2122" s="1" t="s">
        <v>1988</v>
      </c>
      <c r="C2122" s="3">
        <v>1929481</v>
      </c>
      <c r="D2122" s="3">
        <v>1929993</v>
      </c>
      <c r="E2122" s="1" t="s">
        <v>9</v>
      </c>
      <c r="F2122" s="1">
        <v>0</v>
      </c>
      <c r="G2122" s="1" t="s">
        <v>4372</v>
      </c>
      <c r="H2122" s="1" t="s">
        <v>4372</v>
      </c>
      <c r="I2122" s="1" t="s">
        <v>4382</v>
      </c>
      <c r="J2122" s="1" t="s">
        <v>318</v>
      </c>
      <c r="K2122" s="1" t="s">
        <v>7532</v>
      </c>
    </row>
    <row r="2123" spans="1:11" ht="21" x14ac:dyDescent="0.25">
      <c r="A2123" s="11" t="str">
        <f>HYPERLINK("https://rth.dk/resources/bsgatlas/details.php?id=BSGatlas-transcript-2122","BSGatlas-transcript-2122")</f>
        <v>BSGatlas-transcript-2122</v>
      </c>
      <c r="B2123" s="1" t="s">
        <v>1988</v>
      </c>
      <c r="C2123" s="3">
        <v>1929481</v>
      </c>
      <c r="D2123" s="3">
        <v>1930014</v>
      </c>
      <c r="E2123" s="1" t="s">
        <v>9</v>
      </c>
      <c r="F2123" s="1">
        <v>0</v>
      </c>
      <c r="G2123" s="1" t="s">
        <v>4372</v>
      </c>
      <c r="H2123" s="1" t="s">
        <v>4372</v>
      </c>
      <c r="I2123" s="1" t="s">
        <v>4382</v>
      </c>
      <c r="J2123" s="1" t="s">
        <v>318</v>
      </c>
      <c r="K2123" s="1" t="s">
        <v>7533</v>
      </c>
    </row>
    <row r="2124" spans="1:11" ht="21" x14ac:dyDescent="0.25">
      <c r="A2124" s="11" t="str">
        <f>HYPERLINK("https://rth.dk/resources/bsgatlas/details.php?id=BSGatlas-transcript-2123","BSGatlas-transcript-2123")</f>
        <v>BSGatlas-transcript-2123</v>
      </c>
      <c r="B2124" s="1" t="s">
        <v>1991</v>
      </c>
      <c r="C2124" s="3">
        <v>1930038</v>
      </c>
      <c r="D2124" s="3">
        <v>1930199</v>
      </c>
      <c r="E2124" s="1" t="s">
        <v>9</v>
      </c>
      <c r="F2124" s="1">
        <v>0</v>
      </c>
      <c r="G2124" s="1" t="s">
        <v>4372</v>
      </c>
      <c r="H2124" s="1" t="s">
        <v>4372</v>
      </c>
      <c r="I2124" s="1" t="s">
        <v>4377</v>
      </c>
      <c r="J2124" s="1" t="s">
        <v>7542</v>
      </c>
      <c r="K2124" s="1" t="s">
        <v>318</v>
      </c>
    </row>
    <row r="2125" spans="1:11" ht="21" x14ac:dyDescent="0.25">
      <c r="A2125" s="11" t="str">
        <f>HYPERLINK("https://rth.dk/resources/bsgatlas/details.php?id=BSGatlas-transcript-2124","BSGatlas-transcript-2124")</f>
        <v>BSGatlas-transcript-2124</v>
      </c>
      <c r="B2125" s="1" t="s">
        <v>1992</v>
      </c>
      <c r="C2125" s="3">
        <v>1930070</v>
      </c>
      <c r="D2125" s="3">
        <v>1931874</v>
      </c>
      <c r="E2125" s="1" t="s">
        <v>13</v>
      </c>
      <c r="F2125" s="1">
        <v>0</v>
      </c>
      <c r="G2125" s="1" t="s">
        <v>4372</v>
      </c>
      <c r="H2125" s="1" t="s">
        <v>4372</v>
      </c>
      <c r="I2125" s="1" t="s">
        <v>4377</v>
      </c>
      <c r="J2125" s="1" t="s">
        <v>7543</v>
      </c>
      <c r="K2125" s="1" t="s">
        <v>7544</v>
      </c>
    </row>
    <row r="2126" spans="1:11" ht="21" x14ac:dyDescent="0.25">
      <c r="A2126" s="11" t="str">
        <f>HYPERLINK("https://rth.dk/resources/bsgatlas/details.php?id=BSGatlas-transcript-2125","BSGatlas-transcript-2125")</f>
        <v>BSGatlas-transcript-2125</v>
      </c>
      <c r="B2126" s="1" t="s">
        <v>7545</v>
      </c>
      <c r="C2126" s="3">
        <v>1930070</v>
      </c>
      <c r="D2126" s="3">
        <v>1932544</v>
      </c>
      <c r="E2126" s="1" t="s">
        <v>13</v>
      </c>
      <c r="F2126" s="1">
        <v>1</v>
      </c>
      <c r="G2126" s="1">
        <v>44</v>
      </c>
      <c r="H2126" s="1">
        <v>1476</v>
      </c>
      <c r="I2126" s="1" t="s">
        <v>4386</v>
      </c>
      <c r="J2126" s="1" t="s">
        <v>7546</v>
      </c>
      <c r="K2126" s="1" t="s">
        <v>7544</v>
      </c>
    </row>
    <row r="2127" spans="1:11" ht="21" x14ac:dyDescent="0.25">
      <c r="A2127" s="11" t="str">
        <f>HYPERLINK("https://rth.dk/resources/bsgatlas/details.php?id=BSGatlas-transcript-2126","BSGatlas-transcript-2126")</f>
        <v>BSGatlas-transcript-2126</v>
      </c>
      <c r="B2127" s="1" t="s">
        <v>7547</v>
      </c>
      <c r="C2127" s="3">
        <v>1930249</v>
      </c>
      <c r="D2127" s="3">
        <v>1930731</v>
      </c>
      <c r="E2127" s="1" t="s">
        <v>9</v>
      </c>
      <c r="F2127" s="1">
        <v>1</v>
      </c>
      <c r="G2127" s="1">
        <v>16</v>
      </c>
      <c r="H2127" s="1">
        <v>34</v>
      </c>
      <c r="I2127" s="1" t="s">
        <v>4373</v>
      </c>
      <c r="J2127" s="1" t="s">
        <v>7548</v>
      </c>
      <c r="K2127" s="1" t="s">
        <v>7549</v>
      </c>
    </row>
    <row r="2128" spans="1:11" ht="21" x14ac:dyDescent="0.25">
      <c r="A2128" s="11" t="str">
        <f>HYPERLINK("https://rth.dk/resources/bsgatlas/details.php?id=BSGatlas-transcript-2127","BSGatlas-transcript-2127")</f>
        <v>BSGatlas-transcript-2127</v>
      </c>
      <c r="B2128" s="1" t="s">
        <v>7547</v>
      </c>
      <c r="C2128" s="3">
        <v>1930264</v>
      </c>
      <c r="D2128" s="3">
        <v>1930731</v>
      </c>
      <c r="E2128" s="1" t="s">
        <v>9</v>
      </c>
      <c r="F2128" s="1">
        <v>1</v>
      </c>
      <c r="G2128" s="1" t="s">
        <v>4372</v>
      </c>
      <c r="H2128" s="1">
        <v>34</v>
      </c>
      <c r="I2128" s="1" t="s">
        <v>4373</v>
      </c>
      <c r="J2128" s="1" t="s">
        <v>7550</v>
      </c>
      <c r="K2128" s="1" t="s">
        <v>7549</v>
      </c>
    </row>
    <row r="2129" spans="1:11" ht="21" x14ac:dyDescent="0.25">
      <c r="A2129" s="11" t="str">
        <f>HYPERLINK("https://rth.dk/resources/bsgatlas/details.php?id=BSGatlas-transcript-2128","BSGatlas-transcript-2128")</f>
        <v>BSGatlas-transcript-2128</v>
      </c>
      <c r="B2129" s="1" t="s">
        <v>7551</v>
      </c>
      <c r="C2129" s="3">
        <v>1930742</v>
      </c>
      <c r="D2129" s="3">
        <v>1931514</v>
      </c>
      <c r="E2129" s="1" t="s">
        <v>9</v>
      </c>
      <c r="F2129" s="1">
        <v>0</v>
      </c>
      <c r="G2129" s="1" t="s">
        <v>4372</v>
      </c>
      <c r="H2129" s="1" t="s">
        <v>4372</v>
      </c>
      <c r="I2129" s="1" t="s">
        <v>4386</v>
      </c>
      <c r="J2129" s="1" t="s">
        <v>7552</v>
      </c>
      <c r="K2129" s="1" t="s">
        <v>7553</v>
      </c>
    </row>
    <row r="2130" spans="1:11" ht="21" x14ac:dyDescent="0.25">
      <c r="A2130" s="11" t="str">
        <f>HYPERLINK("https://rth.dk/resources/bsgatlas/details.php?id=BSGatlas-transcript-2129","BSGatlas-transcript-2129")</f>
        <v>BSGatlas-transcript-2129</v>
      </c>
      <c r="B2130" s="1" t="s">
        <v>1992</v>
      </c>
      <c r="C2130" s="3">
        <v>1931545</v>
      </c>
      <c r="D2130" s="3">
        <v>1931874</v>
      </c>
      <c r="E2130" s="1" t="s">
        <v>13</v>
      </c>
      <c r="F2130" s="1">
        <v>0</v>
      </c>
      <c r="G2130" s="1" t="s">
        <v>4372</v>
      </c>
      <c r="H2130" s="1" t="s">
        <v>4372</v>
      </c>
      <c r="I2130" s="1" t="s">
        <v>4377</v>
      </c>
      <c r="J2130" s="1" t="s">
        <v>7543</v>
      </c>
      <c r="K2130" s="1" t="s">
        <v>7554</v>
      </c>
    </row>
    <row r="2131" spans="1:11" ht="21" x14ac:dyDescent="0.25">
      <c r="A2131" s="11" t="str">
        <f>HYPERLINK("https://rth.dk/resources/bsgatlas/details.php?id=BSGatlas-transcript-2130","BSGatlas-transcript-2130")</f>
        <v>BSGatlas-transcript-2130</v>
      </c>
      <c r="B2131" s="1" t="s">
        <v>1992</v>
      </c>
      <c r="C2131" s="3">
        <v>1931545</v>
      </c>
      <c r="D2131" s="3">
        <v>1931874</v>
      </c>
      <c r="E2131" s="1" t="s">
        <v>13</v>
      </c>
      <c r="F2131" s="1">
        <v>0</v>
      </c>
      <c r="G2131" s="1" t="s">
        <v>4372</v>
      </c>
      <c r="H2131" s="1" t="s">
        <v>4372</v>
      </c>
      <c r="I2131" s="1" t="s">
        <v>4377</v>
      </c>
      <c r="J2131" s="1" t="s">
        <v>7543</v>
      </c>
      <c r="K2131" s="1" t="s">
        <v>7555</v>
      </c>
    </row>
    <row r="2132" spans="1:11" ht="21" x14ac:dyDescent="0.25">
      <c r="A2132" s="11" t="str">
        <f>HYPERLINK("https://rth.dk/resources/bsgatlas/details.php?id=BSGatlas-transcript-2131","BSGatlas-transcript-2131")</f>
        <v>BSGatlas-transcript-2131</v>
      </c>
      <c r="B2132" s="1" t="s">
        <v>7545</v>
      </c>
      <c r="C2132" s="3">
        <v>1931545</v>
      </c>
      <c r="D2132" s="3">
        <v>1932544</v>
      </c>
      <c r="E2132" s="1" t="s">
        <v>13</v>
      </c>
      <c r="F2132" s="1">
        <v>1</v>
      </c>
      <c r="G2132" s="1">
        <v>44</v>
      </c>
      <c r="H2132" s="1" t="s">
        <v>4372</v>
      </c>
      <c r="I2132" s="1" t="s">
        <v>4386</v>
      </c>
      <c r="J2132" s="1" t="s">
        <v>7546</v>
      </c>
      <c r="K2132" s="1" t="s">
        <v>7554</v>
      </c>
    </row>
    <row r="2133" spans="1:11" ht="21" x14ac:dyDescent="0.25">
      <c r="A2133" s="11" t="str">
        <f>HYPERLINK("https://rth.dk/resources/bsgatlas/details.php?id=BSGatlas-transcript-2132","BSGatlas-transcript-2132")</f>
        <v>BSGatlas-transcript-2132</v>
      </c>
      <c r="B2133" s="1" t="s">
        <v>7545</v>
      </c>
      <c r="C2133" s="3">
        <v>1931545</v>
      </c>
      <c r="D2133" s="3">
        <v>1932544</v>
      </c>
      <c r="E2133" s="1" t="s">
        <v>13</v>
      </c>
      <c r="F2133" s="1">
        <v>1</v>
      </c>
      <c r="G2133" s="1">
        <v>44</v>
      </c>
      <c r="H2133" s="1" t="s">
        <v>4372</v>
      </c>
      <c r="I2133" s="1" t="s">
        <v>4386</v>
      </c>
      <c r="J2133" s="1" t="s">
        <v>7546</v>
      </c>
      <c r="K2133" s="1" t="s">
        <v>7555</v>
      </c>
    </row>
    <row r="2134" spans="1:11" ht="21" x14ac:dyDescent="0.25">
      <c r="A2134" s="11" t="str">
        <f>HYPERLINK("https://rth.dk/resources/bsgatlas/details.php?id=BSGatlas-transcript-2133","BSGatlas-transcript-2133")</f>
        <v>BSGatlas-transcript-2133</v>
      </c>
      <c r="B2134" s="1" t="s">
        <v>1998</v>
      </c>
      <c r="C2134" s="3">
        <v>1932502</v>
      </c>
      <c r="D2134" s="3">
        <v>1933096</v>
      </c>
      <c r="E2134" s="1" t="s">
        <v>9</v>
      </c>
      <c r="F2134" s="1">
        <v>0</v>
      </c>
      <c r="G2134" s="1" t="s">
        <v>4372</v>
      </c>
      <c r="H2134" s="1" t="s">
        <v>4372</v>
      </c>
      <c r="I2134" s="1" t="s">
        <v>4386</v>
      </c>
      <c r="J2134" s="1" t="s">
        <v>7556</v>
      </c>
      <c r="K2134" s="1" t="s">
        <v>7557</v>
      </c>
    </row>
    <row r="2135" spans="1:11" ht="21" x14ac:dyDescent="0.25">
      <c r="A2135" s="11" t="str">
        <f>HYPERLINK("https://rth.dk/resources/bsgatlas/details.php?id=BSGatlas-transcript-2134","BSGatlas-transcript-2134")</f>
        <v>BSGatlas-transcript-2134</v>
      </c>
      <c r="B2135" s="1" t="s">
        <v>1998</v>
      </c>
      <c r="C2135" s="3">
        <v>1932634</v>
      </c>
      <c r="D2135" s="3">
        <v>1933096</v>
      </c>
      <c r="E2135" s="1" t="s">
        <v>9</v>
      </c>
      <c r="F2135" s="1">
        <v>0</v>
      </c>
      <c r="G2135" s="1" t="s">
        <v>4372</v>
      </c>
      <c r="H2135" s="1" t="s">
        <v>4372</v>
      </c>
      <c r="I2135" s="1" t="s">
        <v>4386</v>
      </c>
      <c r="J2135" s="1" t="s">
        <v>7558</v>
      </c>
      <c r="K2135" s="1" t="s">
        <v>7557</v>
      </c>
    </row>
    <row r="2136" spans="1:11" ht="21" x14ac:dyDescent="0.25">
      <c r="A2136" s="11" t="str">
        <f>HYPERLINK("https://rth.dk/resources/bsgatlas/details.php?id=BSGatlas-transcript-2135","BSGatlas-transcript-2135")</f>
        <v>BSGatlas-transcript-2135</v>
      </c>
      <c r="B2136" s="1" t="s">
        <v>7559</v>
      </c>
      <c r="C2136" s="3">
        <v>1933162</v>
      </c>
      <c r="D2136" s="3">
        <v>1937913</v>
      </c>
      <c r="E2136" s="1" t="s">
        <v>9</v>
      </c>
      <c r="F2136" s="1">
        <v>0</v>
      </c>
      <c r="G2136" s="1" t="s">
        <v>4372</v>
      </c>
      <c r="H2136" s="1" t="s">
        <v>4372</v>
      </c>
      <c r="I2136" s="1" t="s">
        <v>4373</v>
      </c>
      <c r="J2136" s="1" t="s">
        <v>7560</v>
      </c>
      <c r="K2136" s="1" t="s">
        <v>7561</v>
      </c>
    </row>
    <row r="2137" spans="1:11" ht="21" x14ac:dyDescent="0.25">
      <c r="A2137" s="11" t="str">
        <f>HYPERLINK("https://rth.dk/resources/bsgatlas/details.php?id=BSGatlas-transcript-2136","BSGatlas-transcript-2136")</f>
        <v>BSGatlas-transcript-2136</v>
      </c>
      <c r="B2137" s="1" t="s">
        <v>2001</v>
      </c>
      <c r="C2137" s="3">
        <v>1937897</v>
      </c>
      <c r="D2137" s="3">
        <v>1938091</v>
      </c>
      <c r="E2137" s="1" t="s">
        <v>13</v>
      </c>
      <c r="F2137" s="1">
        <v>0</v>
      </c>
      <c r="G2137" s="1" t="s">
        <v>4372</v>
      </c>
      <c r="H2137" s="1" t="s">
        <v>4372</v>
      </c>
      <c r="I2137" s="1" t="s">
        <v>4377</v>
      </c>
      <c r="J2137" s="1" t="s">
        <v>318</v>
      </c>
      <c r="K2137" s="1" t="s">
        <v>7562</v>
      </c>
    </row>
    <row r="2138" spans="1:11" ht="21" x14ac:dyDescent="0.25">
      <c r="A2138" s="11" t="str">
        <f>HYPERLINK("https://rth.dk/resources/bsgatlas/details.php?id=BSGatlas-transcript-2137","BSGatlas-transcript-2137")</f>
        <v>BSGatlas-transcript-2137</v>
      </c>
      <c r="B2138" s="1" t="s">
        <v>2002</v>
      </c>
      <c r="C2138" s="3">
        <v>1938066</v>
      </c>
      <c r="D2138" s="3">
        <v>1938476</v>
      </c>
      <c r="E2138" s="1" t="s">
        <v>13</v>
      </c>
      <c r="F2138" s="1">
        <v>0</v>
      </c>
      <c r="G2138" s="1" t="s">
        <v>4372</v>
      </c>
      <c r="H2138" s="1" t="s">
        <v>4372</v>
      </c>
      <c r="I2138" s="1" t="s">
        <v>4397</v>
      </c>
      <c r="J2138" s="1" t="s">
        <v>7563</v>
      </c>
      <c r="K2138" s="1" t="s">
        <v>318</v>
      </c>
    </row>
    <row r="2139" spans="1:11" ht="21" x14ac:dyDescent="0.25">
      <c r="A2139" s="11" t="str">
        <f>HYPERLINK("https://rth.dk/resources/bsgatlas/details.php?id=BSGatlas-transcript-2138","BSGatlas-transcript-2138")</f>
        <v>BSGatlas-transcript-2138</v>
      </c>
      <c r="B2139" s="1" t="s">
        <v>2002</v>
      </c>
      <c r="C2139" s="3">
        <v>1938066</v>
      </c>
      <c r="D2139" s="3">
        <v>1938518</v>
      </c>
      <c r="E2139" s="1" t="s">
        <v>13</v>
      </c>
      <c r="F2139" s="1">
        <v>0</v>
      </c>
      <c r="G2139" s="1" t="s">
        <v>4372</v>
      </c>
      <c r="H2139" s="1" t="s">
        <v>4372</v>
      </c>
      <c r="I2139" s="1" t="s">
        <v>4397</v>
      </c>
      <c r="J2139" s="1" t="s">
        <v>7564</v>
      </c>
      <c r="K2139" s="1" t="s">
        <v>318</v>
      </c>
    </row>
    <row r="2140" spans="1:11" ht="21" x14ac:dyDescent="0.25">
      <c r="A2140" s="11" t="str">
        <f>HYPERLINK("https://rth.dk/resources/bsgatlas/details.php?id=BSGatlas-transcript-2139","BSGatlas-transcript-2139")</f>
        <v>BSGatlas-transcript-2139</v>
      </c>
      <c r="B2140" s="1" t="s">
        <v>2002</v>
      </c>
      <c r="C2140" s="3">
        <v>1938066</v>
      </c>
      <c r="D2140" s="3">
        <v>1938576</v>
      </c>
      <c r="E2140" s="1" t="s">
        <v>13</v>
      </c>
      <c r="F2140" s="1">
        <v>0</v>
      </c>
      <c r="G2140" s="1" t="s">
        <v>4372</v>
      </c>
      <c r="H2140" s="1" t="s">
        <v>4372</v>
      </c>
      <c r="I2140" s="1" t="s">
        <v>4397</v>
      </c>
      <c r="J2140" s="1" t="s">
        <v>7565</v>
      </c>
      <c r="K2140" s="1" t="s">
        <v>318</v>
      </c>
    </row>
    <row r="2141" spans="1:11" ht="21" x14ac:dyDescent="0.25">
      <c r="A2141" s="11" t="str">
        <f>HYPERLINK("https://rth.dk/resources/bsgatlas/details.php?id=BSGatlas-transcript-2140","BSGatlas-transcript-2140")</f>
        <v>BSGatlas-transcript-2140</v>
      </c>
      <c r="B2141" s="1" t="s">
        <v>2003</v>
      </c>
      <c r="C2141" s="3">
        <v>1938847</v>
      </c>
      <c r="D2141" s="3">
        <v>1940322</v>
      </c>
      <c r="E2141" s="1" t="s">
        <v>9</v>
      </c>
      <c r="F2141" s="1">
        <v>0</v>
      </c>
      <c r="G2141" s="1" t="s">
        <v>4372</v>
      </c>
      <c r="H2141" s="1" t="s">
        <v>4372</v>
      </c>
      <c r="I2141" s="1" t="s">
        <v>4373</v>
      </c>
      <c r="J2141" s="1" t="s">
        <v>7566</v>
      </c>
      <c r="K2141" s="1" t="s">
        <v>7567</v>
      </c>
    </row>
    <row r="2142" spans="1:11" ht="21" x14ac:dyDescent="0.25">
      <c r="A2142" s="11" t="str">
        <f>HYPERLINK("https://rth.dk/resources/bsgatlas/details.php?id=BSGatlas-transcript-2141","BSGatlas-transcript-2141")</f>
        <v>BSGatlas-transcript-2141</v>
      </c>
      <c r="B2142" s="1" t="s">
        <v>2003</v>
      </c>
      <c r="C2142" s="3">
        <v>1938847</v>
      </c>
      <c r="D2142" s="3">
        <v>1940379</v>
      </c>
      <c r="E2142" s="1" t="s">
        <v>9</v>
      </c>
      <c r="F2142" s="1">
        <v>0</v>
      </c>
      <c r="G2142" s="1" t="s">
        <v>4372</v>
      </c>
      <c r="H2142" s="1" t="s">
        <v>4372</v>
      </c>
      <c r="I2142" s="1" t="s">
        <v>4373</v>
      </c>
      <c r="J2142" s="1" t="s">
        <v>7566</v>
      </c>
      <c r="K2142" s="1" t="s">
        <v>7568</v>
      </c>
    </row>
    <row r="2143" spans="1:11" ht="21" x14ac:dyDescent="0.25">
      <c r="A2143" s="11" t="str">
        <f>HYPERLINK("https://rth.dk/resources/bsgatlas/details.php?id=BSGatlas-transcript-2142","BSGatlas-transcript-2142")</f>
        <v>BSGatlas-transcript-2142</v>
      </c>
      <c r="B2143" s="1" t="s">
        <v>2004</v>
      </c>
      <c r="C2143" s="3">
        <v>1940412</v>
      </c>
      <c r="D2143" s="3">
        <v>1941180</v>
      </c>
      <c r="E2143" s="1" t="s">
        <v>13</v>
      </c>
      <c r="F2143" s="1">
        <v>0</v>
      </c>
      <c r="G2143" s="1" t="s">
        <v>4372</v>
      </c>
      <c r="H2143" s="1" t="s">
        <v>4372</v>
      </c>
      <c r="I2143" s="1" t="s">
        <v>4377</v>
      </c>
      <c r="J2143" s="1" t="s">
        <v>7569</v>
      </c>
      <c r="K2143" s="1" t="s">
        <v>318</v>
      </c>
    </row>
    <row r="2144" spans="1:11" ht="21" x14ac:dyDescent="0.25">
      <c r="A2144" s="11" t="str">
        <f>HYPERLINK("https://rth.dk/resources/bsgatlas/details.php?id=BSGatlas-transcript-2143","BSGatlas-transcript-2143")</f>
        <v>BSGatlas-transcript-2143</v>
      </c>
      <c r="B2144" s="1" t="s">
        <v>2005</v>
      </c>
      <c r="C2144" s="3">
        <v>1940572</v>
      </c>
      <c r="D2144" s="3">
        <v>1942124</v>
      </c>
      <c r="E2144" s="1" t="s">
        <v>9</v>
      </c>
      <c r="F2144" s="1">
        <v>0</v>
      </c>
      <c r="G2144" s="1" t="s">
        <v>4372</v>
      </c>
      <c r="H2144" s="1" t="s">
        <v>4372</v>
      </c>
      <c r="I2144" s="1" t="s">
        <v>4397</v>
      </c>
      <c r="J2144" s="1" t="s">
        <v>7570</v>
      </c>
      <c r="K2144" s="1" t="s">
        <v>7571</v>
      </c>
    </row>
    <row r="2145" spans="1:11" ht="21" x14ac:dyDescent="0.25">
      <c r="A2145" s="11" t="str">
        <f>HYPERLINK("https://rth.dk/resources/bsgatlas/details.php?id=BSGatlas-transcript-2144","BSGatlas-transcript-2144")</f>
        <v>BSGatlas-transcript-2144</v>
      </c>
      <c r="B2145" s="1" t="s">
        <v>2005</v>
      </c>
      <c r="C2145" s="3">
        <v>1940572</v>
      </c>
      <c r="D2145" s="3">
        <v>1942177</v>
      </c>
      <c r="E2145" s="1" t="s">
        <v>9</v>
      </c>
      <c r="F2145" s="1">
        <v>0</v>
      </c>
      <c r="G2145" s="1" t="s">
        <v>4372</v>
      </c>
      <c r="H2145" s="1" t="s">
        <v>4372</v>
      </c>
      <c r="I2145" s="1" t="s">
        <v>4397</v>
      </c>
      <c r="J2145" s="1" t="s">
        <v>7570</v>
      </c>
      <c r="K2145" s="1" t="s">
        <v>7572</v>
      </c>
    </row>
    <row r="2146" spans="1:11" ht="21" x14ac:dyDescent="0.25">
      <c r="A2146" s="11" t="str">
        <f>HYPERLINK("https://rth.dk/resources/bsgatlas/details.php?id=BSGatlas-transcript-2145","BSGatlas-transcript-2145")</f>
        <v>BSGatlas-transcript-2145</v>
      </c>
      <c r="B2146" s="1" t="s">
        <v>7573</v>
      </c>
      <c r="C2146" s="3">
        <v>1942692</v>
      </c>
      <c r="D2146" s="3">
        <v>1945977</v>
      </c>
      <c r="E2146" s="1" t="s">
        <v>13</v>
      </c>
      <c r="F2146" s="1">
        <v>1</v>
      </c>
      <c r="G2146" s="1">
        <v>324</v>
      </c>
      <c r="H2146" s="1">
        <v>23</v>
      </c>
      <c r="I2146" s="1" t="s">
        <v>4386</v>
      </c>
      <c r="J2146" s="1" t="s">
        <v>7574</v>
      </c>
      <c r="K2146" s="1" t="s">
        <v>7575</v>
      </c>
    </row>
    <row r="2147" spans="1:11" ht="21" x14ac:dyDescent="0.25">
      <c r="A2147" s="11" t="str">
        <f>HYPERLINK("https://rth.dk/resources/bsgatlas/details.php?id=BSGatlas-transcript-2146","BSGatlas-transcript-2146")</f>
        <v>BSGatlas-transcript-2146</v>
      </c>
      <c r="B2147" s="1" t="s">
        <v>7576</v>
      </c>
      <c r="C2147" s="3">
        <v>1946230</v>
      </c>
      <c r="D2147" s="3">
        <v>1948264</v>
      </c>
      <c r="E2147" s="1" t="s">
        <v>9</v>
      </c>
      <c r="F2147" s="1">
        <v>1</v>
      </c>
      <c r="G2147" s="1">
        <v>20</v>
      </c>
      <c r="H2147" s="1" t="s">
        <v>4372</v>
      </c>
      <c r="I2147" s="1" t="s">
        <v>4386</v>
      </c>
      <c r="J2147" s="1" t="s">
        <v>7577</v>
      </c>
      <c r="K2147" s="1" t="s">
        <v>7578</v>
      </c>
    </row>
    <row r="2148" spans="1:11" ht="21" x14ac:dyDescent="0.25">
      <c r="A2148" s="11" t="str">
        <f>HYPERLINK("https://rth.dk/resources/bsgatlas/details.php?id=BSGatlas-transcript-2147","BSGatlas-transcript-2147")</f>
        <v>BSGatlas-transcript-2147</v>
      </c>
      <c r="B2148" s="1" t="s">
        <v>2010</v>
      </c>
      <c r="C2148" s="3">
        <v>1947220</v>
      </c>
      <c r="D2148" s="3">
        <v>1948264</v>
      </c>
      <c r="E2148" s="1" t="s">
        <v>9</v>
      </c>
      <c r="F2148" s="1">
        <v>0</v>
      </c>
      <c r="G2148" s="1" t="s">
        <v>4372</v>
      </c>
      <c r="H2148" s="1" t="s">
        <v>4372</v>
      </c>
      <c r="I2148" s="1" t="s">
        <v>4386</v>
      </c>
      <c r="J2148" s="1" t="s">
        <v>7579</v>
      </c>
      <c r="K2148" s="1" t="s">
        <v>7578</v>
      </c>
    </row>
    <row r="2149" spans="1:11" ht="21" x14ac:dyDescent="0.25">
      <c r="A2149" s="11" t="str">
        <f>HYPERLINK("https://rth.dk/resources/bsgatlas/details.php?id=BSGatlas-transcript-2148","BSGatlas-transcript-2148")</f>
        <v>BSGatlas-transcript-2148</v>
      </c>
      <c r="B2149" s="1" t="s">
        <v>2011</v>
      </c>
      <c r="C2149" s="3">
        <v>1948313</v>
      </c>
      <c r="D2149" s="3">
        <v>1949584</v>
      </c>
      <c r="E2149" s="1" t="s">
        <v>13</v>
      </c>
      <c r="F2149" s="1">
        <v>0</v>
      </c>
      <c r="G2149" s="1" t="s">
        <v>4372</v>
      </c>
      <c r="H2149" s="1" t="s">
        <v>4372</v>
      </c>
      <c r="I2149" s="1" t="s">
        <v>4386</v>
      </c>
      <c r="J2149" s="1" t="s">
        <v>7580</v>
      </c>
      <c r="K2149" s="1" t="s">
        <v>318</v>
      </c>
    </row>
    <row r="2150" spans="1:11" ht="21" x14ac:dyDescent="0.25">
      <c r="A2150" s="11" t="str">
        <f>HYPERLINK("https://rth.dk/resources/bsgatlas/details.php?id=BSGatlas-transcript-2149","BSGatlas-transcript-2149")</f>
        <v>BSGatlas-transcript-2149</v>
      </c>
      <c r="B2150" s="1" t="s">
        <v>7581</v>
      </c>
      <c r="C2150" s="3">
        <v>1949633</v>
      </c>
      <c r="D2150" s="3">
        <v>1957383</v>
      </c>
      <c r="E2150" s="1" t="s">
        <v>13</v>
      </c>
      <c r="F2150" s="1">
        <v>2</v>
      </c>
      <c r="G2150" s="1">
        <v>24</v>
      </c>
      <c r="H2150" s="1">
        <v>50</v>
      </c>
      <c r="I2150" s="1" t="s">
        <v>4373</v>
      </c>
      <c r="J2150" s="1" t="s">
        <v>7582</v>
      </c>
      <c r="K2150" s="1" t="s">
        <v>7583</v>
      </c>
    </row>
    <row r="2151" spans="1:11" ht="21" x14ac:dyDescent="0.25">
      <c r="A2151" s="11" t="str">
        <f>HYPERLINK("https://rth.dk/resources/bsgatlas/details.php?id=BSGatlas-transcript-2150","BSGatlas-transcript-2150")</f>
        <v>BSGatlas-transcript-2150</v>
      </c>
      <c r="B2151" s="1" t="s">
        <v>2019</v>
      </c>
      <c r="C2151" s="3">
        <v>1957982</v>
      </c>
      <c r="D2151" s="3">
        <v>1959597</v>
      </c>
      <c r="E2151" s="1" t="s">
        <v>13</v>
      </c>
      <c r="F2151" s="1">
        <v>0</v>
      </c>
      <c r="G2151" s="1" t="s">
        <v>4372</v>
      </c>
      <c r="H2151" s="1" t="s">
        <v>4372</v>
      </c>
      <c r="I2151" s="1" t="s">
        <v>4373</v>
      </c>
      <c r="J2151" s="1" t="s">
        <v>7584</v>
      </c>
      <c r="K2151" s="1" t="s">
        <v>7585</v>
      </c>
    </row>
    <row r="2152" spans="1:11" ht="21" x14ac:dyDescent="0.25">
      <c r="A2152" s="11" t="str">
        <f>HYPERLINK("https://rth.dk/resources/bsgatlas/details.php?id=BSGatlas-transcript-2151","BSGatlas-transcript-2151")</f>
        <v>BSGatlas-transcript-2151</v>
      </c>
      <c r="B2152" s="1" t="s">
        <v>2020</v>
      </c>
      <c r="C2152" s="3">
        <v>1959695</v>
      </c>
      <c r="D2152" s="3">
        <v>1960122</v>
      </c>
      <c r="E2152" s="1" t="s">
        <v>13</v>
      </c>
      <c r="F2152" s="1">
        <v>0</v>
      </c>
      <c r="G2152" s="1" t="s">
        <v>4372</v>
      </c>
      <c r="H2152" s="1" t="s">
        <v>4372</v>
      </c>
      <c r="I2152" s="1" t="s">
        <v>4386</v>
      </c>
      <c r="J2152" s="1" t="s">
        <v>7586</v>
      </c>
      <c r="K2152" s="1" t="s">
        <v>7587</v>
      </c>
    </row>
    <row r="2153" spans="1:11" ht="21" x14ac:dyDescent="0.25">
      <c r="A2153" s="11" t="str">
        <f>HYPERLINK("https://rth.dk/resources/bsgatlas/details.php?id=BSGatlas-transcript-2152","BSGatlas-transcript-2152")</f>
        <v>BSGatlas-transcript-2152</v>
      </c>
      <c r="B2153" s="1" t="s">
        <v>7588</v>
      </c>
      <c r="C2153" s="3">
        <v>1960198</v>
      </c>
      <c r="D2153" s="3">
        <v>1998066</v>
      </c>
      <c r="E2153" s="1" t="s">
        <v>13</v>
      </c>
      <c r="F2153" s="1">
        <v>3</v>
      </c>
      <c r="G2153" s="1">
        <v>110</v>
      </c>
      <c r="H2153" s="1" t="s">
        <v>4372</v>
      </c>
      <c r="I2153" s="1" t="s">
        <v>4386</v>
      </c>
      <c r="J2153" s="1" t="s">
        <v>7589</v>
      </c>
      <c r="K2153" s="1" t="s">
        <v>7590</v>
      </c>
    </row>
    <row r="2154" spans="1:11" ht="21" x14ac:dyDescent="0.25">
      <c r="A2154" s="11" t="str">
        <f>HYPERLINK("https://rth.dk/resources/bsgatlas/details.php?id=BSGatlas-transcript-2153","BSGatlas-transcript-2153")</f>
        <v>BSGatlas-transcript-2153</v>
      </c>
      <c r="B2154" s="1" t="s">
        <v>7591</v>
      </c>
      <c r="C2154" s="3">
        <v>1998292</v>
      </c>
      <c r="D2154" s="3">
        <v>2000867</v>
      </c>
      <c r="E2154" s="1" t="s">
        <v>13</v>
      </c>
      <c r="F2154" s="1">
        <v>1</v>
      </c>
      <c r="G2154" s="1">
        <v>42</v>
      </c>
      <c r="H2154" s="1">
        <v>49</v>
      </c>
      <c r="I2154" s="1" t="s">
        <v>4373</v>
      </c>
      <c r="J2154" s="1" t="s">
        <v>7592</v>
      </c>
      <c r="K2154" s="1" t="s">
        <v>7593</v>
      </c>
    </row>
    <row r="2155" spans="1:11" ht="21" x14ac:dyDescent="0.25">
      <c r="A2155" s="11" t="str">
        <f>HYPERLINK("https://rth.dk/resources/bsgatlas/details.php?id=BSGatlas-transcript-2154","BSGatlas-transcript-2154")</f>
        <v>BSGatlas-transcript-2154</v>
      </c>
      <c r="B2155" s="1" t="s">
        <v>2028</v>
      </c>
      <c r="C2155" s="3">
        <v>2000960</v>
      </c>
      <c r="D2155" s="3">
        <v>2002456</v>
      </c>
      <c r="E2155" s="1" t="s">
        <v>13</v>
      </c>
      <c r="F2155" s="1">
        <v>0</v>
      </c>
      <c r="G2155" s="1" t="s">
        <v>4372</v>
      </c>
      <c r="H2155" s="1" t="s">
        <v>4372</v>
      </c>
      <c r="I2155" s="1" t="s">
        <v>4386</v>
      </c>
      <c r="J2155" s="1" t="s">
        <v>7594</v>
      </c>
      <c r="K2155" s="1" t="s">
        <v>7595</v>
      </c>
    </row>
    <row r="2156" spans="1:11" ht="21" x14ac:dyDescent="0.25">
      <c r="A2156" s="11" t="str">
        <f>HYPERLINK("https://rth.dk/resources/bsgatlas/details.php?id=BSGatlas-transcript-2155","BSGatlas-transcript-2155")</f>
        <v>BSGatlas-transcript-2155</v>
      </c>
      <c r="B2156" s="1" t="s">
        <v>2029</v>
      </c>
      <c r="C2156" s="3">
        <v>2002172</v>
      </c>
      <c r="D2156" s="3">
        <v>2003182</v>
      </c>
      <c r="E2156" s="1" t="s">
        <v>9</v>
      </c>
      <c r="F2156" s="1">
        <v>0</v>
      </c>
      <c r="G2156" s="1" t="s">
        <v>4372</v>
      </c>
      <c r="H2156" s="1" t="s">
        <v>4372</v>
      </c>
      <c r="I2156" s="1" t="s">
        <v>4397</v>
      </c>
      <c r="J2156" s="1" t="s">
        <v>7596</v>
      </c>
      <c r="K2156" s="1" t="s">
        <v>7597</v>
      </c>
    </row>
    <row r="2157" spans="1:11" ht="21" x14ac:dyDescent="0.25">
      <c r="A2157" s="11" t="str">
        <f>HYPERLINK("https://rth.dk/resources/bsgatlas/details.php?id=BSGatlas-transcript-2156","BSGatlas-transcript-2156")</f>
        <v>BSGatlas-transcript-2156</v>
      </c>
      <c r="B2157" s="1" t="s">
        <v>2029</v>
      </c>
      <c r="C2157" s="3">
        <v>2002507</v>
      </c>
      <c r="D2157" s="3">
        <v>2003182</v>
      </c>
      <c r="E2157" s="1" t="s">
        <v>9</v>
      </c>
      <c r="F2157" s="1">
        <v>0</v>
      </c>
      <c r="G2157" s="1" t="s">
        <v>4372</v>
      </c>
      <c r="H2157" s="1" t="s">
        <v>4372</v>
      </c>
      <c r="I2157" s="1" t="s">
        <v>4397</v>
      </c>
      <c r="J2157" s="1" t="s">
        <v>7598</v>
      </c>
      <c r="K2157" s="1" t="s">
        <v>7597</v>
      </c>
    </row>
    <row r="2158" spans="1:11" ht="21" x14ac:dyDescent="0.25">
      <c r="A2158" s="11" t="str">
        <f>HYPERLINK("https://rth.dk/resources/bsgatlas/details.php?id=BSGatlas-transcript-2157","BSGatlas-transcript-2157")</f>
        <v>BSGatlas-transcript-2157</v>
      </c>
      <c r="B2158" s="1" t="s">
        <v>2029</v>
      </c>
      <c r="C2158" s="3">
        <v>2002588</v>
      </c>
      <c r="D2158" s="3">
        <v>2003182</v>
      </c>
      <c r="E2158" s="1" t="s">
        <v>9</v>
      </c>
      <c r="F2158" s="1">
        <v>0</v>
      </c>
      <c r="G2158" s="1" t="s">
        <v>4372</v>
      </c>
      <c r="H2158" s="1" t="s">
        <v>4372</v>
      </c>
      <c r="I2158" s="1" t="s">
        <v>4397</v>
      </c>
      <c r="J2158" s="1" t="s">
        <v>7599</v>
      </c>
      <c r="K2158" s="1" t="s">
        <v>7597</v>
      </c>
    </row>
    <row r="2159" spans="1:11" ht="21" x14ac:dyDescent="0.25">
      <c r="A2159" s="11" t="str">
        <f>HYPERLINK("https://rth.dk/resources/bsgatlas/details.php?id=BSGatlas-transcript-2158","BSGatlas-transcript-2158")</f>
        <v>BSGatlas-transcript-2158</v>
      </c>
      <c r="B2159" s="1" t="s">
        <v>2030</v>
      </c>
      <c r="C2159" s="3">
        <v>2003352</v>
      </c>
      <c r="D2159" s="3">
        <v>2004000</v>
      </c>
      <c r="E2159" s="1" t="s">
        <v>13</v>
      </c>
      <c r="F2159" s="1">
        <v>0</v>
      </c>
      <c r="G2159" s="1" t="s">
        <v>4372</v>
      </c>
      <c r="H2159" s="1" t="s">
        <v>4372</v>
      </c>
      <c r="I2159" s="1" t="s">
        <v>4386</v>
      </c>
      <c r="J2159" s="1" t="s">
        <v>7600</v>
      </c>
      <c r="K2159" s="1" t="s">
        <v>7601</v>
      </c>
    </row>
    <row r="2160" spans="1:11" ht="21" x14ac:dyDescent="0.25">
      <c r="A2160" s="11" t="str">
        <f>HYPERLINK("https://rth.dk/resources/bsgatlas/details.php?id=BSGatlas-transcript-2159","BSGatlas-transcript-2159")</f>
        <v>BSGatlas-transcript-2159</v>
      </c>
      <c r="B2160" s="1" t="s">
        <v>2031</v>
      </c>
      <c r="C2160" s="3">
        <v>2004262</v>
      </c>
      <c r="D2160" s="3">
        <v>2004530</v>
      </c>
      <c r="E2160" s="1" t="s">
        <v>13</v>
      </c>
      <c r="F2160" s="1">
        <v>0</v>
      </c>
      <c r="G2160" s="1" t="s">
        <v>4372</v>
      </c>
      <c r="H2160" s="1" t="s">
        <v>4372</v>
      </c>
      <c r="I2160" s="1" t="s">
        <v>4386</v>
      </c>
      <c r="J2160" s="1" t="s">
        <v>7602</v>
      </c>
      <c r="K2160" s="1" t="s">
        <v>7603</v>
      </c>
    </row>
    <row r="2161" spans="1:11" ht="21" x14ac:dyDescent="0.25">
      <c r="A2161" s="11" t="str">
        <f>HYPERLINK("https://rth.dk/resources/bsgatlas/details.php?id=BSGatlas-transcript-2160","BSGatlas-transcript-2160")</f>
        <v>BSGatlas-transcript-2160</v>
      </c>
      <c r="B2161" s="1" t="s">
        <v>2031</v>
      </c>
      <c r="C2161" s="3">
        <v>2004262</v>
      </c>
      <c r="D2161" s="3">
        <v>2004594</v>
      </c>
      <c r="E2161" s="1" t="s">
        <v>13</v>
      </c>
      <c r="F2161" s="1">
        <v>0</v>
      </c>
      <c r="G2161" s="1" t="s">
        <v>4372</v>
      </c>
      <c r="H2161" s="1" t="s">
        <v>4372</v>
      </c>
      <c r="I2161" s="1" t="s">
        <v>4386</v>
      </c>
      <c r="J2161" s="1" t="s">
        <v>7604</v>
      </c>
      <c r="K2161" s="1" t="s">
        <v>7603</v>
      </c>
    </row>
    <row r="2162" spans="1:11" ht="21" x14ac:dyDescent="0.25">
      <c r="A2162" s="11" t="str">
        <f>HYPERLINK("https://rth.dk/resources/bsgatlas/details.php?id=BSGatlas-transcript-2161","BSGatlas-transcript-2161")</f>
        <v>BSGatlas-transcript-2161</v>
      </c>
      <c r="B2162" s="1" t="s">
        <v>2032</v>
      </c>
      <c r="C2162" s="3">
        <v>2004632</v>
      </c>
      <c r="D2162" s="3">
        <v>2006440</v>
      </c>
      <c r="E2162" s="1" t="s">
        <v>9</v>
      </c>
      <c r="F2162" s="1">
        <v>0</v>
      </c>
      <c r="G2162" s="1" t="s">
        <v>4372</v>
      </c>
      <c r="H2162" s="1" t="s">
        <v>4372</v>
      </c>
      <c r="I2162" s="1" t="s">
        <v>4397</v>
      </c>
      <c r="J2162" s="1" t="s">
        <v>7605</v>
      </c>
      <c r="K2162" s="1" t="s">
        <v>7606</v>
      </c>
    </row>
    <row r="2163" spans="1:11" ht="21" x14ac:dyDescent="0.25">
      <c r="A2163" s="11" t="str">
        <f>HYPERLINK("https://rth.dk/resources/bsgatlas/details.php?id=BSGatlas-transcript-2162","BSGatlas-transcript-2162")</f>
        <v>BSGatlas-transcript-2162</v>
      </c>
      <c r="B2163" s="1" t="s">
        <v>2033</v>
      </c>
      <c r="C2163" s="3">
        <v>2006488</v>
      </c>
      <c r="D2163" s="3">
        <v>2007464</v>
      </c>
      <c r="E2163" s="1" t="s">
        <v>13</v>
      </c>
      <c r="F2163" s="1">
        <v>0</v>
      </c>
      <c r="G2163" s="1" t="s">
        <v>4372</v>
      </c>
      <c r="H2163" s="1" t="s">
        <v>4372</v>
      </c>
      <c r="I2163" s="1" t="s">
        <v>4373</v>
      </c>
      <c r="J2163" s="1" t="s">
        <v>7607</v>
      </c>
      <c r="K2163" s="1" t="s">
        <v>7608</v>
      </c>
    </row>
    <row r="2164" spans="1:11" ht="21" x14ac:dyDescent="0.25">
      <c r="A2164" s="11" t="str">
        <f>HYPERLINK("https://rth.dk/resources/bsgatlas/details.php?id=BSGatlas-transcript-2163","BSGatlas-transcript-2163")</f>
        <v>BSGatlas-transcript-2163</v>
      </c>
      <c r="B2164" s="1" t="s">
        <v>2034</v>
      </c>
      <c r="C2164" s="3">
        <v>2007526</v>
      </c>
      <c r="D2164" s="3">
        <v>2008515</v>
      </c>
      <c r="E2164" s="1" t="s">
        <v>9</v>
      </c>
      <c r="F2164" s="1">
        <v>0</v>
      </c>
      <c r="G2164" s="1" t="s">
        <v>4372</v>
      </c>
      <c r="H2164" s="1" t="s">
        <v>4372</v>
      </c>
      <c r="I2164" s="1" t="s">
        <v>4397</v>
      </c>
      <c r="J2164" s="1" t="s">
        <v>318</v>
      </c>
      <c r="K2164" s="1" t="s">
        <v>318</v>
      </c>
    </row>
    <row r="2165" spans="1:11" ht="21" x14ac:dyDescent="0.25">
      <c r="A2165" s="11" t="str">
        <f>HYPERLINK("https://rth.dk/resources/bsgatlas/details.php?id=BSGatlas-transcript-2164","BSGatlas-transcript-2164")</f>
        <v>BSGatlas-transcript-2164</v>
      </c>
      <c r="B2165" s="1" t="s">
        <v>7609</v>
      </c>
      <c r="C2165" s="3">
        <v>2007549</v>
      </c>
      <c r="D2165" s="3">
        <v>2014688</v>
      </c>
      <c r="E2165" s="1" t="s">
        <v>13</v>
      </c>
      <c r="F2165" s="1">
        <v>1</v>
      </c>
      <c r="G2165" s="1">
        <v>57</v>
      </c>
      <c r="H2165" s="1">
        <v>1024</v>
      </c>
      <c r="I2165" s="1" t="s">
        <v>4373</v>
      </c>
      <c r="J2165" s="1" t="s">
        <v>7610</v>
      </c>
      <c r="K2165" s="1" t="s">
        <v>7611</v>
      </c>
    </row>
    <row r="2166" spans="1:11" ht="21" x14ac:dyDescent="0.25">
      <c r="A2166" s="11" t="str">
        <f>HYPERLINK("https://rth.dk/resources/bsgatlas/details.php?id=BSGatlas-transcript-2165","BSGatlas-transcript-2165")</f>
        <v>BSGatlas-transcript-2165</v>
      </c>
      <c r="B2166" s="1" t="s">
        <v>7609</v>
      </c>
      <c r="C2166" s="3">
        <v>2008510</v>
      </c>
      <c r="D2166" s="3">
        <v>2014688</v>
      </c>
      <c r="E2166" s="1" t="s">
        <v>13</v>
      </c>
      <c r="F2166" s="1">
        <v>1</v>
      </c>
      <c r="G2166" s="1">
        <v>57</v>
      </c>
      <c r="H2166" s="1">
        <v>63</v>
      </c>
      <c r="I2166" s="1" t="s">
        <v>4373</v>
      </c>
      <c r="J2166" s="1" t="s">
        <v>7610</v>
      </c>
      <c r="K2166" s="1" t="s">
        <v>7612</v>
      </c>
    </row>
    <row r="2167" spans="1:11" ht="21" x14ac:dyDescent="0.25">
      <c r="A2167" s="11" t="str">
        <f>HYPERLINK("https://rth.dk/resources/bsgatlas/details.php?id=BSGatlas-transcript-2166","BSGatlas-transcript-2166")</f>
        <v>BSGatlas-transcript-2166</v>
      </c>
      <c r="B2167" s="1" t="s">
        <v>7609</v>
      </c>
      <c r="C2167" s="3">
        <v>2008572</v>
      </c>
      <c r="D2167" s="3">
        <v>2014688</v>
      </c>
      <c r="E2167" s="1" t="s">
        <v>13</v>
      </c>
      <c r="F2167" s="1">
        <v>1</v>
      </c>
      <c r="G2167" s="1">
        <v>57</v>
      </c>
      <c r="H2167" s="1" t="s">
        <v>4372</v>
      </c>
      <c r="I2167" s="1" t="s">
        <v>4373</v>
      </c>
      <c r="J2167" s="1" t="s">
        <v>7610</v>
      </c>
      <c r="K2167" s="1" t="s">
        <v>7613</v>
      </c>
    </row>
    <row r="2168" spans="1:11" ht="21" x14ac:dyDescent="0.25">
      <c r="A2168" s="11" t="str">
        <f>HYPERLINK("https://rth.dk/resources/bsgatlas/details.php?id=BSGatlas-transcript-2167","BSGatlas-transcript-2167")</f>
        <v>BSGatlas-transcript-2167</v>
      </c>
      <c r="B2168" s="1" t="s">
        <v>2037</v>
      </c>
      <c r="C2168" s="3">
        <v>2013153</v>
      </c>
      <c r="D2168" s="3">
        <v>2015681</v>
      </c>
      <c r="E2168" s="1" t="s">
        <v>9</v>
      </c>
      <c r="F2168" s="1">
        <v>0</v>
      </c>
      <c r="G2168" s="1" t="s">
        <v>4372</v>
      </c>
      <c r="H2168" s="1" t="s">
        <v>4372</v>
      </c>
      <c r="I2168" s="1" t="s">
        <v>4373</v>
      </c>
      <c r="J2168" s="1" t="s">
        <v>7614</v>
      </c>
      <c r="K2168" s="1" t="s">
        <v>7615</v>
      </c>
    </row>
    <row r="2169" spans="1:11" ht="21" x14ac:dyDescent="0.25">
      <c r="A2169" s="11" t="str">
        <f>HYPERLINK("https://rth.dk/resources/bsgatlas/details.php?id=BSGatlas-transcript-2168","BSGatlas-transcript-2168")</f>
        <v>BSGatlas-transcript-2168</v>
      </c>
      <c r="B2169" s="1" t="s">
        <v>2037</v>
      </c>
      <c r="C2169" s="3">
        <v>2013153</v>
      </c>
      <c r="D2169" s="3">
        <v>2015733</v>
      </c>
      <c r="E2169" s="1" t="s">
        <v>9</v>
      </c>
      <c r="F2169" s="1">
        <v>0</v>
      </c>
      <c r="G2169" s="1" t="s">
        <v>4372</v>
      </c>
      <c r="H2169" s="1" t="s">
        <v>4372</v>
      </c>
      <c r="I2169" s="1" t="s">
        <v>4373</v>
      </c>
      <c r="J2169" s="1" t="s">
        <v>7614</v>
      </c>
      <c r="K2169" s="1" t="s">
        <v>7616</v>
      </c>
    </row>
    <row r="2170" spans="1:11" ht="21" x14ac:dyDescent="0.25">
      <c r="A2170" s="11" t="str">
        <f>HYPERLINK("https://rth.dk/resources/bsgatlas/details.php?id=BSGatlas-transcript-2169","BSGatlas-transcript-2169")</f>
        <v>BSGatlas-transcript-2169</v>
      </c>
      <c r="B2170" s="1" t="s">
        <v>2037</v>
      </c>
      <c r="C2170" s="3">
        <v>2014739</v>
      </c>
      <c r="D2170" s="3">
        <v>2015681</v>
      </c>
      <c r="E2170" s="1" t="s">
        <v>9</v>
      </c>
      <c r="F2170" s="1">
        <v>0</v>
      </c>
      <c r="G2170" s="1" t="s">
        <v>4372</v>
      </c>
      <c r="H2170" s="1" t="s">
        <v>4372</v>
      </c>
      <c r="I2170" s="1" t="s">
        <v>4373</v>
      </c>
      <c r="J2170" s="1" t="s">
        <v>7617</v>
      </c>
      <c r="K2170" s="1" t="s">
        <v>7615</v>
      </c>
    </row>
    <row r="2171" spans="1:11" ht="21" x14ac:dyDescent="0.25">
      <c r="A2171" s="11" t="str">
        <f>HYPERLINK("https://rth.dk/resources/bsgatlas/details.php?id=BSGatlas-transcript-2170","BSGatlas-transcript-2170")</f>
        <v>BSGatlas-transcript-2170</v>
      </c>
      <c r="B2171" s="1" t="s">
        <v>2037</v>
      </c>
      <c r="C2171" s="3">
        <v>2014739</v>
      </c>
      <c r="D2171" s="3">
        <v>2015733</v>
      </c>
      <c r="E2171" s="1" t="s">
        <v>9</v>
      </c>
      <c r="F2171" s="1">
        <v>0</v>
      </c>
      <c r="G2171" s="1" t="s">
        <v>4372</v>
      </c>
      <c r="H2171" s="1" t="s">
        <v>4372</v>
      </c>
      <c r="I2171" s="1" t="s">
        <v>4373</v>
      </c>
      <c r="J2171" s="1" t="s">
        <v>7617</v>
      </c>
      <c r="K2171" s="1" t="s">
        <v>7616</v>
      </c>
    </row>
    <row r="2172" spans="1:11" ht="21" x14ac:dyDescent="0.25">
      <c r="A2172" s="11" t="str">
        <f>HYPERLINK("https://rth.dk/resources/bsgatlas/details.php?id=BSGatlas-transcript-2171","BSGatlas-transcript-2171")</f>
        <v>BSGatlas-transcript-2171</v>
      </c>
      <c r="B2172" s="1" t="s">
        <v>7618</v>
      </c>
      <c r="C2172" s="3">
        <v>2015733</v>
      </c>
      <c r="D2172" s="3">
        <v>2017738</v>
      </c>
      <c r="E2172" s="1" t="s">
        <v>13</v>
      </c>
      <c r="F2172" s="1">
        <v>0</v>
      </c>
      <c r="G2172" s="1" t="s">
        <v>4372</v>
      </c>
      <c r="H2172" s="1" t="s">
        <v>4372</v>
      </c>
      <c r="I2172" s="1" t="s">
        <v>4397</v>
      </c>
      <c r="J2172" s="1" t="s">
        <v>7619</v>
      </c>
      <c r="K2172" s="1" t="s">
        <v>318</v>
      </c>
    </row>
    <row r="2173" spans="1:11" ht="21" x14ac:dyDescent="0.25">
      <c r="A2173" s="11" t="str">
        <f>HYPERLINK("https://rth.dk/resources/bsgatlas/details.php?id=BSGatlas-transcript-2172","BSGatlas-transcript-2172")</f>
        <v>BSGatlas-transcript-2172</v>
      </c>
      <c r="B2173" s="1" t="s">
        <v>7618</v>
      </c>
      <c r="C2173" s="3">
        <v>2015733</v>
      </c>
      <c r="D2173" s="3">
        <v>2017809</v>
      </c>
      <c r="E2173" s="1" t="s">
        <v>13</v>
      </c>
      <c r="F2173" s="1">
        <v>0</v>
      </c>
      <c r="G2173" s="1" t="s">
        <v>4372</v>
      </c>
      <c r="H2173" s="1" t="s">
        <v>4372</v>
      </c>
      <c r="I2173" s="1" t="s">
        <v>4397</v>
      </c>
      <c r="J2173" s="1" t="s">
        <v>7620</v>
      </c>
      <c r="K2173" s="1" t="s">
        <v>318</v>
      </c>
    </row>
    <row r="2174" spans="1:11" ht="21" x14ac:dyDescent="0.25">
      <c r="A2174" s="11" t="str">
        <f>HYPERLINK("https://rth.dk/resources/bsgatlas/details.php?id=BSGatlas-transcript-2173","BSGatlas-transcript-2173")</f>
        <v>BSGatlas-transcript-2173</v>
      </c>
      <c r="B2174" s="1" t="s">
        <v>2040</v>
      </c>
      <c r="C2174" s="3">
        <v>2017886</v>
      </c>
      <c r="D2174" s="3">
        <v>2018312</v>
      </c>
      <c r="E2174" s="1" t="s">
        <v>13</v>
      </c>
      <c r="F2174" s="1">
        <v>0</v>
      </c>
      <c r="G2174" s="1" t="s">
        <v>4372</v>
      </c>
      <c r="H2174" s="1" t="s">
        <v>4372</v>
      </c>
      <c r="I2174" s="1" t="s">
        <v>4386</v>
      </c>
      <c r="J2174" s="1" t="s">
        <v>7621</v>
      </c>
      <c r="K2174" s="1" t="s">
        <v>318</v>
      </c>
    </row>
    <row r="2175" spans="1:11" ht="21" x14ac:dyDescent="0.25">
      <c r="A2175" s="11" t="str">
        <f>HYPERLINK("https://rth.dk/resources/bsgatlas/details.php?id=BSGatlas-transcript-2174","BSGatlas-transcript-2174")</f>
        <v>BSGatlas-transcript-2174</v>
      </c>
      <c r="B2175" s="1" t="s">
        <v>2040</v>
      </c>
      <c r="C2175" s="3">
        <v>2017886</v>
      </c>
      <c r="D2175" s="3">
        <v>2018433</v>
      </c>
      <c r="E2175" s="1" t="s">
        <v>13</v>
      </c>
      <c r="F2175" s="1">
        <v>0</v>
      </c>
      <c r="G2175" s="1" t="s">
        <v>4372</v>
      </c>
      <c r="H2175" s="1" t="s">
        <v>4372</v>
      </c>
      <c r="I2175" s="1" t="s">
        <v>4386</v>
      </c>
      <c r="J2175" s="1" t="s">
        <v>7622</v>
      </c>
      <c r="K2175" s="1" t="s">
        <v>318</v>
      </c>
    </row>
    <row r="2176" spans="1:11" ht="21" x14ac:dyDescent="0.25">
      <c r="A2176" s="11" t="str">
        <f>HYPERLINK("https://rth.dk/resources/bsgatlas/details.php?id=BSGatlas-transcript-2175","BSGatlas-transcript-2175")</f>
        <v>BSGatlas-transcript-2175</v>
      </c>
      <c r="B2176" s="1" t="s">
        <v>2041</v>
      </c>
      <c r="C2176" s="3">
        <v>2018554</v>
      </c>
      <c r="D2176" s="3">
        <v>2019317</v>
      </c>
      <c r="E2176" s="1" t="s">
        <v>13</v>
      </c>
      <c r="F2176" s="1">
        <v>0</v>
      </c>
      <c r="G2176" s="1" t="s">
        <v>4372</v>
      </c>
      <c r="H2176" s="1" t="s">
        <v>4372</v>
      </c>
      <c r="I2176" s="1" t="s">
        <v>4386</v>
      </c>
      <c r="J2176" s="1" t="s">
        <v>7623</v>
      </c>
      <c r="K2176" s="1" t="s">
        <v>7624</v>
      </c>
    </row>
    <row r="2177" spans="1:11" ht="21" x14ac:dyDescent="0.25">
      <c r="A2177" s="11" t="str">
        <f>HYPERLINK("https://rth.dk/resources/bsgatlas/details.php?id=BSGatlas-transcript-2176","BSGatlas-transcript-2176")</f>
        <v>BSGatlas-transcript-2176</v>
      </c>
      <c r="B2177" s="1" t="s">
        <v>2042</v>
      </c>
      <c r="C2177" s="3">
        <v>2019396</v>
      </c>
      <c r="D2177" s="3">
        <v>2019726</v>
      </c>
      <c r="E2177" s="1" t="s">
        <v>9</v>
      </c>
      <c r="F2177" s="1">
        <v>0</v>
      </c>
      <c r="G2177" s="1" t="s">
        <v>4372</v>
      </c>
      <c r="H2177" s="1" t="s">
        <v>4372</v>
      </c>
      <c r="I2177" s="1" t="s">
        <v>4377</v>
      </c>
      <c r="J2177" s="1" t="s">
        <v>7625</v>
      </c>
      <c r="K2177" s="1" t="s">
        <v>7626</v>
      </c>
    </row>
    <row r="2178" spans="1:11" ht="21" x14ac:dyDescent="0.25">
      <c r="A2178" s="11" t="str">
        <f>HYPERLINK("https://rth.dk/resources/bsgatlas/details.php?id=BSGatlas-transcript-2177","BSGatlas-transcript-2177")</f>
        <v>BSGatlas-transcript-2177</v>
      </c>
      <c r="B2178" s="1" t="s">
        <v>7627</v>
      </c>
      <c r="C2178" s="3">
        <v>2019396</v>
      </c>
      <c r="D2178" s="3">
        <v>2021230</v>
      </c>
      <c r="E2178" s="1" t="s">
        <v>9</v>
      </c>
      <c r="F2178" s="1">
        <v>2</v>
      </c>
      <c r="G2178" s="1">
        <v>26</v>
      </c>
      <c r="H2178" s="1">
        <v>87</v>
      </c>
      <c r="I2178" s="1" t="s">
        <v>4373</v>
      </c>
      <c r="J2178" s="1" t="s">
        <v>7625</v>
      </c>
      <c r="K2178" s="1" t="s">
        <v>7628</v>
      </c>
    </row>
    <row r="2179" spans="1:11" ht="21" x14ac:dyDescent="0.25">
      <c r="A2179" s="11" t="str">
        <f>HYPERLINK("https://rth.dk/resources/bsgatlas/details.php?id=BSGatlas-transcript-2178","BSGatlas-transcript-2178")</f>
        <v>BSGatlas-transcript-2178</v>
      </c>
      <c r="B2179" s="1" t="s">
        <v>7627</v>
      </c>
      <c r="C2179" s="3">
        <v>2019396</v>
      </c>
      <c r="D2179" s="3">
        <v>2022004</v>
      </c>
      <c r="E2179" s="1" t="s">
        <v>9</v>
      </c>
      <c r="F2179" s="1">
        <v>2</v>
      </c>
      <c r="G2179" s="1">
        <v>26</v>
      </c>
      <c r="H2179" s="1">
        <v>861</v>
      </c>
      <c r="I2179" s="1" t="s">
        <v>4373</v>
      </c>
      <c r="J2179" s="1" t="s">
        <v>7625</v>
      </c>
      <c r="K2179" s="1" t="s">
        <v>7629</v>
      </c>
    </row>
    <row r="2180" spans="1:11" ht="21" x14ac:dyDescent="0.25">
      <c r="A2180" s="11" t="str">
        <f>HYPERLINK("https://rth.dk/resources/bsgatlas/details.php?id=BSGatlas-transcript-2179","BSGatlas-transcript-2179")</f>
        <v>BSGatlas-transcript-2179</v>
      </c>
      <c r="B2180" s="1" t="s">
        <v>2044</v>
      </c>
      <c r="C2180" s="3">
        <v>2020568</v>
      </c>
      <c r="D2180" s="3">
        <v>2021230</v>
      </c>
      <c r="E2180" s="1" t="s">
        <v>9</v>
      </c>
      <c r="F2180" s="1">
        <v>0</v>
      </c>
      <c r="G2180" s="1" t="s">
        <v>4372</v>
      </c>
      <c r="H2180" s="1" t="s">
        <v>4372</v>
      </c>
      <c r="I2180" s="1" t="s">
        <v>4377</v>
      </c>
      <c r="J2180" s="1" t="s">
        <v>7630</v>
      </c>
      <c r="K2180" s="1" t="s">
        <v>7628</v>
      </c>
    </row>
    <row r="2181" spans="1:11" ht="21" x14ac:dyDescent="0.25">
      <c r="A2181" s="11" t="str">
        <f>HYPERLINK("https://rth.dk/resources/bsgatlas/details.php?id=BSGatlas-transcript-2180","BSGatlas-transcript-2180")</f>
        <v>BSGatlas-transcript-2180</v>
      </c>
      <c r="B2181" s="1" t="s">
        <v>2044</v>
      </c>
      <c r="C2181" s="3">
        <v>2020568</v>
      </c>
      <c r="D2181" s="3">
        <v>2022004</v>
      </c>
      <c r="E2181" s="1" t="s">
        <v>9</v>
      </c>
      <c r="F2181" s="1">
        <v>0</v>
      </c>
      <c r="G2181" s="1" t="s">
        <v>4372</v>
      </c>
      <c r="H2181" s="1" t="s">
        <v>4372</v>
      </c>
      <c r="I2181" s="1" t="s">
        <v>4377</v>
      </c>
      <c r="J2181" s="1" t="s">
        <v>7630</v>
      </c>
      <c r="K2181" s="1" t="s">
        <v>7629</v>
      </c>
    </row>
    <row r="2182" spans="1:11" ht="21" x14ac:dyDescent="0.25">
      <c r="A2182" s="11" t="str">
        <f>HYPERLINK("https://rth.dk/resources/bsgatlas/details.php?id=BSGatlas-transcript-2181","BSGatlas-transcript-2181")</f>
        <v>BSGatlas-transcript-2181</v>
      </c>
      <c r="B2182" s="1" t="s">
        <v>7631</v>
      </c>
      <c r="C2182" s="3">
        <v>2021223</v>
      </c>
      <c r="D2182" s="3">
        <v>2025291</v>
      </c>
      <c r="E2182" s="1" t="s">
        <v>13</v>
      </c>
      <c r="F2182" s="1">
        <v>2</v>
      </c>
      <c r="G2182" s="1">
        <v>216</v>
      </c>
      <c r="H2182" s="1" t="s">
        <v>4372</v>
      </c>
      <c r="I2182" s="1" t="s">
        <v>4386</v>
      </c>
      <c r="J2182" s="1" t="s">
        <v>7632</v>
      </c>
      <c r="K2182" s="1" t="s">
        <v>7633</v>
      </c>
    </row>
    <row r="2183" spans="1:11" ht="21" x14ac:dyDescent="0.25">
      <c r="A2183" s="11" t="str">
        <f>HYPERLINK("https://rth.dk/resources/bsgatlas/details.php?id=BSGatlas-transcript-2182","BSGatlas-transcript-2182")</f>
        <v>BSGatlas-transcript-2182</v>
      </c>
      <c r="B2183" s="1" t="s">
        <v>2048</v>
      </c>
      <c r="C2183" s="3">
        <v>2025109</v>
      </c>
      <c r="D2183" s="3">
        <v>2025251</v>
      </c>
      <c r="E2183" s="1" t="s">
        <v>13</v>
      </c>
      <c r="F2183" s="1">
        <v>0</v>
      </c>
      <c r="G2183" s="1" t="s">
        <v>4372</v>
      </c>
      <c r="H2183" s="1" t="s">
        <v>4372</v>
      </c>
      <c r="I2183" s="1" t="s">
        <v>4377</v>
      </c>
      <c r="J2183" s="1" t="s">
        <v>318</v>
      </c>
      <c r="K2183" s="1" t="s">
        <v>7634</v>
      </c>
    </row>
    <row r="2184" spans="1:11" ht="21" x14ac:dyDescent="0.25">
      <c r="A2184" s="11" t="str">
        <f>HYPERLINK("https://rth.dk/resources/bsgatlas/details.php?id=BSGatlas-transcript-2183","BSGatlas-transcript-2183")</f>
        <v>BSGatlas-transcript-2183</v>
      </c>
      <c r="B2184" s="1" t="s">
        <v>7635</v>
      </c>
      <c r="C2184" s="3">
        <v>2025358</v>
      </c>
      <c r="D2184" s="3">
        <v>2027802</v>
      </c>
      <c r="E2184" s="1" t="s">
        <v>9</v>
      </c>
      <c r="F2184" s="1">
        <v>1</v>
      </c>
      <c r="G2184" s="1">
        <v>43</v>
      </c>
      <c r="H2184" s="1" t="s">
        <v>4372</v>
      </c>
      <c r="I2184" s="1" t="s">
        <v>4386</v>
      </c>
      <c r="J2184" s="1" t="s">
        <v>7636</v>
      </c>
      <c r="K2184" s="1" t="s">
        <v>7637</v>
      </c>
    </row>
    <row r="2185" spans="1:11" ht="21" x14ac:dyDescent="0.25">
      <c r="A2185" s="11" t="str">
        <f>HYPERLINK("https://rth.dk/resources/bsgatlas/details.php?id=BSGatlas-transcript-2184","BSGatlas-transcript-2184")</f>
        <v>BSGatlas-transcript-2184</v>
      </c>
      <c r="B2185" s="1" t="s">
        <v>7635</v>
      </c>
      <c r="C2185" s="3">
        <v>2025358</v>
      </c>
      <c r="D2185" s="3">
        <v>2027861</v>
      </c>
      <c r="E2185" s="1" t="s">
        <v>9</v>
      </c>
      <c r="F2185" s="1">
        <v>1</v>
      </c>
      <c r="G2185" s="1">
        <v>43</v>
      </c>
      <c r="H2185" s="1">
        <v>60</v>
      </c>
      <c r="I2185" s="1" t="s">
        <v>4386</v>
      </c>
      <c r="J2185" s="1" t="s">
        <v>7636</v>
      </c>
      <c r="K2185" s="1" t="s">
        <v>7638</v>
      </c>
    </row>
    <row r="2186" spans="1:11" ht="21" x14ac:dyDescent="0.25">
      <c r="A2186" s="11" t="str">
        <f>HYPERLINK("https://rth.dk/resources/bsgatlas/details.php?id=BSGatlas-transcript-2185","BSGatlas-transcript-2185")</f>
        <v>BSGatlas-transcript-2185</v>
      </c>
      <c r="B2186" s="1" t="s">
        <v>2050</v>
      </c>
      <c r="C2186" s="3">
        <v>2027475</v>
      </c>
      <c r="D2186" s="3">
        <v>2027802</v>
      </c>
      <c r="E2186" s="1" t="s">
        <v>9</v>
      </c>
      <c r="F2186" s="1">
        <v>0</v>
      </c>
      <c r="G2186" s="1" t="s">
        <v>4372</v>
      </c>
      <c r="H2186" s="1" t="s">
        <v>4372</v>
      </c>
      <c r="I2186" s="1" t="s">
        <v>4373</v>
      </c>
      <c r="J2186" s="1" t="s">
        <v>7639</v>
      </c>
      <c r="K2186" s="1" t="s">
        <v>7637</v>
      </c>
    </row>
    <row r="2187" spans="1:11" ht="21" x14ac:dyDescent="0.25">
      <c r="A2187" s="11" t="str">
        <f>HYPERLINK("https://rth.dk/resources/bsgatlas/details.php?id=BSGatlas-transcript-2186","BSGatlas-transcript-2186")</f>
        <v>BSGatlas-transcript-2186</v>
      </c>
      <c r="B2187" s="1" t="s">
        <v>2050</v>
      </c>
      <c r="C2187" s="3">
        <v>2027475</v>
      </c>
      <c r="D2187" s="3">
        <v>2027861</v>
      </c>
      <c r="E2187" s="1" t="s">
        <v>9</v>
      </c>
      <c r="F2187" s="1">
        <v>0</v>
      </c>
      <c r="G2187" s="1" t="s">
        <v>4372</v>
      </c>
      <c r="H2187" s="1" t="s">
        <v>4372</v>
      </c>
      <c r="I2187" s="1" t="s">
        <v>4373</v>
      </c>
      <c r="J2187" s="1" t="s">
        <v>7639</v>
      </c>
      <c r="K2187" s="1" t="s">
        <v>7638</v>
      </c>
    </row>
    <row r="2188" spans="1:11" ht="21" x14ac:dyDescent="0.25">
      <c r="A2188" s="11" t="str">
        <f>HYPERLINK("https://rth.dk/resources/bsgatlas/details.php?id=BSGatlas-transcript-2187","BSGatlas-transcript-2187")</f>
        <v>BSGatlas-transcript-2187</v>
      </c>
      <c r="B2188" s="1" t="s">
        <v>2051</v>
      </c>
      <c r="C2188" s="3">
        <v>2027794</v>
      </c>
      <c r="D2188" s="3">
        <v>2028675</v>
      </c>
      <c r="E2188" s="1" t="s">
        <v>13</v>
      </c>
      <c r="F2188" s="1">
        <v>0</v>
      </c>
      <c r="G2188" s="1" t="s">
        <v>4372</v>
      </c>
      <c r="H2188" s="1" t="s">
        <v>4372</v>
      </c>
      <c r="I2188" s="1" t="s">
        <v>4373</v>
      </c>
      <c r="J2188" s="1" t="s">
        <v>7640</v>
      </c>
      <c r="K2188" s="1" t="s">
        <v>7641</v>
      </c>
    </row>
    <row r="2189" spans="1:11" ht="21" x14ac:dyDescent="0.25">
      <c r="A2189" s="11" t="str">
        <f>HYPERLINK("https://rth.dk/resources/bsgatlas/details.php?id=BSGatlas-transcript-2188","BSGatlas-transcript-2188")</f>
        <v>BSGatlas-transcript-2188</v>
      </c>
      <c r="B2189" s="1" t="s">
        <v>4760</v>
      </c>
      <c r="C2189" s="3">
        <v>2028815</v>
      </c>
      <c r="D2189" s="3">
        <v>2028976</v>
      </c>
      <c r="E2189" s="1" t="s">
        <v>9</v>
      </c>
      <c r="F2189" s="1">
        <v>0</v>
      </c>
      <c r="G2189" s="1" t="s">
        <v>4372</v>
      </c>
      <c r="H2189" s="1" t="s">
        <v>4372</v>
      </c>
      <c r="I2189" s="1" t="s">
        <v>4377</v>
      </c>
      <c r="J2189" s="1" t="s">
        <v>7642</v>
      </c>
      <c r="K2189" s="1" t="s">
        <v>318</v>
      </c>
    </row>
    <row r="2190" spans="1:11" ht="21" x14ac:dyDescent="0.25">
      <c r="A2190" s="11" t="str">
        <f>HYPERLINK("https://rth.dk/resources/bsgatlas/details.php?id=BSGatlas-transcript-2189","BSGatlas-transcript-2189")</f>
        <v>BSGatlas-transcript-2189</v>
      </c>
      <c r="B2190" s="1" t="s">
        <v>2052</v>
      </c>
      <c r="C2190" s="3">
        <v>2029020</v>
      </c>
      <c r="D2190" s="3">
        <v>2029442</v>
      </c>
      <c r="E2190" s="1" t="s">
        <v>9</v>
      </c>
      <c r="F2190" s="1">
        <v>0</v>
      </c>
      <c r="G2190" s="1" t="s">
        <v>4372</v>
      </c>
      <c r="H2190" s="1" t="s">
        <v>4372</v>
      </c>
      <c r="I2190" s="1" t="s">
        <v>4373</v>
      </c>
      <c r="J2190" s="1" t="s">
        <v>318</v>
      </c>
      <c r="K2190" s="1" t="s">
        <v>7643</v>
      </c>
    </row>
    <row r="2191" spans="1:11" ht="21" x14ac:dyDescent="0.25">
      <c r="A2191" s="11" t="str">
        <f>HYPERLINK("https://rth.dk/resources/bsgatlas/details.php?id=BSGatlas-transcript-2190","BSGatlas-transcript-2190")</f>
        <v>BSGatlas-transcript-2190</v>
      </c>
      <c r="B2191" s="1" t="s">
        <v>2053</v>
      </c>
      <c r="C2191" s="3">
        <v>2029365</v>
      </c>
      <c r="D2191" s="3">
        <v>2031202</v>
      </c>
      <c r="E2191" s="1" t="s">
        <v>13</v>
      </c>
      <c r="F2191" s="1">
        <v>0</v>
      </c>
      <c r="G2191" s="1" t="s">
        <v>4372</v>
      </c>
      <c r="H2191" s="1" t="s">
        <v>4372</v>
      </c>
      <c r="I2191" s="1" t="s">
        <v>4373</v>
      </c>
      <c r="J2191" s="1" t="s">
        <v>7644</v>
      </c>
      <c r="K2191" s="1" t="s">
        <v>7645</v>
      </c>
    </row>
    <row r="2192" spans="1:11" ht="21" x14ac:dyDescent="0.25">
      <c r="A2192" s="11" t="str">
        <f>HYPERLINK("https://rth.dk/resources/bsgatlas/details.php?id=BSGatlas-transcript-2191","BSGatlas-transcript-2191")</f>
        <v>BSGatlas-transcript-2191</v>
      </c>
      <c r="B2192" s="1" t="s">
        <v>2054</v>
      </c>
      <c r="C2192" s="3">
        <v>2031390</v>
      </c>
      <c r="D2192" s="3">
        <v>2032890</v>
      </c>
      <c r="E2192" s="1" t="s">
        <v>9</v>
      </c>
      <c r="F2192" s="1">
        <v>0</v>
      </c>
      <c r="G2192" s="1" t="s">
        <v>4372</v>
      </c>
      <c r="H2192" s="1" t="s">
        <v>4372</v>
      </c>
      <c r="I2192" s="1" t="s">
        <v>4397</v>
      </c>
      <c r="J2192" s="1" t="s">
        <v>7646</v>
      </c>
      <c r="K2192" s="1" t="s">
        <v>7647</v>
      </c>
    </row>
    <row r="2193" spans="1:11" ht="21" x14ac:dyDescent="0.25">
      <c r="A2193" s="11" t="str">
        <f>HYPERLINK("https://rth.dk/resources/bsgatlas/details.php?id=BSGatlas-transcript-2192","BSGatlas-transcript-2192")</f>
        <v>BSGatlas-transcript-2192</v>
      </c>
      <c r="B2193" s="1" t="s">
        <v>2055</v>
      </c>
      <c r="C2193" s="3">
        <v>2032881</v>
      </c>
      <c r="D2193" s="3">
        <v>2033679</v>
      </c>
      <c r="E2193" s="1" t="s">
        <v>13</v>
      </c>
      <c r="F2193" s="1">
        <v>0</v>
      </c>
      <c r="G2193" s="1" t="s">
        <v>4372</v>
      </c>
      <c r="H2193" s="1" t="s">
        <v>4372</v>
      </c>
      <c r="I2193" s="1" t="s">
        <v>4373</v>
      </c>
      <c r="J2193" s="1" t="s">
        <v>7648</v>
      </c>
      <c r="K2193" s="1" t="s">
        <v>7649</v>
      </c>
    </row>
    <row r="2194" spans="1:11" ht="21" x14ac:dyDescent="0.25">
      <c r="A2194" s="11" t="str">
        <f>HYPERLINK("https://rth.dk/resources/bsgatlas/details.php?id=BSGatlas-transcript-2193","BSGatlas-transcript-2193")</f>
        <v>BSGatlas-transcript-2193</v>
      </c>
      <c r="B2194" s="1" t="s">
        <v>2056</v>
      </c>
      <c r="C2194" s="3">
        <v>2036012</v>
      </c>
      <c r="D2194" s="3">
        <v>2036722</v>
      </c>
      <c r="E2194" s="1" t="s">
        <v>9</v>
      </c>
      <c r="F2194" s="1">
        <v>0</v>
      </c>
      <c r="G2194" s="1" t="s">
        <v>4372</v>
      </c>
      <c r="H2194" s="1" t="s">
        <v>4372</v>
      </c>
      <c r="I2194" s="1" t="s">
        <v>4377</v>
      </c>
      <c r="J2194" s="1" t="s">
        <v>7650</v>
      </c>
      <c r="K2194" s="1" t="s">
        <v>318</v>
      </c>
    </row>
    <row r="2195" spans="1:11" ht="21" x14ac:dyDescent="0.25">
      <c r="A2195" s="11" t="str">
        <f>HYPERLINK("https://rth.dk/resources/bsgatlas/details.php?id=BSGatlas-transcript-2194","BSGatlas-transcript-2194")</f>
        <v>BSGatlas-transcript-2194</v>
      </c>
      <c r="B2195" s="1" t="s">
        <v>2057</v>
      </c>
      <c r="C2195" s="3">
        <v>2037063</v>
      </c>
      <c r="D2195" s="3">
        <v>2037470</v>
      </c>
      <c r="E2195" s="1" t="s">
        <v>13</v>
      </c>
      <c r="F2195" s="1">
        <v>0</v>
      </c>
      <c r="G2195" s="1" t="s">
        <v>4372</v>
      </c>
      <c r="H2195" s="1" t="s">
        <v>4372</v>
      </c>
      <c r="I2195" s="1" t="s">
        <v>4377</v>
      </c>
      <c r="J2195" s="1" t="s">
        <v>7651</v>
      </c>
      <c r="K2195" s="1" t="s">
        <v>318</v>
      </c>
    </row>
    <row r="2196" spans="1:11" ht="21" x14ac:dyDescent="0.25">
      <c r="A2196" s="11" t="str">
        <f>HYPERLINK("https://rth.dk/resources/bsgatlas/details.php?id=BSGatlas-transcript-2195","BSGatlas-transcript-2195")</f>
        <v>BSGatlas-transcript-2195</v>
      </c>
      <c r="B2196" s="1" t="s">
        <v>2058</v>
      </c>
      <c r="C2196" s="3">
        <v>2037483</v>
      </c>
      <c r="D2196" s="3">
        <v>2038809</v>
      </c>
      <c r="E2196" s="1" t="s">
        <v>13</v>
      </c>
      <c r="F2196" s="1">
        <v>0</v>
      </c>
      <c r="G2196" s="1" t="s">
        <v>4372</v>
      </c>
      <c r="H2196" s="1" t="s">
        <v>4372</v>
      </c>
      <c r="I2196" s="1" t="s">
        <v>4373</v>
      </c>
      <c r="J2196" s="1" t="s">
        <v>7652</v>
      </c>
      <c r="K2196" s="1" t="s">
        <v>7653</v>
      </c>
    </row>
    <row r="2197" spans="1:11" ht="21" x14ac:dyDescent="0.25">
      <c r="A2197" s="11" t="str">
        <f>HYPERLINK("https://rth.dk/resources/bsgatlas/details.php?id=BSGatlas-transcript-2196","BSGatlas-transcript-2196")</f>
        <v>BSGatlas-transcript-2196</v>
      </c>
      <c r="B2197" s="1" t="s">
        <v>2059</v>
      </c>
      <c r="C2197" s="3">
        <v>2038902</v>
      </c>
      <c r="D2197" s="3">
        <v>2039390</v>
      </c>
      <c r="E2197" s="1" t="s">
        <v>13</v>
      </c>
      <c r="F2197" s="1">
        <v>0</v>
      </c>
      <c r="G2197" s="1" t="s">
        <v>4372</v>
      </c>
      <c r="H2197" s="1" t="s">
        <v>4372</v>
      </c>
      <c r="I2197" s="1" t="s">
        <v>4377</v>
      </c>
      <c r="J2197" s="1" t="s">
        <v>318</v>
      </c>
      <c r="K2197" s="1" t="s">
        <v>7654</v>
      </c>
    </row>
    <row r="2198" spans="1:11" ht="21" x14ac:dyDescent="0.25">
      <c r="A2198" s="11" t="str">
        <f>HYPERLINK("https://rth.dk/resources/bsgatlas/details.php?id=BSGatlas-transcript-2197","BSGatlas-transcript-2197")</f>
        <v>BSGatlas-transcript-2197</v>
      </c>
      <c r="B2198" s="1" t="s">
        <v>2060</v>
      </c>
      <c r="C2198" s="3">
        <v>2040654</v>
      </c>
      <c r="D2198" s="3">
        <v>2041499</v>
      </c>
      <c r="E2198" s="1" t="s">
        <v>9</v>
      </c>
      <c r="F2198" s="1">
        <v>0</v>
      </c>
      <c r="G2198" s="1" t="s">
        <v>4372</v>
      </c>
      <c r="H2198" s="1" t="s">
        <v>4372</v>
      </c>
      <c r="I2198" s="1" t="s">
        <v>4547</v>
      </c>
      <c r="J2198" s="1" t="s">
        <v>7655</v>
      </c>
      <c r="K2198" s="1" t="s">
        <v>7656</v>
      </c>
    </row>
    <row r="2199" spans="1:11" ht="21" x14ac:dyDescent="0.25">
      <c r="A2199" s="11" t="str">
        <f>HYPERLINK("https://rth.dk/resources/bsgatlas/details.php?id=BSGatlas-transcript-2198","BSGatlas-transcript-2198")</f>
        <v>BSGatlas-transcript-2198</v>
      </c>
      <c r="B2199" s="1" t="s">
        <v>7657</v>
      </c>
      <c r="C2199" s="3">
        <v>2040988</v>
      </c>
      <c r="D2199" s="3">
        <v>2042856</v>
      </c>
      <c r="E2199" s="1" t="s">
        <v>13</v>
      </c>
      <c r="F2199" s="1">
        <v>2</v>
      </c>
      <c r="G2199" s="1">
        <v>18</v>
      </c>
      <c r="H2199" s="1" t="s">
        <v>4372</v>
      </c>
      <c r="I2199" s="1" t="s">
        <v>4386</v>
      </c>
      <c r="J2199" s="1" t="s">
        <v>7658</v>
      </c>
      <c r="K2199" s="1" t="s">
        <v>318</v>
      </c>
    </row>
    <row r="2200" spans="1:11" ht="21" x14ac:dyDescent="0.25">
      <c r="A2200" s="11" t="str">
        <f>HYPERLINK("https://rth.dk/resources/bsgatlas/details.php?id=BSGatlas-transcript-2199","BSGatlas-transcript-2199")</f>
        <v>BSGatlas-transcript-2199</v>
      </c>
      <c r="B2200" s="1" t="s">
        <v>2063</v>
      </c>
      <c r="C2200" s="3">
        <v>2041928</v>
      </c>
      <c r="D2200" s="3">
        <v>2042856</v>
      </c>
      <c r="E2200" s="1" t="s">
        <v>13</v>
      </c>
      <c r="F2200" s="1">
        <v>0</v>
      </c>
      <c r="G2200" s="1" t="s">
        <v>4372</v>
      </c>
      <c r="H2200" s="1" t="s">
        <v>4372</v>
      </c>
      <c r="I2200" s="1" t="s">
        <v>4373</v>
      </c>
      <c r="J2200" s="1" t="s">
        <v>7658</v>
      </c>
      <c r="K2200" s="1" t="s">
        <v>318</v>
      </c>
    </row>
    <row r="2201" spans="1:11" ht="21" x14ac:dyDescent="0.25">
      <c r="A2201" s="11" t="str">
        <f>HYPERLINK("https://rth.dk/resources/bsgatlas/details.php?id=BSGatlas-transcript-2200","BSGatlas-transcript-2200")</f>
        <v>BSGatlas-transcript-2200</v>
      </c>
      <c r="B2201" s="1" t="s">
        <v>7659</v>
      </c>
      <c r="C2201" s="3">
        <v>2043139</v>
      </c>
      <c r="D2201" s="3">
        <v>2045876</v>
      </c>
      <c r="E2201" s="1" t="s">
        <v>9</v>
      </c>
      <c r="F2201" s="1">
        <v>1</v>
      </c>
      <c r="G2201" s="1">
        <v>48</v>
      </c>
      <c r="H2201" s="1">
        <v>1045</v>
      </c>
      <c r="I2201" s="1" t="s">
        <v>4377</v>
      </c>
      <c r="J2201" s="1" t="s">
        <v>7660</v>
      </c>
      <c r="K2201" s="1" t="s">
        <v>7661</v>
      </c>
    </row>
    <row r="2202" spans="1:11" ht="21" x14ac:dyDescent="0.25">
      <c r="A2202" s="11" t="str">
        <f>HYPERLINK("https://rth.dk/resources/bsgatlas/details.php?id=BSGatlas-transcript-2201","BSGatlas-transcript-2201")</f>
        <v>BSGatlas-transcript-2201</v>
      </c>
      <c r="B2202" s="1" t="s">
        <v>7662</v>
      </c>
      <c r="C2202" s="3">
        <v>2043139</v>
      </c>
      <c r="D2202" s="3">
        <v>2046807</v>
      </c>
      <c r="E2202" s="1" t="s">
        <v>9</v>
      </c>
      <c r="F2202" s="1">
        <v>2</v>
      </c>
      <c r="G2202" s="1">
        <v>48</v>
      </c>
      <c r="H2202" s="1" t="s">
        <v>4372</v>
      </c>
      <c r="I2202" s="1" t="s">
        <v>4386</v>
      </c>
      <c r="J2202" s="1" t="s">
        <v>7660</v>
      </c>
      <c r="K2202" s="1" t="s">
        <v>318</v>
      </c>
    </row>
    <row r="2203" spans="1:11" ht="21" x14ac:dyDescent="0.25">
      <c r="A2203" s="11" t="str">
        <f>HYPERLINK("https://rth.dk/resources/bsgatlas/details.php?id=BSGatlas-transcript-2202","BSGatlas-transcript-2202")</f>
        <v>BSGatlas-transcript-2202</v>
      </c>
      <c r="B2203" s="1" t="s">
        <v>2068</v>
      </c>
      <c r="C2203" s="3">
        <v>2044956</v>
      </c>
      <c r="D2203" s="3">
        <v>2045828</v>
      </c>
      <c r="E2203" s="1" t="s">
        <v>13</v>
      </c>
      <c r="F2203" s="1">
        <v>0</v>
      </c>
      <c r="G2203" s="1" t="s">
        <v>4372</v>
      </c>
      <c r="H2203" s="1" t="s">
        <v>4372</v>
      </c>
      <c r="I2203" s="1" t="s">
        <v>4547</v>
      </c>
      <c r="J2203" s="1" t="s">
        <v>318</v>
      </c>
      <c r="K2203" s="1" t="s">
        <v>318</v>
      </c>
    </row>
    <row r="2204" spans="1:11" ht="21" x14ac:dyDescent="0.25">
      <c r="A2204" s="11" t="str">
        <f>HYPERLINK("https://rth.dk/resources/bsgatlas/details.php?id=BSGatlas-transcript-2203","BSGatlas-transcript-2203")</f>
        <v>BSGatlas-transcript-2203</v>
      </c>
      <c r="B2204" s="1" t="s">
        <v>2067</v>
      </c>
      <c r="C2204" s="3">
        <v>2045929</v>
      </c>
      <c r="D2204" s="3">
        <v>2046807</v>
      </c>
      <c r="E2204" s="1" t="s">
        <v>9</v>
      </c>
      <c r="F2204" s="1">
        <v>0</v>
      </c>
      <c r="G2204" s="1" t="s">
        <v>4372</v>
      </c>
      <c r="H2204" s="1" t="s">
        <v>4372</v>
      </c>
      <c r="I2204" s="1" t="s">
        <v>4547</v>
      </c>
      <c r="J2204" s="1" t="s">
        <v>318</v>
      </c>
      <c r="K2204" s="1" t="s">
        <v>318</v>
      </c>
    </row>
    <row r="2205" spans="1:11" ht="21" x14ac:dyDescent="0.25">
      <c r="A2205" s="11" t="str">
        <f>HYPERLINK("https://rth.dk/resources/bsgatlas/details.php?id=BSGatlas-transcript-2204","BSGatlas-transcript-2204")</f>
        <v>BSGatlas-transcript-2204</v>
      </c>
      <c r="B2205" s="1" t="s">
        <v>2069</v>
      </c>
      <c r="C2205" s="3">
        <v>2046897</v>
      </c>
      <c r="D2205" s="3">
        <v>2047439</v>
      </c>
      <c r="E2205" s="1" t="s">
        <v>13</v>
      </c>
      <c r="F2205" s="1">
        <v>0</v>
      </c>
      <c r="G2205" s="1" t="s">
        <v>4372</v>
      </c>
      <c r="H2205" s="1" t="s">
        <v>4372</v>
      </c>
      <c r="I2205" s="1" t="s">
        <v>4373</v>
      </c>
      <c r="J2205" s="1" t="s">
        <v>7663</v>
      </c>
      <c r="K2205" s="1" t="s">
        <v>7664</v>
      </c>
    </row>
    <row r="2206" spans="1:11" ht="21" x14ac:dyDescent="0.25">
      <c r="A2206" s="11" t="str">
        <f>HYPERLINK("https://rth.dk/resources/bsgatlas/details.php?id=BSGatlas-transcript-2205","BSGatlas-transcript-2205")</f>
        <v>BSGatlas-transcript-2205</v>
      </c>
      <c r="B2206" s="1" t="s">
        <v>2069</v>
      </c>
      <c r="C2206" s="3">
        <v>2046897</v>
      </c>
      <c r="D2206" s="3">
        <v>2047678</v>
      </c>
      <c r="E2206" s="1" t="s">
        <v>13</v>
      </c>
      <c r="F2206" s="1">
        <v>0</v>
      </c>
      <c r="G2206" s="1" t="s">
        <v>4372</v>
      </c>
      <c r="H2206" s="1" t="s">
        <v>4372</v>
      </c>
      <c r="I2206" s="1" t="s">
        <v>4373</v>
      </c>
      <c r="J2206" s="1" t="s">
        <v>7665</v>
      </c>
      <c r="K2206" s="1" t="s">
        <v>7664</v>
      </c>
    </row>
    <row r="2207" spans="1:11" ht="21" x14ac:dyDescent="0.25">
      <c r="A2207" s="11" t="str">
        <f>HYPERLINK("https://rth.dk/resources/bsgatlas/details.php?id=BSGatlas-transcript-2206","BSGatlas-transcript-2206")</f>
        <v>BSGatlas-transcript-2206</v>
      </c>
      <c r="B2207" s="1" t="s">
        <v>2070</v>
      </c>
      <c r="C2207" s="3">
        <v>2047675</v>
      </c>
      <c r="D2207" s="3">
        <v>2048979</v>
      </c>
      <c r="E2207" s="1" t="s">
        <v>13</v>
      </c>
      <c r="F2207" s="1">
        <v>0</v>
      </c>
      <c r="G2207" s="1" t="s">
        <v>4372</v>
      </c>
      <c r="H2207" s="1" t="s">
        <v>4372</v>
      </c>
      <c r="I2207" s="1" t="s">
        <v>4377</v>
      </c>
      <c r="J2207" s="1" t="s">
        <v>7666</v>
      </c>
      <c r="K2207" s="1" t="s">
        <v>318</v>
      </c>
    </row>
    <row r="2208" spans="1:11" ht="21" x14ac:dyDescent="0.25">
      <c r="A2208" s="11" t="str">
        <f>HYPERLINK("https://rth.dk/resources/bsgatlas/details.php?id=BSGatlas-transcript-2207","BSGatlas-transcript-2207")</f>
        <v>BSGatlas-transcript-2207</v>
      </c>
      <c r="B2208" s="1" t="s">
        <v>2071</v>
      </c>
      <c r="C2208" s="3">
        <v>2048471</v>
      </c>
      <c r="D2208" s="3">
        <v>2050144</v>
      </c>
      <c r="E2208" s="1" t="s">
        <v>9</v>
      </c>
      <c r="F2208" s="1">
        <v>0</v>
      </c>
      <c r="G2208" s="1" t="s">
        <v>4372</v>
      </c>
      <c r="H2208" s="1" t="s">
        <v>4372</v>
      </c>
      <c r="I2208" s="1" t="s">
        <v>4397</v>
      </c>
      <c r="J2208" s="1" t="s">
        <v>7667</v>
      </c>
      <c r="K2208" s="1" t="s">
        <v>7668</v>
      </c>
    </row>
    <row r="2209" spans="1:11" ht="21" x14ac:dyDescent="0.25">
      <c r="A2209" s="11" t="str">
        <f>HYPERLINK("https://rth.dk/resources/bsgatlas/details.php?id=BSGatlas-transcript-2208","BSGatlas-transcript-2208")</f>
        <v>BSGatlas-transcript-2208</v>
      </c>
      <c r="B2209" s="1" t="s">
        <v>2072</v>
      </c>
      <c r="C2209" s="3">
        <v>2050649</v>
      </c>
      <c r="D2209" s="3">
        <v>2050952</v>
      </c>
      <c r="E2209" s="1" t="s">
        <v>9</v>
      </c>
      <c r="F2209" s="1">
        <v>0</v>
      </c>
      <c r="G2209" s="1" t="s">
        <v>4372</v>
      </c>
      <c r="H2209" s="1" t="s">
        <v>4372</v>
      </c>
      <c r="I2209" s="1" t="s">
        <v>4397</v>
      </c>
      <c r="J2209" s="1" t="s">
        <v>7669</v>
      </c>
      <c r="K2209" s="1" t="s">
        <v>7670</v>
      </c>
    </row>
    <row r="2210" spans="1:11" ht="21" x14ac:dyDescent="0.25">
      <c r="A2210" s="11" t="str">
        <f>HYPERLINK("https://rth.dk/resources/bsgatlas/details.php?id=BSGatlas-transcript-2209","BSGatlas-transcript-2209")</f>
        <v>BSGatlas-transcript-2209</v>
      </c>
      <c r="B2210" s="1" t="s">
        <v>2073</v>
      </c>
      <c r="C2210" s="3">
        <v>2051329</v>
      </c>
      <c r="D2210" s="3">
        <v>2054039</v>
      </c>
      <c r="E2210" s="1" t="s">
        <v>13</v>
      </c>
      <c r="F2210" s="1">
        <v>0</v>
      </c>
      <c r="G2210" s="1" t="s">
        <v>4372</v>
      </c>
      <c r="H2210" s="1" t="s">
        <v>4372</v>
      </c>
      <c r="I2210" s="1" t="s">
        <v>4386</v>
      </c>
      <c r="J2210" s="1" t="s">
        <v>7671</v>
      </c>
      <c r="K2210" s="1" t="s">
        <v>318</v>
      </c>
    </row>
    <row r="2211" spans="1:11" ht="21" x14ac:dyDescent="0.25">
      <c r="A2211" s="11" t="str">
        <f>HYPERLINK("https://rth.dk/resources/bsgatlas/details.php?id=BSGatlas-transcript-2210","BSGatlas-transcript-2210")</f>
        <v>BSGatlas-transcript-2210</v>
      </c>
      <c r="B2211" s="1" t="s">
        <v>2074</v>
      </c>
      <c r="C2211" s="3">
        <v>2053989</v>
      </c>
      <c r="D2211" s="3">
        <v>2054109</v>
      </c>
      <c r="E2211" s="1" t="s">
        <v>9</v>
      </c>
      <c r="F2211" s="1">
        <v>0</v>
      </c>
      <c r="G2211" s="1" t="s">
        <v>4372</v>
      </c>
      <c r="H2211" s="1" t="s">
        <v>4372</v>
      </c>
      <c r="I2211" s="1" t="s">
        <v>4377</v>
      </c>
      <c r="J2211" s="1" t="s">
        <v>7672</v>
      </c>
      <c r="K2211" s="1" t="s">
        <v>318</v>
      </c>
    </row>
    <row r="2212" spans="1:11" ht="21" x14ac:dyDescent="0.25">
      <c r="A2212" s="11" t="str">
        <f>HYPERLINK("https://rth.dk/resources/bsgatlas/details.php?id=BSGatlas-transcript-2211","BSGatlas-transcript-2211")</f>
        <v>BSGatlas-transcript-2211</v>
      </c>
      <c r="B2212" s="1" t="s">
        <v>2075</v>
      </c>
      <c r="C2212" s="3">
        <v>2054105</v>
      </c>
      <c r="D2212" s="3">
        <v>2055338</v>
      </c>
      <c r="E2212" s="1" t="s">
        <v>13</v>
      </c>
      <c r="F2212" s="1">
        <v>0</v>
      </c>
      <c r="G2212" s="1" t="s">
        <v>4372</v>
      </c>
      <c r="H2212" s="1" t="s">
        <v>4372</v>
      </c>
      <c r="I2212" s="1" t="s">
        <v>4373</v>
      </c>
      <c r="J2212" s="1" t="s">
        <v>7673</v>
      </c>
      <c r="K2212" s="1" t="s">
        <v>7674</v>
      </c>
    </row>
    <row r="2213" spans="1:11" ht="21" x14ac:dyDescent="0.25">
      <c r="A2213" s="11" t="str">
        <f>HYPERLINK("https://rth.dk/resources/bsgatlas/details.php?id=BSGatlas-transcript-2212","BSGatlas-transcript-2212")</f>
        <v>BSGatlas-transcript-2212</v>
      </c>
      <c r="B2213" s="1" t="s">
        <v>2075</v>
      </c>
      <c r="C2213" s="3">
        <v>2054371</v>
      </c>
      <c r="D2213" s="3">
        <v>2055338</v>
      </c>
      <c r="E2213" s="1" t="s">
        <v>13</v>
      </c>
      <c r="F2213" s="1">
        <v>0</v>
      </c>
      <c r="G2213" s="1" t="s">
        <v>4372</v>
      </c>
      <c r="H2213" s="1" t="s">
        <v>4372</v>
      </c>
      <c r="I2213" s="1" t="s">
        <v>4373</v>
      </c>
      <c r="J2213" s="1" t="s">
        <v>7673</v>
      </c>
      <c r="K2213" s="1" t="s">
        <v>7675</v>
      </c>
    </row>
    <row r="2214" spans="1:11" ht="21" x14ac:dyDescent="0.25">
      <c r="A2214" s="11" t="str">
        <f>HYPERLINK("https://rth.dk/resources/bsgatlas/details.php?id=BSGatlas-transcript-2213","BSGatlas-transcript-2213")</f>
        <v>BSGatlas-transcript-2213</v>
      </c>
      <c r="B2214" s="1" t="s">
        <v>2075</v>
      </c>
      <c r="C2214" s="3">
        <v>2054567</v>
      </c>
      <c r="D2214" s="3">
        <v>2055338</v>
      </c>
      <c r="E2214" s="1" t="s">
        <v>13</v>
      </c>
      <c r="F2214" s="1">
        <v>0</v>
      </c>
      <c r="G2214" s="1" t="s">
        <v>4372</v>
      </c>
      <c r="H2214" s="1" t="s">
        <v>4372</v>
      </c>
      <c r="I2214" s="1" t="s">
        <v>4373</v>
      </c>
      <c r="J2214" s="1" t="s">
        <v>7673</v>
      </c>
      <c r="K2214" s="1" t="s">
        <v>7676</v>
      </c>
    </row>
    <row r="2215" spans="1:11" ht="21" x14ac:dyDescent="0.25">
      <c r="A2215" s="11" t="str">
        <f>HYPERLINK("https://rth.dk/resources/bsgatlas/details.php?id=BSGatlas-transcript-2214","BSGatlas-transcript-2214")</f>
        <v>BSGatlas-transcript-2214</v>
      </c>
      <c r="B2215" s="1" t="s">
        <v>2076</v>
      </c>
      <c r="C2215" s="3">
        <v>2055868</v>
      </c>
      <c r="D2215" s="3">
        <v>2056154</v>
      </c>
      <c r="E2215" s="1" t="s">
        <v>13</v>
      </c>
      <c r="F2215" s="1">
        <v>0</v>
      </c>
      <c r="G2215" s="1" t="s">
        <v>4372</v>
      </c>
      <c r="H2215" s="1" t="s">
        <v>4372</v>
      </c>
      <c r="I2215" s="1" t="s">
        <v>4386</v>
      </c>
      <c r="J2215" s="1" t="s">
        <v>7677</v>
      </c>
      <c r="K2215" s="1" t="s">
        <v>7678</v>
      </c>
    </row>
    <row r="2216" spans="1:11" ht="21" x14ac:dyDescent="0.25">
      <c r="A2216" s="11" t="str">
        <f>HYPERLINK("https://rth.dk/resources/bsgatlas/details.php?id=BSGatlas-transcript-2215","BSGatlas-transcript-2215")</f>
        <v>BSGatlas-transcript-2215</v>
      </c>
      <c r="B2216" s="1" t="s">
        <v>2077</v>
      </c>
      <c r="C2216" s="3">
        <v>2056242</v>
      </c>
      <c r="D2216" s="3">
        <v>2056616</v>
      </c>
      <c r="E2216" s="1" t="s">
        <v>9</v>
      </c>
      <c r="F2216" s="1">
        <v>0</v>
      </c>
      <c r="G2216" s="1" t="s">
        <v>4372</v>
      </c>
      <c r="H2216" s="1" t="s">
        <v>4372</v>
      </c>
      <c r="I2216" s="1" t="s">
        <v>4547</v>
      </c>
      <c r="J2216" s="1" t="s">
        <v>7679</v>
      </c>
      <c r="K2216" s="1" t="s">
        <v>318</v>
      </c>
    </row>
    <row r="2217" spans="1:11" ht="21" x14ac:dyDescent="0.25">
      <c r="A2217" s="11" t="str">
        <f>HYPERLINK("https://rth.dk/resources/bsgatlas/details.php?id=BSGatlas-transcript-2216","BSGatlas-transcript-2216")</f>
        <v>BSGatlas-transcript-2216</v>
      </c>
      <c r="B2217" s="1" t="s">
        <v>2078</v>
      </c>
      <c r="C2217" s="3">
        <v>2056650</v>
      </c>
      <c r="D2217" s="3">
        <v>2057006</v>
      </c>
      <c r="E2217" s="1" t="s">
        <v>13</v>
      </c>
      <c r="F2217" s="1">
        <v>0</v>
      </c>
      <c r="G2217" s="1" t="s">
        <v>4372</v>
      </c>
      <c r="H2217" s="1" t="s">
        <v>4372</v>
      </c>
      <c r="I2217" s="1" t="s">
        <v>4547</v>
      </c>
      <c r="J2217" s="1" t="s">
        <v>318</v>
      </c>
      <c r="K2217" s="1" t="s">
        <v>318</v>
      </c>
    </row>
    <row r="2218" spans="1:11" ht="21" x14ac:dyDescent="0.25">
      <c r="A2218" s="11" t="str">
        <f>HYPERLINK("https://rth.dk/resources/bsgatlas/details.php?id=BSGatlas-transcript-2217","BSGatlas-transcript-2217")</f>
        <v>BSGatlas-transcript-2217</v>
      </c>
      <c r="B2218" s="1" t="s">
        <v>2079</v>
      </c>
      <c r="C2218" s="3">
        <v>2057609</v>
      </c>
      <c r="D2218" s="3">
        <v>2059638</v>
      </c>
      <c r="E2218" s="1" t="s">
        <v>13</v>
      </c>
      <c r="F2218" s="1">
        <v>0</v>
      </c>
      <c r="G2218" s="1" t="s">
        <v>4372</v>
      </c>
      <c r="H2218" s="1" t="s">
        <v>4372</v>
      </c>
      <c r="I2218" s="1" t="s">
        <v>4377</v>
      </c>
      <c r="J2218" s="1" t="s">
        <v>7680</v>
      </c>
      <c r="K2218" s="1" t="s">
        <v>7681</v>
      </c>
    </row>
    <row r="2219" spans="1:11" ht="21" x14ac:dyDescent="0.25">
      <c r="A2219" s="11" t="str">
        <f>HYPERLINK("https://rth.dk/resources/bsgatlas/details.php?id=BSGatlas-transcript-2218","BSGatlas-transcript-2218")</f>
        <v>BSGatlas-transcript-2218</v>
      </c>
      <c r="B2219" s="1" t="s">
        <v>2079</v>
      </c>
      <c r="C2219" s="3">
        <v>2057609</v>
      </c>
      <c r="D2219" s="3">
        <v>2059670</v>
      </c>
      <c r="E2219" s="1" t="s">
        <v>13</v>
      </c>
      <c r="F2219" s="1">
        <v>0</v>
      </c>
      <c r="G2219" s="1" t="s">
        <v>4372</v>
      </c>
      <c r="H2219" s="1" t="s">
        <v>4372</v>
      </c>
      <c r="I2219" s="1" t="s">
        <v>4377</v>
      </c>
      <c r="J2219" s="1" t="s">
        <v>7682</v>
      </c>
      <c r="K2219" s="1" t="s">
        <v>7681</v>
      </c>
    </row>
    <row r="2220" spans="1:11" ht="21" x14ac:dyDescent="0.25">
      <c r="A2220" s="11" t="str">
        <f>HYPERLINK("https://rth.dk/resources/bsgatlas/details.php?id=BSGatlas-transcript-2219","BSGatlas-transcript-2219")</f>
        <v>BSGatlas-transcript-2219</v>
      </c>
      <c r="B2220" s="1" t="s">
        <v>2080</v>
      </c>
      <c r="C2220" s="3">
        <v>2057801</v>
      </c>
      <c r="D2220" s="3">
        <v>2058560</v>
      </c>
      <c r="E2220" s="1" t="s">
        <v>9</v>
      </c>
      <c r="F2220" s="1">
        <v>0</v>
      </c>
      <c r="G2220" s="1" t="s">
        <v>4372</v>
      </c>
      <c r="H2220" s="1" t="s">
        <v>4372</v>
      </c>
      <c r="I2220" s="1" t="s">
        <v>4377</v>
      </c>
      <c r="J2220" s="1" t="s">
        <v>318</v>
      </c>
      <c r="K2220" s="1" t="s">
        <v>7683</v>
      </c>
    </row>
    <row r="2221" spans="1:11" ht="21" x14ac:dyDescent="0.25">
      <c r="A2221" s="11" t="str">
        <f>HYPERLINK("https://rth.dk/resources/bsgatlas/details.php?id=BSGatlas-transcript-2220","BSGatlas-transcript-2220")</f>
        <v>BSGatlas-transcript-2220</v>
      </c>
      <c r="B2221" s="1" t="s">
        <v>2081</v>
      </c>
      <c r="C2221" s="3">
        <v>2060009</v>
      </c>
      <c r="D2221" s="3">
        <v>2060233</v>
      </c>
      <c r="E2221" s="1" t="s">
        <v>9</v>
      </c>
      <c r="F2221" s="1">
        <v>0</v>
      </c>
      <c r="G2221" s="1" t="s">
        <v>4372</v>
      </c>
      <c r="H2221" s="1" t="s">
        <v>4372</v>
      </c>
      <c r="I2221" s="1" t="s">
        <v>4547</v>
      </c>
      <c r="J2221" s="1" t="s">
        <v>318</v>
      </c>
      <c r="K2221" s="1" t="s">
        <v>318</v>
      </c>
    </row>
    <row r="2222" spans="1:11" ht="21" x14ac:dyDescent="0.25">
      <c r="A2222" s="11" t="str">
        <f>HYPERLINK("https://rth.dk/resources/bsgatlas/details.php?id=BSGatlas-transcript-2221","BSGatlas-transcript-2221")</f>
        <v>BSGatlas-transcript-2221</v>
      </c>
      <c r="B2222" s="1" t="s">
        <v>2082</v>
      </c>
      <c r="C2222" s="3">
        <v>2060237</v>
      </c>
      <c r="D2222" s="3">
        <v>2060692</v>
      </c>
      <c r="E2222" s="1" t="s">
        <v>13</v>
      </c>
      <c r="F2222" s="1">
        <v>0</v>
      </c>
      <c r="G2222" s="1" t="s">
        <v>4372</v>
      </c>
      <c r="H2222" s="1" t="s">
        <v>4372</v>
      </c>
      <c r="I2222" s="1" t="s">
        <v>4547</v>
      </c>
      <c r="J2222" s="1" t="s">
        <v>318</v>
      </c>
      <c r="K2222" s="1" t="s">
        <v>318</v>
      </c>
    </row>
    <row r="2223" spans="1:11" ht="21" x14ac:dyDescent="0.25">
      <c r="A2223" s="11" t="str">
        <f>HYPERLINK("https://rth.dk/resources/bsgatlas/details.php?id=BSGatlas-transcript-2222","BSGatlas-transcript-2222")</f>
        <v>BSGatlas-transcript-2222</v>
      </c>
      <c r="B2223" s="1" t="s">
        <v>2083</v>
      </c>
      <c r="C2223" s="3">
        <v>2060778</v>
      </c>
      <c r="D2223" s="3">
        <v>2061077</v>
      </c>
      <c r="E2223" s="1" t="s">
        <v>9</v>
      </c>
      <c r="F2223" s="1">
        <v>0</v>
      </c>
      <c r="G2223" s="1" t="s">
        <v>4372</v>
      </c>
      <c r="H2223" s="1" t="s">
        <v>4372</v>
      </c>
      <c r="I2223" s="1" t="s">
        <v>4377</v>
      </c>
      <c r="J2223" s="1" t="s">
        <v>7684</v>
      </c>
      <c r="K2223" s="1" t="s">
        <v>7685</v>
      </c>
    </row>
    <row r="2224" spans="1:11" ht="21" x14ac:dyDescent="0.25">
      <c r="A2224" s="11" t="str">
        <f>HYPERLINK("https://rth.dk/resources/bsgatlas/details.php?id=BSGatlas-transcript-2223","BSGatlas-transcript-2223")</f>
        <v>BSGatlas-transcript-2223</v>
      </c>
      <c r="B2224" s="1" t="s">
        <v>2083</v>
      </c>
      <c r="C2224" s="3">
        <v>2060778</v>
      </c>
      <c r="D2224" s="3">
        <v>2061660</v>
      </c>
      <c r="E2224" s="1" t="s">
        <v>9</v>
      </c>
      <c r="F2224" s="1">
        <v>0</v>
      </c>
      <c r="G2224" s="1" t="s">
        <v>4372</v>
      </c>
      <c r="H2224" s="1" t="s">
        <v>4372</v>
      </c>
      <c r="I2224" s="1" t="s">
        <v>4377</v>
      </c>
      <c r="J2224" s="1" t="s">
        <v>7684</v>
      </c>
      <c r="K2224" s="1" t="s">
        <v>7686</v>
      </c>
    </row>
    <row r="2225" spans="1:11" ht="21" x14ac:dyDescent="0.25">
      <c r="A2225" s="11" t="str">
        <f>HYPERLINK("https://rth.dk/resources/bsgatlas/details.php?id=BSGatlas-transcript-2224","BSGatlas-transcript-2224")</f>
        <v>BSGatlas-transcript-2224</v>
      </c>
      <c r="B2225" s="1" t="s">
        <v>2084</v>
      </c>
      <c r="C2225" s="3">
        <v>2061526</v>
      </c>
      <c r="D2225" s="3">
        <v>2062014</v>
      </c>
      <c r="E2225" s="1" t="s">
        <v>9</v>
      </c>
      <c r="F2225" s="1">
        <v>0</v>
      </c>
      <c r="G2225" s="1" t="s">
        <v>4372</v>
      </c>
      <c r="H2225" s="1" t="s">
        <v>4372</v>
      </c>
      <c r="I2225" s="1" t="s">
        <v>4377</v>
      </c>
      <c r="J2225" s="1" t="s">
        <v>7687</v>
      </c>
      <c r="K2225" s="1" t="s">
        <v>7688</v>
      </c>
    </row>
    <row r="2226" spans="1:11" ht="21" x14ac:dyDescent="0.25">
      <c r="A2226" s="11" t="str">
        <f>HYPERLINK("https://rth.dk/resources/bsgatlas/details.php?id=BSGatlas-transcript-2225","BSGatlas-transcript-2225")</f>
        <v>BSGatlas-transcript-2225</v>
      </c>
      <c r="B2226" s="1" t="s">
        <v>7689</v>
      </c>
      <c r="C2226" s="3">
        <v>2062097</v>
      </c>
      <c r="D2226" s="3">
        <v>2063400</v>
      </c>
      <c r="E2226" s="1" t="s">
        <v>9</v>
      </c>
      <c r="F2226" s="1">
        <v>0</v>
      </c>
      <c r="G2226" s="1" t="s">
        <v>4372</v>
      </c>
      <c r="H2226" s="1" t="s">
        <v>4372</v>
      </c>
      <c r="I2226" s="1" t="s">
        <v>4373</v>
      </c>
      <c r="J2226" s="1" t="s">
        <v>7690</v>
      </c>
      <c r="K2226" s="1" t="s">
        <v>7691</v>
      </c>
    </row>
    <row r="2227" spans="1:11" ht="21" x14ac:dyDescent="0.25">
      <c r="A2227" s="11" t="str">
        <f>HYPERLINK("https://rth.dk/resources/bsgatlas/details.php?id=BSGatlas-transcript-2226","BSGatlas-transcript-2226")</f>
        <v>BSGatlas-transcript-2226</v>
      </c>
      <c r="B2227" s="1" t="s">
        <v>7689</v>
      </c>
      <c r="C2227" s="3">
        <v>2062097</v>
      </c>
      <c r="D2227" s="3">
        <v>2063446</v>
      </c>
      <c r="E2227" s="1" t="s">
        <v>9</v>
      </c>
      <c r="F2227" s="1">
        <v>0</v>
      </c>
      <c r="G2227" s="1" t="s">
        <v>4372</v>
      </c>
      <c r="H2227" s="1" t="s">
        <v>4372</v>
      </c>
      <c r="I2227" s="1" t="s">
        <v>4373</v>
      </c>
      <c r="J2227" s="1" t="s">
        <v>7690</v>
      </c>
      <c r="K2227" s="1" t="s">
        <v>7692</v>
      </c>
    </row>
    <row r="2228" spans="1:11" ht="21" x14ac:dyDescent="0.25">
      <c r="A2228" s="11" t="str">
        <f>HYPERLINK("https://rth.dk/resources/bsgatlas/details.php?id=BSGatlas-transcript-2227","BSGatlas-transcript-2227")</f>
        <v>BSGatlas-transcript-2227</v>
      </c>
      <c r="B2228" s="1" t="s">
        <v>2086</v>
      </c>
      <c r="C2228" s="3">
        <v>2063026</v>
      </c>
      <c r="D2228" s="3">
        <v>2063400</v>
      </c>
      <c r="E2228" s="1" t="s">
        <v>9</v>
      </c>
      <c r="F2228" s="1">
        <v>0</v>
      </c>
      <c r="G2228" s="1" t="s">
        <v>4372</v>
      </c>
      <c r="H2228" s="1" t="s">
        <v>4372</v>
      </c>
      <c r="I2228" s="1" t="s">
        <v>4377</v>
      </c>
      <c r="J2228" s="1" t="s">
        <v>7693</v>
      </c>
      <c r="K2228" s="1" t="s">
        <v>7691</v>
      </c>
    </row>
    <row r="2229" spans="1:11" ht="21" x14ac:dyDescent="0.25">
      <c r="A2229" s="11" t="str">
        <f>HYPERLINK("https://rth.dk/resources/bsgatlas/details.php?id=BSGatlas-transcript-2228","BSGatlas-transcript-2228")</f>
        <v>BSGatlas-transcript-2228</v>
      </c>
      <c r="B2229" s="1" t="s">
        <v>2086</v>
      </c>
      <c r="C2229" s="3">
        <v>2063026</v>
      </c>
      <c r="D2229" s="3">
        <v>2063446</v>
      </c>
      <c r="E2229" s="1" t="s">
        <v>9</v>
      </c>
      <c r="F2229" s="1">
        <v>0</v>
      </c>
      <c r="G2229" s="1" t="s">
        <v>4372</v>
      </c>
      <c r="H2229" s="1" t="s">
        <v>4372</v>
      </c>
      <c r="I2229" s="1" t="s">
        <v>4377</v>
      </c>
      <c r="J2229" s="1" t="s">
        <v>7693</v>
      </c>
      <c r="K2229" s="1" t="s">
        <v>7692</v>
      </c>
    </row>
    <row r="2230" spans="1:11" ht="21" x14ac:dyDescent="0.25">
      <c r="A2230" s="11" t="str">
        <f>HYPERLINK("https://rth.dk/resources/bsgatlas/details.php?id=BSGatlas-transcript-2229","BSGatlas-transcript-2229")</f>
        <v>BSGatlas-transcript-2229</v>
      </c>
      <c r="B2230" s="1" t="s">
        <v>7694</v>
      </c>
      <c r="C2230" s="3">
        <v>2063064</v>
      </c>
      <c r="D2230" s="3">
        <v>2065456</v>
      </c>
      <c r="E2230" s="1" t="s">
        <v>13</v>
      </c>
      <c r="F2230" s="1">
        <v>1</v>
      </c>
      <c r="G2230" s="1">
        <v>624</v>
      </c>
      <c r="H2230" s="1">
        <v>447</v>
      </c>
      <c r="I2230" s="1" t="s">
        <v>4373</v>
      </c>
      <c r="J2230" s="1" t="s">
        <v>7695</v>
      </c>
      <c r="K2230" s="1" t="s">
        <v>7696</v>
      </c>
    </row>
    <row r="2231" spans="1:11" ht="21" x14ac:dyDescent="0.25">
      <c r="A2231" s="11" t="str">
        <f>HYPERLINK("https://rth.dk/resources/bsgatlas/details.php?id=BSGatlas-transcript-2230","BSGatlas-transcript-2230")</f>
        <v>BSGatlas-transcript-2230</v>
      </c>
      <c r="B2231" s="1" t="s">
        <v>7694</v>
      </c>
      <c r="C2231" s="3">
        <v>2063510</v>
      </c>
      <c r="D2231" s="3">
        <v>2065456</v>
      </c>
      <c r="E2231" s="1" t="s">
        <v>13</v>
      </c>
      <c r="F2231" s="1">
        <v>1</v>
      </c>
      <c r="G2231" s="1">
        <v>624</v>
      </c>
      <c r="H2231" s="1" t="s">
        <v>4372</v>
      </c>
      <c r="I2231" s="1" t="s">
        <v>4373</v>
      </c>
      <c r="J2231" s="1" t="s">
        <v>7695</v>
      </c>
      <c r="K2231" s="1" t="s">
        <v>7697</v>
      </c>
    </row>
    <row r="2232" spans="1:11" ht="21" x14ac:dyDescent="0.25">
      <c r="A2232" s="11" t="str">
        <f>HYPERLINK("https://rth.dk/resources/bsgatlas/details.php?id=BSGatlas-transcript-2231","BSGatlas-transcript-2231")</f>
        <v>BSGatlas-transcript-2231</v>
      </c>
      <c r="B2232" s="1" t="s">
        <v>2090</v>
      </c>
      <c r="C2232" s="3">
        <v>2064984</v>
      </c>
      <c r="D2232" s="3">
        <v>2065434</v>
      </c>
      <c r="E2232" s="1" t="s">
        <v>9</v>
      </c>
      <c r="F2232" s="1">
        <v>0</v>
      </c>
      <c r="G2232" s="1" t="s">
        <v>4372</v>
      </c>
      <c r="H2232" s="1" t="s">
        <v>4372</v>
      </c>
      <c r="I2232" s="1" t="s">
        <v>4373</v>
      </c>
      <c r="J2232" s="1" t="s">
        <v>7698</v>
      </c>
      <c r="K2232" s="1" t="s">
        <v>7699</v>
      </c>
    </row>
    <row r="2233" spans="1:11" ht="21" x14ac:dyDescent="0.25">
      <c r="A2233" s="11" t="str">
        <f>HYPERLINK("https://rth.dk/resources/bsgatlas/details.php?id=BSGatlas-transcript-2232","BSGatlas-transcript-2232")</f>
        <v>BSGatlas-transcript-2232</v>
      </c>
      <c r="B2233" s="1" t="s">
        <v>2091</v>
      </c>
      <c r="C2233" s="3">
        <v>2065401</v>
      </c>
      <c r="D2233" s="3">
        <v>2069174</v>
      </c>
      <c r="E2233" s="1" t="s">
        <v>13</v>
      </c>
      <c r="F2233" s="1">
        <v>0</v>
      </c>
      <c r="G2233" s="1" t="s">
        <v>4372</v>
      </c>
      <c r="H2233" s="1" t="s">
        <v>4372</v>
      </c>
      <c r="I2233" s="1" t="s">
        <v>4386</v>
      </c>
      <c r="J2233" s="1" t="s">
        <v>7700</v>
      </c>
      <c r="K2233" s="1" t="s">
        <v>7701</v>
      </c>
    </row>
    <row r="2234" spans="1:11" ht="21" x14ac:dyDescent="0.25">
      <c r="A2234" s="11" t="str">
        <f>HYPERLINK("https://rth.dk/resources/bsgatlas/details.php?id=BSGatlas-transcript-2233","BSGatlas-transcript-2233")</f>
        <v>BSGatlas-transcript-2233</v>
      </c>
      <c r="B2234" s="1" t="s">
        <v>7702</v>
      </c>
      <c r="C2234" s="3">
        <v>2065401</v>
      </c>
      <c r="D2234" s="3">
        <v>2069699</v>
      </c>
      <c r="E2234" s="1" t="s">
        <v>13</v>
      </c>
      <c r="F2234" s="1">
        <v>2</v>
      </c>
      <c r="G2234" s="1">
        <v>139</v>
      </c>
      <c r="H2234" s="1">
        <v>24</v>
      </c>
      <c r="I2234" s="1" t="s">
        <v>4386</v>
      </c>
      <c r="J2234" s="1" t="s">
        <v>7703</v>
      </c>
      <c r="K2234" s="1" t="s">
        <v>7701</v>
      </c>
    </row>
    <row r="2235" spans="1:11" ht="21" x14ac:dyDescent="0.25">
      <c r="A2235" s="11" t="str">
        <f>HYPERLINK("https://rth.dk/resources/bsgatlas/details.php?id=BSGatlas-transcript-2234","BSGatlas-transcript-2234")</f>
        <v>BSGatlas-transcript-2234</v>
      </c>
      <c r="B2235" s="1" t="s">
        <v>2094</v>
      </c>
      <c r="C2235" s="3">
        <v>2069732</v>
      </c>
      <c r="D2235" s="3">
        <v>2070118</v>
      </c>
      <c r="E2235" s="1" t="s">
        <v>13</v>
      </c>
      <c r="F2235" s="1">
        <v>0</v>
      </c>
      <c r="G2235" s="1" t="s">
        <v>4372</v>
      </c>
      <c r="H2235" s="1" t="s">
        <v>4372</v>
      </c>
      <c r="I2235" s="1" t="s">
        <v>4386</v>
      </c>
      <c r="J2235" s="1" t="s">
        <v>7704</v>
      </c>
      <c r="K2235" s="1" t="s">
        <v>7705</v>
      </c>
    </row>
    <row r="2236" spans="1:11" ht="21" x14ac:dyDescent="0.25">
      <c r="A2236" s="11" t="str">
        <f>HYPERLINK("https://rth.dk/resources/bsgatlas/details.php?id=BSGatlas-transcript-2235","BSGatlas-transcript-2235")</f>
        <v>BSGatlas-transcript-2235</v>
      </c>
      <c r="B2236" s="1" t="s">
        <v>7706</v>
      </c>
      <c r="C2236" s="3">
        <v>2069811</v>
      </c>
      <c r="D2236" s="3">
        <v>2070075</v>
      </c>
      <c r="E2236" s="1" t="s">
        <v>9</v>
      </c>
      <c r="F2236" s="1">
        <v>0</v>
      </c>
      <c r="G2236" s="1" t="s">
        <v>4372</v>
      </c>
      <c r="H2236" s="1" t="s">
        <v>4372</v>
      </c>
      <c r="I2236" s="1" t="s">
        <v>4386</v>
      </c>
      <c r="J2236" s="1" t="s">
        <v>7707</v>
      </c>
      <c r="K2236" s="1" t="s">
        <v>7708</v>
      </c>
    </row>
    <row r="2237" spans="1:11" ht="21" x14ac:dyDescent="0.25">
      <c r="A2237" s="11" t="str">
        <f>HYPERLINK("https://rth.dk/resources/bsgatlas/details.php?id=BSGatlas-transcript-2236","BSGatlas-transcript-2236")</f>
        <v>BSGatlas-transcript-2236</v>
      </c>
      <c r="B2237" s="1" t="s">
        <v>7706</v>
      </c>
      <c r="C2237" s="3">
        <v>2069811</v>
      </c>
      <c r="D2237" s="3">
        <v>2070075</v>
      </c>
      <c r="E2237" s="1" t="s">
        <v>9</v>
      </c>
      <c r="F2237" s="1">
        <v>0</v>
      </c>
      <c r="G2237" s="1" t="s">
        <v>4372</v>
      </c>
      <c r="H2237" s="1" t="s">
        <v>4372</v>
      </c>
      <c r="I2237" s="1" t="s">
        <v>4386</v>
      </c>
      <c r="J2237" s="1" t="s">
        <v>7707</v>
      </c>
      <c r="K2237" s="1" t="s">
        <v>7709</v>
      </c>
    </row>
    <row r="2238" spans="1:11" ht="21" x14ac:dyDescent="0.25">
      <c r="A2238" s="11" t="str">
        <f>HYPERLINK("https://rth.dk/resources/bsgatlas/details.php?id=BSGatlas-transcript-2237","BSGatlas-transcript-2237")</f>
        <v>BSGatlas-transcript-2237</v>
      </c>
      <c r="B2238" s="1" t="s">
        <v>2097</v>
      </c>
      <c r="C2238" s="3">
        <v>2069947</v>
      </c>
      <c r="D2238" s="3">
        <v>2070126</v>
      </c>
      <c r="E2238" s="1" t="s">
        <v>13</v>
      </c>
      <c r="F2238" s="1">
        <v>0</v>
      </c>
      <c r="G2238" s="1" t="s">
        <v>4372</v>
      </c>
      <c r="H2238" s="1" t="s">
        <v>4372</v>
      </c>
      <c r="I2238" s="1" t="s">
        <v>4377</v>
      </c>
      <c r="J2238" s="1" t="s">
        <v>318</v>
      </c>
      <c r="K2238" s="1" t="s">
        <v>7710</v>
      </c>
    </row>
    <row r="2239" spans="1:11" ht="21" x14ac:dyDescent="0.25">
      <c r="A2239" s="11" t="str">
        <f>HYPERLINK("https://rth.dk/resources/bsgatlas/details.php?id=BSGatlas-transcript-2238","BSGatlas-transcript-2238")</f>
        <v>BSGatlas-transcript-2238</v>
      </c>
      <c r="B2239" s="1" t="s">
        <v>2099</v>
      </c>
      <c r="C2239" s="3">
        <v>2070244</v>
      </c>
      <c r="D2239" s="3">
        <v>2071114</v>
      </c>
      <c r="E2239" s="1" t="s">
        <v>13</v>
      </c>
      <c r="F2239" s="1">
        <v>0</v>
      </c>
      <c r="G2239" s="1" t="s">
        <v>4372</v>
      </c>
      <c r="H2239" s="1" t="s">
        <v>4372</v>
      </c>
      <c r="I2239" s="1" t="s">
        <v>4373</v>
      </c>
      <c r="J2239" s="1" t="s">
        <v>7711</v>
      </c>
      <c r="K2239" s="1" t="s">
        <v>318</v>
      </c>
    </row>
    <row r="2240" spans="1:11" ht="21" x14ac:dyDescent="0.25">
      <c r="A2240" s="11" t="str">
        <f>HYPERLINK("https://rth.dk/resources/bsgatlas/details.php?id=BSGatlas-transcript-2239","BSGatlas-transcript-2239")</f>
        <v>BSGatlas-transcript-2239</v>
      </c>
      <c r="B2240" s="1" t="s">
        <v>2100</v>
      </c>
      <c r="C2240" s="3">
        <v>2071220</v>
      </c>
      <c r="D2240" s="3">
        <v>2071744</v>
      </c>
      <c r="E2240" s="1" t="s">
        <v>13</v>
      </c>
      <c r="F2240" s="1">
        <v>0</v>
      </c>
      <c r="G2240" s="1" t="s">
        <v>4372</v>
      </c>
      <c r="H2240" s="1" t="s">
        <v>4372</v>
      </c>
      <c r="I2240" s="1" t="s">
        <v>4377</v>
      </c>
      <c r="J2240" s="1" t="s">
        <v>318</v>
      </c>
      <c r="K2240" s="1" t="s">
        <v>7712</v>
      </c>
    </row>
    <row r="2241" spans="1:11" ht="21" x14ac:dyDescent="0.25">
      <c r="A2241" s="11" t="str">
        <f>HYPERLINK("https://rth.dk/resources/bsgatlas/details.php?id=BSGatlas-transcript-2240","BSGatlas-transcript-2240")</f>
        <v>BSGatlas-transcript-2240</v>
      </c>
      <c r="B2241" s="1" t="s">
        <v>2101</v>
      </c>
      <c r="C2241" s="3">
        <v>2071754</v>
      </c>
      <c r="D2241" s="3">
        <v>2073596</v>
      </c>
      <c r="E2241" s="1" t="s">
        <v>13</v>
      </c>
      <c r="F2241" s="1">
        <v>0</v>
      </c>
      <c r="G2241" s="1" t="s">
        <v>4372</v>
      </c>
      <c r="H2241" s="1" t="s">
        <v>4372</v>
      </c>
      <c r="I2241" s="1" t="s">
        <v>4377</v>
      </c>
      <c r="J2241" s="1" t="s">
        <v>7713</v>
      </c>
      <c r="K2241" s="1" t="s">
        <v>318</v>
      </c>
    </row>
    <row r="2242" spans="1:11" ht="21" x14ac:dyDescent="0.25">
      <c r="A2242" s="11" t="str">
        <f>HYPERLINK("https://rth.dk/resources/bsgatlas/details.php?id=BSGatlas-transcript-2241","BSGatlas-transcript-2241")</f>
        <v>BSGatlas-transcript-2241</v>
      </c>
      <c r="B2242" s="1" t="s">
        <v>2102</v>
      </c>
      <c r="C2242" s="3">
        <v>2073658</v>
      </c>
      <c r="D2242" s="3">
        <v>2074617</v>
      </c>
      <c r="E2242" s="1" t="s">
        <v>13</v>
      </c>
      <c r="F2242" s="1">
        <v>0</v>
      </c>
      <c r="G2242" s="1" t="s">
        <v>4372</v>
      </c>
      <c r="H2242" s="1" t="s">
        <v>4372</v>
      </c>
      <c r="I2242" s="1" t="s">
        <v>4377</v>
      </c>
      <c r="J2242" s="1" t="s">
        <v>7714</v>
      </c>
      <c r="K2242" s="1" t="s">
        <v>318</v>
      </c>
    </row>
    <row r="2243" spans="1:11" ht="21" x14ac:dyDescent="0.25">
      <c r="A2243" s="11" t="str">
        <f>HYPERLINK("https://rth.dk/resources/bsgatlas/details.php?id=BSGatlas-transcript-2242","BSGatlas-transcript-2242")</f>
        <v>BSGatlas-transcript-2242</v>
      </c>
      <c r="B2243" s="1" t="s">
        <v>7715</v>
      </c>
      <c r="C2243" s="3">
        <v>2074310</v>
      </c>
      <c r="D2243" s="3">
        <v>2078626</v>
      </c>
      <c r="E2243" s="1" t="s">
        <v>9</v>
      </c>
      <c r="F2243" s="1">
        <v>1</v>
      </c>
      <c r="G2243" s="1">
        <v>34</v>
      </c>
      <c r="H2243" s="1" t="s">
        <v>4372</v>
      </c>
      <c r="I2243" s="1" t="s">
        <v>4386</v>
      </c>
      <c r="J2243" s="1" t="s">
        <v>7716</v>
      </c>
      <c r="K2243" s="1" t="s">
        <v>318</v>
      </c>
    </row>
    <row r="2244" spans="1:11" ht="21" x14ac:dyDescent="0.25">
      <c r="A2244" s="11" t="str">
        <f>HYPERLINK("https://rth.dk/resources/bsgatlas/details.php?id=BSGatlas-transcript-2243","BSGatlas-transcript-2243")</f>
        <v>BSGatlas-transcript-2243</v>
      </c>
      <c r="B2244" s="1" t="s">
        <v>2104</v>
      </c>
      <c r="C2244" s="3">
        <v>2076113</v>
      </c>
      <c r="D2244" s="3">
        <v>2078626</v>
      </c>
      <c r="E2244" s="1" t="s">
        <v>9</v>
      </c>
      <c r="F2244" s="1">
        <v>0</v>
      </c>
      <c r="G2244" s="1" t="s">
        <v>4372</v>
      </c>
      <c r="H2244" s="1" t="s">
        <v>4372</v>
      </c>
      <c r="I2244" s="1" t="s">
        <v>4373</v>
      </c>
      <c r="J2244" s="1" t="s">
        <v>7717</v>
      </c>
      <c r="K2244" s="1" t="s">
        <v>318</v>
      </c>
    </row>
    <row r="2245" spans="1:11" ht="21" x14ac:dyDescent="0.25">
      <c r="A2245" s="11" t="str">
        <f>HYPERLINK("https://rth.dk/resources/bsgatlas/details.php?id=BSGatlas-transcript-2244","BSGatlas-transcript-2244")</f>
        <v>BSGatlas-transcript-2244</v>
      </c>
      <c r="B2245" s="1" t="s">
        <v>7718</v>
      </c>
      <c r="C2245" s="3">
        <v>2078515</v>
      </c>
      <c r="D2245" s="3">
        <v>2081141</v>
      </c>
      <c r="E2245" s="1" t="s">
        <v>13</v>
      </c>
      <c r="F2245" s="1">
        <v>1</v>
      </c>
      <c r="G2245" s="1">
        <v>48</v>
      </c>
      <c r="H2245" s="1">
        <v>700</v>
      </c>
      <c r="I2245" s="1" t="s">
        <v>4386</v>
      </c>
      <c r="J2245" s="1" t="s">
        <v>7719</v>
      </c>
      <c r="K2245" s="1" t="s">
        <v>7720</v>
      </c>
    </row>
    <row r="2246" spans="1:11" ht="21" x14ac:dyDescent="0.25">
      <c r="A2246" s="11" t="str">
        <f>HYPERLINK("https://rth.dk/resources/bsgatlas/details.php?id=BSGatlas-transcript-2245","BSGatlas-transcript-2245")</f>
        <v>BSGatlas-transcript-2245</v>
      </c>
      <c r="B2246" s="1" t="s">
        <v>7721</v>
      </c>
      <c r="C2246" s="3">
        <v>2078515</v>
      </c>
      <c r="D2246" s="3">
        <v>2082484</v>
      </c>
      <c r="E2246" s="1" t="s">
        <v>13</v>
      </c>
      <c r="F2246" s="1">
        <v>2</v>
      </c>
      <c r="G2246" s="1">
        <v>31</v>
      </c>
      <c r="H2246" s="1">
        <v>700</v>
      </c>
      <c r="I2246" s="1" t="s">
        <v>4386</v>
      </c>
      <c r="J2246" s="1" t="s">
        <v>7722</v>
      </c>
      <c r="K2246" s="1" t="s">
        <v>7720</v>
      </c>
    </row>
    <row r="2247" spans="1:11" ht="21" x14ac:dyDescent="0.25">
      <c r="A2247" s="11" t="str">
        <f>HYPERLINK("https://rth.dk/resources/bsgatlas/details.php?id=BSGatlas-transcript-2246","BSGatlas-transcript-2246")</f>
        <v>BSGatlas-transcript-2246</v>
      </c>
      <c r="B2247" s="1" t="s">
        <v>7721</v>
      </c>
      <c r="C2247" s="3">
        <v>2078515</v>
      </c>
      <c r="D2247" s="3">
        <v>2082528</v>
      </c>
      <c r="E2247" s="1" t="s">
        <v>13</v>
      </c>
      <c r="F2247" s="1">
        <v>2</v>
      </c>
      <c r="G2247" s="1">
        <v>75</v>
      </c>
      <c r="H2247" s="1">
        <v>700</v>
      </c>
      <c r="I2247" s="1" t="s">
        <v>4386</v>
      </c>
      <c r="J2247" s="1" t="s">
        <v>7723</v>
      </c>
      <c r="K2247" s="1" t="s">
        <v>7720</v>
      </c>
    </row>
    <row r="2248" spans="1:11" ht="21" x14ac:dyDescent="0.25">
      <c r="A2248" s="11" t="str">
        <f>HYPERLINK("https://rth.dk/resources/bsgatlas/details.php?id=BSGatlas-transcript-2247","BSGatlas-transcript-2247")</f>
        <v>BSGatlas-transcript-2247</v>
      </c>
      <c r="B2248" s="1" t="s">
        <v>2110</v>
      </c>
      <c r="C2248" s="3">
        <v>2079094</v>
      </c>
      <c r="D2248" s="3">
        <v>2079225</v>
      </c>
      <c r="E2248" s="1" t="s">
        <v>9</v>
      </c>
      <c r="F2248" s="1">
        <v>0</v>
      </c>
      <c r="G2248" s="1" t="s">
        <v>4372</v>
      </c>
      <c r="H2248" s="1" t="s">
        <v>4372</v>
      </c>
      <c r="I2248" s="1" t="s">
        <v>4547</v>
      </c>
      <c r="J2248" s="1" t="s">
        <v>7724</v>
      </c>
      <c r="K2248" s="1" t="s">
        <v>7725</v>
      </c>
    </row>
    <row r="2249" spans="1:11" ht="21" x14ac:dyDescent="0.25">
      <c r="A2249" s="11" t="str">
        <f>HYPERLINK("https://rth.dk/resources/bsgatlas/details.php?id=BSGatlas-transcript-2248","BSGatlas-transcript-2248")</f>
        <v>BSGatlas-transcript-2248</v>
      </c>
      <c r="B2249" s="1" t="s">
        <v>7718</v>
      </c>
      <c r="C2249" s="3">
        <v>2079214</v>
      </c>
      <c r="D2249" s="3">
        <v>2081141</v>
      </c>
      <c r="E2249" s="1" t="s">
        <v>13</v>
      </c>
      <c r="F2249" s="1">
        <v>1</v>
      </c>
      <c r="G2249" s="1">
        <v>48</v>
      </c>
      <c r="H2249" s="1" t="s">
        <v>4372</v>
      </c>
      <c r="I2249" s="1" t="s">
        <v>4386</v>
      </c>
      <c r="J2249" s="1" t="s">
        <v>7719</v>
      </c>
      <c r="K2249" s="1" t="s">
        <v>7726</v>
      </c>
    </row>
    <row r="2250" spans="1:11" ht="21" x14ac:dyDescent="0.25">
      <c r="A2250" s="11" t="str">
        <f>HYPERLINK("https://rth.dk/resources/bsgatlas/details.php?id=BSGatlas-transcript-2249","BSGatlas-transcript-2249")</f>
        <v>BSGatlas-transcript-2249</v>
      </c>
      <c r="B2250" s="1" t="s">
        <v>7721</v>
      </c>
      <c r="C2250" s="3">
        <v>2079214</v>
      </c>
      <c r="D2250" s="3">
        <v>2082484</v>
      </c>
      <c r="E2250" s="1" t="s">
        <v>13</v>
      </c>
      <c r="F2250" s="1">
        <v>2</v>
      </c>
      <c r="G2250" s="1">
        <v>31</v>
      </c>
      <c r="H2250" s="1" t="s">
        <v>4372</v>
      </c>
      <c r="I2250" s="1" t="s">
        <v>4386</v>
      </c>
      <c r="J2250" s="1" t="s">
        <v>7722</v>
      </c>
      <c r="K2250" s="1" t="s">
        <v>7726</v>
      </c>
    </row>
    <row r="2251" spans="1:11" ht="21" x14ac:dyDescent="0.25">
      <c r="A2251" s="11" t="str">
        <f>HYPERLINK("https://rth.dk/resources/bsgatlas/details.php?id=BSGatlas-transcript-2250","BSGatlas-transcript-2250")</f>
        <v>BSGatlas-transcript-2250</v>
      </c>
      <c r="B2251" s="1" t="s">
        <v>7721</v>
      </c>
      <c r="C2251" s="3">
        <v>2079214</v>
      </c>
      <c r="D2251" s="3">
        <v>2082528</v>
      </c>
      <c r="E2251" s="1" t="s">
        <v>13</v>
      </c>
      <c r="F2251" s="1">
        <v>2</v>
      </c>
      <c r="G2251" s="1">
        <v>75</v>
      </c>
      <c r="H2251" s="1" t="s">
        <v>4372</v>
      </c>
      <c r="I2251" s="1" t="s">
        <v>4386</v>
      </c>
      <c r="J2251" s="1" t="s">
        <v>7723</v>
      </c>
      <c r="K2251" s="1" t="s">
        <v>7726</v>
      </c>
    </row>
    <row r="2252" spans="1:11" ht="21" x14ac:dyDescent="0.25">
      <c r="A2252" s="11" t="str">
        <f>HYPERLINK("https://rth.dk/resources/bsgatlas/details.php?id=BSGatlas-transcript-2251","BSGatlas-transcript-2251")</f>
        <v>BSGatlas-transcript-2251</v>
      </c>
      <c r="B2252" s="1" t="s">
        <v>2111</v>
      </c>
      <c r="C2252" s="3">
        <v>2082531</v>
      </c>
      <c r="D2252" s="3">
        <v>2083056</v>
      </c>
      <c r="E2252" s="1" t="s">
        <v>13</v>
      </c>
      <c r="F2252" s="1">
        <v>0</v>
      </c>
      <c r="G2252" s="1" t="s">
        <v>4372</v>
      </c>
      <c r="H2252" s="1" t="s">
        <v>4372</v>
      </c>
      <c r="I2252" s="1" t="s">
        <v>4377</v>
      </c>
      <c r="J2252" s="1" t="s">
        <v>7727</v>
      </c>
      <c r="K2252" s="1" t="s">
        <v>318</v>
      </c>
    </row>
    <row r="2253" spans="1:11" ht="21" x14ac:dyDescent="0.25">
      <c r="A2253" s="11" t="str">
        <f>HYPERLINK("https://rth.dk/resources/bsgatlas/details.php?id=BSGatlas-transcript-2252","BSGatlas-transcript-2252")</f>
        <v>BSGatlas-transcript-2252</v>
      </c>
      <c r="B2253" s="1" t="s">
        <v>2112</v>
      </c>
      <c r="C2253" s="3">
        <v>2083067</v>
      </c>
      <c r="D2253" s="3">
        <v>2084046</v>
      </c>
      <c r="E2253" s="1" t="s">
        <v>13</v>
      </c>
      <c r="F2253" s="1">
        <v>0</v>
      </c>
      <c r="G2253" s="1" t="s">
        <v>4372</v>
      </c>
      <c r="H2253" s="1" t="s">
        <v>4372</v>
      </c>
      <c r="I2253" s="1" t="s">
        <v>4386</v>
      </c>
      <c r="J2253" s="1" t="s">
        <v>7728</v>
      </c>
      <c r="K2253" s="1" t="s">
        <v>7729</v>
      </c>
    </row>
    <row r="2254" spans="1:11" ht="21" x14ac:dyDescent="0.25">
      <c r="A2254" s="11" t="str">
        <f>HYPERLINK("https://rth.dk/resources/bsgatlas/details.php?id=BSGatlas-transcript-2253","BSGatlas-transcript-2253")</f>
        <v>BSGatlas-transcript-2253</v>
      </c>
      <c r="B2254" s="1" t="s">
        <v>2113</v>
      </c>
      <c r="C2254" s="3">
        <v>2084109</v>
      </c>
      <c r="D2254" s="3">
        <v>2084759</v>
      </c>
      <c r="E2254" s="1" t="s">
        <v>9</v>
      </c>
      <c r="F2254" s="1">
        <v>0</v>
      </c>
      <c r="G2254" s="1" t="s">
        <v>4372</v>
      </c>
      <c r="H2254" s="1" t="s">
        <v>4372</v>
      </c>
      <c r="I2254" s="1" t="s">
        <v>4373</v>
      </c>
      <c r="J2254" s="1" t="s">
        <v>7730</v>
      </c>
      <c r="K2254" s="1" t="s">
        <v>7731</v>
      </c>
    </row>
    <row r="2255" spans="1:11" ht="21" x14ac:dyDescent="0.25">
      <c r="A2255" s="11" t="str">
        <f>HYPERLINK("https://rth.dk/resources/bsgatlas/details.php?id=BSGatlas-transcript-2254","BSGatlas-transcript-2254")</f>
        <v>BSGatlas-transcript-2254</v>
      </c>
      <c r="B2255" s="1" t="s">
        <v>2113</v>
      </c>
      <c r="C2255" s="3">
        <v>2084109</v>
      </c>
      <c r="D2255" s="3">
        <v>2084912</v>
      </c>
      <c r="E2255" s="1" t="s">
        <v>9</v>
      </c>
      <c r="F2255" s="1">
        <v>0</v>
      </c>
      <c r="G2255" s="1" t="s">
        <v>4372</v>
      </c>
      <c r="H2255" s="1" t="s">
        <v>4372</v>
      </c>
      <c r="I2255" s="1" t="s">
        <v>4373</v>
      </c>
      <c r="J2255" s="1" t="s">
        <v>7730</v>
      </c>
      <c r="K2255" s="1" t="s">
        <v>7732</v>
      </c>
    </row>
    <row r="2256" spans="1:11" ht="21" x14ac:dyDescent="0.25">
      <c r="A2256" s="11" t="str">
        <f>HYPERLINK("https://rth.dk/resources/bsgatlas/details.php?id=BSGatlas-transcript-2255","BSGatlas-transcript-2255")</f>
        <v>BSGatlas-transcript-2255</v>
      </c>
      <c r="B2256" s="1" t="s">
        <v>2113</v>
      </c>
      <c r="C2256" s="3">
        <v>2084196</v>
      </c>
      <c r="D2256" s="3">
        <v>2084759</v>
      </c>
      <c r="E2256" s="1" t="s">
        <v>9</v>
      </c>
      <c r="F2256" s="1">
        <v>0</v>
      </c>
      <c r="G2256" s="1" t="s">
        <v>4372</v>
      </c>
      <c r="H2256" s="1" t="s">
        <v>4372</v>
      </c>
      <c r="I2256" s="1" t="s">
        <v>4373</v>
      </c>
      <c r="J2256" s="1" t="s">
        <v>7733</v>
      </c>
      <c r="K2256" s="1" t="s">
        <v>7731</v>
      </c>
    </row>
    <row r="2257" spans="1:11" ht="21" x14ac:dyDescent="0.25">
      <c r="A2257" s="11" t="str">
        <f>HYPERLINK("https://rth.dk/resources/bsgatlas/details.php?id=BSGatlas-transcript-2256","BSGatlas-transcript-2256")</f>
        <v>BSGatlas-transcript-2256</v>
      </c>
      <c r="B2257" s="1" t="s">
        <v>2113</v>
      </c>
      <c r="C2257" s="3">
        <v>2084196</v>
      </c>
      <c r="D2257" s="3">
        <v>2084912</v>
      </c>
      <c r="E2257" s="1" t="s">
        <v>9</v>
      </c>
      <c r="F2257" s="1">
        <v>0</v>
      </c>
      <c r="G2257" s="1" t="s">
        <v>4372</v>
      </c>
      <c r="H2257" s="1" t="s">
        <v>4372</v>
      </c>
      <c r="I2257" s="1" t="s">
        <v>4373</v>
      </c>
      <c r="J2257" s="1" t="s">
        <v>7733</v>
      </c>
      <c r="K2257" s="1" t="s">
        <v>7732</v>
      </c>
    </row>
    <row r="2258" spans="1:11" ht="21" x14ac:dyDescent="0.25">
      <c r="A2258" s="11" t="str">
        <f>HYPERLINK("https://rth.dk/resources/bsgatlas/details.php?id=BSGatlas-transcript-2257","BSGatlas-transcript-2257")</f>
        <v>BSGatlas-transcript-2257</v>
      </c>
      <c r="B2258" s="1" t="s">
        <v>2114</v>
      </c>
      <c r="C2258" s="3">
        <v>2084771</v>
      </c>
      <c r="D2258" s="3">
        <v>2085141</v>
      </c>
      <c r="E2258" s="1" t="s">
        <v>13</v>
      </c>
      <c r="F2258" s="1">
        <v>0</v>
      </c>
      <c r="G2258" s="1" t="s">
        <v>4372</v>
      </c>
      <c r="H2258" s="1" t="s">
        <v>4372</v>
      </c>
      <c r="I2258" s="1" t="s">
        <v>4397</v>
      </c>
      <c r="J2258" s="1" t="s">
        <v>7734</v>
      </c>
      <c r="K2258" s="1" t="s">
        <v>7735</v>
      </c>
    </row>
    <row r="2259" spans="1:11" ht="21" x14ac:dyDescent="0.25">
      <c r="A2259" s="11" t="str">
        <f>HYPERLINK("https://rth.dk/resources/bsgatlas/details.php?id=BSGatlas-transcript-2258","BSGatlas-transcript-2258")</f>
        <v>BSGatlas-transcript-2258</v>
      </c>
      <c r="B2259" s="1" t="s">
        <v>2115</v>
      </c>
      <c r="C2259" s="3">
        <v>2085247</v>
      </c>
      <c r="D2259" s="3">
        <v>2085980</v>
      </c>
      <c r="E2259" s="1" t="s">
        <v>9</v>
      </c>
      <c r="F2259" s="1">
        <v>0</v>
      </c>
      <c r="G2259" s="1" t="s">
        <v>4372</v>
      </c>
      <c r="H2259" s="1" t="s">
        <v>4372</v>
      </c>
      <c r="I2259" s="1" t="s">
        <v>4397</v>
      </c>
      <c r="J2259" s="1" t="s">
        <v>7736</v>
      </c>
      <c r="K2259" s="1" t="s">
        <v>7737</v>
      </c>
    </row>
    <row r="2260" spans="1:11" ht="21" x14ac:dyDescent="0.25">
      <c r="A2260" s="11" t="str">
        <f>HYPERLINK("https://rth.dk/resources/bsgatlas/details.php?id=BSGatlas-transcript-2259","BSGatlas-transcript-2259")</f>
        <v>BSGatlas-transcript-2259</v>
      </c>
      <c r="B2260" s="1" t="s">
        <v>2116</v>
      </c>
      <c r="C2260" s="3">
        <v>2086070</v>
      </c>
      <c r="D2260" s="3">
        <v>2086653</v>
      </c>
      <c r="E2260" s="1" t="s">
        <v>13</v>
      </c>
      <c r="F2260" s="1">
        <v>0</v>
      </c>
      <c r="G2260" s="1" t="s">
        <v>4372</v>
      </c>
      <c r="H2260" s="1" t="s">
        <v>4372</v>
      </c>
      <c r="I2260" s="1" t="s">
        <v>4386</v>
      </c>
      <c r="J2260" s="1" t="s">
        <v>7738</v>
      </c>
      <c r="K2260" s="1" t="s">
        <v>7739</v>
      </c>
    </row>
    <row r="2261" spans="1:11" ht="21" x14ac:dyDescent="0.25">
      <c r="A2261" s="11" t="str">
        <f>HYPERLINK("https://rth.dk/resources/bsgatlas/details.php?id=BSGatlas-transcript-2260","BSGatlas-transcript-2260")</f>
        <v>BSGatlas-transcript-2260</v>
      </c>
      <c r="B2261" s="1" t="s">
        <v>2117</v>
      </c>
      <c r="C2261" s="3">
        <v>2086743</v>
      </c>
      <c r="D2261" s="3">
        <v>2087566</v>
      </c>
      <c r="E2261" s="1" t="s">
        <v>13</v>
      </c>
      <c r="F2261" s="1">
        <v>0</v>
      </c>
      <c r="G2261" s="1" t="s">
        <v>4372</v>
      </c>
      <c r="H2261" s="1" t="s">
        <v>4372</v>
      </c>
      <c r="I2261" s="1" t="s">
        <v>4386</v>
      </c>
      <c r="J2261" s="1" t="s">
        <v>7740</v>
      </c>
      <c r="K2261" s="1" t="s">
        <v>7741</v>
      </c>
    </row>
    <row r="2262" spans="1:11" ht="21" x14ac:dyDescent="0.25">
      <c r="A2262" s="11" t="str">
        <f>HYPERLINK("https://rth.dk/resources/bsgatlas/details.php?id=BSGatlas-transcript-2261","BSGatlas-transcript-2261")</f>
        <v>BSGatlas-transcript-2261</v>
      </c>
      <c r="B2262" s="1" t="s">
        <v>7742</v>
      </c>
      <c r="C2262" s="3">
        <v>2087648</v>
      </c>
      <c r="D2262" s="3">
        <v>2089234</v>
      </c>
      <c r="E2262" s="1" t="s">
        <v>9</v>
      </c>
      <c r="F2262" s="1">
        <v>1</v>
      </c>
      <c r="G2262" s="1">
        <v>49</v>
      </c>
      <c r="H2262" s="1" t="s">
        <v>4372</v>
      </c>
      <c r="I2262" s="1" t="s">
        <v>4386</v>
      </c>
      <c r="J2262" s="1" t="s">
        <v>7743</v>
      </c>
      <c r="K2262" s="1" t="s">
        <v>7744</v>
      </c>
    </row>
    <row r="2263" spans="1:11" ht="21" x14ac:dyDescent="0.25">
      <c r="A2263" s="11" t="str">
        <f>HYPERLINK("https://rth.dk/resources/bsgatlas/details.php?id=BSGatlas-transcript-2262","BSGatlas-transcript-2262")</f>
        <v>BSGatlas-transcript-2262</v>
      </c>
      <c r="B2263" s="1" t="s">
        <v>2119</v>
      </c>
      <c r="C2263" s="3">
        <v>2088221</v>
      </c>
      <c r="D2263" s="3">
        <v>2089234</v>
      </c>
      <c r="E2263" s="1" t="s">
        <v>9</v>
      </c>
      <c r="F2263" s="1">
        <v>0</v>
      </c>
      <c r="G2263" s="1" t="s">
        <v>4372</v>
      </c>
      <c r="H2263" s="1" t="s">
        <v>4372</v>
      </c>
      <c r="I2263" s="1" t="s">
        <v>4386</v>
      </c>
      <c r="J2263" s="1" t="s">
        <v>7745</v>
      </c>
      <c r="K2263" s="1" t="s">
        <v>7744</v>
      </c>
    </row>
    <row r="2264" spans="1:11" ht="21" x14ac:dyDescent="0.25">
      <c r="A2264" s="11" t="str">
        <f>HYPERLINK("https://rth.dk/resources/bsgatlas/details.php?id=BSGatlas-transcript-2263","BSGatlas-transcript-2263")</f>
        <v>BSGatlas-transcript-2263</v>
      </c>
      <c r="B2264" s="1" t="s">
        <v>2120</v>
      </c>
      <c r="C2264" s="3">
        <v>2089368</v>
      </c>
      <c r="D2264" s="3">
        <v>2090506</v>
      </c>
      <c r="E2264" s="1" t="s">
        <v>9</v>
      </c>
      <c r="F2264" s="1">
        <v>0</v>
      </c>
      <c r="G2264" s="1" t="s">
        <v>4372</v>
      </c>
      <c r="H2264" s="1" t="s">
        <v>4372</v>
      </c>
      <c r="I2264" s="1" t="s">
        <v>4373</v>
      </c>
      <c r="J2264" s="1" t="s">
        <v>7746</v>
      </c>
      <c r="K2264" s="1" t="s">
        <v>7747</v>
      </c>
    </row>
    <row r="2265" spans="1:11" ht="21" x14ac:dyDescent="0.25">
      <c r="A2265" s="11" t="str">
        <f>HYPERLINK("https://rth.dk/resources/bsgatlas/details.php?id=BSGatlas-transcript-2264","BSGatlas-transcript-2264")</f>
        <v>BSGatlas-transcript-2264</v>
      </c>
      <c r="B2265" s="1" t="s">
        <v>7748</v>
      </c>
      <c r="C2265" s="3">
        <v>2090526</v>
      </c>
      <c r="D2265" s="3">
        <v>2092347</v>
      </c>
      <c r="E2265" s="1" t="s">
        <v>9</v>
      </c>
      <c r="F2265" s="1">
        <v>1</v>
      </c>
      <c r="G2265" s="1">
        <v>49</v>
      </c>
      <c r="H2265" s="1">
        <v>44</v>
      </c>
      <c r="I2265" s="1" t="s">
        <v>4373</v>
      </c>
      <c r="J2265" s="1" t="s">
        <v>7749</v>
      </c>
      <c r="K2265" s="1" t="s">
        <v>7750</v>
      </c>
    </row>
    <row r="2266" spans="1:11" ht="21" x14ac:dyDescent="0.25">
      <c r="A2266" s="11" t="str">
        <f>HYPERLINK("https://rth.dk/resources/bsgatlas/details.php?id=BSGatlas-transcript-2265","BSGatlas-transcript-2265")</f>
        <v>BSGatlas-transcript-2265</v>
      </c>
      <c r="B2266" s="1" t="s">
        <v>2123</v>
      </c>
      <c r="C2266" s="3">
        <v>2092326</v>
      </c>
      <c r="D2266" s="3">
        <v>2092824</v>
      </c>
      <c r="E2266" s="1" t="s">
        <v>13</v>
      </c>
      <c r="F2266" s="1">
        <v>0</v>
      </c>
      <c r="G2266" s="1" t="s">
        <v>4372</v>
      </c>
      <c r="H2266" s="1" t="s">
        <v>4372</v>
      </c>
      <c r="I2266" s="1" t="s">
        <v>4377</v>
      </c>
      <c r="J2266" s="1" t="s">
        <v>7751</v>
      </c>
      <c r="K2266" s="1" t="s">
        <v>7752</v>
      </c>
    </row>
    <row r="2267" spans="1:11" ht="21" x14ac:dyDescent="0.25">
      <c r="A2267" s="11" t="str">
        <f>HYPERLINK("https://rth.dk/resources/bsgatlas/details.php?id=BSGatlas-transcript-2266","BSGatlas-transcript-2266")</f>
        <v>BSGatlas-transcript-2266</v>
      </c>
      <c r="B2267" s="1" t="s">
        <v>2124</v>
      </c>
      <c r="C2267" s="3">
        <v>2092817</v>
      </c>
      <c r="D2267" s="3">
        <v>2093011</v>
      </c>
      <c r="E2267" s="1" t="s">
        <v>9</v>
      </c>
      <c r="F2267" s="1">
        <v>0</v>
      </c>
      <c r="G2267" s="1" t="s">
        <v>4372</v>
      </c>
      <c r="H2267" s="1" t="s">
        <v>4372</v>
      </c>
      <c r="I2267" s="1" t="s">
        <v>4377</v>
      </c>
      <c r="J2267" s="1" t="s">
        <v>7753</v>
      </c>
      <c r="K2267" s="1" t="s">
        <v>7754</v>
      </c>
    </row>
    <row r="2268" spans="1:11" ht="21" x14ac:dyDescent="0.25">
      <c r="A2268" s="11" t="str">
        <f>HYPERLINK("https://rth.dk/resources/bsgatlas/details.php?id=BSGatlas-transcript-2267","BSGatlas-transcript-2267")</f>
        <v>BSGatlas-transcript-2267</v>
      </c>
      <c r="B2268" s="1" t="s">
        <v>2125</v>
      </c>
      <c r="C2268" s="3">
        <v>2092841</v>
      </c>
      <c r="D2268" s="3">
        <v>2093802</v>
      </c>
      <c r="E2268" s="1" t="s">
        <v>13</v>
      </c>
      <c r="F2268" s="1">
        <v>0</v>
      </c>
      <c r="G2268" s="1" t="s">
        <v>4372</v>
      </c>
      <c r="H2268" s="1" t="s">
        <v>4372</v>
      </c>
      <c r="I2268" s="1" t="s">
        <v>4373</v>
      </c>
      <c r="J2268" s="1" t="s">
        <v>7755</v>
      </c>
      <c r="K2268" s="1" t="s">
        <v>7756</v>
      </c>
    </row>
    <row r="2269" spans="1:11" ht="21" x14ac:dyDescent="0.25">
      <c r="A2269" s="11" t="str">
        <f>HYPERLINK("https://rth.dk/resources/bsgatlas/details.php?id=BSGatlas-transcript-2268","BSGatlas-transcript-2268")</f>
        <v>BSGatlas-transcript-2268</v>
      </c>
      <c r="B2269" s="1" t="s">
        <v>7757</v>
      </c>
      <c r="C2269" s="3">
        <v>2092841</v>
      </c>
      <c r="D2269" s="3">
        <v>2096113</v>
      </c>
      <c r="E2269" s="1" t="s">
        <v>13</v>
      </c>
      <c r="F2269" s="1">
        <v>2</v>
      </c>
      <c r="G2269" s="1" t="s">
        <v>4372</v>
      </c>
      <c r="H2269" s="1">
        <v>59</v>
      </c>
      <c r="I2269" s="1" t="s">
        <v>4386</v>
      </c>
      <c r="J2269" s="1" t="s">
        <v>7758</v>
      </c>
      <c r="K2269" s="1" t="s">
        <v>7756</v>
      </c>
    </row>
    <row r="2270" spans="1:11" ht="21" x14ac:dyDescent="0.25">
      <c r="A2270" s="11" t="str">
        <f>HYPERLINK("https://rth.dk/resources/bsgatlas/details.php?id=BSGatlas-transcript-2269","BSGatlas-transcript-2269")</f>
        <v>BSGatlas-transcript-2269</v>
      </c>
      <c r="B2270" s="1" t="s">
        <v>7759</v>
      </c>
      <c r="C2270" s="3">
        <v>2092841</v>
      </c>
      <c r="D2270" s="3">
        <v>2097023</v>
      </c>
      <c r="E2270" s="1" t="s">
        <v>13</v>
      </c>
      <c r="F2270" s="1">
        <v>3</v>
      </c>
      <c r="G2270" s="1">
        <v>48</v>
      </c>
      <c r="H2270" s="1">
        <v>59</v>
      </c>
      <c r="I2270" s="1" t="s">
        <v>4377</v>
      </c>
      <c r="J2270" s="1" t="s">
        <v>7760</v>
      </c>
      <c r="K2270" s="1" t="s">
        <v>7756</v>
      </c>
    </row>
    <row r="2271" spans="1:11" ht="21" x14ac:dyDescent="0.25">
      <c r="A2271" s="11" t="str">
        <f>HYPERLINK("https://rth.dk/resources/bsgatlas/details.php?id=BSGatlas-transcript-2270","BSGatlas-transcript-2270")</f>
        <v>BSGatlas-transcript-2270</v>
      </c>
      <c r="B2271" s="1" t="s">
        <v>2125</v>
      </c>
      <c r="C2271" s="3">
        <v>2092899</v>
      </c>
      <c r="D2271" s="3">
        <v>2093802</v>
      </c>
      <c r="E2271" s="1" t="s">
        <v>13</v>
      </c>
      <c r="F2271" s="1">
        <v>0</v>
      </c>
      <c r="G2271" s="1" t="s">
        <v>4372</v>
      </c>
      <c r="H2271" s="1" t="s">
        <v>4372</v>
      </c>
      <c r="I2271" s="1" t="s">
        <v>4373</v>
      </c>
      <c r="J2271" s="1" t="s">
        <v>7755</v>
      </c>
      <c r="K2271" s="1" t="s">
        <v>7761</v>
      </c>
    </row>
    <row r="2272" spans="1:11" ht="21" x14ac:dyDescent="0.25">
      <c r="A2272" s="11" t="str">
        <f>HYPERLINK("https://rth.dk/resources/bsgatlas/details.php?id=BSGatlas-transcript-2271","BSGatlas-transcript-2271")</f>
        <v>BSGatlas-transcript-2271</v>
      </c>
      <c r="B2272" s="1" t="s">
        <v>7757</v>
      </c>
      <c r="C2272" s="3">
        <v>2092899</v>
      </c>
      <c r="D2272" s="3">
        <v>2096113</v>
      </c>
      <c r="E2272" s="1" t="s">
        <v>13</v>
      </c>
      <c r="F2272" s="1">
        <v>2</v>
      </c>
      <c r="G2272" s="1" t="s">
        <v>4372</v>
      </c>
      <c r="H2272" s="1" t="s">
        <v>4372</v>
      </c>
      <c r="I2272" s="1" t="s">
        <v>4386</v>
      </c>
      <c r="J2272" s="1" t="s">
        <v>7758</v>
      </c>
      <c r="K2272" s="1" t="s">
        <v>7761</v>
      </c>
    </row>
    <row r="2273" spans="1:11" ht="21" x14ac:dyDescent="0.25">
      <c r="A2273" s="11" t="str">
        <f>HYPERLINK("https://rth.dk/resources/bsgatlas/details.php?id=BSGatlas-transcript-2272","BSGatlas-transcript-2272")</f>
        <v>BSGatlas-transcript-2272</v>
      </c>
      <c r="B2273" s="1" t="s">
        <v>7759</v>
      </c>
      <c r="C2273" s="3">
        <v>2092899</v>
      </c>
      <c r="D2273" s="3">
        <v>2097023</v>
      </c>
      <c r="E2273" s="1" t="s">
        <v>13</v>
      </c>
      <c r="F2273" s="1">
        <v>3</v>
      </c>
      <c r="G2273" s="1">
        <v>48</v>
      </c>
      <c r="H2273" s="1" t="s">
        <v>4372</v>
      </c>
      <c r="I2273" s="1" t="s">
        <v>4377</v>
      </c>
      <c r="J2273" s="1" t="s">
        <v>7760</v>
      </c>
      <c r="K2273" s="1" t="s">
        <v>7761</v>
      </c>
    </row>
    <row r="2274" spans="1:11" ht="21" x14ac:dyDescent="0.25">
      <c r="A2274" s="11" t="str">
        <f>HYPERLINK("https://rth.dk/resources/bsgatlas/details.php?id=BSGatlas-transcript-2273","BSGatlas-transcript-2273")</f>
        <v>BSGatlas-transcript-2273</v>
      </c>
      <c r="B2274" s="1" t="s">
        <v>2127</v>
      </c>
      <c r="C2274" s="3">
        <v>2095891</v>
      </c>
      <c r="D2274" s="3">
        <v>2096113</v>
      </c>
      <c r="E2274" s="1" t="s">
        <v>13</v>
      </c>
      <c r="F2274" s="1">
        <v>0</v>
      </c>
      <c r="G2274" s="1" t="s">
        <v>4372</v>
      </c>
      <c r="H2274" s="1" t="s">
        <v>4372</v>
      </c>
      <c r="I2274" s="1" t="s">
        <v>4373</v>
      </c>
      <c r="J2274" s="1" t="s">
        <v>7758</v>
      </c>
      <c r="K2274" s="1" t="s">
        <v>7762</v>
      </c>
    </row>
    <row r="2275" spans="1:11" ht="21" x14ac:dyDescent="0.25">
      <c r="A2275" s="11" t="str">
        <f>HYPERLINK("https://rth.dk/resources/bsgatlas/details.php?id=BSGatlas-transcript-2274","BSGatlas-transcript-2274")</f>
        <v>BSGatlas-transcript-2274</v>
      </c>
      <c r="B2275" s="1" t="s">
        <v>7763</v>
      </c>
      <c r="C2275" s="3">
        <v>2095891</v>
      </c>
      <c r="D2275" s="3">
        <v>2097023</v>
      </c>
      <c r="E2275" s="1" t="s">
        <v>13</v>
      </c>
      <c r="F2275" s="1">
        <v>1</v>
      </c>
      <c r="G2275" s="1">
        <v>48</v>
      </c>
      <c r="H2275" s="1">
        <v>19</v>
      </c>
      <c r="I2275" s="1" t="s">
        <v>4547</v>
      </c>
      <c r="J2275" s="1" t="s">
        <v>7760</v>
      </c>
      <c r="K2275" s="1" t="s">
        <v>7762</v>
      </c>
    </row>
    <row r="2276" spans="1:11" ht="21" x14ac:dyDescent="0.25">
      <c r="A2276" s="11" t="str">
        <f>HYPERLINK("https://rth.dk/resources/bsgatlas/details.php?id=BSGatlas-transcript-2275","BSGatlas-transcript-2275")</f>
        <v>BSGatlas-transcript-2275</v>
      </c>
      <c r="B2276" s="1" t="s">
        <v>2127</v>
      </c>
      <c r="C2276" s="3">
        <v>2095909</v>
      </c>
      <c r="D2276" s="3">
        <v>2096113</v>
      </c>
      <c r="E2276" s="1" t="s">
        <v>13</v>
      </c>
      <c r="F2276" s="1">
        <v>0</v>
      </c>
      <c r="G2276" s="1" t="s">
        <v>4372</v>
      </c>
      <c r="H2276" s="1" t="s">
        <v>4372</v>
      </c>
      <c r="I2276" s="1" t="s">
        <v>4373</v>
      </c>
      <c r="J2276" s="1" t="s">
        <v>7758</v>
      </c>
      <c r="K2276" s="1" t="s">
        <v>7764</v>
      </c>
    </row>
    <row r="2277" spans="1:11" ht="21" x14ac:dyDescent="0.25">
      <c r="A2277" s="11" t="str">
        <f>HYPERLINK("https://rth.dk/resources/bsgatlas/details.php?id=BSGatlas-transcript-2276","BSGatlas-transcript-2276")</f>
        <v>BSGatlas-transcript-2276</v>
      </c>
      <c r="B2277" s="1" t="s">
        <v>7763</v>
      </c>
      <c r="C2277" s="3">
        <v>2095909</v>
      </c>
      <c r="D2277" s="3">
        <v>2097023</v>
      </c>
      <c r="E2277" s="1" t="s">
        <v>13</v>
      </c>
      <c r="F2277" s="1">
        <v>1</v>
      </c>
      <c r="G2277" s="1">
        <v>48</v>
      </c>
      <c r="H2277" s="1" t="s">
        <v>4372</v>
      </c>
      <c r="I2277" s="1" t="s">
        <v>4547</v>
      </c>
      <c r="J2277" s="1" t="s">
        <v>7760</v>
      </c>
      <c r="K2277" s="1" t="s">
        <v>7764</v>
      </c>
    </row>
    <row r="2278" spans="1:11" ht="21" x14ac:dyDescent="0.25">
      <c r="A2278" s="11" t="str">
        <f>HYPERLINK("https://rth.dk/resources/bsgatlas/details.php?id=BSGatlas-transcript-2277","BSGatlas-transcript-2277")</f>
        <v>BSGatlas-transcript-2277</v>
      </c>
      <c r="B2278" s="1" t="s">
        <v>2128</v>
      </c>
      <c r="C2278" s="3">
        <v>2096350</v>
      </c>
      <c r="D2278" s="3">
        <v>2097023</v>
      </c>
      <c r="E2278" s="1" t="s">
        <v>13</v>
      </c>
      <c r="F2278" s="1">
        <v>0</v>
      </c>
      <c r="G2278" s="1" t="s">
        <v>4372</v>
      </c>
      <c r="H2278" s="1" t="s">
        <v>4372</v>
      </c>
      <c r="I2278" s="1" t="s">
        <v>4397</v>
      </c>
      <c r="J2278" s="1" t="s">
        <v>7760</v>
      </c>
      <c r="K2278" s="1" t="s">
        <v>7765</v>
      </c>
    </row>
    <row r="2279" spans="1:11" ht="21" x14ac:dyDescent="0.25">
      <c r="A2279" s="11" t="str">
        <f>HYPERLINK("https://rth.dk/resources/bsgatlas/details.php?id=BSGatlas-transcript-2278","BSGatlas-transcript-2278")</f>
        <v>BSGatlas-transcript-2278</v>
      </c>
      <c r="B2279" s="1" t="s">
        <v>2129</v>
      </c>
      <c r="C2279" s="3">
        <v>2097087</v>
      </c>
      <c r="D2279" s="3">
        <v>2097641</v>
      </c>
      <c r="E2279" s="1" t="s">
        <v>13</v>
      </c>
      <c r="F2279" s="1">
        <v>0</v>
      </c>
      <c r="G2279" s="1" t="s">
        <v>4372</v>
      </c>
      <c r="H2279" s="1" t="s">
        <v>4372</v>
      </c>
      <c r="I2279" s="1" t="s">
        <v>4373</v>
      </c>
      <c r="J2279" s="1" t="s">
        <v>7766</v>
      </c>
      <c r="K2279" s="1" t="s">
        <v>7767</v>
      </c>
    </row>
    <row r="2280" spans="1:11" ht="21" x14ac:dyDescent="0.25">
      <c r="A2280" s="11" t="str">
        <f>HYPERLINK("https://rth.dk/resources/bsgatlas/details.php?id=BSGatlas-transcript-2279","BSGatlas-transcript-2279")</f>
        <v>BSGatlas-transcript-2279</v>
      </c>
      <c r="B2280" s="1" t="s">
        <v>2130</v>
      </c>
      <c r="C2280" s="3">
        <v>2097692</v>
      </c>
      <c r="D2280" s="3">
        <v>2098024</v>
      </c>
      <c r="E2280" s="1" t="s">
        <v>13</v>
      </c>
      <c r="F2280" s="1">
        <v>0</v>
      </c>
      <c r="G2280" s="1" t="s">
        <v>4372</v>
      </c>
      <c r="H2280" s="1" t="s">
        <v>4372</v>
      </c>
      <c r="I2280" s="1" t="s">
        <v>4386</v>
      </c>
      <c r="J2280" s="1" t="s">
        <v>318</v>
      </c>
      <c r="K2280" s="1" t="s">
        <v>318</v>
      </c>
    </row>
    <row r="2281" spans="1:11" ht="21" x14ac:dyDescent="0.25">
      <c r="A2281" s="11" t="str">
        <f>HYPERLINK("https://rth.dk/resources/bsgatlas/details.php?id=BSGatlas-transcript-2280","BSGatlas-transcript-2280")</f>
        <v>BSGatlas-transcript-2280</v>
      </c>
      <c r="B2281" s="1" t="s">
        <v>2131</v>
      </c>
      <c r="C2281" s="3">
        <v>2098062</v>
      </c>
      <c r="D2281" s="3">
        <v>2098329</v>
      </c>
      <c r="E2281" s="1" t="s">
        <v>9</v>
      </c>
      <c r="F2281" s="1">
        <v>0</v>
      </c>
      <c r="G2281" s="1" t="s">
        <v>4372</v>
      </c>
      <c r="H2281" s="1" t="s">
        <v>4372</v>
      </c>
      <c r="I2281" s="1" t="s">
        <v>4547</v>
      </c>
      <c r="J2281" s="1" t="s">
        <v>7768</v>
      </c>
      <c r="K2281" s="1" t="s">
        <v>318</v>
      </c>
    </row>
    <row r="2282" spans="1:11" ht="21" x14ac:dyDescent="0.25">
      <c r="A2282" s="11" t="str">
        <f>HYPERLINK("https://rth.dk/resources/bsgatlas/details.php?id=BSGatlas-transcript-2281","BSGatlas-transcript-2281")</f>
        <v>BSGatlas-transcript-2281</v>
      </c>
      <c r="B2282" s="1" t="s">
        <v>7769</v>
      </c>
      <c r="C2282" s="3">
        <v>2098062</v>
      </c>
      <c r="D2282" s="3">
        <v>2099360</v>
      </c>
      <c r="E2282" s="1" t="s">
        <v>9</v>
      </c>
      <c r="F2282" s="1">
        <v>1</v>
      </c>
      <c r="G2282" s="1">
        <v>41</v>
      </c>
      <c r="H2282" s="1" t="s">
        <v>4372</v>
      </c>
      <c r="I2282" s="1" t="s">
        <v>4386</v>
      </c>
      <c r="J2282" s="1" t="s">
        <v>7768</v>
      </c>
      <c r="K2282" s="1" t="s">
        <v>7770</v>
      </c>
    </row>
    <row r="2283" spans="1:11" ht="21" x14ac:dyDescent="0.25">
      <c r="A2283" s="11" t="str">
        <f>HYPERLINK("https://rth.dk/resources/bsgatlas/details.php?id=BSGatlas-transcript-2282","BSGatlas-transcript-2282")</f>
        <v>BSGatlas-transcript-2282</v>
      </c>
      <c r="B2283" s="1" t="s">
        <v>2134</v>
      </c>
      <c r="C2283" s="3">
        <v>2098316</v>
      </c>
      <c r="D2283" s="3">
        <v>2098895</v>
      </c>
      <c r="E2283" s="1" t="s">
        <v>13</v>
      </c>
      <c r="F2283" s="1">
        <v>0</v>
      </c>
      <c r="G2283" s="1" t="s">
        <v>4372</v>
      </c>
      <c r="H2283" s="1" t="s">
        <v>4372</v>
      </c>
      <c r="I2283" s="1" t="s">
        <v>4547</v>
      </c>
      <c r="J2283" s="1" t="s">
        <v>7771</v>
      </c>
      <c r="K2283" s="1" t="s">
        <v>318</v>
      </c>
    </row>
    <row r="2284" spans="1:11" ht="21" x14ac:dyDescent="0.25">
      <c r="A2284" s="11" t="str">
        <f>HYPERLINK("https://rth.dk/resources/bsgatlas/details.php?id=BSGatlas-transcript-2283","BSGatlas-transcript-2283")</f>
        <v>BSGatlas-transcript-2283</v>
      </c>
      <c r="B2284" s="1" t="s">
        <v>7772</v>
      </c>
      <c r="C2284" s="3">
        <v>2098839</v>
      </c>
      <c r="D2284" s="3">
        <v>2099360</v>
      </c>
      <c r="E2284" s="1" t="s">
        <v>9</v>
      </c>
      <c r="F2284" s="1">
        <v>0</v>
      </c>
      <c r="G2284" s="1" t="s">
        <v>4372</v>
      </c>
      <c r="H2284" s="1" t="s">
        <v>4372</v>
      </c>
      <c r="I2284" s="1" t="s">
        <v>4386</v>
      </c>
      <c r="J2284" s="1" t="s">
        <v>7773</v>
      </c>
      <c r="K2284" s="1" t="s">
        <v>7770</v>
      </c>
    </row>
    <row r="2285" spans="1:11" ht="21" x14ac:dyDescent="0.25">
      <c r="A2285" s="11" t="str">
        <f>HYPERLINK("https://rth.dk/resources/bsgatlas/details.php?id=BSGatlas-transcript-2284","BSGatlas-transcript-2284")</f>
        <v>BSGatlas-transcript-2284</v>
      </c>
      <c r="B2285" s="1" t="s">
        <v>2135</v>
      </c>
      <c r="C2285" s="3">
        <v>2099393</v>
      </c>
      <c r="D2285" s="3">
        <v>2099863</v>
      </c>
      <c r="E2285" s="1" t="s">
        <v>13</v>
      </c>
      <c r="F2285" s="1">
        <v>0</v>
      </c>
      <c r="G2285" s="1" t="s">
        <v>4372</v>
      </c>
      <c r="H2285" s="1" t="s">
        <v>4372</v>
      </c>
      <c r="I2285" s="1" t="s">
        <v>4373</v>
      </c>
      <c r="J2285" s="1" t="s">
        <v>7774</v>
      </c>
      <c r="K2285" s="1" t="s">
        <v>7775</v>
      </c>
    </row>
    <row r="2286" spans="1:11" ht="21" x14ac:dyDescent="0.25">
      <c r="A2286" s="11" t="str">
        <f>HYPERLINK("https://rth.dk/resources/bsgatlas/details.php?id=BSGatlas-transcript-2285","BSGatlas-transcript-2285")</f>
        <v>BSGatlas-transcript-2285</v>
      </c>
      <c r="B2286" s="1" t="s">
        <v>2135</v>
      </c>
      <c r="C2286" s="3">
        <v>2099446</v>
      </c>
      <c r="D2286" s="3">
        <v>2099863</v>
      </c>
      <c r="E2286" s="1" t="s">
        <v>13</v>
      </c>
      <c r="F2286" s="1">
        <v>0</v>
      </c>
      <c r="G2286" s="1" t="s">
        <v>4372</v>
      </c>
      <c r="H2286" s="1" t="s">
        <v>4372</v>
      </c>
      <c r="I2286" s="1" t="s">
        <v>4373</v>
      </c>
      <c r="J2286" s="1" t="s">
        <v>7774</v>
      </c>
      <c r="K2286" s="1" t="s">
        <v>7776</v>
      </c>
    </row>
    <row r="2287" spans="1:11" ht="21" x14ac:dyDescent="0.25">
      <c r="A2287" s="11" t="str">
        <f>HYPERLINK("https://rth.dk/resources/bsgatlas/details.php?id=BSGatlas-transcript-2286","BSGatlas-transcript-2286")</f>
        <v>BSGatlas-transcript-2286</v>
      </c>
      <c r="B2287" s="1" t="s">
        <v>2136</v>
      </c>
      <c r="C2287" s="3">
        <v>2099817</v>
      </c>
      <c r="D2287" s="3">
        <v>2099956</v>
      </c>
      <c r="E2287" s="1" t="s">
        <v>13</v>
      </c>
      <c r="F2287" s="1">
        <v>0</v>
      </c>
      <c r="G2287" s="1" t="s">
        <v>4372</v>
      </c>
      <c r="H2287" s="1" t="s">
        <v>4372</v>
      </c>
      <c r="I2287" s="1" t="s">
        <v>4377</v>
      </c>
      <c r="J2287" s="1" t="s">
        <v>7777</v>
      </c>
      <c r="K2287" s="1" t="s">
        <v>318</v>
      </c>
    </row>
    <row r="2288" spans="1:11" ht="21" x14ac:dyDescent="0.25">
      <c r="A2288" s="11" t="str">
        <f>HYPERLINK("https://rth.dk/resources/bsgatlas/details.php?id=BSGatlas-transcript-2287","BSGatlas-transcript-2287")</f>
        <v>BSGatlas-transcript-2287</v>
      </c>
      <c r="B2288" s="1" t="s">
        <v>2137</v>
      </c>
      <c r="C2288" s="3">
        <v>2100089</v>
      </c>
      <c r="D2288" s="3">
        <v>2100389</v>
      </c>
      <c r="E2288" s="1" t="s">
        <v>13</v>
      </c>
      <c r="F2288" s="1">
        <v>0</v>
      </c>
      <c r="G2288" s="1" t="s">
        <v>4372</v>
      </c>
      <c r="H2288" s="1" t="s">
        <v>4372</v>
      </c>
      <c r="I2288" s="1" t="s">
        <v>4377</v>
      </c>
      <c r="J2288" s="1" t="s">
        <v>7778</v>
      </c>
      <c r="K2288" s="1" t="s">
        <v>7779</v>
      </c>
    </row>
    <row r="2289" spans="1:11" ht="21" x14ac:dyDescent="0.25">
      <c r="A2289" s="11" t="str">
        <f>HYPERLINK("https://rth.dk/resources/bsgatlas/details.php?id=BSGatlas-transcript-2288","BSGatlas-transcript-2288")</f>
        <v>BSGatlas-transcript-2288</v>
      </c>
      <c r="B2289" s="1" t="s">
        <v>2137</v>
      </c>
      <c r="C2289" s="3">
        <v>2100089</v>
      </c>
      <c r="D2289" s="3">
        <v>2100468</v>
      </c>
      <c r="E2289" s="1" t="s">
        <v>13</v>
      </c>
      <c r="F2289" s="1">
        <v>0</v>
      </c>
      <c r="G2289" s="1" t="s">
        <v>4372</v>
      </c>
      <c r="H2289" s="1" t="s">
        <v>4372</v>
      </c>
      <c r="I2289" s="1" t="s">
        <v>4377</v>
      </c>
      <c r="J2289" s="1" t="s">
        <v>7780</v>
      </c>
      <c r="K2289" s="1" t="s">
        <v>7779</v>
      </c>
    </row>
    <row r="2290" spans="1:11" ht="21" x14ac:dyDescent="0.25">
      <c r="A2290" s="11" t="str">
        <f>HYPERLINK("https://rth.dk/resources/bsgatlas/details.php?id=BSGatlas-transcript-2289","BSGatlas-transcript-2289")</f>
        <v>BSGatlas-transcript-2289</v>
      </c>
      <c r="B2290" s="1" t="s">
        <v>2137</v>
      </c>
      <c r="C2290" s="3">
        <v>2100089</v>
      </c>
      <c r="D2290" s="3">
        <v>2101029</v>
      </c>
      <c r="E2290" s="1" t="s">
        <v>13</v>
      </c>
      <c r="F2290" s="1">
        <v>0</v>
      </c>
      <c r="G2290" s="1" t="s">
        <v>4372</v>
      </c>
      <c r="H2290" s="1" t="s">
        <v>4372</v>
      </c>
      <c r="I2290" s="1" t="s">
        <v>4377</v>
      </c>
      <c r="J2290" s="1" t="s">
        <v>7781</v>
      </c>
      <c r="K2290" s="1" t="s">
        <v>7779</v>
      </c>
    </row>
    <row r="2291" spans="1:11" ht="21" x14ac:dyDescent="0.25">
      <c r="A2291" s="11" t="str">
        <f>HYPERLINK("https://rth.dk/resources/bsgatlas/details.php?id=BSGatlas-transcript-2290","BSGatlas-transcript-2290")</f>
        <v>BSGatlas-transcript-2290</v>
      </c>
      <c r="B2291" s="1" t="s">
        <v>2138</v>
      </c>
      <c r="C2291" s="3">
        <v>2100442</v>
      </c>
      <c r="D2291" s="3">
        <v>2102067</v>
      </c>
      <c r="E2291" s="1" t="s">
        <v>9</v>
      </c>
      <c r="F2291" s="1">
        <v>0</v>
      </c>
      <c r="G2291" s="1" t="s">
        <v>4372</v>
      </c>
      <c r="H2291" s="1" t="s">
        <v>4372</v>
      </c>
      <c r="I2291" s="1" t="s">
        <v>4386</v>
      </c>
      <c r="J2291" s="1" t="s">
        <v>7782</v>
      </c>
      <c r="K2291" s="1" t="s">
        <v>7783</v>
      </c>
    </row>
    <row r="2292" spans="1:11" ht="21" x14ac:dyDescent="0.25">
      <c r="A2292" s="11" t="str">
        <f>HYPERLINK("https://rth.dk/resources/bsgatlas/details.php?id=BSGatlas-transcript-2291","BSGatlas-transcript-2291")</f>
        <v>BSGatlas-transcript-2291</v>
      </c>
      <c r="B2292" s="1" t="s">
        <v>7784</v>
      </c>
      <c r="C2292" s="3">
        <v>2102141</v>
      </c>
      <c r="D2292" s="3">
        <v>2104901</v>
      </c>
      <c r="E2292" s="1" t="s">
        <v>9</v>
      </c>
      <c r="F2292" s="1">
        <v>0</v>
      </c>
      <c r="G2292" s="1" t="s">
        <v>4372</v>
      </c>
      <c r="H2292" s="1" t="s">
        <v>4372</v>
      </c>
      <c r="I2292" s="1" t="s">
        <v>4386</v>
      </c>
      <c r="J2292" s="1" t="s">
        <v>7785</v>
      </c>
      <c r="K2292" s="1" t="s">
        <v>318</v>
      </c>
    </row>
    <row r="2293" spans="1:11" ht="21" x14ac:dyDescent="0.25">
      <c r="A2293" s="11" t="str">
        <f>HYPERLINK("https://rth.dk/resources/bsgatlas/details.php?id=BSGatlas-transcript-2292","BSGatlas-transcript-2292")</f>
        <v>BSGatlas-transcript-2292</v>
      </c>
      <c r="B2293" s="1" t="s">
        <v>2141</v>
      </c>
      <c r="C2293" s="3">
        <v>2104934</v>
      </c>
      <c r="D2293" s="3">
        <v>2106314</v>
      </c>
      <c r="E2293" s="1" t="s">
        <v>13</v>
      </c>
      <c r="F2293" s="1">
        <v>0</v>
      </c>
      <c r="G2293" s="1" t="s">
        <v>4372</v>
      </c>
      <c r="H2293" s="1" t="s">
        <v>4372</v>
      </c>
      <c r="I2293" s="1" t="s">
        <v>4397</v>
      </c>
      <c r="J2293" s="1" t="s">
        <v>7786</v>
      </c>
      <c r="K2293" s="1" t="s">
        <v>7787</v>
      </c>
    </row>
    <row r="2294" spans="1:11" ht="21" x14ac:dyDescent="0.25">
      <c r="A2294" s="11" t="str">
        <f>HYPERLINK("https://rth.dk/resources/bsgatlas/details.php?id=BSGatlas-transcript-2293","BSGatlas-transcript-2293")</f>
        <v>BSGatlas-transcript-2293</v>
      </c>
      <c r="B2294" s="1" t="s">
        <v>2142</v>
      </c>
      <c r="C2294" s="3">
        <v>2106410</v>
      </c>
      <c r="D2294" s="3">
        <v>2107455</v>
      </c>
      <c r="E2294" s="1" t="s">
        <v>9</v>
      </c>
      <c r="F2294" s="1">
        <v>0</v>
      </c>
      <c r="G2294" s="1" t="s">
        <v>4372</v>
      </c>
      <c r="H2294" s="1" t="s">
        <v>4372</v>
      </c>
      <c r="I2294" s="1" t="s">
        <v>4397</v>
      </c>
      <c r="J2294" s="1" t="s">
        <v>7788</v>
      </c>
      <c r="K2294" s="1" t="s">
        <v>7789</v>
      </c>
    </row>
    <row r="2295" spans="1:11" ht="21" x14ac:dyDescent="0.25">
      <c r="A2295" s="11" t="str">
        <f>HYPERLINK("https://rth.dk/resources/bsgatlas/details.php?id=BSGatlas-transcript-2294","BSGatlas-transcript-2294")</f>
        <v>BSGatlas-transcript-2294</v>
      </c>
      <c r="B2295" s="1" t="s">
        <v>7790</v>
      </c>
      <c r="C2295" s="3">
        <v>2107455</v>
      </c>
      <c r="D2295" s="3">
        <v>2111722</v>
      </c>
      <c r="E2295" s="1" t="s">
        <v>13</v>
      </c>
      <c r="F2295" s="1">
        <v>0</v>
      </c>
      <c r="G2295" s="1" t="s">
        <v>4372</v>
      </c>
      <c r="H2295" s="1" t="s">
        <v>4372</v>
      </c>
      <c r="I2295" s="1" t="s">
        <v>4373</v>
      </c>
      <c r="J2295" s="1" t="s">
        <v>7791</v>
      </c>
      <c r="K2295" s="1" t="s">
        <v>7792</v>
      </c>
    </row>
    <row r="2296" spans="1:11" ht="21" x14ac:dyDescent="0.25">
      <c r="A2296" s="11" t="str">
        <f>HYPERLINK("https://rth.dk/resources/bsgatlas/details.php?id=BSGatlas-transcript-2295","BSGatlas-transcript-2295")</f>
        <v>BSGatlas-transcript-2295</v>
      </c>
      <c r="B2296" s="1" t="s">
        <v>7793</v>
      </c>
      <c r="C2296" s="3">
        <v>2111837</v>
      </c>
      <c r="D2296" s="3">
        <v>2114697</v>
      </c>
      <c r="E2296" s="1" t="s">
        <v>13</v>
      </c>
      <c r="F2296" s="1">
        <v>0</v>
      </c>
      <c r="G2296" s="1" t="s">
        <v>4372</v>
      </c>
      <c r="H2296" s="1" t="s">
        <v>4372</v>
      </c>
      <c r="I2296" s="1" t="s">
        <v>4386</v>
      </c>
      <c r="J2296" s="1" t="s">
        <v>7794</v>
      </c>
      <c r="K2296" s="1" t="s">
        <v>318</v>
      </c>
    </row>
    <row r="2297" spans="1:11" ht="21" x14ac:dyDescent="0.25">
      <c r="A2297" s="11" t="str">
        <f>HYPERLINK("https://rth.dk/resources/bsgatlas/details.php?id=BSGatlas-transcript-2296","BSGatlas-transcript-2296")</f>
        <v>BSGatlas-transcript-2296</v>
      </c>
      <c r="B2297" s="1" t="s">
        <v>7795</v>
      </c>
      <c r="C2297" s="3">
        <v>2114742</v>
      </c>
      <c r="D2297" s="3">
        <v>2116745</v>
      </c>
      <c r="E2297" s="1" t="s">
        <v>13</v>
      </c>
      <c r="F2297" s="1">
        <v>1</v>
      </c>
      <c r="G2297" s="1">
        <v>77</v>
      </c>
      <c r="H2297" s="1" t="s">
        <v>4372</v>
      </c>
      <c r="I2297" s="1" t="s">
        <v>4386</v>
      </c>
      <c r="J2297" s="1" t="s">
        <v>7796</v>
      </c>
      <c r="K2297" s="1" t="s">
        <v>318</v>
      </c>
    </row>
    <row r="2298" spans="1:11" ht="21" x14ac:dyDescent="0.25">
      <c r="A2298" s="11" t="str">
        <f>HYPERLINK("https://rth.dk/resources/bsgatlas/details.php?id=BSGatlas-transcript-2297","BSGatlas-transcript-2297")</f>
        <v>BSGatlas-transcript-2297</v>
      </c>
      <c r="B2298" s="1" t="s">
        <v>7795</v>
      </c>
      <c r="C2298" s="3">
        <v>2114742</v>
      </c>
      <c r="D2298" s="3">
        <v>2116967</v>
      </c>
      <c r="E2298" s="1" t="s">
        <v>13</v>
      </c>
      <c r="F2298" s="1">
        <v>1</v>
      </c>
      <c r="G2298" s="1">
        <v>299</v>
      </c>
      <c r="H2298" s="1" t="s">
        <v>4372</v>
      </c>
      <c r="I2298" s="1" t="s">
        <v>4386</v>
      </c>
      <c r="J2298" s="1" t="s">
        <v>7797</v>
      </c>
      <c r="K2298" s="1" t="s">
        <v>318</v>
      </c>
    </row>
    <row r="2299" spans="1:11" ht="21" x14ac:dyDescent="0.25">
      <c r="A2299" s="11" t="str">
        <f>HYPERLINK("https://rth.dk/resources/bsgatlas/details.php?id=BSGatlas-transcript-2298","BSGatlas-transcript-2298")</f>
        <v>BSGatlas-transcript-2298</v>
      </c>
      <c r="B2299" s="1" t="s">
        <v>2148</v>
      </c>
      <c r="C2299" s="3">
        <v>2115405</v>
      </c>
      <c r="D2299" s="3">
        <v>2116745</v>
      </c>
      <c r="E2299" s="1" t="s">
        <v>13</v>
      </c>
      <c r="F2299" s="1">
        <v>0</v>
      </c>
      <c r="G2299" s="1" t="s">
        <v>4372</v>
      </c>
      <c r="H2299" s="1" t="s">
        <v>4372</v>
      </c>
      <c r="I2299" s="1" t="s">
        <v>4386</v>
      </c>
      <c r="J2299" s="1" t="s">
        <v>7796</v>
      </c>
      <c r="K2299" s="1" t="s">
        <v>7798</v>
      </c>
    </row>
    <row r="2300" spans="1:11" ht="21" x14ac:dyDescent="0.25">
      <c r="A2300" s="11" t="str">
        <f>HYPERLINK("https://rth.dk/resources/bsgatlas/details.php?id=BSGatlas-transcript-2299","BSGatlas-transcript-2299")</f>
        <v>BSGatlas-transcript-2299</v>
      </c>
      <c r="B2300" s="1" t="s">
        <v>2148</v>
      </c>
      <c r="C2300" s="3">
        <v>2115405</v>
      </c>
      <c r="D2300" s="3">
        <v>2116967</v>
      </c>
      <c r="E2300" s="1" t="s">
        <v>13</v>
      </c>
      <c r="F2300" s="1">
        <v>0</v>
      </c>
      <c r="G2300" s="1" t="s">
        <v>4372</v>
      </c>
      <c r="H2300" s="1" t="s">
        <v>4372</v>
      </c>
      <c r="I2300" s="1" t="s">
        <v>4386</v>
      </c>
      <c r="J2300" s="1" t="s">
        <v>7797</v>
      </c>
      <c r="K2300" s="1" t="s">
        <v>7798</v>
      </c>
    </row>
    <row r="2301" spans="1:11" ht="21" x14ac:dyDescent="0.25">
      <c r="A2301" s="11" t="str">
        <f>HYPERLINK("https://rth.dk/resources/bsgatlas/details.php?id=BSGatlas-transcript-2300","BSGatlas-transcript-2300")</f>
        <v>BSGatlas-transcript-2300</v>
      </c>
      <c r="B2301" s="1" t="s">
        <v>2149</v>
      </c>
      <c r="C2301" s="3">
        <v>2117051</v>
      </c>
      <c r="D2301" s="3">
        <v>2118309</v>
      </c>
      <c r="E2301" s="1" t="s">
        <v>13</v>
      </c>
      <c r="F2301" s="1">
        <v>0</v>
      </c>
      <c r="G2301" s="1" t="s">
        <v>4372</v>
      </c>
      <c r="H2301" s="1" t="s">
        <v>4372</v>
      </c>
      <c r="I2301" s="1" t="s">
        <v>4386</v>
      </c>
      <c r="J2301" s="1" t="s">
        <v>7799</v>
      </c>
      <c r="K2301" s="1" t="s">
        <v>7800</v>
      </c>
    </row>
    <row r="2302" spans="1:11" ht="21" x14ac:dyDescent="0.25">
      <c r="A2302" s="11" t="str">
        <f>HYPERLINK("https://rth.dk/resources/bsgatlas/details.php?id=BSGatlas-transcript-2301","BSGatlas-transcript-2301")</f>
        <v>BSGatlas-transcript-2301</v>
      </c>
      <c r="B2302" s="1" t="s">
        <v>2150</v>
      </c>
      <c r="C2302" s="3">
        <v>2118504</v>
      </c>
      <c r="D2302" s="3">
        <v>2119278</v>
      </c>
      <c r="E2302" s="1" t="s">
        <v>13</v>
      </c>
      <c r="F2302" s="1">
        <v>0</v>
      </c>
      <c r="G2302" s="1" t="s">
        <v>4372</v>
      </c>
      <c r="H2302" s="1" t="s">
        <v>4372</v>
      </c>
      <c r="I2302" s="1" t="s">
        <v>4386</v>
      </c>
      <c r="J2302" s="1" t="s">
        <v>7801</v>
      </c>
      <c r="K2302" s="1" t="s">
        <v>318</v>
      </c>
    </row>
    <row r="2303" spans="1:11" ht="21" x14ac:dyDescent="0.25">
      <c r="A2303" s="11" t="str">
        <f>HYPERLINK("https://rth.dk/resources/bsgatlas/details.php?id=BSGatlas-transcript-2302","BSGatlas-transcript-2302")</f>
        <v>BSGatlas-transcript-2302</v>
      </c>
      <c r="B2303" s="1" t="s">
        <v>2150</v>
      </c>
      <c r="C2303" s="3">
        <v>2118504</v>
      </c>
      <c r="D2303" s="3">
        <v>2119740</v>
      </c>
      <c r="E2303" s="1" t="s">
        <v>13</v>
      </c>
      <c r="F2303" s="1">
        <v>0</v>
      </c>
      <c r="G2303" s="1" t="s">
        <v>4372</v>
      </c>
      <c r="H2303" s="1" t="s">
        <v>4372</v>
      </c>
      <c r="I2303" s="1" t="s">
        <v>4386</v>
      </c>
      <c r="J2303" s="1" t="s">
        <v>7802</v>
      </c>
      <c r="K2303" s="1" t="s">
        <v>318</v>
      </c>
    </row>
    <row r="2304" spans="1:11" ht="21" x14ac:dyDescent="0.25">
      <c r="A2304" s="11" t="str">
        <f>HYPERLINK("https://rth.dk/resources/bsgatlas/details.php?id=BSGatlas-transcript-2303","BSGatlas-transcript-2303")</f>
        <v>BSGatlas-transcript-2303</v>
      </c>
      <c r="B2304" s="1" t="s">
        <v>2150</v>
      </c>
      <c r="C2304" s="3">
        <v>2118504</v>
      </c>
      <c r="D2304" s="3">
        <v>2121038</v>
      </c>
      <c r="E2304" s="1" t="s">
        <v>13</v>
      </c>
      <c r="F2304" s="1">
        <v>0</v>
      </c>
      <c r="G2304" s="1" t="s">
        <v>4372</v>
      </c>
      <c r="H2304" s="1" t="s">
        <v>4372</v>
      </c>
      <c r="I2304" s="1" t="s">
        <v>4386</v>
      </c>
      <c r="J2304" s="1" t="s">
        <v>7803</v>
      </c>
      <c r="K2304" s="1" t="s">
        <v>318</v>
      </c>
    </row>
    <row r="2305" spans="1:11" ht="21" x14ac:dyDescent="0.25">
      <c r="A2305" s="11" t="str">
        <f>HYPERLINK("https://rth.dk/resources/bsgatlas/details.php?id=BSGatlas-transcript-2304","BSGatlas-transcript-2304")</f>
        <v>BSGatlas-transcript-2304</v>
      </c>
      <c r="B2305" s="1" t="s">
        <v>7804</v>
      </c>
      <c r="C2305" s="3">
        <v>2119166</v>
      </c>
      <c r="D2305" s="3">
        <v>2121615</v>
      </c>
      <c r="E2305" s="1" t="s">
        <v>9</v>
      </c>
      <c r="F2305" s="1">
        <v>0</v>
      </c>
      <c r="G2305" s="1" t="s">
        <v>4372</v>
      </c>
      <c r="H2305" s="1" t="s">
        <v>4372</v>
      </c>
      <c r="I2305" s="1" t="s">
        <v>4386</v>
      </c>
      <c r="J2305" s="1" t="s">
        <v>7805</v>
      </c>
      <c r="K2305" s="1" t="s">
        <v>7806</v>
      </c>
    </row>
    <row r="2306" spans="1:11" ht="21" x14ac:dyDescent="0.25">
      <c r="A2306" s="11" t="str">
        <f>HYPERLINK("https://rth.dk/resources/bsgatlas/details.php?id=BSGatlas-transcript-2305","BSGatlas-transcript-2305")</f>
        <v>BSGatlas-transcript-2305</v>
      </c>
      <c r="B2306" s="1" t="s">
        <v>7804</v>
      </c>
      <c r="C2306" s="3">
        <v>2119223</v>
      </c>
      <c r="D2306" s="3">
        <v>2121615</v>
      </c>
      <c r="E2306" s="1" t="s">
        <v>9</v>
      </c>
      <c r="F2306" s="1">
        <v>0</v>
      </c>
      <c r="G2306" s="1" t="s">
        <v>4372</v>
      </c>
      <c r="H2306" s="1" t="s">
        <v>4372</v>
      </c>
      <c r="I2306" s="1" t="s">
        <v>4386</v>
      </c>
      <c r="J2306" s="1" t="s">
        <v>7807</v>
      </c>
      <c r="K2306" s="1" t="s">
        <v>7806</v>
      </c>
    </row>
    <row r="2307" spans="1:11" ht="21" x14ac:dyDescent="0.25">
      <c r="A2307" s="11" t="str">
        <f>HYPERLINK("https://rth.dk/resources/bsgatlas/details.php?id=BSGatlas-transcript-2306","BSGatlas-transcript-2306")</f>
        <v>BSGatlas-transcript-2306</v>
      </c>
      <c r="B2307" s="1" t="s">
        <v>7804</v>
      </c>
      <c r="C2307" s="3">
        <v>2119268</v>
      </c>
      <c r="D2307" s="3">
        <v>2121615</v>
      </c>
      <c r="E2307" s="1" t="s">
        <v>9</v>
      </c>
      <c r="F2307" s="1">
        <v>0</v>
      </c>
      <c r="G2307" s="1" t="s">
        <v>4372</v>
      </c>
      <c r="H2307" s="1" t="s">
        <v>4372</v>
      </c>
      <c r="I2307" s="1" t="s">
        <v>4386</v>
      </c>
      <c r="J2307" s="1" t="s">
        <v>7808</v>
      </c>
      <c r="K2307" s="1" t="s">
        <v>7806</v>
      </c>
    </row>
    <row r="2308" spans="1:11" ht="21" x14ac:dyDescent="0.25">
      <c r="A2308" s="11" t="str">
        <f>HYPERLINK("https://rth.dk/resources/bsgatlas/details.php?id=BSGatlas-transcript-2307","BSGatlas-transcript-2307")</f>
        <v>BSGatlas-transcript-2307</v>
      </c>
      <c r="B2308" s="1" t="s">
        <v>7804</v>
      </c>
      <c r="C2308" s="3">
        <v>2119355</v>
      </c>
      <c r="D2308" s="3">
        <v>2121615</v>
      </c>
      <c r="E2308" s="1" t="s">
        <v>9</v>
      </c>
      <c r="F2308" s="1">
        <v>0</v>
      </c>
      <c r="G2308" s="1" t="s">
        <v>4372</v>
      </c>
      <c r="H2308" s="1" t="s">
        <v>4372</v>
      </c>
      <c r="I2308" s="1" t="s">
        <v>4386</v>
      </c>
      <c r="J2308" s="1" t="s">
        <v>7809</v>
      </c>
      <c r="K2308" s="1" t="s">
        <v>7806</v>
      </c>
    </row>
    <row r="2309" spans="1:11" ht="21" x14ac:dyDescent="0.25">
      <c r="A2309" s="11" t="str">
        <f>HYPERLINK("https://rth.dk/resources/bsgatlas/details.php?id=BSGatlas-transcript-2308","BSGatlas-transcript-2308")</f>
        <v>BSGatlas-transcript-2308</v>
      </c>
      <c r="B2309" s="1" t="s">
        <v>7810</v>
      </c>
      <c r="C2309" s="3">
        <v>2121588</v>
      </c>
      <c r="D2309" s="3">
        <v>2122979</v>
      </c>
      <c r="E2309" s="1" t="s">
        <v>13</v>
      </c>
      <c r="F2309" s="1">
        <v>1</v>
      </c>
      <c r="G2309" s="1">
        <v>30</v>
      </c>
      <c r="H2309" s="1">
        <v>54</v>
      </c>
      <c r="I2309" s="1" t="s">
        <v>4397</v>
      </c>
      <c r="J2309" s="1" t="s">
        <v>7811</v>
      </c>
      <c r="K2309" s="1" t="s">
        <v>7812</v>
      </c>
    </row>
    <row r="2310" spans="1:11" ht="21" x14ac:dyDescent="0.25">
      <c r="A2310" s="11" t="str">
        <f>HYPERLINK("https://rth.dk/resources/bsgatlas/details.php?id=BSGatlas-transcript-2309","BSGatlas-transcript-2309")</f>
        <v>BSGatlas-transcript-2309</v>
      </c>
      <c r="B2310" s="1" t="s">
        <v>7813</v>
      </c>
      <c r="C2310" s="3">
        <v>2121588</v>
      </c>
      <c r="D2310" s="3">
        <v>2123947</v>
      </c>
      <c r="E2310" s="1" t="s">
        <v>13</v>
      </c>
      <c r="F2310" s="1">
        <v>2</v>
      </c>
      <c r="G2310" s="1">
        <v>26</v>
      </c>
      <c r="H2310" s="1">
        <v>54</v>
      </c>
      <c r="I2310" s="1" t="s">
        <v>4397</v>
      </c>
      <c r="J2310" s="1" t="s">
        <v>7814</v>
      </c>
      <c r="K2310" s="1" t="s">
        <v>7812</v>
      </c>
    </row>
    <row r="2311" spans="1:11" ht="21" x14ac:dyDescent="0.25">
      <c r="A2311" s="11" t="str">
        <f>HYPERLINK("https://rth.dk/resources/bsgatlas/details.php?id=BSGatlas-transcript-2310","BSGatlas-transcript-2310")</f>
        <v>BSGatlas-transcript-2310</v>
      </c>
      <c r="B2311" s="1" t="s">
        <v>7810</v>
      </c>
      <c r="C2311" s="3">
        <v>2121641</v>
      </c>
      <c r="D2311" s="3">
        <v>2122979</v>
      </c>
      <c r="E2311" s="1" t="s">
        <v>13</v>
      </c>
      <c r="F2311" s="1">
        <v>1</v>
      </c>
      <c r="G2311" s="1">
        <v>30</v>
      </c>
      <c r="H2311" s="1" t="s">
        <v>4372</v>
      </c>
      <c r="I2311" s="1" t="s">
        <v>4397</v>
      </c>
      <c r="J2311" s="1" t="s">
        <v>7811</v>
      </c>
      <c r="K2311" s="1" t="s">
        <v>7815</v>
      </c>
    </row>
    <row r="2312" spans="1:11" ht="21" x14ac:dyDescent="0.25">
      <c r="A2312" s="11" t="str">
        <f>HYPERLINK("https://rth.dk/resources/bsgatlas/details.php?id=BSGatlas-transcript-2311","BSGatlas-transcript-2311")</f>
        <v>BSGatlas-transcript-2311</v>
      </c>
      <c r="B2312" s="1" t="s">
        <v>7813</v>
      </c>
      <c r="C2312" s="3">
        <v>2121641</v>
      </c>
      <c r="D2312" s="3">
        <v>2123947</v>
      </c>
      <c r="E2312" s="1" t="s">
        <v>13</v>
      </c>
      <c r="F2312" s="1">
        <v>2</v>
      </c>
      <c r="G2312" s="1">
        <v>26</v>
      </c>
      <c r="H2312" s="1" t="s">
        <v>4372</v>
      </c>
      <c r="I2312" s="1" t="s">
        <v>4397</v>
      </c>
      <c r="J2312" s="1" t="s">
        <v>7814</v>
      </c>
      <c r="K2312" s="1" t="s">
        <v>7815</v>
      </c>
    </row>
    <row r="2313" spans="1:11" ht="21" x14ac:dyDescent="0.25">
      <c r="A2313" s="11" t="str">
        <f>HYPERLINK("https://rth.dk/resources/bsgatlas/details.php?id=BSGatlas-transcript-2312","BSGatlas-transcript-2312")</f>
        <v>BSGatlas-transcript-2312</v>
      </c>
      <c r="B2313" s="1" t="s">
        <v>2157</v>
      </c>
      <c r="C2313" s="3">
        <v>2123784</v>
      </c>
      <c r="D2313" s="3">
        <v>2124522</v>
      </c>
      <c r="E2313" s="1" t="s">
        <v>9</v>
      </c>
      <c r="F2313" s="1">
        <v>0</v>
      </c>
      <c r="G2313" s="1" t="s">
        <v>4372</v>
      </c>
      <c r="H2313" s="1" t="s">
        <v>4372</v>
      </c>
      <c r="I2313" s="1" t="s">
        <v>4373</v>
      </c>
      <c r="J2313" s="1" t="s">
        <v>7816</v>
      </c>
      <c r="K2313" s="1" t="s">
        <v>7817</v>
      </c>
    </row>
    <row r="2314" spans="1:11" ht="21" x14ac:dyDescent="0.25">
      <c r="A2314" s="11" t="str">
        <f>HYPERLINK("https://rth.dk/resources/bsgatlas/details.php?id=BSGatlas-transcript-2313","BSGatlas-transcript-2313")</f>
        <v>BSGatlas-transcript-2313</v>
      </c>
      <c r="B2314" s="1" t="s">
        <v>2158</v>
      </c>
      <c r="C2314" s="3">
        <v>2124529</v>
      </c>
      <c r="D2314" s="3">
        <v>2124803</v>
      </c>
      <c r="E2314" s="1" t="s">
        <v>13</v>
      </c>
      <c r="F2314" s="1">
        <v>0</v>
      </c>
      <c r="G2314" s="1" t="s">
        <v>4372</v>
      </c>
      <c r="H2314" s="1" t="s">
        <v>4372</v>
      </c>
      <c r="I2314" s="1" t="s">
        <v>4386</v>
      </c>
      <c r="J2314" s="1" t="s">
        <v>7818</v>
      </c>
      <c r="K2314" s="1" t="s">
        <v>7819</v>
      </c>
    </row>
    <row r="2315" spans="1:11" ht="21" x14ac:dyDescent="0.25">
      <c r="A2315" s="11" t="str">
        <f>HYPERLINK("https://rth.dk/resources/bsgatlas/details.php?id=BSGatlas-transcript-2314","BSGatlas-transcript-2314")</f>
        <v>BSGatlas-transcript-2314</v>
      </c>
      <c r="B2315" s="1" t="s">
        <v>7820</v>
      </c>
      <c r="C2315" s="3">
        <v>2124529</v>
      </c>
      <c r="D2315" s="3">
        <v>2126327</v>
      </c>
      <c r="E2315" s="1" t="s">
        <v>13</v>
      </c>
      <c r="F2315" s="1">
        <v>1</v>
      </c>
      <c r="G2315" s="1">
        <v>144</v>
      </c>
      <c r="H2315" s="1" t="s">
        <v>4372</v>
      </c>
      <c r="I2315" s="1" t="s">
        <v>4386</v>
      </c>
      <c r="J2315" s="1" t="s">
        <v>7821</v>
      </c>
      <c r="K2315" s="1" t="s">
        <v>7819</v>
      </c>
    </row>
    <row r="2316" spans="1:11" ht="21" x14ac:dyDescent="0.25">
      <c r="A2316" s="11" t="str">
        <f>HYPERLINK("https://rth.dk/resources/bsgatlas/details.php?id=BSGatlas-transcript-2315","BSGatlas-transcript-2315")</f>
        <v>BSGatlas-transcript-2315</v>
      </c>
      <c r="B2316" s="1" t="s">
        <v>2160</v>
      </c>
      <c r="C2316" s="3">
        <v>2126441</v>
      </c>
      <c r="D2316" s="3">
        <v>2126970</v>
      </c>
      <c r="E2316" s="1" t="s">
        <v>9</v>
      </c>
      <c r="F2316" s="1">
        <v>0</v>
      </c>
      <c r="G2316" s="1" t="s">
        <v>4372</v>
      </c>
      <c r="H2316" s="1" t="s">
        <v>4372</v>
      </c>
      <c r="I2316" s="1" t="s">
        <v>4397</v>
      </c>
      <c r="J2316" s="1" t="s">
        <v>7822</v>
      </c>
      <c r="K2316" s="1" t="s">
        <v>7823</v>
      </c>
    </row>
    <row r="2317" spans="1:11" ht="21" x14ac:dyDescent="0.25">
      <c r="A2317" s="11" t="str">
        <f>HYPERLINK("https://rth.dk/resources/bsgatlas/details.php?id=BSGatlas-transcript-2316","BSGatlas-transcript-2316")</f>
        <v>BSGatlas-transcript-2316</v>
      </c>
      <c r="B2317" s="1" t="s">
        <v>2161</v>
      </c>
      <c r="C2317" s="3">
        <v>2127345</v>
      </c>
      <c r="D2317" s="3">
        <v>2127774</v>
      </c>
      <c r="E2317" s="1" t="s">
        <v>13</v>
      </c>
      <c r="F2317" s="1">
        <v>0</v>
      </c>
      <c r="G2317" s="1" t="s">
        <v>4372</v>
      </c>
      <c r="H2317" s="1" t="s">
        <v>4372</v>
      </c>
      <c r="I2317" s="1" t="s">
        <v>4397</v>
      </c>
      <c r="J2317" s="1" t="s">
        <v>7824</v>
      </c>
      <c r="K2317" s="1" t="s">
        <v>318</v>
      </c>
    </row>
    <row r="2318" spans="1:11" ht="21" x14ac:dyDescent="0.25">
      <c r="A2318" s="11" t="str">
        <f>HYPERLINK("https://rth.dk/resources/bsgatlas/details.php?id=BSGatlas-transcript-2317","BSGatlas-transcript-2317")</f>
        <v>BSGatlas-transcript-2317</v>
      </c>
      <c r="B2318" s="1" t="s">
        <v>2162</v>
      </c>
      <c r="C2318" s="3">
        <v>2127736</v>
      </c>
      <c r="D2318" s="3">
        <v>2128421</v>
      </c>
      <c r="E2318" s="1" t="s">
        <v>9</v>
      </c>
      <c r="F2318" s="1">
        <v>0</v>
      </c>
      <c r="G2318" s="1" t="s">
        <v>4372</v>
      </c>
      <c r="H2318" s="1" t="s">
        <v>4372</v>
      </c>
      <c r="I2318" s="1" t="s">
        <v>4397</v>
      </c>
      <c r="J2318" s="1" t="s">
        <v>7825</v>
      </c>
      <c r="K2318" s="1" t="s">
        <v>7826</v>
      </c>
    </row>
    <row r="2319" spans="1:11" ht="21" x14ac:dyDescent="0.25">
      <c r="A2319" s="11" t="str">
        <f>HYPERLINK("https://rth.dk/resources/bsgatlas/details.php?id=BSGatlas-transcript-2318","BSGatlas-transcript-2318")</f>
        <v>BSGatlas-transcript-2318</v>
      </c>
      <c r="B2319" s="1" t="s">
        <v>7827</v>
      </c>
      <c r="C2319" s="3">
        <v>2128433</v>
      </c>
      <c r="D2319" s="3">
        <v>2130025</v>
      </c>
      <c r="E2319" s="1" t="s">
        <v>13</v>
      </c>
      <c r="F2319" s="1">
        <v>0</v>
      </c>
      <c r="G2319" s="1" t="s">
        <v>4372</v>
      </c>
      <c r="H2319" s="1" t="s">
        <v>4372</v>
      </c>
      <c r="I2319" s="1" t="s">
        <v>4397</v>
      </c>
      <c r="J2319" s="1" t="s">
        <v>7828</v>
      </c>
      <c r="K2319" s="1" t="s">
        <v>7829</v>
      </c>
    </row>
    <row r="2320" spans="1:11" ht="21" x14ac:dyDescent="0.25">
      <c r="A2320" s="11" t="str">
        <f>HYPERLINK("https://rth.dk/resources/bsgatlas/details.php?id=BSGatlas-transcript-2319","BSGatlas-transcript-2319")</f>
        <v>BSGatlas-transcript-2319</v>
      </c>
      <c r="B2320" s="1" t="s">
        <v>7827</v>
      </c>
      <c r="C2320" s="3">
        <v>2128433</v>
      </c>
      <c r="D2320" s="3">
        <v>2131116</v>
      </c>
      <c r="E2320" s="1" t="s">
        <v>13</v>
      </c>
      <c r="F2320" s="1">
        <v>0</v>
      </c>
      <c r="G2320" s="1" t="s">
        <v>4372</v>
      </c>
      <c r="H2320" s="1" t="s">
        <v>4372</v>
      </c>
      <c r="I2320" s="1" t="s">
        <v>4397</v>
      </c>
      <c r="J2320" s="1" t="s">
        <v>7830</v>
      </c>
      <c r="K2320" s="1" t="s">
        <v>7829</v>
      </c>
    </row>
    <row r="2321" spans="1:11" ht="21" x14ac:dyDescent="0.25">
      <c r="A2321" s="11" t="str">
        <f>HYPERLINK("https://rth.dk/resources/bsgatlas/details.php?id=BSGatlas-transcript-2320","BSGatlas-transcript-2320")</f>
        <v>BSGatlas-transcript-2320</v>
      </c>
      <c r="B2321" s="1" t="s">
        <v>7831</v>
      </c>
      <c r="C2321" s="3">
        <v>2130134</v>
      </c>
      <c r="D2321" s="3">
        <v>2131910</v>
      </c>
      <c r="E2321" s="1" t="s">
        <v>9</v>
      </c>
      <c r="F2321" s="1">
        <v>0</v>
      </c>
      <c r="G2321" s="1" t="s">
        <v>4372</v>
      </c>
      <c r="H2321" s="1" t="s">
        <v>4372</v>
      </c>
      <c r="I2321" s="1" t="s">
        <v>4386</v>
      </c>
      <c r="J2321" s="1" t="s">
        <v>7832</v>
      </c>
      <c r="K2321" s="1" t="s">
        <v>7833</v>
      </c>
    </row>
    <row r="2322" spans="1:11" ht="21" x14ac:dyDescent="0.25">
      <c r="A2322" s="11" t="str">
        <f>HYPERLINK("https://rth.dk/resources/bsgatlas/details.php?id=BSGatlas-transcript-2321","BSGatlas-transcript-2321")</f>
        <v>BSGatlas-transcript-2321</v>
      </c>
      <c r="B2322" s="1" t="s">
        <v>2166</v>
      </c>
      <c r="C2322" s="3">
        <v>2130377</v>
      </c>
      <c r="D2322" s="3">
        <v>2131910</v>
      </c>
      <c r="E2322" s="1" t="s">
        <v>9</v>
      </c>
      <c r="F2322" s="1">
        <v>0</v>
      </c>
      <c r="G2322" s="1" t="s">
        <v>4372</v>
      </c>
      <c r="H2322" s="1" t="s">
        <v>4372</v>
      </c>
      <c r="I2322" s="1" t="s">
        <v>4382</v>
      </c>
      <c r="J2322" s="1" t="s">
        <v>318</v>
      </c>
      <c r="K2322" s="1" t="s">
        <v>7833</v>
      </c>
    </row>
    <row r="2323" spans="1:11" ht="21" x14ac:dyDescent="0.25">
      <c r="A2323" s="11" t="str">
        <f>HYPERLINK("https://rth.dk/resources/bsgatlas/details.php?id=BSGatlas-transcript-2322","BSGatlas-transcript-2322")</f>
        <v>BSGatlas-transcript-2322</v>
      </c>
      <c r="B2323" s="1" t="s">
        <v>2167</v>
      </c>
      <c r="C2323" s="3">
        <v>2131902</v>
      </c>
      <c r="D2323" s="3">
        <v>2133342</v>
      </c>
      <c r="E2323" s="1" t="s">
        <v>13</v>
      </c>
      <c r="F2323" s="1">
        <v>0</v>
      </c>
      <c r="G2323" s="1" t="s">
        <v>4372</v>
      </c>
      <c r="H2323" s="1" t="s">
        <v>4372</v>
      </c>
      <c r="I2323" s="1" t="s">
        <v>4397</v>
      </c>
      <c r="J2323" s="1" t="s">
        <v>7834</v>
      </c>
      <c r="K2323" s="1" t="s">
        <v>7835</v>
      </c>
    </row>
    <row r="2324" spans="1:11" ht="21" x14ac:dyDescent="0.25">
      <c r="A2324" s="11" t="str">
        <f>HYPERLINK("https://rth.dk/resources/bsgatlas/details.php?id=BSGatlas-transcript-2323","BSGatlas-transcript-2323")</f>
        <v>BSGatlas-transcript-2323</v>
      </c>
      <c r="B2324" s="1" t="s">
        <v>7836</v>
      </c>
      <c r="C2324" s="3">
        <v>2133108</v>
      </c>
      <c r="D2324" s="3">
        <v>2134572</v>
      </c>
      <c r="E2324" s="1" t="s">
        <v>9</v>
      </c>
      <c r="F2324" s="1">
        <v>1</v>
      </c>
      <c r="G2324" s="1">
        <v>348</v>
      </c>
      <c r="H2324" s="1">
        <v>78</v>
      </c>
      <c r="I2324" s="1" t="s">
        <v>4373</v>
      </c>
      <c r="J2324" s="1" t="s">
        <v>7837</v>
      </c>
      <c r="K2324" s="1" t="s">
        <v>7838</v>
      </c>
    </row>
    <row r="2325" spans="1:11" ht="21" x14ac:dyDescent="0.25">
      <c r="A2325" s="11" t="str">
        <f>HYPERLINK("https://rth.dk/resources/bsgatlas/details.php?id=BSGatlas-transcript-2324","BSGatlas-transcript-2324")</f>
        <v>BSGatlas-transcript-2324</v>
      </c>
      <c r="B2325" s="1" t="s">
        <v>7836</v>
      </c>
      <c r="C2325" s="3">
        <v>2133437</v>
      </c>
      <c r="D2325" s="3">
        <v>2134572</v>
      </c>
      <c r="E2325" s="1" t="s">
        <v>9</v>
      </c>
      <c r="F2325" s="1">
        <v>1</v>
      </c>
      <c r="G2325" s="1">
        <v>19</v>
      </c>
      <c r="H2325" s="1">
        <v>78</v>
      </c>
      <c r="I2325" s="1" t="s">
        <v>4373</v>
      </c>
      <c r="J2325" s="1" t="s">
        <v>7839</v>
      </c>
      <c r="K2325" s="1" t="s">
        <v>7838</v>
      </c>
    </row>
    <row r="2326" spans="1:11" ht="21" x14ac:dyDescent="0.25">
      <c r="A2326" s="11" t="str">
        <f>HYPERLINK("https://rth.dk/resources/bsgatlas/details.php?id=BSGatlas-transcript-2325","BSGatlas-transcript-2325")</f>
        <v>BSGatlas-transcript-2325</v>
      </c>
      <c r="B2326" s="1" t="s">
        <v>2169</v>
      </c>
      <c r="C2326" s="3">
        <v>2134208</v>
      </c>
      <c r="D2326" s="3">
        <v>2134572</v>
      </c>
      <c r="E2326" s="1" t="s">
        <v>9</v>
      </c>
      <c r="F2326" s="1">
        <v>0</v>
      </c>
      <c r="G2326" s="1" t="s">
        <v>4372</v>
      </c>
      <c r="H2326" s="1" t="s">
        <v>4372</v>
      </c>
      <c r="I2326" s="1" t="s">
        <v>4386</v>
      </c>
      <c r="J2326" s="1" t="s">
        <v>7840</v>
      </c>
      <c r="K2326" s="1" t="s">
        <v>7838</v>
      </c>
    </row>
    <row r="2327" spans="1:11" ht="21" x14ac:dyDescent="0.25">
      <c r="A2327" s="11" t="str">
        <f>HYPERLINK("https://rth.dk/resources/bsgatlas/details.php?id=BSGatlas-transcript-2326","BSGatlas-transcript-2326")</f>
        <v>BSGatlas-transcript-2326</v>
      </c>
      <c r="B2327" s="1" t="s">
        <v>7841</v>
      </c>
      <c r="C2327" s="3">
        <v>2134566</v>
      </c>
      <c r="D2327" s="3">
        <v>2136261</v>
      </c>
      <c r="E2327" s="1" t="s">
        <v>13</v>
      </c>
      <c r="F2327" s="1">
        <v>1</v>
      </c>
      <c r="G2327" s="1">
        <v>91</v>
      </c>
      <c r="H2327" s="1" t="s">
        <v>4372</v>
      </c>
      <c r="I2327" s="1" t="s">
        <v>4386</v>
      </c>
      <c r="J2327" s="1" t="s">
        <v>7842</v>
      </c>
      <c r="K2327" s="1" t="s">
        <v>7843</v>
      </c>
    </row>
    <row r="2328" spans="1:11" ht="21" x14ac:dyDescent="0.25">
      <c r="A2328" s="11" t="str">
        <f>HYPERLINK("https://rth.dk/resources/bsgatlas/details.php?id=BSGatlas-transcript-2327","BSGatlas-transcript-2327")</f>
        <v>BSGatlas-transcript-2327</v>
      </c>
      <c r="B2328" s="1" t="s">
        <v>2172</v>
      </c>
      <c r="C2328" s="3">
        <v>2136357</v>
      </c>
      <c r="D2328" s="3">
        <v>2136518</v>
      </c>
      <c r="E2328" s="1" t="s">
        <v>9</v>
      </c>
      <c r="F2328" s="1">
        <v>0</v>
      </c>
      <c r="G2328" s="1" t="s">
        <v>4372</v>
      </c>
      <c r="H2328" s="1" t="s">
        <v>4372</v>
      </c>
      <c r="I2328" s="1" t="s">
        <v>4397</v>
      </c>
      <c r="J2328" s="1" t="s">
        <v>7844</v>
      </c>
      <c r="K2328" s="1" t="s">
        <v>7845</v>
      </c>
    </row>
    <row r="2329" spans="1:11" ht="21" x14ac:dyDescent="0.25">
      <c r="A2329" s="11" t="str">
        <f>HYPERLINK("https://rth.dk/resources/bsgatlas/details.php?id=BSGatlas-transcript-2328","BSGatlas-transcript-2328")</f>
        <v>BSGatlas-transcript-2328</v>
      </c>
      <c r="B2329" s="1" t="s">
        <v>2173</v>
      </c>
      <c r="C2329" s="3">
        <v>2136538</v>
      </c>
      <c r="D2329" s="3">
        <v>2136880</v>
      </c>
      <c r="E2329" s="1" t="s">
        <v>13</v>
      </c>
      <c r="F2329" s="1">
        <v>0</v>
      </c>
      <c r="G2329" s="1" t="s">
        <v>4372</v>
      </c>
      <c r="H2329" s="1" t="s">
        <v>4372</v>
      </c>
      <c r="I2329" s="1" t="s">
        <v>4386</v>
      </c>
      <c r="J2329" s="1" t="s">
        <v>7846</v>
      </c>
      <c r="K2329" s="1" t="s">
        <v>7847</v>
      </c>
    </row>
    <row r="2330" spans="1:11" ht="21" x14ac:dyDescent="0.25">
      <c r="A2330" s="11" t="str">
        <f>HYPERLINK("https://rth.dk/resources/bsgatlas/details.php?id=BSGatlas-transcript-2329","BSGatlas-transcript-2329")</f>
        <v>BSGatlas-transcript-2329</v>
      </c>
      <c r="B2330" s="1" t="s">
        <v>2174</v>
      </c>
      <c r="C2330" s="3">
        <v>2136913</v>
      </c>
      <c r="D2330" s="3">
        <v>2137617</v>
      </c>
      <c r="E2330" s="1" t="s">
        <v>13</v>
      </c>
      <c r="F2330" s="1">
        <v>0</v>
      </c>
      <c r="G2330" s="1" t="s">
        <v>4372</v>
      </c>
      <c r="H2330" s="1" t="s">
        <v>4372</v>
      </c>
      <c r="I2330" s="1" t="s">
        <v>4377</v>
      </c>
      <c r="J2330" s="1" t="s">
        <v>7848</v>
      </c>
      <c r="K2330" s="1" t="s">
        <v>318</v>
      </c>
    </row>
    <row r="2331" spans="1:11" ht="21" x14ac:dyDescent="0.25">
      <c r="A2331" s="11" t="str">
        <f>HYPERLINK("https://rth.dk/resources/bsgatlas/details.php?id=BSGatlas-transcript-2330","BSGatlas-transcript-2330")</f>
        <v>BSGatlas-transcript-2330</v>
      </c>
      <c r="B2331" s="1" t="s">
        <v>2175</v>
      </c>
      <c r="C2331" s="3">
        <v>2137584</v>
      </c>
      <c r="D2331" s="3">
        <v>2137813</v>
      </c>
      <c r="E2331" s="1" t="s">
        <v>13</v>
      </c>
      <c r="F2331" s="1">
        <v>0</v>
      </c>
      <c r="G2331" s="1" t="s">
        <v>4372</v>
      </c>
      <c r="H2331" s="1" t="s">
        <v>4372</v>
      </c>
      <c r="I2331" s="1" t="s">
        <v>4377</v>
      </c>
      <c r="J2331" s="1" t="s">
        <v>7849</v>
      </c>
      <c r="K2331" s="1" t="s">
        <v>7850</v>
      </c>
    </row>
    <row r="2332" spans="1:11" ht="21" x14ac:dyDescent="0.25">
      <c r="A2332" s="11" t="str">
        <f>HYPERLINK("https://rth.dk/resources/bsgatlas/details.php?id=BSGatlas-transcript-2331","BSGatlas-transcript-2331")</f>
        <v>BSGatlas-transcript-2331</v>
      </c>
      <c r="B2332" s="1" t="s">
        <v>7851</v>
      </c>
      <c r="C2332" s="3">
        <v>2137584</v>
      </c>
      <c r="D2332" s="3">
        <v>2138750</v>
      </c>
      <c r="E2332" s="1" t="s">
        <v>13</v>
      </c>
      <c r="F2332" s="1">
        <v>1</v>
      </c>
      <c r="G2332" s="1">
        <v>34</v>
      </c>
      <c r="H2332" s="1">
        <v>19</v>
      </c>
      <c r="I2332" s="1" t="s">
        <v>4386</v>
      </c>
      <c r="J2332" s="1" t="s">
        <v>7852</v>
      </c>
      <c r="K2332" s="1" t="s">
        <v>7850</v>
      </c>
    </row>
    <row r="2333" spans="1:11" ht="21" x14ac:dyDescent="0.25">
      <c r="A2333" s="11" t="str">
        <f>HYPERLINK("https://rth.dk/resources/bsgatlas/details.php?id=BSGatlas-transcript-2332","BSGatlas-transcript-2332")</f>
        <v>BSGatlas-transcript-2332</v>
      </c>
      <c r="B2333" s="1" t="s">
        <v>2177</v>
      </c>
      <c r="C2333" s="3">
        <v>2137858</v>
      </c>
      <c r="D2333" s="3">
        <v>2139085</v>
      </c>
      <c r="E2333" s="1" t="s">
        <v>9</v>
      </c>
      <c r="F2333" s="1">
        <v>0</v>
      </c>
      <c r="G2333" s="1" t="s">
        <v>4372</v>
      </c>
      <c r="H2333" s="1" t="s">
        <v>4372</v>
      </c>
      <c r="I2333" s="1" t="s">
        <v>4397</v>
      </c>
      <c r="J2333" s="1" t="s">
        <v>7853</v>
      </c>
      <c r="K2333" s="1" t="s">
        <v>7854</v>
      </c>
    </row>
    <row r="2334" spans="1:11" ht="21" x14ac:dyDescent="0.25">
      <c r="A2334" s="11" t="str">
        <f>HYPERLINK("https://rth.dk/resources/bsgatlas/details.php?id=BSGatlas-transcript-2333","BSGatlas-transcript-2333")</f>
        <v>BSGatlas-transcript-2333</v>
      </c>
      <c r="B2334" s="1" t="s">
        <v>2178</v>
      </c>
      <c r="C2334" s="3">
        <v>2138868</v>
      </c>
      <c r="D2334" s="3">
        <v>2139145</v>
      </c>
      <c r="E2334" s="1" t="s">
        <v>13</v>
      </c>
      <c r="F2334" s="1">
        <v>0</v>
      </c>
      <c r="G2334" s="1" t="s">
        <v>4372</v>
      </c>
      <c r="H2334" s="1" t="s">
        <v>4372</v>
      </c>
      <c r="I2334" s="1" t="s">
        <v>4386</v>
      </c>
      <c r="J2334" s="1" t="s">
        <v>7855</v>
      </c>
      <c r="K2334" s="1" t="s">
        <v>7856</v>
      </c>
    </row>
    <row r="2335" spans="1:11" ht="21" x14ac:dyDescent="0.25">
      <c r="A2335" s="11" t="str">
        <f>HYPERLINK("https://rth.dk/resources/bsgatlas/details.php?id=BSGatlas-transcript-2334","BSGatlas-transcript-2334")</f>
        <v>BSGatlas-transcript-2334</v>
      </c>
      <c r="B2335" s="1" t="s">
        <v>7857</v>
      </c>
      <c r="C2335" s="3">
        <v>2138868</v>
      </c>
      <c r="D2335" s="3">
        <v>2145725</v>
      </c>
      <c r="E2335" s="1" t="s">
        <v>13</v>
      </c>
      <c r="F2335" s="1">
        <v>2</v>
      </c>
      <c r="G2335" s="1">
        <v>36</v>
      </c>
      <c r="H2335" s="1" t="s">
        <v>4372</v>
      </c>
      <c r="I2335" s="1" t="s">
        <v>4386</v>
      </c>
      <c r="J2335" s="1" t="s">
        <v>7858</v>
      </c>
      <c r="K2335" s="1" t="s">
        <v>7856</v>
      </c>
    </row>
    <row r="2336" spans="1:11" ht="21" x14ac:dyDescent="0.25">
      <c r="A2336" s="11" t="str">
        <f>HYPERLINK("https://rth.dk/resources/bsgatlas/details.php?id=BSGatlas-transcript-2335","BSGatlas-transcript-2335")</f>
        <v>BSGatlas-transcript-2335</v>
      </c>
      <c r="B2336" s="1" t="s">
        <v>2186</v>
      </c>
      <c r="C2336" s="3">
        <v>2145764</v>
      </c>
      <c r="D2336" s="3">
        <v>2145967</v>
      </c>
      <c r="E2336" s="1" t="s">
        <v>13</v>
      </c>
      <c r="F2336" s="1">
        <v>0</v>
      </c>
      <c r="G2336" s="1" t="s">
        <v>4372</v>
      </c>
      <c r="H2336" s="1" t="s">
        <v>4372</v>
      </c>
      <c r="I2336" s="1" t="s">
        <v>4377</v>
      </c>
      <c r="J2336" s="1" t="s">
        <v>7859</v>
      </c>
      <c r="K2336" s="1" t="s">
        <v>7860</v>
      </c>
    </row>
    <row r="2337" spans="1:11" ht="21" x14ac:dyDescent="0.25">
      <c r="A2337" s="11" t="str">
        <f>HYPERLINK("https://rth.dk/resources/bsgatlas/details.php?id=BSGatlas-transcript-2336","BSGatlas-transcript-2336")</f>
        <v>BSGatlas-transcript-2336</v>
      </c>
      <c r="B2337" s="1" t="s">
        <v>7861</v>
      </c>
      <c r="C2337" s="3">
        <v>2145764</v>
      </c>
      <c r="D2337" s="3">
        <v>2146053</v>
      </c>
      <c r="E2337" s="1" t="s">
        <v>13</v>
      </c>
      <c r="F2337" s="1">
        <v>0</v>
      </c>
      <c r="G2337" s="1" t="s">
        <v>4372</v>
      </c>
      <c r="H2337" s="1" t="s">
        <v>4372</v>
      </c>
      <c r="I2337" s="1" t="s">
        <v>4386</v>
      </c>
      <c r="J2337" s="1" t="s">
        <v>318</v>
      </c>
      <c r="K2337" s="1" t="s">
        <v>7860</v>
      </c>
    </row>
    <row r="2338" spans="1:11" ht="21" x14ac:dyDescent="0.25">
      <c r="A2338" s="11" t="str">
        <f>HYPERLINK("https://rth.dk/resources/bsgatlas/details.php?id=BSGatlas-transcript-2337","BSGatlas-transcript-2337")</f>
        <v>BSGatlas-transcript-2337</v>
      </c>
      <c r="B2338" s="1" t="s">
        <v>7862</v>
      </c>
      <c r="C2338" s="3">
        <v>2146013</v>
      </c>
      <c r="D2338" s="3">
        <v>2148498</v>
      </c>
      <c r="E2338" s="1" t="s">
        <v>13</v>
      </c>
      <c r="F2338" s="1">
        <v>2</v>
      </c>
      <c r="G2338" s="1">
        <v>28</v>
      </c>
      <c r="H2338" s="1" t="s">
        <v>4372</v>
      </c>
      <c r="I2338" s="1" t="s">
        <v>4373</v>
      </c>
      <c r="J2338" s="1" t="s">
        <v>7863</v>
      </c>
      <c r="K2338" s="1" t="s">
        <v>318</v>
      </c>
    </row>
    <row r="2339" spans="1:11" ht="21" x14ac:dyDescent="0.25">
      <c r="A2339" s="11" t="str">
        <f>HYPERLINK("https://rth.dk/resources/bsgatlas/details.php?id=BSGatlas-transcript-2338","BSGatlas-transcript-2338")</f>
        <v>BSGatlas-transcript-2338</v>
      </c>
      <c r="B2339" s="1" t="s">
        <v>7862</v>
      </c>
      <c r="C2339" s="3">
        <v>2146013</v>
      </c>
      <c r="D2339" s="3">
        <v>2148651</v>
      </c>
      <c r="E2339" s="1" t="s">
        <v>13</v>
      </c>
      <c r="F2339" s="1">
        <v>2</v>
      </c>
      <c r="G2339" s="1">
        <v>181</v>
      </c>
      <c r="H2339" s="1" t="s">
        <v>4372</v>
      </c>
      <c r="I2339" s="1" t="s">
        <v>4373</v>
      </c>
      <c r="J2339" s="1" t="s">
        <v>7864</v>
      </c>
      <c r="K2339" s="1" t="s">
        <v>318</v>
      </c>
    </row>
    <row r="2340" spans="1:11" ht="21" x14ac:dyDescent="0.25">
      <c r="A2340" s="11" t="str">
        <f>HYPERLINK("https://rth.dk/resources/bsgatlas/details.php?id=BSGatlas-transcript-2339","BSGatlas-transcript-2339")</f>
        <v>BSGatlas-transcript-2339</v>
      </c>
      <c r="B2340" s="1" t="s">
        <v>2189</v>
      </c>
      <c r="C2340" s="3">
        <v>2148166</v>
      </c>
      <c r="D2340" s="3">
        <v>2148498</v>
      </c>
      <c r="E2340" s="1" t="s">
        <v>13</v>
      </c>
      <c r="F2340" s="1">
        <v>0</v>
      </c>
      <c r="G2340" s="1" t="s">
        <v>4372</v>
      </c>
      <c r="H2340" s="1" t="s">
        <v>4372</v>
      </c>
      <c r="I2340" s="1" t="s">
        <v>4377</v>
      </c>
      <c r="J2340" s="1" t="s">
        <v>7863</v>
      </c>
      <c r="K2340" s="1" t="s">
        <v>7865</v>
      </c>
    </row>
    <row r="2341" spans="1:11" ht="21" x14ac:dyDescent="0.25">
      <c r="A2341" s="11" t="str">
        <f>HYPERLINK("https://rth.dk/resources/bsgatlas/details.php?id=BSGatlas-transcript-2340","BSGatlas-transcript-2340")</f>
        <v>BSGatlas-transcript-2340</v>
      </c>
      <c r="B2341" s="1" t="s">
        <v>2189</v>
      </c>
      <c r="C2341" s="3">
        <v>2148166</v>
      </c>
      <c r="D2341" s="3">
        <v>2148651</v>
      </c>
      <c r="E2341" s="1" t="s">
        <v>13</v>
      </c>
      <c r="F2341" s="1">
        <v>0</v>
      </c>
      <c r="G2341" s="1" t="s">
        <v>4372</v>
      </c>
      <c r="H2341" s="1" t="s">
        <v>4372</v>
      </c>
      <c r="I2341" s="1" t="s">
        <v>4377</v>
      </c>
      <c r="J2341" s="1" t="s">
        <v>7864</v>
      </c>
      <c r="K2341" s="1" t="s">
        <v>7865</v>
      </c>
    </row>
    <row r="2342" spans="1:11" ht="21" x14ac:dyDescent="0.25">
      <c r="A2342" s="11" t="str">
        <f>HYPERLINK("https://rth.dk/resources/bsgatlas/details.php?id=BSGatlas-transcript-2341","BSGatlas-transcript-2341")</f>
        <v>BSGatlas-transcript-2341</v>
      </c>
      <c r="B2342" s="1" t="s">
        <v>7866</v>
      </c>
      <c r="C2342" s="3">
        <v>2148646</v>
      </c>
      <c r="D2342" s="3">
        <v>2150076</v>
      </c>
      <c r="E2342" s="1" t="s">
        <v>9</v>
      </c>
      <c r="F2342" s="1">
        <v>0</v>
      </c>
      <c r="G2342" s="1" t="s">
        <v>4372</v>
      </c>
      <c r="H2342" s="1" t="s">
        <v>4372</v>
      </c>
      <c r="I2342" s="1" t="s">
        <v>4373</v>
      </c>
      <c r="J2342" s="1" t="s">
        <v>7867</v>
      </c>
      <c r="K2342" s="1" t="s">
        <v>7868</v>
      </c>
    </row>
    <row r="2343" spans="1:11" ht="21" x14ac:dyDescent="0.25">
      <c r="A2343" s="11" t="str">
        <f>HYPERLINK("https://rth.dk/resources/bsgatlas/details.php?id=BSGatlas-transcript-2342","BSGatlas-transcript-2342")</f>
        <v>BSGatlas-transcript-2342</v>
      </c>
      <c r="B2343" s="1" t="s">
        <v>2192</v>
      </c>
      <c r="C2343" s="3">
        <v>2150068</v>
      </c>
      <c r="D2343" s="3">
        <v>2151291</v>
      </c>
      <c r="E2343" s="1" t="s">
        <v>13</v>
      </c>
      <c r="F2343" s="1">
        <v>0</v>
      </c>
      <c r="G2343" s="1" t="s">
        <v>4372</v>
      </c>
      <c r="H2343" s="1" t="s">
        <v>4372</v>
      </c>
      <c r="I2343" s="1" t="s">
        <v>4373</v>
      </c>
      <c r="J2343" s="1" t="s">
        <v>7869</v>
      </c>
      <c r="K2343" s="1" t="s">
        <v>7870</v>
      </c>
    </row>
    <row r="2344" spans="1:11" ht="21" x14ac:dyDescent="0.25">
      <c r="A2344" s="11" t="str">
        <f>HYPERLINK("https://rth.dk/resources/bsgatlas/details.php?id=BSGatlas-transcript-2343","BSGatlas-transcript-2343")</f>
        <v>BSGatlas-transcript-2343</v>
      </c>
      <c r="B2344" s="1" t="s">
        <v>2193</v>
      </c>
      <c r="C2344" s="3">
        <v>2151299</v>
      </c>
      <c r="D2344" s="3">
        <v>2152045</v>
      </c>
      <c r="E2344" s="1" t="s">
        <v>9</v>
      </c>
      <c r="F2344" s="1">
        <v>0</v>
      </c>
      <c r="G2344" s="1" t="s">
        <v>4372</v>
      </c>
      <c r="H2344" s="1" t="s">
        <v>4372</v>
      </c>
      <c r="I2344" s="1" t="s">
        <v>4386</v>
      </c>
      <c r="J2344" s="1" t="s">
        <v>7871</v>
      </c>
      <c r="K2344" s="1" t="s">
        <v>7872</v>
      </c>
    </row>
    <row r="2345" spans="1:11" ht="21" x14ac:dyDescent="0.25">
      <c r="A2345" s="11" t="str">
        <f>HYPERLINK("https://rth.dk/resources/bsgatlas/details.php?id=BSGatlas-transcript-2344","BSGatlas-transcript-2344")</f>
        <v>BSGatlas-transcript-2344</v>
      </c>
      <c r="B2345" s="1" t="s">
        <v>2193</v>
      </c>
      <c r="C2345" s="3">
        <v>2151585</v>
      </c>
      <c r="D2345" s="3">
        <v>2152045</v>
      </c>
      <c r="E2345" s="1" t="s">
        <v>9</v>
      </c>
      <c r="F2345" s="1">
        <v>0</v>
      </c>
      <c r="G2345" s="1" t="s">
        <v>4372</v>
      </c>
      <c r="H2345" s="1" t="s">
        <v>4372</v>
      </c>
      <c r="I2345" s="1" t="s">
        <v>4386</v>
      </c>
      <c r="J2345" s="1" t="s">
        <v>7873</v>
      </c>
      <c r="K2345" s="1" t="s">
        <v>7872</v>
      </c>
    </row>
    <row r="2346" spans="1:11" ht="21" x14ac:dyDescent="0.25">
      <c r="A2346" s="11" t="str">
        <f>HYPERLINK("https://rth.dk/resources/bsgatlas/details.php?id=BSGatlas-transcript-2345","BSGatlas-transcript-2345")</f>
        <v>BSGatlas-transcript-2345</v>
      </c>
      <c r="B2346" s="1" t="s">
        <v>2194</v>
      </c>
      <c r="C2346" s="3">
        <v>2152086</v>
      </c>
      <c r="D2346" s="3">
        <v>2152299</v>
      </c>
      <c r="E2346" s="1" t="s">
        <v>13</v>
      </c>
      <c r="F2346" s="1">
        <v>0</v>
      </c>
      <c r="G2346" s="1" t="s">
        <v>4372</v>
      </c>
      <c r="H2346" s="1" t="s">
        <v>4372</v>
      </c>
      <c r="I2346" s="1" t="s">
        <v>4386</v>
      </c>
      <c r="J2346" s="1" t="s">
        <v>7874</v>
      </c>
      <c r="K2346" s="1" t="s">
        <v>7875</v>
      </c>
    </row>
    <row r="2347" spans="1:11" ht="21" x14ac:dyDescent="0.25">
      <c r="A2347" s="11" t="str">
        <f>HYPERLINK("https://rth.dk/resources/bsgatlas/details.php?id=BSGatlas-transcript-2346","BSGatlas-transcript-2346")</f>
        <v>BSGatlas-transcript-2346</v>
      </c>
      <c r="B2347" s="1" t="s">
        <v>7876</v>
      </c>
      <c r="C2347" s="3">
        <v>2152086</v>
      </c>
      <c r="D2347" s="3">
        <v>2157231</v>
      </c>
      <c r="E2347" s="1" t="s">
        <v>13</v>
      </c>
      <c r="F2347" s="1">
        <v>8</v>
      </c>
      <c r="G2347" s="1">
        <v>122</v>
      </c>
      <c r="H2347" s="1" t="s">
        <v>4372</v>
      </c>
      <c r="I2347" s="1" t="s">
        <v>4386</v>
      </c>
      <c r="J2347" s="1" t="s">
        <v>7877</v>
      </c>
      <c r="K2347" s="1" t="s">
        <v>7875</v>
      </c>
    </row>
    <row r="2348" spans="1:11" ht="21" x14ac:dyDescent="0.25">
      <c r="A2348" s="11" t="str">
        <f>HYPERLINK("https://rth.dk/resources/bsgatlas/details.php?id=BSGatlas-transcript-2347","BSGatlas-transcript-2347")</f>
        <v>BSGatlas-transcript-2347</v>
      </c>
      <c r="B2348" s="1" t="s">
        <v>2207</v>
      </c>
      <c r="C2348" s="3">
        <v>2152890</v>
      </c>
      <c r="D2348" s="3">
        <v>2153751</v>
      </c>
      <c r="E2348" s="1" t="s">
        <v>9</v>
      </c>
      <c r="F2348" s="1">
        <v>0</v>
      </c>
      <c r="G2348" s="1" t="s">
        <v>4372</v>
      </c>
      <c r="H2348" s="1" t="s">
        <v>4372</v>
      </c>
      <c r="I2348" s="1" t="s">
        <v>4547</v>
      </c>
      <c r="J2348" s="1" t="s">
        <v>7878</v>
      </c>
      <c r="K2348" s="1" t="s">
        <v>7879</v>
      </c>
    </row>
    <row r="2349" spans="1:11" ht="21" x14ac:dyDescent="0.25">
      <c r="A2349" s="11" t="str">
        <f>HYPERLINK("https://rth.dk/resources/bsgatlas/details.php?id=BSGatlas-transcript-2348","BSGatlas-transcript-2348")</f>
        <v>BSGatlas-transcript-2348</v>
      </c>
      <c r="B2349" s="1" t="s">
        <v>2196</v>
      </c>
      <c r="C2349" s="3">
        <v>2152924</v>
      </c>
      <c r="D2349" s="3">
        <v>2153356</v>
      </c>
      <c r="E2349" s="1" t="s">
        <v>13</v>
      </c>
      <c r="F2349" s="1">
        <v>0</v>
      </c>
      <c r="G2349" s="1" t="s">
        <v>4372</v>
      </c>
      <c r="H2349" s="1" t="s">
        <v>4372</v>
      </c>
      <c r="I2349" s="1" t="s">
        <v>4382</v>
      </c>
      <c r="J2349" s="1" t="s">
        <v>318</v>
      </c>
      <c r="K2349" s="1" t="s">
        <v>7880</v>
      </c>
    </row>
    <row r="2350" spans="1:11" ht="21" x14ac:dyDescent="0.25">
      <c r="A2350" s="11" t="str">
        <f>HYPERLINK("https://rth.dk/resources/bsgatlas/details.php?id=BSGatlas-transcript-2349","BSGatlas-transcript-2349")</f>
        <v>BSGatlas-transcript-2349</v>
      </c>
      <c r="B2350" s="1" t="s">
        <v>7881</v>
      </c>
      <c r="C2350" s="3">
        <v>2152924</v>
      </c>
      <c r="D2350" s="3">
        <v>2157231</v>
      </c>
      <c r="E2350" s="1" t="s">
        <v>13</v>
      </c>
      <c r="F2350" s="1">
        <v>7</v>
      </c>
      <c r="G2350" s="1">
        <v>122</v>
      </c>
      <c r="H2350" s="1">
        <v>248</v>
      </c>
      <c r="I2350" s="1" t="s">
        <v>4377</v>
      </c>
      <c r="J2350" s="1" t="s">
        <v>7877</v>
      </c>
      <c r="K2350" s="1" t="s">
        <v>7880</v>
      </c>
    </row>
    <row r="2351" spans="1:11" ht="21" x14ac:dyDescent="0.25">
      <c r="A2351" s="11" t="str">
        <f>HYPERLINK("https://rth.dk/resources/bsgatlas/details.php?id=BSGatlas-transcript-2350","BSGatlas-transcript-2350")</f>
        <v>BSGatlas-transcript-2350</v>
      </c>
      <c r="B2351" s="1" t="s">
        <v>2208</v>
      </c>
      <c r="C2351" s="3">
        <v>2156199</v>
      </c>
      <c r="D2351" s="3">
        <v>2156498</v>
      </c>
      <c r="E2351" s="1" t="s">
        <v>9</v>
      </c>
      <c r="F2351" s="1">
        <v>0</v>
      </c>
      <c r="G2351" s="1" t="s">
        <v>4372</v>
      </c>
      <c r="H2351" s="1" t="s">
        <v>4372</v>
      </c>
      <c r="I2351" s="1" t="s">
        <v>4373</v>
      </c>
      <c r="J2351" s="1" t="s">
        <v>7882</v>
      </c>
      <c r="K2351" s="1" t="s">
        <v>7883</v>
      </c>
    </row>
    <row r="2352" spans="1:11" ht="21" x14ac:dyDescent="0.25">
      <c r="A2352" s="11" t="str">
        <f>HYPERLINK("https://rth.dk/resources/bsgatlas/details.php?id=BSGatlas-transcript-2351","BSGatlas-transcript-2351")</f>
        <v>BSGatlas-transcript-2351</v>
      </c>
      <c r="B2352" s="1" t="s">
        <v>2208</v>
      </c>
      <c r="C2352" s="3">
        <v>2156199</v>
      </c>
      <c r="D2352" s="3">
        <v>2157265</v>
      </c>
      <c r="E2352" s="1" t="s">
        <v>9</v>
      </c>
      <c r="F2352" s="1">
        <v>0</v>
      </c>
      <c r="G2352" s="1" t="s">
        <v>4372</v>
      </c>
      <c r="H2352" s="1" t="s">
        <v>4372</v>
      </c>
      <c r="I2352" s="1" t="s">
        <v>4373</v>
      </c>
      <c r="J2352" s="1" t="s">
        <v>7882</v>
      </c>
      <c r="K2352" s="1" t="s">
        <v>7884</v>
      </c>
    </row>
    <row r="2353" spans="1:11" ht="21" x14ac:dyDescent="0.25">
      <c r="A2353" s="11" t="str">
        <f>HYPERLINK("https://rth.dk/resources/bsgatlas/details.php?id=BSGatlas-transcript-2352","BSGatlas-transcript-2352")</f>
        <v>BSGatlas-transcript-2352</v>
      </c>
      <c r="B2353" s="1" t="s">
        <v>2208</v>
      </c>
      <c r="C2353" s="3">
        <v>2156199</v>
      </c>
      <c r="D2353" s="3">
        <v>2158145</v>
      </c>
      <c r="E2353" s="1" t="s">
        <v>9</v>
      </c>
      <c r="F2353" s="1">
        <v>0</v>
      </c>
      <c r="G2353" s="1" t="s">
        <v>4372</v>
      </c>
      <c r="H2353" s="1" t="s">
        <v>4372</v>
      </c>
      <c r="I2353" s="1" t="s">
        <v>4373</v>
      </c>
      <c r="J2353" s="1" t="s">
        <v>7882</v>
      </c>
      <c r="K2353" s="1" t="s">
        <v>7885</v>
      </c>
    </row>
    <row r="2354" spans="1:11" ht="21" x14ac:dyDescent="0.25">
      <c r="A2354" s="11" t="str">
        <f>HYPERLINK("https://rth.dk/resources/bsgatlas/details.php?id=BSGatlas-transcript-2353","BSGatlas-transcript-2353")</f>
        <v>BSGatlas-transcript-2353</v>
      </c>
      <c r="B2354" s="1" t="s">
        <v>2209</v>
      </c>
      <c r="C2354" s="3">
        <v>2158408</v>
      </c>
      <c r="D2354" s="3">
        <v>2158902</v>
      </c>
      <c r="E2354" s="1" t="s">
        <v>9</v>
      </c>
      <c r="F2354" s="1">
        <v>0</v>
      </c>
      <c r="G2354" s="1" t="s">
        <v>4372</v>
      </c>
      <c r="H2354" s="1" t="s">
        <v>4372</v>
      </c>
      <c r="I2354" s="1" t="s">
        <v>4547</v>
      </c>
      <c r="J2354" s="1" t="s">
        <v>7886</v>
      </c>
      <c r="K2354" s="1" t="s">
        <v>7887</v>
      </c>
    </row>
    <row r="2355" spans="1:11" ht="21" x14ac:dyDescent="0.25">
      <c r="A2355" s="11" t="str">
        <f>HYPERLINK("https://rth.dk/resources/bsgatlas/details.php?id=BSGatlas-transcript-2354","BSGatlas-transcript-2354")</f>
        <v>BSGatlas-transcript-2354</v>
      </c>
      <c r="B2355" s="1" t="s">
        <v>2210</v>
      </c>
      <c r="C2355" s="3">
        <v>2158724</v>
      </c>
      <c r="D2355" s="3">
        <v>2159200</v>
      </c>
      <c r="E2355" s="1" t="s">
        <v>13</v>
      </c>
      <c r="F2355" s="1">
        <v>0</v>
      </c>
      <c r="G2355" s="1" t="s">
        <v>4372</v>
      </c>
      <c r="H2355" s="1" t="s">
        <v>4372</v>
      </c>
      <c r="I2355" s="1" t="s">
        <v>4377</v>
      </c>
      <c r="J2355" s="1" t="s">
        <v>7888</v>
      </c>
      <c r="K2355" s="1" t="s">
        <v>318</v>
      </c>
    </row>
    <row r="2356" spans="1:11" ht="21" x14ac:dyDescent="0.25">
      <c r="A2356" s="11" t="str">
        <f>HYPERLINK("https://rth.dk/resources/bsgatlas/details.php?id=BSGatlas-transcript-2355","BSGatlas-transcript-2355")</f>
        <v>BSGatlas-transcript-2355</v>
      </c>
      <c r="B2356" s="1" t="s">
        <v>2211</v>
      </c>
      <c r="C2356" s="3">
        <v>2159981</v>
      </c>
      <c r="D2356" s="3">
        <v>2161799</v>
      </c>
      <c r="E2356" s="1" t="s">
        <v>13</v>
      </c>
      <c r="F2356" s="1">
        <v>0</v>
      </c>
      <c r="G2356" s="1" t="s">
        <v>4372</v>
      </c>
      <c r="H2356" s="1" t="s">
        <v>4372</v>
      </c>
      <c r="I2356" s="1" t="s">
        <v>4377</v>
      </c>
      <c r="J2356" s="1" t="s">
        <v>7889</v>
      </c>
      <c r="K2356" s="1" t="s">
        <v>318</v>
      </c>
    </row>
    <row r="2357" spans="1:11" ht="21" x14ac:dyDescent="0.25">
      <c r="A2357" s="11" t="str">
        <f>HYPERLINK("https://rth.dk/resources/bsgatlas/details.php?id=BSGatlas-transcript-2356","BSGatlas-transcript-2356")</f>
        <v>BSGatlas-transcript-2356</v>
      </c>
      <c r="B2357" s="1" t="s">
        <v>2212</v>
      </c>
      <c r="C2357" s="3">
        <v>2161521</v>
      </c>
      <c r="D2357" s="3">
        <v>2165614</v>
      </c>
      <c r="E2357" s="1" t="s">
        <v>13</v>
      </c>
      <c r="F2357" s="1">
        <v>0</v>
      </c>
      <c r="G2357" s="1" t="s">
        <v>4372</v>
      </c>
      <c r="H2357" s="1" t="s">
        <v>4372</v>
      </c>
      <c r="I2357" s="1" t="s">
        <v>4377</v>
      </c>
      <c r="J2357" s="1" t="s">
        <v>318</v>
      </c>
      <c r="K2357" s="1" t="s">
        <v>7890</v>
      </c>
    </row>
    <row r="2358" spans="1:11" ht="21" x14ac:dyDescent="0.25">
      <c r="A2358" s="11" t="str">
        <f>HYPERLINK("https://rth.dk/resources/bsgatlas/details.php?id=BSGatlas-transcript-2357","BSGatlas-transcript-2357")</f>
        <v>BSGatlas-transcript-2357</v>
      </c>
      <c r="B2358" s="1" t="s">
        <v>2213</v>
      </c>
      <c r="C2358" s="3">
        <v>2164643</v>
      </c>
      <c r="D2358" s="3">
        <v>2164904</v>
      </c>
      <c r="E2358" s="1" t="s">
        <v>13</v>
      </c>
      <c r="F2358" s="1">
        <v>0</v>
      </c>
      <c r="G2358" s="1" t="s">
        <v>4372</v>
      </c>
      <c r="H2358" s="1" t="s">
        <v>4372</v>
      </c>
      <c r="I2358" s="1" t="s">
        <v>4377</v>
      </c>
      <c r="J2358" s="1" t="s">
        <v>7891</v>
      </c>
      <c r="K2358" s="1" t="s">
        <v>318</v>
      </c>
    </row>
    <row r="2359" spans="1:11" ht="21" x14ac:dyDescent="0.25">
      <c r="A2359" s="11" t="str">
        <f>HYPERLINK("https://rth.dk/resources/bsgatlas/details.php?id=BSGatlas-transcript-2358","BSGatlas-transcript-2358")</f>
        <v>BSGatlas-transcript-2358</v>
      </c>
      <c r="B2359" s="1" t="s">
        <v>2215</v>
      </c>
      <c r="C2359" s="3">
        <v>2164887</v>
      </c>
      <c r="D2359" s="3">
        <v>2165972</v>
      </c>
      <c r="E2359" s="1" t="s">
        <v>13</v>
      </c>
      <c r="F2359" s="1">
        <v>0</v>
      </c>
      <c r="G2359" s="1" t="s">
        <v>4372</v>
      </c>
      <c r="H2359" s="1" t="s">
        <v>4372</v>
      </c>
      <c r="I2359" s="1" t="s">
        <v>4377</v>
      </c>
      <c r="J2359" s="1" t="s">
        <v>318</v>
      </c>
      <c r="K2359" s="1" t="s">
        <v>7892</v>
      </c>
    </row>
    <row r="2360" spans="1:11" ht="21" x14ac:dyDescent="0.25">
      <c r="A2360" s="11" t="str">
        <f>HYPERLINK("https://rth.dk/resources/bsgatlas/details.php?id=BSGatlas-transcript-2359","BSGatlas-transcript-2359")</f>
        <v>BSGatlas-transcript-2359</v>
      </c>
      <c r="B2360" s="1" t="s">
        <v>2216</v>
      </c>
      <c r="C2360" s="3">
        <v>2169773</v>
      </c>
      <c r="D2360" s="3">
        <v>2169981</v>
      </c>
      <c r="E2360" s="1" t="s">
        <v>9</v>
      </c>
      <c r="F2360" s="1">
        <v>0</v>
      </c>
      <c r="G2360" s="1" t="s">
        <v>4372</v>
      </c>
      <c r="H2360" s="1" t="s">
        <v>4372</v>
      </c>
      <c r="I2360" s="1" t="s">
        <v>4397</v>
      </c>
      <c r="J2360" s="1" t="s">
        <v>7893</v>
      </c>
      <c r="K2360" s="1" t="s">
        <v>7894</v>
      </c>
    </row>
    <row r="2361" spans="1:11" ht="21" x14ac:dyDescent="0.25">
      <c r="A2361" s="11" t="str">
        <f>HYPERLINK("https://rth.dk/resources/bsgatlas/details.php?id=BSGatlas-transcript-2360","BSGatlas-transcript-2360")</f>
        <v>BSGatlas-transcript-2360</v>
      </c>
      <c r="B2361" s="1" t="s">
        <v>2217</v>
      </c>
      <c r="C2361" s="3">
        <v>2171139</v>
      </c>
      <c r="D2361" s="3">
        <v>2171751</v>
      </c>
      <c r="E2361" s="1" t="s">
        <v>13</v>
      </c>
      <c r="F2361" s="1">
        <v>0</v>
      </c>
      <c r="G2361" s="1" t="s">
        <v>4372</v>
      </c>
      <c r="H2361" s="1" t="s">
        <v>4372</v>
      </c>
      <c r="I2361" s="1" t="s">
        <v>4377</v>
      </c>
      <c r="J2361" s="1" t="s">
        <v>7895</v>
      </c>
      <c r="K2361" s="1" t="s">
        <v>318</v>
      </c>
    </row>
    <row r="2362" spans="1:11" ht="21" x14ac:dyDescent="0.25">
      <c r="A2362" s="11" t="str">
        <f>HYPERLINK("https://rth.dk/resources/bsgatlas/details.php?id=BSGatlas-transcript-2361","BSGatlas-transcript-2361")</f>
        <v>BSGatlas-transcript-2361</v>
      </c>
      <c r="B2362" s="1" t="s">
        <v>2218</v>
      </c>
      <c r="C2362" s="3">
        <v>2174585</v>
      </c>
      <c r="D2362" s="3">
        <v>2174792</v>
      </c>
      <c r="E2362" s="1" t="s">
        <v>13</v>
      </c>
      <c r="F2362" s="1">
        <v>0</v>
      </c>
      <c r="G2362" s="1" t="s">
        <v>4372</v>
      </c>
      <c r="H2362" s="1" t="s">
        <v>4372</v>
      </c>
      <c r="I2362" s="1" t="s">
        <v>4377</v>
      </c>
      <c r="J2362" s="1" t="s">
        <v>7896</v>
      </c>
      <c r="K2362" s="1" t="s">
        <v>318</v>
      </c>
    </row>
    <row r="2363" spans="1:11" ht="21" x14ac:dyDescent="0.25">
      <c r="A2363" s="11" t="str">
        <f>HYPERLINK("https://rth.dk/resources/bsgatlas/details.php?id=BSGatlas-transcript-2362","BSGatlas-transcript-2362")</f>
        <v>BSGatlas-transcript-2362</v>
      </c>
      <c r="B2363" s="1" t="s">
        <v>2219</v>
      </c>
      <c r="C2363" s="3">
        <v>2174852</v>
      </c>
      <c r="D2363" s="3">
        <v>2175568</v>
      </c>
      <c r="E2363" s="1" t="s">
        <v>13</v>
      </c>
      <c r="F2363" s="1">
        <v>0</v>
      </c>
      <c r="G2363" s="1" t="s">
        <v>4372</v>
      </c>
      <c r="H2363" s="1" t="s">
        <v>4372</v>
      </c>
      <c r="I2363" s="1" t="s">
        <v>4377</v>
      </c>
      <c r="J2363" s="1" t="s">
        <v>7897</v>
      </c>
      <c r="K2363" s="1" t="s">
        <v>318</v>
      </c>
    </row>
    <row r="2364" spans="1:11" ht="21" x14ac:dyDescent="0.25">
      <c r="A2364" s="11" t="str">
        <f>HYPERLINK("https://rth.dk/resources/bsgatlas/details.php?id=BSGatlas-transcript-2363","BSGatlas-transcript-2363")</f>
        <v>BSGatlas-transcript-2363</v>
      </c>
      <c r="B2364" s="1" t="s">
        <v>2220</v>
      </c>
      <c r="C2364" s="3">
        <v>2186910</v>
      </c>
      <c r="D2364" s="3">
        <v>2187336</v>
      </c>
      <c r="E2364" s="1" t="s">
        <v>13</v>
      </c>
      <c r="F2364" s="1">
        <v>0</v>
      </c>
      <c r="G2364" s="1" t="s">
        <v>4372</v>
      </c>
      <c r="H2364" s="1" t="s">
        <v>4372</v>
      </c>
      <c r="I2364" s="1" t="s">
        <v>4386</v>
      </c>
      <c r="J2364" s="1" t="s">
        <v>7898</v>
      </c>
      <c r="K2364" s="1" t="s">
        <v>7899</v>
      </c>
    </row>
    <row r="2365" spans="1:11" ht="21" x14ac:dyDescent="0.25">
      <c r="A2365" s="11" t="str">
        <f>HYPERLINK("https://rth.dk/resources/bsgatlas/details.php?id=BSGatlas-transcript-2364","BSGatlas-transcript-2364")</f>
        <v>BSGatlas-transcript-2364</v>
      </c>
      <c r="B2365" s="1" t="s">
        <v>2220</v>
      </c>
      <c r="C2365" s="3">
        <v>2186985</v>
      </c>
      <c r="D2365" s="3">
        <v>2187336</v>
      </c>
      <c r="E2365" s="1" t="s">
        <v>13</v>
      </c>
      <c r="F2365" s="1">
        <v>0</v>
      </c>
      <c r="G2365" s="1" t="s">
        <v>4372</v>
      </c>
      <c r="H2365" s="1" t="s">
        <v>4372</v>
      </c>
      <c r="I2365" s="1" t="s">
        <v>4386</v>
      </c>
      <c r="J2365" s="1" t="s">
        <v>7898</v>
      </c>
      <c r="K2365" s="1" t="s">
        <v>7900</v>
      </c>
    </row>
    <row r="2366" spans="1:11" ht="21" x14ac:dyDescent="0.25">
      <c r="A2366" s="11" t="str">
        <f>HYPERLINK("https://rth.dk/resources/bsgatlas/details.php?id=BSGatlas-transcript-2365","BSGatlas-transcript-2365")</f>
        <v>BSGatlas-transcript-2365</v>
      </c>
      <c r="B2366" s="1" t="s">
        <v>7901</v>
      </c>
      <c r="C2366" s="3">
        <v>2187376</v>
      </c>
      <c r="D2366" s="3">
        <v>2188165</v>
      </c>
      <c r="E2366" s="1" t="s">
        <v>13</v>
      </c>
      <c r="F2366" s="1">
        <v>1</v>
      </c>
      <c r="G2366" s="1">
        <v>51</v>
      </c>
      <c r="H2366" s="1" t="s">
        <v>4372</v>
      </c>
      <c r="I2366" s="1" t="s">
        <v>4373</v>
      </c>
      <c r="J2366" s="1" t="s">
        <v>7902</v>
      </c>
      <c r="K2366" s="1" t="s">
        <v>318</v>
      </c>
    </row>
    <row r="2367" spans="1:11" ht="21" x14ac:dyDescent="0.25">
      <c r="A2367" s="11" t="str">
        <f>HYPERLINK("https://rth.dk/resources/bsgatlas/details.php?id=BSGatlas-transcript-2366","BSGatlas-transcript-2366")</f>
        <v>BSGatlas-transcript-2366</v>
      </c>
      <c r="B2367" s="1" t="s">
        <v>2222</v>
      </c>
      <c r="C2367" s="3">
        <v>2187819</v>
      </c>
      <c r="D2367" s="3">
        <v>2188165</v>
      </c>
      <c r="E2367" s="1" t="s">
        <v>13</v>
      </c>
      <c r="F2367" s="1">
        <v>0</v>
      </c>
      <c r="G2367" s="1" t="s">
        <v>4372</v>
      </c>
      <c r="H2367" s="1" t="s">
        <v>4372</v>
      </c>
      <c r="I2367" s="1" t="s">
        <v>4377</v>
      </c>
      <c r="J2367" s="1" t="s">
        <v>7902</v>
      </c>
      <c r="K2367" s="1" t="s">
        <v>7903</v>
      </c>
    </row>
    <row r="2368" spans="1:11" ht="21" x14ac:dyDescent="0.25">
      <c r="A2368" s="11" t="str">
        <f>HYPERLINK("https://rth.dk/resources/bsgatlas/details.php?id=BSGatlas-transcript-2367","BSGatlas-transcript-2367")</f>
        <v>BSGatlas-transcript-2367</v>
      </c>
      <c r="B2368" s="1" t="s">
        <v>2223</v>
      </c>
      <c r="C2368" s="3">
        <v>2188204</v>
      </c>
      <c r="D2368" s="3">
        <v>2190288</v>
      </c>
      <c r="E2368" s="1" t="s">
        <v>13</v>
      </c>
      <c r="F2368" s="1">
        <v>0</v>
      </c>
      <c r="G2368" s="1" t="s">
        <v>4372</v>
      </c>
      <c r="H2368" s="1" t="s">
        <v>4372</v>
      </c>
      <c r="I2368" s="1" t="s">
        <v>4377</v>
      </c>
      <c r="J2368" s="1" t="s">
        <v>7904</v>
      </c>
      <c r="K2368" s="1" t="s">
        <v>318</v>
      </c>
    </row>
    <row r="2369" spans="1:11" ht="21" x14ac:dyDescent="0.25">
      <c r="A2369" s="11" t="str">
        <f>HYPERLINK("https://rth.dk/resources/bsgatlas/details.php?id=BSGatlas-transcript-2368","BSGatlas-transcript-2368")</f>
        <v>BSGatlas-transcript-2368</v>
      </c>
      <c r="B2369" s="1" t="s">
        <v>2224</v>
      </c>
      <c r="C2369" s="3">
        <v>2189961</v>
      </c>
      <c r="D2369" s="3">
        <v>2190785</v>
      </c>
      <c r="E2369" s="1" t="s">
        <v>13</v>
      </c>
      <c r="F2369" s="1">
        <v>0</v>
      </c>
      <c r="G2369" s="1" t="s">
        <v>4372</v>
      </c>
      <c r="H2369" s="1" t="s">
        <v>4372</v>
      </c>
      <c r="I2369" s="1" t="s">
        <v>4377</v>
      </c>
      <c r="J2369" s="1" t="s">
        <v>7905</v>
      </c>
      <c r="K2369" s="1" t="s">
        <v>318</v>
      </c>
    </row>
    <row r="2370" spans="1:11" ht="21" x14ac:dyDescent="0.25">
      <c r="A2370" s="11" t="str">
        <f>HYPERLINK("https://rth.dk/resources/bsgatlas/details.php?id=BSGatlas-transcript-2369","BSGatlas-transcript-2369")</f>
        <v>BSGatlas-transcript-2369</v>
      </c>
      <c r="B2370" s="1" t="s">
        <v>2225</v>
      </c>
      <c r="C2370" s="3">
        <v>2190661</v>
      </c>
      <c r="D2370" s="3">
        <v>2192300</v>
      </c>
      <c r="E2370" s="1" t="s">
        <v>9</v>
      </c>
      <c r="F2370" s="1">
        <v>0</v>
      </c>
      <c r="G2370" s="1" t="s">
        <v>4372</v>
      </c>
      <c r="H2370" s="1" t="s">
        <v>4372</v>
      </c>
      <c r="I2370" s="1" t="s">
        <v>4377</v>
      </c>
      <c r="J2370" s="1" t="s">
        <v>7906</v>
      </c>
      <c r="K2370" s="1" t="s">
        <v>318</v>
      </c>
    </row>
    <row r="2371" spans="1:11" ht="21" x14ac:dyDescent="0.25">
      <c r="A2371" s="11" t="str">
        <f>HYPERLINK("https://rth.dk/resources/bsgatlas/details.php?id=BSGatlas-transcript-2370","BSGatlas-transcript-2370")</f>
        <v>BSGatlas-transcript-2370</v>
      </c>
      <c r="B2371" s="1" t="s">
        <v>2226</v>
      </c>
      <c r="C2371" s="3">
        <v>2190739</v>
      </c>
      <c r="D2371" s="3">
        <v>2191279</v>
      </c>
      <c r="E2371" s="1" t="s">
        <v>13</v>
      </c>
      <c r="F2371" s="1">
        <v>0</v>
      </c>
      <c r="G2371" s="1" t="s">
        <v>4372</v>
      </c>
      <c r="H2371" s="1" t="s">
        <v>4372</v>
      </c>
      <c r="I2371" s="1" t="s">
        <v>4377</v>
      </c>
      <c r="J2371" s="1" t="s">
        <v>318</v>
      </c>
      <c r="K2371" s="1" t="s">
        <v>7907</v>
      </c>
    </row>
    <row r="2372" spans="1:11" ht="21" x14ac:dyDescent="0.25">
      <c r="A2372" s="11" t="str">
        <f>HYPERLINK("https://rth.dk/resources/bsgatlas/details.php?id=BSGatlas-transcript-2371","BSGatlas-transcript-2371")</f>
        <v>BSGatlas-transcript-2371</v>
      </c>
      <c r="B2372" s="1" t="s">
        <v>2227</v>
      </c>
      <c r="C2372" s="3">
        <v>2193248</v>
      </c>
      <c r="D2372" s="3">
        <v>2193661</v>
      </c>
      <c r="E2372" s="1" t="s">
        <v>13</v>
      </c>
      <c r="F2372" s="1">
        <v>0</v>
      </c>
      <c r="G2372" s="1" t="s">
        <v>4372</v>
      </c>
      <c r="H2372" s="1" t="s">
        <v>4372</v>
      </c>
      <c r="I2372" s="1" t="s">
        <v>4547</v>
      </c>
      <c r="J2372" s="1" t="s">
        <v>318</v>
      </c>
      <c r="K2372" s="1" t="s">
        <v>318</v>
      </c>
    </row>
    <row r="2373" spans="1:11" ht="21" x14ac:dyDescent="0.25">
      <c r="A2373" s="11" t="str">
        <f>HYPERLINK("https://rth.dk/resources/bsgatlas/details.php?id=BSGatlas-transcript-2372","BSGatlas-transcript-2372")</f>
        <v>BSGatlas-transcript-2372</v>
      </c>
      <c r="B2373" s="1" t="s">
        <v>2228</v>
      </c>
      <c r="C2373" s="3">
        <v>2193827</v>
      </c>
      <c r="D2373" s="3">
        <v>2193976</v>
      </c>
      <c r="E2373" s="1" t="s">
        <v>9</v>
      </c>
      <c r="F2373" s="1">
        <v>0</v>
      </c>
      <c r="G2373" s="1" t="s">
        <v>4372</v>
      </c>
      <c r="H2373" s="1" t="s">
        <v>4372</v>
      </c>
      <c r="I2373" s="1" t="s">
        <v>4547</v>
      </c>
      <c r="J2373" s="1" t="s">
        <v>318</v>
      </c>
      <c r="K2373" s="1" t="s">
        <v>318</v>
      </c>
    </row>
    <row r="2374" spans="1:11" ht="21" x14ac:dyDescent="0.25">
      <c r="A2374" s="11" t="str">
        <f>HYPERLINK("https://rth.dk/resources/bsgatlas/details.php?id=BSGatlas-transcript-2373","BSGatlas-transcript-2373")</f>
        <v>BSGatlas-transcript-2373</v>
      </c>
      <c r="B2374" s="1" t="s">
        <v>2229</v>
      </c>
      <c r="C2374" s="3">
        <v>2195135</v>
      </c>
      <c r="D2374" s="3">
        <v>2195547</v>
      </c>
      <c r="E2374" s="1" t="s">
        <v>9</v>
      </c>
      <c r="F2374" s="1">
        <v>0</v>
      </c>
      <c r="G2374" s="1" t="s">
        <v>4372</v>
      </c>
      <c r="H2374" s="1" t="s">
        <v>4372</v>
      </c>
      <c r="I2374" s="1" t="s">
        <v>4397</v>
      </c>
      <c r="J2374" s="1" t="s">
        <v>7908</v>
      </c>
      <c r="K2374" s="1" t="s">
        <v>7909</v>
      </c>
    </row>
    <row r="2375" spans="1:11" ht="21" x14ac:dyDescent="0.25">
      <c r="A2375" s="11" t="str">
        <f>HYPERLINK("https://rth.dk/resources/bsgatlas/details.php?id=BSGatlas-transcript-2374","BSGatlas-transcript-2374")</f>
        <v>BSGatlas-transcript-2374</v>
      </c>
      <c r="B2375" s="1" t="s">
        <v>2230</v>
      </c>
      <c r="C2375" s="3">
        <v>2195564</v>
      </c>
      <c r="D2375" s="3">
        <v>2195782</v>
      </c>
      <c r="E2375" s="1" t="s">
        <v>13</v>
      </c>
      <c r="F2375" s="1">
        <v>0</v>
      </c>
      <c r="G2375" s="1" t="s">
        <v>4372</v>
      </c>
      <c r="H2375" s="1" t="s">
        <v>4372</v>
      </c>
      <c r="I2375" s="1" t="s">
        <v>4547</v>
      </c>
      <c r="J2375" s="1" t="s">
        <v>318</v>
      </c>
      <c r="K2375" s="1" t="s">
        <v>318</v>
      </c>
    </row>
    <row r="2376" spans="1:11" ht="21" x14ac:dyDescent="0.25">
      <c r="A2376" s="11" t="str">
        <f>HYPERLINK("https://rth.dk/resources/bsgatlas/details.php?id=BSGatlas-transcript-2375","BSGatlas-transcript-2375")</f>
        <v>BSGatlas-transcript-2375</v>
      </c>
      <c r="B2376" s="1" t="s">
        <v>2231</v>
      </c>
      <c r="C2376" s="3">
        <v>2195940</v>
      </c>
      <c r="D2376" s="3">
        <v>2196264</v>
      </c>
      <c r="E2376" s="1" t="s">
        <v>9</v>
      </c>
      <c r="F2376" s="1">
        <v>0</v>
      </c>
      <c r="G2376" s="1" t="s">
        <v>4372</v>
      </c>
      <c r="H2376" s="1" t="s">
        <v>4372</v>
      </c>
      <c r="I2376" s="1" t="s">
        <v>4397</v>
      </c>
      <c r="J2376" s="1" t="s">
        <v>7910</v>
      </c>
      <c r="K2376" s="1" t="s">
        <v>7911</v>
      </c>
    </row>
    <row r="2377" spans="1:11" ht="21" x14ac:dyDescent="0.25">
      <c r="A2377" s="11" t="str">
        <f>HYPERLINK("https://rth.dk/resources/bsgatlas/details.php?id=BSGatlas-transcript-2376","BSGatlas-transcript-2376")</f>
        <v>BSGatlas-transcript-2376</v>
      </c>
      <c r="B2377" s="1" t="s">
        <v>2232</v>
      </c>
      <c r="C2377" s="3">
        <v>2203378</v>
      </c>
      <c r="D2377" s="3">
        <v>2203983</v>
      </c>
      <c r="E2377" s="1" t="s">
        <v>13</v>
      </c>
      <c r="F2377" s="1">
        <v>0</v>
      </c>
      <c r="G2377" s="1" t="s">
        <v>4372</v>
      </c>
      <c r="H2377" s="1" t="s">
        <v>4372</v>
      </c>
      <c r="I2377" s="1" t="s">
        <v>4377</v>
      </c>
      <c r="J2377" s="1" t="s">
        <v>7912</v>
      </c>
      <c r="K2377" s="1" t="s">
        <v>318</v>
      </c>
    </row>
    <row r="2378" spans="1:11" ht="21" x14ac:dyDescent="0.25">
      <c r="A2378" s="11" t="str">
        <f>HYPERLINK("https://rth.dk/resources/bsgatlas/details.php?id=BSGatlas-transcript-2377","BSGatlas-transcript-2377")</f>
        <v>BSGatlas-transcript-2377</v>
      </c>
      <c r="B2378" s="1" t="s">
        <v>2232</v>
      </c>
      <c r="C2378" s="3">
        <v>2203378</v>
      </c>
      <c r="D2378" s="3">
        <v>2204050</v>
      </c>
      <c r="E2378" s="1" t="s">
        <v>13</v>
      </c>
      <c r="F2378" s="1">
        <v>0</v>
      </c>
      <c r="G2378" s="1" t="s">
        <v>4372</v>
      </c>
      <c r="H2378" s="1" t="s">
        <v>4372</v>
      </c>
      <c r="I2378" s="1" t="s">
        <v>4377</v>
      </c>
      <c r="J2378" s="1" t="s">
        <v>7913</v>
      </c>
      <c r="K2378" s="1" t="s">
        <v>318</v>
      </c>
    </row>
    <row r="2379" spans="1:11" ht="21" x14ac:dyDescent="0.25">
      <c r="A2379" s="11" t="str">
        <f>HYPERLINK("https://rth.dk/resources/bsgatlas/details.php?id=BSGatlas-transcript-2378","BSGatlas-transcript-2378")</f>
        <v>BSGatlas-transcript-2378</v>
      </c>
      <c r="B2379" s="1" t="s">
        <v>2233</v>
      </c>
      <c r="C2379" s="3">
        <v>2203731</v>
      </c>
      <c r="D2379" s="3">
        <v>2204003</v>
      </c>
      <c r="E2379" s="1" t="s">
        <v>9</v>
      </c>
      <c r="F2379" s="1">
        <v>0</v>
      </c>
      <c r="G2379" s="1" t="s">
        <v>4372</v>
      </c>
      <c r="H2379" s="1" t="s">
        <v>4372</v>
      </c>
      <c r="I2379" s="1" t="s">
        <v>4547</v>
      </c>
      <c r="J2379" s="1" t="s">
        <v>7914</v>
      </c>
      <c r="K2379" s="1" t="s">
        <v>318</v>
      </c>
    </row>
    <row r="2380" spans="1:11" ht="21" x14ac:dyDescent="0.25">
      <c r="A2380" s="11" t="str">
        <f>HYPERLINK("https://rth.dk/resources/bsgatlas/details.php?id=BSGatlas-transcript-2379","BSGatlas-transcript-2379")</f>
        <v>BSGatlas-transcript-2379</v>
      </c>
      <c r="B2380" s="1" t="s">
        <v>7915</v>
      </c>
      <c r="C2380" s="3">
        <v>2204192</v>
      </c>
      <c r="D2380" s="3">
        <v>2206623</v>
      </c>
      <c r="E2380" s="1" t="s">
        <v>13</v>
      </c>
      <c r="F2380" s="1">
        <v>1</v>
      </c>
      <c r="G2380" s="1">
        <v>49</v>
      </c>
      <c r="H2380" s="1" t="s">
        <v>4372</v>
      </c>
      <c r="I2380" s="1" t="s">
        <v>4386</v>
      </c>
      <c r="J2380" s="1" t="s">
        <v>7916</v>
      </c>
      <c r="K2380" s="1" t="s">
        <v>7917</v>
      </c>
    </row>
    <row r="2381" spans="1:11" ht="21" x14ac:dyDescent="0.25">
      <c r="A2381" s="11" t="str">
        <f>HYPERLINK("https://rth.dk/resources/bsgatlas/details.php?id=BSGatlas-transcript-2380","BSGatlas-transcript-2380")</f>
        <v>BSGatlas-transcript-2380</v>
      </c>
      <c r="B2381" s="1" t="s">
        <v>7918</v>
      </c>
      <c r="C2381" s="3">
        <v>2204192</v>
      </c>
      <c r="D2381" s="3">
        <v>2208581</v>
      </c>
      <c r="E2381" s="1" t="s">
        <v>13</v>
      </c>
      <c r="F2381" s="1">
        <v>3</v>
      </c>
      <c r="G2381" s="1">
        <v>54</v>
      </c>
      <c r="H2381" s="1" t="s">
        <v>4372</v>
      </c>
      <c r="I2381" s="1" t="s">
        <v>4386</v>
      </c>
      <c r="J2381" s="1" t="s">
        <v>7919</v>
      </c>
      <c r="K2381" s="1" t="s">
        <v>7917</v>
      </c>
    </row>
    <row r="2382" spans="1:11" ht="21" x14ac:dyDescent="0.25">
      <c r="A2382" s="11" t="str">
        <f>HYPERLINK("https://rth.dk/resources/bsgatlas/details.php?id=BSGatlas-transcript-2381","BSGatlas-transcript-2381")</f>
        <v>BSGatlas-transcript-2381</v>
      </c>
      <c r="B2382" s="1" t="s">
        <v>2240</v>
      </c>
      <c r="C2382" s="3">
        <v>2208373</v>
      </c>
      <c r="D2382" s="3">
        <v>2208745</v>
      </c>
      <c r="E2382" s="1" t="s">
        <v>9</v>
      </c>
      <c r="F2382" s="1">
        <v>0</v>
      </c>
      <c r="G2382" s="1" t="s">
        <v>4372</v>
      </c>
      <c r="H2382" s="1" t="s">
        <v>4372</v>
      </c>
      <c r="I2382" s="1" t="s">
        <v>4377</v>
      </c>
      <c r="J2382" s="1" t="s">
        <v>7920</v>
      </c>
      <c r="K2382" s="1" t="s">
        <v>318</v>
      </c>
    </row>
    <row r="2383" spans="1:11" ht="21" x14ac:dyDescent="0.25">
      <c r="A2383" s="11" t="str">
        <f>HYPERLINK("https://rth.dk/resources/bsgatlas/details.php?id=BSGatlas-transcript-2382","BSGatlas-transcript-2382")</f>
        <v>BSGatlas-transcript-2382</v>
      </c>
      <c r="B2383" s="1" t="s">
        <v>2241</v>
      </c>
      <c r="C2383" s="3">
        <v>2208590</v>
      </c>
      <c r="D2383" s="3">
        <v>2208880</v>
      </c>
      <c r="E2383" s="1" t="s">
        <v>13</v>
      </c>
      <c r="F2383" s="1">
        <v>0</v>
      </c>
      <c r="G2383" s="1" t="s">
        <v>4372</v>
      </c>
      <c r="H2383" s="1" t="s">
        <v>4372</v>
      </c>
      <c r="I2383" s="1" t="s">
        <v>4377</v>
      </c>
      <c r="J2383" s="1" t="s">
        <v>318</v>
      </c>
      <c r="K2383" s="1" t="s">
        <v>7921</v>
      </c>
    </row>
    <row r="2384" spans="1:11" ht="21" x14ac:dyDescent="0.25">
      <c r="A2384" s="11" t="str">
        <f>HYPERLINK("https://rth.dk/resources/bsgatlas/details.php?id=BSGatlas-transcript-2383","BSGatlas-transcript-2383")</f>
        <v>BSGatlas-transcript-2383</v>
      </c>
      <c r="B2384" s="1" t="s">
        <v>2242</v>
      </c>
      <c r="C2384" s="3">
        <v>2208802</v>
      </c>
      <c r="D2384" s="3">
        <v>2208980</v>
      </c>
      <c r="E2384" s="1" t="s">
        <v>13</v>
      </c>
      <c r="F2384" s="1">
        <v>0</v>
      </c>
      <c r="G2384" s="1" t="s">
        <v>4372</v>
      </c>
      <c r="H2384" s="1" t="s">
        <v>4372</v>
      </c>
      <c r="I2384" s="1" t="s">
        <v>4386</v>
      </c>
      <c r="J2384" s="1" t="s">
        <v>7922</v>
      </c>
      <c r="K2384" s="1" t="s">
        <v>7923</v>
      </c>
    </row>
    <row r="2385" spans="1:11" ht="21" x14ac:dyDescent="0.25">
      <c r="A2385" s="11" t="str">
        <f>HYPERLINK("https://rth.dk/resources/bsgatlas/details.php?id=BSGatlas-transcript-2384","BSGatlas-transcript-2384")</f>
        <v>BSGatlas-transcript-2384</v>
      </c>
      <c r="B2385" s="1" t="s">
        <v>2242</v>
      </c>
      <c r="C2385" s="3">
        <v>2208802</v>
      </c>
      <c r="D2385" s="3">
        <v>2209002</v>
      </c>
      <c r="E2385" s="1" t="s">
        <v>13</v>
      </c>
      <c r="F2385" s="1">
        <v>0</v>
      </c>
      <c r="G2385" s="1" t="s">
        <v>4372</v>
      </c>
      <c r="H2385" s="1" t="s">
        <v>4372</v>
      </c>
      <c r="I2385" s="1" t="s">
        <v>4386</v>
      </c>
      <c r="J2385" s="1" t="s">
        <v>7924</v>
      </c>
      <c r="K2385" s="1" t="s">
        <v>7923</v>
      </c>
    </row>
    <row r="2386" spans="1:11" ht="21" x14ac:dyDescent="0.25">
      <c r="A2386" s="11" t="str">
        <f>HYPERLINK("https://rth.dk/resources/bsgatlas/details.php?id=BSGatlas-transcript-2385","BSGatlas-transcript-2385")</f>
        <v>BSGatlas-transcript-2385</v>
      </c>
      <c r="B2386" s="1" t="s">
        <v>2243</v>
      </c>
      <c r="C2386" s="3">
        <v>2208994</v>
      </c>
      <c r="D2386" s="3">
        <v>2210202</v>
      </c>
      <c r="E2386" s="1" t="s">
        <v>13</v>
      </c>
      <c r="F2386" s="1">
        <v>0</v>
      </c>
      <c r="G2386" s="1" t="s">
        <v>4372</v>
      </c>
      <c r="H2386" s="1" t="s">
        <v>4372</v>
      </c>
      <c r="I2386" s="1" t="s">
        <v>4377</v>
      </c>
      <c r="J2386" s="1" t="s">
        <v>7925</v>
      </c>
      <c r="K2386" s="1" t="s">
        <v>318</v>
      </c>
    </row>
    <row r="2387" spans="1:11" ht="21" x14ac:dyDescent="0.25">
      <c r="A2387" s="11" t="str">
        <f>HYPERLINK("https://rth.dk/resources/bsgatlas/details.php?id=BSGatlas-transcript-2386","BSGatlas-transcript-2386")</f>
        <v>BSGatlas-transcript-2386</v>
      </c>
      <c r="B2387" s="1" t="s">
        <v>2244</v>
      </c>
      <c r="C2387" s="3">
        <v>2212245</v>
      </c>
      <c r="D2387" s="3">
        <v>2212519</v>
      </c>
      <c r="E2387" s="1" t="s">
        <v>13</v>
      </c>
      <c r="F2387" s="1">
        <v>0</v>
      </c>
      <c r="G2387" s="1" t="s">
        <v>4372</v>
      </c>
      <c r="H2387" s="1" t="s">
        <v>4372</v>
      </c>
      <c r="I2387" s="1" t="s">
        <v>4377</v>
      </c>
      <c r="J2387" s="1" t="s">
        <v>7926</v>
      </c>
      <c r="K2387" s="1" t="s">
        <v>318</v>
      </c>
    </row>
    <row r="2388" spans="1:11" ht="21" x14ac:dyDescent="0.25">
      <c r="A2388" s="11" t="str">
        <f>HYPERLINK("https://rth.dk/resources/bsgatlas/details.php?id=BSGatlas-transcript-2387","BSGatlas-transcript-2387")</f>
        <v>BSGatlas-transcript-2387</v>
      </c>
      <c r="B2388" s="1" t="s">
        <v>2245</v>
      </c>
      <c r="C2388" s="3">
        <v>2212531</v>
      </c>
      <c r="D2388" s="3">
        <v>2212746</v>
      </c>
      <c r="E2388" s="1" t="s">
        <v>9</v>
      </c>
      <c r="F2388" s="1">
        <v>0</v>
      </c>
      <c r="G2388" s="1" t="s">
        <v>4372</v>
      </c>
      <c r="H2388" s="1" t="s">
        <v>4372</v>
      </c>
      <c r="I2388" s="1" t="s">
        <v>4377</v>
      </c>
      <c r="J2388" s="1" t="s">
        <v>7927</v>
      </c>
      <c r="K2388" s="1" t="s">
        <v>318</v>
      </c>
    </row>
    <row r="2389" spans="1:11" ht="21" x14ac:dyDescent="0.25">
      <c r="A2389" s="11" t="str">
        <f>HYPERLINK("https://rth.dk/resources/bsgatlas/details.php?id=BSGatlas-transcript-2388","BSGatlas-transcript-2388")</f>
        <v>BSGatlas-transcript-2388</v>
      </c>
      <c r="B2389" s="1" t="s">
        <v>2246</v>
      </c>
      <c r="C2389" s="3">
        <v>2212848</v>
      </c>
      <c r="D2389" s="3">
        <v>2214894</v>
      </c>
      <c r="E2389" s="1" t="s">
        <v>9</v>
      </c>
      <c r="F2389" s="1">
        <v>0</v>
      </c>
      <c r="G2389" s="1" t="s">
        <v>4372</v>
      </c>
      <c r="H2389" s="1" t="s">
        <v>4372</v>
      </c>
      <c r="I2389" s="1" t="s">
        <v>4377</v>
      </c>
      <c r="J2389" s="1" t="s">
        <v>318</v>
      </c>
      <c r="K2389" s="1" t="s">
        <v>7928</v>
      </c>
    </row>
    <row r="2390" spans="1:11" ht="21" x14ac:dyDescent="0.25">
      <c r="A2390" s="11" t="str">
        <f>HYPERLINK("https://rth.dk/resources/bsgatlas/details.php?id=BSGatlas-transcript-2389","BSGatlas-transcript-2389")</f>
        <v>BSGatlas-transcript-2389</v>
      </c>
      <c r="B2390" s="1" t="s">
        <v>2247</v>
      </c>
      <c r="C2390" s="3">
        <v>2213536</v>
      </c>
      <c r="D2390" s="3">
        <v>2214961</v>
      </c>
      <c r="E2390" s="1" t="s">
        <v>13</v>
      </c>
      <c r="F2390" s="1">
        <v>0</v>
      </c>
      <c r="G2390" s="1" t="s">
        <v>4372</v>
      </c>
      <c r="H2390" s="1" t="s">
        <v>4372</v>
      </c>
      <c r="I2390" s="1" t="s">
        <v>4377</v>
      </c>
      <c r="J2390" s="1" t="s">
        <v>7929</v>
      </c>
      <c r="K2390" s="1" t="s">
        <v>318</v>
      </c>
    </row>
    <row r="2391" spans="1:11" ht="21" x14ac:dyDescent="0.25">
      <c r="A2391" s="11" t="str">
        <f>HYPERLINK("https://rth.dk/resources/bsgatlas/details.php?id=BSGatlas-transcript-2390","BSGatlas-transcript-2390")</f>
        <v>BSGatlas-transcript-2390</v>
      </c>
      <c r="B2391" s="1" t="s">
        <v>2248</v>
      </c>
      <c r="C2391" s="3">
        <v>2215289</v>
      </c>
      <c r="D2391" s="3">
        <v>2216813</v>
      </c>
      <c r="E2391" s="1" t="s">
        <v>13</v>
      </c>
      <c r="F2391" s="1">
        <v>0</v>
      </c>
      <c r="G2391" s="1" t="s">
        <v>4372</v>
      </c>
      <c r="H2391" s="1" t="s">
        <v>4372</v>
      </c>
      <c r="I2391" s="1" t="s">
        <v>4377</v>
      </c>
      <c r="J2391" s="1" t="s">
        <v>7930</v>
      </c>
      <c r="K2391" s="1" t="s">
        <v>7931</v>
      </c>
    </row>
    <row r="2392" spans="1:11" ht="21" x14ac:dyDescent="0.25">
      <c r="A2392" s="11" t="str">
        <f>HYPERLINK("https://rth.dk/resources/bsgatlas/details.php?id=BSGatlas-transcript-2391","BSGatlas-transcript-2391")</f>
        <v>BSGatlas-transcript-2391</v>
      </c>
      <c r="B2392" s="1" t="s">
        <v>2249</v>
      </c>
      <c r="C2392" s="3">
        <v>2217133</v>
      </c>
      <c r="D2392" s="3">
        <v>2217689</v>
      </c>
      <c r="E2392" s="1" t="s">
        <v>13</v>
      </c>
      <c r="F2392" s="1">
        <v>0</v>
      </c>
      <c r="G2392" s="1" t="s">
        <v>4372</v>
      </c>
      <c r="H2392" s="1" t="s">
        <v>4372</v>
      </c>
      <c r="I2392" s="1" t="s">
        <v>4377</v>
      </c>
      <c r="J2392" s="1" t="s">
        <v>7932</v>
      </c>
      <c r="K2392" s="1" t="s">
        <v>318</v>
      </c>
    </row>
    <row r="2393" spans="1:11" ht="21" x14ac:dyDescent="0.25">
      <c r="A2393" s="11" t="str">
        <f>HYPERLINK("https://rth.dk/resources/bsgatlas/details.php?id=BSGatlas-transcript-2392","BSGatlas-transcript-2392")</f>
        <v>BSGatlas-transcript-2392</v>
      </c>
      <c r="B2393" s="1" t="s">
        <v>7933</v>
      </c>
      <c r="C2393" s="3">
        <v>2217967</v>
      </c>
      <c r="D2393" s="3">
        <v>2219999</v>
      </c>
      <c r="E2393" s="1" t="s">
        <v>13</v>
      </c>
      <c r="F2393" s="1">
        <v>3</v>
      </c>
      <c r="G2393" s="1">
        <v>40</v>
      </c>
      <c r="H2393" s="1" t="s">
        <v>4372</v>
      </c>
      <c r="I2393" s="1" t="s">
        <v>4386</v>
      </c>
      <c r="J2393" s="1" t="s">
        <v>7934</v>
      </c>
      <c r="K2393" s="1" t="s">
        <v>318</v>
      </c>
    </row>
    <row r="2394" spans="1:11" ht="21" x14ac:dyDescent="0.25">
      <c r="A2394" s="11" t="str">
        <f>HYPERLINK("https://rth.dk/resources/bsgatlas/details.php?id=BSGatlas-transcript-2393","BSGatlas-transcript-2393")</f>
        <v>BSGatlas-transcript-2393</v>
      </c>
      <c r="B2394" s="1" t="s">
        <v>2251</v>
      </c>
      <c r="C2394" s="3">
        <v>2219281</v>
      </c>
      <c r="D2394" s="3">
        <v>2219493</v>
      </c>
      <c r="E2394" s="1" t="s">
        <v>13</v>
      </c>
      <c r="F2394" s="1">
        <v>0</v>
      </c>
      <c r="G2394" s="1" t="s">
        <v>4372</v>
      </c>
      <c r="H2394" s="1" t="s">
        <v>4372</v>
      </c>
      <c r="I2394" s="1" t="s">
        <v>4386</v>
      </c>
      <c r="J2394" s="1" t="s">
        <v>7935</v>
      </c>
      <c r="K2394" s="1" t="s">
        <v>7936</v>
      </c>
    </row>
    <row r="2395" spans="1:11" ht="21" x14ac:dyDescent="0.25">
      <c r="A2395" s="11" t="str">
        <f>HYPERLINK("https://rth.dk/resources/bsgatlas/details.php?id=BSGatlas-transcript-2394","BSGatlas-transcript-2394")</f>
        <v>BSGatlas-transcript-2394</v>
      </c>
      <c r="B2395" s="1" t="s">
        <v>7937</v>
      </c>
      <c r="C2395" s="3">
        <v>2219281</v>
      </c>
      <c r="D2395" s="3">
        <v>2219765</v>
      </c>
      <c r="E2395" s="1" t="s">
        <v>13</v>
      </c>
      <c r="F2395" s="1">
        <v>1</v>
      </c>
      <c r="G2395" s="1" t="s">
        <v>4372</v>
      </c>
      <c r="H2395" s="1" t="s">
        <v>4372</v>
      </c>
      <c r="I2395" s="1" t="s">
        <v>4377</v>
      </c>
      <c r="J2395" s="1" t="s">
        <v>7938</v>
      </c>
      <c r="K2395" s="1" t="s">
        <v>7936</v>
      </c>
    </row>
    <row r="2396" spans="1:11" ht="21" x14ac:dyDescent="0.25">
      <c r="A2396" s="11" t="str">
        <f>HYPERLINK("https://rth.dk/resources/bsgatlas/details.php?id=BSGatlas-transcript-2395","BSGatlas-transcript-2395")</f>
        <v>BSGatlas-transcript-2395</v>
      </c>
      <c r="B2396" s="1" t="s">
        <v>7939</v>
      </c>
      <c r="C2396" s="3">
        <v>2219281</v>
      </c>
      <c r="D2396" s="3">
        <v>2219999</v>
      </c>
      <c r="E2396" s="1" t="s">
        <v>13</v>
      </c>
      <c r="F2396" s="1">
        <v>2</v>
      </c>
      <c r="G2396" s="1">
        <v>40</v>
      </c>
      <c r="H2396" s="1" t="s">
        <v>4372</v>
      </c>
      <c r="I2396" s="1" t="s">
        <v>4377</v>
      </c>
      <c r="J2396" s="1" t="s">
        <v>7934</v>
      </c>
      <c r="K2396" s="1" t="s">
        <v>7936</v>
      </c>
    </row>
    <row r="2397" spans="1:11" ht="21" x14ac:dyDescent="0.25">
      <c r="A2397" s="11" t="str">
        <f>HYPERLINK("https://rth.dk/resources/bsgatlas/details.php?id=BSGatlas-transcript-2396","BSGatlas-transcript-2396")</f>
        <v>BSGatlas-transcript-2396</v>
      </c>
      <c r="B2397" s="1" t="s">
        <v>2254</v>
      </c>
      <c r="C2397" s="3">
        <v>2219743</v>
      </c>
      <c r="D2397" s="3">
        <v>2219849</v>
      </c>
      <c r="E2397" s="1" t="s">
        <v>9</v>
      </c>
      <c r="F2397" s="1">
        <v>0</v>
      </c>
      <c r="G2397" s="1" t="s">
        <v>4372</v>
      </c>
      <c r="H2397" s="1" t="s">
        <v>4372</v>
      </c>
      <c r="I2397" s="1" t="s">
        <v>4377</v>
      </c>
      <c r="J2397" s="1" t="s">
        <v>7940</v>
      </c>
      <c r="K2397" s="1" t="s">
        <v>318</v>
      </c>
    </row>
    <row r="2398" spans="1:11" ht="21" x14ac:dyDescent="0.25">
      <c r="A2398" s="11" t="str">
        <f>HYPERLINK("https://rth.dk/resources/bsgatlas/details.php?id=BSGatlas-transcript-2397","BSGatlas-transcript-2397")</f>
        <v>BSGatlas-transcript-2397</v>
      </c>
      <c r="B2398" s="1" t="s">
        <v>2253</v>
      </c>
      <c r="C2398" s="3">
        <v>2219784</v>
      </c>
      <c r="D2398" s="3">
        <v>2219999</v>
      </c>
      <c r="E2398" s="1" t="s">
        <v>13</v>
      </c>
      <c r="F2398" s="1">
        <v>0</v>
      </c>
      <c r="G2398" s="1" t="s">
        <v>4372</v>
      </c>
      <c r="H2398" s="1" t="s">
        <v>4372</v>
      </c>
      <c r="I2398" s="1" t="s">
        <v>4386</v>
      </c>
      <c r="J2398" s="1" t="s">
        <v>7934</v>
      </c>
      <c r="K2398" s="1" t="s">
        <v>318</v>
      </c>
    </row>
    <row r="2399" spans="1:11" ht="21" x14ac:dyDescent="0.25">
      <c r="A2399" s="11" t="str">
        <f>HYPERLINK("https://rth.dk/resources/bsgatlas/details.php?id=BSGatlas-transcript-2398","BSGatlas-transcript-2398")</f>
        <v>BSGatlas-transcript-2398</v>
      </c>
      <c r="B2399" s="1" t="s">
        <v>7941</v>
      </c>
      <c r="C2399" s="3">
        <v>2220335</v>
      </c>
      <c r="D2399" s="3">
        <v>2221418</v>
      </c>
      <c r="E2399" s="1" t="s">
        <v>13</v>
      </c>
      <c r="F2399" s="1">
        <v>1</v>
      </c>
      <c r="G2399" s="1">
        <v>32</v>
      </c>
      <c r="H2399" s="1" t="s">
        <v>4372</v>
      </c>
      <c r="I2399" s="1" t="s">
        <v>4386</v>
      </c>
      <c r="J2399" s="1" t="s">
        <v>7942</v>
      </c>
      <c r="K2399" s="1" t="s">
        <v>7943</v>
      </c>
    </row>
    <row r="2400" spans="1:11" ht="21" x14ac:dyDescent="0.25">
      <c r="A2400" s="11" t="str">
        <f>HYPERLINK("https://rth.dk/resources/bsgatlas/details.php?id=BSGatlas-transcript-2399","BSGatlas-transcript-2399")</f>
        <v>BSGatlas-transcript-2399</v>
      </c>
      <c r="B2400" s="1" t="s">
        <v>2257</v>
      </c>
      <c r="C2400" s="3">
        <v>2221639</v>
      </c>
      <c r="D2400" s="3">
        <v>2221791</v>
      </c>
      <c r="E2400" s="1" t="s">
        <v>9</v>
      </c>
      <c r="F2400" s="1">
        <v>0</v>
      </c>
      <c r="G2400" s="1" t="s">
        <v>4372</v>
      </c>
      <c r="H2400" s="1" t="s">
        <v>4372</v>
      </c>
      <c r="I2400" s="1" t="s">
        <v>4377</v>
      </c>
      <c r="J2400" s="1" t="s">
        <v>7944</v>
      </c>
      <c r="K2400" s="1" t="s">
        <v>318</v>
      </c>
    </row>
    <row r="2401" spans="1:11" ht="21" x14ac:dyDescent="0.25">
      <c r="A2401" s="11" t="str">
        <f>HYPERLINK("https://rth.dk/resources/bsgatlas/details.php?id=BSGatlas-transcript-2400","BSGatlas-transcript-2400")</f>
        <v>BSGatlas-transcript-2400</v>
      </c>
      <c r="B2401" s="1" t="s">
        <v>2258</v>
      </c>
      <c r="C2401" s="3">
        <v>2221800</v>
      </c>
      <c r="D2401" s="3">
        <v>2222284</v>
      </c>
      <c r="E2401" s="1" t="s">
        <v>9</v>
      </c>
      <c r="F2401" s="1">
        <v>0</v>
      </c>
      <c r="G2401" s="1" t="s">
        <v>4372</v>
      </c>
      <c r="H2401" s="1" t="s">
        <v>4372</v>
      </c>
      <c r="I2401" s="1" t="s">
        <v>4377</v>
      </c>
      <c r="J2401" s="1" t="s">
        <v>7945</v>
      </c>
      <c r="K2401" s="1" t="s">
        <v>7946</v>
      </c>
    </row>
    <row r="2402" spans="1:11" ht="21" x14ac:dyDescent="0.25">
      <c r="A2402" s="11" t="str">
        <f>HYPERLINK("https://rth.dk/resources/bsgatlas/details.php?id=BSGatlas-transcript-2401","BSGatlas-transcript-2401")</f>
        <v>BSGatlas-transcript-2401</v>
      </c>
      <c r="B2402" s="1" t="s">
        <v>7947</v>
      </c>
      <c r="C2402" s="3">
        <v>2222299</v>
      </c>
      <c r="D2402" s="3">
        <v>2225808</v>
      </c>
      <c r="E2402" s="1" t="s">
        <v>9</v>
      </c>
      <c r="F2402" s="1">
        <v>2</v>
      </c>
      <c r="G2402" s="1">
        <v>42</v>
      </c>
      <c r="H2402" s="1">
        <v>194</v>
      </c>
      <c r="I2402" s="1" t="s">
        <v>4386</v>
      </c>
      <c r="J2402" s="1" t="s">
        <v>7948</v>
      </c>
      <c r="K2402" s="1" t="s">
        <v>7949</v>
      </c>
    </row>
    <row r="2403" spans="1:11" ht="21" x14ac:dyDescent="0.25">
      <c r="A2403" s="11" t="str">
        <f>HYPERLINK("https://rth.dk/resources/bsgatlas/details.php?id=BSGatlas-transcript-2402","BSGatlas-transcript-2402")</f>
        <v>BSGatlas-transcript-2402</v>
      </c>
      <c r="B2403" s="1" t="s">
        <v>2262</v>
      </c>
      <c r="C2403" s="3">
        <v>2226070</v>
      </c>
      <c r="D2403" s="3">
        <v>2226618</v>
      </c>
      <c r="E2403" s="1" t="s">
        <v>9</v>
      </c>
      <c r="F2403" s="1">
        <v>0</v>
      </c>
      <c r="G2403" s="1" t="s">
        <v>4372</v>
      </c>
      <c r="H2403" s="1" t="s">
        <v>4372</v>
      </c>
      <c r="I2403" s="1" t="s">
        <v>4377</v>
      </c>
      <c r="J2403" s="1" t="s">
        <v>7950</v>
      </c>
      <c r="K2403" s="1" t="s">
        <v>318</v>
      </c>
    </row>
    <row r="2404" spans="1:11" ht="21" x14ac:dyDescent="0.25">
      <c r="A2404" s="11" t="str">
        <f>HYPERLINK("https://rth.dk/resources/bsgatlas/details.php?id=BSGatlas-transcript-2403","BSGatlas-transcript-2403")</f>
        <v>BSGatlas-transcript-2403</v>
      </c>
      <c r="B2404" s="1" t="s">
        <v>7951</v>
      </c>
      <c r="C2404" s="3">
        <v>2227297</v>
      </c>
      <c r="D2404" s="3">
        <v>2229885</v>
      </c>
      <c r="E2404" s="1" t="s">
        <v>9</v>
      </c>
      <c r="F2404" s="1">
        <v>2</v>
      </c>
      <c r="G2404" s="1" t="s">
        <v>4372</v>
      </c>
      <c r="H2404" s="1" t="s">
        <v>4372</v>
      </c>
      <c r="I2404" s="1" t="s">
        <v>4386</v>
      </c>
      <c r="J2404" s="1" t="s">
        <v>318</v>
      </c>
      <c r="K2404" s="1" t="s">
        <v>7952</v>
      </c>
    </row>
    <row r="2405" spans="1:11" ht="21" x14ac:dyDescent="0.25">
      <c r="A2405" s="11" t="str">
        <f>HYPERLINK("https://rth.dk/resources/bsgatlas/details.php?id=BSGatlas-transcript-2404","BSGatlas-transcript-2404")</f>
        <v>BSGatlas-transcript-2404</v>
      </c>
      <c r="B2405" s="1" t="s">
        <v>2266</v>
      </c>
      <c r="C2405" s="3">
        <v>2228756</v>
      </c>
      <c r="D2405" s="3">
        <v>2229202</v>
      </c>
      <c r="E2405" s="1" t="s">
        <v>13</v>
      </c>
      <c r="F2405" s="1">
        <v>0</v>
      </c>
      <c r="G2405" s="1" t="s">
        <v>4372</v>
      </c>
      <c r="H2405" s="1" t="s">
        <v>4372</v>
      </c>
      <c r="I2405" s="1" t="s">
        <v>4547</v>
      </c>
      <c r="J2405" s="1" t="s">
        <v>7953</v>
      </c>
      <c r="K2405" s="1" t="s">
        <v>7954</v>
      </c>
    </row>
    <row r="2406" spans="1:11" ht="21" x14ac:dyDescent="0.25">
      <c r="A2406" s="11" t="str">
        <f>HYPERLINK("https://rth.dk/resources/bsgatlas/details.php?id=BSGatlas-transcript-2405","BSGatlas-transcript-2405")</f>
        <v>BSGatlas-transcript-2405</v>
      </c>
      <c r="B2406" s="1" t="s">
        <v>2266</v>
      </c>
      <c r="C2406" s="3">
        <v>2228756</v>
      </c>
      <c r="D2406" s="3">
        <v>2230053</v>
      </c>
      <c r="E2406" s="1" t="s">
        <v>13</v>
      </c>
      <c r="F2406" s="1">
        <v>0</v>
      </c>
      <c r="G2406" s="1" t="s">
        <v>4372</v>
      </c>
      <c r="H2406" s="1" t="s">
        <v>4372</v>
      </c>
      <c r="I2406" s="1" t="s">
        <v>4547</v>
      </c>
      <c r="J2406" s="1" t="s">
        <v>7955</v>
      </c>
      <c r="K2406" s="1" t="s">
        <v>7954</v>
      </c>
    </row>
    <row r="2407" spans="1:11" ht="21" x14ac:dyDescent="0.25">
      <c r="A2407" s="11" t="str">
        <f>HYPERLINK("https://rth.dk/resources/bsgatlas/details.php?id=BSGatlas-transcript-2406","BSGatlas-transcript-2406")</f>
        <v>BSGatlas-transcript-2406</v>
      </c>
      <c r="B2407" s="1" t="s">
        <v>2267</v>
      </c>
      <c r="C2407" s="3">
        <v>2229955</v>
      </c>
      <c r="D2407" s="3">
        <v>2230908</v>
      </c>
      <c r="E2407" s="1" t="s">
        <v>9</v>
      </c>
      <c r="F2407" s="1">
        <v>0</v>
      </c>
      <c r="G2407" s="1" t="s">
        <v>4372</v>
      </c>
      <c r="H2407" s="1" t="s">
        <v>4372</v>
      </c>
      <c r="I2407" s="1" t="s">
        <v>4377</v>
      </c>
      <c r="J2407" s="1" t="s">
        <v>7956</v>
      </c>
      <c r="K2407" s="1" t="s">
        <v>318</v>
      </c>
    </row>
    <row r="2408" spans="1:11" ht="21" x14ac:dyDescent="0.25">
      <c r="A2408" s="11" t="str">
        <f>HYPERLINK("https://rth.dk/resources/bsgatlas/details.php?id=BSGatlas-transcript-2407","BSGatlas-transcript-2407")</f>
        <v>BSGatlas-transcript-2407</v>
      </c>
      <c r="B2408" s="1" t="s">
        <v>2268</v>
      </c>
      <c r="C2408" s="3">
        <v>2245147</v>
      </c>
      <c r="D2408" s="3">
        <v>2246550</v>
      </c>
      <c r="E2408" s="1" t="s">
        <v>9</v>
      </c>
      <c r="F2408" s="1">
        <v>0</v>
      </c>
      <c r="G2408" s="1" t="s">
        <v>4372</v>
      </c>
      <c r="H2408" s="1" t="s">
        <v>4372</v>
      </c>
      <c r="I2408" s="1" t="s">
        <v>4377</v>
      </c>
      <c r="J2408" s="1" t="s">
        <v>318</v>
      </c>
      <c r="K2408" s="1" t="s">
        <v>7957</v>
      </c>
    </row>
    <row r="2409" spans="1:11" ht="21" x14ac:dyDescent="0.25">
      <c r="A2409" s="11" t="str">
        <f>HYPERLINK("https://rth.dk/resources/bsgatlas/details.php?id=BSGatlas-transcript-2408","BSGatlas-transcript-2408")</f>
        <v>BSGatlas-transcript-2408</v>
      </c>
      <c r="B2409" s="1" t="s">
        <v>2269</v>
      </c>
      <c r="C2409" s="3">
        <v>2245274</v>
      </c>
      <c r="D2409" s="3">
        <v>2246517</v>
      </c>
      <c r="E2409" s="1" t="s">
        <v>13</v>
      </c>
      <c r="F2409" s="1">
        <v>0</v>
      </c>
      <c r="G2409" s="1" t="s">
        <v>4372</v>
      </c>
      <c r="H2409" s="1" t="s">
        <v>4372</v>
      </c>
      <c r="I2409" s="1" t="s">
        <v>4377</v>
      </c>
      <c r="J2409" s="1" t="s">
        <v>7958</v>
      </c>
      <c r="K2409" s="1" t="s">
        <v>7959</v>
      </c>
    </row>
    <row r="2410" spans="1:11" ht="21" x14ac:dyDescent="0.25">
      <c r="A2410" s="11" t="str">
        <f>HYPERLINK("https://rth.dk/resources/bsgatlas/details.php?id=BSGatlas-transcript-2409","BSGatlas-transcript-2409")</f>
        <v>BSGatlas-transcript-2409</v>
      </c>
      <c r="B2410" s="1" t="s">
        <v>2270</v>
      </c>
      <c r="C2410" s="3">
        <v>2247862</v>
      </c>
      <c r="D2410" s="3">
        <v>2248335</v>
      </c>
      <c r="E2410" s="1" t="s">
        <v>9</v>
      </c>
      <c r="F2410" s="1">
        <v>0</v>
      </c>
      <c r="G2410" s="1" t="s">
        <v>4372</v>
      </c>
      <c r="H2410" s="1" t="s">
        <v>4372</v>
      </c>
      <c r="I2410" s="1" t="s">
        <v>4377</v>
      </c>
      <c r="J2410" s="1" t="s">
        <v>7960</v>
      </c>
      <c r="K2410" s="1" t="s">
        <v>318</v>
      </c>
    </row>
    <row r="2411" spans="1:11" ht="21" x14ac:dyDescent="0.25">
      <c r="A2411" s="11" t="str">
        <f>HYPERLINK("https://rth.dk/resources/bsgatlas/details.php?id=BSGatlas-transcript-2410","BSGatlas-transcript-2410")</f>
        <v>BSGatlas-transcript-2410</v>
      </c>
      <c r="B2411" s="1" t="s">
        <v>2271</v>
      </c>
      <c r="C2411" s="3">
        <v>2248391</v>
      </c>
      <c r="D2411" s="3">
        <v>2249100</v>
      </c>
      <c r="E2411" s="1" t="s">
        <v>9</v>
      </c>
      <c r="F2411" s="1">
        <v>0</v>
      </c>
      <c r="G2411" s="1" t="s">
        <v>4372</v>
      </c>
      <c r="H2411" s="1" t="s">
        <v>4372</v>
      </c>
      <c r="I2411" s="1" t="s">
        <v>4386</v>
      </c>
      <c r="J2411" s="1" t="s">
        <v>7961</v>
      </c>
      <c r="K2411" s="1" t="s">
        <v>7962</v>
      </c>
    </row>
    <row r="2412" spans="1:11" ht="21" x14ac:dyDescent="0.25">
      <c r="A2412" s="11" t="str">
        <f>HYPERLINK("https://rth.dk/resources/bsgatlas/details.php?id=BSGatlas-transcript-2411","BSGatlas-transcript-2411")</f>
        <v>BSGatlas-transcript-2411</v>
      </c>
      <c r="B2412" s="1" t="s">
        <v>2272</v>
      </c>
      <c r="C2412" s="3">
        <v>2249154</v>
      </c>
      <c r="D2412" s="3">
        <v>2256011</v>
      </c>
      <c r="E2412" s="1" t="s">
        <v>9</v>
      </c>
      <c r="F2412" s="1">
        <v>0</v>
      </c>
      <c r="G2412" s="1" t="s">
        <v>4372</v>
      </c>
      <c r="H2412" s="1" t="s">
        <v>4372</v>
      </c>
      <c r="I2412" s="1" t="s">
        <v>4377</v>
      </c>
      <c r="J2412" s="1" t="s">
        <v>7963</v>
      </c>
      <c r="K2412" s="1" t="s">
        <v>318</v>
      </c>
    </row>
    <row r="2413" spans="1:11" ht="21" x14ac:dyDescent="0.25">
      <c r="A2413" s="11" t="str">
        <f>HYPERLINK("https://rth.dk/resources/bsgatlas/details.php?id=BSGatlas-transcript-2412","BSGatlas-transcript-2412")</f>
        <v>BSGatlas-transcript-2412</v>
      </c>
      <c r="B2413" s="1" t="s">
        <v>7964</v>
      </c>
      <c r="C2413" s="3">
        <v>2264320</v>
      </c>
      <c r="D2413" s="3">
        <v>2269463</v>
      </c>
      <c r="E2413" s="1" t="s">
        <v>13</v>
      </c>
      <c r="F2413" s="1">
        <v>0</v>
      </c>
      <c r="G2413" s="1" t="s">
        <v>4372</v>
      </c>
      <c r="H2413" s="1" t="s">
        <v>4372</v>
      </c>
      <c r="I2413" s="1" t="s">
        <v>4382</v>
      </c>
      <c r="J2413" s="1" t="s">
        <v>318</v>
      </c>
      <c r="K2413" s="1" t="s">
        <v>7965</v>
      </c>
    </row>
    <row r="2414" spans="1:11" ht="21" x14ac:dyDescent="0.25">
      <c r="A2414" s="11" t="str">
        <f>HYPERLINK("https://rth.dk/resources/bsgatlas/details.php?id=BSGatlas-transcript-2413","BSGatlas-transcript-2413")</f>
        <v>BSGatlas-transcript-2413</v>
      </c>
      <c r="B2414" s="1" t="s">
        <v>7966</v>
      </c>
      <c r="C2414" s="3">
        <v>2264320</v>
      </c>
      <c r="D2414" s="3">
        <v>2269691</v>
      </c>
      <c r="E2414" s="1" t="s">
        <v>13</v>
      </c>
      <c r="F2414" s="1">
        <v>1</v>
      </c>
      <c r="G2414" s="1" t="s">
        <v>4372</v>
      </c>
      <c r="H2414" s="1">
        <v>906</v>
      </c>
      <c r="I2414" s="1" t="s">
        <v>4397</v>
      </c>
      <c r="J2414" s="1" t="s">
        <v>7967</v>
      </c>
      <c r="K2414" s="1" t="s">
        <v>7965</v>
      </c>
    </row>
    <row r="2415" spans="1:11" ht="21" x14ac:dyDescent="0.25">
      <c r="A2415" s="11" t="str">
        <f>HYPERLINK("https://rth.dk/resources/bsgatlas/details.php?id=BSGatlas-transcript-2414","BSGatlas-transcript-2414")</f>
        <v>BSGatlas-transcript-2414</v>
      </c>
      <c r="B2415" s="1" t="s">
        <v>7966</v>
      </c>
      <c r="C2415" s="3">
        <v>2264320</v>
      </c>
      <c r="D2415" s="3">
        <v>2269754</v>
      </c>
      <c r="E2415" s="1" t="s">
        <v>13</v>
      </c>
      <c r="F2415" s="1">
        <v>1</v>
      </c>
      <c r="G2415" s="1">
        <v>64</v>
      </c>
      <c r="H2415" s="1">
        <v>906</v>
      </c>
      <c r="I2415" s="1" t="s">
        <v>4397</v>
      </c>
      <c r="J2415" s="1" t="s">
        <v>7968</v>
      </c>
      <c r="K2415" s="1" t="s">
        <v>7965</v>
      </c>
    </row>
    <row r="2416" spans="1:11" ht="21" x14ac:dyDescent="0.25">
      <c r="A2416" s="11" t="str">
        <f>HYPERLINK("https://rth.dk/resources/bsgatlas/details.php?id=BSGatlas-transcript-2415","BSGatlas-transcript-2415")</f>
        <v>BSGatlas-transcript-2415</v>
      </c>
      <c r="B2416" s="1" t="s">
        <v>2278</v>
      </c>
      <c r="C2416" s="3">
        <v>2264903</v>
      </c>
      <c r="D2416" s="3">
        <v>2265169</v>
      </c>
      <c r="E2416" s="1" t="s">
        <v>9</v>
      </c>
      <c r="F2416" s="1">
        <v>0</v>
      </c>
      <c r="G2416" s="1" t="s">
        <v>4372</v>
      </c>
      <c r="H2416" s="1" t="s">
        <v>4372</v>
      </c>
      <c r="I2416" s="1" t="s">
        <v>4377</v>
      </c>
      <c r="J2416" s="1" t="s">
        <v>7969</v>
      </c>
      <c r="K2416" s="1" t="s">
        <v>318</v>
      </c>
    </row>
    <row r="2417" spans="1:11" ht="21" x14ac:dyDescent="0.25">
      <c r="A2417" s="11" t="str">
        <f>HYPERLINK("https://rth.dk/resources/bsgatlas/details.php?id=BSGatlas-transcript-2416","BSGatlas-transcript-2416")</f>
        <v>BSGatlas-transcript-2416</v>
      </c>
      <c r="B2417" s="1" t="s">
        <v>7964</v>
      </c>
      <c r="C2417" s="3">
        <v>2265122</v>
      </c>
      <c r="D2417" s="3">
        <v>2269463</v>
      </c>
      <c r="E2417" s="1" t="s">
        <v>13</v>
      </c>
      <c r="F2417" s="1">
        <v>0</v>
      </c>
      <c r="G2417" s="1" t="s">
        <v>4372</v>
      </c>
      <c r="H2417" s="1" t="s">
        <v>4372</v>
      </c>
      <c r="I2417" s="1" t="s">
        <v>4382</v>
      </c>
      <c r="J2417" s="1" t="s">
        <v>318</v>
      </c>
      <c r="K2417" s="1" t="s">
        <v>7970</v>
      </c>
    </row>
    <row r="2418" spans="1:11" ht="21" x14ac:dyDescent="0.25">
      <c r="A2418" s="11" t="str">
        <f>HYPERLINK("https://rth.dk/resources/bsgatlas/details.php?id=BSGatlas-transcript-2417","BSGatlas-transcript-2417")</f>
        <v>BSGatlas-transcript-2417</v>
      </c>
      <c r="B2418" s="1" t="s">
        <v>7966</v>
      </c>
      <c r="C2418" s="3">
        <v>2265122</v>
      </c>
      <c r="D2418" s="3">
        <v>2269691</v>
      </c>
      <c r="E2418" s="1" t="s">
        <v>13</v>
      </c>
      <c r="F2418" s="1">
        <v>1</v>
      </c>
      <c r="G2418" s="1" t="s">
        <v>4372</v>
      </c>
      <c r="H2418" s="1">
        <v>104</v>
      </c>
      <c r="I2418" s="1" t="s">
        <v>4397</v>
      </c>
      <c r="J2418" s="1" t="s">
        <v>7967</v>
      </c>
      <c r="K2418" s="1" t="s">
        <v>7970</v>
      </c>
    </row>
    <row r="2419" spans="1:11" ht="21" x14ac:dyDescent="0.25">
      <c r="A2419" s="11" t="str">
        <f>HYPERLINK("https://rth.dk/resources/bsgatlas/details.php?id=BSGatlas-transcript-2418","BSGatlas-transcript-2418")</f>
        <v>BSGatlas-transcript-2418</v>
      </c>
      <c r="B2419" s="1" t="s">
        <v>7966</v>
      </c>
      <c r="C2419" s="3">
        <v>2265122</v>
      </c>
      <c r="D2419" s="3">
        <v>2269754</v>
      </c>
      <c r="E2419" s="1" t="s">
        <v>13</v>
      </c>
      <c r="F2419" s="1">
        <v>1</v>
      </c>
      <c r="G2419" s="1">
        <v>64</v>
      </c>
      <c r="H2419" s="1">
        <v>104</v>
      </c>
      <c r="I2419" s="1" t="s">
        <v>4397</v>
      </c>
      <c r="J2419" s="1" t="s">
        <v>7968</v>
      </c>
      <c r="K2419" s="1" t="s">
        <v>7970</v>
      </c>
    </row>
    <row r="2420" spans="1:11" ht="21" x14ac:dyDescent="0.25">
      <c r="A2420" s="11" t="str">
        <f>HYPERLINK("https://rth.dk/resources/bsgatlas/details.php?id=BSGatlas-transcript-2419","BSGatlas-transcript-2419")</f>
        <v>BSGatlas-transcript-2419</v>
      </c>
      <c r="B2420" s="1" t="s">
        <v>2277</v>
      </c>
      <c r="C2420" s="3">
        <v>2269487</v>
      </c>
      <c r="D2420" s="3">
        <v>2269691</v>
      </c>
      <c r="E2420" s="1" t="s">
        <v>13</v>
      </c>
      <c r="F2420" s="1">
        <v>0</v>
      </c>
      <c r="G2420" s="1" t="s">
        <v>4372</v>
      </c>
      <c r="H2420" s="1" t="s">
        <v>4372</v>
      </c>
      <c r="I2420" s="1" t="s">
        <v>7186</v>
      </c>
      <c r="J2420" s="1" t="s">
        <v>7967</v>
      </c>
      <c r="K2420" s="1" t="s">
        <v>7971</v>
      </c>
    </row>
    <row r="2421" spans="1:11" ht="21" x14ac:dyDescent="0.25">
      <c r="A2421" s="11" t="str">
        <f>HYPERLINK("https://rth.dk/resources/bsgatlas/details.php?id=BSGatlas-transcript-2420","BSGatlas-transcript-2420")</f>
        <v>BSGatlas-transcript-2420</v>
      </c>
      <c r="B2421" s="1" t="s">
        <v>2277</v>
      </c>
      <c r="C2421" s="3">
        <v>2269487</v>
      </c>
      <c r="D2421" s="3">
        <v>2269754</v>
      </c>
      <c r="E2421" s="1" t="s">
        <v>13</v>
      </c>
      <c r="F2421" s="1">
        <v>0</v>
      </c>
      <c r="G2421" s="1" t="s">
        <v>4372</v>
      </c>
      <c r="H2421" s="1" t="s">
        <v>4372</v>
      </c>
      <c r="I2421" s="1" t="s">
        <v>7186</v>
      </c>
      <c r="J2421" s="1" t="s">
        <v>7968</v>
      </c>
      <c r="K2421" s="1" t="s">
        <v>7971</v>
      </c>
    </row>
    <row r="2422" spans="1:11" ht="21" x14ac:dyDescent="0.25">
      <c r="A2422" s="11" t="str">
        <f>HYPERLINK("https://rth.dk/resources/bsgatlas/details.php?id=BSGatlas-transcript-2421","BSGatlas-transcript-2421")</f>
        <v>BSGatlas-transcript-2421</v>
      </c>
      <c r="B2422" s="1" t="s">
        <v>2279</v>
      </c>
      <c r="C2422" s="3">
        <v>2269988</v>
      </c>
      <c r="D2422" s="3">
        <v>2270347</v>
      </c>
      <c r="E2422" s="1" t="s">
        <v>13</v>
      </c>
      <c r="F2422" s="1">
        <v>0</v>
      </c>
      <c r="G2422" s="1" t="s">
        <v>4372</v>
      </c>
      <c r="H2422" s="1" t="s">
        <v>4372</v>
      </c>
      <c r="I2422" s="1" t="s">
        <v>4386</v>
      </c>
      <c r="J2422" s="1" t="s">
        <v>7972</v>
      </c>
      <c r="K2422" s="1" t="s">
        <v>7973</v>
      </c>
    </row>
    <row r="2423" spans="1:11" ht="21" x14ac:dyDescent="0.25">
      <c r="A2423" s="11" t="str">
        <f>HYPERLINK("https://rth.dk/resources/bsgatlas/details.php?id=BSGatlas-transcript-2422","BSGatlas-transcript-2422")</f>
        <v>BSGatlas-transcript-2422</v>
      </c>
      <c r="B2423" s="1" t="s">
        <v>7974</v>
      </c>
      <c r="C2423" s="3">
        <v>2270407</v>
      </c>
      <c r="D2423" s="3">
        <v>2272010</v>
      </c>
      <c r="E2423" s="1" t="s">
        <v>13</v>
      </c>
      <c r="F2423" s="1">
        <v>0</v>
      </c>
      <c r="G2423" s="1" t="s">
        <v>4372</v>
      </c>
      <c r="H2423" s="1" t="s">
        <v>4372</v>
      </c>
      <c r="I2423" s="1" t="s">
        <v>4373</v>
      </c>
      <c r="J2423" s="1" t="s">
        <v>7975</v>
      </c>
      <c r="K2423" s="1" t="s">
        <v>318</v>
      </c>
    </row>
    <row r="2424" spans="1:11" ht="21" x14ac:dyDescent="0.25">
      <c r="A2424" s="11" t="str">
        <f>HYPERLINK("https://rth.dk/resources/bsgatlas/details.php?id=BSGatlas-transcript-2423","BSGatlas-transcript-2423")</f>
        <v>BSGatlas-transcript-2423</v>
      </c>
      <c r="B2424" s="1" t="s">
        <v>2282</v>
      </c>
      <c r="C2424" s="3">
        <v>2272107</v>
      </c>
      <c r="D2424" s="3">
        <v>2272535</v>
      </c>
      <c r="E2424" s="1" t="s">
        <v>9</v>
      </c>
      <c r="F2424" s="1">
        <v>0</v>
      </c>
      <c r="G2424" s="1" t="s">
        <v>4372</v>
      </c>
      <c r="H2424" s="1" t="s">
        <v>4372</v>
      </c>
      <c r="I2424" s="1" t="s">
        <v>4373</v>
      </c>
      <c r="J2424" s="1" t="s">
        <v>7976</v>
      </c>
      <c r="K2424" s="1" t="s">
        <v>7977</v>
      </c>
    </row>
    <row r="2425" spans="1:11" ht="21" x14ac:dyDescent="0.25">
      <c r="A2425" s="11" t="str">
        <f>HYPERLINK("https://rth.dk/resources/bsgatlas/details.php?id=BSGatlas-transcript-2424","BSGatlas-transcript-2424")</f>
        <v>BSGatlas-transcript-2424</v>
      </c>
      <c r="B2425" s="1" t="s">
        <v>7978</v>
      </c>
      <c r="C2425" s="3">
        <v>2272534</v>
      </c>
      <c r="D2425" s="3">
        <v>2273363</v>
      </c>
      <c r="E2425" s="1" t="s">
        <v>13</v>
      </c>
      <c r="F2425" s="1">
        <v>0</v>
      </c>
      <c r="G2425" s="1" t="s">
        <v>4372</v>
      </c>
      <c r="H2425" s="1" t="s">
        <v>4372</v>
      </c>
      <c r="I2425" s="1" t="s">
        <v>4386</v>
      </c>
      <c r="J2425" s="1" t="s">
        <v>7979</v>
      </c>
      <c r="K2425" s="1" t="s">
        <v>7980</v>
      </c>
    </row>
    <row r="2426" spans="1:11" ht="21" x14ac:dyDescent="0.25">
      <c r="A2426" s="11" t="str">
        <f>HYPERLINK("https://rth.dk/resources/bsgatlas/details.php?id=BSGatlas-transcript-2425","BSGatlas-transcript-2425")</f>
        <v>BSGatlas-transcript-2425</v>
      </c>
      <c r="B2426" s="1" t="s">
        <v>7978</v>
      </c>
      <c r="C2426" s="3">
        <v>2272534</v>
      </c>
      <c r="D2426" s="3">
        <v>2273404</v>
      </c>
      <c r="E2426" s="1" t="s">
        <v>13</v>
      </c>
      <c r="F2426" s="1">
        <v>0</v>
      </c>
      <c r="G2426" s="1" t="s">
        <v>4372</v>
      </c>
      <c r="H2426" s="1" t="s">
        <v>4372</v>
      </c>
      <c r="I2426" s="1" t="s">
        <v>4386</v>
      </c>
      <c r="J2426" s="1" t="s">
        <v>7981</v>
      </c>
      <c r="K2426" s="1" t="s">
        <v>7980</v>
      </c>
    </row>
    <row r="2427" spans="1:11" ht="21" x14ac:dyDescent="0.25">
      <c r="A2427" s="11" t="str">
        <f>HYPERLINK("https://rth.dk/resources/bsgatlas/details.php?id=BSGatlas-transcript-2426","BSGatlas-transcript-2426")</f>
        <v>BSGatlas-transcript-2426</v>
      </c>
      <c r="B2427" s="1" t="s">
        <v>7982</v>
      </c>
      <c r="C2427" s="3">
        <v>2273383</v>
      </c>
      <c r="D2427" s="3">
        <v>2273829</v>
      </c>
      <c r="E2427" s="1" t="s">
        <v>9</v>
      </c>
      <c r="F2427" s="1">
        <v>0</v>
      </c>
      <c r="G2427" s="1" t="s">
        <v>4372</v>
      </c>
      <c r="H2427" s="1" t="s">
        <v>4372</v>
      </c>
      <c r="I2427" s="1" t="s">
        <v>4386</v>
      </c>
      <c r="J2427" s="1" t="s">
        <v>7983</v>
      </c>
      <c r="K2427" s="1" t="s">
        <v>7984</v>
      </c>
    </row>
    <row r="2428" spans="1:11" ht="21" x14ac:dyDescent="0.25">
      <c r="A2428" s="11" t="str">
        <f>HYPERLINK("https://rth.dk/resources/bsgatlas/details.php?id=BSGatlas-transcript-2427","BSGatlas-transcript-2427")</f>
        <v>BSGatlas-transcript-2427</v>
      </c>
      <c r="B2428" s="1" t="s">
        <v>7982</v>
      </c>
      <c r="C2428" s="3">
        <v>2273427</v>
      </c>
      <c r="D2428" s="3">
        <v>2273829</v>
      </c>
      <c r="E2428" s="1" t="s">
        <v>9</v>
      </c>
      <c r="F2428" s="1">
        <v>0</v>
      </c>
      <c r="G2428" s="1" t="s">
        <v>4372</v>
      </c>
      <c r="H2428" s="1" t="s">
        <v>4372</v>
      </c>
      <c r="I2428" s="1" t="s">
        <v>4386</v>
      </c>
      <c r="J2428" s="1" t="s">
        <v>7985</v>
      </c>
      <c r="K2428" s="1" t="s">
        <v>7984</v>
      </c>
    </row>
    <row r="2429" spans="1:11" ht="21" x14ac:dyDescent="0.25">
      <c r="A2429" s="11" t="str">
        <f>HYPERLINK("https://rth.dk/resources/bsgatlas/details.php?id=BSGatlas-transcript-2428","BSGatlas-transcript-2428")</f>
        <v>BSGatlas-transcript-2428</v>
      </c>
      <c r="B2429" s="1" t="s">
        <v>2287</v>
      </c>
      <c r="C2429" s="3">
        <v>2273481</v>
      </c>
      <c r="D2429" s="3">
        <v>2273884</v>
      </c>
      <c r="E2429" s="1" t="s">
        <v>13</v>
      </c>
      <c r="F2429" s="1">
        <v>0</v>
      </c>
      <c r="G2429" s="1" t="s">
        <v>4372</v>
      </c>
      <c r="H2429" s="1" t="s">
        <v>4372</v>
      </c>
      <c r="I2429" s="1" t="s">
        <v>4386</v>
      </c>
      <c r="J2429" s="1" t="s">
        <v>318</v>
      </c>
      <c r="K2429" s="1" t="s">
        <v>7986</v>
      </c>
    </row>
    <row r="2430" spans="1:11" ht="21" x14ac:dyDescent="0.25">
      <c r="A2430" s="11" t="str">
        <f>HYPERLINK("https://rth.dk/resources/bsgatlas/details.php?id=BSGatlas-transcript-2429","BSGatlas-transcript-2429")</f>
        <v>BSGatlas-transcript-2429</v>
      </c>
      <c r="B2430" s="1" t="s">
        <v>7982</v>
      </c>
      <c r="C2430" s="3">
        <v>2273524</v>
      </c>
      <c r="D2430" s="3">
        <v>2273829</v>
      </c>
      <c r="E2430" s="1" t="s">
        <v>9</v>
      </c>
      <c r="F2430" s="1">
        <v>0</v>
      </c>
      <c r="G2430" s="1" t="s">
        <v>4372</v>
      </c>
      <c r="H2430" s="1" t="s">
        <v>4372</v>
      </c>
      <c r="I2430" s="1" t="s">
        <v>4386</v>
      </c>
      <c r="J2430" s="1" t="s">
        <v>7987</v>
      </c>
      <c r="K2430" s="1" t="s">
        <v>7984</v>
      </c>
    </row>
    <row r="2431" spans="1:11" ht="21" x14ac:dyDescent="0.25">
      <c r="A2431" s="11" t="str">
        <f>HYPERLINK("https://rth.dk/resources/bsgatlas/details.php?id=BSGatlas-transcript-2430","BSGatlas-transcript-2430")</f>
        <v>BSGatlas-transcript-2430</v>
      </c>
      <c r="B2431" s="1" t="s">
        <v>2287</v>
      </c>
      <c r="C2431" s="3">
        <v>2273701</v>
      </c>
      <c r="D2431" s="3">
        <v>2273884</v>
      </c>
      <c r="E2431" s="1" t="s">
        <v>13</v>
      </c>
      <c r="F2431" s="1">
        <v>0</v>
      </c>
      <c r="G2431" s="1" t="s">
        <v>4372</v>
      </c>
      <c r="H2431" s="1" t="s">
        <v>4372</v>
      </c>
      <c r="I2431" s="1" t="s">
        <v>4386</v>
      </c>
      <c r="J2431" s="1" t="s">
        <v>318</v>
      </c>
      <c r="K2431" s="1" t="s">
        <v>7988</v>
      </c>
    </row>
    <row r="2432" spans="1:11" ht="21" x14ac:dyDescent="0.25">
      <c r="A2432" s="11" t="str">
        <f>HYPERLINK("https://rth.dk/resources/bsgatlas/details.php?id=BSGatlas-transcript-2431","BSGatlas-transcript-2431")</f>
        <v>BSGatlas-transcript-2431</v>
      </c>
      <c r="B2432" s="1" t="s">
        <v>2288</v>
      </c>
      <c r="C2432" s="3">
        <v>2273801</v>
      </c>
      <c r="D2432" s="3">
        <v>2274302</v>
      </c>
      <c r="E2432" s="1" t="s">
        <v>9</v>
      </c>
      <c r="F2432" s="1">
        <v>0</v>
      </c>
      <c r="G2432" s="1" t="s">
        <v>4372</v>
      </c>
      <c r="H2432" s="1" t="s">
        <v>4372</v>
      </c>
      <c r="I2432" s="1" t="s">
        <v>4377</v>
      </c>
      <c r="J2432" s="1" t="s">
        <v>7989</v>
      </c>
      <c r="K2432" s="1" t="s">
        <v>318</v>
      </c>
    </row>
    <row r="2433" spans="1:11" ht="21" x14ac:dyDescent="0.25">
      <c r="A2433" s="11" t="str">
        <f>HYPERLINK("https://rth.dk/resources/bsgatlas/details.php?id=BSGatlas-transcript-2432","BSGatlas-transcript-2432")</f>
        <v>BSGatlas-transcript-2432</v>
      </c>
      <c r="B2433" s="1" t="s">
        <v>7990</v>
      </c>
      <c r="C2433" s="3">
        <v>2273989</v>
      </c>
      <c r="D2433" s="3">
        <v>2277463</v>
      </c>
      <c r="E2433" s="1" t="s">
        <v>13</v>
      </c>
      <c r="F2433" s="1">
        <v>2</v>
      </c>
      <c r="G2433" s="1">
        <v>43</v>
      </c>
      <c r="H2433" s="1" t="s">
        <v>4372</v>
      </c>
      <c r="I2433" s="1" t="s">
        <v>4386</v>
      </c>
      <c r="J2433" s="1" t="s">
        <v>7991</v>
      </c>
      <c r="K2433" s="1" t="s">
        <v>7992</v>
      </c>
    </row>
    <row r="2434" spans="1:11" ht="21" x14ac:dyDescent="0.25">
      <c r="A2434" s="11" t="str">
        <f>HYPERLINK("https://rth.dk/resources/bsgatlas/details.php?id=BSGatlas-transcript-2433","BSGatlas-transcript-2433")</f>
        <v>BSGatlas-transcript-2433</v>
      </c>
      <c r="B2434" s="1" t="s">
        <v>2293</v>
      </c>
      <c r="C2434" s="3">
        <v>2278602</v>
      </c>
      <c r="D2434" s="3">
        <v>2279729</v>
      </c>
      <c r="E2434" s="1" t="s">
        <v>13</v>
      </c>
      <c r="F2434" s="1">
        <v>0</v>
      </c>
      <c r="G2434" s="1" t="s">
        <v>4372</v>
      </c>
      <c r="H2434" s="1" t="s">
        <v>4372</v>
      </c>
      <c r="I2434" s="1" t="s">
        <v>4377</v>
      </c>
      <c r="J2434" s="1" t="s">
        <v>7993</v>
      </c>
      <c r="K2434" s="1" t="s">
        <v>318</v>
      </c>
    </row>
    <row r="2435" spans="1:11" ht="21" x14ac:dyDescent="0.25">
      <c r="A2435" s="11" t="str">
        <f>HYPERLINK("https://rth.dk/resources/bsgatlas/details.php?id=BSGatlas-transcript-2434","BSGatlas-transcript-2434")</f>
        <v>BSGatlas-transcript-2434</v>
      </c>
      <c r="B2435" s="1" t="s">
        <v>7994</v>
      </c>
      <c r="C2435" s="3">
        <v>2279919</v>
      </c>
      <c r="D2435" s="3">
        <v>2281363</v>
      </c>
      <c r="E2435" s="1" t="s">
        <v>9</v>
      </c>
      <c r="F2435" s="1">
        <v>0</v>
      </c>
      <c r="G2435" s="1" t="s">
        <v>4372</v>
      </c>
      <c r="H2435" s="1" t="s">
        <v>4372</v>
      </c>
      <c r="I2435" s="1" t="s">
        <v>4386</v>
      </c>
      <c r="J2435" s="1" t="s">
        <v>7995</v>
      </c>
      <c r="K2435" s="1" t="s">
        <v>7996</v>
      </c>
    </row>
    <row r="2436" spans="1:11" ht="21" x14ac:dyDescent="0.25">
      <c r="A2436" s="11" t="str">
        <f>HYPERLINK("https://rth.dk/resources/bsgatlas/details.php?id=BSGatlas-transcript-2435","BSGatlas-transcript-2435")</f>
        <v>BSGatlas-transcript-2435</v>
      </c>
      <c r="B2436" s="1" t="s">
        <v>4760</v>
      </c>
      <c r="C2436" s="3">
        <v>2281379</v>
      </c>
      <c r="D2436" s="3">
        <v>2282639</v>
      </c>
      <c r="E2436" s="1" t="s">
        <v>13</v>
      </c>
      <c r="F2436" s="1">
        <v>0</v>
      </c>
      <c r="G2436" s="1" t="s">
        <v>4372</v>
      </c>
      <c r="H2436" s="1" t="s">
        <v>4372</v>
      </c>
      <c r="I2436" s="1" t="s">
        <v>4377</v>
      </c>
      <c r="J2436" s="1" t="s">
        <v>318</v>
      </c>
      <c r="K2436" s="1" t="s">
        <v>7997</v>
      </c>
    </row>
    <row r="2437" spans="1:11" ht="21" x14ac:dyDescent="0.25">
      <c r="A2437" s="11" t="str">
        <f>HYPERLINK("https://rth.dk/resources/bsgatlas/details.php?id=BSGatlas-transcript-2436","BSGatlas-transcript-2436")</f>
        <v>BSGatlas-transcript-2436</v>
      </c>
      <c r="B2437" s="1" t="s">
        <v>2296</v>
      </c>
      <c r="C2437" s="3">
        <v>2281501</v>
      </c>
      <c r="D2437" s="3">
        <v>2282557</v>
      </c>
      <c r="E2437" s="1" t="s">
        <v>9</v>
      </c>
      <c r="F2437" s="1">
        <v>0</v>
      </c>
      <c r="G2437" s="1" t="s">
        <v>4372</v>
      </c>
      <c r="H2437" s="1" t="s">
        <v>4372</v>
      </c>
      <c r="I2437" s="1" t="s">
        <v>4386</v>
      </c>
      <c r="J2437" s="1" t="s">
        <v>7998</v>
      </c>
      <c r="K2437" s="1" t="s">
        <v>7999</v>
      </c>
    </row>
    <row r="2438" spans="1:11" ht="21" x14ac:dyDescent="0.25">
      <c r="A2438" s="11" t="str">
        <f>HYPERLINK("https://rth.dk/resources/bsgatlas/details.php?id=BSGatlas-transcript-2437","BSGatlas-transcript-2437")</f>
        <v>BSGatlas-transcript-2437</v>
      </c>
      <c r="B2438" s="1" t="s">
        <v>4760</v>
      </c>
      <c r="C2438" s="3">
        <v>2282252</v>
      </c>
      <c r="D2438" s="3">
        <v>2282639</v>
      </c>
      <c r="E2438" s="1" t="s">
        <v>13</v>
      </c>
      <c r="F2438" s="1">
        <v>0</v>
      </c>
      <c r="G2438" s="1" t="s">
        <v>4372</v>
      </c>
      <c r="H2438" s="1" t="s">
        <v>4372</v>
      </c>
      <c r="I2438" s="1" t="s">
        <v>4377</v>
      </c>
      <c r="J2438" s="1" t="s">
        <v>318</v>
      </c>
      <c r="K2438" s="1" t="s">
        <v>8000</v>
      </c>
    </row>
    <row r="2439" spans="1:11" ht="21" x14ac:dyDescent="0.25">
      <c r="A2439" s="11" t="str">
        <f>HYPERLINK("https://rth.dk/resources/bsgatlas/details.php?id=BSGatlas-transcript-2438","BSGatlas-transcript-2438")</f>
        <v>BSGatlas-transcript-2438</v>
      </c>
      <c r="B2439" s="1" t="s">
        <v>2297</v>
      </c>
      <c r="C2439" s="3">
        <v>2283685</v>
      </c>
      <c r="D2439" s="3">
        <v>2283753</v>
      </c>
      <c r="E2439" s="1" t="s">
        <v>13</v>
      </c>
      <c r="F2439" s="1">
        <v>0</v>
      </c>
      <c r="G2439" s="1" t="s">
        <v>4372</v>
      </c>
      <c r="H2439" s="1" t="s">
        <v>4372</v>
      </c>
      <c r="I2439" s="1" t="s">
        <v>4377</v>
      </c>
      <c r="J2439" s="1" t="s">
        <v>8001</v>
      </c>
      <c r="K2439" s="1" t="s">
        <v>318</v>
      </c>
    </row>
    <row r="2440" spans="1:11" ht="21" x14ac:dyDescent="0.25">
      <c r="A2440" s="11" t="str">
        <f>HYPERLINK("https://rth.dk/resources/bsgatlas/details.php?id=BSGatlas-transcript-2439","BSGatlas-transcript-2439")</f>
        <v>BSGatlas-transcript-2439</v>
      </c>
      <c r="B2440" s="1" t="s">
        <v>2298</v>
      </c>
      <c r="C2440" s="3">
        <v>2283858</v>
      </c>
      <c r="D2440" s="3">
        <v>2284613</v>
      </c>
      <c r="E2440" s="1" t="s">
        <v>13</v>
      </c>
      <c r="F2440" s="1">
        <v>0</v>
      </c>
      <c r="G2440" s="1" t="s">
        <v>4372</v>
      </c>
      <c r="H2440" s="1" t="s">
        <v>4372</v>
      </c>
      <c r="I2440" s="1" t="s">
        <v>4386</v>
      </c>
      <c r="J2440" s="1" t="s">
        <v>8002</v>
      </c>
      <c r="K2440" s="1" t="s">
        <v>8003</v>
      </c>
    </row>
    <row r="2441" spans="1:11" ht="21" x14ac:dyDescent="0.25">
      <c r="A2441" s="11" t="str">
        <f>HYPERLINK("https://rth.dk/resources/bsgatlas/details.php?id=BSGatlas-transcript-2440","BSGatlas-transcript-2440")</f>
        <v>BSGatlas-transcript-2440</v>
      </c>
      <c r="B2441" s="1" t="s">
        <v>8004</v>
      </c>
      <c r="C2441" s="3">
        <v>2284713</v>
      </c>
      <c r="D2441" s="3">
        <v>2287100</v>
      </c>
      <c r="E2441" s="1" t="s">
        <v>9</v>
      </c>
      <c r="F2441" s="1">
        <v>1</v>
      </c>
      <c r="G2441" s="1">
        <v>59</v>
      </c>
      <c r="H2441" s="1">
        <v>48</v>
      </c>
      <c r="I2441" s="1" t="s">
        <v>4386</v>
      </c>
      <c r="J2441" s="1" t="s">
        <v>8005</v>
      </c>
      <c r="K2441" s="1" t="s">
        <v>8006</v>
      </c>
    </row>
    <row r="2442" spans="1:11" ht="21" x14ac:dyDescent="0.25">
      <c r="A2442" s="11" t="str">
        <f>HYPERLINK("https://rth.dk/resources/bsgatlas/details.php?id=BSGatlas-transcript-2441","BSGatlas-transcript-2441")</f>
        <v>BSGatlas-transcript-2441</v>
      </c>
      <c r="B2442" s="1" t="s">
        <v>2300</v>
      </c>
      <c r="C2442" s="3">
        <v>2286429</v>
      </c>
      <c r="D2442" s="3">
        <v>2287100</v>
      </c>
      <c r="E2442" s="1" t="s">
        <v>9</v>
      </c>
      <c r="F2442" s="1">
        <v>0</v>
      </c>
      <c r="G2442" s="1" t="s">
        <v>4372</v>
      </c>
      <c r="H2442" s="1" t="s">
        <v>4372</v>
      </c>
      <c r="I2442" s="1" t="s">
        <v>4386</v>
      </c>
      <c r="J2442" s="1" t="s">
        <v>8007</v>
      </c>
      <c r="K2442" s="1" t="s">
        <v>8006</v>
      </c>
    </row>
    <row r="2443" spans="1:11" ht="21" x14ac:dyDescent="0.25">
      <c r="A2443" s="11" t="str">
        <f>HYPERLINK("https://rth.dk/resources/bsgatlas/details.php?id=BSGatlas-transcript-2442","BSGatlas-transcript-2442")</f>
        <v>BSGatlas-transcript-2442</v>
      </c>
      <c r="B2443" s="1" t="s">
        <v>2301</v>
      </c>
      <c r="C2443" s="3">
        <v>2287042</v>
      </c>
      <c r="D2443" s="3">
        <v>2287528</v>
      </c>
      <c r="E2443" s="1" t="s">
        <v>13</v>
      </c>
      <c r="F2443" s="1">
        <v>0</v>
      </c>
      <c r="G2443" s="1" t="s">
        <v>4372</v>
      </c>
      <c r="H2443" s="1" t="s">
        <v>4372</v>
      </c>
      <c r="I2443" s="1" t="s">
        <v>4382</v>
      </c>
      <c r="J2443" s="1" t="s">
        <v>318</v>
      </c>
      <c r="K2443" s="1" t="s">
        <v>8008</v>
      </c>
    </row>
    <row r="2444" spans="1:11" ht="21" x14ac:dyDescent="0.25">
      <c r="A2444" s="11" t="str">
        <f>HYPERLINK("https://rth.dk/resources/bsgatlas/details.php?id=BSGatlas-transcript-2443","BSGatlas-transcript-2443")</f>
        <v>BSGatlas-transcript-2443</v>
      </c>
      <c r="B2444" s="1" t="s">
        <v>8009</v>
      </c>
      <c r="C2444" s="3">
        <v>2287042</v>
      </c>
      <c r="D2444" s="3">
        <v>2288110</v>
      </c>
      <c r="E2444" s="1" t="s">
        <v>13</v>
      </c>
      <c r="F2444" s="1">
        <v>0</v>
      </c>
      <c r="G2444" s="1" t="s">
        <v>4372</v>
      </c>
      <c r="H2444" s="1" t="s">
        <v>4372</v>
      </c>
      <c r="I2444" s="1" t="s">
        <v>4386</v>
      </c>
      <c r="J2444" s="1" t="s">
        <v>8010</v>
      </c>
      <c r="K2444" s="1" t="s">
        <v>8008</v>
      </c>
    </row>
    <row r="2445" spans="1:11" ht="21" x14ac:dyDescent="0.25">
      <c r="A2445" s="11" t="str">
        <f>HYPERLINK("https://rth.dk/resources/bsgatlas/details.php?id=BSGatlas-transcript-2444","BSGatlas-transcript-2444")</f>
        <v>BSGatlas-transcript-2444</v>
      </c>
      <c r="B2445" s="1" t="s">
        <v>2303</v>
      </c>
      <c r="C2445" s="3">
        <v>2288083</v>
      </c>
      <c r="D2445" s="3">
        <v>2288666</v>
      </c>
      <c r="E2445" s="1" t="s">
        <v>9</v>
      </c>
      <c r="F2445" s="1">
        <v>0</v>
      </c>
      <c r="G2445" s="1" t="s">
        <v>4372</v>
      </c>
      <c r="H2445" s="1" t="s">
        <v>4372</v>
      </c>
      <c r="I2445" s="1" t="s">
        <v>4373</v>
      </c>
      <c r="J2445" s="1" t="s">
        <v>8011</v>
      </c>
      <c r="K2445" s="1" t="s">
        <v>8012</v>
      </c>
    </row>
    <row r="2446" spans="1:11" ht="21" x14ac:dyDescent="0.25">
      <c r="A2446" s="11" t="str">
        <f>HYPERLINK("https://rth.dk/resources/bsgatlas/details.php?id=BSGatlas-transcript-2445","BSGatlas-transcript-2445")</f>
        <v>BSGatlas-transcript-2445</v>
      </c>
      <c r="B2446" s="1" t="s">
        <v>2303</v>
      </c>
      <c r="C2446" s="3">
        <v>2288083</v>
      </c>
      <c r="D2446" s="3">
        <v>2289916</v>
      </c>
      <c r="E2446" s="1" t="s">
        <v>9</v>
      </c>
      <c r="F2446" s="1">
        <v>0</v>
      </c>
      <c r="G2446" s="1" t="s">
        <v>4372</v>
      </c>
      <c r="H2446" s="1" t="s">
        <v>4372</v>
      </c>
      <c r="I2446" s="1" t="s">
        <v>4373</v>
      </c>
      <c r="J2446" s="1" t="s">
        <v>8011</v>
      </c>
      <c r="K2446" s="1" t="s">
        <v>8013</v>
      </c>
    </row>
    <row r="2447" spans="1:11" ht="21" x14ac:dyDescent="0.25">
      <c r="A2447" s="11" t="str">
        <f>HYPERLINK("https://rth.dk/resources/bsgatlas/details.php?id=BSGatlas-transcript-2446","BSGatlas-transcript-2446")</f>
        <v>BSGatlas-transcript-2446</v>
      </c>
      <c r="B2447" s="1" t="s">
        <v>2304</v>
      </c>
      <c r="C2447" s="3">
        <v>2288611</v>
      </c>
      <c r="D2447" s="3">
        <v>2290006</v>
      </c>
      <c r="E2447" s="1" t="s">
        <v>13</v>
      </c>
      <c r="F2447" s="1">
        <v>0</v>
      </c>
      <c r="G2447" s="1" t="s">
        <v>4372</v>
      </c>
      <c r="H2447" s="1" t="s">
        <v>4372</v>
      </c>
      <c r="I2447" s="1" t="s">
        <v>4373</v>
      </c>
      <c r="J2447" s="1" t="s">
        <v>318</v>
      </c>
      <c r="K2447" s="1" t="s">
        <v>8014</v>
      </c>
    </row>
    <row r="2448" spans="1:11" ht="21" x14ac:dyDescent="0.25">
      <c r="A2448" s="11" t="str">
        <f>HYPERLINK("https://rth.dk/resources/bsgatlas/details.php?id=BSGatlas-transcript-2447","BSGatlas-transcript-2447")</f>
        <v>BSGatlas-transcript-2447</v>
      </c>
      <c r="B2448" s="1" t="s">
        <v>2305</v>
      </c>
      <c r="C2448" s="3">
        <v>2290038</v>
      </c>
      <c r="D2448" s="3">
        <v>2290272</v>
      </c>
      <c r="E2448" s="1" t="s">
        <v>13</v>
      </c>
      <c r="F2448" s="1">
        <v>0</v>
      </c>
      <c r="G2448" s="1" t="s">
        <v>4372</v>
      </c>
      <c r="H2448" s="1" t="s">
        <v>4372</v>
      </c>
      <c r="I2448" s="1" t="s">
        <v>4373</v>
      </c>
      <c r="J2448" s="1" t="s">
        <v>318</v>
      </c>
      <c r="K2448" s="1" t="s">
        <v>8015</v>
      </c>
    </row>
    <row r="2449" spans="1:11" ht="21" x14ac:dyDescent="0.25">
      <c r="A2449" s="11" t="str">
        <f>HYPERLINK("https://rth.dk/resources/bsgatlas/details.php?id=BSGatlas-transcript-2448","BSGatlas-transcript-2448")</f>
        <v>BSGatlas-transcript-2448</v>
      </c>
      <c r="B2449" s="1" t="s">
        <v>8016</v>
      </c>
      <c r="C2449" s="3">
        <v>2290038</v>
      </c>
      <c r="D2449" s="3">
        <v>2291666</v>
      </c>
      <c r="E2449" s="1" t="s">
        <v>13</v>
      </c>
      <c r="F2449" s="1">
        <v>0</v>
      </c>
      <c r="G2449" s="1" t="s">
        <v>4372</v>
      </c>
      <c r="H2449" s="1" t="s">
        <v>4372</v>
      </c>
      <c r="I2449" s="1" t="s">
        <v>4386</v>
      </c>
      <c r="J2449" s="1" t="s">
        <v>8017</v>
      </c>
      <c r="K2449" s="1" t="s">
        <v>8015</v>
      </c>
    </row>
    <row r="2450" spans="1:11" ht="21" x14ac:dyDescent="0.25">
      <c r="A2450" s="11" t="str">
        <f>HYPERLINK("https://rth.dk/resources/bsgatlas/details.php?id=BSGatlas-transcript-2449","BSGatlas-transcript-2449")</f>
        <v>BSGatlas-transcript-2449</v>
      </c>
      <c r="B2450" s="1" t="s">
        <v>8018</v>
      </c>
      <c r="C2450" s="3">
        <v>2290038</v>
      </c>
      <c r="D2450" s="3">
        <v>2292284</v>
      </c>
      <c r="E2450" s="1" t="s">
        <v>13</v>
      </c>
      <c r="F2450" s="1">
        <v>1</v>
      </c>
      <c r="G2450" s="1" t="s">
        <v>4372</v>
      </c>
      <c r="H2450" s="1">
        <v>41</v>
      </c>
      <c r="I2450" s="1" t="s">
        <v>4386</v>
      </c>
      <c r="J2450" s="1" t="s">
        <v>318</v>
      </c>
      <c r="K2450" s="1" t="s">
        <v>8015</v>
      </c>
    </row>
    <row r="2451" spans="1:11" ht="21" x14ac:dyDescent="0.25">
      <c r="A2451" s="11" t="str">
        <f>HYPERLINK("https://rth.dk/resources/bsgatlas/details.php?id=BSGatlas-transcript-2450","BSGatlas-transcript-2450")</f>
        <v>BSGatlas-transcript-2450</v>
      </c>
      <c r="B2451" s="1" t="s">
        <v>2309</v>
      </c>
      <c r="C2451" s="3">
        <v>2292358</v>
      </c>
      <c r="D2451" s="3">
        <v>2292720</v>
      </c>
      <c r="E2451" s="1" t="s">
        <v>13</v>
      </c>
      <c r="F2451" s="1">
        <v>0</v>
      </c>
      <c r="G2451" s="1" t="s">
        <v>4372</v>
      </c>
      <c r="H2451" s="1" t="s">
        <v>4372</v>
      </c>
      <c r="I2451" s="1" t="s">
        <v>4377</v>
      </c>
      <c r="J2451" s="1" t="s">
        <v>8019</v>
      </c>
      <c r="K2451" s="1" t="s">
        <v>8020</v>
      </c>
    </row>
    <row r="2452" spans="1:11" ht="21" x14ac:dyDescent="0.25">
      <c r="A2452" s="11" t="str">
        <f>HYPERLINK("https://rth.dk/resources/bsgatlas/details.php?id=BSGatlas-transcript-2451","BSGatlas-transcript-2451")</f>
        <v>BSGatlas-transcript-2451</v>
      </c>
      <c r="B2452" s="1" t="s">
        <v>8021</v>
      </c>
      <c r="C2452" s="3">
        <v>2292358</v>
      </c>
      <c r="D2452" s="3">
        <v>2294090</v>
      </c>
      <c r="E2452" s="1" t="s">
        <v>13</v>
      </c>
      <c r="F2452" s="1">
        <v>1</v>
      </c>
      <c r="G2452" s="1">
        <v>54</v>
      </c>
      <c r="H2452" s="1">
        <v>75</v>
      </c>
      <c r="I2452" s="1" t="s">
        <v>4373</v>
      </c>
      <c r="J2452" s="1" t="s">
        <v>8022</v>
      </c>
      <c r="K2452" s="1" t="s">
        <v>8020</v>
      </c>
    </row>
    <row r="2453" spans="1:11" ht="21" x14ac:dyDescent="0.25">
      <c r="A2453" s="11" t="str">
        <f>HYPERLINK("https://rth.dk/resources/bsgatlas/details.php?id=BSGatlas-transcript-2452","BSGatlas-transcript-2452")</f>
        <v>BSGatlas-transcript-2452</v>
      </c>
      <c r="B2453" s="1" t="s">
        <v>2309</v>
      </c>
      <c r="C2453" s="3">
        <v>2292432</v>
      </c>
      <c r="D2453" s="3">
        <v>2292720</v>
      </c>
      <c r="E2453" s="1" t="s">
        <v>13</v>
      </c>
      <c r="F2453" s="1">
        <v>0</v>
      </c>
      <c r="G2453" s="1" t="s">
        <v>4372</v>
      </c>
      <c r="H2453" s="1" t="s">
        <v>4372</v>
      </c>
      <c r="I2453" s="1" t="s">
        <v>4377</v>
      </c>
      <c r="J2453" s="1" t="s">
        <v>8019</v>
      </c>
      <c r="K2453" s="1" t="s">
        <v>8023</v>
      </c>
    </row>
    <row r="2454" spans="1:11" ht="21" x14ac:dyDescent="0.25">
      <c r="A2454" s="11" t="str">
        <f>HYPERLINK("https://rth.dk/resources/bsgatlas/details.php?id=BSGatlas-transcript-2453","BSGatlas-transcript-2453")</f>
        <v>BSGatlas-transcript-2453</v>
      </c>
      <c r="B2454" s="1" t="s">
        <v>8021</v>
      </c>
      <c r="C2454" s="3">
        <v>2292432</v>
      </c>
      <c r="D2454" s="3">
        <v>2294090</v>
      </c>
      <c r="E2454" s="1" t="s">
        <v>13</v>
      </c>
      <c r="F2454" s="1">
        <v>1</v>
      </c>
      <c r="G2454" s="1">
        <v>54</v>
      </c>
      <c r="H2454" s="1" t="s">
        <v>4372</v>
      </c>
      <c r="I2454" s="1" t="s">
        <v>4373</v>
      </c>
      <c r="J2454" s="1" t="s">
        <v>8022</v>
      </c>
      <c r="K2454" s="1" t="s">
        <v>8023</v>
      </c>
    </row>
    <row r="2455" spans="1:11" ht="21" x14ac:dyDescent="0.25">
      <c r="A2455" s="11" t="str">
        <f>HYPERLINK("https://rth.dk/resources/bsgatlas/details.php?id=BSGatlas-transcript-2454","BSGatlas-transcript-2454")</f>
        <v>BSGatlas-transcript-2454</v>
      </c>
      <c r="B2455" s="1" t="s">
        <v>8024</v>
      </c>
      <c r="C2455" s="3">
        <v>2294247</v>
      </c>
      <c r="D2455" s="3">
        <v>2295992</v>
      </c>
      <c r="E2455" s="1" t="s">
        <v>9</v>
      </c>
      <c r="F2455" s="1">
        <v>1</v>
      </c>
      <c r="G2455" s="1">
        <v>40</v>
      </c>
      <c r="H2455" s="1">
        <v>50</v>
      </c>
      <c r="I2455" s="1" t="s">
        <v>4386</v>
      </c>
      <c r="J2455" s="1" t="s">
        <v>8025</v>
      </c>
      <c r="K2455" s="1" t="s">
        <v>8026</v>
      </c>
    </row>
    <row r="2456" spans="1:11" ht="21" x14ac:dyDescent="0.25">
      <c r="A2456" s="11" t="str">
        <f>HYPERLINK("https://rth.dk/resources/bsgatlas/details.php?id=BSGatlas-transcript-2455","BSGatlas-transcript-2455")</f>
        <v>BSGatlas-transcript-2455</v>
      </c>
      <c r="B2456" s="1" t="s">
        <v>8024</v>
      </c>
      <c r="C2456" s="3">
        <v>2294247</v>
      </c>
      <c r="D2456" s="3">
        <v>2297078</v>
      </c>
      <c r="E2456" s="1" t="s">
        <v>9</v>
      </c>
      <c r="F2456" s="1">
        <v>1</v>
      </c>
      <c r="G2456" s="1">
        <v>40</v>
      </c>
      <c r="H2456" s="1">
        <v>1136</v>
      </c>
      <c r="I2456" s="1" t="s">
        <v>4386</v>
      </c>
      <c r="J2456" s="1" t="s">
        <v>8025</v>
      </c>
      <c r="K2456" s="1" t="s">
        <v>8027</v>
      </c>
    </row>
    <row r="2457" spans="1:11" ht="21" x14ac:dyDescent="0.25">
      <c r="A2457" s="11" t="str">
        <f>HYPERLINK("https://rth.dk/resources/bsgatlas/details.php?id=BSGatlas-transcript-2456","BSGatlas-transcript-2456")</f>
        <v>BSGatlas-transcript-2456</v>
      </c>
      <c r="B2457" s="1" t="s">
        <v>2312</v>
      </c>
      <c r="C2457" s="3">
        <v>2295302</v>
      </c>
      <c r="D2457" s="3">
        <v>2295992</v>
      </c>
      <c r="E2457" s="1" t="s">
        <v>9</v>
      </c>
      <c r="F2457" s="1">
        <v>0</v>
      </c>
      <c r="G2457" s="1" t="s">
        <v>4372</v>
      </c>
      <c r="H2457" s="1" t="s">
        <v>4372</v>
      </c>
      <c r="I2457" s="1" t="s">
        <v>4382</v>
      </c>
      <c r="J2457" s="1" t="s">
        <v>318</v>
      </c>
      <c r="K2457" s="1" t="s">
        <v>8026</v>
      </c>
    </row>
    <row r="2458" spans="1:11" ht="21" x14ac:dyDescent="0.25">
      <c r="A2458" s="11" t="str">
        <f>HYPERLINK("https://rth.dk/resources/bsgatlas/details.php?id=BSGatlas-transcript-2457","BSGatlas-transcript-2457")</f>
        <v>BSGatlas-transcript-2457</v>
      </c>
      <c r="B2458" s="1" t="s">
        <v>2312</v>
      </c>
      <c r="C2458" s="3">
        <v>2295302</v>
      </c>
      <c r="D2458" s="3">
        <v>2297078</v>
      </c>
      <c r="E2458" s="1" t="s">
        <v>9</v>
      </c>
      <c r="F2458" s="1">
        <v>0</v>
      </c>
      <c r="G2458" s="1" t="s">
        <v>4372</v>
      </c>
      <c r="H2458" s="1" t="s">
        <v>4372</v>
      </c>
      <c r="I2458" s="1" t="s">
        <v>4382</v>
      </c>
      <c r="J2458" s="1" t="s">
        <v>318</v>
      </c>
      <c r="K2458" s="1" t="s">
        <v>8027</v>
      </c>
    </row>
    <row r="2459" spans="1:11" ht="21" x14ac:dyDescent="0.25">
      <c r="A2459" s="11" t="str">
        <f>HYPERLINK("https://rth.dk/resources/bsgatlas/details.php?id=BSGatlas-transcript-2458","BSGatlas-transcript-2458")</f>
        <v>BSGatlas-transcript-2458</v>
      </c>
      <c r="B2459" s="1" t="s">
        <v>2313</v>
      </c>
      <c r="C2459" s="3">
        <v>2295942</v>
      </c>
      <c r="D2459" s="3">
        <v>2296602</v>
      </c>
      <c r="E2459" s="1" t="s">
        <v>13</v>
      </c>
      <c r="F2459" s="1">
        <v>0</v>
      </c>
      <c r="G2459" s="1" t="s">
        <v>4372</v>
      </c>
      <c r="H2459" s="1" t="s">
        <v>4372</v>
      </c>
      <c r="I2459" s="1" t="s">
        <v>4373</v>
      </c>
      <c r="J2459" s="1" t="s">
        <v>318</v>
      </c>
      <c r="K2459" s="1" t="s">
        <v>8028</v>
      </c>
    </row>
    <row r="2460" spans="1:11" ht="21" x14ac:dyDescent="0.25">
      <c r="A2460" s="11" t="str">
        <f>HYPERLINK("https://rth.dk/resources/bsgatlas/details.php?id=BSGatlas-transcript-2459","BSGatlas-transcript-2459")</f>
        <v>BSGatlas-transcript-2459</v>
      </c>
      <c r="B2460" s="1" t="s">
        <v>8029</v>
      </c>
      <c r="C2460" s="3">
        <v>2295942</v>
      </c>
      <c r="D2460" s="3">
        <v>2299197</v>
      </c>
      <c r="E2460" s="1" t="s">
        <v>13</v>
      </c>
      <c r="F2460" s="1">
        <v>2</v>
      </c>
      <c r="G2460" s="1">
        <v>52</v>
      </c>
      <c r="H2460" s="1">
        <v>41</v>
      </c>
      <c r="I2460" s="1" t="s">
        <v>4386</v>
      </c>
      <c r="J2460" s="1" t="s">
        <v>8030</v>
      </c>
      <c r="K2460" s="1" t="s">
        <v>8028</v>
      </c>
    </row>
    <row r="2461" spans="1:11" ht="21" x14ac:dyDescent="0.25">
      <c r="A2461" s="11" t="str">
        <f>HYPERLINK("https://rth.dk/resources/bsgatlas/details.php?id=BSGatlas-transcript-2460","BSGatlas-transcript-2460")</f>
        <v>BSGatlas-transcript-2460</v>
      </c>
      <c r="B2461" s="1" t="s">
        <v>2313</v>
      </c>
      <c r="C2461" s="3">
        <v>2295982</v>
      </c>
      <c r="D2461" s="3">
        <v>2296602</v>
      </c>
      <c r="E2461" s="1" t="s">
        <v>13</v>
      </c>
      <c r="F2461" s="1">
        <v>0</v>
      </c>
      <c r="G2461" s="1" t="s">
        <v>4372</v>
      </c>
      <c r="H2461" s="1" t="s">
        <v>4372</v>
      </c>
      <c r="I2461" s="1" t="s">
        <v>4373</v>
      </c>
      <c r="J2461" s="1" t="s">
        <v>318</v>
      </c>
      <c r="K2461" s="1" t="s">
        <v>8031</v>
      </c>
    </row>
    <row r="2462" spans="1:11" ht="21" x14ac:dyDescent="0.25">
      <c r="A2462" s="11" t="str">
        <f>HYPERLINK("https://rth.dk/resources/bsgatlas/details.php?id=BSGatlas-transcript-2461","BSGatlas-transcript-2461")</f>
        <v>BSGatlas-transcript-2461</v>
      </c>
      <c r="B2462" s="1" t="s">
        <v>8029</v>
      </c>
      <c r="C2462" s="3">
        <v>2295982</v>
      </c>
      <c r="D2462" s="3">
        <v>2299197</v>
      </c>
      <c r="E2462" s="1" t="s">
        <v>13</v>
      </c>
      <c r="F2462" s="1">
        <v>2</v>
      </c>
      <c r="G2462" s="1">
        <v>52</v>
      </c>
      <c r="H2462" s="1" t="s">
        <v>4372</v>
      </c>
      <c r="I2462" s="1" t="s">
        <v>4386</v>
      </c>
      <c r="J2462" s="1" t="s">
        <v>8030</v>
      </c>
      <c r="K2462" s="1" t="s">
        <v>8031</v>
      </c>
    </row>
    <row r="2463" spans="1:11" ht="21" x14ac:dyDescent="0.25">
      <c r="A2463" s="11" t="str">
        <f>HYPERLINK("https://rth.dk/resources/bsgatlas/details.php?id=BSGatlas-transcript-2462","BSGatlas-transcript-2462")</f>
        <v>BSGatlas-transcript-2462</v>
      </c>
      <c r="B2463" s="1" t="s">
        <v>8032</v>
      </c>
      <c r="C2463" s="3">
        <v>2296603</v>
      </c>
      <c r="D2463" s="3">
        <v>2297900</v>
      </c>
      <c r="E2463" s="1" t="s">
        <v>13</v>
      </c>
      <c r="F2463" s="1">
        <v>0</v>
      </c>
      <c r="G2463" s="1" t="s">
        <v>4372</v>
      </c>
      <c r="H2463" s="1" t="s">
        <v>4372</v>
      </c>
      <c r="I2463" s="1" t="s">
        <v>4386</v>
      </c>
      <c r="J2463" s="1" t="s">
        <v>318</v>
      </c>
      <c r="K2463" s="1" t="s">
        <v>318</v>
      </c>
    </row>
    <row r="2464" spans="1:11" ht="21" x14ac:dyDescent="0.25">
      <c r="A2464" s="11" t="str">
        <f>HYPERLINK("https://rth.dk/resources/bsgatlas/details.php?id=BSGatlas-transcript-2463","BSGatlas-transcript-2463")</f>
        <v>BSGatlas-transcript-2463</v>
      </c>
      <c r="B2464" s="1" t="s">
        <v>2316</v>
      </c>
      <c r="C2464" s="3">
        <v>2297936</v>
      </c>
      <c r="D2464" s="3">
        <v>2298517</v>
      </c>
      <c r="E2464" s="1" t="s">
        <v>13</v>
      </c>
      <c r="F2464" s="1">
        <v>0</v>
      </c>
      <c r="G2464" s="1" t="s">
        <v>4372</v>
      </c>
      <c r="H2464" s="1" t="s">
        <v>4372</v>
      </c>
      <c r="I2464" s="1" t="s">
        <v>4382</v>
      </c>
      <c r="J2464" s="1" t="s">
        <v>318</v>
      </c>
      <c r="K2464" s="1" t="s">
        <v>8033</v>
      </c>
    </row>
    <row r="2465" spans="1:11" ht="21" x14ac:dyDescent="0.25">
      <c r="A2465" s="11" t="str">
        <f>HYPERLINK("https://rth.dk/resources/bsgatlas/details.php?id=BSGatlas-transcript-2464","BSGatlas-transcript-2464")</f>
        <v>BSGatlas-transcript-2464</v>
      </c>
      <c r="B2465" s="1" t="s">
        <v>8034</v>
      </c>
      <c r="C2465" s="3">
        <v>2297936</v>
      </c>
      <c r="D2465" s="3">
        <v>2299197</v>
      </c>
      <c r="E2465" s="1" t="s">
        <v>13</v>
      </c>
      <c r="F2465" s="1">
        <v>1</v>
      </c>
      <c r="G2465" s="1">
        <v>52</v>
      </c>
      <c r="H2465" s="1">
        <v>49</v>
      </c>
      <c r="I2465" s="1" t="s">
        <v>4386</v>
      </c>
      <c r="J2465" s="1" t="s">
        <v>8030</v>
      </c>
      <c r="K2465" s="1" t="s">
        <v>8033</v>
      </c>
    </row>
    <row r="2466" spans="1:11" ht="21" x14ac:dyDescent="0.25">
      <c r="A2466" s="11" t="str">
        <f>HYPERLINK("https://rth.dk/resources/bsgatlas/details.php?id=BSGatlas-transcript-2465","BSGatlas-transcript-2465")</f>
        <v>BSGatlas-transcript-2465</v>
      </c>
      <c r="B2466" s="1" t="s">
        <v>2318</v>
      </c>
      <c r="C2466" s="3">
        <v>2298465</v>
      </c>
      <c r="D2466" s="3">
        <v>2299416</v>
      </c>
      <c r="E2466" s="1" t="s">
        <v>9</v>
      </c>
      <c r="F2466" s="1">
        <v>0</v>
      </c>
      <c r="G2466" s="1" t="s">
        <v>4372</v>
      </c>
      <c r="H2466" s="1" t="s">
        <v>4372</v>
      </c>
      <c r="I2466" s="1" t="s">
        <v>4377</v>
      </c>
      <c r="J2466" s="1" t="s">
        <v>8035</v>
      </c>
      <c r="K2466" s="1" t="s">
        <v>8036</v>
      </c>
    </row>
    <row r="2467" spans="1:11" ht="21" x14ac:dyDescent="0.25">
      <c r="A2467" s="11" t="str">
        <f>HYPERLINK("https://rth.dk/resources/bsgatlas/details.php?id=BSGatlas-transcript-2466","BSGatlas-transcript-2466")</f>
        <v>BSGatlas-transcript-2466</v>
      </c>
      <c r="B2467" s="1" t="s">
        <v>2319</v>
      </c>
      <c r="C2467" s="3">
        <v>2299377</v>
      </c>
      <c r="D2467" s="3">
        <v>2300179</v>
      </c>
      <c r="E2467" s="1" t="s">
        <v>13</v>
      </c>
      <c r="F2467" s="1">
        <v>0</v>
      </c>
      <c r="G2467" s="1" t="s">
        <v>4372</v>
      </c>
      <c r="H2467" s="1" t="s">
        <v>4372</v>
      </c>
      <c r="I2467" s="1" t="s">
        <v>4373</v>
      </c>
      <c r="J2467" s="1" t="s">
        <v>318</v>
      </c>
      <c r="K2467" s="1" t="s">
        <v>8037</v>
      </c>
    </row>
    <row r="2468" spans="1:11" ht="21" x14ac:dyDescent="0.25">
      <c r="A2468" s="11" t="str">
        <f>HYPERLINK("https://rth.dk/resources/bsgatlas/details.php?id=BSGatlas-transcript-2467","BSGatlas-transcript-2467")</f>
        <v>BSGatlas-transcript-2467</v>
      </c>
      <c r="B2468" s="1" t="s">
        <v>8038</v>
      </c>
      <c r="C2468" s="3">
        <v>2299377</v>
      </c>
      <c r="D2468" s="3">
        <v>2300695</v>
      </c>
      <c r="E2468" s="1" t="s">
        <v>13</v>
      </c>
      <c r="F2468" s="1">
        <v>1</v>
      </c>
      <c r="G2468" s="1">
        <v>41</v>
      </c>
      <c r="H2468" s="1">
        <v>30</v>
      </c>
      <c r="I2468" s="1" t="s">
        <v>4386</v>
      </c>
      <c r="J2468" s="1" t="s">
        <v>8039</v>
      </c>
      <c r="K2468" s="1" t="s">
        <v>8037</v>
      </c>
    </row>
    <row r="2469" spans="1:11" ht="21" x14ac:dyDescent="0.25">
      <c r="A2469" s="11" t="str">
        <f>HYPERLINK("https://rth.dk/resources/bsgatlas/details.php?id=BSGatlas-transcript-2468","BSGatlas-transcript-2468")</f>
        <v>BSGatlas-transcript-2468</v>
      </c>
      <c r="B2469" s="1" t="s">
        <v>2319</v>
      </c>
      <c r="C2469" s="3">
        <v>2299406</v>
      </c>
      <c r="D2469" s="3">
        <v>2300179</v>
      </c>
      <c r="E2469" s="1" t="s">
        <v>13</v>
      </c>
      <c r="F2469" s="1">
        <v>0</v>
      </c>
      <c r="G2469" s="1" t="s">
        <v>4372</v>
      </c>
      <c r="H2469" s="1" t="s">
        <v>4372</v>
      </c>
      <c r="I2469" s="1" t="s">
        <v>4373</v>
      </c>
      <c r="J2469" s="1" t="s">
        <v>318</v>
      </c>
      <c r="K2469" s="1" t="s">
        <v>8040</v>
      </c>
    </row>
    <row r="2470" spans="1:11" ht="21" x14ac:dyDescent="0.25">
      <c r="A2470" s="11" t="str">
        <f>HYPERLINK("https://rth.dk/resources/bsgatlas/details.php?id=BSGatlas-transcript-2469","BSGatlas-transcript-2469")</f>
        <v>BSGatlas-transcript-2469</v>
      </c>
      <c r="B2470" s="1" t="s">
        <v>8038</v>
      </c>
      <c r="C2470" s="3">
        <v>2299406</v>
      </c>
      <c r="D2470" s="3">
        <v>2300695</v>
      </c>
      <c r="E2470" s="1" t="s">
        <v>13</v>
      </c>
      <c r="F2470" s="1">
        <v>1</v>
      </c>
      <c r="G2470" s="1">
        <v>41</v>
      </c>
      <c r="H2470" s="1" t="s">
        <v>4372</v>
      </c>
      <c r="I2470" s="1" t="s">
        <v>4386</v>
      </c>
      <c r="J2470" s="1" t="s">
        <v>8039</v>
      </c>
      <c r="K2470" s="1" t="s">
        <v>8040</v>
      </c>
    </row>
    <row r="2471" spans="1:11" ht="21" x14ac:dyDescent="0.25">
      <c r="A2471" s="11" t="str">
        <f>HYPERLINK("https://rth.dk/resources/bsgatlas/details.php?id=BSGatlas-transcript-2470","BSGatlas-transcript-2470")</f>
        <v>BSGatlas-transcript-2470</v>
      </c>
      <c r="B2471" s="1" t="s">
        <v>2320</v>
      </c>
      <c r="C2471" s="3">
        <v>2300188</v>
      </c>
      <c r="D2471" s="3">
        <v>2300695</v>
      </c>
      <c r="E2471" s="1" t="s">
        <v>13</v>
      </c>
      <c r="F2471" s="1">
        <v>0</v>
      </c>
      <c r="G2471" s="1" t="s">
        <v>4372</v>
      </c>
      <c r="H2471" s="1" t="s">
        <v>4372</v>
      </c>
      <c r="I2471" s="1" t="s">
        <v>4373</v>
      </c>
      <c r="J2471" s="1" t="s">
        <v>8039</v>
      </c>
      <c r="K2471" s="1" t="s">
        <v>8041</v>
      </c>
    </row>
    <row r="2472" spans="1:11" ht="21" x14ac:dyDescent="0.25">
      <c r="A2472" s="11" t="str">
        <f>HYPERLINK("https://rth.dk/resources/bsgatlas/details.php?id=BSGatlas-transcript-2471","BSGatlas-transcript-2471")</f>
        <v>BSGatlas-transcript-2471</v>
      </c>
      <c r="B2472" s="1" t="s">
        <v>2321</v>
      </c>
      <c r="C2472" s="3">
        <v>2300648</v>
      </c>
      <c r="D2472" s="3">
        <v>2302629</v>
      </c>
      <c r="E2472" s="1" t="s">
        <v>13</v>
      </c>
      <c r="F2472" s="1">
        <v>0</v>
      </c>
      <c r="G2472" s="1" t="s">
        <v>4372</v>
      </c>
      <c r="H2472" s="1" t="s">
        <v>4372</v>
      </c>
      <c r="I2472" s="1" t="s">
        <v>4373</v>
      </c>
      <c r="J2472" s="1" t="s">
        <v>8042</v>
      </c>
      <c r="K2472" s="1" t="s">
        <v>8043</v>
      </c>
    </row>
    <row r="2473" spans="1:11" ht="21" x14ac:dyDescent="0.25">
      <c r="A2473" s="11" t="str">
        <f>HYPERLINK("https://rth.dk/resources/bsgatlas/details.php?id=BSGatlas-transcript-2472","BSGatlas-transcript-2472")</f>
        <v>BSGatlas-transcript-2472</v>
      </c>
      <c r="B2473" s="1" t="s">
        <v>2322</v>
      </c>
      <c r="C2473" s="3">
        <v>2302685</v>
      </c>
      <c r="D2473" s="3">
        <v>2303885</v>
      </c>
      <c r="E2473" s="1" t="s">
        <v>13</v>
      </c>
      <c r="F2473" s="1">
        <v>0</v>
      </c>
      <c r="G2473" s="1" t="s">
        <v>4372</v>
      </c>
      <c r="H2473" s="1" t="s">
        <v>4372</v>
      </c>
      <c r="I2473" s="1" t="s">
        <v>4373</v>
      </c>
      <c r="J2473" s="1" t="s">
        <v>8044</v>
      </c>
      <c r="K2473" s="1" t="s">
        <v>8045</v>
      </c>
    </row>
    <row r="2474" spans="1:11" ht="21" x14ac:dyDescent="0.25">
      <c r="A2474" s="11" t="str">
        <f>HYPERLINK("https://rth.dk/resources/bsgatlas/details.php?id=BSGatlas-transcript-2473","BSGatlas-transcript-2473")</f>
        <v>BSGatlas-transcript-2473</v>
      </c>
      <c r="B2474" s="1" t="s">
        <v>8046</v>
      </c>
      <c r="C2474" s="3">
        <v>2302685</v>
      </c>
      <c r="D2474" s="3">
        <v>2305184</v>
      </c>
      <c r="E2474" s="1" t="s">
        <v>13</v>
      </c>
      <c r="F2474" s="1">
        <v>1</v>
      </c>
      <c r="G2474" s="1">
        <v>150</v>
      </c>
      <c r="H2474" s="1">
        <v>43</v>
      </c>
      <c r="I2474" s="1" t="s">
        <v>4386</v>
      </c>
      <c r="J2474" s="1" t="s">
        <v>8047</v>
      </c>
      <c r="K2474" s="1" t="s">
        <v>8045</v>
      </c>
    </row>
    <row r="2475" spans="1:11" ht="21" x14ac:dyDescent="0.25">
      <c r="A2475" s="11" t="str">
        <f>HYPERLINK("https://rth.dk/resources/bsgatlas/details.php?id=BSGatlas-transcript-2474","BSGatlas-transcript-2474")</f>
        <v>BSGatlas-transcript-2474</v>
      </c>
      <c r="B2475" s="1" t="s">
        <v>2325</v>
      </c>
      <c r="C2475" s="3">
        <v>2305261</v>
      </c>
      <c r="D2475" s="3">
        <v>2306283</v>
      </c>
      <c r="E2475" s="1" t="s">
        <v>9</v>
      </c>
      <c r="F2475" s="1">
        <v>0</v>
      </c>
      <c r="G2475" s="1" t="s">
        <v>4372</v>
      </c>
      <c r="H2475" s="1" t="s">
        <v>4372</v>
      </c>
      <c r="I2475" s="1" t="s">
        <v>4382</v>
      </c>
      <c r="J2475" s="1" t="s">
        <v>8048</v>
      </c>
      <c r="K2475" s="1" t="s">
        <v>8049</v>
      </c>
    </row>
    <row r="2476" spans="1:11" ht="21" x14ac:dyDescent="0.25">
      <c r="A2476" s="11" t="str">
        <f>HYPERLINK("https://rth.dk/resources/bsgatlas/details.php?id=BSGatlas-transcript-2475","BSGatlas-transcript-2475")</f>
        <v>BSGatlas-transcript-2475</v>
      </c>
      <c r="B2476" s="1" t="s">
        <v>2325</v>
      </c>
      <c r="C2476" s="3">
        <v>2305261</v>
      </c>
      <c r="D2476" s="3">
        <v>2306283</v>
      </c>
      <c r="E2476" s="1" t="s">
        <v>9</v>
      </c>
      <c r="F2476" s="1">
        <v>0</v>
      </c>
      <c r="G2476" s="1" t="s">
        <v>4372</v>
      </c>
      <c r="H2476" s="1" t="s">
        <v>4372</v>
      </c>
      <c r="I2476" s="1" t="s">
        <v>4382</v>
      </c>
      <c r="J2476" s="1" t="s">
        <v>8048</v>
      </c>
      <c r="K2476" s="1" t="s">
        <v>8050</v>
      </c>
    </row>
    <row r="2477" spans="1:11" ht="21" x14ac:dyDescent="0.25">
      <c r="A2477" s="11" t="str">
        <f>HYPERLINK("https://rth.dk/resources/bsgatlas/details.php?id=BSGatlas-transcript-2476","BSGatlas-transcript-2476")</f>
        <v>BSGatlas-transcript-2476</v>
      </c>
      <c r="B2477" s="1" t="s">
        <v>8051</v>
      </c>
      <c r="C2477" s="3">
        <v>2305261</v>
      </c>
      <c r="D2477" s="3">
        <v>2307680</v>
      </c>
      <c r="E2477" s="1" t="s">
        <v>9</v>
      </c>
      <c r="F2477" s="1">
        <v>1</v>
      </c>
      <c r="G2477" s="1">
        <v>118</v>
      </c>
      <c r="H2477" s="1">
        <v>19</v>
      </c>
      <c r="I2477" s="1" t="s">
        <v>4386</v>
      </c>
      <c r="J2477" s="1" t="s">
        <v>8048</v>
      </c>
      <c r="K2477" s="1" t="s">
        <v>8052</v>
      </c>
    </row>
    <row r="2478" spans="1:11" ht="21" x14ac:dyDescent="0.25">
      <c r="A2478" s="11" t="str">
        <f>HYPERLINK("https://rth.dk/resources/bsgatlas/details.php?id=BSGatlas-transcript-2477","BSGatlas-transcript-2477")</f>
        <v>BSGatlas-transcript-2477</v>
      </c>
      <c r="B2478" s="1" t="s">
        <v>2325</v>
      </c>
      <c r="C2478" s="3">
        <v>2305349</v>
      </c>
      <c r="D2478" s="3">
        <v>2306283</v>
      </c>
      <c r="E2478" s="1" t="s">
        <v>9</v>
      </c>
      <c r="F2478" s="1">
        <v>0</v>
      </c>
      <c r="G2478" s="1" t="s">
        <v>4372</v>
      </c>
      <c r="H2478" s="1" t="s">
        <v>4372</v>
      </c>
      <c r="I2478" s="1" t="s">
        <v>4382</v>
      </c>
      <c r="J2478" s="1" t="s">
        <v>8053</v>
      </c>
      <c r="K2478" s="1" t="s">
        <v>8049</v>
      </c>
    </row>
    <row r="2479" spans="1:11" ht="21" x14ac:dyDescent="0.25">
      <c r="A2479" s="11" t="str">
        <f>HYPERLINK("https://rth.dk/resources/bsgatlas/details.php?id=BSGatlas-transcript-2478","BSGatlas-transcript-2478")</f>
        <v>BSGatlas-transcript-2478</v>
      </c>
      <c r="B2479" s="1" t="s">
        <v>2325</v>
      </c>
      <c r="C2479" s="3">
        <v>2305349</v>
      </c>
      <c r="D2479" s="3">
        <v>2306283</v>
      </c>
      <c r="E2479" s="1" t="s">
        <v>9</v>
      </c>
      <c r="F2479" s="1">
        <v>0</v>
      </c>
      <c r="G2479" s="1" t="s">
        <v>4372</v>
      </c>
      <c r="H2479" s="1" t="s">
        <v>4372</v>
      </c>
      <c r="I2479" s="1" t="s">
        <v>4382</v>
      </c>
      <c r="J2479" s="1" t="s">
        <v>8053</v>
      </c>
      <c r="K2479" s="1" t="s">
        <v>8050</v>
      </c>
    </row>
    <row r="2480" spans="1:11" ht="21" x14ac:dyDescent="0.25">
      <c r="A2480" s="11" t="str">
        <f>HYPERLINK("https://rth.dk/resources/bsgatlas/details.php?id=BSGatlas-transcript-2479","BSGatlas-transcript-2479")</f>
        <v>BSGatlas-transcript-2479</v>
      </c>
      <c r="B2480" s="1" t="s">
        <v>8051</v>
      </c>
      <c r="C2480" s="3">
        <v>2305349</v>
      </c>
      <c r="D2480" s="3">
        <v>2307680</v>
      </c>
      <c r="E2480" s="1" t="s">
        <v>9</v>
      </c>
      <c r="F2480" s="1">
        <v>1</v>
      </c>
      <c r="G2480" s="1">
        <v>30</v>
      </c>
      <c r="H2480" s="1">
        <v>19</v>
      </c>
      <c r="I2480" s="1" t="s">
        <v>4386</v>
      </c>
      <c r="J2480" s="1" t="s">
        <v>8053</v>
      </c>
      <c r="K2480" s="1" t="s">
        <v>8052</v>
      </c>
    </row>
    <row r="2481" spans="1:11" ht="21" x14ac:dyDescent="0.25">
      <c r="A2481" s="11" t="str">
        <f>HYPERLINK("https://rth.dk/resources/bsgatlas/details.php?id=BSGatlas-transcript-2480","BSGatlas-transcript-2480")</f>
        <v>BSGatlas-transcript-2480</v>
      </c>
      <c r="B2481" s="1" t="s">
        <v>2326</v>
      </c>
      <c r="C2481" s="3">
        <v>2306332</v>
      </c>
      <c r="D2481" s="3">
        <v>2307680</v>
      </c>
      <c r="E2481" s="1" t="s">
        <v>9</v>
      </c>
      <c r="F2481" s="1">
        <v>0</v>
      </c>
      <c r="G2481" s="1" t="s">
        <v>4372</v>
      </c>
      <c r="H2481" s="1" t="s">
        <v>4372</v>
      </c>
      <c r="I2481" s="1" t="s">
        <v>4386</v>
      </c>
      <c r="J2481" s="1" t="s">
        <v>8054</v>
      </c>
      <c r="K2481" s="1" t="s">
        <v>8052</v>
      </c>
    </row>
    <row r="2482" spans="1:11" ht="21" x14ac:dyDescent="0.25">
      <c r="A2482" s="11" t="str">
        <f>HYPERLINK("https://rth.dk/resources/bsgatlas/details.php?id=BSGatlas-transcript-2481","BSGatlas-transcript-2481")</f>
        <v>BSGatlas-transcript-2481</v>
      </c>
      <c r="B2482" s="1" t="s">
        <v>2327</v>
      </c>
      <c r="C2482" s="3">
        <v>2307661</v>
      </c>
      <c r="D2482" s="3">
        <v>2307813</v>
      </c>
      <c r="E2482" s="1" t="s">
        <v>13</v>
      </c>
      <c r="F2482" s="1">
        <v>0</v>
      </c>
      <c r="G2482" s="1" t="s">
        <v>4372</v>
      </c>
      <c r="H2482" s="1" t="s">
        <v>4372</v>
      </c>
      <c r="I2482" s="1" t="s">
        <v>4377</v>
      </c>
      <c r="J2482" s="1" t="s">
        <v>8055</v>
      </c>
      <c r="K2482" s="1" t="s">
        <v>318</v>
      </c>
    </row>
    <row r="2483" spans="1:11" ht="21" x14ac:dyDescent="0.25">
      <c r="A2483" s="11" t="str">
        <f>HYPERLINK("https://rth.dk/resources/bsgatlas/details.php?id=BSGatlas-transcript-2482","BSGatlas-transcript-2482")</f>
        <v>BSGatlas-transcript-2482</v>
      </c>
      <c r="B2483" s="1" t="s">
        <v>8056</v>
      </c>
      <c r="C2483" s="3">
        <v>2307752</v>
      </c>
      <c r="D2483" s="3">
        <v>2308164</v>
      </c>
      <c r="E2483" s="1" t="s">
        <v>9</v>
      </c>
      <c r="F2483" s="1">
        <v>0</v>
      </c>
      <c r="G2483" s="1" t="s">
        <v>4372</v>
      </c>
      <c r="H2483" s="1" t="s">
        <v>4372</v>
      </c>
      <c r="I2483" s="1" t="s">
        <v>4386</v>
      </c>
      <c r="J2483" s="1" t="s">
        <v>318</v>
      </c>
      <c r="K2483" s="1" t="s">
        <v>8057</v>
      </c>
    </row>
    <row r="2484" spans="1:11" ht="21" x14ac:dyDescent="0.25">
      <c r="A2484" s="11" t="str">
        <f>HYPERLINK("https://rth.dk/resources/bsgatlas/details.php?id=BSGatlas-transcript-2483","BSGatlas-transcript-2483")</f>
        <v>BSGatlas-transcript-2483</v>
      </c>
      <c r="B2484" s="1" t="s">
        <v>2328</v>
      </c>
      <c r="C2484" s="3">
        <v>2307814</v>
      </c>
      <c r="D2484" s="3">
        <v>2308142</v>
      </c>
      <c r="E2484" s="1" t="s">
        <v>9</v>
      </c>
      <c r="F2484" s="1">
        <v>0</v>
      </c>
      <c r="G2484" s="1" t="s">
        <v>4372</v>
      </c>
      <c r="H2484" s="1" t="s">
        <v>4372</v>
      </c>
      <c r="I2484" s="1" t="s">
        <v>4377</v>
      </c>
      <c r="J2484" s="1" t="s">
        <v>8058</v>
      </c>
      <c r="K2484" s="1" t="s">
        <v>8057</v>
      </c>
    </row>
    <row r="2485" spans="1:11" ht="21" x14ac:dyDescent="0.25">
      <c r="A2485" s="11" t="str">
        <f>HYPERLINK("https://rth.dk/resources/bsgatlas/details.php?id=BSGatlas-transcript-2484","BSGatlas-transcript-2484")</f>
        <v>BSGatlas-transcript-2484</v>
      </c>
      <c r="B2485" s="1" t="s">
        <v>2329</v>
      </c>
      <c r="C2485" s="3">
        <v>2308119</v>
      </c>
      <c r="D2485" s="3">
        <v>2308403</v>
      </c>
      <c r="E2485" s="1" t="s">
        <v>13</v>
      </c>
      <c r="F2485" s="1">
        <v>0</v>
      </c>
      <c r="G2485" s="1" t="s">
        <v>4372</v>
      </c>
      <c r="H2485" s="1" t="s">
        <v>4372</v>
      </c>
      <c r="I2485" s="1" t="s">
        <v>4373</v>
      </c>
      <c r="J2485" s="1" t="s">
        <v>8059</v>
      </c>
      <c r="K2485" s="1" t="s">
        <v>8060</v>
      </c>
    </row>
    <row r="2486" spans="1:11" ht="21" x14ac:dyDescent="0.25">
      <c r="A2486" s="11" t="str">
        <f>HYPERLINK("https://rth.dk/resources/bsgatlas/details.php?id=BSGatlas-transcript-2485","BSGatlas-transcript-2485")</f>
        <v>BSGatlas-transcript-2485</v>
      </c>
      <c r="B2486" s="1" t="s">
        <v>2329</v>
      </c>
      <c r="C2486" s="3">
        <v>2308119</v>
      </c>
      <c r="D2486" s="3">
        <v>2308436</v>
      </c>
      <c r="E2486" s="1" t="s">
        <v>13</v>
      </c>
      <c r="F2486" s="1">
        <v>0</v>
      </c>
      <c r="G2486" s="1" t="s">
        <v>4372</v>
      </c>
      <c r="H2486" s="1" t="s">
        <v>4372</v>
      </c>
      <c r="I2486" s="1" t="s">
        <v>4373</v>
      </c>
      <c r="J2486" s="1" t="s">
        <v>8061</v>
      </c>
      <c r="K2486" s="1" t="s">
        <v>8060</v>
      </c>
    </row>
    <row r="2487" spans="1:11" ht="21" x14ac:dyDescent="0.25">
      <c r="A2487" s="11" t="str">
        <f>HYPERLINK("https://rth.dk/resources/bsgatlas/details.php?id=BSGatlas-transcript-2486","BSGatlas-transcript-2486")</f>
        <v>BSGatlas-transcript-2486</v>
      </c>
      <c r="B2487" s="1" t="s">
        <v>2330</v>
      </c>
      <c r="C2487" s="3">
        <v>2308495</v>
      </c>
      <c r="D2487" s="3">
        <v>2308764</v>
      </c>
      <c r="E2487" s="1" t="s">
        <v>9</v>
      </c>
      <c r="F2487" s="1">
        <v>0</v>
      </c>
      <c r="G2487" s="1" t="s">
        <v>4372</v>
      </c>
      <c r="H2487" s="1" t="s">
        <v>4372</v>
      </c>
      <c r="I2487" s="1" t="s">
        <v>4373</v>
      </c>
      <c r="J2487" s="1" t="s">
        <v>8062</v>
      </c>
      <c r="K2487" s="1" t="s">
        <v>8063</v>
      </c>
    </row>
    <row r="2488" spans="1:11" ht="21" x14ac:dyDescent="0.25">
      <c r="A2488" s="11" t="str">
        <f>HYPERLINK("https://rth.dk/resources/bsgatlas/details.php?id=BSGatlas-transcript-2487","BSGatlas-transcript-2487")</f>
        <v>BSGatlas-transcript-2487</v>
      </c>
      <c r="B2488" s="1" t="s">
        <v>2330</v>
      </c>
      <c r="C2488" s="3">
        <v>2308495</v>
      </c>
      <c r="D2488" s="3">
        <v>2308797</v>
      </c>
      <c r="E2488" s="1" t="s">
        <v>9</v>
      </c>
      <c r="F2488" s="1">
        <v>0</v>
      </c>
      <c r="G2488" s="1" t="s">
        <v>4372</v>
      </c>
      <c r="H2488" s="1" t="s">
        <v>4372</v>
      </c>
      <c r="I2488" s="1" t="s">
        <v>4373</v>
      </c>
      <c r="J2488" s="1" t="s">
        <v>8062</v>
      </c>
      <c r="K2488" s="1" t="s">
        <v>8064</v>
      </c>
    </row>
    <row r="2489" spans="1:11" ht="21" x14ac:dyDescent="0.25">
      <c r="A2489" s="11" t="str">
        <f>HYPERLINK("https://rth.dk/resources/bsgatlas/details.php?id=BSGatlas-transcript-2488","BSGatlas-transcript-2488")</f>
        <v>BSGatlas-transcript-2488</v>
      </c>
      <c r="B2489" s="1" t="s">
        <v>2331</v>
      </c>
      <c r="C2489" s="3">
        <v>2308753</v>
      </c>
      <c r="D2489" s="3">
        <v>2308974</v>
      </c>
      <c r="E2489" s="1" t="s">
        <v>13</v>
      </c>
      <c r="F2489" s="1">
        <v>0</v>
      </c>
      <c r="G2489" s="1" t="s">
        <v>4372</v>
      </c>
      <c r="H2489" s="1" t="s">
        <v>4372</v>
      </c>
      <c r="I2489" s="1" t="s">
        <v>4382</v>
      </c>
      <c r="J2489" s="1" t="s">
        <v>318</v>
      </c>
      <c r="K2489" s="1" t="s">
        <v>8065</v>
      </c>
    </row>
    <row r="2490" spans="1:11" ht="21" x14ac:dyDescent="0.25">
      <c r="A2490" s="11" t="str">
        <f>HYPERLINK("https://rth.dk/resources/bsgatlas/details.php?id=BSGatlas-transcript-2489","BSGatlas-transcript-2489")</f>
        <v>BSGatlas-transcript-2489</v>
      </c>
      <c r="B2490" s="1" t="s">
        <v>8066</v>
      </c>
      <c r="C2490" s="3">
        <v>2308753</v>
      </c>
      <c r="D2490" s="3">
        <v>2309786</v>
      </c>
      <c r="E2490" s="1" t="s">
        <v>13</v>
      </c>
      <c r="F2490" s="1">
        <v>0</v>
      </c>
      <c r="G2490" s="1" t="s">
        <v>4372</v>
      </c>
      <c r="H2490" s="1" t="s">
        <v>4372</v>
      </c>
      <c r="I2490" s="1" t="s">
        <v>4386</v>
      </c>
      <c r="J2490" s="1" t="s">
        <v>8067</v>
      </c>
      <c r="K2490" s="1" t="s">
        <v>8065</v>
      </c>
    </row>
    <row r="2491" spans="1:11" ht="21" x14ac:dyDescent="0.25">
      <c r="A2491" s="11" t="str">
        <f>HYPERLINK("https://rth.dk/resources/bsgatlas/details.php?id=BSGatlas-transcript-2490","BSGatlas-transcript-2490")</f>
        <v>BSGatlas-transcript-2490</v>
      </c>
      <c r="B2491" s="1" t="s">
        <v>8066</v>
      </c>
      <c r="C2491" s="3">
        <v>2308753</v>
      </c>
      <c r="D2491" s="3">
        <v>2310174</v>
      </c>
      <c r="E2491" s="1" t="s">
        <v>13</v>
      </c>
      <c r="F2491" s="1">
        <v>0</v>
      </c>
      <c r="G2491" s="1" t="s">
        <v>4372</v>
      </c>
      <c r="H2491" s="1" t="s">
        <v>4372</v>
      </c>
      <c r="I2491" s="1" t="s">
        <v>4386</v>
      </c>
      <c r="J2491" s="1" t="s">
        <v>8068</v>
      </c>
      <c r="K2491" s="1" t="s">
        <v>8065</v>
      </c>
    </row>
    <row r="2492" spans="1:11" ht="21" x14ac:dyDescent="0.25">
      <c r="A2492" s="11" t="str">
        <f>HYPERLINK("https://rth.dk/resources/bsgatlas/details.php?id=BSGatlas-transcript-2491","BSGatlas-transcript-2491")</f>
        <v>BSGatlas-transcript-2491</v>
      </c>
      <c r="B2492" s="1" t="s">
        <v>2331</v>
      </c>
      <c r="C2492" s="3">
        <v>2308792</v>
      </c>
      <c r="D2492" s="3">
        <v>2308974</v>
      </c>
      <c r="E2492" s="1" t="s">
        <v>13</v>
      </c>
      <c r="F2492" s="1">
        <v>0</v>
      </c>
      <c r="G2492" s="1" t="s">
        <v>4372</v>
      </c>
      <c r="H2492" s="1" t="s">
        <v>4372</v>
      </c>
      <c r="I2492" s="1" t="s">
        <v>4382</v>
      </c>
      <c r="J2492" s="1" t="s">
        <v>318</v>
      </c>
      <c r="K2492" s="1" t="s">
        <v>8069</v>
      </c>
    </row>
    <row r="2493" spans="1:11" ht="21" x14ac:dyDescent="0.25">
      <c r="A2493" s="11" t="str">
        <f>HYPERLINK("https://rth.dk/resources/bsgatlas/details.php?id=BSGatlas-transcript-2492","BSGatlas-transcript-2492")</f>
        <v>BSGatlas-transcript-2492</v>
      </c>
      <c r="B2493" s="1" t="s">
        <v>8066</v>
      </c>
      <c r="C2493" s="3">
        <v>2308792</v>
      </c>
      <c r="D2493" s="3">
        <v>2309786</v>
      </c>
      <c r="E2493" s="1" t="s">
        <v>13</v>
      </c>
      <c r="F2493" s="1">
        <v>0</v>
      </c>
      <c r="G2493" s="1" t="s">
        <v>4372</v>
      </c>
      <c r="H2493" s="1" t="s">
        <v>4372</v>
      </c>
      <c r="I2493" s="1" t="s">
        <v>4386</v>
      </c>
      <c r="J2493" s="1" t="s">
        <v>8067</v>
      </c>
      <c r="K2493" s="1" t="s">
        <v>8069</v>
      </c>
    </row>
    <row r="2494" spans="1:11" ht="21" x14ac:dyDescent="0.25">
      <c r="A2494" s="11" t="str">
        <f>HYPERLINK("https://rth.dk/resources/bsgatlas/details.php?id=BSGatlas-transcript-2493","BSGatlas-transcript-2493")</f>
        <v>BSGatlas-transcript-2493</v>
      </c>
      <c r="B2494" s="1" t="s">
        <v>8066</v>
      </c>
      <c r="C2494" s="3">
        <v>2308792</v>
      </c>
      <c r="D2494" s="3">
        <v>2310174</v>
      </c>
      <c r="E2494" s="1" t="s">
        <v>13</v>
      </c>
      <c r="F2494" s="1">
        <v>0</v>
      </c>
      <c r="G2494" s="1" t="s">
        <v>4372</v>
      </c>
      <c r="H2494" s="1" t="s">
        <v>4372</v>
      </c>
      <c r="I2494" s="1" t="s">
        <v>4386</v>
      </c>
      <c r="J2494" s="1" t="s">
        <v>8068</v>
      </c>
      <c r="K2494" s="1" t="s">
        <v>8069</v>
      </c>
    </row>
    <row r="2495" spans="1:11" ht="21" x14ac:dyDescent="0.25">
      <c r="A2495" s="11" t="str">
        <f>HYPERLINK("https://rth.dk/resources/bsgatlas/details.php?id=BSGatlas-transcript-2494","BSGatlas-transcript-2494")</f>
        <v>BSGatlas-transcript-2494</v>
      </c>
      <c r="B2495" s="1" t="s">
        <v>8070</v>
      </c>
      <c r="C2495" s="3">
        <v>2309687</v>
      </c>
      <c r="D2495" s="3">
        <v>2310817</v>
      </c>
      <c r="E2495" s="1" t="s">
        <v>9</v>
      </c>
      <c r="F2495" s="1">
        <v>0</v>
      </c>
      <c r="G2495" s="1" t="s">
        <v>4372</v>
      </c>
      <c r="H2495" s="1" t="s">
        <v>4372</v>
      </c>
      <c r="I2495" s="1" t="s">
        <v>4386</v>
      </c>
      <c r="J2495" s="1" t="s">
        <v>8071</v>
      </c>
      <c r="K2495" s="1" t="s">
        <v>318</v>
      </c>
    </row>
    <row r="2496" spans="1:11" ht="21" x14ac:dyDescent="0.25">
      <c r="A2496" s="11" t="str">
        <f>HYPERLINK("https://rth.dk/resources/bsgatlas/details.php?id=BSGatlas-transcript-2495","BSGatlas-transcript-2495")</f>
        <v>BSGatlas-transcript-2495</v>
      </c>
      <c r="B2496" s="1" t="s">
        <v>2335</v>
      </c>
      <c r="C2496" s="3">
        <v>2310859</v>
      </c>
      <c r="D2496" s="3">
        <v>2311964</v>
      </c>
      <c r="E2496" s="1" t="s">
        <v>9</v>
      </c>
      <c r="F2496" s="1">
        <v>0</v>
      </c>
      <c r="G2496" s="1" t="s">
        <v>4372</v>
      </c>
      <c r="H2496" s="1" t="s">
        <v>4372</v>
      </c>
      <c r="I2496" s="1" t="s">
        <v>4373</v>
      </c>
      <c r="J2496" s="1" t="s">
        <v>8072</v>
      </c>
      <c r="K2496" s="1" t="s">
        <v>8073</v>
      </c>
    </row>
    <row r="2497" spans="1:11" ht="21" x14ac:dyDescent="0.25">
      <c r="A2497" s="11" t="str">
        <f>HYPERLINK("https://rth.dk/resources/bsgatlas/details.php?id=BSGatlas-transcript-2496","BSGatlas-transcript-2496")</f>
        <v>BSGatlas-transcript-2496</v>
      </c>
      <c r="B2497" s="1" t="s">
        <v>2336</v>
      </c>
      <c r="C2497" s="3">
        <v>2310862</v>
      </c>
      <c r="D2497" s="3">
        <v>2311914</v>
      </c>
      <c r="E2497" s="1" t="s">
        <v>13</v>
      </c>
      <c r="F2497" s="1">
        <v>0</v>
      </c>
      <c r="G2497" s="1" t="s">
        <v>4372</v>
      </c>
      <c r="H2497" s="1" t="s">
        <v>4372</v>
      </c>
      <c r="I2497" s="1" t="s">
        <v>4373</v>
      </c>
      <c r="J2497" s="1" t="s">
        <v>8074</v>
      </c>
      <c r="K2497" s="1" t="s">
        <v>8075</v>
      </c>
    </row>
    <row r="2498" spans="1:11" ht="21" x14ac:dyDescent="0.25">
      <c r="A2498" s="11" t="str">
        <f>HYPERLINK("https://rth.dk/resources/bsgatlas/details.php?id=BSGatlas-transcript-2497","BSGatlas-transcript-2497")</f>
        <v>BSGatlas-transcript-2497</v>
      </c>
      <c r="B2498" s="1" t="s">
        <v>2336</v>
      </c>
      <c r="C2498" s="3">
        <v>2310967</v>
      </c>
      <c r="D2498" s="3">
        <v>2311914</v>
      </c>
      <c r="E2498" s="1" t="s">
        <v>13</v>
      </c>
      <c r="F2498" s="1">
        <v>0</v>
      </c>
      <c r="G2498" s="1" t="s">
        <v>4372</v>
      </c>
      <c r="H2498" s="1" t="s">
        <v>4372</v>
      </c>
      <c r="I2498" s="1" t="s">
        <v>4373</v>
      </c>
      <c r="J2498" s="1" t="s">
        <v>8074</v>
      </c>
      <c r="K2498" s="1" t="s">
        <v>8076</v>
      </c>
    </row>
    <row r="2499" spans="1:11" ht="21" x14ac:dyDescent="0.25">
      <c r="A2499" s="11" t="str">
        <f>HYPERLINK("https://rth.dk/resources/bsgatlas/details.php?id=BSGatlas-transcript-2498","BSGatlas-transcript-2498")</f>
        <v>BSGatlas-transcript-2498</v>
      </c>
      <c r="B2499" s="1" t="s">
        <v>2337</v>
      </c>
      <c r="C2499" s="3">
        <v>2311933</v>
      </c>
      <c r="D2499" s="3">
        <v>2312156</v>
      </c>
      <c r="E2499" s="1" t="s">
        <v>13</v>
      </c>
      <c r="F2499" s="1">
        <v>0</v>
      </c>
      <c r="G2499" s="1" t="s">
        <v>4372</v>
      </c>
      <c r="H2499" s="1" t="s">
        <v>4372</v>
      </c>
      <c r="I2499" s="1" t="s">
        <v>4386</v>
      </c>
      <c r="J2499" s="1" t="s">
        <v>8077</v>
      </c>
      <c r="K2499" s="1" t="s">
        <v>8078</v>
      </c>
    </row>
    <row r="2500" spans="1:11" ht="21" x14ac:dyDescent="0.25">
      <c r="A2500" s="11" t="str">
        <f>HYPERLINK("https://rth.dk/resources/bsgatlas/details.php?id=BSGatlas-transcript-2499","BSGatlas-transcript-2499")</f>
        <v>BSGatlas-transcript-2499</v>
      </c>
      <c r="B2500" s="1" t="s">
        <v>8079</v>
      </c>
      <c r="C2500" s="3">
        <v>2311933</v>
      </c>
      <c r="D2500" s="3">
        <v>2312499</v>
      </c>
      <c r="E2500" s="1" t="s">
        <v>13</v>
      </c>
      <c r="F2500" s="1">
        <v>1</v>
      </c>
      <c r="G2500" s="1">
        <v>36</v>
      </c>
      <c r="H2500" s="1">
        <v>54</v>
      </c>
      <c r="I2500" s="1" t="s">
        <v>4386</v>
      </c>
      <c r="J2500" s="1" t="s">
        <v>8080</v>
      </c>
      <c r="K2500" s="1" t="s">
        <v>8078</v>
      </c>
    </row>
    <row r="2501" spans="1:11" ht="21" x14ac:dyDescent="0.25">
      <c r="A2501" s="11" t="str">
        <f>HYPERLINK("https://rth.dk/resources/bsgatlas/details.php?id=BSGatlas-transcript-2500","BSGatlas-transcript-2500")</f>
        <v>BSGatlas-transcript-2500</v>
      </c>
      <c r="B2501" s="1" t="s">
        <v>8081</v>
      </c>
      <c r="C2501" s="3">
        <v>2311933</v>
      </c>
      <c r="D2501" s="3">
        <v>2316182</v>
      </c>
      <c r="E2501" s="1" t="s">
        <v>13</v>
      </c>
      <c r="F2501" s="1">
        <v>2</v>
      </c>
      <c r="G2501" s="1">
        <v>73</v>
      </c>
      <c r="H2501" s="1">
        <v>54</v>
      </c>
      <c r="I2501" s="1" t="s">
        <v>4386</v>
      </c>
      <c r="J2501" s="1" t="s">
        <v>8082</v>
      </c>
      <c r="K2501" s="1" t="s">
        <v>8078</v>
      </c>
    </row>
    <row r="2502" spans="1:11" ht="21" x14ac:dyDescent="0.25">
      <c r="A2502" s="11" t="str">
        <f>HYPERLINK("https://rth.dk/resources/bsgatlas/details.php?id=BSGatlas-transcript-2501","BSGatlas-transcript-2501")</f>
        <v>BSGatlas-transcript-2501</v>
      </c>
      <c r="B2502" s="1" t="s">
        <v>2337</v>
      </c>
      <c r="C2502" s="3">
        <v>2311986</v>
      </c>
      <c r="D2502" s="3">
        <v>2312156</v>
      </c>
      <c r="E2502" s="1" t="s">
        <v>13</v>
      </c>
      <c r="F2502" s="1">
        <v>0</v>
      </c>
      <c r="G2502" s="1" t="s">
        <v>4372</v>
      </c>
      <c r="H2502" s="1" t="s">
        <v>4372</v>
      </c>
      <c r="I2502" s="1" t="s">
        <v>4386</v>
      </c>
      <c r="J2502" s="1" t="s">
        <v>8077</v>
      </c>
      <c r="K2502" s="1" t="s">
        <v>8083</v>
      </c>
    </row>
    <row r="2503" spans="1:11" ht="21" x14ac:dyDescent="0.25">
      <c r="A2503" s="11" t="str">
        <f>HYPERLINK("https://rth.dk/resources/bsgatlas/details.php?id=BSGatlas-transcript-2502","BSGatlas-transcript-2502")</f>
        <v>BSGatlas-transcript-2502</v>
      </c>
      <c r="B2503" s="1" t="s">
        <v>8079</v>
      </c>
      <c r="C2503" s="3">
        <v>2311986</v>
      </c>
      <c r="D2503" s="3">
        <v>2312499</v>
      </c>
      <c r="E2503" s="1" t="s">
        <v>13</v>
      </c>
      <c r="F2503" s="1">
        <v>1</v>
      </c>
      <c r="G2503" s="1">
        <v>36</v>
      </c>
      <c r="H2503" s="1" t="s">
        <v>4372</v>
      </c>
      <c r="I2503" s="1" t="s">
        <v>4386</v>
      </c>
      <c r="J2503" s="1" t="s">
        <v>8080</v>
      </c>
      <c r="K2503" s="1" t="s">
        <v>8083</v>
      </c>
    </row>
    <row r="2504" spans="1:11" ht="21" x14ac:dyDescent="0.25">
      <c r="A2504" s="11" t="str">
        <f>HYPERLINK("https://rth.dk/resources/bsgatlas/details.php?id=BSGatlas-transcript-2503","BSGatlas-transcript-2503")</f>
        <v>BSGatlas-transcript-2503</v>
      </c>
      <c r="B2504" s="1" t="s">
        <v>8081</v>
      </c>
      <c r="C2504" s="3">
        <v>2311986</v>
      </c>
      <c r="D2504" s="3">
        <v>2316182</v>
      </c>
      <c r="E2504" s="1" t="s">
        <v>13</v>
      </c>
      <c r="F2504" s="1">
        <v>2</v>
      </c>
      <c r="G2504" s="1">
        <v>73</v>
      </c>
      <c r="H2504" s="1" t="s">
        <v>4372</v>
      </c>
      <c r="I2504" s="1" t="s">
        <v>4386</v>
      </c>
      <c r="J2504" s="1" t="s">
        <v>8082</v>
      </c>
      <c r="K2504" s="1" t="s">
        <v>8083</v>
      </c>
    </row>
    <row r="2505" spans="1:11" ht="21" x14ac:dyDescent="0.25">
      <c r="A2505" s="11" t="str">
        <f>HYPERLINK("https://rth.dk/resources/bsgatlas/details.php?id=BSGatlas-transcript-2504","BSGatlas-transcript-2504")</f>
        <v>BSGatlas-transcript-2504</v>
      </c>
      <c r="B2505" s="1" t="s">
        <v>2338</v>
      </c>
      <c r="C2505" s="3">
        <v>2312207</v>
      </c>
      <c r="D2505" s="3">
        <v>2312499</v>
      </c>
      <c r="E2505" s="1" t="s">
        <v>13</v>
      </c>
      <c r="F2505" s="1">
        <v>0</v>
      </c>
      <c r="G2505" s="1" t="s">
        <v>4372</v>
      </c>
      <c r="H2505" s="1" t="s">
        <v>4372</v>
      </c>
      <c r="I2505" s="1" t="s">
        <v>4382</v>
      </c>
      <c r="J2505" s="1" t="s">
        <v>8080</v>
      </c>
      <c r="K2505" s="1" t="s">
        <v>318</v>
      </c>
    </row>
    <row r="2506" spans="1:11" ht="21" x14ac:dyDescent="0.25">
      <c r="A2506" s="11" t="str">
        <f>HYPERLINK("https://rth.dk/resources/bsgatlas/details.php?id=BSGatlas-transcript-2505","BSGatlas-transcript-2505")</f>
        <v>BSGatlas-transcript-2505</v>
      </c>
      <c r="B2506" s="1" t="s">
        <v>2339</v>
      </c>
      <c r="C2506" s="3">
        <v>2312529</v>
      </c>
      <c r="D2506" s="3">
        <v>2316182</v>
      </c>
      <c r="E2506" s="1" t="s">
        <v>13</v>
      </c>
      <c r="F2506" s="1">
        <v>0</v>
      </c>
      <c r="G2506" s="1" t="s">
        <v>4372</v>
      </c>
      <c r="H2506" s="1" t="s">
        <v>4372</v>
      </c>
      <c r="I2506" s="1" t="s">
        <v>4382</v>
      </c>
      <c r="J2506" s="1" t="s">
        <v>8082</v>
      </c>
      <c r="K2506" s="1" t="s">
        <v>318</v>
      </c>
    </row>
    <row r="2507" spans="1:11" ht="21" x14ac:dyDescent="0.25">
      <c r="A2507" s="11" t="str">
        <f>HYPERLINK("https://rth.dk/resources/bsgatlas/details.php?id=BSGatlas-transcript-2506","BSGatlas-transcript-2506")</f>
        <v>BSGatlas-transcript-2506</v>
      </c>
      <c r="B2507" s="1" t="s">
        <v>2340</v>
      </c>
      <c r="C2507" s="3">
        <v>2316248</v>
      </c>
      <c r="D2507" s="3">
        <v>2316375</v>
      </c>
      <c r="E2507" s="1" t="s">
        <v>13</v>
      </c>
      <c r="F2507" s="1">
        <v>0</v>
      </c>
      <c r="G2507" s="1" t="s">
        <v>4372</v>
      </c>
      <c r="H2507" s="1" t="s">
        <v>4372</v>
      </c>
      <c r="I2507" s="1" t="s">
        <v>4377</v>
      </c>
      <c r="J2507" s="1" t="s">
        <v>318</v>
      </c>
      <c r="K2507" s="1" t="s">
        <v>8084</v>
      </c>
    </row>
    <row r="2508" spans="1:11" ht="21" x14ac:dyDescent="0.25">
      <c r="A2508" s="11" t="str">
        <f>HYPERLINK("https://rth.dk/resources/bsgatlas/details.php?id=BSGatlas-transcript-2507","BSGatlas-transcript-2507")</f>
        <v>BSGatlas-transcript-2507</v>
      </c>
      <c r="B2508" s="1" t="s">
        <v>2341</v>
      </c>
      <c r="C2508" s="3">
        <v>2316348</v>
      </c>
      <c r="D2508" s="3">
        <v>2316424</v>
      </c>
      <c r="E2508" s="1" t="s">
        <v>13</v>
      </c>
      <c r="F2508" s="1">
        <v>0</v>
      </c>
      <c r="G2508" s="1" t="s">
        <v>4372</v>
      </c>
      <c r="H2508" s="1" t="s">
        <v>4372</v>
      </c>
      <c r="I2508" s="1" t="s">
        <v>4386</v>
      </c>
      <c r="J2508" s="1" t="s">
        <v>8085</v>
      </c>
      <c r="K2508" s="1" t="s">
        <v>318</v>
      </c>
    </row>
    <row r="2509" spans="1:11" ht="21" x14ac:dyDescent="0.25">
      <c r="A2509" s="11" t="str">
        <f>HYPERLINK("https://rth.dk/resources/bsgatlas/details.php?id=BSGatlas-transcript-2508","BSGatlas-transcript-2508")</f>
        <v>BSGatlas-transcript-2508</v>
      </c>
      <c r="B2509" s="1" t="s">
        <v>8086</v>
      </c>
      <c r="C2509" s="3">
        <v>2316446</v>
      </c>
      <c r="D2509" s="3">
        <v>2318074</v>
      </c>
      <c r="E2509" s="1" t="s">
        <v>13</v>
      </c>
      <c r="F2509" s="1">
        <v>0</v>
      </c>
      <c r="G2509" s="1" t="s">
        <v>4372</v>
      </c>
      <c r="H2509" s="1" t="s">
        <v>4372</v>
      </c>
      <c r="I2509" s="1" t="s">
        <v>4386</v>
      </c>
      <c r="J2509" s="1" t="s">
        <v>8087</v>
      </c>
      <c r="K2509" s="1" t="s">
        <v>318</v>
      </c>
    </row>
    <row r="2510" spans="1:11" ht="21" x14ac:dyDescent="0.25">
      <c r="A2510" s="11" t="str">
        <f>HYPERLINK("https://rth.dk/resources/bsgatlas/details.php?id=BSGatlas-transcript-2509","BSGatlas-transcript-2509")</f>
        <v>BSGatlas-transcript-2509</v>
      </c>
      <c r="B2510" s="1" t="s">
        <v>8088</v>
      </c>
      <c r="C2510" s="3">
        <v>2318096</v>
      </c>
      <c r="D2510" s="3">
        <v>2320210</v>
      </c>
      <c r="E2510" s="1" t="s">
        <v>13</v>
      </c>
      <c r="F2510" s="1">
        <v>0</v>
      </c>
      <c r="G2510" s="1" t="s">
        <v>4372</v>
      </c>
      <c r="H2510" s="1" t="s">
        <v>4372</v>
      </c>
      <c r="I2510" s="1" t="s">
        <v>4373</v>
      </c>
      <c r="J2510" s="1" t="s">
        <v>8089</v>
      </c>
      <c r="K2510" s="1" t="s">
        <v>8090</v>
      </c>
    </row>
    <row r="2511" spans="1:11" ht="21" x14ac:dyDescent="0.25">
      <c r="A2511" s="11" t="str">
        <f>HYPERLINK("https://rth.dk/resources/bsgatlas/details.php?id=BSGatlas-transcript-2510","BSGatlas-transcript-2510")</f>
        <v>BSGatlas-transcript-2510</v>
      </c>
      <c r="B2511" s="1" t="s">
        <v>2346</v>
      </c>
      <c r="C2511" s="3">
        <v>2320055</v>
      </c>
      <c r="D2511" s="3">
        <v>2320213</v>
      </c>
      <c r="E2511" s="1" t="s">
        <v>13</v>
      </c>
      <c r="F2511" s="1">
        <v>0</v>
      </c>
      <c r="G2511" s="1" t="s">
        <v>4372</v>
      </c>
      <c r="H2511" s="1" t="s">
        <v>4372</v>
      </c>
      <c r="I2511" s="1" t="s">
        <v>4377</v>
      </c>
      <c r="J2511" s="1" t="s">
        <v>318</v>
      </c>
      <c r="K2511" s="1" t="s">
        <v>8091</v>
      </c>
    </row>
    <row r="2512" spans="1:11" ht="21" x14ac:dyDescent="0.25">
      <c r="A2512" s="11" t="str">
        <f>HYPERLINK("https://rth.dk/resources/bsgatlas/details.php?id=BSGatlas-transcript-2511","BSGatlas-transcript-2511")</f>
        <v>BSGatlas-transcript-2511</v>
      </c>
      <c r="B2512" s="1" t="s">
        <v>2346</v>
      </c>
      <c r="C2512" s="3">
        <v>2320098</v>
      </c>
      <c r="D2512" s="3">
        <v>2320213</v>
      </c>
      <c r="E2512" s="1" t="s">
        <v>13</v>
      </c>
      <c r="F2512" s="1">
        <v>0</v>
      </c>
      <c r="G2512" s="1" t="s">
        <v>4372</v>
      </c>
      <c r="H2512" s="1" t="s">
        <v>4372</v>
      </c>
      <c r="I2512" s="1" t="s">
        <v>4377</v>
      </c>
      <c r="J2512" s="1" t="s">
        <v>318</v>
      </c>
      <c r="K2512" s="1" t="s">
        <v>8092</v>
      </c>
    </row>
    <row r="2513" spans="1:11" ht="21" x14ac:dyDescent="0.25">
      <c r="A2513" s="11" t="str">
        <f>HYPERLINK("https://rth.dk/resources/bsgatlas/details.php?id=BSGatlas-transcript-2512","BSGatlas-transcript-2512")</f>
        <v>BSGatlas-transcript-2512</v>
      </c>
      <c r="B2513" s="1" t="s">
        <v>2347</v>
      </c>
      <c r="C2513" s="3">
        <v>2320355</v>
      </c>
      <c r="D2513" s="3">
        <v>2321860</v>
      </c>
      <c r="E2513" s="1" t="s">
        <v>13</v>
      </c>
      <c r="F2513" s="1">
        <v>0</v>
      </c>
      <c r="G2513" s="1" t="s">
        <v>4372</v>
      </c>
      <c r="H2513" s="1" t="s">
        <v>4372</v>
      </c>
      <c r="I2513" s="1" t="s">
        <v>4373</v>
      </c>
      <c r="J2513" s="1" t="s">
        <v>8093</v>
      </c>
      <c r="K2513" s="1" t="s">
        <v>318</v>
      </c>
    </row>
    <row r="2514" spans="1:11" ht="21" x14ac:dyDescent="0.25">
      <c r="A2514" s="11" t="str">
        <f>HYPERLINK("https://rth.dk/resources/bsgatlas/details.php?id=BSGatlas-transcript-2513","BSGatlas-transcript-2513")</f>
        <v>BSGatlas-transcript-2513</v>
      </c>
      <c r="B2514" s="1" t="s">
        <v>2347</v>
      </c>
      <c r="C2514" s="3">
        <v>2320355</v>
      </c>
      <c r="D2514" s="3">
        <v>2321902</v>
      </c>
      <c r="E2514" s="1" t="s">
        <v>13</v>
      </c>
      <c r="F2514" s="1">
        <v>0</v>
      </c>
      <c r="G2514" s="1" t="s">
        <v>4372</v>
      </c>
      <c r="H2514" s="1" t="s">
        <v>4372</v>
      </c>
      <c r="I2514" s="1" t="s">
        <v>4373</v>
      </c>
      <c r="J2514" s="1" t="s">
        <v>8094</v>
      </c>
      <c r="K2514" s="1" t="s">
        <v>318</v>
      </c>
    </row>
    <row r="2515" spans="1:11" ht="21" x14ac:dyDescent="0.25">
      <c r="A2515" s="11" t="str">
        <f>HYPERLINK("https://rth.dk/resources/bsgatlas/details.php?id=BSGatlas-transcript-2514","BSGatlas-transcript-2514")</f>
        <v>BSGatlas-transcript-2514</v>
      </c>
      <c r="B2515" s="1" t="s">
        <v>8095</v>
      </c>
      <c r="C2515" s="3">
        <v>2321924</v>
      </c>
      <c r="D2515" s="3">
        <v>2325682</v>
      </c>
      <c r="E2515" s="1" t="s">
        <v>13</v>
      </c>
      <c r="F2515" s="1">
        <v>2</v>
      </c>
      <c r="G2515" s="1">
        <v>51</v>
      </c>
      <c r="H2515" s="1">
        <v>49</v>
      </c>
      <c r="I2515" s="1" t="s">
        <v>4373</v>
      </c>
      <c r="J2515" s="1" t="s">
        <v>8096</v>
      </c>
      <c r="K2515" s="1" t="s">
        <v>8097</v>
      </c>
    </row>
    <row r="2516" spans="1:11" ht="21" x14ac:dyDescent="0.25">
      <c r="A2516" s="11" t="str">
        <f>HYPERLINK("https://rth.dk/resources/bsgatlas/details.php?id=BSGatlas-transcript-2515","BSGatlas-transcript-2515")</f>
        <v>BSGatlas-transcript-2515</v>
      </c>
      <c r="B2516" s="1" t="s">
        <v>8098</v>
      </c>
      <c r="C2516" s="3">
        <v>2325774</v>
      </c>
      <c r="D2516" s="3">
        <v>2327447</v>
      </c>
      <c r="E2516" s="1" t="s">
        <v>9</v>
      </c>
      <c r="F2516" s="1">
        <v>0</v>
      </c>
      <c r="G2516" s="1" t="s">
        <v>4372</v>
      </c>
      <c r="H2516" s="1" t="s">
        <v>4372</v>
      </c>
      <c r="I2516" s="1" t="s">
        <v>4386</v>
      </c>
      <c r="J2516" s="1" t="s">
        <v>8099</v>
      </c>
      <c r="K2516" s="1" t="s">
        <v>8100</v>
      </c>
    </row>
    <row r="2517" spans="1:11" ht="21" x14ac:dyDescent="0.25">
      <c r="A2517" s="11" t="str">
        <f>HYPERLINK("https://rth.dk/resources/bsgatlas/details.php?id=BSGatlas-transcript-2516","BSGatlas-transcript-2516")</f>
        <v>BSGatlas-transcript-2516</v>
      </c>
      <c r="B2517" s="1" t="s">
        <v>2354</v>
      </c>
      <c r="C2517" s="3">
        <v>2327444</v>
      </c>
      <c r="D2517" s="3">
        <v>2329448</v>
      </c>
      <c r="E2517" s="1" t="s">
        <v>13</v>
      </c>
      <c r="F2517" s="1">
        <v>0</v>
      </c>
      <c r="G2517" s="1" t="s">
        <v>4372</v>
      </c>
      <c r="H2517" s="1" t="s">
        <v>4372</v>
      </c>
      <c r="I2517" s="1" t="s">
        <v>4373</v>
      </c>
      <c r="J2517" s="1" t="s">
        <v>8101</v>
      </c>
      <c r="K2517" s="1" t="s">
        <v>8102</v>
      </c>
    </row>
    <row r="2518" spans="1:11" ht="21" x14ac:dyDescent="0.25">
      <c r="A2518" s="11" t="str">
        <f>HYPERLINK("https://rth.dk/resources/bsgatlas/details.php?id=BSGatlas-transcript-2517","BSGatlas-transcript-2517")</f>
        <v>BSGatlas-transcript-2517</v>
      </c>
      <c r="B2518" s="1" t="s">
        <v>2355</v>
      </c>
      <c r="C2518" s="3">
        <v>2329515</v>
      </c>
      <c r="D2518" s="3">
        <v>2329734</v>
      </c>
      <c r="E2518" s="1" t="s">
        <v>13</v>
      </c>
      <c r="F2518" s="1">
        <v>0</v>
      </c>
      <c r="G2518" s="1" t="s">
        <v>4372</v>
      </c>
      <c r="H2518" s="1" t="s">
        <v>4372</v>
      </c>
      <c r="I2518" s="1" t="s">
        <v>4377</v>
      </c>
      <c r="J2518" s="1" t="s">
        <v>8103</v>
      </c>
      <c r="K2518" s="1" t="s">
        <v>318</v>
      </c>
    </row>
    <row r="2519" spans="1:11" ht="21" x14ac:dyDescent="0.25">
      <c r="A2519" s="11" t="str">
        <f>HYPERLINK("https://rth.dk/resources/bsgatlas/details.php?id=BSGatlas-transcript-2518","BSGatlas-transcript-2518")</f>
        <v>BSGatlas-transcript-2518</v>
      </c>
      <c r="B2519" s="1" t="s">
        <v>2356</v>
      </c>
      <c r="C2519" s="3">
        <v>2329803</v>
      </c>
      <c r="D2519" s="3">
        <v>2330054</v>
      </c>
      <c r="E2519" s="1" t="s">
        <v>9</v>
      </c>
      <c r="F2519" s="1">
        <v>0</v>
      </c>
      <c r="G2519" s="1" t="s">
        <v>4372</v>
      </c>
      <c r="H2519" s="1" t="s">
        <v>4372</v>
      </c>
      <c r="I2519" s="1" t="s">
        <v>4397</v>
      </c>
      <c r="J2519" s="1" t="s">
        <v>8104</v>
      </c>
      <c r="K2519" s="1" t="s">
        <v>8105</v>
      </c>
    </row>
    <row r="2520" spans="1:11" ht="21" x14ac:dyDescent="0.25">
      <c r="A2520" s="11" t="str">
        <f>HYPERLINK("https://rth.dk/resources/bsgatlas/details.php?id=BSGatlas-transcript-2519","BSGatlas-transcript-2519")</f>
        <v>BSGatlas-transcript-2519</v>
      </c>
      <c r="B2520" s="1" t="s">
        <v>8106</v>
      </c>
      <c r="C2520" s="3">
        <v>2330075</v>
      </c>
      <c r="D2520" s="3">
        <v>2331735</v>
      </c>
      <c r="E2520" s="1" t="s">
        <v>13</v>
      </c>
      <c r="F2520" s="1">
        <v>1</v>
      </c>
      <c r="G2520" s="1">
        <v>16</v>
      </c>
      <c r="H2520" s="1" t="s">
        <v>4372</v>
      </c>
      <c r="I2520" s="1" t="s">
        <v>4386</v>
      </c>
      <c r="J2520" s="1" t="s">
        <v>8107</v>
      </c>
      <c r="K2520" s="1" t="s">
        <v>8108</v>
      </c>
    </row>
    <row r="2521" spans="1:11" ht="21" x14ac:dyDescent="0.25">
      <c r="A2521" s="11" t="str">
        <f>HYPERLINK("https://rth.dk/resources/bsgatlas/details.php?id=BSGatlas-transcript-2520","BSGatlas-transcript-2520")</f>
        <v>BSGatlas-transcript-2520</v>
      </c>
      <c r="B2521" s="1" t="s">
        <v>8109</v>
      </c>
      <c r="C2521" s="3">
        <v>2330075</v>
      </c>
      <c r="D2521" s="3">
        <v>2332110</v>
      </c>
      <c r="E2521" s="1" t="s">
        <v>13</v>
      </c>
      <c r="F2521" s="1">
        <v>2</v>
      </c>
      <c r="G2521" s="1">
        <v>36</v>
      </c>
      <c r="H2521" s="1" t="s">
        <v>4372</v>
      </c>
      <c r="I2521" s="1" t="s">
        <v>4386</v>
      </c>
      <c r="J2521" s="1" t="s">
        <v>8110</v>
      </c>
      <c r="K2521" s="1" t="s">
        <v>8108</v>
      </c>
    </row>
    <row r="2522" spans="1:11" ht="21" x14ac:dyDescent="0.25">
      <c r="A2522" s="11" t="str">
        <f>HYPERLINK("https://rth.dk/resources/bsgatlas/details.php?id=BSGatlas-transcript-2521","BSGatlas-transcript-2521")</f>
        <v>BSGatlas-transcript-2521</v>
      </c>
      <c r="B2522" s="1" t="s">
        <v>2358</v>
      </c>
      <c r="C2522" s="3">
        <v>2331320</v>
      </c>
      <c r="D2522" s="3">
        <v>2331735</v>
      </c>
      <c r="E2522" s="1" t="s">
        <v>13</v>
      </c>
      <c r="F2522" s="1">
        <v>0</v>
      </c>
      <c r="G2522" s="1" t="s">
        <v>4372</v>
      </c>
      <c r="H2522" s="1" t="s">
        <v>4372</v>
      </c>
      <c r="I2522" s="1" t="s">
        <v>4377</v>
      </c>
      <c r="J2522" s="1" t="s">
        <v>8107</v>
      </c>
      <c r="K2522" s="1" t="s">
        <v>8111</v>
      </c>
    </row>
    <row r="2523" spans="1:11" ht="21" x14ac:dyDescent="0.25">
      <c r="A2523" s="11" t="str">
        <f>HYPERLINK("https://rth.dk/resources/bsgatlas/details.php?id=BSGatlas-transcript-2522","BSGatlas-transcript-2522")</f>
        <v>BSGatlas-transcript-2522</v>
      </c>
      <c r="B2523" s="1" t="s">
        <v>8112</v>
      </c>
      <c r="C2523" s="3">
        <v>2331320</v>
      </c>
      <c r="D2523" s="3">
        <v>2332110</v>
      </c>
      <c r="E2523" s="1" t="s">
        <v>13</v>
      </c>
      <c r="F2523" s="1">
        <v>1</v>
      </c>
      <c r="G2523" s="1">
        <v>36</v>
      </c>
      <c r="H2523" s="1" t="s">
        <v>4372</v>
      </c>
      <c r="I2523" s="1" t="s">
        <v>4377</v>
      </c>
      <c r="J2523" s="1" t="s">
        <v>8110</v>
      </c>
      <c r="K2523" s="1" t="s">
        <v>8111</v>
      </c>
    </row>
    <row r="2524" spans="1:11" ht="21" x14ac:dyDescent="0.25">
      <c r="A2524" s="11" t="str">
        <f>HYPERLINK("https://rth.dk/resources/bsgatlas/details.php?id=BSGatlas-transcript-2523","BSGatlas-transcript-2523")</f>
        <v>BSGatlas-transcript-2523</v>
      </c>
      <c r="B2524" s="1" t="s">
        <v>2361</v>
      </c>
      <c r="C2524" s="3">
        <v>2332702</v>
      </c>
      <c r="D2524" s="3">
        <v>2333042</v>
      </c>
      <c r="E2524" s="1" t="s">
        <v>13</v>
      </c>
      <c r="F2524" s="1">
        <v>0</v>
      </c>
      <c r="G2524" s="1" t="s">
        <v>4372</v>
      </c>
      <c r="H2524" s="1" t="s">
        <v>4372</v>
      </c>
      <c r="I2524" s="1" t="s">
        <v>4373</v>
      </c>
      <c r="J2524" s="1" t="s">
        <v>8113</v>
      </c>
      <c r="K2524" s="1" t="s">
        <v>8114</v>
      </c>
    </row>
    <row r="2525" spans="1:11" ht="21" x14ac:dyDescent="0.25">
      <c r="A2525" s="11" t="str">
        <f>HYPERLINK("https://rth.dk/resources/bsgatlas/details.php?id=BSGatlas-transcript-2524","BSGatlas-transcript-2524")</f>
        <v>BSGatlas-transcript-2524</v>
      </c>
      <c r="B2525" s="1" t="s">
        <v>8115</v>
      </c>
      <c r="C2525" s="3">
        <v>2332702</v>
      </c>
      <c r="D2525" s="3">
        <v>2333223</v>
      </c>
      <c r="E2525" s="1" t="s">
        <v>13</v>
      </c>
      <c r="F2525" s="1">
        <v>1</v>
      </c>
      <c r="G2525" s="1" t="s">
        <v>4372</v>
      </c>
      <c r="H2525" s="1">
        <v>83</v>
      </c>
      <c r="I2525" s="1" t="s">
        <v>4377</v>
      </c>
      <c r="J2525" s="1" t="s">
        <v>8116</v>
      </c>
      <c r="K2525" s="1" t="s">
        <v>8114</v>
      </c>
    </row>
    <row r="2526" spans="1:11" ht="21" x14ac:dyDescent="0.25">
      <c r="A2526" s="11" t="str">
        <f>HYPERLINK("https://rth.dk/resources/bsgatlas/details.php?id=BSGatlas-transcript-2525","BSGatlas-transcript-2525")</f>
        <v>BSGatlas-transcript-2525</v>
      </c>
      <c r="B2526" s="1" t="s">
        <v>8117</v>
      </c>
      <c r="C2526" s="3">
        <v>2332702</v>
      </c>
      <c r="D2526" s="3">
        <v>2334565</v>
      </c>
      <c r="E2526" s="1" t="s">
        <v>13</v>
      </c>
      <c r="F2526" s="1">
        <v>2</v>
      </c>
      <c r="G2526" s="1" t="s">
        <v>4372</v>
      </c>
      <c r="H2526" s="1">
        <v>83</v>
      </c>
      <c r="I2526" s="1" t="s">
        <v>4377</v>
      </c>
      <c r="J2526" s="1" t="s">
        <v>8118</v>
      </c>
      <c r="K2526" s="1" t="s">
        <v>8114</v>
      </c>
    </row>
    <row r="2527" spans="1:11" ht="21" x14ac:dyDescent="0.25">
      <c r="A2527" s="11" t="str">
        <f>HYPERLINK("https://rth.dk/resources/bsgatlas/details.php?id=BSGatlas-transcript-2526","BSGatlas-transcript-2526")</f>
        <v>BSGatlas-transcript-2526</v>
      </c>
      <c r="B2527" s="1" t="s">
        <v>8119</v>
      </c>
      <c r="C2527" s="3">
        <v>2332702</v>
      </c>
      <c r="D2527" s="3">
        <v>2336862</v>
      </c>
      <c r="E2527" s="1" t="s">
        <v>13</v>
      </c>
      <c r="F2527" s="1">
        <v>2</v>
      </c>
      <c r="G2527" s="1">
        <v>33</v>
      </c>
      <c r="H2527" s="1">
        <v>83</v>
      </c>
      <c r="I2527" s="1" t="s">
        <v>4386</v>
      </c>
      <c r="J2527" s="1" t="s">
        <v>8120</v>
      </c>
      <c r="K2527" s="1" t="s">
        <v>8114</v>
      </c>
    </row>
    <row r="2528" spans="1:11" ht="21" x14ac:dyDescent="0.25">
      <c r="A2528" s="11" t="str">
        <f>HYPERLINK("https://rth.dk/resources/bsgatlas/details.php?id=BSGatlas-transcript-2527","BSGatlas-transcript-2527")</f>
        <v>BSGatlas-transcript-2527</v>
      </c>
      <c r="B2528" s="1" t="s">
        <v>2364</v>
      </c>
      <c r="C2528" s="3">
        <v>2336933</v>
      </c>
      <c r="D2528" s="3">
        <v>2337500</v>
      </c>
      <c r="E2528" s="1" t="s">
        <v>13</v>
      </c>
      <c r="F2528" s="1">
        <v>0</v>
      </c>
      <c r="G2528" s="1" t="s">
        <v>4372</v>
      </c>
      <c r="H2528" s="1" t="s">
        <v>4372</v>
      </c>
      <c r="I2528" s="1" t="s">
        <v>4386</v>
      </c>
      <c r="J2528" s="1" t="s">
        <v>8121</v>
      </c>
      <c r="K2528" s="1" t="s">
        <v>8122</v>
      </c>
    </row>
    <row r="2529" spans="1:11" ht="21" x14ac:dyDescent="0.25">
      <c r="A2529" s="11" t="str">
        <f>HYPERLINK("https://rth.dk/resources/bsgatlas/details.php?id=BSGatlas-transcript-2528","BSGatlas-transcript-2528")</f>
        <v>BSGatlas-transcript-2528</v>
      </c>
      <c r="B2529" s="1" t="s">
        <v>2365</v>
      </c>
      <c r="C2529" s="3">
        <v>2337558</v>
      </c>
      <c r="D2529" s="3">
        <v>2338026</v>
      </c>
      <c r="E2529" s="1" t="s">
        <v>9</v>
      </c>
      <c r="F2529" s="1">
        <v>0</v>
      </c>
      <c r="G2529" s="1" t="s">
        <v>4372</v>
      </c>
      <c r="H2529" s="1" t="s">
        <v>4372</v>
      </c>
      <c r="I2529" s="1" t="s">
        <v>4373</v>
      </c>
      <c r="J2529" s="1" t="s">
        <v>8123</v>
      </c>
      <c r="K2529" s="1" t="s">
        <v>8124</v>
      </c>
    </row>
    <row r="2530" spans="1:11" ht="21" x14ac:dyDescent="0.25">
      <c r="A2530" s="11" t="str">
        <f>HYPERLINK("https://rth.dk/resources/bsgatlas/details.php?id=BSGatlas-transcript-2529","BSGatlas-transcript-2529")</f>
        <v>BSGatlas-transcript-2529</v>
      </c>
      <c r="B2530" s="1" t="s">
        <v>2365</v>
      </c>
      <c r="C2530" s="3">
        <v>2337558</v>
      </c>
      <c r="D2530" s="3">
        <v>2338180</v>
      </c>
      <c r="E2530" s="1" t="s">
        <v>9</v>
      </c>
      <c r="F2530" s="1">
        <v>0</v>
      </c>
      <c r="G2530" s="1" t="s">
        <v>4372</v>
      </c>
      <c r="H2530" s="1" t="s">
        <v>4372</v>
      </c>
      <c r="I2530" s="1" t="s">
        <v>4373</v>
      </c>
      <c r="J2530" s="1" t="s">
        <v>8123</v>
      </c>
      <c r="K2530" s="1" t="s">
        <v>8125</v>
      </c>
    </row>
    <row r="2531" spans="1:11" ht="21" x14ac:dyDescent="0.25">
      <c r="A2531" s="11" t="str">
        <f>HYPERLINK("https://rth.dk/resources/bsgatlas/details.php?id=BSGatlas-transcript-2530","BSGatlas-transcript-2530")</f>
        <v>BSGatlas-transcript-2530</v>
      </c>
      <c r="B2531" s="1" t="s">
        <v>2366</v>
      </c>
      <c r="C2531" s="3">
        <v>2338017</v>
      </c>
      <c r="D2531" s="3">
        <v>2338443</v>
      </c>
      <c r="E2531" s="1" t="s">
        <v>13</v>
      </c>
      <c r="F2531" s="1">
        <v>0</v>
      </c>
      <c r="G2531" s="1" t="s">
        <v>4372</v>
      </c>
      <c r="H2531" s="1" t="s">
        <v>4372</v>
      </c>
      <c r="I2531" s="1" t="s">
        <v>4397</v>
      </c>
      <c r="J2531" s="1" t="s">
        <v>8126</v>
      </c>
      <c r="K2531" s="1" t="s">
        <v>8127</v>
      </c>
    </row>
    <row r="2532" spans="1:11" ht="21" x14ac:dyDescent="0.25">
      <c r="A2532" s="11" t="str">
        <f>HYPERLINK("https://rth.dk/resources/bsgatlas/details.php?id=BSGatlas-transcript-2531","BSGatlas-transcript-2531")</f>
        <v>BSGatlas-transcript-2531</v>
      </c>
      <c r="B2532" s="1" t="s">
        <v>2367</v>
      </c>
      <c r="C2532" s="3">
        <v>2338392</v>
      </c>
      <c r="D2532" s="3">
        <v>2338821</v>
      </c>
      <c r="E2532" s="1" t="s">
        <v>9</v>
      </c>
      <c r="F2532" s="1">
        <v>0</v>
      </c>
      <c r="G2532" s="1" t="s">
        <v>4372</v>
      </c>
      <c r="H2532" s="1" t="s">
        <v>4372</v>
      </c>
      <c r="I2532" s="1" t="s">
        <v>4397</v>
      </c>
      <c r="J2532" s="1" t="s">
        <v>8128</v>
      </c>
      <c r="K2532" s="1" t="s">
        <v>8129</v>
      </c>
    </row>
    <row r="2533" spans="1:11" ht="21" x14ac:dyDescent="0.25">
      <c r="A2533" s="11" t="str">
        <f>HYPERLINK("https://rth.dk/resources/bsgatlas/details.php?id=BSGatlas-transcript-2532","BSGatlas-transcript-2532")</f>
        <v>BSGatlas-transcript-2532</v>
      </c>
      <c r="B2533" s="1" t="s">
        <v>2367</v>
      </c>
      <c r="C2533" s="3">
        <v>2338539</v>
      </c>
      <c r="D2533" s="3">
        <v>2338821</v>
      </c>
      <c r="E2533" s="1" t="s">
        <v>9</v>
      </c>
      <c r="F2533" s="1">
        <v>0</v>
      </c>
      <c r="G2533" s="1" t="s">
        <v>4372</v>
      </c>
      <c r="H2533" s="1" t="s">
        <v>4372</v>
      </c>
      <c r="I2533" s="1" t="s">
        <v>4397</v>
      </c>
      <c r="J2533" s="1" t="s">
        <v>8130</v>
      </c>
      <c r="K2533" s="1" t="s">
        <v>8129</v>
      </c>
    </row>
    <row r="2534" spans="1:11" ht="21" x14ac:dyDescent="0.25">
      <c r="A2534" s="11" t="str">
        <f>HYPERLINK("https://rth.dk/resources/bsgatlas/details.php?id=BSGatlas-transcript-2533","BSGatlas-transcript-2533")</f>
        <v>BSGatlas-transcript-2533</v>
      </c>
      <c r="B2534" s="1" t="s">
        <v>2368</v>
      </c>
      <c r="C2534" s="3">
        <v>2338809</v>
      </c>
      <c r="D2534" s="3">
        <v>2339205</v>
      </c>
      <c r="E2534" s="1" t="s">
        <v>13</v>
      </c>
      <c r="F2534" s="1">
        <v>0</v>
      </c>
      <c r="G2534" s="1" t="s">
        <v>4372</v>
      </c>
      <c r="H2534" s="1" t="s">
        <v>4372</v>
      </c>
      <c r="I2534" s="1" t="s">
        <v>4386</v>
      </c>
      <c r="J2534" s="1" t="s">
        <v>8131</v>
      </c>
      <c r="K2534" s="1" t="s">
        <v>8132</v>
      </c>
    </row>
    <row r="2535" spans="1:11" ht="21" x14ac:dyDescent="0.25">
      <c r="A2535" s="11" t="str">
        <f>HYPERLINK("https://rth.dk/resources/bsgatlas/details.php?id=BSGatlas-transcript-2534","BSGatlas-transcript-2534")</f>
        <v>BSGatlas-transcript-2534</v>
      </c>
      <c r="B2535" s="1" t="s">
        <v>8133</v>
      </c>
      <c r="C2535" s="3">
        <v>2338809</v>
      </c>
      <c r="D2535" s="3">
        <v>2339502</v>
      </c>
      <c r="E2535" s="1" t="s">
        <v>13</v>
      </c>
      <c r="F2535" s="1">
        <v>1</v>
      </c>
      <c r="G2535" s="1">
        <v>32</v>
      </c>
      <c r="H2535" s="1" t="s">
        <v>4372</v>
      </c>
      <c r="I2535" s="1" t="s">
        <v>4397</v>
      </c>
      <c r="J2535" s="1" t="s">
        <v>8134</v>
      </c>
      <c r="K2535" s="1" t="s">
        <v>8132</v>
      </c>
    </row>
    <row r="2536" spans="1:11" ht="21" x14ac:dyDescent="0.25">
      <c r="A2536" s="11" t="str">
        <f>HYPERLINK("https://rth.dk/resources/bsgatlas/details.php?id=BSGatlas-transcript-2535","BSGatlas-transcript-2535")</f>
        <v>BSGatlas-transcript-2535</v>
      </c>
      <c r="B2536" s="1" t="s">
        <v>2370</v>
      </c>
      <c r="C2536" s="3">
        <v>2339670</v>
      </c>
      <c r="D2536" s="3">
        <v>2339812</v>
      </c>
      <c r="E2536" s="1" t="s">
        <v>9</v>
      </c>
      <c r="F2536" s="1">
        <v>0</v>
      </c>
      <c r="G2536" s="1" t="s">
        <v>4372</v>
      </c>
      <c r="H2536" s="1" t="s">
        <v>4372</v>
      </c>
      <c r="I2536" s="1" t="s">
        <v>4373</v>
      </c>
      <c r="J2536" s="1" t="s">
        <v>8135</v>
      </c>
      <c r="K2536" s="1" t="s">
        <v>8136</v>
      </c>
    </row>
    <row r="2537" spans="1:11" ht="21" x14ac:dyDescent="0.25">
      <c r="A2537" s="11" t="str">
        <f>HYPERLINK("https://rth.dk/resources/bsgatlas/details.php?id=BSGatlas-transcript-2536","BSGatlas-transcript-2536")</f>
        <v>BSGatlas-transcript-2536</v>
      </c>
      <c r="B2537" s="1" t="s">
        <v>2371</v>
      </c>
      <c r="C2537" s="3">
        <v>2339799</v>
      </c>
      <c r="D2537" s="3">
        <v>2341218</v>
      </c>
      <c r="E2537" s="1" t="s">
        <v>13</v>
      </c>
      <c r="F2537" s="1">
        <v>0</v>
      </c>
      <c r="G2537" s="1" t="s">
        <v>4372</v>
      </c>
      <c r="H2537" s="1" t="s">
        <v>4372</v>
      </c>
      <c r="I2537" s="1" t="s">
        <v>4397</v>
      </c>
      <c r="J2537" s="1" t="s">
        <v>8137</v>
      </c>
      <c r="K2537" s="1" t="s">
        <v>318</v>
      </c>
    </row>
    <row r="2538" spans="1:11" ht="21" x14ac:dyDescent="0.25">
      <c r="A2538" s="11" t="str">
        <f>HYPERLINK("https://rth.dk/resources/bsgatlas/details.php?id=BSGatlas-transcript-2537","BSGatlas-transcript-2537")</f>
        <v>BSGatlas-transcript-2537</v>
      </c>
      <c r="B2538" s="1" t="s">
        <v>8138</v>
      </c>
      <c r="C2538" s="3">
        <v>2339950</v>
      </c>
      <c r="D2538" s="3">
        <v>2344234</v>
      </c>
      <c r="E2538" s="1" t="s">
        <v>9</v>
      </c>
      <c r="F2538" s="1">
        <v>1</v>
      </c>
      <c r="G2538" s="1">
        <v>853</v>
      </c>
      <c r="H2538" s="1">
        <v>47</v>
      </c>
      <c r="I2538" s="1" t="s">
        <v>4373</v>
      </c>
      <c r="J2538" s="1" t="s">
        <v>8139</v>
      </c>
      <c r="K2538" s="1" t="s">
        <v>8140</v>
      </c>
    </row>
    <row r="2539" spans="1:11" ht="21" x14ac:dyDescent="0.25">
      <c r="A2539" s="11" t="str">
        <f>HYPERLINK("https://rth.dk/resources/bsgatlas/details.php?id=BSGatlas-transcript-2538","BSGatlas-transcript-2538")</f>
        <v>BSGatlas-transcript-2538</v>
      </c>
      <c r="B2539" s="1" t="s">
        <v>8138</v>
      </c>
      <c r="C2539" s="3">
        <v>2340291</v>
      </c>
      <c r="D2539" s="3">
        <v>2344234</v>
      </c>
      <c r="E2539" s="1" t="s">
        <v>9</v>
      </c>
      <c r="F2539" s="1">
        <v>1</v>
      </c>
      <c r="G2539" s="1">
        <v>512</v>
      </c>
      <c r="H2539" s="1">
        <v>47</v>
      </c>
      <c r="I2539" s="1" t="s">
        <v>4373</v>
      </c>
      <c r="J2539" s="1" t="s">
        <v>8141</v>
      </c>
      <c r="K2539" s="1" t="s">
        <v>8140</v>
      </c>
    </row>
    <row r="2540" spans="1:11" ht="21" x14ac:dyDescent="0.25">
      <c r="A2540" s="11" t="str">
        <f>HYPERLINK("https://rth.dk/resources/bsgatlas/details.php?id=BSGatlas-transcript-2539","BSGatlas-transcript-2539")</f>
        <v>BSGatlas-transcript-2539</v>
      </c>
      <c r="B2540" s="1" t="s">
        <v>8142</v>
      </c>
      <c r="C2540" s="3">
        <v>2343836</v>
      </c>
      <c r="D2540" s="3">
        <v>2347578</v>
      </c>
      <c r="E2540" s="1" t="s">
        <v>13</v>
      </c>
      <c r="F2540" s="1">
        <v>2</v>
      </c>
      <c r="G2540" s="1">
        <v>63</v>
      </c>
      <c r="H2540" s="1">
        <v>429</v>
      </c>
      <c r="I2540" s="1" t="s">
        <v>4386</v>
      </c>
      <c r="J2540" s="1" t="s">
        <v>8143</v>
      </c>
      <c r="K2540" s="1" t="s">
        <v>8144</v>
      </c>
    </row>
    <row r="2541" spans="1:11" ht="21" x14ac:dyDescent="0.25">
      <c r="A2541" s="11" t="str">
        <f>HYPERLINK("https://rth.dk/resources/bsgatlas/details.php?id=BSGatlas-transcript-2540","BSGatlas-transcript-2540")</f>
        <v>BSGatlas-transcript-2540</v>
      </c>
      <c r="B2541" s="1" t="s">
        <v>8142</v>
      </c>
      <c r="C2541" s="3">
        <v>2344264</v>
      </c>
      <c r="D2541" s="3">
        <v>2347578</v>
      </c>
      <c r="E2541" s="1" t="s">
        <v>13</v>
      </c>
      <c r="F2541" s="1">
        <v>2</v>
      </c>
      <c r="G2541" s="1">
        <v>63</v>
      </c>
      <c r="H2541" s="1" t="s">
        <v>4372</v>
      </c>
      <c r="I2541" s="1" t="s">
        <v>4386</v>
      </c>
      <c r="J2541" s="1" t="s">
        <v>8143</v>
      </c>
      <c r="K2541" s="1" t="s">
        <v>8145</v>
      </c>
    </row>
    <row r="2542" spans="1:11" ht="21" x14ac:dyDescent="0.25">
      <c r="A2542" s="11" t="str">
        <f>HYPERLINK("https://rth.dk/resources/bsgatlas/details.php?id=BSGatlas-transcript-2541","BSGatlas-transcript-2541")</f>
        <v>BSGatlas-transcript-2541</v>
      </c>
      <c r="B2542" s="1" t="s">
        <v>8146</v>
      </c>
      <c r="C2542" s="3">
        <v>2344755</v>
      </c>
      <c r="D2542" s="3">
        <v>2346131</v>
      </c>
      <c r="E2542" s="1" t="s">
        <v>13</v>
      </c>
      <c r="F2542" s="1">
        <v>1</v>
      </c>
      <c r="G2542" s="1" t="s">
        <v>4372</v>
      </c>
      <c r="H2542" s="1" t="s">
        <v>4372</v>
      </c>
      <c r="I2542" s="1" t="s">
        <v>4386</v>
      </c>
      <c r="J2542" s="1" t="s">
        <v>318</v>
      </c>
      <c r="K2542" s="1" t="s">
        <v>318</v>
      </c>
    </row>
    <row r="2543" spans="1:11" ht="21" x14ac:dyDescent="0.25">
      <c r="A2543" s="11" t="str">
        <f>HYPERLINK("https://rth.dk/resources/bsgatlas/details.php?id=BSGatlas-transcript-2542","BSGatlas-transcript-2542")</f>
        <v>BSGatlas-transcript-2542</v>
      </c>
      <c r="B2543" s="1" t="s">
        <v>8147</v>
      </c>
      <c r="C2543" s="3">
        <v>2347642</v>
      </c>
      <c r="D2543" s="3">
        <v>2349349</v>
      </c>
      <c r="E2543" s="1" t="s">
        <v>13</v>
      </c>
      <c r="F2543" s="1">
        <v>1</v>
      </c>
      <c r="G2543" s="1" t="s">
        <v>4372</v>
      </c>
      <c r="H2543" s="1">
        <v>19</v>
      </c>
      <c r="I2543" s="1" t="s">
        <v>4386</v>
      </c>
      <c r="J2543" s="1" t="s">
        <v>8148</v>
      </c>
      <c r="K2543" s="1" t="s">
        <v>8149</v>
      </c>
    </row>
    <row r="2544" spans="1:11" ht="21" x14ac:dyDescent="0.25">
      <c r="A2544" s="11" t="str">
        <f>HYPERLINK("https://rth.dk/resources/bsgatlas/details.php?id=BSGatlas-transcript-2543","BSGatlas-transcript-2543")</f>
        <v>BSGatlas-transcript-2543</v>
      </c>
      <c r="B2544" s="1" t="s">
        <v>8150</v>
      </c>
      <c r="C2544" s="3">
        <v>2347642</v>
      </c>
      <c r="D2544" s="3">
        <v>2349600</v>
      </c>
      <c r="E2544" s="1" t="s">
        <v>13</v>
      </c>
      <c r="F2544" s="1">
        <v>1</v>
      </c>
      <c r="G2544" s="1">
        <v>73</v>
      </c>
      <c r="H2544" s="1">
        <v>19</v>
      </c>
      <c r="I2544" s="1" t="s">
        <v>4386</v>
      </c>
      <c r="J2544" s="1" t="s">
        <v>8151</v>
      </c>
      <c r="K2544" s="1" t="s">
        <v>8149</v>
      </c>
    </row>
    <row r="2545" spans="1:11" ht="21" x14ac:dyDescent="0.25">
      <c r="A2545" s="11" t="str">
        <f>HYPERLINK("https://rth.dk/resources/bsgatlas/details.php?id=BSGatlas-transcript-2544","BSGatlas-transcript-2544")</f>
        <v>BSGatlas-transcript-2544</v>
      </c>
      <c r="B2545" s="1" t="s">
        <v>8150</v>
      </c>
      <c r="C2545" s="3">
        <v>2347642</v>
      </c>
      <c r="D2545" s="3">
        <v>2350810</v>
      </c>
      <c r="E2545" s="1" t="s">
        <v>13</v>
      </c>
      <c r="F2545" s="1">
        <v>1</v>
      </c>
      <c r="G2545" s="1">
        <v>1283</v>
      </c>
      <c r="H2545" s="1">
        <v>19</v>
      </c>
      <c r="I2545" s="1" t="s">
        <v>4386</v>
      </c>
      <c r="J2545" s="1" t="s">
        <v>8152</v>
      </c>
      <c r="K2545" s="1" t="s">
        <v>8149</v>
      </c>
    </row>
    <row r="2546" spans="1:11" ht="21" x14ac:dyDescent="0.25">
      <c r="A2546" s="11" t="str">
        <f>HYPERLINK("https://rth.dk/resources/bsgatlas/details.php?id=BSGatlas-transcript-2545","BSGatlas-transcript-2545")</f>
        <v>BSGatlas-transcript-2545</v>
      </c>
      <c r="B2546" s="1" t="s">
        <v>2381</v>
      </c>
      <c r="C2546" s="3">
        <v>2349590</v>
      </c>
      <c r="D2546" s="3">
        <v>2349664</v>
      </c>
      <c r="E2546" s="1" t="s">
        <v>9</v>
      </c>
      <c r="F2546" s="1">
        <v>0</v>
      </c>
      <c r="G2546" s="1" t="s">
        <v>4372</v>
      </c>
      <c r="H2546" s="1" t="s">
        <v>4372</v>
      </c>
      <c r="I2546" s="1" t="s">
        <v>4377</v>
      </c>
      <c r="J2546" s="1" t="s">
        <v>8153</v>
      </c>
      <c r="K2546" s="1" t="s">
        <v>8154</v>
      </c>
    </row>
    <row r="2547" spans="1:11" ht="21" x14ac:dyDescent="0.25">
      <c r="A2547" s="11" t="str">
        <f>HYPERLINK("https://rth.dk/resources/bsgatlas/details.php?id=BSGatlas-transcript-2546","BSGatlas-transcript-2546")</f>
        <v>BSGatlas-transcript-2546</v>
      </c>
      <c r="B2547" s="1" t="s">
        <v>2382</v>
      </c>
      <c r="C2547" s="3">
        <v>2353839</v>
      </c>
      <c r="D2547" s="3">
        <v>2354880</v>
      </c>
      <c r="E2547" s="1" t="s">
        <v>13</v>
      </c>
      <c r="F2547" s="1">
        <v>0</v>
      </c>
      <c r="G2547" s="1" t="s">
        <v>4372</v>
      </c>
      <c r="H2547" s="1" t="s">
        <v>4372</v>
      </c>
      <c r="I2547" s="1" t="s">
        <v>4377</v>
      </c>
      <c r="J2547" s="1" t="s">
        <v>8155</v>
      </c>
      <c r="K2547" s="1" t="s">
        <v>318</v>
      </c>
    </row>
    <row r="2548" spans="1:11" ht="21" x14ac:dyDescent="0.25">
      <c r="A2548" s="11" t="str">
        <f>HYPERLINK("https://rth.dk/resources/bsgatlas/details.php?id=BSGatlas-transcript-2547","BSGatlas-transcript-2547")</f>
        <v>BSGatlas-transcript-2547</v>
      </c>
      <c r="B2548" s="1" t="s">
        <v>8156</v>
      </c>
      <c r="C2548" s="3">
        <v>2354918</v>
      </c>
      <c r="D2548" s="3">
        <v>2360512</v>
      </c>
      <c r="E2548" s="1" t="s">
        <v>13</v>
      </c>
      <c r="F2548" s="1">
        <v>0</v>
      </c>
      <c r="G2548" s="1" t="s">
        <v>4372</v>
      </c>
      <c r="H2548" s="1" t="s">
        <v>4372</v>
      </c>
      <c r="I2548" s="1" t="s">
        <v>4397</v>
      </c>
      <c r="J2548" s="1" t="s">
        <v>8157</v>
      </c>
      <c r="K2548" s="1" t="s">
        <v>318</v>
      </c>
    </row>
    <row r="2549" spans="1:11" ht="21" x14ac:dyDescent="0.25">
      <c r="A2549" s="11" t="str">
        <f>HYPERLINK("https://rth.dk/resources/bsgatlas/details.php?id=BSGatlas-transcript-2548","BSGatlas-transcript-2548")</f>
        <v>BSGatlas-transcript-2548</v>
      </c>
      <c r="B2549" s="1" t="s">
        <v>8156</v>
      </c>
      <c r="C2549" s="3">
        <v>2354918</v>
      </c>
      <c r="D2549" s="3">
        <v>2360594</v>
      </c>
      <c r="E2549" s="1" t="s">
        <v>13</v>
      </c>
      <c r="F2549" s="1">
        <v>0</v>
      </c>
      <c r="G2549" s="1" t="s">
        <v>4372</v>
      </c>
      <c r="H2549" s="1" t="s">
        <v>4372</v>
      </c>
      <c r="I2549" s="1" t="s">
        <v>4397</v>
      </c>
      <c r="J2549" s="1" t="s">
        <v>8158</v>
      </c>
      <c r="K2549" s="1" t="s">
        <v>318</v>
      </c>
    </row>
    <row r="2550" spans="1:11" ht="21" x14ac:dyDescent="0.25">
      <c r="A2550" s="11" t="str">
        <f>HYPERLINK("https://rth.dk/resources/bsgatlas/details.php?id=BSGatlas-transcript-2549","BSGatlas-transcript-2549")</f>
        <v>BSGatlas-transcript-2549</v>
      </c>
      <c r="B2550" s="1" t="s">
        <v>2390</v>
      </c>
      <c r="C2550" s="3">
        <v>2360586</v>
      </c>
      <c r="D2550" s="3">
        <v>2361502</v>
      </c>
      <c r="E2550" s="1" t="s">
        <v>9</v>
      </c>
      <c r="F2550" s="1">
        <v>0</v>
      </c>
      <c r="G2550" s="1" t="s">
        <v>4372</v>
      </c>
      <c r="H2550" s="1" t="s">
        <v>4372</v>
      </c>
      <c r="I2550" s="1" t="s">
        <v>4397</v>
      </c>
      <c r="J2550" s="1" t="s">
        <v>8159</v>
      </c>
      <c r="K2550" s="1" t="s">
        <v>318</v>
      </c>
    </row>
    <row r="2551" spans="1:11" ht="21" x14ac:dyDescent="0.25">
      <c r="A2551" s="11" t="str">
        <f>HYPERLINK("https://rth.dk/resources/bsgatlas/details.php?id=BSGatlas-transcript-2550","BSGatlas-transcript-2550")</f>
        <v>BSGatlas-transcript-2550</v>
      </c>
      <c r="B2551" s="1" t="s">
        <v>2391</v>
      </c>
      <c r="C2551" s="3">
        <v>2361504</v>
      </c>
      <c r="D2551" s="3">
        <v>2362360</v>
      </c>
      <c r="E2551" s="1" t="s">
        <v>13</v>
      </c>
      <c r="F2551" s="1">
        <v>0</v>
      </c>
      <c r="G2551" s="1" t="s">
        <v>4372</v>
      </c>
      <c r="H2551" s="1" t="s">
        <v>4372</v>
      </c>
      <c r="I2551" s="1" t="s">
        <v>4373</v>
      </c>
      <c r="J2551" s="1" t="s">
        <v>8160</v>
      </c>
      <c r="K2551" s="1" t="s">
        <v>8161</v>
      </c>
    </row>
    <row r="2552" spans="1:11" ht="21" x14ac:dyDescent="0.25">
      <c r="A2552" s="11" t="str">
        <f>HYPERLINK("https://rth.dk/resources/bsgatlas/details.php?id=BSGatlas-transcript-2551","BSGatlas-transcript-2551")</f>
        <v>BSGatlas-transcript-2551</v>
      </c>
      <c r="B2552" s="1" t="s">
        <v>2391</v>
      </c>
      <c r="C2552" s="3">
        <v>2361544</v>
      </c>
      <c r="D2552" s="3">
        <v>2362360</v>
      </c>
      <c r="E2552" s="1" t="s">
        <v>13</v>
      </c>
      <c r="F2552" s="1">
        <v>0</v>
      </c>
      <c r="G2552" s="1" t="s">
        <v>4372</v>
      </c>
      <c r="H2552" s="1" t="s">
        <v>4372</v>
      </c>
      <c r="I2552" s="1" t="s">
        <v>4373</v>
      </c>
      <c r="J2552" s="1" t="s">
        <v>8160</v>
      </c>
      <c r="K2552" s="1" t="s">
        <v>8162</v>
      </c>
    </row>
    <row r="2553" spans="1:11" ht="21" x14ac:dyDescent="0.25">
      <c r="A2553" s="11" t="str">
        <f>HYPERLINK("https://rth.dk/resources/bsgatlas/details.php?id=BSGatlas-transcript-2552","BSGatlas-transcript-2552")</f>
        <v>BSGatlas-transcript-2552</v>
      </c>
      <c r="B2553" s="1" t="s">
        <v>8163</v>
      </c>
      <c r="C2553" s="3">
        <v>2363033</v>
      </c>
      <c r="D2553" s="3">
        <v>2365160</v>
      </c>
      <c r="E2553" s="1" t="s">
        <v>13</v>
      </c>
      <c r="F2553" s="1">
        <v>1</v>
      </c>
      <c r="G2553" s="1">
        <v>69</v>
      </c>
      <c r="H2553" s="1">
        <v>79</v>
      </c>
      <c r="I2553" s="1" t="s">
        <v>4373</v>
      </c>
      <c r="J2553" s="1" t="s">
        <v>8164</v>
      </c>
      <c r="K2553" s="1" t="s">
        <v>8165</v>
      </c>
    </row>
    <row r="2554" spans="1:11" ht="21" x14ac:dyDescent="0.25">
      <c r="A2554" s="11" t="str">
        <f>HYPERLINK("https://rth.dk/resources/bsgatlas/details.php?id=BSGatlas-transcript-2553","BSGatlas-transcript-2553")</f>
        <v>BSGatlas-transcript-2553</v>
      </c>
      <c r="B2554" s="1" t="s">
        <v>2395</v>
      </c>
      <c r="C2554" s="3">
        <v>2365235</v>
      </c>
      <c r="D2554" s="3">
        <v>2365681</v>
      </c>
      <c r="E2554" s="1" t="s">
        <v>13</v>
      </c>
      <c r="F2554" s="1">
        <v>0</v>
      </c>
      <c r="G2554" s="1" t="s">
        <v>4372</v>
      </c>
      <c r="H2554" s="1" t="s">
        <v>4372</v>
      </c>
      <c r="I2554" s="1" t="s">
        <v>4386</v>
      </c>
      <c r="J2554" s="1" t="s">
        <v>318</v>
      </c>
      <c r="K2554" s="1" t="s">
        <v>318</v>
      </c>
    </row>
    <row r="2555" spans="1:11" ht="21" x14ac:dyDescent="0.25">
      <c r="A2555" s="11" t="str">
        <f>HYPERLINK("https://rth.dk/resources/bsgatlas/details.php?id=BSGatlas-transcript-2554","BSGatlas-transcript-2554")</f>
        <v>BSGatlas-transcript-2554</v>
      </c>
      <c r="B2555" s="1" t="s">
        <v>2396</v>
      </c>
      <c r="C2555" s="3">
        <v>2365736</v>
      </c>
      <c r="D2555" s="3">
        <v>2366319</v>
      </c>
      <c r="E2555" s="1" t="s">
        <v>13</v>
      </c>
      <c r="F2555" s="1">
        <v>0</v>
      </c>
      <c r="G2555" s="1" t="s">
        <v>4372</v>
      </c>
      <c r="H2555" s="1" t="s">
        <v>4372</v>
      </c>
      <c r="I2555" s="1" t="s">
        <v>4386</v>
      </c>
      <c r="J2555" s="1" t="s">
        <v>8166</v>
      </c>
      <c r="K2555" s="1" t="s">
        <v>8167</v>
      </c>
    </row>
    <row r="2556" spans="1:11" ht="21" x14ac:dyDescent="0.25">
      <c r="A2556" s="11" t="str">
        <f>HYPERLINK("https://rth.dk/resources/bsgatlas/details.php?id=BSGatlas-transcript-2555","BSGatlas-transcript-2555")</f>
        <v>BSGatlas-transcript-2555</v>
      </c>
      <c r="B2556" s="1" t="s">
        <v>8168</v>
      </c>
      <c r="C2556" s="3">
        <v>2365736</v>
      </c>
      <c r="D2556" s="3">
        <v>2367686</v>
      </c>
      <c r="E2556" s="1" t="s">
        <v>13</v>
      </c>
      <c r="F2556" s="1">
        <v>1</v>
      </c>
      <c r="G2556" s="1">
        <v>69</v>
      </c>
      <c r="H2556" s="1" t="s">
        <v>4372</v>
      </c>
      <c r="I2556" s="1" t="s">
        <v>4386</v>
      </c>
      <c r="J2556" s="1" t="s">
        <v>8169</v>
      </c>
      <c r="K2556" s="1" t="s">
        <v>8167</v>
      </c>
    </row>
    <row r="2557" spans="1:11" ht="21" x14ac:dyDescent="0.25">
      <c r="A2557" s="11" t="str">
        <f>HYPERLINK("https://rth.dk/resources/bsgatlas/details.php?id=BSGatlas-transcript-2556","BSGatlas-transcript-2556")</f>
        <v>BSGatlas-transcript-2556</v>
      </c>
      <c r="B2557" s="1" t="s">
        <v>8168</v>
      </c>
      <c r="C2557" s="3">
        <v>2365736</v>
      </c>
      <c r="D2557" s="3">
        <v>2367759</v>
      </c>
      <c r="E2557" s="1" t="s">
        <v>13</v>
      </c>
      <c r="F2557" s="1">
        <v>1</v>
      </c>
      <c r="G2557" s="1">
        <v>142</v>
      </c>
      <c r="H2557" s="1" t="s">
        <v>4372</v>
      </c>
      <c r="I2557" s="1" t="s">
        <v>4386</v>
      </c>
      <c r="J2557" s="1" t="s">
        <v>8170</v>
      </c>
      <c r="K2557" s="1" t="s">
        <v>8167</v>
      </c>
    </row>
    <row r="2558" spans="1:11" ht="21" x14ac:dyDescent="0.25">
      <c r="A2558" s="11" t="str">
        <f>HYPERLINK("https://rth.dk/resources/bsgatlas/details.php?id=BSGatlas-transcript-2557","BSGatlas-transcript-2557")</f>
        <v>BSGatlas-transcript-2557</v>
      </c>
      <c r="B2558" s="1" t="s">
        <v>8168</v>
      </c>
      <c r="C2558" s="3">
        <v>2365736</v>
      </c>
      <c r="D2558" s="3">
        <v>2367905</v>
      </c>
      <c r="E2558" s="1" t="s">
        <v>13</v>
      </c>
      <c r="F2558" s="1">
        <v>1</v>
      </c>
      <c r="G2558" s="1">
        <v>288</v>
      </c>
      <c r="H2558" s="1" t="s">
        <v>4372</v>
      </c>
      <c r="I2558" s="1" t="s">
        <v>4386</v>
      </c>
      <c r="J2558" s="1" t="s">
        <v>8171</v>
      </c>
      <c r="K2558" s="1" t="s">
        <v>8167</v>
      </c>
    </row>
    <row r="2559" spans="1:11" ht="21" x14ac:dyDescent="0.25">
      <c r="A2559" s="11" t="str">
        <f>HYPERLINK("https://rth.dk/resources/bsgatlas/details.php?id=BSGatlas-transcript-2558","BSGatlas-transcript-2558")</f>
        <v>BSGatlas-transcript-2558</v>
      </c>
      <c r="B2559" s="1" t="s">
        <v>8172</v>
      </c>
      <c r="C2559" s="3">
        <v>2367924</v>
      </c>
      <c r="D2559" s="3">
        <v>2371497</v>
      </c>
      <c r="E2559" s="1" t="s">
        <v>13</v>
      </c>
      <c r="F2559" s="1">
        <v>1</v>
      </c>
      <c r="G2559" s="1" t="s">
        <v>4372</v>
      </c>
      <c r="H2559" s="1">
        <v>31</v>
      </c>
      <c r="I2559" s="1" t="s">
        <v>4386</v>
      </c>
      <c r="J2559" s="1" t="s">
        <v>318</v>
      </c>
      <c r="K2559" s="1" t="s">
        <v>8173</v>
      </c>
    </row>
    <row r="2560" spans="1:11" ht="21" x14ac:dyDescent="0.25">
      <c r="A2560" s="11" t="str">
        <f>HYPERLINK("https://rth.dk/resources/bsgatlas/details.php?id=BSGatlas-transcript-2559","BSGatlas-transcript-2559")</f>
        <v>BSGatlas-transcript-2559</v>
      </c>
      <c r="B2560" s="1" t="s">
        <v>8174</v>
      </c>
      <c r="C2560" s="3">
        <v>2367924</v>
      </c>
      <c r="D2560" s="3">
        <v>2372311</v>
      </c>
      <c r="E2560" s="1" t="s">
        <v>13</v>
      </c>
      <c r="F2560" s="1">
        <v>1</v>
      </c>
      <c r="G2560" s="1" t="s">
        <v>4372</v>
      </c>
      <c r="H2560" s="1">
        <v>31</v>
      </c>
      <c r="I2560" s="1" t="s">
        <v>4377</v>
      </c>
      <c r="J2560" s="1" t="s">
        <v>8175</v>
      </c>
      <c r="K2560" s="1" t="s">
        <v>8173</v>
      </c>
    </row>
    <row r="2561" spans="1:11" ht="21" x14ac:dyDescent="0.25">
      <c r="A2561" s="11" t="str">
        <f>HYPERLINK("https://rth.dk/resources/bsgatlas/details.php?id=BSGatlas-transcript-2560","BSGatlas-transcript-2560")</f>
        <v>BSGatlas-transcript-2560</v>
      </c>
      <c r="B2561" s="1" t="s">
        <v>8176</v>
      </c>
      <c r="C2561" s="3">
        <v>2367924</v>
      </c>
      <c r="D2561" s="3">
        <v>2373757</v>
      </c>
      <c r="E2561" s="1" t="s">
        <v>13</v>
      </c>
      <c r="F2561" s="1">
        <v>1</v>
      </c>
      <c r="G2561" s="1">
        <v>252</v>
      </c>
      <c r="H2561" s="1">
        <v>31</v>
      </c>
      <c r="I2561" s="1" t="s">
        <v>4377</v>
      </c>
      <c r="J2561" s="1" t="s">
        <v>8177</v>
      </c>
      <c r="K2561" s="1" t="s">
        <v>8173</v>
      </c>
    </row>
    <row r="2562" spans="1:11" ht="21" x14ac:dyDescent="0.25">
      <c r="A2562" s="11" t="str">
        <f>HYPERLINK("https://rth.dk/resources/bsgatlas/details.php?id=BSGatlas-transcript-2561","BSGatlas-transcript-2561")</f>
        <v>BSGatlas-transcript-2561</v>
      </c>
      <c r="B2562" s="1" t="s">
        <v>8178</v>
      </c>
      <c r="C2562" s="3">
        <v>2367924</v>
      </c>
      <c r="D2562" s="3">
        <v>2374175</v>
      </c>
      <c r="E2562" s="1" t="s">
        <v>13</v>
      </c>
      <c r="F2562" s="1">
        <v>1</v>
      </c>
      <c r="G2562" s="1">
        <v>42</v>
      </c>
      <c r="H2562" s="1">
        <v>31</v>
      </c>
      <c r="I2562" s="1" t="s">
        <v>4377</v>
      </c>
      <c r="J2562" s="1" t="s">
        <v>8179</v>
      </c>
      <c r="K2562" s="1" t="s">
        <v>8173</v>
      </c>
    </row>
    <row r="2563" spans="1:11" ht="21" x14ac:dyDescent="0.25">
      <c r="A2563" s="11" t="str">
        <f>HYPERLINK("https://rth.dk/resources/bsgatlas/details.php?id=BSGatlas-transcript-2562","BSGatlas-transcript-2562")</f>
        <v>BSGatlas-transcript-2562</v>
      </c>
      <c r="B2563" s="1" t="s">
        <v>8180</v>
      </c>
      <c r="C2563" s="3">
        <v>2367924</v>
      </c>
      <c r="D2563" s="3">
        <v>2377619</v>
      </c>
      <c r="E2563" s="1" t="s">
        <v>13</v>
      </c>
      <c r="F2563" s="1">
        <v>1</v>
      </c>
      <c r="G2563" s="1">
        <v>204</v>
      </c>
      <c r="H2563" s="1">
        <v>31</v>
      </c>
      <c r="I2563" s="1" t="s">
        <v>4397</v>
      </c>
      <c r="J2563" s="1" t="s">
        <v>8181</v>
      </c>
      <c r="K2563" s="1" t="s">
        <v>8173</v>
      </c>
    </row>
    <row r="2564" spans="1:11" ht="21" x14ac:dyDescent="0.25">
      <c r="A2564" s="11" t="str">
        <f>HYPERLINK("https://rth.dk/resources/bsgatlas/details.php?id=BSGatlas-transcript-2563","BSGatlas-transcript-2563")</f>
        <v>BSGatlas-transcript-2563</v>
      </c>
      <c r="B2564" s="1" t="s">
        <v>8182</v>
      </c>
      <c r="C2564" s="3">
        <v>2369251</v>
      </c>
      <c r="D2564" s="3">
        <v>2377619</v>
      </c>
      <c r="E2564" s="1" t="s">
        <v>13</v>
      </c>
      <c r="F2564" s="1">
        <v>1</v>
      </c>
      <c r="G2564" s="1">
        <v>204</v>
      </c>
      <c r="H2564" s="1" t="s">
        <v>4372</v>
      </c>
      <c r="I2564" s="1" t="s">
        <v>4684</v>
      </c>
      <c r="J2564" s="1" t="s">
        <v>8181</v>
      </c>
      <c r="K2564" s="1" t="s">
        <v>318</v>
      </c>
    </row>
    <row r="2565" spans="1:11" ht="21" x14ac:dyDescent="0.25">
      <c r="A2565" s="11" t="str">
        <f>HYPERLINK("https://rth.dk/resources/bsgatlas/details.php?id=BSGatlas-transcript-2564","BSGatlas-transcript-2564")</f>
        <v>BSGatlas-transcript-2564</v>
      </c>
      <c r="B2565" s="1" t="s">
        <v>8183</v>
      </c>
      <c r="C2565" s="3">
        <v>2371508</v>
      </c>
      <c r="D2565" s="3">
        <v>2377619</v>
      </c>
      <c r="E2565" s="1" t="s">
        <v>13</v>
      </c>
      <c r="F2565" s="1">
        <v>0</v>
      </c>
      <c r="G2565" s="1" t="s">
        <v>4372</v>
      </c>
      <c r="H2565" s="1" t="s">
        <v>4372</v>
      </c>
      <c r="I2565" s="1" t="s">
        <v>4386</v>
      </c>
      <c r="J2565" s="1" t="s">
        <v>8181</v>
      </c>
      <c r="K2565" s="1" t="s">
        <v>318</v>
      </c>
    </row>
    <row r="2566" spans="1:11" ht="21" x14ac:dyDescent="0.25">
      <c r="A2566" s="11" t="str">
        <f>HYPERLINK("https://rth.dk/resources/bsgatlas/details.php?id=BSGatlas-transcript-2565","BSGatlas-transcript-2565")</f>
        <v>BSGatlas-transcript-2565</v>
      </c>
      <c r="B2566" s="1" t="s">
        <v>2403</v>
      </c>
      <c r="C2566" s="3">
        <v>2373487</v>
      </c>
      <c r="D2566" s="3">
        <v>2374175</v>
      </c>
      <c r="E2566" s="1" t="s">
        <v>13</v>
      </c>
      <c r="F2566" s="1">
        <v>0</v>
      </c>
      <c r="G2566" s="1" t="s">
        <v>4372</v>
      </c>
      <c r="H2566" s="1" t="s">
        <v>4372</v>
      </c>
      <c r="I2566" s="1" t="s">
        <v>4377</v>
      </c>
      <c r="J2566" s="1" t="s">
        <v>8179</v>
      </c>
      <c r="K2566" s="1" t="s">
        <v>8184</v>
      </c>
    </row>
    <row r="2567" spans="1:11" ht="21" x14ac:dyDescent="0.25">
      <c r="A2567" s="11" t="str">
        <f>HYPERLINK("https://rth.dk/resources/bsgatlas/details.php?id=BSGatlas-transcript-2566","BSGatlas-transcript-2566")</f>
        <v>BSGatlas-transcript-2566</v>
      </c>
      <c r="B2567" s="1" t="s">
        <v>8185</v>
      </c>
      <c r="C2567" s="3">
        <v>2373487</v>
      </c>
      <c r="D2567" s="3">
        <v>2377619</v>
      </c>
      <c r="E2567" s="1" t="s">
        <v>13</v>
      </c>
      <c r="F2567" s="1">
        <v>0</v>
      </c>
      <c r="G2567" s="1" t="s">
        <v>4372</v>
      </c>
      <c r="H2567" s="1" t="s">
        <v>4372</v>
      </c>
      <c r="I2567" s="1" t="s">
        <v>4377</v>
      </c>
      <c r="J2567" s="1" t="s">
        <v>8181</v>
      </c>
      <c r="K2567" s="1" t="s">
        <v>8184</v>
      </c>
    </row>
    <row r="2568" spans="1:11" ht="21" x14ac:dyDescent="0.25">
      <c r="A2568" s="11" t="str">
        <f>HYPERLINK("https://rth.dk/resources/bsgatlas/details.php?id=BSGatlas-transcript-2567","BSGatlas-transcript-2567")</f>
        <v>BSGatlas-transcript-2567</v>
      </c>
      <c r="B2568" s="1" t="s">
        <v>8186</v>
      </c>
      <c r="C2568" s="3">
        <v>2373955</v>
      </c>
      <c r="D2568" s="3">
        <v>2377619</v>
      </c>
      <c r="E2568" s="1" t="s">
        <v>13</v>
      </c>
      <c r="F2568" s="1">
        <v>0</v>
      </c>
      <c r="G2568" s="1" t="s">
        <v>4372</v>
      </c>
      <c r="H2568" s="1" t="s">
        <v>4372</v>
      </c>
      <c r="I2568" s="1" t="s">
        <v>4377</v>
      </c>
      <c r="J2568" s="1" t="s">
        <v>8181</v>
      </c>
      <c r="K2568" s="1" t="s">
        <v>8187</v>
      </c>
    </row>
    <row r="2569" spans="1:11" ht="21" x14ac:dyDescent="0.25">
      <c r="A2569" s="11" t="str">
        <f>HYPERLINK("https://rth.dk/resources/bsgatlas/details.php?id=BSGatlas-transcript-2568","BSGatlas-transcript-2568")</f>
        <v>BSGatlas-transcript-2568</v>
      </c>
      <c r="B2569" s="1" t="s">
        <v>2407</v>
      </c>
      <c r="C2569" s="3">
        <v>2377479</v>
      </c>
      <c r="D2569" s="3">
        <v>2377619</v>
      </c>
      <c r="E2569" s="1" t="s">
        <v>13</v>
      </c>
      <c r="F2569" s="1">
        <v>0</v>
      </c>
      <c r="G2569" s="1" t="s">
        <v>4372</v>
      </c>
      <c r="H2569" s="1" t="s">
        <v>4372</v>
      </c>
      <c r="I2569" s="1" t="s">
        <v>4377</v>
      </c>
      <c r="J2569" s="1" t="s">
        <v>318</v>
      </c>
      <c r="K2569" s="1" t="s">
        <v>8188</v>
      </c>
    </row>
    <row r="2570" spans="1:11" ht="21" x14ac:dyDescent="0.25">
      <c r="A2570" s="11" t="str">
        <f>HYPERLINK("https://rth.dk/resources/bsgatlas/details.php?id=BSGatlas-transcript-2569","BSGatlas-transcript-2569")</f>
        <v>BSGatlas-transcript-2569</v>
      </c>
      <c r="B2570" s="1" t="s">
        <v>8189</v>
      </c>
      <c r="C2570" s="3">
        <v>2377632</v>
      </c>
      <c r="D2570" s="3">
        <v>2380324</v>
      </c>
      <c r="E2570" s="1" t="s">
        <v>13</v>
      </c>
      <c r="F2570" s="1">
        <v>0</v>
      </c>
      <c r="G2570" s="1" t="s">
        <v>4372</v>
      </c>
      <c r="H2570" s="1" t="s">
        <v>4372</v>
      </c>
      <c r="I2570" s="1" t="s">
        <v>4386</v>
      </c>
      <c r="J2570" s="1" t="s">
        <v>8190</v>
      </c>
      <c r="K2570" s="1" t="s">
        <v>318</v>
      </c>
    </row>
    <row r="2571" spans="1:11" ht="21" x14ac:dyDescent="0.25">
      <c r="A2571" s="11" t="str">
        <f>HYPERLINK("https://rth.dk/resources/bsgatlas/details.php?id=BSGatlas-transcript-2570","BSGatlas-transcript-2570")</f>
        <v>BSGatlas-transcript-2570</v>
      </c>
      <c r="B2571" s="1" t="s">
        <v>8191</v>
      </c>
      <c r="C2571" s="3">
        <v>2377632</v>
      </c>
      <c r="D2571" s="3">
        <v>2381160</v>
      </c>
      <c r="E2571" s="1" t="s">
        <v>13</v>
      </c>
      <c r="F2571" s="1">
        <v>1</v>
      </c>
      <c r="G2571" s="1">
        <v>44</v>
      </c>
      <c r="H2571" s="1" t="s">
        <v>4372</v>
      </c>
      <c r="I2571" s="1" t="s">
        <v>4386</v>
      </c>
      <c r="J2571" s="1" t="s">
        <v>8192</v>
      </c>
      <c r="K2571" s="1" t="s">
        <v>318</v>
      </c>
    </row>
    <row r="2572" spans="1:11" ht="21" x14ac:dyDescent="0.25">
      <c r="A2572" s="11" t="str">
        <f>HYPERLINK("https://rth.dk/resources/bsgatlas/details.php?id=BSGatlas-transcript-2571","BSGatlas-transcript-2571")</f>
        <v>BSGatlas-transcript-2571</v>
      </c>
      <c r="B2572" s="1" t="s">
        <v>2412</v>
      </c>
      <c r="C2572" s="3">
        <v>2381213</v>
      </c>
      <c r="D2572" s="3">
        <v>2381853</v>
      </c>
      <c r="E2572" s="1" t="s">
        <v>13</v>
      </c>
      <c r="F2572" s="1">
        <v>0</v>
      </c>
      <c r="G2572" s="1" t="s">
        <v>4372</v>
      </c>
      <c r="H2572" s="1" t="s">
        <v>4372</v>
      </c>
      <c r="I2572" s="1" t="s">
        <v>4386</v>
      </c>
      <c r="J2572" s="1" t="s">
        <v>8193</v>
      </c>
      <c r="K2572" s="1" t="s">
        <v>8194</v>
      </c>
    </row>
    <row r="2573" spans="1:11" ht="21" x14ac:dyDescent="0.25">
      <c r="A2573" s="11" t="str">
        <f>HYPERLINK("https://rth.dk/resources/bsgatlas/details.php?id=BSGatlas-transcript-2572","BSGatlas-transcript-2572")</f>
        <v>BSGatlas-transcript-2572</v>
      </c>
      <c r="B2573" s="1" t="s">
        <v>8195</v>
      </c>
      <c r="C2573" s="3">
        <v>2381213</v>
      </c>
      <c r="D2573" s="3">
        <v>2384456</v>
      </c>
      <c r="E2573" s="1" t="s">
        <v>13</v>
      </c>
      <c r="F2573" s="1">
        <v>1</v>
      </c>
      <c r="G2573" s="1">
        <v>87</v>
      </c>
      <c r="H2573" s="1">
        <v>142</v>
      </c>
      <c r="I2573" s="1" t="s">
        <v>4386</v>
      </c>
      <c r="J2573" s="1" t="s">
        <v>8196</v>
      </c>
      <c r="K2573" s="1" t="s">
        <v>8194</v>
      </c>
    </row>
    <row r="2574" spans="1:11" ht="21" x14ac:dyDescent="0.25">
      <c r="A2574" s="11" t="str">
        <f>HYPERLINK("https://rth.dk/resources/bsgatlas/details.php?id=BSGatlas-transcript-2573","BSGatlas-transcript-2573")</f>
        <v>BSGatlas-transcript-2573</v>
      </c>
      <c r="B2574" s="1" t="s">
        <v>8197</v>
      </c>
      <c r="C2574" s="3">
        <v>2384472</v>
      </c>
      <c r="D2574" s="3">
        <v>2385394</v>
      </c>
      <c r="E2574" s="1" t="s">
        <v>13</v>
      </c>
      <c r="F2574" s="1">
        <v>1</v>
      </c>
      <c r="G2574" s="1">
        <v>40</v>
      </c>
      <c r="H2574" s="1">
        <v>63</v>
      </c>
      <c r="I2574" s="1" t="s">
        <v>4397</v>
      </c>
      <c r="J2574" s="1" t="s">
        <v>8198</v>
      </c>
      <c r="K2574" s="1" t="s">
        <v>8199</v>
      </c>
    </row>
    <row r="2575" spans="1:11" ht="21" x14ac:dyDescent="0.25">
      <c r="A2575" s="11" t="str">
        <f>HYPERLINK("https://rth.dk/resources/bsgatlas/details.php?id=BSGatlas-transcript-2574","BSGatlas-transcript-2574")</f>
        <v>BSGatlas-transcript-2574</v>
      </c>
      <c r="B2575" s="1" t="s">
        <v>8197</v>
      </c>
      <c r="C2575" s="3">
        <v>2384534</v>
      </c>
      <c r="D2575" s="3">
        <v>2385394</v>
      </c>
      <c r="E2575" s="1" t="s">
        <v>13</v>
      </c>
      <c r="F2575" s="1">
        <v>1</v>
      </c>
      <c r="G2575" s="1">
        <v>40</v>
      </c>
      <c r="H2575" s="1" t="s">
        <v>4372</v>
      </c>
      <c r="I2575" s="1" t="s">
        <v>4397</v>
      </c>
      <c r="J2575" s="1" t="s">
        <v>8198</v>
      </c>
      <c r="K2575" s="1" t="s">
        <v>8200</v>
      </c>
    </row>
    <row r="2576" spans="1:11" ht="21" x14ac:dyDescent="0.25">
      <c r="A2576" s="11" t="str">
        <f>HYPERLINK("https://rth.dk/resources/bsgatlas/details.php?id=BSGatlas-transcript-2575","BSGatlas-transcript-2575")</f>
        <v>BSGatlas-transcript-2575</v>
      </c>
      <c r="B2576" s="1" t="s">
        <v>2418</v>
      </c>
      <c r="C2576" s="3">
        <v>2385452</v>
      </c>
      <c r="D2576" s="3">
        <v>2385842</v>
      </c>
      <c r="E2576" s="1" t="s">
        <v>13</v>
      </c>
      <c r="F2576" s="1">
        <v>0</v>
      </c>
      <c r="G2576" s="1" t="s">
        <v>4372</v>
      </c>
      <c r="H2576" s="1" t="s">
        <v>4372</v>
      </c>
      <c r="I2576" s="1" t="s">
        <v>4373</v>
      </c>
      <c r="J2576" s="1" t="s">
        <v>8201</v>
      </c>
      <c r="K2576" s="1" t="s">
        <v>8202</v>
      </c>
    </row>
    <row r="2577" spans="1:11" ht="21" x14ac:dyDescent="0.25">
      <c r="A2577" s="11" t="str">
        <f>HYPERLINK("https://rth.dk/resources/bsgatlas/details.php?id=BSGatlas-transcript-2576","BSGatlas-transcript-2576")</f>
        <v>BSGatlas-transcript-2576</v>
      </c>
      <c r="B2577" s="1" t="s">
        <v>2418</v>
      </c>
      <c r="C2577" s="3">
        <v>2385452</v>
      </c>
      <c r="D2577" s="3">
        <v>2386002</v>
      </c>
      <c r="E2577" s="1" t="s">
        <v>13</v>
      </c>
      <c r="F2577" s="1">
        <v>0</v>
      </c>
      <c r="G2577" s="1" t="s">
        <v>4372</v>
      </c>
      <c r="H2577" s="1" t="s">
        <v>4372</v>
      </c>
      <c r="I2577" s="1" t="s">
        <v>4373</v>
      </c>
      <c r="J2577" s="1" t="s">
        <v>8203</v>
      </c>
      <c r="K2577" s="1" t="s">
        <v>8202</v>
      </c>
    </row>
    <row r="2578" spans="1:11" ht="21" x14ac:dyDescent="0.25">
      <c r="A2578" s="11" t="str">
        <f>HYPERLINK("https://rth.dk/resources/bsgatlas/details.php?id=BSGatlas-transcript-2577","BSGatlas-transcript-2577")</f>
        <v>BSGatlas-transcript-2577</v>
      </c>
      <c r="B2578" s="1" t="s">
        <v>2418</v>
      </c>
      <c r="C2578" s="3">
        <v>2385452</v>
      </c>
      <c r="D2578" s="3">
        <v>2386034</v>
      </c>
      <c r="E2578" s="1" t="s">
        <v>13</v>
      </c>
      <c r="F2578" s="1">
        <v>0</v>
      </c>
      <c r="G2578" s="1" t="s">
        <v>4372</v>
      </c>
      <c r="H2578" s="1" t="s">
        <v>4372</v>
      </c>
      <c r="I2578" s="1" t="s">
        <v>4373</v>
      </c>
      <c r="J2578" s="1" t="s">
        <v>8204</v>
      </c>
      <c r="K2578" s="1" t="s">
        <v>8202</v>
      </c>
    </row>
    <row r="2579" spans="1:11" ht="21" x14ac:dyDescent="0.25">
      <c r="A2579" s="11" t="str">
        <f>HYPERLINK("https://rth.dk/resources/bsgatlas/details.php?id=BSGatlas-transcript-2578","BSGatlas-transcript-2578")</f>
        <v>BSGatlas-transcript-2578</v>
      </c>
      <c r="B2579" s="1" t="s">
        <v>2418</v>
      </c>
      <c r="C2579" s="3">
        <v>2385502</v>
      </c>
      <c r="D2579" s="3">
        <v>2385842</v>
      </c>
      <c r="E2579" s="1" t="s">
        <v>13</v>
      </c>
      <c r="F2579" s="1">
        <v>0</v>
      </c>
      <c r="G2579" s="1" t="s">
        <v>4372</v>
      </c>
      <c r="H2579" s="1" t="s">
        <v>4372</v>
      </c>
      <c r="I2579" s="1" t="s">
        <v>4373</v>
      </c>
      <c r="J2579" s="1" t="s">
        <v>8201</v>
      </c>
      <c r="K2579" s="1" t="s">
        <v>8205</v>
      </c>
    </row>
    <row r="2580" spans="1:11" ht="21" x14ac:dyDescent="0.25">
      <c r="A2580" s="11" t="str">
        <f>HYPERLINK("https://rth.dk/resources/bsgatlas/details.php?id=BSGatlas-transcript-2579","BSGatlas-transcript-2579")</f>
        <v>BSGatlas-transcript-2579</v>
      </c>
      <c r="B2580" s="1" t="s">
        <v>2418</v>
      </c>
      <c r="C2580" s="3">
        <v>2385502</v>
      </c>
      <c r="D2580" s="3">
        <v>2386002</v>
      </c>
      <c r="E2580" s="1" t="s">
        <v>13</v>
      </c>
      <c r="F2580" s="1">
        <v>0</v>
      </c>
      <c r="G2580" s="1" t="s">
        <v>4372</v>
      </c>
      <c r="H2580" s="1" t="s">
        <v>4372</v>
      </c>
      <c r="I2580" s="1" t="s">
        <v>4373</v>
      </c>
      <c r="J2580" s="1" t="s">
        <v>8203</v>
      </c>
      <c r="K2580" s="1" t="s">
        <v>8205</v>
      </c>
    </row>
    <row r="2581" spans="1:11" ht="21" x14ac:dyDescent="0.25">
      <c r="A2581" s="11" t="str">
        <f>HYPERLINK("https://rth.dk/resources/bsgatlas/details.php?id=BSGatlas-transcript-2580","BSGatlas-transcript-2580")</f>
        <v>BSGatlas-transcript-2580</v>
      </c>
      <c r="B2581" s="1" t="s">
        <v>2418</v>
      </c>
      <c r="C2581" s="3">
        <v>2385502</v>
      </c>
      <c r="D2581" s="3">
        <v>2386034</v>
      </c>
      <c r="E2581" s="1" t="s">
        <v>13</v>
      </c>
      <c r="F2581" s="1">
        <v>0</v>
      </c>
      <c r="G2581" s="1" t="s">
        <v>4372</v>
      </c>
      <c r="H2581" s="1" t="s">
        <v>4372</v>
      </c>
      <c r="I2581" s="1" t="s">
        <v>4373</v>
      </c>
      <c r="J2581" s="1" t="s">
        <v>8204</v>
      </c>
      <c r="K2581" s="1" t="s">
        <v>8205</v>
      </c>
    </row>
    <row r="2582" spans="1:11" ht="21" x14ac:dyDescent="0.25">
      <c r="A2582" s="11" t="str">
        <f>HYPERLINK("https://rth.dk/resources/bsgatlas/details.php?id=BSGatlas-transcript-2581","BSGatlas-transcript-2581")</f>
        <v>BSGatlas-transcript-2581</v>
      </c>
      <c r="B2582" s="1" t="s">
        <v>2419</v>
      </c>
      <c r="C2582" s="3">
        <v>2385945</v>
      </c>
      <c r="D2582" s="3">
        <v>2387738</v>
      </c>
      <c r="E2582" s="1" t="s">
        <v>13</v>
      </c>
      <c r="F2582" s="1">
        <v>0</v>
      </c>
      <c r="G2582" s="1" t="s">
        <v>4372</v>
      </c>
      <c r="H2582" s="1" t="s">
        <v>4372</v>
      </c>
      <c r="I2582" s="1" t="s">
        <v>4373</v>
      </c>
      <c r="J2582" s="1" t="s">
        <v>8206</v>
      </c>
      <c r="K2582" s="1" t="s">
        <v>8207</v>
      </c>
    </row>
    <row r="2583" spans="1:11" ht="21" x14ac:dyDescent="0.25">
      <c r="A2583" s="11" t="str">
        <f>HYPERLINK("https://rth.dk/resources/bsgatlas/details.php?id=BSGatlas-transcript-2582","BSGatlas-transcript-2582")</f>
        <v>BSGatlas-transcript-2582</v>
      </c>
      <c r="B2583" s="1" t="s">
        <v>2419</v>
      </c>
      <c r="C2583" s="3">
        <v>2385945</v>
      </c>
      <c r="D2583" s="3">
        <v>2387825</v>
      </c>
      <c r="E2583" s="1" t="s">
        <v>13</v>
      </c>
      <c r="F2583" s="1">
        <v>0</v>
      </c>
      <c r="G2583" s="1" t="s">
        <v>4372</v>
      </c>
      <c r="H2583" s="1" t="s">
        <v>4372</v>
      </c>
      <c r="I2583" s="1" t="s">
        <v>4373</v>
      </c>
      <c r="J2583" s="1" t="s">
        <v>8208</v>
      </c>
      <c r="K2583" s="1" t="s">
        <v>8207</v>
      </c>
    </row>
    <row r="2584" spans="1:11" ht="21" x14ac:dyDescent="0.25">
      <c r="A2584" s="11" t="str">
        <f>HYPERLINK("https://rth.dk/resources/bsgatlas/details.php?id=BSGatlas-transcript-2583","BSGatlas-transcript-2583")</f>
        <v>BSGatlas-transcript-2583</v>
      </c>
      <c r="B2584" s="1" t="s">
        <v>2419</v>
      </c>
      <c r="C2584" s="3">
        <v>2386148</v>
      </c>
      <c r="D2584" s="3">
        <v>2387738</v>
      </c>
      <c r="E2584" s="1" t="s">
        <v>13</v>
      </c>
      <c r="F2584" s="1">
        <v>0</v>
      </c>
      <c r="G2584" s="1" t="s">
        <v>4372</v>
      </c>
      <c r="H2584" s="1" t="s">
        <v>4372</v>
      </c>
      <c r="I2584" s="1" t="s">
        <v>4373</v>
      </c>
      <c r="J2584" s="1" t="s">
        <v>8206</v>
      </c>
      <c r="K2584" s="1" t="s">
        <v>8209</v>
      </c>
    </row>
    <row r="2585" spans="1:11" ht="21" x14ac:dyDescent="0.25">
      <c r="A2585" s="11" t="str">
        <f>HYPERLINK("https://rth.dk/resources/bsgatlas/details.php?id=BSGatlas-transcript-2584","BSGatlas-transcript-2584")</f>
        <v>BSGatlas-transcript-2584</v>
      </c>
      <c r="B2585" s="1" t="s">
        <v>2419</v>
      </c>
      <c r="C2585" s="3">
        <v>2386148</v>
      </c>
      <c r="D2585" s="3">
        <v>2387825</v>
      </c>
      <c r="E2585" s="1" t="s">
        <v>13</v>
      </c>
      <c r="F2585" s="1">
        <v>0</v>
      </c>
      <c r="G2585" s="1" t="s">
        <v>4372</v>
      </c>
      <c r="H2585" s="1" t="s">
        <v>4372</v>
      </c>
      <c r="I2585" s="1" t="s">
        <v>4373</v>
      </c>
      <c r="J2585" s="1" t="s">
        <v>8208</v>
      </c>
      <c r="K2585" s="1" t="s">
        <v>8209</v>
      </c>
    </row>
    <row r="2586" spans="1:11" ht="21" x14ac:dyDescent="0.25">
      <c r="A2586" s="11" t="str">
        <f>HYPERLINK("https://rth.dk/resources/bsgatlas/details.php?id=BSGatlas-transcript-2585","BSGatlas-transcript-2585")</f>
        <v>BSGatlas-transcript-2585</v>
      </c>
      <c r="B2586" s="1" t="s">
        <v>8210</v>
      </c>
      <c r="C2586" s="3">
        <v>2387854</v>
      </c>
      <c r="D2586" s="3">
        <v>2388870</v>
      </c>
      <c r="E2586" s="1" t="s">
        <v>13</v>
      </c>
      <c r="F2586" s="1">
        <v>1</v>
      </c>
      <c r="G2586" s="1">
        <v>58</v>
      </c>
      <c r="H2586" s="1" t="s">
        <v>4372</v>
      </c>
      <c r="I2586" s="1" t="s">
        <v>4386</v>
      </c>
      <c r="J2586" s="1" t="s">
        <v>8211</v>
      </c>
      <c r="K2586" s="1" t="s">
        <v>8212</v>
      </c>
    </row>
    <row r="2587" spans="1:11" ht="21" x14ac:dyDescent="0.25">
      <c r="A2587" s="11" t="str">
        <f>HYPERLINK("https://rth.dk/resources/bsgatlas/details.php?id=BSGatlas-transcript-2586","BSGatlas-transcript-2586")</f>
        <v>BSGatlas-transcript-2586</v>
      </c>
      <c r="B2587" s="1" t="s">
        <v>2422</v>
      </c>
      <c r="C2587" s="3">
        <v>2388935</v>
      </c>
      <c r="D2587" s="3">
        <v>2389134</v>
      </c>
      <c r="E2587" s="1" t="s">
        <v>13</v>
      </c>
      <c r="F2587" s="1">
        <v>0</v>
      </c>
      <c r="G2587" s="1" t="s">
        <v>4372</v>
      </c>
      <c r="H2587" s="1" t="s">
        <v>4372</v>
      </c>
      <c r="I2587" s="1" t="s">
        <v>4377</v>
      </c>
      <c r="J2587" s="1" t="s">
        <v>8213</v>
      </c>
      <c r="K2587" s="1" t="s">
        <v>8214</v>
      </c>
    </row>
    <row r="2588" spans="1:11" ht="21" x14ac:dyDescent="0.25">
      <c r="A2588" s="11" t="str">
        <f>HYPERLINK("https://rth.dk/resources/bsgatlas/details.php?id=BSGatlas-transcript-2587","BSGatlas-transcript-2587")</f>
        <v>BSGatlas-transcript-2587</v>
      </c>
      <c r="B2588" s="1" t="s">
        <v>8215</v>
      </c>
      <c r="C2588" s="3">
        <v>2389151</v>
      </c>
      <c r="D2588" s="3">
        <v>2391641</v>
      </c>
      <c r="E2588" s="1" t="s">
        <v>13</v>
      </c>
      <c r="F2588" s="1">
        <v>1</v>
      </c>
      <c r="G2588" s="1">
        <v>126</v>
      </c>
      <c r="H2588" s="1" t="s">
        <v>4372</v>
      </c>
      <c r="I2588" s="1" t="s">
        <v>4386</v>
      </c>
      <c r="J2588" s="1" t="s">
        <v>8216</v>
      </c>
      <c r="K2588" s="1" t="s">
        <v>318</v>
      </c>
    </row>
    <row r="2589" spans="1:11" ht="21" x14ac:dyDescent="0.25">
      <c r="A2589" s="11" t="str">
        <f>HYPERLINK("https://rth.dk/resources/bsgatlas/details.php?id=BSGatlas-transcript-2588","BSGatlas-transcript-2588")</f>
        <v>BSGatlas-transcript-2588</v>
      </c>
      <c r="B2589" s="1" t="s">
        <v>8217</v>
      </c>
      <c r="C2589" s="3">
        <v>2389151</v>
      </c>
      <c r="D2589" s="3">
        <v>2393380</v>
      </c>
      <c r="E2589" s="1" t="s">
        <v>13</v>
      </c>
      <c r="F2589" s="1">
        <v>2</v>
      </c>
      <c r="G2589" s="1">
        <v>31</v>
      </c>
      <c r="H2589" s="1" t="s">
        <v>4372</v>
      </c>
      <c r="I2589" s="1" t="s">
        <v>4386</v>
      </c>
      <c r="J2589" s="1" t="s">
        <v>8218</v>
      </c>
      <c r="K2589" s="1" t="s">
        <v>318</v>
      </c>
    </row>
    <row r="2590" spans="1:11" ht="21" x14ac:dyDescent="0.25">
      <c r="A2590" s="11" t="str">
        <f>HYPERLINK("https://rth.dk/resources/bsgatlas/details.php?id=BSGatlas-transcript-2589","BSGatlas-transcript-2589")</f>
        <v>BSGatlas-transcript-2589</v>
      </c>
      <c r="B2590" s="1" t="s">
        <v>8219</v>
      </c>
      <c r="C2590" s="3">
        <v>2391593</v>
      </c>
      <c r="D2590" s="3">
        <v>2393380</v>
      </c>
      <c r="E2590" s="1" t="s">
        <v>13</v>
      </c>
      <c r="F2590" s="1">
        <v>0</v>
      </c>
      <c r="G2590" s="1" t="s">
        <v>4372</v>
      </c>
      <c r="H2590" s="1" t="s">
        <v>4372</v>
      </c>
      <c r="I2590" s="1" t="s">
        <v>4547</v>
      </c>
      <c r="J2590" s="1" t="s">
        <v>8218</v>
      </c>
      <c r="K2590" s="1" t="s">
        <v>8220</v>
      </c>
    </row>
    <row r="2591" spans="1:11" ht="21" x14ac:dyDescent="0.25">
      <c r="A2591" s="11" t="str">
        <f>HYPERLINK("https://rth.dk/resources/bsgatlas/details.php?id=BSGatlas-transcript-2590","BSGatlas-transcript-2590")</f>
        <v>BSGatlas-transcript-2590</v>
      </c>
      <c r="B2591" s="1" t="s">
        <v>8221</v>
      </c>
      <c r="C2591" s="3">
        <v>2391861</v>
      </c>
      <c r="D2591" s="3">
        <v>2393380</v>
      </c>
      <c r="E2591" s="1" t="s">
        <v>13</v>
      </c>
      <c r="F2591" s="1">
        <v>0</v>
      </c>
      <c r="G2591" s="1" t="s">
        <v>4372</v>
      </c>
      <c r="H2591" s="1" t="s">
        <v>4372</v>
      </c>
      <c r="I2591" s="1" t="s">
        <v>7186</v>
      </c>
      <c r="J2591" s="1" t="s">
        <v>8218</v>
      </c>
      <c r="K2591" s="1" t="s">
        <v>318</v>
      </c>
    </row>
    <row r="2592" spans="1:11" ht="21" x14ac:dyDescent="0.25">
      <c r="A2592" s="11" t="str">
        <f>HYPERLINK("https://rth.dk/resources/bsgatlas/details.php?id=BSGatlas-transcript-2591","BSGatlas-transcript-2591")</f>
        <v>BSGatlas-transcript-2591</v>
      </c>
      <c r="B2592" s="1" t="s">
        <v>2428</v>
      </c>
      <c r="C2592" s="3">
        <v>2393240</v>
      </c>
      <c r="D2592" s="3">
        <v>2393559</v>
      </c>
      <c r="E2592" s="1" t="s">
        <v>9</v>
      </c>
      <c r="F2592" s="1">
        <v>0</v>
      </c>
      <c r="G2592" s="1" t="s">
        <v>4372</v>
      </c>
      <c r="H2592" s="1" t="s">
        <v>4372</v>
      </c>
      <c r="I2592" s="1" t="s">
        <v>4397</v>
      </c>
      <c r="J2592" s="1" t="s">
        <v>8222</v>
      </c>
      <c r="K2592" s="1" t="s">
        <v>8223</v>
      </c>
    </row>
    <row r="2593" spans="1:11" ht="21" x14ac:dyDescent="0.25">
      <c r="A2593" s="11" t="str">
        <f>HYPERLINK("https://rth.dk/resources/bsgatlas/details.php?id=BSGatlas-transcript-2592","BSGatlas-transcript-2592")</f>
        <v>BSGatlas-transcript-2592</v>
      </c>
      <c r="B2593" s="1" t="s">
        <v>2428</v>
      </c>
      <c r="C2593" s="3">
        <v>2393240</v>
      </c>
      <c r="D2593" s="3">
        <v>2395108</v>
      </c>
      <c r="E2593" s="1" t="s">
        <v>9</v>
      </c>
      <c r="F2593" s="1">
        <v>0</v>
      </c>
      <c r="G2593" s="1" t="s">
        <v>4372</v>
      </c>
      <c r="H2593" s="1" t="s">
        <v>4372</v>
      </c>
      <c r="I2593" s="1" t="s">
        <v>4397</v>
      </c>
      <c r="J2593" s="1" t="s">
        <v>8222</v>
      </c>
      <c r="K2593" s="1" t="s">
        <v>8224</v>
      </c>
    </row>
    <row r="2594" spans="1:11" ht="21" x14ac:dyDescent="0.25">
      <c r="A2594" s="11" t="str">
        <f>HYPERLINK("https://rth.dk/resources/bsgatlas/details.php?id=BSGatlas-transcript-2593","BSGatlas-transcript-2593")</f>
        <v>BSGatlas-transcript-2593</v>
      </c>
      <c r="B2594" s="1" t="s">
        <v>8225</v>
      </c>
      <c r="C2594" s="3">
        <v>2393602</v>
      </c>
      <c r="D2594" s="3">
        <v>2395952</v>
      </c>
      <c r="E2594" s="1" t="s">
        <v>13</v>
      </c>
      <c r="F2594" s="1">
        <v>0</v>
      </c>
      <c r="G2594" s="1" t="s">
        <v>4372</v>
      </c>
      <c r="H2594" s="1" t="s">
        <v>4372</v>
      </c>
      <c r="I2594" s="1" t="s">
        <v>4386</v>
      </c>
      <c r="J2594" s="1" t="s">
        <v>8226</v>
      </c>
      <c r="K2594" s="1" t="s">
        <v>8227</v>
      </c>
    </row>
    <row r="2595" spans="1:11" ht="21" x14ac:dyDescent="0.25">
      <c r="A2595" s="11" t="str">
        <f>HYPERLINK("https://rth.dk/resources/bsgatlas/details.php?id=BSGatlas-transcript-2594","BSGatlas-transcript-2594")</f>
        <v>BSGatlas-transcript-2594</v>
      </c>
      <c r="B2595" s="1" t="s">
        <v>8228</v>
      </c>
      <c r="C2595" s="3">
        <v>2393602</v>
      </c>
      <c r="D2595" s="3">
        <v>2396719</v>
      </c>
      <c r="E2595" s="1" t="s">
        <v>13</v>
      </c>
      <c r="F2595" s="1">
        <v>1</v>
      </c>
      <c r="G2595" s="1" t="s">
        <v>4372</v>
      </c>
      <c r="H2595" s="1" t="s">
        <v>4372</v>
      </c>
      <c r="I2595" s="1" t="s">
        <v>4386</v>
      </c>
      <c r="J2595" s="1" t="s">
        <v>318</v>
      </c>
      <c r="K2595" s="1" t="s">
        <v>8227</v>
      </c>
    </row>
    <row r="2596" spans="1:11" ht="21" x14ac:dyDescent="0.25">
      <c r="A2596" s="11" t="str">
        <f>HYPERLINK("https://rth.dk/resources/bsgatlas/details.php?id=BSGatlas-transcript-2595","BSGatlas-transcript-2595")</f>
        <v>BSGatlas-transcript-2595</v>
      </c>
      <c r="B2596" s="1" t="s">
        <v>8229</v>
      </c>
      <c r="C2596" s="3">
        <v>2393602</v>
      </c>
      <c r="D2596" s="3">
        <v>2397003</v>
      </c>
      <c r="E2596" s="1" t="s">
        <v>13</v>
      </c>
      <c r="F2596" s="1">
        <v>2</v>
      </c>
      <c r="G2596" s="1">
        <v>30</v>
      </c>
      <c r="H2596" s="1" t="s">
        <v>4372</v>
      </c>
      <c r="I2596" s="1" t="s">
        <v>4377</v>
      </c>
      <c r="J2596" s="1" t="s">
        <v>8230</v>
      </c>
      <c r="K2596" s="1" t="s">
        <v>8227</v>
      </c>
    </row>
    <row r="2597" spans="1:11" ht="21" x14ac:dyDescent="0.25">
      <c r="A2597" s="11" t="str">
        <f>HYPERLINK("https://rth.dk/resources/bsgatlas/details.php?id=BSGatlas-transcript-2596","BSGatlas-transcript-2596")</f>
        <v>BSGatlas-transcript-2596</v>
      </c>
      <c r="B2597" s="1" t="s">
        <v>8231</v>
      </c>
      <c r="C2597" s="3">
        <v>2393602</v>
      </c>
      <c r="D2597" s="3">
        <v>2397715</v>
      </c>
      <c r="E2597" s="1" t="s">
        <v>13</v>
      </c>
      <c r="F2597" s="1">
        <v>3</v>
      </c>
      <c r="G2597" s="1">
        <v>44</v>
      </c>
      <c r="H2597" s="1" t="s">
        <v>4372</v>
      </c>
      <c r="I2597" s="1" t="s">
        <v>4386</v>
      </c>
      <c r="J2597" s="1" t="s">
        <v>8232</v>
      </c>
      <c r="K2597" s="1" t="s">
        <v>8227</v>
      </c>
    </row>
    <row r="2598" spans="1:11" ht="21" x14ac:dyDescent="0.25">
      <c r="A2598" s="11" t="str">
        <f>HYPERLINK("https://rth.dk/resources/bsgatlas/details.php?id=BSGatlas-transcript-2597","BSGatlas-transcript-2597")</f>
        <v>BSGatlas-transcript-2597</v>
      </c>
      <c r="B2598" s="1" t="s">
        <v>2430</v>
      </c>
      <c r="C2598" s="3">
        <v>2394504</v>
      </c>
      <c r="D2598" s="3">
        <v>2395952</v>
      </c>
      <c r="E2598" s="1" t="s">
        <v>13</v>
      </c>
      <c r="F2598" s="1">
        <v>0</v>
      </c>
      <c r="G2598" s="1" t="s">
        <v>4372</v>
      </c>
      <c r="H2598" s="1" t="s">
        <v>4372</v>
      </c>
      <c r="I2598" s="1" t="s">
        <v>4386</v>
      </c>
      <c r="J2598" s="1" t="s">
        <v>8226</v>
      </c>
      <c r="K2598" s="1" t="s">
        <v>8233</v>
      </c>
    </row>
    <row r="2599" spans="1:11" ht="21" x14ac:dyDescent="0.25">
      <c r="A2599" s="11" t="str">
        <f>HYPERLINK("https://rth.dk/resources/bsgatlas/details.php?id=BSGatlas-transcript-2598","BSGatlas-transcript-2598")</f>
        <v>BSGatlas-transcript-2598</v>
      </c>
      <c r="B2599" s="1" t="s">
        <v>8234</v>
      </c>
      <c r="C2599" s="3">
        <v>2394504</v>
      </c>
      <c r="D2599" s="3">
        <v>2396719</v>
      </c>
      <c r="E2599" s="1" t="s">
        <v>13</v>
      </c>
      <c r="F2599" s="1">
        <v>1</v>
      </c>
      <c r="G2599" s="1" t="s">
        <v>4372</v>
      </c>
      <c r="H2599" s="1">
        <v>161</v>
      </c>
      <c r="I2599" s="1" t="s">
        <v>4386</v>
      </c>
      <c r="J2599" s="1" t="s">
        <v>318</v>
      </c>
      <c r="K2599" s="1" t="s">
        <v>8233</v>
      </c>
    </row>
    <row r="2600" spans="1:11" ht="21" x14ac:dyDescent="0.25">
      <c r="A2600" s="11" t="str">
        <f>HYPERLINK("https://rth.dk/resources/bsgatlas/details.php?id=BSGatlas-transcript-2599","BSGatlas-transcript-2599")</f>
        <v>BSGatlas-transcript-2599</v>
      </c>
      <c r="B2600" s="1" t="s">
        <v>8235</v>
      </c>
      <c r="C2600" s="3">
        <v>2394504</v>
      </c>
      <c r="D2600" s="3">
        <v>2397003</v>
      </c>
      <c r="E2600" s="1" t="s">
        <v>13</v>
      </c>
      <c r="F2600" s="1">
        <v>2</v>
      </c>
      <c r="G2600" s="1">
        <v>30</v>
      </c>
      <c r="H2600" s="1">
        <v>161</v>
      </c>
      <c r="I2600" s="1" t="s">
        <v>4377</v>
      </c>
      <c r="J2600" s="1" t="s">
        <v>8230</v>
      </c>
      <c r="K2600" s="1" t="s">
        <v>8233</v>
      </c>
    </row>
    <row r="2601" spans="1:11" ht="21" x14ac:dyDescent="0.25">
      <c r="A2601" s="11" t="str">
        <f>HYPERLINK("https://rth.dk/resources/bsgatlas/details.php?id=BSGatlas-transcript-2600","BSGatlas-transcript-2600")</f>
        <v>BSGatlas-transcript-2600</v>
      </c>
      <c r="B2601" s="1" t="s">
        <v>8236</v>
      </c>
      <c r="C2601" s="3">
        <v>2394504</v>
      </c>
      <c r="D2601" s="3">
        <v>2397715</v>
      </c>
      <c r="E2601" s="1" t="s">
        <v>13</v>
      </c>
      <c r="F2601" s="1">
        <v>3</v>
      </c>
      <c r="G2601" s="1">
        <v>44</v>
      </c>
      <c r="H2601" s="1">
        <v>161</v>
      </c>
      <c r="I2601" s="1" t="s">
        <v>4386</v>
      </c>
      <c r="J2601" s="1" t="s">
        <v>8232</v>
      </c>
      <c r="K2601" s="1" t="s">
        <v>8233</v>
      </c>
    </row>
    <row r="2602" spans="1:11" ht="21" x14ac:dyDescent="0.25">
      <c r="A2602" s="11" t="str">
        <f>HYPERLINK("https://rth.dk/resources/bsgatlas/details.php?id=BSGatlas-transcript-2601","BSGatlas-transcript-2601")</f>
        <v>BSGatlas-transcript-2601</v>
      </c>
      <c r="B2602" s="1" t="s">
        <v>2432</v>
      </c>
      <c r="C2602" s="3">
        <v>2396798</v>
      </c>
      <c r="D2602" s="3">
        <v>2397003</v>
      </c>
      <c r="E2602" s="1" t="s">
        <v>13</v>
      </c>
      <c r="F2602" s="1">
        <v>0</v>
      </c>
      <c r="G2602" s="1" t="s">
        <v>4372</v>
      </c>
      <c r="H2602" s="1" t="s">
        <v>4372</v>
      </c>
      <c r="I2602" s="1" t="s">
        <v>4386</v>
      </c>
      <c r="J2602" s="1" t="s">
        <v>8230</v>
      </c>
      <c r="K2602" s="1" t="s">
        <v>318</v>
      </c>
    </row>
    <row r="2603" spans="1:11" ht="21" x14ac:dyDescent="0.25">
      <c r="A2603" s="11" t="str">
        <f>HYPERLINK("https://rth.dk/resources/bsgatlas/details.php?id=BSGatlas-transcript-2602","BSGatlas-transcript-2602")</f>
        <v>BSGatlas-transcript-2602</v>
      </c>
      <c r="B2603" s="1" t="s">
        <v>8237</v>
      </c>
      <c r="C2603" s="3">
        <v>2397724</v>
      </c>
      <c r="D2603" s="3">
        <v>2400069</v>
      </c>
      <c r="E2603" s="1" t="s">
        <v>13</v>
      </c>
      <c r="F2603" s="1">
        <v>1</v>
      </c>
      <c r="G2603" s="1" t="s">
        <v>4372</v>
      </c>
      <c r="H2603" s="1">
        <v>42</v>
      </c>
      <c r="I2603" s="1" t="s">
        <v>4373</v>
      </c>
      <c r="J2603" s="1" t="s">
        <v>8238</v>
      </c>
      <c r="K2603" s="1" t="s">
        <v>8239</v>
      </c>
    </row>
    <row r="2604" spans="1:11" ht="21" x14ac:dyDescent="0.25">
      <c r="A2604" s="11" t="str">
        <f>HYPERLINK("https://rth.dk/resources/bsgatlas/details.php?id=BSGatlas-transcript-2603","BSGatlas-transcript-2603")</f>
        <v>BSGatlas-transcript-2603</v>
      </c>
      <c r="B2604" s="1" t="s">
        <v>8237</v>
      </c>
      <c r="C2604" s="3">
        <v>2397724</v>
      </c>
      <c r="D2604" s="3">
        <v>2400103</v>
      </c>
      <c r="E2604" s="1" t="s">
        <v>13</v>
      </c>
      <c r="F2604" s="1">
        <v>1</v>
      </c>
      <c r="G2604" s="1">
        <v>35</v>
      </c>
      <c r="H2604" s="1">
        <v>42</v>
      </c>
      <c r="I2604" s="1" t="s">
        <v>4373</v>
      </c>
      <c r="J2604" s="1" t="s">
        <v>8240</v>
      </c>
      <c r="K2604" s="1" t="s">
        <v>8239</v>
      </c>
    </row>
    <row r="2605" spans="1:11" ht="21" x14ac:dyDescent="0.25">
      <c r="A2605" s="11" t="str">
        <f>HYPERLINK("https://rth.dk/resources/bsgatlas/details.php?id=BSGatlas-transcript-2604","BSGatlas-transcript-2604")</f>
        <v>BSGatlas-transcript-2604</v>
      </c>
      <c r="B2605" s="1" t="s">
        <v>8237</v>
      </c>
      <c r="C2605" s="3">
        <v>2397765</v>
      </c>
      <c r="D2605" s="3">
        <v>2400069</v>
      </c>
      <c r="E2605" s="1" t="s">
        <v>13</v>
      </c>
      <c r="F2605" s="1">
        <v>1</v>
      </c>
      <c r="G2605" s="1" t="s">
        <v>4372</v>
      </c>
      <c r="H2605" s="1" t="s">
        <v>4372</v>
      </c>
      <c r="I2605" s="1" t="s">
        <v>4373</v>
      </c>
      <c r="J2605" s="1" t="s">
        <v>8238</v>
      </c>
      <c r="K2605" s="1" t="s">
        <v>8241</v>
      </c>
    </row>
    <row r="2606" spans="1:11" ht="21" x14ac:dyDescent="0.25">
      <c r="A2606" s="11" t="str">
        <f>HYPERLINK("https://rth.dk/resources/bsgatlas/details.php?id=BSGatlas-transcript-2605","BSGatlas-transcript-2605")</f>
        <v>BSGatlas-transcript-2605</v>
      </c>
      <c r="B2606" s="1" t="s">
        <v>8237</v>
      </c>
      <c r="C2606" s="3">
        <v>2397765</v>
      </c>
      <c r="D2606" s="3">
        <v>2400103</v>
      </c>
      <c r="E2606" s="1" t="s">
        <v>13</v>
      </c>
      <c r="F2606" s="1">
        <v>1</v>
      </c>
      <c r="G2606" s="1">
        <v>35</v>
      </c>
      <c r="H2606" s="1" t="s">
        <v>4372</v>
      </c>
      <c r="I2606" s="1" t="s">
        <v>4373</v>
      </c>
      <c r="J2606" s="1" t="s">
        <v>8240</v>
      </c>
      <c r="K2606" s="1" t="s">
        <v>8241</v>
      </c>
    </row>
    <row r="2607" spans="1:11" ht="21" x14ac:dyDescent="0.25">
      <c r="A2607" s="11" t="str">
        <f>HYPERLINK("https://rth.dk/resources/bsgatlas/details.php?id=BSGatlas-transcript-2606","BSGatlas-transcript-2606")</f>
        <v>BSGatlas-transcript-2606</v>
      </c>
      <c r="B2607" s="1" t="s">
        <v>2435</v>
      </c>
      <c r="C2607" s="3">
        <v>2399152</v>
      </c>
      <c r="D2607" s="3">
        <v>2400069</v>
      </c>
      <c r="E2607" s="1" t="s">
        <v>13</v>
      </c>
      <c r="F2607" s="1">
        <v>0</v>
      </c>
      <c r="G2607" s="1" t="s">
        <v>4372</v>
      </c>
      <c r="H2607" s="1" t="s">
        <v>4372</v>
      </c>
      <c r="I2607" s="1" t="s">
        <v>4377</v>
      </c>
      <c r="J2607" s="1" t="s">
        <v>8238</v>
      </c>
      <c r="K2607" s="1" t="s">
        <v>8242</v>
      </c>
    </row>
    <row r="2608" spans="1:11" ht="21" x14ac:dyDescent="0.25">
      <c r="A2608" s="11" t="str">
        <f>HYPERLINK("https://rth.dk/resources/bsgatlas/details.php?id=BSGatlas-transcript-2607","BSGatlas-transcript-2607")</f>
        <v>BSGatlas-transcript-2607</v>
      </c>
      <c r="B2608" s="1" t="s">
        <v>2435</v>
      </c>
      <c r="C2608" s="3">
        <v>2399152</v>
      </c>
      <c r="D2608" s="3">
        <v>2400103</v>
      </c>
      <c r="E2608" s="1" t="s">
        <v>13</v>
      </c>
      <c r="F2608" s="1">
        <v>0</v>
      </c>
      <c r="G2608" s="1" t="s">
        <v>4372</v>
      </c>
      <c r="H2608" s="1" t="s">
        <v>4372</v>
      </c>
      <c r="I2608" s="1" t="s">
        <v>4377</v>
      </c>
      <c r="J2608" s="1" t="s">
        <v>8240</v>
      </c>
      <c r="K2608" s="1" t="s">
        <v>8242</v>
      </c>
    </row>
    <row r="2609" spans="1:11" ht="21" x14ac:dyDescent="0.25">
      <c r="A2609" s="11" t="str">
        <f>HYPERLINK("https://rth.dk/resources/bsgatlas/details.php?id=BSGatlas-transcript-2608","BSGatlas-transcript-2608")</f>
        <v>BSGatlas-transcript-2608</v>
      </c>
      <c r="B2609" s="1" t="s">
        <v>2436</v>
      </c>
      <c r="C2609" s="3">
        <v>2400208</v>
      </c>
      <c r="D2609" s="3">
        <v>2400904</v>
      </c>
      <c r="E2609" s="1" t="s">
        <v>13</v>
      </c>
      <c r="F2609" s="1">
        <v>0</v>
      </c>
      <c r="G2609" s="1" t="s">
        <v>4372</v>
      </c>
      <c r="H2609" s="1" t="s">
        <v>4372</v>
      </c>
      <c r="I2609" s="1" t="s">
        <v>4386</v>
      </c>
      <c r="J2609" s="1" t="s">
        <v>8243</v>
      </c>
      <c r="K2609" s="1" t="s">
        <v>8244</v>
      </c>
    </row>
    <row r="2610" spans="1:11" ht="21" x14ac:dyDescent="0.25">
      <c r="A2610" s="11" t="str">
        <f>HYPERLINK("https://rth.dk/resources/bsgatlas/details.php?id=BSGatlas-transcript-2609","BSGatlas-transcript-2609")</f>
        <v>BSGatlas-transcript-2609</v>
      </c>
      <c r="B2610" s="1" t="s">
        <v>2437</v>
      </c>
      <c r="C2610" s="3">
        <v>2400984</v>
      </c>
      <c r="D2610" s="3">
        <v>2401958</v>
      </c>
      <c r="E2610" s="1" t="s">
        <v>13</v>
      </c>
      <c r="F2610" s="1">
        <v>0</v>
      </c>
      <c r="G2610" s="1" t="s">
        <v>4372</v>
      </c>
      <c r="H2610" s="1" t="s">
        <v>4372</v>
      </c>
      <c r="I2610" s="1" t="s">
        <v>4377</v>
      </c>
      <c r="J2610" s="1" t="s">
        <v>318</v>
      </c>
      <c r="K2610" s="1" t="s">
        <v>8245</v>
      </c>
    </row>
    <row r="2611" spans="1:11" ht="21" x14ac:dyDescent="0.25">
      <c r="A2611" s="11" t="str">
        <f>HYPERLINK("https://rth.dk/resources/bsgatlas/details.php?id=BSGatlas-transcript-2610","BSGatlas-transcript-2610")</f>
        <v>BSGatlas-transcript-2610</v>
      </c>
      <c r="B2611" s="1" t="s">
        <v>2438</v>
      </c>
      <c r="C2611" s="3">
        <v>2401843</v>
      </c>
      <c r="D2611" s="3">
        <v>2402036</v>
      </c>
      <c r="E2611" s="1" t="s">
        <v>9</v>
      </c>
      <c r="F2611" s="1">
        <v>0</v>
      </c>
      <c r="G2611" s="1" t="s">
        <v>4372</v>
      </c>
      <c r="H2611" s="1" t="s">
        <v>4372</v>
      </c>
      <c r="I2611" s="1" t="s">
        <v>4377</v>
      </c>
      <c r="J2611" s="1" t="s">
        <v>8246</v>
      </c>
      <c r="K2611" s="1" t="s">
        <v>8247</v>
      </c>
    </row>
    <row r="2612" spans="1:11" ht="21" x14ac:dyDescent="0.25">
      <c r="A2612" s="11" t="str">
        <f>HYPERLINK("https://rth.dk/resources/bsgatlas/details.php?id=BSGatlas-transcript-2611","BSGatlas-transcript-2611")</f>
        <v>BSGatlas-transcript-2611</v>
      </c>
      <c r="B2612" s="1" t="s">
        <v>2439</v>
      </c>
      <c r="C2612" s="3">
        <v>2402003</v>
      </c>
      <c r="D2612" s="3">
        <v>2403396</v>
      </c>
      <c r="E2612" s="1" t="s">
        <v>13</v>
      </c>
      <c r="F2612" s="1">
        <v>0</v>
      </c>
      <c r="G2612" s="1" t="s">
        <v>4372</v>
      </c>
      <c r="H2612" s="1" t="s">
        <v>4372</v>
      </c>
      <c r="I2612" s="1" t="s">
        <v>4373</v>
      </c>
      <c r="J2612" s="1" t="s">
        <v>8248</v>
      </c>
      <c r="K2612" s="1" t="s">
        <v>8249</v>
      </c>
    </row>
    <row r="2613" spans="1:11" ht="21" x14ac:dyDescent="0.25">
      <c r="A2613" s="11" t="str">
        <f>HYPERLINK("https://rth.dk/resources/bsgatlas/details.php?id=BSGatlas-transcript-2612","BSGatlas-transcript-2612")</f>
        <v>BSGatlas-transcript-2612</v>
      </c>
      <c r="B2613" s="1" t="s">
        <v>2440</v>
      </c>
      <c r="C2613" s="3">
        <v>2403486</v>
      </c>
      <c r="D2613" s="3">
        <v>2404172</v>
      </c>
      <c r="E2613" s="1" t="s">
        <v>13</v>
      </c>
      <c r="F2613" s="1">
        <v>0</v>
      </c>
      <c r="G2613" s="1" t="s">
        <v>4372</v>
      </c>
      <c r="H2613" s="1" t="s">
        <v>4372</v>
      </c>
      <c r="I2613" s="1" t="s">
        <v>4386</v>
      </c>
      <c r="J2613" s="1" t="s">
        <v>8250</v>
      </c>
      <c r="K2613" s="1" t="s">
        <v>8251</v>
      </c>
    </row>
    <row r="2614" spans="1:11" ht="21" x14ac:dyDescent="0.25">
      <c r="A2614" s="11" t="str">
        <f>HYPERLINK("https://rth.dk/resources/bsgatlas/details.php?id=BSGatlas-transcript-2613","BSGatlas-transcript-2613")</f>
        <v>BSGatlas-transcript-2613</v>
      </c>
      <c r="B2614" s="1" t="s">
        <v>2441</v>
      </c>
      <c r="C2614" s="3">
        <v>2404249</v>
      </c>
      <c r="D2614" s="3">
        <v>2405065</v>
      </c>
      <c r="E2614" s="1" t="s">
        <v>13</v>
      </c>
      <c r="F2614" s="1">
        <v>0</v>
      </c>
      <c r="G2614" s="1" t="s">
        <v>4372</v>
      </c>
      <c r="H2614" s="1" t="s">
        <v>4372</v>
      </c>
      <c r="I2614" s="1" t="s">
        <v>4386</v>
      </c>
      <c r="J2614" s="1" t="s">
        <v>8252</v>
      </c>
      <c r="K2614" s="1" t="s">
        <v>318</v>
      </c>
    </row>
    <row r="2615" spans="1:11" ht="21" x14ac:dyDescent="0.25">
      <c r="A2615" s="11" t="str">
        <f>HYPERLINK("https://rth.dk/resources/bsgatlas/details.php?id=BSGatlas-transcript-2614","BSGatlas-transcript-2614")</f>
        <v>BSGatlas-transcript-2614</v>
      </c>
      <c r="B2615" s="1" t="s">
        <v>2442</v>
      </c>
      <c r="C2615" s="3">
        <v>2405114</v>
      </c>
      <c r="D2615" s="3">
        <v>2405557</v>
      </c>
      <c r="E2615" s="1" t="s">
        <v>13</v>
      </c>
      <c r="F2615" s="1">
        <v>0</v>
      </c>
      <c r="G2615" s="1" t="s">
        <v>4372</v>
      </c>
      <c r="H2615" s="1" t="s">
        <v>4372</v>
      </c>
      <c r="I2615" s="1" t="s">
        <v>4377</v>
      </c>
      <c r="J2615" s="1" t="s">
        <v>318</v>
      </c>
      <c r="K2615" s="1" t="s">
        <v>8253</v>
      </c>
    </row>
    <row r="2616" spans="1:11" ht="21" x14ac:dyDescent="0.25">
      <c r="A2616" s="11" t="str">
        <f>HYPERLINK("https://rth.dk/resources/bsgatlas/details.php?id=BSGatlas-transcript-2615","BSGatlas-transcript-2615")</f>
        <v>BSGatlas-transcript-2615</v>
      </c>
      <c r="B2616" s="1" t="s">
        <v>2443</v>
      </c>
      <c r="C2616" s="3">
        <v>2405620</v>
      </c>
      <c r="D2616" s="3">
        <v>2406342</v>
      </c>
      <c r="E2616" s="1" t="s">
        <v>13</v>
      </c>
      <c r="F2616" s="1">
        <v>0</v>
      </c>
      <c r="G2616" s="1" t="s">
        <v>4372</v>
      </c>
      <c r="H2616" s="1" t="s">
        <v>4372</v>
      </c>
      <c r="I2616" s="1" t="s">
        <v>4377</v>
      </c>
      <c r="J2616" s="1" t="s">
        <v>318</v>
      </c>
      <c r="K2616" s="1" t="s">
        <v>8254</v>
      </c>
    </row>
    <row r="2617" spans="1:11" ht="21" x14ac:dyDescent="0.25">
      <c r="A2617" s="11" t="str">
        <f>HYPERLINK("https://rth.dk/resources/bsgatlas/details.php?id=BSGatlas-transcript-2616","BSGatlas-transcript-2616")</f>
        <v>BSGatlas-transcript-2616</v>
      </c>
      <c r="B2617" s="1" t="s">
        <v>2444</v>
      </c>
      <c r="C2617" s="3">
        <v>2406293</v>
      </c>
      <c r="D2617" s="3">
        <v>2406862</v>
      </c>
      <c r="E2617" s="1" t="s">
        <v>13</v>
      </c>
      <c r="F2617" s="1">
        <v>0</v>
      </c>
      <c r="G2617" s="1" t="s">
        <v>4372</v>
      </c>
      <c r="H2617" s="1" t="s">
        <v>4372</v>
      </c>
      <c r="I2617" s="1" t="s">
        <v>4377</v>
      </c>
      <c r="J2617" s="1" t="s">
        <v>8255</v>
      </c>
      <c r="K2617" s="1" t="s">
        <v>318</v>
      </c>
    </row>
    <row r="2618" spans="1:11" ht="21" x14ac:dyDescent="0.25">
      <c r="A2618" s="11" t="str">
        <f>HYPERLINK("https://rth.dk/resources/bsgatlas/details.php?id=BSGatlas-transcript-2617","BSGatlas-transcript-2617")</f>
        <v>BSGatlas-transcript-2617</v>
      </c>
      <c r="B2618" s="1" t="s">
        <v>2445</v>
      </c>
      <c r="C2618" s="3">
        <v>2408405</v>
      </c>
      <c r="D2618" s="3">
        <v>2409527</v>
      </c>
      <c r="E2618" s="1" t="s">
        <v>13</v>
      </c>
      <c r="F2618" s="1">
        <v>0</v>
      </c>
      <c r="G2618" s="1" t="s">
        <v>4372</v>
      </c>
      <c r="H2618" s="1" t="s">
        <v>4372</v>
      </c>
      <c r="I2618" s="1" t="s">
        <v>4377</v>
      </c>
      <c r="J2618" s="1" t="s">
        <v>8256</v>
      </c>
      <c r="K2618" s="1" t="s">
        <v>318</v>
      </c>
    </row>
    <row r="2619" spans="1:11" ht="21" x14ac:dyDescent="0.25">
      <c r="A2619" s="11" t="str">
        <f>HYPERLINK("https://rth.dk/resources/bsgatlas/details.php?id=BSGatlas-transcript-2618","BSGatlas-transcript-2618")</f>
        <v>BSGatlas-transcript-2618</v>
      </c>
      <c r="B2619" s="1" t="s">
        <v>2446</v>
      </c>
      <c r="C2619" s="3">
        <v>2408773</v>
      </c>
      <c r="D2619" s="3">
        <v>2409977</v>
      </c>
      <c r="E2619" s="1" t="s">
        <v>9</v>
      </c>
      <c r="F2619" s="1">
        <v>0</v>
      </c>
      <c r="G2619" s="1" t="s">
        <v>4372</v>
      </c>
      <c r="H2619" s="1" t="s">
        <v>4372</v>
      </c>
      <c r="I2619" s="1" t="s">
        <v>4397</v>
      </c>
      <c r="J2619" s="1" t="s">
        <v>8257</v>
      </c>
      <c r="K2619" s="1" t="s">
        <v>8258</v>
      </c>
    </row>
    <row r="2620" spans="1:11" ht="21" x14ac:dyDescent="0.25">
      <c r="A2620" s="11" t="str">
        <f>HYPERLINK("https://rth.dk/resources/bsgatlas/details.php?id=BSGatlas-transcript-2619","BSGatlas-transcript-2619")</f>
        <v>BSGatlas-transcript-2619</v>
      </c>
      <c r="B2620" s="1" t="s">
        <v>2446</v>
      </c>
      <c r="C2620" s="3">
        <v>2409565</v>
      </c>
      <c r="D2620" s="3">
        <v>2409977</v>
      </c>
      <c r="E2620" s="1" t="s">
        <v>9</v>
      </c>
      <c r="F2620" s="1">
        <v>0</v>
      </c>
      <c r="G2620" s="1" t="s">
        <v>4372</v>
      </c>
      <c r="H2620" s="1" t="s">
        <v>4372</v>
      </c>
      <c r="I2620" s="1" t="s">
        <v>4397</v>
      </c>
      <c r="J2620" s="1" t="s">
        <v>8259</v>
      </c>
      <c r="K2620" s="1" t="s">
        <v>8258</v>
      </c>
    </row>
    <row r="2621" spans="1:11" ht="21" x14ac:dyDescent="0.25">
      <c r="A2621" s="11" t="str">
        <f>HYPERLINK("https://rth.dk/resources/bsgatlas/details.php?id=BSGatlas-transcript-2620","BSGatlas-transcript-2620")</f>
        <v>BSGatlas-transcript-2620</v>
      </c>
      <c r="B2621" s="1" t="s">
        <v>2446</v>
      </c>
      <c r="C2621" s="3">
        <v>2409636</v>
      </c>
      <c r="D2621" s="3">
        <v>2409977</v>
      </c>
      <c r="E2621" s="1" t="s">
        <v>9</v>
      </c>
      <c r="F2621" s="1">
        <v>0</v>
      </c>
      <c r="G2621" s="1" t="s">
        <v>4372</v>
      </c>
      <c r="H2621" s="1" t="s">
        <v>4372</v>
      </c>
      <c r="I2621" s="1" t="s">
        <v>4397</v>
      </c>
      <c r="J2621" s="1" t="s">
        <v>8260</v>
      </c>
      <c r="K2621" s="1" t="s">
        <v>8258</v>
      </c>
    </row>
    <row r="2622" spans="1:11" ht="21" x14ac:dyDescent="0.25">
      <c r="A2622" s="11" t="str">
        <f>HYPERLINK("https://rth.dk/resources/bsgatlas/details.php?id=BSGatlas-transcript-2621","BSGatlas-transcript-2621")</f>
        <v>BSGatlas-transcript-2621</v>
      </c>
      <c r="B2622" s="1" t="s">
        <v>2447</v>
      </c>
      <c r="C2622" s="3">
        <v>2410017</v>
      </c>
      <c r="D2622" s="3">
        <v>2410903</v>
      </c>
      <c r="E2622" s="1" t="s">
        <v>13</v>
      </c>
      <c r="F2622" s="1">
        <v>0</v>
      </c>
      <c r="G2622" s="1" t="s">
        <v>4372</v>
      </c>
      <c r="H2622" s="1" t="s">
        <v>4372</v>
      </c>
      <c r="I2622" s="1" t="s">
        <v>4397</v>
      </c>
      <c r="J2622" s="1" t="s">
        <v>8261</v>
      </c>
      <c r="K2622" s="1" t="s">
        <v>8262</v>
      </c>
    </row>
    <row r="2623" spans="1:11" ht="21" x14ac:dyDescent="0.25">
      <c r="A2623" s="11" t="str">
        <f>HYPERLINK("https://rth.dk/resources/bsgatlas/details.php?id=BSGatlas-transcript-2622","BSGatlas-transcript-2622")</f>
        <v>BSGatlas-transcript-2622</v>
      </c>
      <c r="B2623" s="1" t="s">
        <v>2448</v>
      </c>
      <c r="C2623" s="3">
        <v>2410695</v>
      </c>
      <c r="D2623" s="3">
        <v>2410903</v>
      </c>
      <c r="E2623" s="1" t="s">
        <v>13</v>
      </c>
      <c r="F2623" s="1">
        <v>0</v>
      </c>
      <c r="G2623" s="1" t="s">
        <v>4372</v>
      </c>
      <c r="H2623" s="1" t="s">
        <v>4372</v>
      </c>
      <c r="I2623" s="1" t="s">
        <v>4377</v>
      </c>
      <c r="J2623" s="1" t="s">
        <v>8261</v>
      </c>
      <c r="K2623" s="1" t="s">
        <v>318</v>
      </c>
    </row>
    <row r="2624" spans="1:11" ht="21" x14ac:dyDescent="0.25">
      <c r="A2624" s="11" t="str">
        <f>HYPERLINK("https://rth.dk/resources/bsgatlas/details.php?id=BSGatlas-transcript-2623","BSGatlas-transcript-2623")</f>
        <v>BSGatlas-transcript-2623</v>
      </c>
      <c r="B2624" s="1" t="s">
        <v>2449</v>
      </c>
      <c r="C2624" s="3">
        <v>2411033</v>
      </c>
      <c r="D2624" s="3">
        <v>2412663</v>
      </c>
      <c r="E2624" s="1" t="s">
        <v>9</v>
      </c>
      <c r="F2624" s="1">
        <v>0</v>
      </c>
      <c r="G2624" s="1" t="s">
        <v>4372</v>
      </c>
      <c r="H2624" s="1" t="s">
        <v>4372</v>
      </c>
      <c r="I2624" s="1" t="s">
        <v>4373</v>
      </c>
      <c r="J2624" s="1" t="s">
        <v>8263</v>
      </c>
      <c r="K2624" s="1" t="s">
        <v>8264</v>
      </c>
    </row>
    <row r="2625" spans="1:11" ht="21" x14ac:dyDescent="0.25">
      <c r="A2625" s="11" t="str">
        <f>HYPERLINK("https://rth.dk/resources/bsgatlas/details.php?id=BSGatlas-transcript-2624","BSGatlas-transcript-2624")</f>
        <v>BSGatlas-transcript-2624</v>
      </c>
      <c r="B2625" s="1" t="s">
        <v>2449</v>
      </c>
      <c r="C2625" s="3">
        <v>2411033</v>
      </c>
      <c r="D2625" s="3">
        <v>2412707</v>
      </c>
      <c r="E2625" s="1" t="s">
        <v>9</v>
      </c>
      <c r="F2625" s="1">
        <v>0</v>
      </c>
      <c r="G2625" s="1" t="s">
        <v>4372</v>
      </c>
      <c r="H2625" s="1" t="s">
        <v>4372</v>
      </c>
      <c r="I2625" s="1" t="s">
        <v>4373</v>
      </c>
      <c r="J2625" s="1" t="s">
        <v>8263</v>
      </c>
      <c r="K2625" s="1" t="s">
        <v>8265</v>
      </c>
    </row>
    <row r="2626" spans="1:11" ht="21" x14ac:dyDescent="0.25">
      <c r="A2626" s="11" t="str">
        <f>HYPERLINK("https://rth.dk/resources/bsgatlas/details.php?id=BSGatlas-transcript-2625","BSGatlas-transcript-2625")</f>
        <v>BSGatlas-transcript-2625</v>
      </c>
      <c r="B2626" s="1" t="s">
        <v>2449</v>
      </c>
      <c r="C2626" s="3">
        <v>2411033</v>
      </c>
      <c r="D2626" s="3">
        <v>2413569</v>
      </c>
      <c r="E2626" s="1" t="s">
        <v>9</v>
      </c>
      <c r="F2626" s="1">
        <v>0</v>
      </c>
      <c r="G2626" s="1" t="s">
        <v>4372</v>
      </c>
      <c r="H2626" s="1" t="s">
        <v>4372</v>
      </c>
      <c r="I2626" s="1" t="s">
        <v>4373</v>
      </c>
      <c r="J2626" s="1" t="s">
        <v>8263</v>
      </c>
      <c r="K2626" s="1" t="s">
        <v>8266</v>
      </c>
    </row>
    <row r="2627" spans="1:11" ht="21" x14ac:dyDescent="0.25">
      <c r="A2627" s="11" t="str">
        <f>HYPERLINK("https://rth.dk/resources/bsgatlas/details.php?id=BSGatlas-transcript-2626","BSGatlas-transcript-2626")</f>
        <v>BSGatlas-transcript-2626</v>
      </c>
      <c r="B2627" s="1" t="s">
        <v>2450</v>
      </c>
      <c r="C2627" s="3">
        <v>2412658</v>
      </c>
      <c r="D2627" s="3">
        <v>2413513</v>
      </c>
      <c r="E2627" s="1" t="s">
        <v>13</v>
      </c>
      <c r="F2627" s="1">
        <v>0</v>
      </c>
      <c r="G2627" s="1" t="s">
        <v>4372</v>
      </c>
      <c r="H2627" s="1" t="s">
        <v>4372</v>
      </c>
      <c r="I2627" s="1" t="s">
        <v>4373</v>
      </c>
      <c r="J2627" s="1" t="s">
        <v>8267</v>
      </c>
      <c r="K2627" s="1" t="s">
        <v>8268</v>
      </c>
    </row>
    <row r="2628" spans="1:11" ht="21" x14ac:dyDescent="0.25">
      <c r="A2628" s="11" t="str">
        <f>HYPERLINK("https://rth.dk/resources/bsgatlas/details.php?id=BSGatlas-transcript-2627","BSGatlas-transcript-2627")</f>
        <v>BSGatlas-transcript-2627</v>
      </c>
      <c r="B2628" s="1" t="s">
        <v>2450</v>
      </c>
      <c r="C2628" s="3">
        <v>2412706</v>
      </c>
      <c r="D2628" s="3">
        <v>2413513</v>
      </c>
      <c r="E2628" s="1" t="s">
        <v>13</v>
      </c>
      <c r="F2628" s="1">
        <v>0</v>
      </c>
      <c r="G2628" s="1" t="s">
        <v>4372</v>
      </c>
      <c r="H2628" s="1" t="s">
        <v>4372</v>
      </c>
      <c r="I2628" s="1" t="s">
        <v>4373</v>
      </c>
      <c r="J2628" s="1" t="s">
        <v>8267</v>
      </c>
      <c r="K2628" s="1" t="s">
        <v>8269</v>
      </c>
    </row>
    <row r="2629" spans="1:11" ht="21" x14ac:dyDescent="0.25">
      <c r="A2629" s="11" t="str">
        <f>HYPERLINK("https://rth.dk/resources/bsgatlas/details.php?id=BSGatlas-transcript-2628","BSGatlas-transcript-2628")</f>
        <v>BSGatlas-transcript-2628</v>
      </c>
      <c r="B2629" s="1" t="s">
        <v>8270</v>
      </c>
      <c r="C2629" s="3">
        <v>2413551</v>
      </c>
      <c r="D2629" s="3">
        <v>2415228</v>
      </c>
      <c r="E2629" s="1" t="s">
        <v>13</v>
      </c>
      <c r="F2629" s="1">
        <v>0</v>
      </c>
      <c r="G2629" s="1" t="s">
        <v>4372</v>
      </c>
      <c r="H2629" s="1" t="s">
        <v>4372</v>
      </c>
      <c r="I2629" s="1" t="s">
        <v>4373</v>
      </c>
      <c r="J2629" s="1" t="s">
        <v>8271</v>
      </c>
      <c r="K2629" s="1" t="s">
        <v>8272</v>
      </c>
    </row>
    <row r="2630" spans="1:11" ht="21" x14ac:dyDescent="0.25">
      <c r="A2630" s="11" t="str">
        <f>HYPERLINK("https://rth.dk/resources/bsgatlas/details.php?id=BSGatlas-transcript-2629","BSGatlas-transcript-2629")</f>
        <v>BSGatlas-transcript-2629</v>
      </c>
      <c r="B2630" s="1" t="s">
        <v>8270</v>
      </c>
      <c r="C2630" s="3">
        <v>2413551</v>
      </c>
      <c r="D2630" s="3">
        <v>2415262</v>
      </c>
      <c r="E2630" s="1" t="s">
        <v>13</v>
      </c>
      <c r="F2630" s="1">
        <v>0</v>
      </c>
      <c r="G2630" s="1" t="s">
        <v>4372</v>
      </c>
      <c r="H2630" s="1" t="s">
        <v>4372</v>
      </c>
      <c r="I2630" s="1" t="s">
        <v>4373</v>
      </c>
      <c r="J2630" s="1" t="s">
        <v>8273</v>
      </c>
      <c r="K2630" s="1" t="s">
        <v>8272</v>
      </c>
    </row>
    <row r="2631" spans="1:11" ht="21" x14ac:dyDescent="0.25">
      <c r="A2631" s="11" t="str">
        <f>HYPERLINK("https://rth.dk/resources/bsgatlas/details.php?id=BSGatlas-transcript-2630","BSGatlas-transcript-2630")</f>
        <v>BSGatlas-transcript-2630</v>
      </c>
      <c r="B2631" s="1" t="s">
        <v>2453</v>
      </c>
      <c r="C2631" s="3">
        <v>2415021</v>
      </c>
      <c r="D2631" s="3">
        <v>2415371</v>
      </c>
      <c r="E2631" s="1" t="s">
        <v>9</v>
      </c>
      <c r="F2631" s="1">
        <v>0</v>
      </c>
      <c r="G2631" s="1" t="s">
        <v>4372</v>
      </c>
      <c r="H2631" s="1" t="s">
        <v>4372</v>
      </c>
      <c r="I2631" s="1" t="s">
        <v>4377</v>
      </c>
      <c r="J2631" s="1" t="s">
        <v>8274</v>
      </c>
      <c r="K2631" s="1" t="s">
        <v>8275</v>
      </c>
    </row>
    <row r="2632" spans="1:11" ht="21" x14ac:dyDescent="0.25">
      <c r="A2632" s="11" t="str">
        <f>HYPERLINK("https://rth.dk/resources/bsgatlas/details.php?id=BSGatlas-transcript-2631","BSGatlas-transcript-2631")</f>
        <v>BSGatlas-transcript-2631</v>
      </c>
      <c r="B2632" s="1" t="s">
        <v>2453</v>
      </c>
      <c r="C2632" s="3">
        <v>2415179</v>
      </c>
      <c r="D2632" s="3">
        <v>2415371</v>
      </c>
      <c r="E2632" s="1" t="s">
        <v>9</v>
      </c>
      <c r="F2632" s="1">
        <v>0</v>
      </c>
      <c r="G2632" s="1" t="s">
        <v>4372</v>
      </c>
      <c r="H2632" s="1" t="s">
        <v>4372</v>
      </c>
      <c r="I2632" s="1" t="s">
        <v>4377</v>
      </c>
      <c r="J2632" s="1" t="s">
        <v>8276</v>
      </c>
      <c r="K2632" s="1" t="s">
        <v>8275</v>
      </c>
    </row>
    <row r="2633" spans="1:11" ht="21" x14ac:dyDescent="0.25">
      <c r="A2633" s="11" t="str">
        <f>HYPERLINK("https://rth.dk/resources/bsgatlas/details.php?id=BSGatlas-transcript-2632","BSGatlas-transcript-2632")</f>
        <v>BSGatlas-transcript-2632</v>
      </c>
      <c r="B2633" s="1" t="s">
        <v>8277</v>
      </c>
      <c r="C2633" s="3">
        <v>2415337</v>
      </c>
      <c r="D2633" s="3">
        <v>2417927</v>
      </c>
      <c r="E2633" s="1" t="s">
        <v>13</v>
      </c>
      <c r="F2633" s="1">
        <v>0</v>
      </c>
      <c r="G2633" s="1" t="s">
        <v>4372</v>
      </c>
      <c r="H2633" s="1" t="s">
        <v>4372</v>
      </c>
      <c r="I2633" s="1" t="s">
        <v>4386</v>
      </c>
      <c r="J2633" s="1" t="s">
        <v>8278</v>
      </c>
      <c r="K2633" s="1" t="s">
        <v>8279</v>
      </c>
    </row>
    <row r="2634" spans="1:11" ht="21" x14ac:dyDescent="0.25">
      <c r="A2634" s="11" t="str">
        <f>HYPERLINK("https://rth.dk/resources/bsgatlas/details.php?id=BSGatlas-transcript-2633","BSGatlas-transcript-2633")</f>
        <v>BSGatlas-transcript-2633</v>
      </c>
      <c r="B2634" s="1" t="s">
        <v>8280</v>
      </c>
      <c r="C2634" s="3">
        <v>2415337</v>
      </c>
      <c r="D2634" s="3">
        <v>2421374</v>
      </c>
      <c r="E2634" s="1" t="s">
        <v>13</v>
      </c>
      <c r="F2634" s="1">
        <v>2</v>
      </c>
      <c r="G2634" s="1">
        <v>32</v>
      </c>
      <c r="H2634" s="1">
        <v>79</v>
      </c>
      <c r="I2634" s="1" t="s">
        <v>4373</v>
      </c>
      <c r="J2634" s="1" t="s">
        <v>8281</v>
      </c>
      <c r="K2634" s="1" t="s">
        <v>8279</v>
      </c>
    </row>
    <row r="2635" spans="1:11" ht="21" x14ac:dyDescent="0.25">
      <c r="A2635" s="11" t="str">
        <f>HYPERLINK("https://rth.dk/resources/bsgatlas/details.php?id=BSGatlas-transcript-2634","BSGatlas-transcript-2634")</f>
        <v>BSGatlas-transcript-2634</v>
      </c>
      <c r="B2635" s="1" t="s">
        <v>8282</v>
      </c>
      <c r="C2635" s="3">
        <v>2415337</v>
      </c>
      <c r="D2635" s="3">
        <v>2422204</v>
      </c>
      <c r="E2635" s="1" t="s">
        <v>13</v>
      </c>
      <c r="F2635" s="1">
        <v>3</v>
      </c>
      <c r="G2635" s="1">
        <v>33</v>
      </c>
      <c r="H2635" s="1">
        <v>79</v>
      </c>
      <c r="I2635" s="1" t="s">
        <v>4386</v>
      </c>
      <c r="J2635" s="1" t="s">
        <v>8283</v>
      </c>
      <c r="K2635" s="1" t="s">
        <v>8279</v>
      </c>
    </row>
    <row r="2636" spans="1:11" ht="21" x14ac:dyDescent="0.25">
      <c r="A2636" s="11" t="str">
        <f>HYPERLINK("https://rth.dk/resources/bsgatlas/details.php?id=BSGatlas-transcript-2635","BSGatlas-transcript-2635")</f>
        <v>BSGatlas-transcript-2635</v>
      </c>
      <c r="B2636" s="1" t="s">
        <v>8282</v>
      </c>
      <c r="C2636" s="3">
        <v>2415337</v>
      </c>
      <c r="D2636" s="3">
        <v>2422273</v>
      </c>
      <c r="E2636" s="1" t="s">
        <v>13</v>
      </c>
      <c r="F2636" s="1">
        <v>3</v>
      </c>
      <c r="G2636" s="1">
        <v>102</v>
      </c>
      <c r="H2636" s="1">
        <v>79</v>
      </c>
      <c r="I2636" s="1" t="s">
        <v>4386</v>
      </c>
      <c r="J2636" s="1" t="s">
        <v>8284</v>
      </c>
      <c r="K2636" s="1" t="s">
        <v>8279</v>
      </c>
    </row>
    <row r="2637" spans="1:11" ht="21" x14ac:dyDescent="0.25">
      <c r="A2637" s="11" t="str">
        <f>HYPERLINK("https://rth.dk/resources/bsgatlas/details.php?id=BSGatlas-transcript-2636","BSGatlas-transcript-2636")</f>
        <v>BSGatlas-transcript-2636</v>
      </c>
      <c r="B2637" s="1" t="s">
        <v>8277</v>
      </c>
      <c r="C2637" s="3">
        <v>2415415</v>
      </c>
      <c r="D2637" s="3">
        <v>2417927</v>
      </c>
      <c r="E2637" s="1" t="s">
        <v>13</v>
      </c>
      <c r="F2637" s="1">
        <v>0</v>
      </c>
      <c r="G2637" s="1" t="s">
        <v>4372</v>
      </c>
      <c r="H2637" s="1" t="s">
        <v>4372</v>
      </c>
      <c r="I2637" s="1" t="s">
        <v>4386</v>
      </c>
      <c r="J2637" s="1" t="s">
        <v>8278</v>
      </c>
      <c r="K2637" s="1" t="s">
        <v>8285</v>
      </c>
    </row>
    <row r="2638" spans="1:11" ht="21" x14ac:dyDescent="0.25">
      <c r="A2638" s="11" t="str">
        <f>HYPERLINK("https://rth.dk/resources/bsgatlas/details.php?id=BSGatlas-transcript-2637","BSGatlas-transcript-2637")</f>
        <v>BSGatlas-transcript-2637</v>
      </c>
      <c r="B2638" s="1" t="s">
        <v>8280</v>
      </c>
      <c r="C2638" s="3">
        <v>2415415</v>
      </c>
      <c r="D2638" s="3">
        <v>2421374</v>
      </c>
      <c r="E2638" s="1" t="s">
        <v>13</v>
      </c>
      <c r="F2638" s="1">
        <v>2</v>
      </c>
      <c r="G2638" s="1">
        <v>32</v>
      </c>
      <c r="H2638" s="1" t="s">
        <v>4372</v>
      </c>
      <c r="I2638" s="1" t="s">
        <v>4373</v>
      </c>
      <c r="J2638" s="1" t="s">
        <v>8281</v>
      </c>
      <c r="K2638" s="1" t="s">
        <v>8285</v>
      </c>
    </row>
    <row r="2639" spans="1:11" ht="21" x14ac:dyDescent="0.25">
      <c r="A2639" s="11" t="str">
        <f>HYPERLINK("https://rth.dk/resources/bsgatlas/details.php?id=BSGatlas-transcript-2638","BSGatlas-transcript-2638")</f>
        <v>BSGatlas-transcript-2638</v>
      </c>
      <c r="B2639" s="1" t="s">
        <v>8282</v>
      </c>
      <c r="C2639" s="3">
        <v>2415415</v>
      </c>
      <c r="D2639" s="3">
        <v>2422204</v>
      </c>
      <c r="E2639" s="1" t="s">
        <v>13</v>
      </c>
      <c r="F2639" s="1">
        <v>3</v>
      </c>
      <c r="G2639" s="1">
        <v>33</v>
      </c>
      <c r="H2639" s="1" t="s">
        <v>4372</v>
      </c>
      <c r="I2639" s="1" t="s">
        <v>4386</v>
      </c>
      <c r="J2639" s="1" t="s">
        <v>8283</v>
      </c>
      <c r="K2639" s="1" t="s">
        <v>8285</v>
      </c>
    </row>
    <row r="2640" spans="1:11" ht="21" x14ac:dyDescent="0.25">
      <c r="A2640" s="11" t="str">
        <f>HYPERLINK("https://rth.dk/resources/bsgatlas/details.php?id=BSGatlas-transcript-2639","BSGatlas-transcript-2639")</f>
        <v>BSGatlas-transcript-2639</v>
      </c>
      <c r="B2640" s="1" t="s">
        <v>8282</v>
      </c>
      <c r="C2640" s="3">
        <v>2415415</v>
      </c>
      <c r="D2640" s="3">
        <v>2422273</v>
      </c>
      <c r="E2640" s="1" t="s">
        <v>13</v>
      </c>
      <c r="F2640" s="1">
        <v>3</v>
      </c>
      <c r="G2640" s="1">
        <v>102</v>
      </c>
      <c r="H2640" s="1" t="s">
        <v>4372</v>
      </c>
      <c r="I2640" s="1" t="s">
        <v>4386</v>
      </c>
      <c r="J2640" s="1" t="s">
        <v>8284</v>
      </c>
      <c r="K2640" s="1" t="s">
        <v>8285</v>
      </c>
    </row>
    <row r="2641" spans="1:11" ht="21" x14ac:dyDescent="0.25">
      <c r="A2641" s="11" t="str">
        <f>HYPERLINK("https://rth.dk/resources/bsgatlas/details.php?id=BSGatlas-transcript-2640","BSGatlas-transcript-2640")</f>
        <v>BSGatlas-transcript-2640</v>
      </c>
      <c r="B2641" s="1" t="s">
        <v>8286</v>
      </c>
      <c r="C2641" s="3">
        <v>2422241</v>
      </c>
      <c r="D2641" s="3">
        <v>2424558</v>
      </c>
      <c r="E2641" s="1" t="s">
        <v>13</v>
      </c>
      <c r="F2641" s="1">
        <v>0</v>
      </c>
      <c r="G2641" s="1" t="s">
        <v>4372</v>
      </c>
      <c r="H2641" s="1" t="s">
        <v>4372</v>
      </c>
      <c r="I2641" s="1" t="s">
        <v>4373</v>
      </c>
      <c r="J2641" s="1" t="s">
        <v>8287</v>
      </c>
      <c r="K2641" s="1" t="s">
        <v>8288</v>
      </c>
    </row>
    <row r="2642" spans="1:11" ht="21" x14ac:dyDescent="0.25">
      <c r="A2642" s="11" t="str">
        <f>HYPERLINK("https://rth.dk/resources/bsgatlas/details.php?id=BSGatlas-transcript-2641","BSGatlas-transcript-2641")</f>
        <v>BSGatlas-transcript-2641</v>
      </c>
      <c r="B2642" s="1" t="s">
        <v>2463</v>
      </c>
      <c r="C2642" s="3">
        <v>2424612</v>
      </c>
      <c r="D2642" s="3">
        <v>2425217</v>
      </c>
      <c r="E2642" s="1" t="s">
        <v>13</v>
      </c>
      <c r="F2642" s="1">
        <v>0</v>
      </c>
      <c r="G2642" s="1" t="s">
        <v>4372</v>
      </c>
      <c r="H2642" s="1" t="s">
        <v>4372</v>
      </c>
      <c r="I2642" s="1" t="s">
        <v>4377</v>
      </c>
      <c r="J2642" s="1" t="s">
        <v>8289</v>
      </c>
      <c r="K2642" s="1" t="s">
        <v>8290</v>
      </c>
    </row>
    <row r="2643" spans="1:11" ht="21" x14ac:dyDescent="0.25">
      <c r="A2643" s="11" t="str">
        <f>HYPERLINK("https://rth.dk/resources/bsgatlas/details.php?id=BSGatlas-transcript-2642","BSGatlas-transcript-2642")</f>
        <v>BSGatlas-transcript-2642</v>
      </c>
      <c r="B2643" s="1" t="s">
        <v>8291</v>
      </c>
      <c r="C2643" s="3">
        <v>2424612</v>
      </c>
      <c r="D2643" s="3">
        <v>2426647</v>
      </c>
      <c r="E2643" s="1" t="s">
        <v>13</v>
      </c>
      <c r="F2643" s="1">
        <v>1</v>
      </c>
      <c r="G2643" s="1">
        <v>62</v>
      </c>
      <c r="H2643" s="1">
        <v>43</v>
      </c>
      <c r="I2643" s="1" t="s">
        <v>4373</v>
      </c>
      <c r="J2643" s="1" t="s">
        <v>8292</v>
      </c>
      <c r="K2643" s="1" t="s">
        <v>8290</v>
      </c>
    </row>
    <row r="2644" spans="1:11" ht="21" x14ac:dyDescent="0.25">
      <c r="A2644" s="11" t="str">
        <f>HYPERLINK("https://rth.dk/resources/bsgatlas/details.php?id=BSGatlas-transcript-2643","BSGatlas-transcript-2643")</f>
        <v>BSGatlas-transcript-2643</v>
      </c>
      <c r="B2644" s="1" t="s">
        <v>2466</v>
      </c>
      <c r="C2644" s="3">
        <v>2426461</v>
      </c>
      <c r="D2644" s="3">
        <v>2427423</v>
      </c>
      <c r="E2644" s="1" t="s">
        <v>9</v>
      </c>
      <c r="F2644" s="1">
        <v>0</v>
      </c>
      <c r="G2644" s="1" t="s">
        <v>4372</v>
      </c>
      <c r="H2644" s="1" t="s">
        <v>4372</v>
      </c>
      <c r="I2644" s="1" t="s">
        <v>4373</v>
      </c>
      <c r="J2644" s="1" t="s">
        <v>8293</v>
      </c>
      <c r="K2644" s="1" t="s">
        <v>8294</v>
      </c>
    </row>
    <row r="2645" spans="1:11" ht="21" x14ac:dyDescent="0.25">
      <c r="A2645" s="11" t="str">
        <f>HYPERLINK("https://rth.dk/resources/bsgatlas/details.php?id=BSGatlas-transcript-2644","BSGatlas-transcript-2644")</f>
        <v>BSGatlas-transcript-2644</v>
      </c>
      <c r="B2645" s="1" t="s">
        <v>2466</v>
      </c>
      <c r="C2645" s="3">
        <v>2426835</v>
      </c>
      <c r="D2645" s="3">
        <v>2427423</v>
      </c>
      <c r="E2645" s="1" t="s">
        <v>9</v>
      </c>
      <c r="F2645" s="1">
        <v>0</v>
      </c>
      <c r="G2645" s="1" t="s">
        <v>4372</v>
      </c>
      <c r="H2645" s="1" t="s">
        <v>4372</v>
      </c>
      <c r="I2645" s="1" t="s">
        <v>4373</v>
      </c>
      <c r="J2645" s="1" t="s">
        <v>8295</v>
      </c>
      <c r="K2645" s="1" t="s">
        <v>8294</v>
      </c>
    </row>
    <row r="2646" spans="1:11" ht="21" x14ac:dyDescent="0.25">
      <c r="A2646" s="11" t="str">
        <f>HYPERLINK("https://rth.dk/resources/bsgatlas/details.php?id=BSGatlas-transcript-2645","BSGatlas-transcript-2645")</f>
        <v>BSGatlas-transcript-2645</v>
      </c>
      <c r="B2646" s="1" t="s">
        <v>2467</v>
      </c>
      <c r="C2646" s="3">
        <v>2427366</v>
      </c>
      <c r="D2646" s="3">
        <v>2427853</v>
      </c>
      <c r="E2646" s="1" t="s">
        <v>13</v>
      </c>
      <c r="F2646" s="1">
        <v>0</v>
      </c>
      <c r="G2646" s="1" t="s">
        <v>4372</v>
      </c>
      <c r="H2646" s="1" t="s">
        <v>4372</v>
      </c>
      <c r="I2646" s="1" t="s">
        <v>4377</v>
      </c>
      <c r="J2646" s="1" t="s">
        <v>8296</v>
      </c>
      <c r="K2646" s="1" t="s">
        <v>8297</v>
      </c>
    </row>
    <row r="2647" spans="1:11" ht="21" x14ac:dyDescent="0.25">
      <c r="A2647" s="11" t="str">
        <f>HYPERLINK("https://rth.dk/resources/bsgatlas/details.php?id=BSGatlas-transcript-2646","BSGatlas-transcript-2646")</f>
        <v>BSGatlas-transcript-2646</v>
      </c>
      <c r="B2647" s="1" t="s">
        <v>8298</v>
      </c>
      <c r="C2647" s="3">
        <v>2427366</v>
      </c>
      <c r="D2647" s="3">
        <v>2431637</v>
      </c>
      <c r="E2647" s="1" t="s">
        <v>13</v>
      </c>
      <c r="F2647" s="1">
        <v>2</v>
      </c>
      <c r="G2647" s="1">
        <v>295</v>
      </c>
      <c r="H2647" s="1">
        <v>40</v>
      </c>
      <c r="I2647" s="1" t="s">
        <v>4373</v>
      </c>
      <c r="J2647" s="1" t="s">
        <v>8299</v>
      </c>
      <c r="K2647" s="1" t="s">
        <v>8297</v>
      </c>
    </row>
    <row r="2648" spans="1:11" ht="21" x14ac:dyDescent="0.25">
      <c r="A2648" s="11" t="str">
        <f>HYPERLINK("https://rth.dk/resources/bsgatlas/details.php?id=BSGatlas-transcript-2647","BSGatlas-transcript-2647")</f>
        <v>BSGatlas-transcript-2647</v>
      </c>
      <c r="B2648" s="1" t="s">
        <v>2472</v>
      </c>
      <c r="C2648" s="3">
        <v>2431368</v>
      </c>
      <c r="D2648" s="3">
        <v>2431617</v>
      </c>
      <c r="E2648" s="1" t="s">
        <v>13</v>
      </c>
      <c r="F2648" s="1">
        <v>0</v>
      </c>
      <c r="G2648" s="1" t="s">
        <v>4372</v>
      </c>
      <c r="H2648" s="1" t="s">
        <v>4372</v>
      </c>
      <c r="I2648" s="1" t="s">
        <v>4377</v>
      </c>
      <c r="J2648" s="1" t="s">
        <v>318</v>
      </c>
      <c r="K2648" s="1" t="s">
        <v>8300</v>
      </c>
    </row>
    <row r="2649" spans="1:11" ht="21" x14ac:dyDescent="0.25">
      <c r="A2649" s="11" t="str">
        <f>HYPERLINK("https://rth.dk/resources/bsgatlas/details.php?id=BSGatlas-transcript-2648","BSGatlas-transcript-2648")</f>
        <v>BSGatlas-transcript-2648</v>
      </c>
      <c r="B2649" s="1" t="s">
        <v>2473</v>
      </c>
      <c r="C2649" s="3">
        <v>2431691</v>
      </c>
      <c r="D2649" s="3">
        <v>2432126</v>
      </c>
      <c r="E2649" s="1" t="s">
        <v>13</v>
      </c>
      <c r="F2649" s="1">
        <v>0</v>
      </c>
      <c r="G2649" s="1" t="s">
        <v>4372</v>
      </c>
      <c r="H2649" s="1" t="s">
        <v>4372</v>
      </c>
      <c r="I2649" s="1" t="s">
        <v>4373</v>
      </c>
      <c r="J2649" s="1" t="s">
        <v>8301</v>
      </c>
      <c r="K2649" s="1" t="s">
        <v>8302</v>
      </c>
    </row>
    <row r="2650" spans="1:11" ht="21" x14ac:dyDescent="0.25">
      <c r="A2650" s="11" t="str">
        <f>HYPERLINK("https://rth.dk/resources/bsgatlas/details.php?id=BSGatlas-transcript-2649","BSGatlas-transcript-2649")</f>
        <v>BSGatlas-transcript-2649</v>
      </c>
      <c r="B2650" s="1" t="s">
        <v>2473</v>
      </c>
      <c r="C2650" s="3">
        <v>2431691</v>
      </c>
      <c r="D2650" s="3">
        <v>2432170</v>
      </c>
      <c r="E2650" s="1" t="s">
        <v>13</v>
      </c>
      <c r="F2650" s="1">
        <v>0</v>
      </c>
      <c r="G2650" s="1" t="s">
        <v>4372</v>
      </c>
      <c r="H2650" s="1" t="s">
        <v>4372</v>
      </c>
      <c r="I2650" s="1" t="s">
        <v>4373</v>
      </c>
      <c r="J2650" s="1" t="s">
        <v>8303</v>
      </c>
      <c r="K2650" s="1" t="s">
        <v>8302</v>
      </c>
    </row>
    <row r="2651" spans="1:11" ht="21" x14ac:dyDescent="0.25">
      <c r="A2651" s="11" t="str">
        <f>HYPERLINK("https://rth.dk/resources/bsgatlas/details.php?id=BSGatlas-transcript-2650","BSGatlas-transcript-2650")</f>
        <v>BSGatlas-transcript-2650</v>
      </c>
      <c r="B2651" s="1" t="s">
        <v>2473</v>
      </c>
      <c r="C2651" s="3">
        <v>2431691</v>
      </c>
      <c r="D2651" s="3">
        <v>2432238</v>
      </c>
      <c r="E2651" s="1" t="s">
        <v>13</v>
      </c>
      <c r="F2651" s="1">
        <v>0</v>
      </c>
      <c r="G2651" s="1" t="s">
        <v>4372</v>
      </c>
      <c r="H2651" s="1" t="s">
        <v>4372</v>
      </c>
      <c r="I2651" s="1" t="s">
        <v>4373</v>
      </c>
      <c r="J2651" s="1" t="s">
        <v>8304</v>
      </c>
      <c r="K2651" s="1" t="s">
        <v>8302</v>
      </c>
    </row>
    <row r="2652" spans="1:11" ht="21" x14ac:dyDescent="0.25">
      <c r="A2652" s="11" t="str">
        <f>HYPERLINK("https://rth.dk/resources/bsgatlas/details.php?id=BSGatlas-transcript-2651","BSGatlas-transcript-2651")</f>
        <v>BSGatlas-transcript-2651</v>
      </c>
      <c r="B2652" s="1" t="s">
        <v>2474</v>
      </c>
      <c r="C2652" s="3">
        <v>2432160</v>
      </c>
      <c r="D2652" s="3">
        <v>2433082</v>
      </c>
      <c r="E2652" s="1" t="s">
        <v>9</v>
      </c>
      <c r="F2652" s="1">
        <v>0</v>
      </c>
      <c r="G2652" s="1" t="s">
        <v>4372</v>
      </c>
      <c r="H2652" s="1" t="s">
        <v>4372</v>
      </c>
      <c r="I2652" s="1" t="s">
        <v>4377</v>
      </c>
      <c r="J2652" s="1" t="s">
        <v>8305</v>
      </c>
      <c r="K2652" s="1" t="s">
        <v>318</v>
      </c>
    </row>
    <row r="2653" spans="1:11" ht="21" x14ac:dyDescent="0.25">
      <c r="A2653" s="11" t="str">
        <f>HYPERLINK("https://rth.dk/resources/bsgatlas/details.php?id=BSGatlas-transcript-2652","BSGatlas-transcript-2652")</f>
        <v>BSGatlas-transcript-2652</v>
      </c>
      <c r="B2653" s="1" t="s">
        <v>2475</v>
      </c>
      <c r="C2653" s="3">
        <v>2432274</v>
      </c>
      <c r="D2653" s="3">
        <v>2432899</v>
      </c>
      <c r="E2653" s="1" t="s">
        <v>13</v>
      </c>
      <c r="F2653" s="1">
        <v>0</v>
      </c>
      <c r="G2653" s="1" t="s">
        <v>4372</v>
      </c>
      <c r="H2653" s="1" t="s">
        <v>4372</v>
      </c>
      <c r="I2653" s="1" t="s">
        <v>4373</v>
      </c>
      <c r="J2653" s="1" t="s">
        <v>8306</v>
      </c>
      <c r="K2653" s="1" t="s">
        <v>8307</v>
      </c>
    </row>
    <row r="2654" spans="1:11" ht="21" x14ac:dyDescent="0.25">
      <c r="A2654" s="11" t="str">
        <f>HYPERLINK("https://rth.dk/resources/bsgatlas/details.php?id=BSGatlas-transcript-2653","BSGatlas-transcript-2653")</f>
        <v>BSGatlas-transcript-2653</v>
      </c>
      <c r="B2654" s="1" t="s">
        <v>8308</v>
      </c>
      <c r="C2654" s="3">
        <v>2432274</v>
      </c>
      <c r="D2654" s="3">
        <v>2433586</v>
      </c>
      <c r="E2654" s="1" t="s">
        <v>13</v>
      </c>
      <c r="F2654" s="1">
        <v>1</v>
      </c>
      <c r="G2654" s="1">
        <v>65</v>
      </c>
      <c r="H2654" s="1">
        <v>43</v>
      </c>
      <c r="I2654" s="1" t="s">
        <v>4386</v>
      </c>
      <c r="J2654" s="1" t="s">
        <v>8309</v>
      </c>
      <c r="K2654" s="1" t="s">
        <v>8307</v>
      </c>
    </row>
    <row r="2655" spans="1:11" ht="21" x14ac:dyDescent="0.25">
      <c r="A2655" s="11" t="str">
        <f>HYPERLINK("https://rth.dk/resources/bsgatlas/details.php?id=BSGatlas-transcript-2654","BSGatlas-transcript-2654")</f>
        <v>BSGatlas-transcript-2654</v>
      </c>
      <c r="B2655" s="1" t="s">
        <v>8308</v>
      </c>
      <c r="C2655" s="3">
        <v>2432274</v>
      </c>
      <c r="D2655" s="3">
        <v>2433617</v>
      </c>
      <c r="E2655" s="1" t="s">
        <v>13</v>
      </c>
      <c r="F2655" s="1">
        <v>1</v>
      </c>
      <c r="G2655" s="1">
        <v>96</v>
      </c>
      <c r="H2655" s="1">
        <v>43</v>
      </c>
      <c r="I2655" s="1" t="s">
        <v>4386</v>
      </c>
      <c r="J2655" s="1" t="s">
        <v>8310</v>
      </c>
      <c r="K2655" s="1" t="s">
        <v>8307</v>
      </c>
    </row>
    <row r="2656" spans="1:11" ht="21" x14ac:dyDescent="0.25">
      <c r="A2656" s="11" t="str">
        <f>HYPERLINK("https://rth.dk/resources/bsgatlas/details.php?id=BSGatlas-transcript-2655","BSGatlas-transcript-2655")</f>
        <v>BSGatlas-transcript-2655</v>
      </c>
      <c r="B2656" s="1" t="s">
        <v>2477</v>
      </c>
      <c r="C2656" s="3">
        <v>2433137</v>
      </c>
      <c r="D2656" s="3">
        <v>2433373</v>
      </c>
      <c r="E2656" s="1" t="s">
        <v>9</v>
      </c>
      <c r="F2656" s="1">
        <v>0</v>
      </c>
      <c r="G2656" s="1" t="s">
        <v>4372</v>
      </c>
      <c r="H2656" s="1" t="s">
        <v>4372</v>
      </c>
      <c r="I2656" s="1" t="s">
        <v>4547</v>
      </c>
      <c r="J2656" s="1" t="s">
        <v>318</v>
      </c>
      <c r="K2656" s="1" t="s">
        <v>318</v>
      </c>
    </row>
    <row r="2657" spans="1:11" ht="21" x14ac:dyDescent="0.25">
      <c r="A2657" s="11" t="str">
        <f>HYPERLINK("https://rth.dk/resources/bsgatlas/details.php?id=BSGatlas-transcript-2656","BSGatlas-transcript-2656")</f>
        <v>BSGatlas-transcript-2656</v>
      </c>
      <c r="B2657" s="1" t="s">
        <v>8311</v>
      </c>
      <c r="C2657" s="3">
        <v>2433631</v>
      </c>
      <c r="D2657" s="3">
        <v>2434346</v>
      </c>
      <c r="E2657" s="1" t="s">
        <v>13</v>
      </c>
      <c r="F2657" s="1">
        <v>0</v>
      </c>
      <c r="G2657" s="1" t="s">
        <v>4372</v>
      </c>
      <c r="H2657" s="1" t="s">
        <v>4372</v>
      </c>
      <c r="I2657" s="1" t="s">
        <v>4386</v>
      </c>
      <c r="J2657" s="1" t="s">
        <v>318</v>
      </c>
      <c r="K2657" s="1" t="s">
        <v>8312</v>
      </c>
    </row>
    <row r="2658" spans="1:11" ht="21" x14ac:dyDescent="0.25">
      <c r="A2658" s="11" t="str">
        <f>HYPERLINK("https://rth.dk/resources/bsgatlas/details.php?id=BSGatlas-transcript-2657","BSGatlas-transcript-2657")</f>
        <v>BSGatlas-transcript-2657</v>
      </c>
      <c r="B2658" s="1" t="s">
        <v>2480</v>
      </c>
      <c r="C2658" s="3">
        <v>2433788</v>
      </c>
      <c r="D2658" s="3">
        <v>2434859</v>
      </c>
      <c r="E2658" s="1" t="s">
        <v>9</v>
      </c>
      <c r="F2658" s="1">
        <v>0</v>
      </c>
      <c r="G2658" s="1" t="s">
        <v>4372</v>
      </c>
      <c r="H2658" s="1" t="s">
        <v>4372</v>
      </c>
      <c r="I2658" s="1" t="s">
        <v>4377</v>
      </c>
      <c r="J2658" s="1" t="s">
        <v>8313</v>
      </c>
      <c r="K2658" s="1" t="s">
        <v>8314</v>
      </c>
    </row>
    <row r="2659" spans="1:11" ht="21" x14ac:dyDescent="0.25">
      <c r="A2659" s="11" t="str">
        <f>HYPERLINK("https://rth.dk/resources/bsgatlas/details.php?id=BSGatlas-transcript-2658","BSGatlas-transcript-2658")</f>
        <v>BSGatlas-transcript-2658</v>
      </c>
      <c r="B2659" s="1" t="s">
        <v>2479</v>
      </c>
      <c r="C2659" s="3">
        <v>2434143</v>
      </c>
      <c r="D2659" s="3">
        <v>2434346</v>
      </c>
      <c r="E2659" s="1" t="s">
        <v>13</v>
      </c>
      <c r="F2659" s="1">
        <v>0</v>
      </c>
      <c r="G2659" s="1" t="s">
        <v>4372</v>
      </c>
      <c r="H2659" s="1" t="s">
        <v>4372</v>
      </c>
      <c r="I2659" s="1" t="s">
        <v>4382</v>
      </c>
      <c r="J2659" s="1" t="s">
        <v>318</v>
      </c>
      <c r="K2659" s="1" t="s">
        <v>318</v>
      </c>
    </row>
    <row r="2660" spans="1:11" ht="21" x14ac:dyDescent="0.25">
      <c r="A2660" s="11" t="str">
        <f>HYPERLINK("https://rth.dk/resources/bsgatlas/details.php?id=BSGatlas-transcript-2659","BSGatlas-transcript-2659")</f>
        <v>BSGatlas-transcript-2659</v>
      </c>
      <c r="B2660" s="1" t="s">
        <v>2481</v>
      </c>
      <c r="C2660" s="3">
        <v>2434970</v>
      </c>
      <c r="D2660" s="3">
        <v>2435240</v>
      </c>
      <c r="E2660" s="1" t="s">
        <v>9</v>
      </c>
      <c r="F2660" s="1">
        <v>0</v>
      </c>
      <c r="G2660" s="1" t="s">
        <v>4372</v>
      </c>
      <c r="H2660" s="1" t="s">
        <v>4372</v>
      </c>
      <c r="I2660" s="1" t="s">
        <v>4397</v>
      </c>
      <c r="J2660" s="1" t="s">
        <v>8315</v>
      </c>
      <c r="K2660" s="1" t="s">
        <v>8316</v>
      </c>
    </row>
    <row r="2661" spans="1:11" ht="21" x14ac:dyDescent="0.25">
      <c r="A2661" s="11" t="str">
        <f>HYPERLINK("https://rth.dk/resources/bsgatlas/details.php?id=BSGatlas-transcript-2660","BSGatlas-transcript-2660")</f>
        <v>BSGatlas-transcript-2660</v>
      </c>
      <c r="B2661" s="1" t="s">
        <v>2482</v>
      </c>
      <c r="C2661" s="3">
        <v>2435310</v>
      </c>
      <c r="D2661" s="3">
        <v>2435822</v>
      </c>
      <c r="E2661" s="1" t="s">
        <v>13</v>
      </c>
      <c r="F2661" s="1">
        <v>0</v>
      </c>
      <c r="G2661" s="1" t="s">
        <v>4372</v>
      </c>
      <c r="H2661" s="1" t="s">
        <v>4372</v>
      </c>
      <c r="I2661" s="1" t="s">
        <v>4373</v>
      </c>
      <c r="J2661" s="1" t="s">
        <v>8317</v>
      </c>
      <c r="K2661" s="1" t="s">
        <v>8318</v>
      </c>
    </row>
    <row r="2662" spans="1:11" ht="21" x14ac:dyDescent="0.25">
      <c r="A2662" s="11" t="str">
        <f>HYPERLINK("https://rth.dk/resources/bsgatlas/details.php?id=BSGatlas-transcript-2661","BSGatlas-transcript-2661")</f>
        <v>BSGatlas-transcript-2661</v>
      </c>
      <c r="B2662" s="1" t="s">
        <v>2482</v>
      </c>
      <c r="C2662" s="3">
        <v>2435310</v>
      </c>
      <c r="D2662" s="3">
        <v>2435878</v>
      </c>
      <c r="E2662" s="1" t="s">
        <v>13</v>
      </c>
      <c r="F2662" s="1">
        <v>0</v>
      </c>
      <c r="G2662" s="1" t="s">
        <v>4372</v>
      </c>
      <c r="H2662" s="1" t="s">
        <v>4372</v>
      </c>
      <c r="I2662" s="1" t="s">
        <v>4373</v>
      </c>
      <c r="J2662" s="1" t="s">
        <v>8319</v>
      </c>
      <c r="K2662" s="1" t="s">
        <v>8318</v>
      </c>
    </row>
    <row r="2663" spans="1:11" ht="21" x14ac:dyDescent="0.25">
      <c r="A2663" s="11" t="str">
        <f>HYPERLINK("https://rth.dk/resources/bsgatlas/details.php?id=BSGatlas-transcript-2662","BSGatlas-transcript-2662")</f>
        <v>BSGatlas-transcript-2662</v>
      </c>
      <c r="B2663" s="1" t="s">
        <v>2483</v>
      </c>
      <c r="C2663" s="3">
        <v>2435947</v>
      </c>
      <c r="D2663" s="3">
        <v>2436917</v>
      </c>
      <c r="E2663" s="1" t="s">
        <v>9</v>
      </c>
      <c r="F2663" s="1">
        <v>0</v>
      </c>
      <c r="G2663" s="1" t="s">
        <v>4372</v>
      </c>
      <c r="H2663" s="1" t="s">
        <v>4372</v>
      </c>
      <c r="I2663" s="1" t="s">
        <v>4373</v>
      </c>
      <c r="J2663" s="1" t="s">
        <v>8320</v>
      </c>
      <c r="K2663" s="1" t="s">
        <v>8321</v>
      </c>
    </row>
    <row r="2664" spans="1:11" ht="21" x14ac:dyDescent="0.25">
      <c r="A2664" s="11" t="str">
        <f>HYPERLINK("https://rth.dk/resources/bsgatlas/details.php?id=BSGatlas-transcript-2663","BSGatlas-transcript-2663")</f>
        <v>BSGatlas-transcript-2663</v>
      </c>
      <c r="B2664" s="1" t="s">
        <v>2483</v>
      </c>
      <c r="C2664" s="3">
        <v>2435947</v>
      </c>
      <c r="D2664" s="3">
        <v>2436917</v>
      </c>
      <c r="E2664" s="1" t="s">
        <v>9</v>
      </c>
      <c r="F2664" s="1">
        <v>0</v>
      </c>
      <c r="G2664" s="1" t="s">
        <v>4372</v>
      </c>
      <c r="H2664" s="1" t="s">
        <v>4372</v>
      </c>
      <c r="I2664" s="1" t="s">
        <v>4373</v>
      </c>
      <c r="J2664" s="1" t="s">
        <v>8320</v>
      </c>
      <c r="K2664" s="1" t="s">
        <v>8322</v>
      </c>
    </row>
    <row r="2665" spans="1:11" ht="21" x14ac:dyDescent="0.25">
      <c r="A2665" s="11" t="str">
        <f>HYPERLINK("https://rth.dk/resources/bsgatlas/details.php?id=BSGatlas-transcript-2664","BSGatlas-transcript-2664")</f>
        <v>BSGatlas-transcript-2664</v>
      </c>
      <c r="B2665" s="1" t="s">
        <v>2483</v>
      </c>
      <c r="C2665" s="3">
        <v>2435947</v>
      </c>
      <c r="D2665" s="3">
        <v>2436940</v>
      </c>
      <c r="E2665" s="1" t="s">
        <v>9</v>
      </c>
      <c r="F2665" s="1">
        <v>0</v>
      </c>
      <c r="G2665" s="1" t="s">
        <v>4372</v>
      </c>
      <c r="H2665" s="1" t="s">
        <v>4372</v>
      </c>
      <c r="I2665" s="1" t="s">
        <v>4373</v>
      </c>
      <c r="J2665" s="1" t="s">
        <v>8320</v>
      </c>
      <c r="K2665" s="1" t="s">
        <v>8323</v>
      </c>
    </row>
    <row r="2666" spans="1:11" ht="21" x14ac:dyDescent="0.25">
      <c r="A2666" s="11" t="str">
        <f>HYPERLINK("https://rth.dk/resources/bsgatlas/details.php?id=BSGatlas-transcript-2665","BSGatlas-transcript-2665")</f>
        <v>BSGatlas-transcript-2665</v>
      </c>
      <c r="B2666" s="1" t="s">
        <v>2484</v>
      </c>
      <c r="C2666" s="3">
        <v>2436947</v>
      </c>
      <c r="D2666" s="3">
        <v>2438331</v>
      </c>
      <c r="E2666" s="1" t="s">
        <v>13</v>
      </c>
      <c r="F2666" s="1">
        <v>0</v>
      </c>
      <c r="G2666" s="1" t="s">
        <v>4372</v>
      </c>
      <c r="H2666" s="1" t="s">
        <v>4372</v>
      </c>
      <c r="I2666" s="1" t="s">
        <v>4386</v>
      </c>
      <c r="J2666" s="1" t="s">
        <v>8324</v>
      </c>
      <c r="K2666" s="1" t="s">
        <v>8325</v>
      </c>
    </row>
    <row r="2667" spans="1:11" ht="21" x14ac:dyDescent="0.25">
      <c r="A2667" s="11" t="str">
        <f>HYPERLINK("https://rth.dk/resources/bsgatlas/details.php?id=BSGatlas-transcript-2666","BSGatlas-transcript-2666")</f>
        <v>BSGatlas-transcript-2666</v>
      </c>
      <c r="B2667" s="1" t="s">
        <v>8326</v>
      </c>
      <c r="C2667" s="3">
        <v>2436947</v>
      </c>
      <c r="D2667" s="3">
        <v>2439853</v>
      </c>
      <c r="E2667" s="1" t="s">
        <v>13</v>
      </c>
      <c r="F2667" s="1">
        <v>1</v>
      </c>
      <c r="G2667" s="1" t="s">
        <v>4372</v>
      </c>
      <c r="H2667" s="1" t="s">
        <v>4372</v>
      </c>
      <c r="I2667" s="1" t="s">
        <v>4377</v>
      </c>
      <c r="J2667" s="1" t="s">
        <v>8327</v>
      </c>
      <c r="K2667" s="1" t="s">
        <v>8325</v>
      </c>
    </row>
    <row r="2668" spans="1:11" ht="21" x14ac:dyDescent="0.25">
      <c r="A2668" s="11" t="str">
        <f>HYPERLINK("https://rth.dk/resources/bsgatlas/details.php?id=BSGatlas-transcript-2667","BSGatlas-transcript-2667")</f>
        <v>BSGatlas-transcript-2667</v>
      </c>
      <c r="B2668" s="1" t="s">
        <v>8328</v>
      </c>
      <c r="C2668" s="3">
        <v>2436947</v>
      </c>
      <c r="D2668" s="3">
        <v>2443331</v>
      </c>
      <c r="E2668" s="1" t="s">
        <v>13</v>
      </c>
      <c r="F2668" s="1">
        <v>1</v>
      </c>
      <c r="G2668" s="1">
        <v>28</v>
      </c>
      <c r="H2668" s="1" t="s">
        <v>4372</v>
      </c>
      <c r="I2668" s="1" t="s">
        <v>7186</v>
      </c>
      <c r="J2668" s="1" t="s">
        <v>8329</v>
      </c>
      <c r="K2668" s="1" t="s">
        <v>8325</v>
      </c>
    </row>
    <row r="2669" spans="1:11" ht="21" x14ac:dyDescent="0.25">
      <c r="A2669" s="11" t="str">
        <f>HYPERLINK("https://rth.dk/resources/bsgatlas/details.php?id=BSGatlas-transcript-2668","BSGatlas-transcript-2668")</f>
        <v>BSGatlas-transcript-2668</v>
      </c>
      <c r="B2669" s="1" t="s">
        <v>8330</v>
      </c>
      <c r="C2669" s="3">
        <v>2438372</v>
      </c>
      <c r="D2669" s="3">
        <v>2443331</v>
      </c>
      <c r="E2669" s="1" t="s">
        <v>13</v>
      </c>
      <c r="F2669" s="1">
        <v>0</v>
      </c>
      <c r="G2669" s="1" t="s">
        <v>4372</v>
      </c>
      <c r="H2669" s="1" t="s">
        <v>4372</v>
      </c>
      <c r="I2669" s="1" t="s">
        <v>4547</v>
      </c>
      <c r="J2669" s="1" t="s">
        <v>8329</v>
      </c>
      <c r="K2669" s="1" t="s">
        <v>318</v>
      </c>
    </row>
    <row r="2670" spans="1:11" ht="21" x14ac:dyDescent="0.25">
      <c r="A2670" s="11" t="str">
        <f>HYPERLINK("https://rth.dk/resources/bsgatlas/details.php?id=BSGatlas-transcript-2669","BSGatlas-transcript-2669")</f>
        <v>BSGatlas-transcript-2669</v>
      </c>
      <c r="B2670" s="1" t="s">
        <v>8331</v>
      </c>
      <c r="C2670" s="3">
        <v>2443396</v>
      </c>
      <c r="D2670" s="3">
        <v>2445025</v>
      </c>
      <c r="E2670" s="1" t="s">
        <v>13</v>
      </c>
      <c r="F2670" s="1">
        <v>0</v>
      </c>
      <c r="G2670" s="1" t="s">
        <v>4372</v>
      </c>
      <c r="H2670" s="1" t="s">
        <v>4372</v>
      </c>
      <c r="I2670" s="1" t="s">
        <v>4386</v>
      </c>
      <c r="J2670" s="1" t="s">
        <v>8332</v>
      </c>
      <c r="K2670" s="1" t="s">
        <v>8333</v>
      </c>
    </row>
    <row r="2671" spans="1:11" ht="21" x14ac:dyDescent="0.25">
      <c r="A2671" s="11" t="str">
        <f>HYPERLINK("https://rth.dk/resources/bsgatlas/details.php?id=BSGatlas-transcript-2670","BSGatlas-transcript-2670")</f>
        <v>BSGatlas-transcript-2670</v>
      </c>
      <c r="B2671" s="1" t="s">
        <v>8334</v>
      </c>
      <c r="C2671" s="3">
        <v>2443396</v>
      </c>
      <c r="D2671" s="3">
        <v>2446288</v>
      </c>
      <c r="E2671" s="1" t="s">
        <v>13</v>
      </c>
      <c r="F2671" s="1">
        <v>1</v>
      </c>
      <c r="G2671" s="1">
        <v>26</v>
      </c>
      <c r="H2671" s="1">
        <v>34</v>
      </c>
      <c r="I2671" s="1" t="s">
        <v>4373</v>
      </c>
      <c r="J2671" s="1" t="s">
        <v>8335</v>
      </c>
      <c r="K2671" s="1" t="s">
        <v>8333</v>
      </c>
    </row>
    <row r="2672" spans="1:11" ht="21" x14ac:dyDescent="0.25">
      <c r="A2672" s="11" t="str">
        <f>HYPERLINK("https://rth.dk/resources/bsgatlas/details.php?id=BSGatlas-transcript-2671","BSGatlas-transcript-2671")</f>
        <v>BSGatlas-transcript-2671</v>
      </c>
      <c r="B2672" s="1" t="s">
        <v>8336</v>
      </c>
      <c r="C2672" s="3">
        <v>2446349</v>
      </c>
      <c r="D2672" s="3">
        <v>2448454</v>
      </c>
      <c r="E2672" s="1" t="s">
        <v>13</v>
      </c>
      <c r="F2672" s="1">
        <v>0</v>
      </c>
      <c r="G2672" s="1" t="s">
        <v>4372</v>
      </c>
      <c r="H2672" s="1" t="s">
        <v>4372</v>
      </c>
      <c r="I2672" s="1" t="s">
        <v>4373</v>
      </c>
      <c r="J2672" s="1" t="s">
        <v>8337</v>
      </c>
      <c r="K2672" s="1" t="s">
        <v>8338</v>
      </c>
    </row>
    <row r="2673" spans="1:11" ht="21" x14ac:dyDescent="0.25">
      <c r="A2673" s="11" t="str">
        <f>HYPERLINK("https://rth.dk/resources/bsgatlas/details.php?id=BSGatlas-transcript-2672","BSGatlas-transcript-2672")</f>
        <v>BSGatlas-transcript-2672</v>
      </c>
      <c r="B2673" s="1" t="s">
        <v>8336</v>
      </c>
      <c r="C2673" s="3">
        <v>2446349</v>
      </c>
      <c r="D2673" s="3">
        <v>2448483</v>
      </c>
      <c r="E2673" s="1" t="s">
        <v>13</v>
      </c>
      <c r="F2673" s="1">
        <v>0</v>
      </c>
      <c r="G2673" s="1" t="s">
        <v>4372</v>
      </c>
      <c r="H2673" s="1" t="s">
        <v>4372</v>
      </c>
      <c r="I2673" s="1" t="s">
        <v>4373</v>
      </c>
      <c r="J2673" s="1" t="s">
        <v>8339</v>
      </c>
      <c r="K2673" s="1" t="s">
        <v>8338</v>
      </c>
    </row>
    <row r="2674" spans="1:11" ht="21" x14ac:dyDescent="0.25">
      <c r="A2674" s="11" t="str">
        <f>HYPERLINK("https://rth.dk/resources/bsgatlas/details.php?id=BSGatlas-transcript-2673","BSGatlas-transcript-2673")</f>
        <v>BSGatlas-transcript-2673</v>
      </c>
      <c r="B2674" s="1" t="s">
        <v>2498</v>
      </c>
      <c r="C2674" s="3">
        <v>2449489</v>
      </c>
      <c r="D2674" s="3">
        <v>2449716</v>
      </c>
      <c r="E2674" s="1" t="s">
        <v>13</v>
      </c>
      <c r="F2674" s="1">
        <v>0</v>
      </c>
      <c r="G2674" s="1" t="s">
        <v>4372</v>
      </c>
      <c r="H2674" s="1" t="s">
        <v>4372</v>
      </c>
      <c r="I2674" s="1" t="s">
        <v>4377</v>
      </c>
      <c r="J2674" s="1" t="s">
        <v>8340</v>
      </c>
      <c r="K2674" s="1" t="s">
        <v>318</v>
      </c>
    </row>
    <row r="2675" spans="1:11" ht="21" x14ac:dyDescent="0.25">
      <c r="A2675" s="11" t="str">
        <f>HYPERLINK("https://rth.dk/resources/bsgatlas/details.php?id=BSGatlas-transcript-2674","BSGatlas-transcript-2674")</f>
        <v>BSGatlas-transcript-2674</v>
      </c>
      <c r="B2675" s="1" t="s">
        <v>2498</v>
      </c>
      <c r="C2675" s="3">
        <v>2449489</v>
      </c>
      <c r="D2675" s="3">
        <v>2449716</v>
      </c>
      <c r="E2675" s="1" t="s">
        <v>13</v>
      </c>
      <c r="F2675" s="1">
        <v>0</v>
      </c>
      <c r="G2675" s="1" t="s">
        <v>4372</v>
      </c>
      <c r="H2675" s="1" t="s">
        <v>4372</v>
      </c>
      <c r="I2675" s="1" t="s">
        <v>4377</v>
      </c>
      <c r="J2675" s="1" t="s">
        <v>8341</v>
      </c>
      <c r="K2675" s="1" t="s">
        <v>318</v>
      </c>
    </row>
    <row r="2676" spans="1:11" ht="21" x14ac:dyDescent="0.25">
      <c r="A2676" s="11" t="str">
        <f>HYPERLINK("https://rth.dk/resources/bsgatlas/details.php?id=BSGatlas-transcript-2675","BSGatlas-transcript-2675")</f>
        <v>BSGatlas-transcript-2675</v>
      </c>
      <c r="B2676" s="1" t="s">
        <v>2498</v>
      </c>
      <c r="C2676" s="3">
        <v>2449489</v>
      </c>
      <c r="D2676" s="3">
        <v>2449759</v>
      </c>
      <c r="E2676" s="1" t="s">
        <v>13</v>
      </c>
      <c r="F2676" s="1">
        <v>0</v>
      </c>
      <c r="G2676" s="1" t="s">
        <v>4372</v>
      </c>
      <c r="H2676" s="1" t="s">
        <v>4372</v>
      </c>
      <c r="I2676" s="1" t="s">
        <v>4377</v>
      </c>
      <c r="J2676" s="1" t="s">
        <v>8342</v>
      </c>
      <c r="K2676" s="1" t="s">
        <v>318</v>
      </c>
    </row>
    <row r="2677" spans="1:11" ht="21" x14ac:dyDescent="0.25">
      <c r="A2677" s="11" t="str">
        <f>HYPERLINK("https://rth.dk/resources/bsgatlas/details.php?id=BSGatlas-transcript-2676","BSGatlas-transcript-2676")</f>
        <v>BSGatlas-transcript-2676</v>
      </c>
      <c r="B2677" s="1" t="s">
        <v>2499</v>
      </c>
      <c r="C2677" s="3">
        <v>2449788</v>
      </c>
      <c r="D2677" s="3">
        <v>2450317</v>
      </c>
      <c r="E2677" s="1" t="s">
        <v>13</v>
      </c>
      <c r="F2677" s="1">
        <v>0</v>
      </c>
      <c r="G2677" s="1" t="s">
        <v>4372</v>
      </c>
      <c r="H2677" s="1" t="s">
        <v>4372</v>
      </c>
      <c r="I2677" s="1" t="s">
        <v>4373</v>
      </c>
      <c r="J2677" s="1" t="s">
        <v>8343</v>
      </c>
      <c r="K2677" s="1" t="s">
        <v>8344</v>
      </c>
    </row>
    <row r="2678" spans="1:11" ht="21" x14ac:dyDescent="0.25">
      <c r="A2678" s="11" t="str">
        <f>HYPERLINK("https://rth.dk/resources/bsgatlas/details.php?id=BSGatlas-transcript-2677","BSGatlas-transcript-2677")</f>
        <v>BSGatlas-transcript-2677</v>
      </c>
      <c r="B2678" s="1" t="s">
        <v>2500</v>
      </c>
      <c r="C2678" s="3">
        <v>2450403</v>
      </c>
      <c r="D2678" s="3">
        <v>2451083</v>
      </c>
      <c r="E2678" s="1" t="s">
        <v>13</v>
      </c>
      <c r="F2678" s="1">
        <v>0</v>
      </c>
      <c r="G2678" s="1" t="s">
        <v>4372</v>
      </c>
      <c r="H2678" s="1" t="s">
        <v>4372</v>
      </c>
      <c r="I2678" s="1" t="s">
        <v>4373</v>
      </c>
      <c r="J2678" s="1" t="s">
        <v>8345</v>
      </c>
      <c r="K2678" s="1" t="s">
        <v>318</v>
      </c>
    </row>
    <row r="2679" spans="1:11" ht="21" x14ac:dyDescent="0.25">
      <c r="A2679" s="11" t="str">
        <f>HYPERLINK("https://rth.dk/resources/bsgatlas/details.php?id=BSGatlas-transcript-2678","BSGatlas-transcript-2678")</f>
        <v>BSGatlas-transcript-2678</v>
      </c>
      <c r="B2679" s="1" t="s">
        <v>2501</v>
      </c>
      <c r="C2679" s="3">
        <v>2451148</v>
      </c>
      <c r="D2679" s="3">
        <v>2451363</v>
      </c>
      <c r="E2679" s="1" t="s">
        <v>13</v>
      </c>
      <c r="F2679" s="1">
        <v>0</v>
      </c>
      <c r="G2679" s="1" t="s">
        <v>4372</v>
      </c>
      <c r="H2679" s="1" t="s">
        <v>4372</v>
      </c>
      <c r="I2679" s="1" t="s">
        <v>4377</v>
      </c>
      <c r="J2679" s="1" t="s">
        <v>318</v>
      </c>
      <c r="K2679" s="1" t="s">
        <v>8346</v>
      </c>
    </row>
    <row r="2680" spans="1:11" ht="21" x14ac:dyDescent="0.25">
      <c r="A2680" s="11" t="str">
        <f>HYPERLINK("https://rth.dk/resources/bsgatlas/details.php?id=BSGatlas-transcript-2679","BSGatlas-transcript-2679")</f>
        <v>BSGatlas-transcript-2679</v>
      </c>
      <c r="B2680" s="1" t="s">
        <v>8347</v>
      </c>
      <c r="C2680" s="3">
        <v>2451448</v>
      </c>
      <c r="D2680" s="3">
        <v>2454263</v>
      </c>
      <c r="E2680" s="1" t="s">
        <v>13</v>
      </c>
      <c r="F2680" s="1">
        <v>1</v>
      </c>
      <c r="G2680" s="1">
        <v>58</v>
      </c>
      <c r="H2680" s="1">
        <v>16</v>
      </c>
      <c r="I2680" s="1" t="s">
        <v>4386</v>
      </c>
      <c r="J2680" s="1" t="s">
        <v>8348</v>
      </c>
      <c r="K2680" s="1" t="s">
        <v>8349</v>
      </c>
    </row>
    <row r="2681" spans="1:11" ht="21" x14ac:dyDescent="0.25">
      <c r="A2681" s="11" t="str">
        <f>HYPERLINK("https://rth.dk/resources/bsgatlas/details.php?id=BSGatlas-transcript-2680","BSGatlas-transcript-2680")</f>
        <v>BSGatlas-transcript-2680</v>
      </c>
      <c r="B2681" s="1" t="s">
        <v>8350</v>
      </c>
      <c r="C2681" s="3">
        <v>2451448</v>
      </c>
      <c r="D2681" s="3">
        <v>2456875</v>
      </c>
      <c r="E2681" s="1" t="s">
        <v>13</v>
      </c>
      <c r="F2681" s="1">
        <v>3</v>
      </c>
      <c r="G2681" s="1">
        <v>68</v>
      </c>
      <c r="H2681" s="1">
        <v>16</v>
      </c>
      <c r="I2681" s="1" t="s">
        <v>4386</v>
      </c>
      <c r="J2681" s="1" t="s">
        <v>8351</v>
      </c>
      <c r="K2681" s="1" t="s">
        <v>8349</v>
      </c>
    </row>
    <row r="2682" spans="1:11" ht="21" x14ac:dyDescent="0.25">
      <c r="A2682" s="11" t="str">
        <f>HYPERLINK("https://rth.dk/resources/bsgatlas/details.php?id=BSGatlas-transcript-2681","BSGatlas-transcript-2681")</f>
        <v>BSGatlas-transcript-2681</v>
      </c>
      <c r="B2682" s="1" t="s">
        <v>8352</v>
      </c>
      <c r="C2682" s="3">
        <v>2454347</v>
      </c>
      <c r="D2682" s="3">
        <v>2456875</v>
      </c>
      <c r="E2682" s="1" t="s">
        <v>13</v>
      </c>
      <c r="F2682" s="1">
        <v>1</v>
      </c>
      <c r="G2682" s="1">
        <v>68</v>
      </c>
      <c r="H2682" s="1" t="s">
        <v>4372</v>
      </c>
      <c r="I2682" s="1" t="s">
        <v>4373</v>
      </c>
      <c r="J2682" s="1" t="s">
        <v>8351</v>
      </c>
      <c r="K2682" s="1" t="s">
        <v>318</v>
      </c>
    </row>
    <row r="2683" spans="1:11" ht="21" x14ac:dyDescent="0.25">
      <c r="A2683" s="11" t="str">
        <f>HYPERLINK("https://rth.dk/resources/bsgatlas/details.php?id=BSGatlas-transcript-2682","BSGatlas-transcript-2682")</f>
        <v>BSGatlas-transcript-2682</v>
      </c>
      <c r="B2683" s="1" t="s">
        <v>2506</v>
      </c>
      <c r="C2683" s="3">
        <v>2456951</v>
      </c>
      <c r="D2683" s="3">
        <v>2457522</v>
      </c>
      <c r="E2683" s="1" t="s">
        <v>9</v>
      </c>
      <c r="F2683" s="1">
        <v>0</v>
      </c>
      <c r="G2683" s="1" t="s">
        <v>4372</v>
      </c>
      <c r="H2683" s="1" t="s">
        <v>4372</v>
      </c>
      <c r="I2683" s="1" t="s">
        <v>4373</v>
      </c>
      <c r="J2683" s="1" t="s">
        <v>8353</v>
      </c>
      <c r="K2683" s="1" t="s">
        <v>8354</v>
      </c>
    </row>
    <row r="2684" spans="1:11" ht="21" x14ac:dyDescent="0.25">
      <c r="A2684" s="11" t="str">
        <f>HYPERLINK("https://rth.dk/resources/bsgatlas/details.php?id=BSGatlas-transcript-2683","BSGatlas-transcript-2683")</f>
        <v>BSGatlas-transcript-2683</v>
      </c>
      <c r="B2684" s="1" t="s">
        <v>8355</v>
      </c>
      <c r="C2684" s="3">
        <v>2457233</v>
      </c>
      <c r="D2684" s="3">
        <v>2459066</v>
      </c>
      <c r="E2684" s="1" t="s">
        <v>13</v>
      </c>
      <c r="F2684" s="1">
        <v>0</v>
      </c>
      <c r="G2684" s="1" t="s">
        <v>4372</v>
      </c>
      <c r="H2684" s="1" t="s">
        <v>4372</v>
      </c>
      <c r="I2684" s="1" t="s">
        <v>4386</v>
      </c>
      <c r="J2684" s="1" t="s">
        <v>8356</v>
      </c>
      <c r="K2684" s="1" t="s">
        <v>8357</v>
      </c>
    </row>
    <row r="2685" spans="1:11" ht="21" x14ac:dyDescent="0.25">
      <c r="A2685" s="11" t="str">
        <f>HYPERLINK("https://rth.dk/resources/bsgatlas/details.php?id=BSGatlas-transcript-2684","BSGatlas-transcript-2684")</f>
        <v>BSGatlas-transcript-2684</v>
      </c>
      <c r="B2685" s="1" t="s">
        <v>8355</v>
      </c>
      <c r="C2685" s="3">
        <v>2457233</v>
      </c>
      <c r="D2685" s="3">
        <v>2459122</v>
      </c>
      <c r="E2685" s="1" t="s">
        <v>13</v>
      </c>
      <c r="F2685" s="1">
        <v>0</v>
      </c>
      <c r="G2685" s="1" t="s">
        <v>4372</v>
      </c>
      <c r="H2685" s="1" t="s">
        <v>4372</v>
      </c>
      <c r="I2685" s="1" t="s">
        <v>4386</v>
      </c>
      <c r="J2685" s="1" t="s">
        <v>8358</v>
      </c>
      <c r="K2685" s="1" t="s">
        <v>8357</v>
      </c>
    </row>
    <row r="2686" spans="1:11" ht="21" x14ac:dyDescent="0.25">
      <c r="A2686" s="11" t="str">
        <f>HYPERLINK("https://rth.dk/resources/bsgatlas/details.php?id=BSGatlas-transcript-2685","BSGatlas-transcript-2685")</f>
        <v>BSGatlas-transcript-2685</v>
      </c>
      <c r="B2686" s="1" t="s">
        <v>8359</v>
      </c>
      <c r="C2686" s="3">
        <v>2459107</v>
      </c>
      <c r="D2686" s="3">
        <v>2460291</v>
      </c>
      <c r="E2686" s="1" t="s">
        <v>9</v>
      </c>
      <c r="F2686" s="1">
        <v>1</v>
      </c>
      <c r="G2686" s="1">
        <v>35</v>
      </c>
      <c r="H2686" s="1">
        <v>46</v>
      </c>
      <c r="I2686" s="1" t="s">
        <v>4386</v>
      </c>
      <c r="J2686" s="1" t="s">
        <v>8360</v>
      </c>
      <c r="K2686" s="1" t="s">
        <v>8361</v>
      </c>
    </row>
    <row r="2687" spans="1:11" ht="21" x14ac:dyDescent="0.25">
      <c r="A2687" s="11" t="str">
        <f>HYPERLINK("https://rth.dk/resources/bsgatlas/details.php?id=BSGatlas-transcript-2686","BSGatlas-transcript-2686")</f>
        <v>BSGatlas-transcript-2686</v>
      </c>
      <c r="B2687" s="1" t="s">
        <v>2510</v>
      </c>
      <c r="C2687" s="3">
        <v>2459290</v>
      </c>
      <c r="D2687" s="3">
        <v>2460291</v>
      </c>
      <c r="E2687" s="1" t="s">
        <v>9</v>
      </c>
      <c r="F2687" s="1">
        <v>0</v>
      </c>
      <c r="G2687" s="1" t="s">
        <v>4372</v>
      </c>
      <c r="H2687" s="1" t="s">
        <v>4372</v>
      </c>
      <c r="I2687" s="1" t="s">
        <v>4373</v>
      </c>
      <c r="J2687" s="1" t="s">
        <v>8362</v>
      </c>
      <c r="K2687" s="1" t="s">
        <v>8361</v>
      </c>
    </row>
    <row r="2688" spans="1:11" ht="21" x14ac:dyDescent="0.25">
      <c r="A2688" s="11" t="str">
        <f>HYPERLINK("https://rth.dk/resources/bsgatlas/details.php?id=BSGatlas-transcript-2687","BSGatlas-transcript-2687")</f>
        <v>BSGatlas-transcript-2687</v>
      </c>
      <c r="B2688" s="1" t="s">
        <v>2511</v>
      </c>
      <c r="C2688" s="3">
        <v>2460240</v>
      </c>
      <c r="D2688" s="3">
        <v>2460532</v>
      </c>
      <c r="E2688" s="1" t="s">
        <v>13</v>
      </c>
      <c r="F2688" s="1">
        <v>0</v>
      </c>
      <c r="G2688" s="1" t="s">
        <v>4372</v>
      </c>
      <c r="H2688" s="1" t="s">
        <v>4372</v>
      </c>
      <c r="I2688" s="1" t="s">
        <v>4373</v>
      </c>
      <c r="J2688" s="1" t="s">
        <v>8363</v>
      </c>
      <c r="K2688" s="1" t="s">
        <v>8364</v>
      </c>
    </row>
    <row r="2689" spans="1:11" ht="21" x14ac:dyDescent="0.25">
      <c r="A2689" s="11" t="str">
        <f>HYPERLINK("https://rth.dk/resources/bsgatlas/details.php?id=BSGatlas-transcript-2688","BSGatlas-transcript-2688")</f>
        <v>BSGatlas-transcript-2688</v>
      </c>
      <c r="B2689" s="1" t="s">
        <v>2511</v>
      </c>
      <c r="C2689" s="3">
        <v>2460278</v>
      </c>
      <c r="D2689" s="3">
        <v>2460532</v>
      </c>
      <c r="E2689" s="1" t="s">
        <v>13</v>
      </c>
      <c r="F2689" s="1">
        <v>0</v>
      </c>
      <c r="G2689" s="1" t="s">
        <v>4372</v>
      </c>
      <c r="H2689" s="1" t="s">
        <v>4372</v>
      </c>
      <c r="I2689" s="1" t="s">
        <v>4373</v>
      </c>
      <c r="J2689" s="1" t="s">
        <v>8363</v>
      </c>
      <c r="K2689" s="1" t="s">
        <v>8365</v>
      </c>
    </row>
    <row r="2690" spans="1:11" ht="21" x14ac:dyDescent="0.25">
      <c r="A2690" s="11" t="str">
        <f>HYPERLINK("https://rth.dk/resources/bsgatlas/details.php?id=BSGatlas-transcript-2689","BSGatlas-transcript-2689")</f>
        <v>BSGatlas-transcript-2689</v>
      </c>
      <c r="B2690" s="1" t="s">
        <v>2512</v>
      </c>
      <c r="C2690" s="3">
        <v>2460610</v>
      </c>
      <c r="D2690" s="3">
        <v>2461581</v>
      </c>
      <c r="E2690" s="1" t="s">
        <v>9</v>
      </c>
      <c r="F2690" s="1">
        <v>0</v>
      </c>
      <c r="G2690" s="1" t="s">
        <v>4372</v>
      </c>
      <c r="H2690" s="1" t="s">
        <v>4372</v>
      </c>
      <c r="I2690" s="1" t="s">
        <v>4373</v>
      </c>
      <c r="J2690" s="1" t="s">
        <v>8366</v>
      </c>
      <c r="K2690" s="1" t="s">
        <v>8367</v>
      </c>
    </row>
    <row r="2691" spans="1:11" ht="21" x14ac:dyDescent="0.25">
      <c r="A2691" s="11" t="str">
        <f>HYPERLINK("https://rth.dk/resources/bsgatlas/details.php?id=BSGatlas-transcript-2690","BSGatlas-transcript-2690")</f>
        <v>BSGatlas-transcript-2690</v>
      </c>
      <c r="B2691" s="1" t="s">
        <v>2512</v>
      </c>
      <c r="C2691" s="3">
        <v>2460610</v>
      </c>
      <c r="D2691" s="3">
        <v>2461620</v>
      </c>
      <c r="E2691" s="1" t="s">
        <v>9</v>
      </c>
      <c r="F2691" s="1">
        <v>0</v>
      </c>
      <c r="G2691" s="1" t="s">
        <v>4372</v>
      </c>
      <c r="H2691" s="1" t="s">
        <v>4372</v>
      </c>
      <c r="I2691" s="1" t="s">
        <v>4373</v>
      </c>
      <c r="J2691" s="1" t="s">
        <v>8366</v>
      </c>
      <c r="K2691" s="1" t="s">
        <v>8368</v>
      </c>
    </row>
    <row r="2692" spans="1:11" ht="21" x14ac:dyDescent="0.25">
      <c r="A2692" s="11" t="str">
        <f>HYPERLINK("https://rth.dk/resources/bsgatlas/details.php?id=BSGatlas-transcript-2691","BSGatlas-transcript-2691")</f>
        <v>BSGatlas-transcript-2691</v>
      </c>
      <c r="B2692" s="1" t="s">
        <v>2513</v>
      </c>
      <c r="C2692" s="3">
        <v>2461571</v>
      </c>
      <c r="D2692" s="3">
        <v>2461940</v>
      </c>
      <c r="E2692" s="1" t="s">
        <v>13</v>
      </c>
      <c r="F2692" s="1">
        <v>0</v>
      </c>
      <c r="G2692" s="1" t="s">
        <v>4372</v>
      </c>
      <c r="H2692" s="1" t="s">
        <v>4372</v>
      </c>
      <c r="I2692" s="1" t="s">
        <v>4377</v>
      </c>
      <c r="J2692" s="1" t="s">
        <v>8369</v>
      </c>
      <c r="K2692" s="1" t="s">
        <v>8370</v>
      </c>
    </row>
    <row r="2693" spans="1:11" ht="21" x14ac:dyDescent="0.25">
      <c r="A2693" s="11" t="str">
        <f>HYPERLINK("https://rth.dk/resources/bsgatlas/details.php?id=BSGatlas-transcript-2692","BSGatlas-transcript-2692")</f>
        <v>BSGatlas-transcript-2692</v>
      </c>
      <c r="B2693" s="1" t="s">
        <v>8371</v>
      </c>
      <c r="C2693" s="3">
        <v>2461571</v>
      </c>
      <c r="D2693" s="3">
        <v>2462227</v>
      </c>
      <c r="E2693" s="1" t="s">
        <v>13</v>
      </c>
      <c r="F2693" s="1">
        <v>0</v>
      </c>
      <c r="G2693" s="1" t="s">
        <v>4372</v>
      </c>
      <c r="H2693" s="1" t="s">
        <v>4372</v>
      </c>
      <c r="I2693" s="1" t="s">
        <v>4386</v>
      </c>
      <c r="J2693" s="1" t="s">
        <v>8372</v>
      </c>
      <c r="K2693" s="1" t="s">
        <v>8370</v>
      </c>
    </row>
    <row r="2694" spans="1:11" ht="21" x14ac:dyDescent="0.25">
      <c r="A2694" s="11" t="str">
        <f>HYPERLINK("https://rth.dk/resources/bsgatlas/details.php?id=BSGatlas-transcript-2693","BSGatlas-transcript-2693")</f>
        <v>BSGatlas-transcript-2693</v>
      </c>
      <c r="B2694" s="1" t="s">
        <v>8373</v>
      </c>
      <c r="C2694" s="3">
        <v>2461571</v>
      </c>
      <c r="D2694" s="3">
        <v>2464118</v>
      </c>
      <c r="E2694" s="1" t="s">
        <v>13</v>
      </c>
      <c r="F2694" s="1">
        <v>0</v>
      </c>
      <c r="G2694" s="1" t="s">
        <v>4372</v>
      </c>
      <c r="H2694" s="1" t="s">
        <v>4372</v>
      </c>
      <c r="I2694" s="1" t="s">
        <v>4373</v>
      </c>
      <c r="J2694" s="1" t="s">
        <v>8374</v>
      </c>
      <c r="K2694" s="1" t="s">
        <v>8370</v>
      </c>
    </row>
    <row r="2695" spans="1:11" ht="21" x14ac:dyDescent="0.25">
      <c r="A2695" s="11" t="str">
        <f>HYPERLINK("https://rth.dk/resources/bsgatlas/details.php?id=BSGatlas-transcript-2694","BSGatlas-transcript-2694")</f>
        <v>BSGatlas-transcript-2694</v>
      </c>
      <c r="B2695" s="1" t="s">
        <v>8375</v>
      </c>
      <c r="C2695" s="3">
        <v>2461571</v>
      </c>
      <c r="D2695" s="3">
        <v>2465834</v>
      </c>
      <c r="E2695" s="1" t="s">
        <v>13</v>
      </c>
      <c r="F2695" s="1">
        <v>1</v>
      </c>
      <c r="G2695" s="1">
        <v>35</v>
      </c>
      <c r="H2695" s="1">
        <v>51</v>
      </c>
      <c r="I2695" s="1" t="s">
        <v>4386</v>
      </c>
      <c r="J2695" s="1" t="s">
        <v>8376</v>
      </c>
      <c r="K2695" s="1" t="s">
        <v>8370</v>
      </c>
    </row>
    <row r="2696" spans="1:11" ht="21" x14ac:dyDescent="0.25">
      <c r="A2696" s="11" t="str">
        <f>HYPERLINK("https://rth.dk/resources/bsgatlas/details.php?id=BSGatlas-transcript-2695","BSGatlas-transcript-2695")</f>
        <v>BSGatlas-transcript-2695</v>
      </c>
      <c r="B2696" s="1" t="s">
        <v>8377</v>
      </c>
      <c r="C2696" s="3">
        <v>2464227</v>
      </c>
      <c r="D2696" s="3">
        <v>2465834</v>
      </c>
      <c r="E2696" s="1" t="s">
        <v>13</v>
      </c>
      <c r="F2696" s="1">
        <v>0</v>
      </c>
      <c r="G2696" s="1" t="s">
        <v>4372</v>
      </c>
      <c r="H2696" s="1" t="s">
        <v>4372</v>
      </c>
      <c r="I2696" s="1" t="s">
        <v>4382</v>
      </c>
      <c r="J2696" s="1" t="s">
        <v>8376</v>
      </c>
      <c r="K2696" s="1" t="s">
        <v>318</v>
      </c>
    </row>
    <row r="2697" spans="1:11" ht="21" x14ac:dyDescent="0.25">
      <c r="A2697" s="11" t="str">
        <f>HYPERLINK("https://rth.dk/resources/bsgatlas/details.php?id=BSGatlas-transcript-2696","BSGatlas-transcript-2696")</f>
        <v>BSGatlas-transcript-2696</v>
      </c>
      <c r="B2697" s="1" t="s">
        <v>2520</v>
      </c>
      <c r="C2697" s="3">
        <v>2464735</v>
      </c>
      <c r="D2697" s="3">
        <v>2466172</v>
      </c>
      <c r="E2697" s="1" t="s">
        <v>9</v>
      </c>
      <c r="F2697" s="1">
        <v>0</v>
      </c>
      <c r="G2697" s="1" t="s">
        <v>4372</v>
      </c>
      <c r="H2697" s="1" t="s">
        <v>4372</v>
      </c>
      <c r="I2697" s="1" t="s">
        <v>4373</v>
      </c>
      <c r="J2697" s="1" t="s">
        <v>8378</v>
      </c>
      <c r="K2697" s="1" t="s">
        <v>318</v>
      </c>
    </row>
    <row r="2698" spans="1:11" ht="21" x14ac:dyDescent="0.25">
      <c r="A2698" s="11" t="str">
        <f>HYPERLINK("https://rth.dk/resources/bsgatlas/details.php?id=BSGatlas-transcript-2697","BSGatlas-transcript-2697")</f>
        <v>BSGatlas-transcript-2697</v>
      </c>
      <c r="B2698" s="1" t="s">
        <v>2520</v>
      </c>
      <c r="C2698" s="3">
        <v>2465932</v>
      </c>
      <c r="D2698" s="3">
        <v>2466172</v>
      </c>
      <c r="E2698" s="1" t="s">
        <v>9</v>
      </c>
      <c r="F2698" s="1">
        <v>0</v>
      </c>
      <c r="G2698" s="1" t="s">
        <v>4372</v>
      </c>
      <c r="H2698" s="1" t="s">
        <v>4372</v>
      </c>
      <c r="I2698" s="1" t="s">
        <v>4373</v>
      </c>
      <c r="J2698" s="1" t="s">
        <v>8379</v>
      </c>
      <c r="K2698" s="1" t="s">
        <v>318</v>
      </c>
    </row>
    <row r="2699" spans="1:11" ht="21" x14ac:dyDescent="0.25">
      <c r="A2699" s="11" t="str">
        <f>HYPERLINK("https://rth.dk/resources/bsgatlas/details.php?id=BSGatlas-transcript-2698","BSGatlas-transcript-2698")</f>
        <v>BSGatlas-transcript-2698</v>
      </c>
      <c r="B2699" s="1" t="s">
        <v>2521</v>
      </c>
      <c r="C2699" s="3">
        <v>2466689</v>
      </c>
      <c r="D2699" s="3">
        <v>2467953</v>
      </c>
      <c r="E2699" s="1" t="s">
        <v>9</v>
      </c>
      <c r="F2699" s="1">
        <v>0</v>
      </c>
      <c r="G2699" s="1" t="s">
        <v>4372</v>
      </c>
      <c r="H2699" s="1" t="s">
        <v>4372</v>
      </c>
      <c r="I2699" s="1" t="s">
        <v>4684</v>
      </c>
      <c r="J2699" s="1" t="s">
        <v>8380</v>
      </c>
      <c r="K2699" s="1" t="s">
        <v>318</v>
      </c>
    </row>
    <row r="2700" spans="1:11" ht="21" x14ac:dyDescent="0.25">
      <c r="A2700" s="11" t="str">
        <f>HYPERLINK("https://rth.dk/resources/bsgatlas/details.php?id=BSGatlas-transcript-2699","BSGatlas-transcript-2699")</f>
        <v>BSGatlas-transcript-2699</v>
      </c>
      <c r="B2700" s="1" t="s">
        <v>8381</v>
      </c>
      <c r="C2700" s="3">
        <v>2466689</v>
      </c>
      <c r="D2700" s="3">
        <v>2468162</v>
      </c>
      <c r="E2700" s="1" t="s">
        <v>9</v>
      </c>
      <c r="F2700" s="1">
        <v>0</v>
      </c>
      <c r="G2700" s="1" t="s">
        <v>4372</v>
      </c>
      <c r="H2700" s="1" t="s">
        <v>4372</v>
      </c>
      <c r="I2700" s="1" t="s">
        <v>4397</v>
      </c>
      <c r="J2700" s="1" t="s">
        <v>8380</v>
      </c>
      <c r="K2700" s="1" t="s">
        <v>318</v>
      </c>
    </row>
    <row r="2701" spans="1:11" ht="21" x14ac:dyDescent="0.25">
      <c r="A2701" s="11" t="str">
        <f>HYPERLINK("https://rth.dk/resources/bsgatlas/details.php?id=BSGatlas-transcript-2700","BSGatlas-transcript-2700")</f>
        <v>BSGatlas-transcript-2700</v>
      </c>
      <c r="B2701" s="1" t="s">
        <v>8382</v>
      </c>
      <c r="C2701" s="3">
        <v>2467947</v>
      </c>
      <c r="D2701" s="3">
        <v>2472787</v>
      </c>
      <c r="E2701" s="1" t="s">
        <v>13</v>
      </c>
      <c r="F2701" s="1">
        <v>2</v>
      </c>
      <c r="G2701" s="1">
        <v>42</v>
      </c>
      <c r="H2701" s="1">
        <v>213</v>
      </c>
      <c r="I2701" s="1" t="s">
        <v>4373</v>
      </c>
      <c r="J2701" s="1" t="s">
        <v>8383</v>
      </c>
      <c r="K2701" s="1" t="s">
        <v>8384</v>
      </c>
    </row>
    <row r="2702" spans="1:11" ht="21" x14ac:dyDescent="0.25">
      <c r="A2702" s="11" t="str">
        <f>HYPERLINK("https://rth.dk/resources/bsgatlas/details.php?id=BSGatlas-transcript-2701","BSGatlas-transcript-2701")</f>
        <v>BSGatlas-transcript-2701</v>
      </c>
      <c r="B2702" s="1" t="s">
        <v>2528</v>
      </c>
      <c r="C2702" s="3">
        <v>2472880</v>
      </c>
      <c r="D2702" s="3">
        <v>2473125</v>
      </c>
      <c r="E2702" s="1" t="s">
        <v>9</v>
      </c>
      <c r="F2702" s="1">
        <v>0</v>
      </c>
      <c r="G2702" s="1" t="s">
        <v>4372</v>
      </c>
      <c r="H2702" s="1" t="s">
        <v>4372</v>
      </c>
      <c r="I2702" s="1" t="s">
        <v>4377</v>
      </c>
      <c r="J2702" s="1" t="s">
        <v>318</v>
      </c>
      <c r="K2702" s="1" t="s">
        <v>8385</v>
      </c>
    </row>
    <row r="2703" spans="1:11" ht="21" x14ac:dyDescent="0.25">
      <c r="A2703" s="11" t="str">
        <f>HYPERLINK("https://rth.dk/resources/bsgatlas/details.php?id=BSGatlas-transcript-2702","BSGatlas-transcript-2702")</f>
        <v>BSGatlas-transcript-2702</v>
      </c>
      <c r="B2703" s="1" t="s">
        <v>2529</v>
      </c>
      <c r="C2703" s="3">
        <v>2472882</v>
      </c>
      <c r="D2703" s="3">
        <v>2474038</v>
      </c>
      <c r="E2703" s="1" t="s">
        <v>9</v>
      </c>
      <c r="F2703" s="1">
        <v>0</v>
      </c>
      <c r="G2703" s="1" t="s">
        <v>4372</v>
      </c>
      <c r="H2703" s="1" t="s">
        <v>4372</v>
      </c>
      <c r="I2703" s="1" t="s">
        <v>4373</v>
      </c>
      <c r="J2703" s="1" t="s">
        <v>8386</v>
      </c>
      <c r="K2703" s="1" t="s">
        <v>8387</v>
      </c>
    </row>
    <row r="2704" spans="1:11" ht="21" x14ac:dyDescent="0.25">
      <c r="A2704" s="11" t="str">
        <f>HYPERLINK("https://rth.dk/resources/bsgatlas/details.php?id=BSGatlas-transcript-2703","BSGatlas-transcript-2703")</f>
        <v>BSGatlas-transcript-2703</v>
      </c>
      <c r="B2704" s="1" t="s">
        <v>2530</v>
      </c>
      <c r="C2704" s="3">
        <v>2473988</v>
      </c>
      <c r="D2704" s="3">
        <v>2475732</v>
      </c>
      <c r="E2704" s="1" t="s">
        <v>13</v>
      </c>
      <c r="F2704" s="1">
        <v>0</v>
      </c>
      <c r="G2704" s="1" t="s">
        <v>4372</v>
      </c>
      <c r="H2704" s="1" t="s">
        <v>4372</v>
      </c>
      <c r="I2704" s="1" t="s">
        <v>4373</v>
      </c>
      <c r="J2704" s="1" t="s">
        <v>8388</v>
      </c>
      <c r="K2704" s="1" t="s">
        <v>8389</v>
      </c>
    </row>
    <row r="2705" spans="1:11" ht="21" x14ac:dyDescent="0.25">
      <c r="A2705" s="11" t="str">
        <f>HYPERLINK("https://rth.dk/resources/bsgatlas/details.php?id=BSGatlas-transcript-2704","BSGatlas-transcript-2704")</f>
        <v>BSGatlas-transcript-2704</v>
      </c>
      <c r="B2705" s="1" t="s">
        <v>2531</v>
      </c>
      <c r="C2705" s="3">
        <v>2475702</v>
      </c>
      <c r="D2705" s="3">
        <v>2476907</v>
      </c>
      <c r="E2705" s="1" t="s">
        <v>9</v>
      </c>
      <c r="F2705" s="1">
        <v>0</v>
      </c>
      <c r="G2705" s="1" t="s">
        <v>4372</v>
      </c>
      <c r="H2705" s="1" t="s">
        <v>4372</v>
      </c>
      <c r="I2705" s="1" t="s">
        <v>4373</v>
      </c>
      <c r="J2705" s="1" t="s">
        <v>8390</v>
      </c>
      <c r="K2705" s="1" t="s">
        <v>8391</v>
      </c>
    </row>
    <row r="2706" spans="1:11" ht="21" x14ac:dyDescent="0.25">
      <c r="A2706" s="11" t="str">
        <f>HYPERLINK("https://rth.dk/resources/bsgatlas/details.php?id=BSGatlas-transcript-2705","BSGatlas-transcript-2705")</f>
        <v>BSGatlas-transcript-2705</v>
      </c>
      <c r="B2706" s="1" t="s">
        <v>2531</v>
      </c>
      <c r="C2706" s="3">
        <v>2475801</v>
      </c>
      <c r="D2706" s="3">
        <v>2476907</v>
      </c>
      <c r="E2706" s="1" t="s">
        <v>9</v>
      </c>
      <c r="F2706" s="1">
        <v>0</v>
      </c>
      <c r="G2706" s="1" t="s">
        <v>4372</v>
      </c>
      <c r="H2706" s="1" t="s">
        <v>4372</v>
      </c>
      <c r="I2706" s="1" t="s">
        <v>4373</v>
      </c>
      <c r="J2706" s="1" t="s">
        <v>8392</v>
      </c>
      <c r="K2706" s="1" t="s">
        <v>8391</v>
      </c>
    </row>
    <row r="2707" spans="1:11" ht="21" x14ac:dyDescent="0.25">
      <c r="A2707" s="11" t="str">
        <f>HYPERLINK("https://rth.dk/resources/bsgatlas/details.php?id=BSGatlas-transcript-2706","BSGatlas-transcript-2706")</f>
        <v>BSGatlas-transcript-2706</v>
      </c>
      <c r="B2707" s="1" t="s">
        <v>2532</v>
      </c>
      <c r="C2707" s="3">
        <v>2476934</v>
      </c>
      <c r="D2707" s="3">
        <v>2477730</v>
      </c>
      <c r="E2707" s="1" t="s">
        <v>9</v>
      </c>
      <c r="F2707" s="1">
        <v>0</v>
      </c>
      <c r="G2707" s="1" t="s">
        <v>4372</v>
      </c>
      <c r="H2707" s="1" t="s">
        <v>4372</v>
      </c>
      <c r="I2707" s="1" t="s">
        <v>4373</v>
      </c>
      <c r="J2707" s="1" t="s">
        <v>8393</v>
      </c>
      <c r="K2707" s="1" t="s">
        <v>8394</v>
      </c>
    </row>
    <row r="2708" spans="1:11" ht="21" x14ac:dyDescent="0.25">
      <c r="A2708" s="11" t="str">
        <f>HYPERLINK("https://rth.dk/resources/bsgatlas/details.php?id=BSGatlas-transcript-2707","BSGatlas-transcript-2707")</f>
        <v>BSGatlas-transcript-2707</v>
      </c>
      <c r="B2708" s="1" t="s">
        <v>2532</v>
      </c>
      <c r="C2708" s="3">
        <v>2476934</v>
      </c>
      <c r="D2708" s="3">
        <v>2477782</v>
      </c>
      <c r="E2708" s="1" t="s">
        <v>9</v>
      </c>
      <c r="F2708" s="1">
        <v>0</v>
      </c>
      <c r="G2708" s="1" t="s">
        <v>4372</v>
      </c>
      <c r="H2708" s="1" t="s">
        <v>4372</v>
      </c>
      <c r="I2708" s="1" t="s">
        <v>4373</v>
      </c>
      <c r="J2708" s="1" t="s">
        <v>8393</v>
      </c>
      <c r="K2708" s="1" t="s">
        <v>8395</v>
      </c>
    </row>
    <row r="2709" spans="1:11" ht="21" x14ac:dyDescent="0.25">
      <c r="A2709" s="11" t="str">
        <f>HYPERLINK("https://rth.dk/resources/bsgatlas/details.php?id=BSGatlas-transcript-2708","BSGatlas-transcript-2708")</f>
        <v>BSGatlas-transcript-2708</v>
      </c>
      <c r="B2709" s="1" t="s">
        <v>8396</v>
      </c>
      <c r="C2709" s="3">
        <v>2477726</v>
      </c>
      <c r="D2709" s="3">
        <v>2478968</v>
      </c>
      <c r="E2709" s="1" t="s">
        <v>13</v>
      </c>
      <c r="F2709" s="1">
        <v>1</v>
      </c>
      <c r="G2709" s="1">
        <v>40</v>
      </c>
      <c r="H2709" s="1">
        <v>52</v>
      </c>
      <c r="I2709" s="1" t="s">
        <v>4377</v>
      </c>
      <c r="J2709" s="1" t="s">
        <v>8397</v>
      </c>
      <c r="K2709" s="1" t="s">
        <v>8398</v>
      </c>
    </row>
    <row r="2710" spans="1:11" ht="21" x14ac:dyDescent="0.25">
      <c r="A2710" s="11" t="str">
        <f>HYPERLINK("https://rth.dk/resources/bsgatlas/details.php?id=BSGatlas-transcript-2709","BSGatlas-transcript-2709")</f>
        <v>BSGatlas-transcript-2709</v>
      </c>
      <c r="B2710" s="1" t="s">
        <v>8399</v>
      </c>
      <c r="C2710" s="3">
        <v>2477751</v>
      </c>
      <c r="D2710" s="3">
        <v>2477925</v>
      </c>
      <c r="E2710" s="1" t="s">
        <v>13</v>
      </c>
      <c r="F2710" s="1">
        <v>0</v>
      </c>
      <c r="G2710" s="1" t="s">
        <v>4372</v>
      </c>
      <c r="H2710" s="1" t="s">
        <v>4372</v>
      </c>
      <c r="I2710" s="1" t="s">
        <v>4386</v>
      </c>
      <c r="J2710" s="1" t="s">
        <v>318</v>
      </c>
      <c r="K2710" s="1" t="s">
        <v>318</v>
      </c>
    </row>
    <row r="2711" spans="1:11" ht="21" x14ac:dyDescent="0.25">
      <c r="A2711" s="11" t="str">
        <f>HYPERLINK("https://rth.dk/resources/bsgatlas/details.php?id=BSGatlas-transcript-2710","BSGatlas-transcript-2710")</f>
        <v>BSGatlas-transcript-2710</v>
      </c>
      <c r="B2711" s="1" t="s">
        <v>8400</v>
      </c>
      <c r="C2711" s="3">
        <v>2477751</v>
      </c>
      <c r="D2711" s="3">
        <v>2478968</v>
      </c>
      <c r="E2711" s="1" t="s">
        <v>13</v>
      </c>
      <c r="F2711" s="1">
        <v>1</v>
      </c>
      <c r="G2711" s="1">
        <v>40</v>
      </c>
      <c r="H2711" s="1" t="s">
        <v>4372</v>
      </c>
      <c r="I2711" s="1" t="s">
        <v>4386</v>
      </c>
      <c r="J2711" s="1" t="s">
        <v>8397</v>
      </c>
      <c r="K2711" s="1" t="s">
        <v>318</v>
      </c>
    </row>
    <row r="2712" spans="1:11" ht="21" x14ac:dyDescent="0.25">
      <c r="A2712" s="11" t="str">
        <f>HYPERLINK("https://rth.dk/resources/bsgatlas/details.php?id=BSGatlas-transcript-2711","BSGatlas-transcript-2711")</f>
        <v>BSGatlas-transcript-2711</v>
      </c>
      <c r="B2712" s="1" t="s">
        <v>8396</v>
      </c>
      <c r="C2712" s="3">
        <v>2477777</v>
      </c>
      <c r="D2712" s="3">
        <v>2478968</v>
      </c>
      <c r="E2712" s="1" t="s">
        <v>13</v>
      </c>
      <c r="F2712" s="1">
        <v>1</v>
      </c>
      <c r="G2712" s="1">
        <v>40</v>
      </c>
      <c r="H2712" s="1" t="s">
        <v>4372</v>
      </c>
      <c r="I2712" s="1" t="s">
        <v>4377</v>
      </c>
      <c r="J2712" s="1" t="s">
        <v>8397</v>
      </c>
      <c r="K2712" s="1" t="s">
        <v>8401</v>
      </c>
    </row>
    <row r="2713" spans="1:11" ht="21" x14ac:dyDescent="0.25">
      <c r="A2713" s="11" t="str">
        <f>HYPERLINK("https://rth.dk/resources/bsgatlas/details.php?id=BSGatlas-transcript-2712","BSGatlas-transcript-2712")</f>
        <v>BSGatlas-transcript-2712</v>
      </c>
      <c r="B2713" s="1" t="s">
        <v>2536</v>
      </c>
      <c r="C2713" s="3">
        <v>2478006</v>
      </c>
      <c r="D2713" s="3">
        <v>2478968</v>
      </c>
      <c r="E2713" s="1" t="s">
        <v>13</v>
      </c>
      <c r="F2713" s="1">
        <v>0</v>
      </c>
      <c r="G2713" s="1" t="s">
        <v>4372</v>
      </c>
      <c r="H2713" s="1" t="s">
        <v>4372</v>
      </c>
      <c r="I2713" s="1" t="s">
        <v>4382</v>
      </c>
      <c r="J2713" s="1" t="s">
        <v>8397</v>
      </c>
      <c r="K2713" s="1" t="s">
        <v>318</v>
      </c>
    </row>
    <row r="2714" spans="1:11" ht="21" x14ac:dyDescent="0.25">
      <c r="A2714" s="11" t="str">
        <f>HYPERLINK("https://rth.dk/resources/bsgatlas/details.php?id=BSGatlas-transcript-2713","BSGatlas-transcript-2713")</f>
        <v>BSGatlas-transcript-2713</v>
      </c>
      <c r="B2714" s="1" t="s">
        <v>2537</v>
      </c>
      <c r="C2714" s="3">
        <v>2479090</v>
      </c>
      <c r="D2714" s="3">
        <v>2480625</v>
      </c>
      <c r="E2714" s="1" t="s">
        <v>9</v>
      </c>
      <c r="F2714" s="1">
        <v>0</v>
      </c>
      <c r="G2714" s="1" t="s">
        <v>4372</v>
      </c>
      <c r="H2714" s="1" t="s">
        <v>4372</v>
      </c>
      <c r="I2714" s="1" t="s">
        <v>4373</v>
      </c>
      <c r="J2714" s="1" t="s">
        <v>8402</v>
      </c>
      <c r="K2714" s="1" t="s">
        <v>8403</v>
      </c>
    </row>
    <row r="2715" spans="1:11" ht="21" x14ac:dyDescent="0.25">
      <c r="A2715" s="11" t="str">
        <f>HYPERLINK("https://rth.dk/resources/bsgatlas/details.php?id=BSGatlas-transcript-2714","BSGatlas-transcript-2714")</f>
        <v>BSGatlas-transcript-2714</v>
      </c>
      <c r="B2715" s="1" t="s">
        <v>2537</v>
      </c>
      <c r="C2715" s="3">
        <v>2479090</v>
      </c>
      <c r="D2715" s="3">
        <v>2480667</v>
      </c>
      <c r="E2715" s="1" t="s">
        <v>9</v>
      </c>
      <c r="F2715" s="1">
        <v>0</v>
      </c>
      <c r="G2715" s="1" t="s">
        <v>4372</v>
      </c>
      <c r="H2715" s="1" t="s">
        <v>4372</v>
      </c>
      <c r="I2715" s="1" t="s">
        <v>4373</v>
      </c>
      <c r="J2715" s="1" t="s">
        <v>8402</v>
      </c>
      <c r="K2715" s="1" t="s">
        <v>8404</v>
      </c>
    </row>
    <row r="2716" spans="1:11" ht="21" x14ac:dyDescent="0.25">
      <c r="A2716" s="11" t="str">
        <f>HYPERLINK("https://rth.dk/resources/bsgatlas/details.php?id=BSGatlas-transcript-2715","BSGatlas-transcript-2715")</f>
        <v>BSGatlas-transcript-2715</v>
      </c>
      <c r="B2716" s="1" t="s">
        <v>2538</v>
      </c>
      <c r="C2716" s="3">
        <v>2480699</v>
      </c>
      <c r="D2716" s="3">
        <v>2482225</v>
      </c>
      <c r="E2716" s="1" t="s">
        <v>13</v>
      </c>
      <c r="F2716" s="1">
        <v>0</v>
      </c>
      <c r="G2716" s="1" t="s">
        <v>4372</v>
      </c>
      <c r="H2716" s="1" t="s">
        <v>4372</v>
      </c>
      <c r="I2716" s="1" t="s">
        <v>4386</v>
      </c>
      <c r="J2716" s="1" t="s">
        <v>8405</v>
      </c>
      <c r="K2716" s="1" t="s">
        <v>8406</v>
      </c>
    </row>
    <row r="2717" spans="1:11" ht="21" x14ac:dyDescent="0.25">
      <c r="A2717" s="11" t="str">
        <f>HYPERLINK("https://rth.dk/resources/bsgatlas/details.php?id=BSGatlas-transcript-2716","BSGatlas-transcript-2716")</f>
        <v>BSGatlas-transcript-2716</v>
      </c>
      <c r="B2717" s="1" t="s">
        <v>8407</v>
      </c>
      <c r="C2717" s="3">
        <v>2480699</v>
      </c>
      <c r="D2717" s="3">
        <v>2483790</v>
      </c>
      <c r="E2717" s="1" t="s">
        <v>13</v>
      </c>
      <c r="F2717" s="1">
        <v>1</v>
      </c>
      <c r="G2717" s="1">
        <v>278</v>
      </c>
      <c r="H2717" s="1">
        <v>52</v>
      </c>
      <c r="I2717" s="1" t="s">
        <v>4373</v>
      </c>
      <c r="J2717" s="1" t="s">
        <v>8408</v>
      </c>
      <c r="K2717" s="1" t="s">
        <v>8406</v>
      </c>
    </row>
    <row r="2718" spans="1:11" ht="21" x14ac:dyDescent="0.25">
      <c r="A2718" s="11" t="str">
        <f>HYPERLINK("https://rth.dk/resources/bsgatlas/details.php?id=BSGatlas-transcript-2717","BSGatlas-transcript-2717")</f>
        <v>BSGatlas-transcript-2717</v>
      </c>
      <c r="B2718" s="1" t="s">
        <v>2538</v>
      </c>
      <c r="C2718" s="3">
        <v>2480750</v>
      </c>
      <c r="D2718" s="3">
        <v>2482225</v>
      </c>
      <c r="E2718" s="1" t="s">
        <v>13</v>
      </c>
      <c r="F2718" s="1">
        <v>0</v>
      </c>
      <c r="G2718" s="1" t="s">
        <v>4372</v>
      </c>
      <c r="H2718" s="1" t="s">
        <v>4372</v>
      </c>
      <c r="I2718" s="1" t="s">
        <v>4386</v>
      </c>
      <c r="J2718" s="1" t="s">
        <v>8405</v>
      </c>
      <c r="K2718" s="1" t="s">
        <v>8409</v>
      </c>
    </row>
    <row r="2719" spans="1:11" ht="21" x14ac:dyDescent="0.25">
      <c r="A2719" s="11" t="str">
        <f>HYPERLINK("https://rth.dk/resources/bsgatlas/details.php?id=BSGatlas-transcript-2718","BSGatlas-transcript-2718")</f>
        <v>BSGatlas-transcript-2718</v>
      </c>
      <c r="B2719" s="1" t="s">
        <v>2538</v>
      </c>
      <c r="C2719" s="3">
        <v>2480750</v>
      </c>
      <c r="D2719" s="3">
        <v>2482225</v>
      </c>
      <c r="E2719" s="1" t="s">
        <v>13</v>
      </c>
      <c r="F2719" s="1">
        <v>0</v>
      </c>
      <c r="G2719" s="1" t="s">
        <v>4372</v>
      </c>
      <c r="H2719" s="1" t="s">
        <v>4372</v>
      </c>
      <c r="I2719" s="1" t="s">
        <v>4386</v>
      </c>
      <c r="J2719" s="1" t="s">
        <v>8405</v>
      </c>
      <c r="K2719" s="1" t="s">
        <v>8410</v>
      </c>
    </row>
    <row r="2720" spans="1:11" ht="21" x14ac:dyDescent="0.25">
      <c r="A2720" s="11" t="str">
        <f>HYPERLINK("https://rth.dk/resources/bsgatlas/details.php?id=BSGatlas-transcript-2719","BSGatlas-transcript-2719")</f>
        <v>BSGatlas-transcript-2719</v>
      </c>
      <c r="B2720" s="1" t="s">
        <v>8407</v>
      </c>
      <c r="C2720" s="3">
        <v>2480750</v>
      </c>
      <c r="D2720" s="3">
        <v>2483790</v>
      </c>
      <c r="E2720" s="1" t="s">
        <v>13</v>
      </c>
      <c r="F2720" s="1">
        <v>1</v>
      </c>
      <c r="G2720" s="1">
        <v>278</v>
      </c>
      <c r="H2720" s="1" t="s">
        <v>4372</v>
      </c>
      <c r="I2720" s="1" t="s">
        <v>4373</v>
      </c>
      <c r="J2720" s="1" t="s">
        <v>8408</v>
      </c>
      <c r="K2720" s="1" t="s">
        <v>8409</v>
      </c>
    </row>
    <row r="2721" spans="1:11" ht="21" x14ac:dyDescent="0.25">
      <c r="A2721" s="11" t="str">
        <f>HYPERLINK("https://rth.dk/resources/bsgatlas/details.php?id=BSGatlas-transcript-2720","BSGatlas-transcript-2720")</f>
        <v>BSGatlas-transcript-2720</v>
      </c>
      <c r="B2721" s="1" t="s">
        <v>8407</v>
      </c>
      <c r="C2721" s="3">
        <v>2480750</v>
      </c>
      <c r="D2721" s="3">
        <v>2483790</v>
      </c>
      <c r="E2721" s="1" t="s">
        <v>13</v>
      </c>
      <c r="F2721" s="1">
        <v>1</v>
      </c>
      <c r="G2721" s="1">
        <v>278</v>
      </c>
      <c r="H2721" s="1" t="s">
        <v>4372</v>
      </c>
      <c r="I2721" s="1" t="s">
        <v>4373</v>
      </c>
      <c r="J2721" s="1" t="s">
        <v>8408</v>
      </c>
      <c r="K2721" s="1" t="s">
        <v>8410</v>
      </c>
    </row>
    <row r="2722" spans="1:11" ht="21" x14ac:dyDescent="0.25">
      <c r="A2722" s="11" t="str">
        <f>HYPERLINK("https://rth.dk/resources/bsgatlas/details.php?id=BSGatlas-transcript-2721","BSGatlas-transcript-2721")</f>
        <v>BSGatlas-transcript-2721</v>
      </c>
      <c r="B2722" s="1" t="s">
        <v>8411</v>
      </c>
      <c r="C2722" s="3">
        <v>2483555</v>
      </c>
      <c r="D2722" s="3">
        <v>2484731</v>
      </c>
      <c r="E2722" s="1" t="s">
        <v>9</v>
      </c>
      <c r="F2722" s="1">
        <v>1</v>
      </c>
      <c r="G2722" s="1">
        <v>32</v>
      </c>
      <c r="H2722" s="1" t="s">
        <v>4372</v>
      </c>
      <c r="I2722" s="1" t="s">
        <v>4386</v>
      </c>
      <c r="J2722" s="1" t="s">
        <v>8412</v>
      </c>
      <c r="K2722" s="1" t="s">
        <v>8413</v>
      </c>
    </row>
    <row r="2723" spans="1:11" ht="21" x14ac:dyDescent="0.25">
      <c r="A2723" s="11" t="str">
        <f>HYPERLINK("https://rth.dk/resources/bsgatlas/details.php?id=BSGatlas-transcript-2722","BSGatlas-transcript-2722")</f>
        <v>BSGatlas-transcript-2722</v>
      </c>
      <c r="B2723" s="1" t="s">
        <v>8411</v>
      </c>
      <c r="C2723" s="3">
        <v>2483555</v>
      </c>
      <c r="D2723" s="3">
        <v>2484777</v>
      </c>
      <c r="E2723" s="1" t="s">
        <v>9</v>
      </c>
      <c r="F2723" s="1">
        <v>1</v>
      </c>
      <c r="G2723" s="1">
        <v>32</v>
      </c>
      <c r="H2723" s="1">
        <v>47</v>
      </c>
      <c r="I2723" s="1" t="s">
        <v>4386</v>
      </c>
      <c r="J2723" s="1" t="s">
        <v>8412</v>
      </c>
      <c r="K2723" s="1" t="s">
        <v>8414</v>
      </c>
    </row>
    <row r="2724" spans="1:11" ht="21" x14ac:dyDescent="0.25">
      <c r="A2724" s="11" t="str">
        <f>HYPERLINK("https://rth.dk/resources/bsgatlas/details.php?id=BSGatlas-transcript-2723","BSGatlas-transcript-2723")</f>
        <v>BSGatlas-transcript-2723</v>
      </c>
      <c r="B2724" s="1" t="s">
        <v>2541</v>
      </c>
      <c r="C2724" s="3">
        <v>2483904</v>
      </c>
      <c r="D2724" s="3">
        <v>2484731</v>
      </c>
      <c r="E2724" s="1" t="s">
        <v>9</v>
      </c>
      <c r="F2724" s="1">
        <v>0</v>
      </c>
      <c r="G2724" s="1" t="s">
        <v>4372</v>
      </c>
      <c r="H2724" s="1" t="s">
        <v>4372</v>
      </c>
      <c r="I2724" s="1" t="s">
        <v>4382</v>
      </c>
      <c r="J2724" s="1" t="s">
        <v>318</v>
      </c>
      <c r="K2724" s="1" t="s">
        <v>8413</v>
      </c>
    </row>
    <row r="2725" spans="1:11" ht="21" x14ac:dyDescent="0.25">
      <c r="A2725" s="11" t="str">
        <f>HYPERLINK("https://rth.dk/resources/bsgatlas/details.php?id=BSGatlas-transcript-2724","BSGatlas-transcript-2724")</f>
        <v>BSGatlas-transcript-2724</v>
      </c>
      <c r="B2725" s="1" t="s">
        <v>2541</v>
      </c>
      <c r="C2725" s="3">
        <v>2483904</v>
      </c>
      <c r="D2725" s="3">
        <v>2484777</v>
      </c>
      <c r="E2725" s="1" t="s">
        <v>9</v>
      </c>
      <c r="F2725" s="1">
        <v>0</v>
      </c>
      <c r="G2725" s="1" t="s">
        <v>4372</v>
      </c>
      <c r="H2725" s="1" t="s">
        <v>4372</v>
      </c>
      <c r="I2725" s="1" t="s">
        <v>4382</v>
      </c>
      <c r="J2725" s="1" t="s">
        <v>318</v>
      </c>
      <c r="K2725" s="1" t="s">
        <v>8414</v>
      </c>
    </row>
    <row r="2726" spans="1:11" ht="21" x14ac:dyDescent="0.25">
      <c r="A2726" s="11" t="str">
        <f>HYPERLINK("https://rth.dk/resources/bsgatlas/details.php?id=BSGatlas-transcript-2725","BSGatlas-transcript-2725")</f>
        <v>BSGatlas-transcript-2725</v>
      </c>
      <c r="B2726" s="1" t="s">
        <v>2542</v>
      </c>
      <c r="C2726" s="3">
        <v>2484757</v>
      </c>
      <c r="D2726" s="3">
        <v>2486795</v>
      </c>
      <c r="E2726" s="1" t="s">
        <v>13</v>
      </c>
      <c r="F2726" s="1">
        <v>0</v>
      </c>
      <c r="G2726" s="1" t="s">
        <v>4372</v>
      </c>
      <c r="H2726" s="1" t="s">
        <v>4372</v>
      </c>
      <c r="I2726" s="1" t="s">
        <v>4386</v>
      </c>
      <c r="J2726" s="1" t="s">
        <v>318</v>
      </c>
      <c r="K2726" s="1" t="s">
        <v>8415</v>
      </c>
    </row>
    <row r="2727" spans="1:11" ht="21" x14ac:dyDescent="0.25">
      <c r="A2727" s="11" t="str">
        <f>HYPERLINK("https://rth.dk/resources/bsgatlas/details.php?id=BSGatlas-transcript-2726","BSGatlas-transcript-2726")</f>
        <v>BSGatlas-transcript-2726</v>
      </c>
      <c r="B2727" s="1" t="s">
        <v>2543</v>
      </c>
      <c r="C2727" s="3">
        <v>2484878</v>
      </c>
      <c r="D2727" s="3">
        <v>2485639</v>
      </c>
      <c r="E2727" s="1" t="s">
        <v>9</v>
      </c>
      <c r="F2727" s="1">
        <v>0</v>
      </c>
      <c r="G2727" s="1" t="s">
        <v>4372</v>
      </c>
      <c r="H2727" s="1" t="s">
        <v>4372</v>
      </c>
      <c r="I2727" s="1" t="s">
        <v>4386</v>
      </c>
      <c r="J2727" s="1" t="s">
        <v>8416</v>
      </c>
      <c r="K2727" s="1" t="s">
        <v>318</v>
      </c>
    </row>
    <row r="2728" spans="1:11" ht="21" x14ac:dyDescent="0.25">
      <c r="A2728" s="11" t="str">
        <f>HYPERLINK("https://rth.dk/resources/bsgatlas/details.php?id=BSGatlas-transcript-2727","BSGatlas-transcript-2727")</f>
        <v>BSGatlas-transcript-2727</v>
      </c>
      <c r="B2728" s="1" t="s">
        <v>2542</v>
      </c>
      <c r="C2728" s="3">
        <v>2485680</v>
      </c>
      <c r="D2728" s="3">
        <v>2486795</v>
      </c>
      <c r="E2728" s="1" t="s">
        <v>13</v>
      </c>
      <c r="F2728" s="1">
        <v>0</v>
      </c>
      <c r="G2728" s="1" t="s">
        <v>4372</v>
      </c>
      <c r="H2728" s="1" t="s">
        <v>4372</v>
      </c>
      <c r="I2728" s="1" t="s">
        <v>4386</v>
      </c>
      <c r="J2728" s="1" t="s">
        <v>318</v>
      </c>
      <c r="K2728" s="1" t="s">
        <v>8417</v>
      </c>
    </row>
    <row r="2729" spans="1:11" ht="21" x14ac:dyDescent="0.25">
      <c r="A2729" s="11" t="str">
        <f>HYPERLINK("https://rth.dk/resources/bsgatlas/details.php?id=BSGatlas-transcript-2728","BSGatlas-transcript-2728")</f>
        <v>BSGatlas-transcript-2728</v>
      </c>
      <c r="B2729" s="1" t="s">
        <v>2544</v>
      </c>
      <c r="C2729" s="3">
        <v>2486813</v>
      </c>
      <c r="D2729" s="3">
        <v>2488336</v>
      </c>
      <c r="E2729" s="1" t="s">
        <v>13</v>
      </c>
      <c r="F2729" s="1">
        <v>0</v>
      </c>
      <c r="G2729" s="1" t="s">
        <v>4372</v>
      </c>
      <c r="H2729" s="1" t="s">
        <v>4372</v>
      </c>
      <c r="I2729" s="1" t="s">
        <v>4377</v>
      </c>
      <c r="J2729" s="1" t="s">
        <v>8418</v>
      </c>
      <c r="K2729" s="1" t="s">
        <v>318</v>
      </c>
    </row>
    <row r="2730" spans="1:11" ht="21" x14ac:dyDescent="0.25">
      <c r="A2730" s="11" t="str">
        <f>HYPERLINK("https://rth.dk/resources/bsgatlas/details.php?id=BSGatlas-transcript-2729","BSGatlas-transcript-2729")</f>
        <v>BSGatlas-transcript-2729</v>
      </c>
      <c r="B2730" s="1" t="s">
        <v>8419</v>
      </c>
      <c r="C2730" s="3">
        <v>2488329</v>
      </c>
      <c r="D2730" s="3">
        <v>2489507</v>
      </c>
      <c r="E2730" s="1" t="s">
        <v>13</v>
      </c>
      <c r="F2730" s="1">
        <v>1</v>
      </c>
      <c r="G2730" s="1">
        <v>25</v>
      </c>
      <c r="H2730" s="1" t="s">
        <v>4372</v>
      </c>
      <c r="I2730" s="1" t="s">
        <v>4386</v>
      </c>
      <c r="J2730" s="1" t="s">
        <v>8420</v>
      </c>
      <c r="K2730" s="1" t="s">
        <v>318</v>
      </c>
    </row>
    <row r="2731" spans="1:11" ht="21" x14ac:dyDescent="0.25">
      <c r="A2731" s="11" t="str">
        <f>HYPERLINK("https://rth.dk/resources/bsgatlas/details.php?id=BSGatlas-transcript-2730","BSGatlas-transcript-2730")</f>
        <v>BSGatlas-transcript-2730</v>
      </c>
      <c r="B2731" s="1" t="s">
        <v>2547</v>
      </c>
      <c r="C2731" s="3">
        <v>2488824</v>
      </c>
      <c r="D2731" s="3">
        <v>2488976</v>
      </c>
      <c r="E2731" s="1" t="s">
        <v>9</v>
      </c>
      <c r="F2731" s="1">
        <v>0</v>
      </c>
      <c r="G2731" s="1" t="s">
        <v>4372</v>
      </c>
      <c r="H2731" s="1" t="s">
        <v>4372</v>
      </c>
      <c r="I2731" s="1" t="s">
        <v>4377</v>
      </c>
      <c r="J2731" s="1" t="s">
        <v>8421</v>
      </c>
      <c r="K2731" s="1" t="s">
        <v>8422</v>
      </c>
    </row>
    <row r="2732" spans="1:11" ht="21" x14ac:dyDescent="0.25">
      <c r="A2732" s="11" t="str">
        <f>HYPERLINK("https://rth.dk/resources/bsgatlas/details.php?id=BSGatlas-transcript-2731","BSGatlas-transcript-2731")</f>
        <v>BSGatlas-transcript-2731</v>
      </c>
      <c r="B2732" s="1" t="s">
        <v>2547</v>
      </c>
      <c r="C2732" s="3">
        <v>2488824</v>
      </c>
      <c r="D2732" s="3">
        <v>2489638</v>
      </c>
      <c r="E2732" s="1" t="s">
        <v>9</v>
      </c>
      <c r="F2732" s="1">
        <v>0</v>
      </c>
      <c r="G2732" s="1" t="s">
        <v>4372</v>
      </c>
      <c r="H2732" s="1" t="s">
        <v>4372</v>
      </c>
      <c r="I2732" s="1" t="s">
        <v>4377</v>
      </c>
      <c r="J2732" s="1" t="s">
        <v>8421</v>
      </c>
      <c r="K2732" s="1" t="s">
        <v>8423</v>
      </c>
    </row>
    <row r="2733" spans="1:11" ht="21" x14ac:dyDescent="0.25">
      <c r="A2733" s="11" t="str">
        <f>HYPERLINK("https://rth.dk/resources/bsgatlas/details.php?id=BSGatlas-transcript-2732","BSGatlas-transcript-2732")</f>
        <v>BSGatlas-transcript-2732</v>
      </c>
      <c r="B2733" s="1" t="s">
        <v>2548</v>
      </c>
      <c r="C2733" s="3">
        <v>2489535</v>
      </c>
      <c r="D2733" s="3">
        <v>2490503</v>
      </c>
      <c r="E2733" s="1" t="s">
        <v>13</v>
      </c>
      <c r="F2733" s="1">
        <v>0</v>
      </c>
      <c r="G2733" s="1" t="s">
        <v>4372</v>
      </c>
      <c r="H2733" s="1" t="s">
        <v>4372</v>
      </c>
      <c r="I2733" s="1" t="s">
        <v>4377</v>
      </c>
      <c r="J2733" s="1" t="s">
        <v>318</v>
      </c>
      <c r="K2733" s="1" t="s">
        <v>8424</v>
      </c>
    </row>
    <row r="2734" spans="1:11" ht="21" x14ac:dyDescent="0.25">
      <c r="A2734" s="11" t="str">
        <f>HYPERLINK("https://rth.dk/resources/bsgatlas/details.php?id=BSGatlas-transcript-2733","BSGatlas-transcript-2733")</f>
        <v>BSGatlas-transcript-2733</v>
      </c>
      <c r="B2734" s="1" t="s">
        <v>8425</v>
      </c>
      <c r="C2734" s="3">
        <v>2490574</v>
      </c>
      <c r="D2734" s="3">
        <v>2492861</v>
      </c>
      <c r="E2734" s="1" t="s">
        <v>13</v>
      </c>
      <c r="F2734" s="1">
        <v>1</v>
      </c>
      <c r="G2734" s="1">
        <v>66</v>
      </c>
      <c r="H2734" s="1" t="s">
        <v>4372</v>
      </c>
      <c r="I2734" s="1" t="s">
        <v>4386</v>
      </c>
      <c r="J2734" s="1" t="s">
        <v>8426</v>
      </c>
      <c r="K2734" s="1" t="s">
        <v>8427</v>
      </c>
    </row>
    <row r="2735" spans="1:11" ht="21" x14ac:dyDescent="0.25">
      <c r="A2735" s="11" t="str">
        <f>HYPERLINK("https://rth.dk/resources/bsgatlas/details.php?id=BSGatlas-transcript-2734","BSGatlas-transcript-2734")</f>
        <v>BSGatlas-transcript-2734</v>
      </c>
      <c r="B2735" s="1" t="s">
        <v>2552</v>
      </c>
      <c r="C2735" s="3">
        <v>2493016</v>
      </c>
      <c r="D2735" s="3">
        <v>2493546</v>
      </c>
      <c r="E2735" s="1" t="s">
        <v>13</v>
      </c>
      <c r="F2735" s="1">
        <v>0</v>
      </c>
      <c r="G2735" s="1" t="s">
        <v>4372</v>
      </c>
      <c r="H2735" s="1" t="s">
        <v>4372</v>
      </c>
      <c r="I2735" s="1" t="s">
        <v>4373</v>
      </c>
      <c r="J2735" s="1" t="s">
        <v>8428</v>
      </c>
      <c r="K2735" s="1" t="s">
        <v>8429</v>
      </c>
    </row>
    <row r="2736" spans="1:11" ht="21" x14ac:dyDescent="0.25">
      <c r="A2736" s="11" t="str">
        <f>HYPERLINK("https://rth.dk/resources/bsgatlas/details.php?id=BSGatlas-transcript-2735","BSGatlas-transcript-2735")</f>
        <v>BSGatlas-transcript-2735</v>
      </c>
      <c r="B2736" s="1" t="s">
        <v>8430</v>
      </c>
      <c r="C2736" s="3">
        <v>2493635</v>
      </c>
      <c r="D2736" s="3">
        <v>2495877</v>
      </c>
      <c r="E2736" s="1" t="s">
        <v>9</v>
      </c>
      <c r="F2736" s="1">
        <v>1</v>
      </c>
      <c r="G2736" s="1">
        <v>28</v>
      </c>
      <c r="H2736" s="1">
        <v>53</v>
      </c>
      <c r="I2736" s="1" t="s">
        <v>4377</v>
      </c>
      <c r="J2736" s="1" t="s">
        <v>8431</v>
      </c>
      <c r="K2736" s="1" t="s">
        <v>8432</v>
      </c>
    </row>
    <row r="2737" spans="1:11" ht="21" x14ac:dyDescent="0.25">
      <c r="A2737" s="11" t="str">
        <f>HYPERLINK("https://rth.dk/resources/bsgatlas/details.php?id=BSGatlas-transcript-2736","BSGatlas-transcript-2736")</f>
        <v>BSGatlas-transcript-2736</v>
      </c>
      <c r="B2737" s="1" t="s">
        <v>8433</v>
      </c>
      <c r="C2737" s="3">
        <v>2493635</v>
      </c>
      <c r="D2737" s="3">
        <v>2496799</v>
      </c>
      <c r="E2737" s="1" t="s">
        <v>9</v>
      </c>
      <c r="F2737" s="1">
        <v>2</v>
      </c>
      <c r="G2737" s="1">
        <v>28</v>
      </c>
      <c r="H2737" s="1">
        <v>66</v>
      </c>
      <c r="I2737" s="1" t="s">
        <v>4373</v>
      </c>
      <c r="J2737" s="1" t="s">
        <v>8431</v>
      </c>
      <c r="K2737" s="1" t="s">
        <v>8434</v>
      </c>
    </row>
    <row r="2738" spans="1:11" ht="21" x14ac:dyDescent="0.25">
      <c r="A2738" s="11" t="str">
        <f>HYPERLINK("https://rth.dk/resources/bsgatlas/details.php?id=BSGatlas-transcript-2737","BSGatlas-transcript-2737")</f>
        <v>BSGatlas-transcript-2737</v>
      </c>
      <c r="B2738" s="1" t="s">
        <v>2554</v>
      </c>
      <c r="C2738" s="3">
        <v>2494628</v>
      </c>
      <c r="D2738" s="3">
        <v>2495877</v>
      </c>
      <c r="E2738" s="1" t="s">
        <v>9</v>
      </c>
      <c r="F2738" s="1">
        <v>0</v>
      </c>
      <c r="G2738" s="1" t="s">
        <v>4372</v>
      </c>
      <c r="H2738" s="1" t="s">
        <v>4372</v>
      </c>
      <c r="I2738" s="1" t="s">
        <v>4377</v>
      </c>
      <c r="J2738" s="1" t="s">
        <v>8435</v>
      </c>
      <c r="K2738" s="1" t="s">
        <v>8432</v>
      </c>
    </row>
    <row r="2739" spans="1:11" ht="21" x14ac:dyDescent="0.25">
      <c r="A2739" s="11" t="str">
        <f>HYPERLINK("https://rth.dk/resources/bsgatlas/details.php?id=BSGatlas-transcript-2738","BSGatlas-transcript-2738")</f>
        <v>BSGatlas-transcript-2738</v>
      </c>
      <c r="B2739" s="1" t="s">
        <v>8436</v>
      </c>
      <c r="C2739" s="3">
        <v>2494628</v>
      </c>
      <c r="D2739" s="3">
        <v>2496799</v>
      </c>
      <c r="E2739" s="1" t="s">
        <v>9</v>
      </c>
      <c r="F2739" s="1">
        <v>1</v>
      </c>
      <c r="G2739" s="1">
        <v>29</v>
      </c>
      <c r="H2739" s="1">
        <v>66</v>
      </c>
      <c r="I2739" s="1" t="s">
        <v>4386</v>
      </c>
      <c r="J2739" s="1" t="s">
        <v>8435</v>
      </c>
      <c r="K2739" s="1" t="s">
        <v>8434</v>
      </c>
    </row>
    <row r="2740" spans="1:11" ht="21" x14ac:dyDescent="0.25">
      <c r="A2740" s="11" t="str">
        <f>HYPERLINK("https://rth.dk/resources/bsgatlas/details.php?id=BSGatlas-transcript-2739","BSGatlas-transcript-2739")</f>
        <v>BSGatlas-transcript-2739</v>
      </c>
      <c r="B2740" s="1" t="s">
        <v>8437</v>
      </c>
      <c r="C2740" s="3">
        <v>2496733</v>
      </c>
      <c r="D2740" s="3">
        <v>2504692</v>
      </c>
      <c r="E2740" s="1" t="s">
        <v>13</v>
      </c>
      <c r="F2740" s="1">
        <v>4</v>
      </c>
      <c r="G2740" s="1">
        <v>29</v>
      </c>
      <c r="H2740" s="1">
        <v>64</v>
      </c>
      <c r="I2740" s="1" t="s">
        <v>4373</v>
      </c>
      <c r="J2740" s="1" t="s">
        <v>8438</v>
      </c>
      <c r="K2740" s="1" t="s">
        <v>8439</v>
      </c>
    </row>
    <row r="2741" spans="1:11" ht="21" x14ac:dyDescent="0.25">
      <c r="A2741" s="11" t="str">
        <f>HYPERLINK("https://rth.dk/resources/bsgatlas/details.php?id=BSGatlas-transcript-2740","BSGatlas-transcript-2740")</f>
        <v>BSGatlas-transcript-2740</v>
      </c>
      <c r="B2741" s="1" t="s">
        <v>2563</v>
      </c>
      <c r="C2741" s="3">
        <v>2504789</v>
      </c>
      <c r="D2741" s="3">
        <v>2506944</v>
      </c>
      <c r="E2741" s="1" t="s">
        <v>13</v>
      </c>
      <c r="F2741" s="1">
        <v>0</v>
      </c>
      <c r="G2741" s="1" t="s">
        <v>4372</v>
      </c>
      <c r="H2741" s="1" t="s">
        <v>4372</v>
      </c>
      <c r="I2741" s="1" t="s">
        <v>4373</v>
      </c>
      <c r="J2741" s="1" t="s">
        <v>8440</v>
      </c>
      <c r="K2741" s="1" t="s">
        <v>318</v>
      </c>
    </row>
    <row r="2742" spans="1:11" ht="21" x14ac:dyDescent="0.25">
      <c r="A2742" s="11" t="str">
        <f>HYPERLINK("https://rth.dk/resources/bsgatlas/details.php?id=BSGatlas-transcript-2741","BSGatlas-transcript-2741")</f>
        <v>BSGatlas-transcript-2741</v>
      </c>
      <c r="B2742" s="1" t="s">
        <v>2564</v>
      </c>
      <c r="C2742" s="3">
        <v>2506982</v>
      </c>
      <c r="D2742" s="3">
        <v>2507299</v>
      </c>
      <c r="E2742" s="1" t="s">
        <v>9</v>
      </c>
      <c r="F2742" s="1">
        <v>0</v>
      </c>
      <c r="G2742" s="1" t="s">
        <v>4372</v>
      </c>
      <c r="H2742" s="1" t="s">
        <v>4372</v>
      </c>
      <c r="I2742" s="1" t="s">
        <v>4373</v>
      </c>
      <c r="J2742" s="1" t="s">
        <v>8441</v>
      </c>
      <c r="K2742" s="1" t="s">
        <v>8442</v>
      </c>
    </row>
    <row r="2743" spans="1:11" ht="21" x14ac:dyDescent="0.25">
      <c r="A2743" s="11" t="str">
        <f>HYPERLINK("https://rth.dk/resources/bsgatlas/details.php?id=BSGatlas-transcript-2742","BSGatlas-transcript-2742")</f>
        <v>BSGatlas-transcript-2742</v>
      </c>
      <c r="B2743" s="1" t="s">
        <v>2565</v>
      </c>
      <c r="C2743" s="3">
        <v>2507252</v>
      </c>
      <c r="D2743" s="3">
        <v>2508533</v>
      </c>
      <c r="E2743" s="1" t="s">
        <v>13</v>
      </c>
      <c r="F2743" s="1">
        <v>0</v>
      </c>
      <c r="G2743" s="1" t="s">
        <v>4372</v>
      </c>
      <c r="H2743" s="1" t="s">
        <v>4372</v>
      </c>
      <c r="I2743" s="1" t="s">
        <v>4377</v>
      </c>
      <c r="J2743" s="1" t="s">
        <v>8443</v>
      </c>
      <c r="K2743" s="1" t="s">
        <v>8444</v>
      </c>
    </row>
    <row r="2744" spans="1:11" ht="21" x14ac:dyDescent="0.25">
      <c r="A2744" s="11" t="str">
        <f>HYPERLINK("https://rth.dk/resources/bsgatlas/details.php?id=BSGatlas-transcript-2743","BSGatlas-transcript-2743")</f>
        <v>BSGatlas-transcript-2743</v>
      </c>
      <c r="B2744" s="1" t="s">
        <v>8445</v>
      </c>
      <c r="C2744" s="3">
        <v>2507252</v>
      </c>
      <c r="D2744" s="3">
        <v>2514042</v>
      </c>
      <c r="E2744" s="1" t="s">
        <v>13</v>
      </c>
      <c r="F2744" s="1">
        <v>4</v>
      </c>
      <c r="G2744" s="1" t="s">
        <v>4372</v>
      </c>
      <c r="H2744" s="1">
        <v>47</v>
      </c>
      <c r="I2744" s="1" t="s">
        <v>4373</v>
      </c>
      <c r="J2744" s="1" t="s">
        <v>8446</v>
      </c>
      <c r="K2744" s="1" t="s">
        <v>8444</v>
      </c>
    </row>
    <row r="2745" spans="1:11" ht="21" x14ac:dyDescent="0.25">
      <c r="A2745" s="11" t="str">
        <f>HYPERLINK("https://rth.dk/resources/bsgatlas/details.php?id=BSGatlas-transcript-2744","BSGatlas-transcript-2744")</f>
        <v>BSGatlas-transcript-2744</v>
      </c>
      <c r="B2745" s="1" t="s">
        <v>8445</v>
      </c>
      <c r="C2745" s="3">
        <v>2507252</v>
      </c>
      <c r="D2745" s="3">
        <v>2514042</v>
      </c>
      <c r="E2745" s="1" t="s">
        <v>13</v>
      </c>
      <c r="F2745" s="1">
        <v>4</v>
      </c>
      <c r="G2745" s="1" t="s">
        <v>4372</v>
      </c>
      <c r="H2745" s="1">
        <v>47</v>
      </c>
      <c r="I2745" s="1" t="s">
        <v>4373</v>
      </c>
      <c r="J2745" s="1" t="s">
        <v>8447</v>
      </c>
      <c r="K2745" s="1" t="s">
        <v>8444</v>
      </c>
    </row>
    <row r="2746" spans="1:11" ht="21" x14ac:dyDescent="0.25">
      <c r="A2746" s="11" t="str">
        <f>HYPERLINK("https://rth.dk/resources/bsgatlas/details.php?id=BSGatlas-transcript-2745","BSGatlas-transcript-2745")</f>
        <v>BSGatlas-transcript-2745</v>
      </c>
      <c r="B2746" s="1" t="s">
        <v>8445</v>
      </c>
      <c r="C2746" s="3">
        <v>2507252</v>
      </c>
      <c r="D2746" s="3">
        <v>2514092</v>
      </c>
      <c r="E2746" s="1" t="s">
        <v>13</v>
      </c>
      <c r="F2746" s="1">
        <v>4</v>
      </c>
      <c r="G2746" s="1">
        <v>51</v>
      </c>
      <c r="H2746" s="1">
        <v>47</v>
      </c>
      <c r="I2746" s="1" t="s">
        <v>4373</v>
      </c>
      <c r="J2746" s="1" t="s">
        <v>8448</v>
      </c>
      <c r="K2746" s="1" t="s">
        <v>8444</v>
      </c>
    </row>
    <row r="2747" spans="1:11" ht="21" x14ac:dyDescent="0.25">
      <c r="A2747" s="11" t="str">
        <f>HYPERLINK("https://rth.dk/resources/bsgatlas/details.php?id=BSGatlas-transcript-2746","BSGatlas-transcript-2746")</f>
        <v>BSGatlas-transcript-2746</v>
      </c>
      <c r="B2747" s="1" t="s">
        <v>2571</v>
      </c>
      <c r="C2747" s="3">
        <v>2513600</v>
      </c>
      <c r="D2747" s="3">
        <v>2514934</v>
      </c>
      <c r="E2747" s="1" t="s">
        <v>13</v>
      </c>
      <c r="F2747" s="1">
        <v>0</v>
      </c>
      <c r="G2747" s="1" t="s">
        <v>4372</v>
      </c>
      <c r="H2747" s="1" t="s">
        <v>4372</v>
      </c>
      <c r="I2747" s="1" t="s">
        <v>4386</v>
      </c>
      <c r="J2747" s="1" t="s">
        <v>8449</v>
      </c>
      <c r="K2747" s="1" t="s">
        <v>8450</v>
      </c>
    </row>
    <row r="2748" spans="1:11" ht="21" x14ac:dyDescent="0.25">
      <c r="A2748" s="11" t="str">
        <f>HYPERLINK("https://rth.dk/resources/bsgatlas/details.php?id=BSGatlas-transcript-2747","BSGatlas-transcript-2747")</f>
        <v>BSGatlas-transcript-2747</v>
      </c>
      <c r="B2748" s="1" t="s">
        <v>8451</v>
      </c>
      <c r="C2748" s="3">
        <v>2513600</v>
      </c>
      <c r="D2748" s="3">
        <v>2515932</v>
      </c>
      <c r="E2748" s="1" t="s">
        <v>13</v>
      </c>
      <c r="F2748" s="1">
        <v>1</v>
      </c>
      <c r="G2748" s="1">
        <v>26</v>
      </c>
      <c r="H2748" s="1">
        <v>570</v>
      </c>
      <c r="I2748" s="1" t="s">
        <v>4397</v>
      </c>
      <c r="J2748" s="1" t="s">
        <v>8452</v>
      </c>
      <c r="K2748" s="1" t="s">
        <v>8450</v>
      </c>
    </row>
    <row r="2749" spans="1:11" ht="21" x14ac:dyDescent="0.25">
      <c r="A2749" s="11" t="str">
        <f>HYPERLINK("https://rth.dk/resources/bsgatlas/details.php?id=BSGatlas-transcript-2748","BSGatlas-transcript-2748")</f>
        <v>BSGatlas-transcript-2748</v>
      </c>
      <c r="B2749" s="1" t="s">
        <v>2571</v>
      </c>
      <c r="C2749" s="3">
        <v>2514154</v>
      </c>
      <c r="D2749" s="3">
        <v>2514934</v>
      </c>
      <c r="E2749" s="1" t="s">
        <v>13</v>
      </c>
      <c r="F2749" s="1">
        <v>0</v>
      </c>
      <c r="G2749" s="1" t="s">
        <v>4372</v>
      </c>
      <c r="H2749" s="1" t="s">
        <v>4372</v>
      </c>
      <c r="I2749" s="1" t="s">
        <v>4386</v>
      </c>
      <c r="J2749" s="1" t="s">
        <v>8449</v>
      </c>
      <c r="K2749" s="1" t="s">
        <v>8453</v>
      </c>
    </row>
    <row r="2750" spans="1:11" ht="21" x14ac:dyDescent="0.25">
      <c r="A2750" s="11" t="str">
        <f>HYPERLINK("https://rth.dk/resources/bsgatlas/details.php?id=BSGatlas-transcript-2749","BSGatlas-transcript-2749")</f>
        <v>BSGatlas-transcript-2749</v>
      </c>
      <c r="B2750" s="1" t="s">
        <v>8451</v>
      </c>
      <c r="C2750" s="3">
        <v>2514154</v>
      </c>
      <c r="D2750" s="3">
        <v>2515932</v>
      </c>
      <c r="E2750" s="1" t="s">
        <v>13</v>
      </c>
      <c r="F2750" s="1">
        <v>1</v>
      </c>
      <c r="G2750" s="1">
        <v>26</v>
      </c>
      <c r="H2750" s="1">
        <v>16</v>
      </c>
      <c r="I2750" s="1" t="s">
        <v>4397</v>
      </c>
      <c r="J2750" s="1" t="s">
        <v>8452</v>
      </c>
      <c r="K2750" s="1" t="s">
        <v>8453</v>
      </c>
    </row>
    <row r="2751" spans="1:11" ht="21" x14ac:dyDescent="0.25">
      <c r="A2751" s="11" t="str">
        <f>HYPERLINK("https://rth.dk/resources/bsgatlas/details.php?id=BSGatlas-transcript-2750","BSGatlas-transcript-2750")</f>
        <v>BSGatlas-transcript-2750</v>
      </c>
      <c r="B2751" s="1" t="s">
        <v>4760</v>
      </c>
      <c r="C2751" s="3">
        <v>2516215</v>
      </c>
      <c r="D2751" s="3">
        <v>2516367</v>
      </c>
      <c r="E2751" s="1" t="s">
        <v>9</v>
      </c>
      <c r="F2751" s="1">
        <v>0</v>
      </c>
      <c r="G2751" s="1" t="s">
        <v>4372</v>
      </c>
      <c r="H2751" s="1" t="s">
        <v>4372</v>
      </c>
      <c r="I2751" s="1" t="s">
        <v>4377</v>
      </c>
      <c r="J2751" s="1" t="s">
        <v>8454</v>
      </c>
      <c r="K2751" s="1" t="s">
        <v>318</v>
      </c>
    </row>
    <row r="2752" spans="1:11" ht="21" x14ac:dyDescent="0.25">
      <c r="A2752" s="11" t="str">
        <f>HYPERLINK("https://rth.dk/resources/bsgatlas/details.php?id=BSGatlas-transcript-2751","BSGatlas-transcript-2751")</f>
        <v>BSGatlas-transcript-2751</v>
      </c>
      <c r="B2752" s="1" t="s">
        <v>2574</v>
      </c>
      <c r="C2752" s="3">
        <v>2516408</v>
      </c>
      <c r="D2752" s="3">
        <v>2517605</v>
      </c>
      <c r="E2752" s="1" t="s">
        <v>9</v>
      </c>
      <c r="F2752" s="1">
        <v>0</v>
      </c>
      <c r="G2752" s="1" t="s">
        <v>4372</v>
      </c>
      <c r="H2752" s="1" t="s">
        <v>4372</v>
      </c>
      <c r="I2752" s="1" t="s">
        <v>4373</v>
      </c>
      <c r="J2752" s="1" t="s">
        <v>8455</v>
      </c>
      <c r="K2752" s="1" t="s">
        <v>8456</v>
      </c>
    </row>
    <row r="2753" spans="1:11" ht="21" x14ac:dyDescent="0.25">
      <c r="A2753" s="11" t="str">
        <f>HYPERLINK("https://rth.dk/resources/bsgatlas/details.php?id=BSGatlas-transcript-2752","BSGatlas-transcript-2752")</f>
        <v>BSGatlas-transcript-2752</v>
      </c>
      <c r="B2753" s="1" t="s">
        <v>2575</v>
      </c>
      <c r="C2753" s="3">
        <v>2517585</v>
      </c>
      <c r="D2753" s="3">
        <v>2517755</v>
      </c>
      <c r="E2753" s="1" t="s">
        <v>13</v>
      </c>
      <c r="F2753" s="1">
        <v>0</v>
      </c>
      <c r="G2753" s="1" t="s">
        <v>4372</v>
      </c>
      <c r="H2753" s="1" t="s">
        <v>4372</v>
      </c>
      <c r="I2753" s="1" t="s">
        <v>4377</v>
      </c>
      <c r="J2753" s="1" t="s">
        <v>8457</v>
      </c>
      <c r="K2753" s="1" t="s">
        <v>8458</v>
      </c>
    </row>
    <row r="2754" spans="1:11" ht="21" x14ac:dyDescent="0.25">
      <c r="A2754" s="11" t="str">
        <f>HYPERLINK("https://rth.dk/resources/bsgatlas/details.php?id=BSGatlas-transcript-2753","BSGatlas-transcript-2753")</f>
        <v>BSGatlas-transcript-2753</v>
      </c>
      <c r="B2754" s="1" t="s">
        <v>2575</v>
      </c>
      <c r="C2754" s="3">
        <v>2517585</v>
      </c>
      <c r="D2754" s="3">
        <v>2517907</v>
      </c>
      <c r="E2754" s="1" t="s">
        <v>13</v>
      </c>
      <c r="F2754" s="1">
        <v>0</v>
      </c>
      <c r="G2754" s="1" t="s">
        <v>4372</v>
      </c>
      <c r="H2754" s="1" t="s">
        <v>4372</v>
      </c>
      <c r="I2754" s="1" t="s">
        <v>4377</v>
      </c>
      <c r="J2754" s="1" t="s">
        <v>8459</v>
      </c>
      <c r="K2754" s="1" t="s">
        <v>8458</v>
      </c>
    </row>
    <row r="2755" spans="1:11" ht="21" x14ac:dyDescent="0.25">
      <c r="A2755" s="11" t="str">
        <f>HYPERLINK("https://rth.dk/resources/bsgatlas/details.php?id=BSGatlas-transcript-2754","BSGatlas-transcript-2754")</f>
        <v>BSGatlas-transcript-2754</v>
      </c>
      <c r="B2755" s="1" t="s">
        <v>2576</v>
      </c>
      <c r="C2755" s="3">
        <v>2517936</v>
      </c>
      <c r="D2755" s="3">
        <v>2518871</v>
      </c>
      <c r="E2755" s="1" t="s">
        <v>13</v>
      </c>
      <c r="F2755" s="1">
        <v>0</v>
      </c>
      <c r="G2755" s="1" t="s">
        <v>4372</v>
      </c>
      <c r="H2755" s="1" t="s">
        <v>4372</v>
      </c>
      <c r="I2755" s="1" t="s">
        <v>4373</v>
      </c>
      <c r="J2755" s="1" t="s">
        <v>8460</v>
      </c>
      <c r="K2755" s="1" t="s">
        <v>8461</v>
      </c>
    </row>
    <row r="2756" spans="1:11" ht="21" x14ac:dyDescent="0.25">
      <c r="A2756" s="11" t="str">
        <f>HYPERLINK("https://rth.dk/resources/bsgatlas/details.php?id=BSGatlas-transcript-2755","BSGatlas-transcript-2755")</f>
        <v>BSGatlas-transcript-2755</v>
      </c>
      <c r="B2756" s="1" t="s">
        <v>2576</v>
      </c>
      <c r="C2756" s="3">
        <v>2517936</v>
      </c>
      <c r="D2756" s="3">
        <v>2519024</v>
      </c>
      <c r="E2756" s="1" t="s">
        <v>13</v>
      </c>
      <c r="F2756" s="1">
        <v>0</v>
      </c>
      <c r="G2756" s="1" t="s">
        <v>4372</v>
      </c>
      <c r="H2756" s="1" t="s">
        <v>4372</v>
      </c>
      <c r="I2756" s="1" t="s">
        <v>4373</v>
      </c>
      <c r="J2756" s="1" t="s">
        <v>8462</v>
      </c>
      <c r="K2756" s="1" t="s">
        <v>8461</v>
      </c>
    </row>
    <row r="2757" spans="1:11" ht="21" x14ac:dyDescent="0.25">
      <c r="A2757" s="11" t="str">
        <f>HYPERLINK("https://rth.dk/resources/bsgatlas/details.php?id=BSGatlas-transcript-2756","BSGatlas-transcript-2756")</f>
        <v>BSGatlas-transcript-2756</v>
      </c>
      <c r="B2757" s="1" t="s">
        <v>2576</v>
      </c>
      <c r="C2757" s="3">
        <v>2517936</v>
      </c>
      <c r="D2757" s="3">
        <v>2519030</v>
      </c>
      <c r="E2757" s="1" t="s">
        <v>13</v>
      </c>
      <c r="F2757" s="1">
        <v>0</v>
      </c>
      <c r="G2757" s="1" t="s">
        <v>4372</v>
      </c>
      <c r="H2757" s="1" t="s">
        <v>4372</v>
      </c>
      <c r="I2757" s="1" t="s">
        <v>4373</v>
      </c>
      <c r="J2757" s="1" t="s">
        <v>8463</v>
      </c>
      <c r="K2757" s="1" t="s">
        <v>8461</v>
      </c>
    </row>
    <row r="2758" spans="1:11" ht="21" x14ac:dyDescent="0.25">
      <c r="A2758" s="11" t="str">
        <f>HYPERLINK("https://rth.dk/resources/bsgatlas/details.php?id=BSGatlas-transcript-2757","BSGatlas-transcript-2757")</f>
        <v>BSGatlas-transcript-2757</v>
      </c>
      <c r="B2758" s="1" t="s">
        <v>2577</v>
      </c>
      <c r="C2758" s="3">
        <v>2519068</v>
      </c>
      <c r="D2758" s="3">
        <v>2520438</v>
      </c>
      <c r="E2758" s="1" t="s">
        <v>13</v>
      </c>
      <c r="F2758" s="1">
        <v>0</v>
      </c>
      <c r="G2758" s="1" t="s">
        <v>4372</v>
      </c>
      <c r="H2758" s="1" t="s">
        <v>4372</v>
      </c>
      <c r="I2758" s="1" t="s">
        <v>4373</v>
      </c>
      <c r="J2758" s="1" t="s">
        <v>8464</v>
      </c>
      <c r="K2758" s="1" t="s">
        <v>8465</v>
      </c>
    </row>
    <row r="2759" spans="1:11" ht="21" x14ac:dyDescent="0.25">
      <c r="A2759" s="11" t="str">
        <f>HYPERLINK("https://rth.dk/resources/bsgatlas/details.php?id=BSGatlas-transcript-2758","BSGatlas-transcript-2758")</f>
        <v>BSGatlas-transcript-2758</v>
      </c>
      <c r="B2759" s="1" t="s">
        <v>8466</v>
      </c>
      <c r="C2759" s="3">
        <v>2520523</v>
      </c>
      <c r="D2759" s="3">
        <v>2522773</v>
      </c>
      <c r="E2759" s="1" t="s">
        <v>13</v>
      </c>
      <c r="F2759" s="1">
        <v>1</v>
      </c>
      <c r="G2759" s="1" t="s">
        <v>4372</v>
      </c>
      <c r="H2759" s="1">
        <v>35</v>
      </c>
      <c r="I2759" s="1" t="s">
        <v>4373</v>
      </c>
      <c r="J2759" s="1" t="s">
        <v>318</v>
      </c>
      <c r="K2759" s="1" t="s">
        <v>8467</v>
      </c>
    </row>
    <row r="2760" spans="1:11" ht="21" x14ac:dyDescent="0.25">
      <c r="A2760" s="11" t="str">
        <f>HYPERLINK("https://rth.dk/resources/bsgatlas/details.php?id=BSGatlas-transcript-2759","BSGatlas-transcript-2759")</f>
        <v>BSGatlas-transcript-2759</v>
      </c>
      <c r="B2760" s="1" t="s">
        <v>8468</v>
      </c>
      <c r="C2760" s="3">
        <v>2520523</v>
      </c>
      <c r="D2760" s="3">
        <v>2525743</v>
      </c>
      <c r="E2760" s="1" t="s">
        <v>13</v>
      </c>
      <c r="F2760" s="1">
        <v>2</v>
      </c>
      <c r="G2760" s="1">
        <v>130</v>
      </c>
      <c r="H2760" s="1">
        <v>35</v>
      </c>
      <c r="I2760" s="1" t="s">
        <v>4386</v>
      </c>
      <c r="J2760" s="1" t="s">
        <v>8469</v>
      </c>
      <c r="K2760" s="1" t="s">
        <v>8467</v>
      </c>
    </row>
    <row r="2761" spans="1:11" ht="21" x14ac:dyDescent="0.25">
      <c r="A2761" s="11" t="str">
        <f>HYPERLINK("https://rth.dk/resources/bsgatlas/details.php?id=BSGatlas-transcript-2760","BSGatlas-transcript-2760")</f>
        <v>BSGatlas-transcript-2760</v>
      </c>
      <c r="B2761" s="1" t="s">
        <v>2580</v>
      </c>
      <c r="C2761" s="3">
        <v>2522839</v>
      </c>
      <c r="D2761" s="3">
        <v>2523716</v>
      </c>
      <c r="E2761" s="1" t="s">
        <v>13</v>
      </c>
      <c r="F2761" s="1">
        <v>0</v>
      </c>
      <c r="G2761" s="1" t="s">
        <v>4372</v>
      </c>
      <c r="H2761" s="1" t="s">
        <v>4372</v>
      </c>
      <c r="I2761" s="1" t="s">
        <v>4373</v>
      </c>
      <c r="J2761" s="1" t="s">
        <v>318</v>
      </c>
      <c r="K2761" s="1" t="s">
        <v>8470</v>
      </c>
    </row>
    <row r="2762" spans="1:11" ht="21" x14ac:dyDescent="0.25">
      <c r="A2762" s="11" t="str">
        <f>HYPERLINK("https://rth.dk/resources/bsgatlas/details.php?id=BSGatlas-transcript-2761","BSGatlas-transcript-2761")</f>
        <v>BSGatlas-transcript-2761</v>
      </c>
      <c r="B2762" s="1" t="s">
        <v>8471</v>
      </c>
      <c r="C2762" s="3">
        <v>2522839</v>
      </c>
      <c r="D2762" s="3">
        <v>2525743</v>
      </c>
      <c r="E2762" s="1" t="s">
        <v>13</v>
      </c>
      <c r="F2762" s="1">
        <v>0</v>
      </c>
      <c r="G2762" s="1" t="s">
        <v>4372</v>
      </c>
      <c r="H2762" s="1" t="s">
        <v>4372</v>
      </c>
      <c r="I2762" s="1" t="s">
        <v>4377</v>
      </c>
      <c r="J2762" s="1" t="s">
        <v>8469</v>
      </c>
      <c r="K2762" s="1" t="s">
        <v>8470</v>
      </c>
    </row>
    <row r="2763" spans="1:11" ht="21" x14ac:dyDescent="0.25">
      <c r="A2763" s="11" t="str">
        <f>HYPERLINK("https://rth.dk/resources/bsgatlas/details.php?id=BSGatlas-transcript-2762","BSGatlas-transcript-2762")</f>
        <v>BSGatlas-transcript-2762</v>
      </c>
      <c r="B2763" s="1" t="s">
        <v>522</v>
      </c>
      <c r="C2763" s="3">
        <v>2528308</v>
      </c>
      <c r="D2763" s="3">
        <v>2528397</v>
      </c>
      <c r="E2763" s="1" t="s">
        <v>13</v>
      </c>
      <c r="F2763" s="1">
        <v>0</v>
      </c>
      <c r="G2763" s="1" t="s">
        <v>4372</v>
      </c>
      <c r="H2763" s="1" t="s">
        <v>4372</v>
      </c>
      <c r="I2763" s="1" t="s">
        <v>4377</v>
      </c>
      <c r="J2763" s="1" t="s">
        <v>318</v>
      </c>
      <c r="K2763" s="1" t="s">
        <v>8472</v>
      </c>
    </row>
    <row r="2764" spans="1:11" ht="21" x14ac:dyDescent="0.25">
      <c r="A2764" s="11" t="str">
        <f>HYPERLINK("https://rth.dk/resources/bsgatlas/details.php?id=BSGatlas-transcript-2763","BSGatlas-transcript-2763")</f>
        <v>BSGatlas-transcript-2763</v>
      </c>
      <c r="B2764" s="1" t="s">
        <v>8473</v>
      </c>
      <c r="C2764" s="3">
        <v>2528404</v>
      </c>
      <c r="D2764" s="3">
        <v>2529724</v>
      </c>
      <c r="E2764" s="1" t="s">
        <v>13</v>
      </c>
      <c r="F2764" s="1">
        <v>0</v>
      </c>
      <c r="G2764" s="1" t="s">
        <v>4372</v>
      </c>
      <c r="H2764" s="1" t="s">
        <v>4372</v>
      </c>
      <c r="I2764" s="1" t="s">
        <v>4373</v>
      </c>
      <c r="J2764" s="1" t="s">
        <v>8474</v>
      </c>
      <c r="K2764" s="1" t="s">
        <v>318</v>
      </c>
    </row>
    <row r="2765" spans="1:11" ht="21" x14ac:dyDescent="0.25">
      <c r="A2765" s="11" t="str">
        <f>HYPERLINK("https://rth.dk/resources/bsgatlas/details.php?id=BSGatlas-transcript-2764","BSGatlas-transcript-2764")</f>
        <v>BSGatlas-transcript-2764</v>
      </c>
      <c r="B2765" s="1" t="s">
        <v>8475</v>
      </c>
      <c r="C2765" s="3">
        <v>2529877</v>
      </c>
      <c r="D2765" s="3">
        <v>2531706</v>
      </c>
      <c r="E2765" s="1" t="s">
        <v>13</v>
      </c>
      <c r="F2765" s="1">
        <v>1</v>
      </c>
      <c r="G2765" s="1" t="s">
        <v>4372</v>
      </c>
      <c r="H2765" s="1">
        <v>50</v>
      </c>
      <c r="I2765" s="1" t="s">
        <v>4377</v>
      </c>
      <c r="J2765" s="1" t="s">
        <v>8476</v>
      </c>
      <c r="K2765" s="1" t="s">
        <v>8477</v>
      </c>
    </row>
    <row r="2766" spans="1:11" ht="21" x14ac:dyDescent="0.25">
      <c r="A2766" s="11" t="str">
        <f>HYPERLINK("https://rth.dk/resources/bsgatlas/details.php?id=BSGatlas-transcript-2765","BSGatlas-transcript-2765")</f>
        <v>BSGatlas-transcript-2765</v>
      </c>
      <c r="B2766" s="1" t="s">
        <v>8478</v>
      </c>
      <c r="C2766" s="3">
        <v>2529877</v>
      </c>
      <c r="D2766" s="3">
        <v>2532267</v>
      </c>
      <c r="E2766" s="1" t="s">
        <v>13</v>
      </c>
      <c r="F2766" s="1">
        <v>1</v>
      </c>
      <c r="G2766" s="1">
        <v>71</v>
      </c>
      <c r="H2766" s="1">
        <v>50</v>
      </c>
      <c r="I2766" s="1" t="s">
        <v>4373</v>
      </c>
      <c r="J2766" s="1" t="s">
        <v>8479</v>
      </c>
      <c r="K2766" s="1" t="s">
        <v>8477</v>
      </c>
    </row>
    <row r="2767" spans="1:11" ht="21" x14ac:dyDescent="0.25">
      <c r="A2767" s="11" t="str">
        <f>HYPERLINK("https://rth.dk/resources/bsgatlas/details.php?id=BSGatlas-transcript-2766","BSGatlas-transcript-2766")</f>
        <v>BSGatlas-transcript-2766</v>
      </c>
      <c r="B2767" s="1" t="s">
        <v>8475</v>
      </c>
      <c r="C2767" s="3">
        <v>2529911</v>
      </c>
      <c r="D2767" s="3">
        <v>2531706</v>
      </c>
      <c r="E2767" s="1" t="s">
        <v>13</v>
      </c>
      <c r="F2767" s="1">
        <v>1</v>
      </c>
      <c r="G2767" s="1" t="s">
        <v>4372</v>
      </c>
      <c r="H2767" s="1">
        <v>16</v>
      </c>
      <c r="I2767" s="1" t="s">
        <v>4377</v>
      </c>
      <c r="J2767" s="1" t="s">
        <v>8476</v>
      </c>
      <c r="K2767" s="1" t="s">
        <v>8480</v>
      </c>
    </row>
    <row r="2768" spans="1:11" ht="21" x14ac:dyDescent="0.25">
      <c r="A2768" s="11" t="str">
        <f>HYPERLINK("https://rth.dk/resources/bsgatlas/details.php?id=BSGatlas-transcript-2767","BSGatlas-transcript-2767")</f>
        <v>BSGatlas-transcript-2767</v>
      </c>
      <c r="B2768" s="1" t="s">
        <v>8478</v>
      </c>
      <c r="C2768" s="3">
        <v>2529911</v>
      </c>
      <c r="D2768" s="3">
        <v>2532267</v>
      </c>
      <c r="E2768" s="1" t="s">
        <v>13</v>
      </c>
      <c r="F2768" s="1">
        <v>1</v>
      </c>
      <c r="G2768" s="1">
        <v>71</v>
      </c>
      <c r="H2768" s="1">
        <v>16</v>
      </c>
      <c r="I2768" s="1" t="s">
        <v>4373</v>
      </c>
      <c r="J2768" s="1" t="s">
        <v>8479</v>
      </c>
      <c r="K2768" s="1" t="s">
        <v>8480</v>
      </c>
    </row>
    <row r="2769" spans="1:11" ht="21" x14ac:dyDescent="0.25">
      <c r="A2769" s="11" t="str">
        <f>HYPERLINK("https://rth.dk/resources/bsgatlas/details.php?id=BSGatlas-transcript-2768","BSGatlas-transcript-2768")</f>
        <v>BSGatlas-transcript-2768</v>
      </c>
      <c r="B2769" s="1" t="s">
        <v>8481</v>
      </c>
      <c r="C2769" s="3">
        <v>2532304</v>
      </c>
      <c r="D2769" s="3">
        <v>2533699</v>
      </c>
      <c r="E2769" s="1" t="s">
        <v>13</v>
      </c>
      <c r="F2769" s="1">
        <v>0</v>
      </c>
      <c r="G2769" s="1" t="s">
        <v>4372</v>
      </c>
      <c r="H2769" s="1" t="s">
        <v>4372</v>
      </c>
      <c r="I2769" s="1" t="s">
        <v>4386</v>
      </c>
      <c r="J2769" s="1" t="s">
        <v>318</v>
      </c>
      <c r="K2769" s="1" t="s">
        <v>8482</v>
      </c>
    </row>
    <row r="2770" spans="1:11" ht="21" x14ac:dyDescent="0.25">
      <c r="A2770" s="11" t="str">
        <f>HYPERLINK("https://rth.dk/resources/bsgatlas/details.php?id=BSGatlas-transcript-2769","BSGatlas-transcript-2769")</f>
        <v>BSGatlas-transcript-2769</v>
      </c>
      <c r="B2770" s="1" t="s">
        <v>8483</v>
      </c>
      <c r="C2770" s="3">
        <v>2532304</v>
      </c>
      <c r="D2770" s="3">
        <v>2534312</v>
      </c>
      <c r="E2770" s="1" t="s">
        <v>13</v>
      </c>
      <c r="F2770" s="1">
        <v>0</v>
      </c>
      <c r="G2770" s="1" t="s">
        <v>4372</v>
      </c>
      <c r="H2770" s="1" t="s">
        <v>4372</v>
      </c>
      <c r="I2770" s="1" t="s">
        <v>4377</v>
      </c>
      <c r="J2770" s="1" t="s">
        <v>8484</v>
      </c>
      <c r="K2770" s="1" t="s">
        <v>8482</v>
      </c>
    </row>
    <row r="2771" spans="1:11" ht="21" x14ac:dyDescent="0.25">
      <c r="A2771" s="11" t="str">
        <f>HYPERLINK("https://rth.dk/resources/bsgatlas/details.php?id=BSGatlas-transcript-2770","BSGatlas-transcript-2770")</f>
        <v>BSGatlas-transcript-2770</v>
      </c>
      <c r="B2771" s="1" t="s">
        <v>8485</v>
      </c>
      <c r="C2771" s="3">
        <v>2532304</v>
      </c>
      <c r="D2771" s="3">
        <v>2537642</v>
      </c>
      <c r="E2771" s="1" t="s">
        <v>13</v>
      </c>
      <c r="F2771" s="1">
        <v>2</v>
      </c>
      <c r="G2771" s="1">
        <v>30</v>
      </c>
      <c r="H2771" s="1">
        <v>50</v>
      </c>
      <c r="I2771" s="1" t="s">
        <v>4386</v>
      </c>
      <c r="J2771" s="1" t="s">
        <v>8486</v>
      </c>
      <c r="K2771" s="1" t="s">
        <v>8482</v>
      </c>
    </row>
    <row r="2772" spans="1:11" ht="21" x14ac:dyDescent="0.25">
      <c r="A2772" s="11" t="str">
        <f>HYPERLINK("https://rth.dk/resources/bsgatlas/details.php?id=BSGatlas-transcript-2771","BSGatlas-transcript-2771")</f>
        <v>BSGatlas-transcript-2771</v>
      </c>
      <c r="B2772" s="1" t="s">
        <v>8487</v>
      </c>
      <c r="C2772" s="3">
        <v>2532304</v>
      </c>
      <c r="D2772" s="3">
        <v>2538013</v>
      </c>
      <c r="E2772" s="1" t="s">
        <v>13</v>
      </c>
      <c r="F2772" s="1">
        <v>3</v>
      </c>
      <c r="G2772" s="1">
        <v>44</v>
      </c>
      <c r="H2772" s="1">
        <v>50</v>
      </c>
      <c r="I2772" s="1" t="s">
        <v>4373</v>
      </c>
      <c r="J2772" s="1" t="s">
        <v>8488</v>
      </c>
      <c r="K2772" s="1" t="s">
        <v>8482</v>
      </c>
    </row>
    <row r="2773" spans="1:11" ht="21" x14ac:dyDescent="0.25">
      <c r="A2773" s="11" t="str">
        <f>HYPERLINK("https://rth.dk/resources/bsgatlas/details.php?id=BSGatlas-transcript-2772","BSGatlas-transcript-2772")</f>
        <v>BSGatlas-transcript-2772</v>
      </c>
      <c r="B2773" s="1" t="s">
        <v>8489</v>
      </c>
      <c r="C2773" s="3">
        <v>2538115</v>
      </c>
      <c r="D2773" s="3">
        <v>2540266</v>
      </c>
      <c r="E2773" s="1" t="s">
        <v>13</v>
      </c>
      <c r="F2773" s="1">
        <v>1</v>
      </c>
      <c r="G2773" s="1">
        <v>66</v>
      </c>
      <c r="H2773" s="1" t="s">
        <v>4372</v>
      </c>
      <c r="I2773" s="1" t="s">
        <v>4386</v>
      </c>
      <c r="J2773" s="1" t="s">
        <v>8490</v>
      </c>
      <c r="K2773" s="1" t="s">
        <v>8491</v>
      </c>
    </row>
    <row r="2774" spans="1:11" ht="21" x14ac:dyDescent="0.25">
      <c r="A2774" s="11" t="str">
        <f>HYPERLINK("https://rth.dk/resources/bsgatlas/details.php?id=BSGatlas-transcript-2773","BSGatlas-transcript-2773")</f>
        <v>BSGatlas-transcript-2773</v>
      </c>
      <c r="B2774" s="1" t="s">
        <v>8492</v>
      </c>
      <c r="C2774" s="3">
        <v>2538115</v>
      </c>
      <c r="D2774" s="3">
        <v>2540846</v>
      </c>
      <c r="E2774" s="1" t="s">
        <v>13</v>
      </c>
      <c r="F2774" s="1">
        <v>2</v>
      </c>
      <c r="G2774" s="1">
        <v>23</v>
      </c>
      <c r="H2774" s="1" t="s">
        <v>4372</v>
      </c>
      <c r="I2774" s="1" t="s">
        <v>4386</v>
      </c>
      <c r="J2774" s="1" t="s">
        <v>8493</v>
      </c>
      <c r="K2774" s="1" t="s">
        <v>8491</v>
      </c>
    </row>
    <row r="2775" spans="1:11" ht="21" x14ac:dyDescent="0.25">
      <c r="A2775" s="11" t="str">
        <f>HYPERLINK("https://rth.dk/resources/bsgatlas/details.php?id=BSGatlas-transcript-2774","BSGatlas-transcript-2774")</f>
        <v>BSGatlas-transcript-2774</v>
      </c>
      <c r="B2775" s="1" t="s">
        <v>8494</v>
      </c>
      <c r="C2775" s="3">
        <v>2540913</v>
      </c>
      <c r="D2775" s="3">
        <v>2542442</v>
      </c>
      <c r="E2775" s="1" t="s">
        <v>9</v>
      </c>
      <c r="F2775" s="1">
        <v>1</v>
      </c>
      <c r="G2775" s="1">
        <v>139</v>
      </c>
      <c r="H2775" s="1" t="s">
        <v>4372</v>
      </c>
      <c r="I2775" s="1" t="s">
        <v>4373</v>
      </c>
      <c r="J2775" s="1" t="s">
        <v>8495</v>
      </c>
      <c r="K2775" s="1" t="s">
        <v>8496</v>
      </c>
    </row>
    <row r="2776" spans="1:11" ht="21" x14ac:dyDescent="0.25">
      <c r="A2776" s="11" t="str">
        <f>HYPERLINK("https://rth.dk/resources/bsgatlas/details.php?id=BSGatlas-transcript-2775","BSGatlas-transcript-2775")</f>
        <v>BSGatlas-transcript-2775</v>
      </c>
      <c r="B2776" s="1" t="s">
        <v>8494</v>
      </c>
      <c r="C2776" s="3">
        <v>2540913</v>
      </c>
      <c r="D2776" s="3">
        <v>2542517</v>
      </c>
      <c r="E2776" s="1" t="s">
        <v>9</v>
      </c>
      <c r="F2776" s="1">
        <v>1</v>
      </c>
      <c r="G2776" s="1">
        <v>139</v>
      </c>
      <c r="H2776" s="1">
        <v>76</v>
      </c>
      <c r="I2776" s="1" t="s">
        <v>4373</v>
      </c>
      <c r="J2776" s="1" t="s">
        <v>8495</v>
      </c>
      <c r="K2776" s="1" t="s">
        <v>8497</v>
      </c>
    </row>
    <row r="2777" spans="1:11" ht="21" x14ac:dyDescent="0.25">
      <c r="A2777" s="11" t="str">
        <f>HYPERLINK("https://rth.dk/resources/bsgatlas/details.php?id=BSGatlas-transcript-2776","BSGatlas-transcript-2776")</f>
        <v>BSGatlas-transcript-2776</v>
      </c>
      <c r="B2777" s="1" t="s">
        <v>8494</v>
      </c>
      <c r="C2777" s="3">
        <v>2540999</v>
      </c>
      <c r="D2777" s="3">
        <v>2542442</v>
      </c>
      <c r="E2777" s="1" t="s">
        <v>9</v>
      </c>
      <c r="F2777" s="1">
        <v>1</v>
      </c>
      <c r="G2777" s="1">
        <v>53</v>
      </c>
      <c r="H2777" s="1" t="s">
        <v>4372</v>
      </c>
      <c r="I2777" s="1" t="s">
        <v>4373</v>
      </c>
      <c r="J2777" s="1" t="s">
        <v>8498</v>
      </c>
      <c r="K2777" s="1" t="s">
        <v>8496</v>
      </c>
    </row>
    <row r="2778" spans="1:11" ht="21" x14ac:dyDescent="0.25">
      <c r="A2778" s="11" t="str">
        <f>HYPERLINK("https://rth.dk/resources/bsgatlas/details.php?id=BSGatlas-transcript-2777","BSGatlas-transcript-2777")</f>
        <v>BSGatlas-transcript-2777</v>
      </c>
      <c r="B2778" s="1" t="s">
        <v>8494</v>
      </c>
      <c r="C2778" s="3">
        <v>2540999</v>
      </c>
      <c r="D2778" s="3">
        <v>2542517</v>
      </c>
      <c r="E2778" s="1" t="s">
        <v>9</v>
      </c>
      <c r="F2778" s="1">
        <v>1</v>
      </c>
      <c r="G2778" s="1">
        <v>53</v>
      </c>
      <c r="H2778" s="1">
        <v>76</v>
      </c>
      <c r="I2778" s="1" t="s">
        <v>4373</v>
      </c>
      <c r="J2778" s="1" t="s">
        <v>8498</v>
      </c>
      <c r="K2778" s="1" t="s">
        <v>8497</v>
      </c>
    </row>
    <row r="2779" spans="1:11" ht="21" x14ac:dyDescent="0.25">
      <c r="A2779" s="11" t="str">
        <f>HYPERLINK("https://rth.dk/resources/bsgatlas/details.php?id=BSGatlas-transcript-2778","BSGatlas-transcript-2778")</f>
        <v>BSGatlas-transcript-2778</v>
      </c>
      <c r="B2779" s="1" t="s">
        <v>2601</v>
      </c>
      <c r="C2779" s="3">
        <v>2542047</v>
      </c>
      <c r="D2779" s="3">
        <v>2542442</v>
      </c>
      <c r="E2779" s="1" t="s">
        <v>9</v>
      </c>
      <c r="F2779" s="1">
        <v>0</v>
      </c>
      <c r="G2779" s="1" t="s">
        <v>4372</v>
      </c>
      <c r="H2779" s="1" t="s">
        <v>4372</v>
      </c>
      <c r="I2779" s="1" t="s">
        <v>4377</v>
      </c>
      <c r="J2779" s="1" t="s">
        <v>8499</v>
      </c>
      <c r="K2779" s="1" t="s">
        <v>8496</v>
      </c>
    </row>
    <row r="2780" spans="1:11" ht="21" x14ac:dyDescent="0.25">
      <c r="A2780" s="11" t="str">
        <f>HYPERLINK("https://rth.dk/resources/bsgatlas/details.php?id=BSGatlas-transcript-2779","BSGatlas-transcript-2779")</f>
        <v>BSGatlas-transcript-2779</v>
      </c>
      <c r="B2780" s="1" t="s">
        <v>2601</v>
      </c>
      <c r="C2780" s="3">
        <v>2542047</v>
      </c>
      <c r="D2780" s="3">
        <v>2542517</v>
      </c>
      <c r="E2780" s="1" t="s">
        <v>9</v>
      </c>
      <c r="F2780" s="1">
        <v>0</v>
      </c>
      <c r="G2780" s="1" t="s">
        <v>4372</v>
      </c>
      <c r="H2780" s="1" t="s">
        <v>4372</v>
      </c>
      <c r="I2780" s="1" t="s">
        <v>4377</v>
      </c>
      <c r="J2780" s="1" t="s">
        <v>8499</v>
      </c>
      <c r="K2780" s="1" t="s">
        <v>8497</v>
      </c>
    </row>
    <row r="2781" spans="1:11" ht="21" x14ac:dyDescent="0.25">
      <c r="A2781" s="11" t="str">
        <f>HYPERLINK("https://rth.dk/resources/bsgatlas/details.php?id=BSGatlas-transcript-2780","BSGatlas-transcript-2780")</f>
        <v>BSGatlas-transcript-2780</v>
      </c>
      <c r="B2781" s="1" t="s">
        <v>2602</v>
      </c>
      <c r="C2781" s="3">
        <v>2542439</v>
      </c>
      <c r="D2781" s="3">
        <v>2543358</v>
      </c>
      <c r="E2781" s="1" t="s">
        <v>13</v>
      </c>
      <c r="F2781" s="1">
        <v>0</v>
      </c>
      <c r="G2781" s="1" t="s">
        <v>4372</v>
      </c>
      <c r="H2781" s="1" t="s">
        <v>4372</v>
      </c>
      <c r="I2781" s="1" t="s">
        <v>4386</v>
      </c>
      <c r="J2781" s="1" t="s">
        <v>8500</v>
      </c>
      <c r="K2781" s="1" t="s">
        <v>318</v>
      </c>
    </row>
    <row r="2782" spans="1:11" ht="21" x14ac:dyDescent="0.25">
      <c r="A2782" s="11" t="str">
        <f>HYPERLINK("https://rth.dk/resources/bsgatlas/details.php?id=BSGatlas-transcript-2781","BSGatlas-transcript-2781")</f>
        <v>BSGatlas-transcript-2781</v>
      </c>
      <c r="B2782" s="1" t="s">
        <v>2603</v>
      </c>
      <c r="C2782" s="3">
        <v>2543440</v>
      </c>
      <c r="D2782" s="3">
        <v>2543911</v>
      </c>
      <c r="E2782" s="1" t="s">
        <v>13</v>
      </c>
      <c r="F2782" s="1">
        <v>0</v>
      </c>
      <c r="G2782" s="1" t="s">
        <v>4372</v>
      </c>
      <c r="H2782" s="1" t="s">
        <v>4372</v>
      </c>
      <c r="I2782" s="1" t="s">
        <v>4386</v>
      </c>
      <c r="J2782" s="1" t="s">
        <v>8501</v>
      </c>
      <c r="K2782" s="1" t="s">
        <v>8502</v>
      </c>
    </row>
    <row r="2783" spans="1:11" ht="21" x14ac:dyDescent="0.25">
      <c r="A2783" s="11" t="str">
        <f>HYPERLINK("https://rth.dk/resources/bsgatlas/details.php?id=BSGatlas-transcript-2782","BSGatlas-transcript-2782")</f>
        <v>BSGatlas-transcript-2782</v>
      </c>
      <c r="B2783" s="1" t="s">
        <v>8503</v>
      </c>
      <c r="C2783" s="3">
        <v>2543440</v>
      </c>
      <c r="D2783" s="3">
        <v>2544839</v>
      </c>
      <c r="E2783" s="1" t="s">
        <v>13</v>
      </c>
      <c r="F2783" s="1">
        <v>1</v>
      </c>
      <c r="G2783" s="1">
        <v>36</v>
      </c>
      <c r="H2783" s="1" t="s">
        <v>4372</v>
      </c>
      <c r="I2783" s="1" t="s">
        <v>4386</v>
      </c>
      <c r="J2783" s="1" t="s">
        <v>8504</v>
      </c>
      <c r="K2783" s="1" t="s">
        <v>8502</v>
      </c>
    </row>
    <row r="2784" spans="1:11" ht="21" x14ac:dyDescent="0.25">
      <c r="A2784" s="11" t="str">
        <f>HYPERLINK("https://rth.dk/resources/bsgatlas/details.php?id=BSGatlas-transcript-2783","BSGatlas-transcript-2783")</f>
        <v>BSGatlas-transcript-2783</v>
      </c>
      <c r="B2784" s="1" t="s">
        <v>2605</v>
      </c>
      <c r="C2784" s="3">
        <v>2544904</v>
      </c>
      <c r="D2784" s="3">
        <v>2545375</v>
      </c>
      <c r="E2784" s="1" t="s">
        <v>9</v>
      </c>
      <c r="F2784" s="1">
        <v>0</v>
      </c>
      <c r="G2784" s="1" t="s">
        <v>4372</v>
      </c>
      <c r="H2784" s="1" t="s">
        <v>4372</v>
      </c>
      <c r="I2784" s="1" t="s">
        <v>4397</v>
      </c>
      <c r="J2784" s="1" t="s">
        <v>8505</v>
      </c>
      <c r="K2784" s="1" t="s">
        <v>8506</v>
      </c>
    </row>
    <row r="2785" spans="1:11" ht="21" x14ac:dyDescent="0.25">
      <c r="A2785" s="11" t="str">
        <f>HYPERLINK("https://rth.dk/resources/bsgatlas/details.php?id=BSGatlas-transcript-2784","BSGatlas-transcript-2784")</f>
        <v>BSGatlas-transcript-2784</v>
      </c>
      <c r="B2785" s="1" t="s">
        <v>8507</v>
      </c>
      <c r="C2785" s="3">
        <v>2545367</v>
      </c>
      <c r="D2785" s="3">
        <v>2549677</v>
      </c>
      <c r="E2785" s="1" t="s">
        <v>13</v>
      </c>
      <c r="F2785" s="1">
        <v>1</v>
      </c>
      <c r="G2785" s="1">
        <v>345</v>
      </c>
      <c r="H2785" s="1">
        <v>44</v>
      </c>
      <c r="I2785" s="1" t="s">
        <v>4373</v>
      </c>
      <c r="J2785" s="1" t="s">
        <v>8508</v>
      </c>
      <c r="K2785" s="1" t="s">
        <v>8509</v>
      </c>
    </row>
    <row r="2786" spans="1:11" ht="21" x14ac:dyDescent="0.25">
      <c r="A2786" s="11" t="str">
        <f>HYPERLINK("https://rth.dk/resources/bsgatlas/details.php?id=BSGatlas-transcript-2785","BSGatlas-transcript-2785")</f>
        <v>BSGatlas-transcript-2785</v>
      </c>
      <c r="B2786" s="1" t="s">
        <v>8507</v>
      </c>
      <c r="C2786" s="3">
        <v>2545410</v>
      </c>
      <c r="D2786" s="3">
        <v>2549677</v>
      </c>
      <c r="E2786" s="1" t="s">
        <v>13</v>
      </c>
      <c r="F2786" s="1">
        <v>1</v>
      </c>
      <c r="G2786" s="1">
        <v>345</v>
      </c>
      <c r="H2786" s="1" t="s">
        <v>4372</v>
      </c>
      <c r="I2786" s="1" t="s">
        <v>4373</v>
      </c>
      <c r="J2786" s="1" t="s">
        <v>8508</v>
      </c>
      <c r="K2786" s="1" t="s">
        <v>8510</v>
      </c>
    </row>
    <row r="2787" spans="1:11" ht="21" x14ac:dyDescent="0.25">
      <c r="A2787" s="11" t="str">
        <f>HYPERLINK("https://rth.dk/resources/bsgatlas/details.php?id=BSGatlas-transcript-2786","BSGatlas-transcript-2786")</f>
        <v>BSGatlas-transcript-2786</v>
      </c>
      <c r="B2787" s="1" t="s">
        <v>2609</v>
      </c>
      <c r="C2787" s="3">
        <v>2549407</v>
      </c>
      <c r="D2787" s="3">
        <v>2549606</v>
      </c>
      <c r="E2787" s="1" t="s">
        <v>13</v>
      </c>
      <c r="F2787" s="1">
        <v>0</v>
      </c>
      <c r="G2787" s="1" t="s">
        <v>4372</v>
      </c>
      <c r="H2787" s="1" t="s">
        <v>4372</v>
      </c>
      <c r="I2787" s="1" t="s">
        <v>4377</v>
      </c>
      <c r="J2787" s="1" t="s">
        <v>318</v>
      </c>
      <c r="K2787" s="1" t="s">
        <v>8511</v>
      </c>
    </row>
    <row r="2788" spans="1:11" ht="21" x14ac:dyDescent="0.25">
      <c r="A2788" s="11" t="str">
        <f>HYPERLINK("https://rth.dk/resources/bsgatlas/details.php?id=BSGatlas-transcript-2787","BSGatlas-transcript-2787")</f>
        <v>BSGatlas-transcript-2787</v>
      </c>
      <c r="B2788" s="1" t="s">
        <v>8512</v>
      </c>
      <c r="C2788" s="3">
        <v>2549635</v>
      </c>
      <c r="D2788" s="3">
        <v>2552263</v>
      </c>
      <c r="E2788" s="1" t="s">
        <v>9</v>
      </c>
      <c r="F2788" s="1">
        <v>1</v>
      </c>
      <c r="G2788" s="1">
        <v>141</v>
      </c>
      <c r="H2788" s="1" t="s">
        <v>4372</v>
      </c>
      <c r="I2788" s="1" t="s">
        <v>4386</v>
      </c>
      <c r="J2788" s="1" t="s">
        <v>8513</v>
      </c>
      <c r="K2788" s="1" t="s">
        <v>318</v>
      </c>
    </row>
    <row r="2789" spans="1:11" ht="21" x14ac:dyDescent="0.25">
      <c r="A2789" s="11" t="str">
        <f>HYPERLINK("https://rth.dk/resources/bsgatlas/details.php?id=BSGatlas-transcript-2788","BSGatlas-transcript-2788")</f>
        <v>BSGatlas-transcript-2788</v>
      </c>
      <c r="B2789" s="1" t="s">
        <v>8514</v>
      </c>
      <c r="C2789" s="3">
        <v>2552324</v>
      </c>
      <c r="D2789" s="3">
        <v>2553080</v>
      </c>
      <c r="E2789" s="1" t="s">
        <v>9</v>
      </c>
      <c r="F2789" s="1">
        <v>1</v>
      </c>
      <c r="G2789" s="1">
        <v>123</v>
      </c>
      <c r="H2789" s="1">
        <v>93</v>
      </c>
      <c r="I2789" s="1" t="s">
        <v>4373</v>
      </c>
      <c r="J2789" s="1" t="s">
        <v>8515</v>
      </c>
      <c r="K2789" s="1" t="s">
        <v>8516</v>
      </c>
    </row>
    <row r="2790" spans="1:11" ht="21" x14ac:dyDescent="0.25">
      <c r="A2790" s="11" t="str">
        <f>HYPERLINK("https://rth.dk/resources/bsgatlas/details.php?id=BSGatlas-transcript-2789","BSGatlas-transcript-2789")</f>
        <v>BSGatlas-transcript-2789</v>
      </c>
      <c r="B2790" s="1" t="s">
        <v>8514</v>
      </c>
      <c r="C2790" s="3">
        <v>2552393</v>
      </c>
      <c r="D2790" s="3">
        <v>2553080</v>
      </c>
      <c r="E2790" s="1" t="s">
        <v>9</v>
      </c>
      <c r="F2790" s="1">
        <v>1</v>
      </c>
      <c r="G2790" s="1">
        <v>54</v>
      </c>
      <c r="H2790" s="1">
        <v>93</v>
      </c>
      <c r="I2790" s="1" t="s">
        <v>4373</v>
      </c>
      <c r="J2790" s="1" t="s">
        <v>8517</v>
      </c>
      <c r="K2790" s="1" t="s">
        <v>8516</v>
      </c>
    </row>
    <row r="2791" spans="1:11" ht="21" x14ac:dyDescent="0.25">
      <c r="A2791" s="11" t="str">
        <f>HYPERLINK("https://rth.dk/resources/bsgatlas/details.php?id=BSGatlas-transcript-2790","BSGatlas-transcript-2790")</f>
        <v>BSGatlas-transcript-2790</v>
      </c>
      <c r="B2791" s="1" t="s">
        <v>2613</v>
      </c>
      <c r="C2791" s="3">
        <v>2552638</v>
      </c>
      <c r="D2791" s="3">
        <v>2553080</v>
      </c>
      <c r="E2791" s="1" t="s">
        <v>9</v>
      </c>
      <c r="F2791" s="1">
        <v>0</v>
      </c>
      <c r="G2791" s="1" t="s">
        <v>4372</v>
      </c>
      <c r="H2791" s="1" t="s">
        <v>4372</v>
      </c>
      <c r="I2791" s="1" t="s">
        <v>4386</v>
      </c>
      <c r="J2791" s="1" t="s">
        <v>8518</v>
      </c>
      <c r="K2791" s="1" t="s">
        <v>8516</v>
      </c>
    </row>
    <row r="2792" spans="1:11" ht="21" x14ac:dyDescent="0.25">
      <c r="A2792" s="11" t="str">
        <f>HYPERLINK("https://rth.dk/resources/bsgatlas/details.php?id=BSGatlas-transcript-2791","BSGatlas-transcript-2791")</f>
        <v>BSGatlas-transcript-2791</v>
      </c>
      <c r="B2792" s="1" t="s">
        <v>2614</v>
      </c>
      <c r="C2792" s="3">
        <v>2552965</v>
      </c>
      <c r="D2792" s="3">
        <v>2553923</v>
      </c>
      <c r="E2792" s="1" t="s">
        <v>13</v>
      </c>
      <c r="F2792" s="1">
        <v>0</v>
      </c>
      <c r="G2792" s="1" t="s">
        <v>4372</v>
      </c>
      <c r="H2792" s="1" t="s">
        <v>4372</v>
      </c>
      <c r="I2792" s="1" t="s">
        <v>4377</v>
      </c>
      <c r="J2792" s="1" t="s">
        <v>8519</v>
      </c>
      <c r="K2792" s="1" t="s">
        <v>8520</v>
      </c>
    </row>
    <row r="2793" spans="1:11" ht="21" x14ac:dyDescent="0.25">
      <c r="A2793" s="11" t="str">
        <f>HYPERLINK("https://rth.dk/resources/bsgatlas/details.php?id=BSGatlas-transcript-2792","BSGatlas-transcript-2792")</f>
        <v>BSGatlas-transcript-2792</v>
      </c>
      <c r="B2793" s="1" t="s">
        <v>8521</v>
      </c>
      <c r="C2793" s="3">
        <v>2552965</v>
      </c>
      <c r="D2793" s="3">
        <v>2555307</v>
      </c>
      <c r="E2793" s="1" t="s">
        <v>13</v>
      </c>
      <c r="F2793" s="1">
        <v>1</v>
      </c>
      <c r="G2793" s="1">
        <v>61</v>
      </c>
      <c r="H2793" s="1">
        <v>117</v>
      </c>
      <c r="I2793" s="1" t="s">
        <v>4373</v>
      </c>
      <c r="J2793" s="1" t="s">
        <v>8522</v>
      </c>
      <c r="K2793" s="1" t="s">
        <v>8520</v>
      </c>
    </row>
    <row r="2794" spans="1:11" ht="21" x14ac:dyDescent="0.25">
      <c r="A2794" s="11" t="str">
        <f>HYPERLINK("https://rth.dk/resources/bsgatlas/details.php?id=BSGatlas-transcript-2793","BSGatlas-transcript-2793")</f>
        <v>BSGatlas-transcript-2793</v>
      </c>
      <c r="B2794" s="1" t="s">
        <v>2614</v>
      </c>
      <c r="C2794" s="3">
        <v>2553065</v>
      </c>
      <c r="D2794" s="3">
        <v>2553923</v>
      </c>
      <c r="E2794" s="1" t="s">
        <v>13</v>
      </c>
      <c r="F2794" s="1">
        <v>0</v>
      </c>
      <c r="G2794" s="1" t="s">
        <v>4372</v>
      </c>
      <c r="H2794" s="1" t="s">
        <v>4372</v>
      </c>
      <c r="I2794" s="1" t="s">
        <v>4377</v>
      </c>
      <c r="J2794" s="1" t="s">
        <v>8519</v>
      </c>
      <c r="K2794" s="1" t="s">
        <v>8523</v>
      </c>
    </row>
    <row r="2795" spans="1:11" ht="21" x14ac:dyDescent="0.25">
      <c r="A2795" s="11" t="str">
        <f>HYPERLINK("https://rth.dk/resources/bsgatlas/details.php?id=BSGatlas-transcript-2794","BSGatlas-transcript-2794")</f>
        <v>BSGatlas-transcript-2794</v>
      </c>
      <c r="B2795" s="1" t="s">
        <v>8521</v>
      </c>
      <c r="C2795" s="3">
        <v>2553065</v>
      </c>
      <c r="D2795" s="3">
        <v>2555307</v>
      </c>
      <c r="E2795" s="1" t="s">
        <v>13</v>
      </c>
      <c r="F2795" s="1">
        <v>1</v>
      </c>
      <c r="G2795" s="1">
        <v>61</v>
      </c>
      <c r="H2795" s="1">
        <v>17</v>
      </c>
      <c r="I2795" s="1" t="s">
        <v>4373</v>
      </c>
      <c r="J2795" s="1" t="s">
        <v>8522</v>
      </c>
      <c r="K2795" s="1" t="s">
        <v>8523</v>
      </c>
    </row>
    <row r="2796" spans="1:11" ht="21" x14ac:dyDescent="0.25">
      <c r="A2796" s="11" t="str">
        <f>HYPERLINK("https://rth.dk/resources/bsgatlas/details.php?id=BSGatlas-transcript-2795","BSGatlas-transcript-2795")</f>
        <v>BSGatlas-transcript-2795</v>
      </c>
      <c r="B2796" s="1" t="s">
        <v>2617</v>
      </c>
      <c r="C2796" s="3">
        <v>2555476</v>
      </c>
      <c r="D2796" s="3">
        <v>2555883</v>
      </c>
      <c r="E2796" s="1" t="s">
        <v>9</v>
      </c>
      <c r="F2796" s="1">
        <v>0</v>
      </c>
      <c r="G2796" s="1" t="s">
        <v>4372</v>
      </c>
      <c r="H2796" s="1" t="s">
        <v>4372</v>
      </c>
      <c r="I2796" s="1" t="s">
        <v>4373</v>
      </c>
      <c r="J2796" s="1" t="s">
        <v>8524</v>
      </c>
      <c r="K2796" s="1" t="s">
        <v>8525</v>
      </c>
    </row>
    <row r="2797" spans="1:11" ht="21" x14ac:dyDescent="0.25">
      <c r="A2797" s="11" t="str">
        <f>HYPERLINK("https://rth.dk/resources/bsgatlas/details.php?id=BSGatlas-transcript-2796","BSGatlas-transcript-2796")</f>
        <v>BSGatlas-transcript-2796</v>
      </c>
      <c r="B2797" s="1" t="s">
        <v>2617</v>
      </c>
      <c r="C2797" s="3">
        <v>2555502</v>
      </c>
      <c r="D2797" s="3">
        <v>2555883</v>
      </c>
      <c r="E2797" s="1" t="s">
        <v>9</v>
      </c>
      <c r="F2797" s="1">
        <v>0</v>
      </c>
      <c r="G2797" s="1" t="s">
        <v>4372</v>
      </c>
      <c r="H2797" s="1" t="s">
        <v>4372</v>
      </c>
      <c r="I2797" s="1" t="s">
        <v>4373</v>
      </c>
      <c r="J2797" s="1" t="s">
        <v>8526</v>
      </c>
      <c r="K2797" s="1" t="s">
        <v>8525</v>
      </c>
    </row>
    <row r="2798" spans="1:11" ht="21" x14ac:dyDescent="0.25">
      <c r="A2798" s="11" t="str">
        <f>HYPERLINK("https://rth.dk/resources/bsgatlas/details.php?id=BSGatlas-transcript-2797","BSGatlas-transcript-2797")</f>
        <v>BSGatlas-transcript-2797</v>
      </c>
      <c r="B2798" s="1" t="s">
        <v>2618</v>
      </c>
      <c r="C2798" s="3">
        <v>2555643</v>
      </c>
      <c r="D2798" s="3">
        <v>2556100</v>
      </c>
      <c r="E2798" s="1" t="s">
        <v>13</v>
      </c>
      <c r="F2798" s="1">
        <v>0</v>
      </c>
      <c r="G2798" s="1" t="s">
        <v>4372</v>
      </c>
      <c r="H2798" s="1" t="s">
        <v>4372</v>
      </c>
      <c r="I2798" s="1" t="s">
        <v>4386</v>
      </c>
      <c r="J2798" s="1" t="s">
        <v>8527</v>
      </c>
      <c r="K2798" s="1" t="s">
        <v>8528</v>
      </c>
    </row>
    <row r="2799" spans="1:11" ht="21" x14ac:dyDescent="0.25">
      <c r="A2799" s="11" t="str">
        <f>HYPERLINK("https://rth.dk/resources/bsgatlas/details.php?id=BSGatlas-transcript-2798","BSGatlas-transcript-2798")</f>
        <v>BSGatlas-transcript-2798</v>
      </c>
      <c r="B2799" s="1" t="s">
        <v>8529</v>
      </c>
      <c r="C2799" s="3">
        <v>2555643</v>
      </c>
      <c r="D2799" s="3">
        <v>2560096</v>
      </c>
      <c r="E2799" s="1" t="s">
        <v>13</v>
      </c>
      <c r="F2799" s="1">
        <v>3</v>
      </c>
      <c r="G2799" s="1">
        <v>20</v>
      </c>
      <c r="H2799" s="1">
        <v>245</v>
      </c>
      <c r="I2799" s="1" t="s">
        <v>4373</v>
      </c>
      <c r="J2799" s="1" t="s">
        <v>8530</v>
      </c>
      <c r="K2799" s="1" t="s">
        <v>8528</v>
      </c>
    </row>
    <row r="2800" spans="1:11" ht="21" x14ac:dyDescent="0.25">
      <c r="A2800" s="11" t="str">
        <f>HYPERLINK("https://rth.dk/resources/bsgatlas/details.php?id=BSGatlas-transcript-2799","BSGatlas-transcript-2799")</f>
        <v>BSGatlas-transcript-2799</v>
      </c>
      <c r="B2800" s="1" t="s">
        <v>2626</v>
      </c>
      <c r="C2800" s="3">
        <v>2560237</v>
      </c>
      <c r="D2800" s="3">
        <v>2561487</v>
      </c>
      <c r="E2800" s="1" t="s">
        <v>13</v>
      </c>
      <c r="F2800" s="1">
        <v>0</v>
      </c>
      <c r="G2800" s="1" t="s">
        <v>4372</v>
      </c>
      <c r="H2800" s="1" t="s">
        <v>4372</v>
      </c>
      <c r="I2800" s="1" t="s">
        <v>4373</v>
      </c>
      <c r="J2800" s="1" t="s">
        <v>8531</v>
      </c>
      <c r="K2800" s="1" t="s">
        <v>8532</v>
      </c>
    </row>
    <row r="2801" spans="1:11" ht="21" x14ac:dyDescent="0.25">
      <c r="A2801" s="11" t="str">
        <f>HYPERLINK("https://rth.dk/resources/bsgatlas/details.php?id=BSGatlas-transcript-2800","BSGatlas-transcript-2800")</f>
        <v>BSGatlas-transcript-2800</v>
      </c>
      <c r="B2801" s="1" t="s">
        <v>2627</v>
      </c>
      <c r="C2801" s="3">
        <v>2561564</v>
      </c>
      <c r="D2801" s="3">
        <v>2562989</v>
      </c>
      <c r="E2801" s="1" t="s">
        <v>9</v>
      </c>
      <c r="F2801" s="1">
        <v>0</v>
      </c>
      <c r="G2801" s="1" t="s">
        <v>4372</v>
      </c>
      <c r="H2801" s="1" t="s">
        <v>4372</v>
      </c>
      <c r="I2801" s="1" t="s">
        <v>4373</v>
      </c>
      <c r="J2801" s="1" t="s">
        <v>8533</v>
      </c>
      <c r="K2801" s="1" t="s">
        <v>8534</v>
      </c>
    </row>
    <row r="2802" spans="1:11" ht="21" x14ac:dyDescent="0.25">
      <c r="A2802" s="11" t="str">
        <f>HYPERLINK("https://rth.dk/resources/bsgatlas/details.php?id=BSGatlas-transcript-2801","BSGatlas-transcript-2801")</f>
        <v>BSGatlas-transcript-2801</v>
      </c>
      <c r="B2802" s="1" t="s">
        <v>2627</v>
      </c>
      <c r="C2802" s="3">
        <v>2561564</v>
      </c>
      <c r="D2802" s="3">
        <v>2563921</v>
      </c>
      <c r="E2802" s="1" t="s">
        <v>9</v>
      </c>
      <c r="F2802" s="1">
        <v>0</v>
      </c>
      <c r="G2802" s="1" t="s">
        <v>4372</v>
      </c>
      <c r="H2802" s="1" t="s">
        <v>4372</v>
      </c>
      <c r="I2802" s="1" t="s">
        <v>4373</v>
      </c>
      <c r="J2802" s="1" t="s">
        <v>8533</v>
      </c>
      <c r="K2802" s="1" t="s">
        <v>8535</v>
      </c>
    </row>
    <row r="2803" spans="1:11" ht="21" x14ac:dyDescent="0.25">
      <c r="A2803" s="11" t="str">
        <f>HYPERLINK("https://rth.dk/resources/bsgatlas/details.php?id=BSGatlas-transcript-2802","BSGatlas-transcript-2802")</f>
        <v>BSGatlas-transcript-2802</v>
      </c>
      <c r="B2803" s="1" t="s">
        <v>2628</v>
      </c>
      <c r="C2803" s="3">
        <v>2562890</v>
      </c>
      <c r="D2803" s="3">
        <v>2563802</v>
      </c>
      <c r="E2803" s="1" t="s">
        <v>13</v>
      </c>
      <c r="F2803" s="1">
        <v>0</v>
      </c>
      <c r="G2803" s="1" t="s">
        <v>4372</v>
      </c>
      <c r="H2803" s="1" t="s">
        <v>4372</v>
      </c>
      <c r="I2803" s="1" t="s">
        <v>4373</v>
      </c>
      <c r="J2803" s="1" t="s">
        <v>318</v>
      </c>
      <c r="K2803" s="1" t="s">
        <v>8536</v>
      </c>
    </row>
    <row r="2804" spans="1:11" ht="21" x14ac:dyDescent="0.25">
      <c r="A2804" s="11" t="str">
        <f>HYPERLINK("https://rth.dk/resources/bsgatlas/details.php?id=BSGatlas-transcript-2803","BSGatlas-transcript-2803")</f>
        <v>BSGatlas-transcript-2803</v>
      </c>
      <c r="B2804" s="1" t="s">
        <v>2629</v>
      </c>
      <c r="C2804" s="3">
        <v>2563888</v>
      </c>
      <c r="D2804" s="3">
        <v>2563959</v>
      </c>
      <c r="E2804" s="1" t="s">
        <v>9</v>
      </c>
      <c r="F2804" s="1">
        <v>0</v>
      </c>
      <c r="G2804" s="1" t="s">
        <v>4372</v>
      </c>
      <c r="H2804" s="1" t="s">
        <v>4372</v>
      </c>
      <c r="I2804" s="1" t="s">
        <v>4547</v>
      </c>
      <c r="J2804" s="1" t="s">
        <v>318</v>
      </c>
      <c r="K2804" s="1" t="s">
        <v>318</v>
      </c>
    </row>
    <row r="2805" spans="1:11" ht="21" x14ac:dyDescent="0.25">
      <c r="A2805" s="11" t="str">
        <f>HYPERLINK("https://rth.dk/resources/bsgatlas/details.php?id=BSGatlas-transcript-2804","BSGatlas-transcript-2804")</f>
        <v>BSGatlas-transcript-2804</v>
      </c>
      <c r="B2805" s="1" t="s">
        <v>2630</v>
      </c>
      <c r="C2805" s="3">
        <v>2563978</v>
      </c>
      <c r="D2805" s="3">
        <v>2564435</v>
      </c>
      <c r="E2805" s="1" t="s">
        <v>13</v>
      </c>
      <c r="F2805" s="1">
        <v>0</v>
      </c>
      <c r="G2805" s="1" t="s">
        <v>4372</v>
      </c>
      <c r="H2805" s="1" t="s">
        <v>4372</v>
      </c>
      <c r="I2805" s="1" t="s">
        <v>4373</v>
      </c>
      <c r="J2805" s="1" t="s">
        <v>8537</v>
      </c>
      <c r="K2805" s="1" t="s">
        <v>8538</v>
      </c>
    </row>
    <row r="2806" spans="1:11" ht="21" x14ac:dyDescent="0.25">
      <c r="A2806" s="11" t="str">
        <f>HYPERLINK("https://rth.dk/resources/bsgatlas/details.php?id=BSGatlas-transcript-2805","BSGatlas-transcript-2805")</f>
        <v>BSGatlas-transcript-2805</v>
      </c>
      <c r="B2806" s="1" t="s">
        <v>2631</v>
      </c>
      <c r="C2806" s="3">
        <v>2564523</v>
      </c>
      <c r="D2806" s="3">
        <v>2564883</v>
      </c>
      <c r="E2806" s="1" t="s">
        <v>9</v>
      </c>
      <c r="F2806" s="1">
        <v>0</v>
      </c>
      <c r="G2806" s="1" t="s">
        <v>4372</v>
      </c>
      <c r="H2806" s="1" t="s">
        <v>4372</v>
      </c>
      <c r="I2806" s="1" t="s">
        <v>4397</v>
      </c>
      <c r="J2806" s="1" t="s">
        <v>8539</v>
      </c>
      <c r="K2806" s="1" t="s">
        <v>8540</v>
      </c>
    </row>
    <row r="2807" spans="1:11" ht="21" x14ac:dyDescent="0.25">
      <c r="A2807" s="11" t="str">
        <f>HYPERLINK("https://rth.dk/resources/bsgatlas/details.php?id=BSGatlas-transcript-2806","BSGatlas-transcript-2806")</f>
        <v>BSGatlas-transcript-2806</v>
      </c>
      <c r="B2807" s="1" t="s">
        <v>2631</v>
      </c>
      <c r="C2807" s="3">
        <v>2564523</v>
      </c>
      <c r="D2807" s="3">
        <v>2564883</v>
      </c>
      <c r="E2807" s="1" t="s">
        <v>9</v>
      </c>
      <c r="F2807" s="1">
        <v>0</v>
      </c>
      <c r="G2807" s="1" t="s">
        <v>4372</v>
      </c>
      <c r="H2807" s="1" t="s">
        <v>4372</v>
      </c>
      <c r="I2807" s="1" t="s">
        <v>4397</v>
      </c>
      <c r="J2807" s="1" t="s">
        <v>8539</v>
      </c>
      <c r="K2807" s="1" t="s">
        <v>8541</v>
      </c>
    </row>
    <row r="2808" spans="1:11" ht="21" x14ac:dyDescent="0.25">
      <c r="A2808" s="11" t="str">
        <f>HYPERLINK("https://rth.dk/resources/bsgatlas/details.php?id=BSGatlas-transcript-2807","BSGatlas-transcript-2807")</f>
        <v>BSGatlas-transcript-2807</v>
      </c>
      <c r="B2808" s="1" t="s">
        <v>2631</v>
      </c>
      <c r="C2808" s="3">
        <v>2564595</v>
      </c>
      <c r="D2808" s="3">
        <v>2564883</v>
      </c>
      <c r="E2808" s="1" t="s">
        <v>9</v>
      </c>
      <c r="F2808" s="1">
        <v>0</v>
      </c>
      <c r="G2808" s="1" t="s">
        <v>4372</v>
      </c>
      <c r="H2808" s="1" t="s">
        <v>4372</v>
      </c>
      <c r="I2808" s="1" t="s">
        <v>4397</v>
      </c>
      <c r="J2808" s="1" t="s">
        <v>8542</v>
      </c>
      <c r="K2808" s="1" t="s">
        <v>8540</v>
      </c>
    </row>
    <row r="2809" spans="1:11" ht="21" x14ac:dyDescent="0.25">
      <c r="A2809" s="11" t="str">
        <f>HYPERLINK("https://rth.dk/resources/bsgatlas/details.php?id=BSGatlas-transcript-2808","BSGatlas-transcript-2808")</f>
        <v>BSGatlas-transcript-2808</v>
      </c>
      <c r="B2809" s="1" t="s">
        <v>2631</v>
      </c>
      <c r="C2809" s="3">
        <v>2564595</v>
      </c>
      <c r="D2809" s="3">
        <v>2564883</v>
      </c>
      <c r="E2809" s="1" t="s">
        <v>9</v>
      </c>
      <c r="F2809" s="1">
        <v>0</v>
      </c>
      <c r="G2809" s="1" t="s">
        <v>4372</v>
      </c>
      <c r="H2809" s="1" t="s">
        <v>4372</v>
      </c>
      <c r="I2809" s="1" t="s">
        <v>4397</v>
      </c>
      <c r="J2809" s="1" t="s">
        <v>8542</v>
      </c>
      <c r="K2809" s="1" t="s">
        <v>8541</v>
      </c>
    </row>
    <row r="2810" spans="1:11" ht="21" x14ac:dyDescent="0.25">
      <c r="A2810" s="11" t="str">
        <f>HYPERLINK("https://rth.dk/resources/bsgatlas/details.php?id=BSGatlas-transcript-2809","BSGatlas-transcript-2809")</f>
        <v>BSGatlas-transcript-2809</v>
      </c>
      <c r="B2810" s="1" t="s">
        <v>2632</v>
      </c>
      <c r="C2810" s="3">
        <v>2564923</v>
      </c>
      <c r="D2810" s="3">
        <v>2565597</v>
      </c>
      <c r="E2810" s="1" t="s">
        <v>13</v>
      </c>
      <c r="F2810" s="1">
        <v>0</v>
      </c>
      <c r="G2810" s="1" t="s">
        <v>4372</v>
      </c>
      <c r="H2810" s="1" t="s">
        <v>4372</v>
      </c>
      <c r="I2810" s="1" t="s">
        <v>4397</v>
      </c>
      <c r="J2810" s="1" t="s">
        <v>8543</v>
      </c>
      <c r="K2810" s="1" t="s">
        <v>8544</v>
      </c>
    </row>
    <row r="2811" spans="1:11" ht="21" x14ac:dyDescent="0.25">
      <c r="A2811" s="11" t="str">
        <f>HYPERLINK("https://rth.dk/resources/bsgatlas/details.php?id=BSGatlas-transcript-2810","BSGatlas-transcript-2810")</f>
        <v>BSGatlas-transcript-2810</v>
      </c>
      <c r="B2811" s="1" t="s">
        <v>2632</v>
      </c>
      <c r="C2811" s="3">
        <v>2564923</v>
      </c>
      <c r="D2811" s="3">
        <v>2565691</v>
      </c>
      <c r="E2811" s="1" t="s">
        <v>13</v>
      </c>
      <c r="F2811" s="1">
        <v>0</v>
      </c>
      <c r="G2811" s="1" t="s">
        <v>4372</v>
      </c>
      <c r="H2811" s="1" t="s">
        <v>4372</v>
      </c>
      <c r="I2811" s="1" t="s">
        <v>4397</v>
      </c>
      <c r="J2811" s="1" t="s">
        <v>8545</v>
      </c>
      <c r="K2811" s="1" t="s">
        <v>8544</v>
      </c>
    </row>
    <row r="2812" spans="1:11" ht="21" x14ac:dyDescent="0.25">
      <c r="A2812" s="11" t="str">
        <f>HYPERLINK("https://rth.dk/resources/bsgatlas/details.php?id=BSGatlas-transcript-2811","BSGatlas-transcript-2811")</f>
        <v>BSGatlas-transcript-2811</v>
      </c>
      <c r="B2812" s="1" t="s">
        <v>2633</v>
      </c>
      <c r="C2812" s="3">
        <v>2565671</v>
      </c>
      <c r="D2812" s="3">
        <v>2565888</v>
      </c>
      <c r="E2812" s="1" t="s">
        <v>9</v>
      </c>
      <c r="F2812" s="1">
        <v>0</v>
      </c>
      <c r="G2812" s="1" t="s">
        <v>4372</v>
      </c>
      <c r="H2812" s="1" t="s">
        <v>4372</v>
      </c>
      <c r="I2812" s="1" t="s">
        <v>4397</v>
      </c>
      <c r="J2812" s="1" t="s">
        <v>8546</v>
      </c>
      <c r="K2812" s="1" t="s">
        <v>8547</v>
      </c>
    </row>
    <row r="2813" spans="1:11" ht="21" x14ac:dyDescent="0.25">
      <c r="A2813" s="11" t="str">
        <f>HYPERLINK("https://rth.dk/resources/bsgatlas/details.php?id=BSGatlas-transcript-2812","BSGatlas-transcript-2812")</f>
        <v>BSGatlas-transcript-2812</v>
      </c>
      <c r="B2813" s="1" t="s">
        <v>2633</v>
      </c>
      <c r="C2813" s="3">
        <v>2565671</v>
      </c>
      <c r="D2813" s="3">
        <v>2567021</v>
      </c>
      <c r="E2813" s="1" t="s">
        <v>9</v>
      </c>
      <c r="F2813" s="1">
        <v>0</v>
      </c>
      <c r="G2813" s="1" t="s">
        <v>4372</v>
      </c>
      <c r="H2813" s="1" t="s">
        <v>4372</v>
      </c>
      <c r="I2813" s="1" t="s">
        <v>4397</v>
      </c>
      <c r="J2813" s="1" t="s">
        <v>8546</v>
      </c>
      <c r="K2813" s="1" t="s">
        <v>8548</v>
      </c>
    </row>
    <row r="2814" spans="1:11" ht="21" x14ac:dyDescent="0.25">
      <c r="A2814" s="11" t="str">
        <f>HYPERLINK("https://rth.dk/resources/bsgatlas/details.php?id=BSGatlas-transcript-2813","BSGatlas-transcript-2813")</f>
        <v>BSGatlas-transcript-2813</v>
      </c>
      <c r="B2814" s="1" t="s">
        <v>8549</v>
      </c>
      <c r="C2814" s="3">
        <v>2565920</v>
      </c>
      <c r="D2814" s="3">
        <v>2568530</v>
      </c>
      <c r="E2814" s="1" t="s">
        <v>13</v>
      </c>
      <c r="F2814" s="1">
        <v>1</v>
      </c>
      <c r="G2814" s="1">
        <v>41</v>
      </c>
      <c r="H2814" s="1" t="s">
        <v>4372</v>
      </c>
      <c r="I2814" s="1" t="s">
        <v>4386</v>
      </c>
      <c r="J2814" s="1" t="s">
        <v>8550</v>
      </c>
      <c r="K2814" s="1" t="s">
        <v>8551</v>
      </c>
    </row>
    <row r="2815" spans="1:11" ht="21" x14ac:dyDescent="0.25">
      <c r="A2815" s="11" t="str">
        <f>HYPERLINK("https://rth.dk/resources/bsgatlas/details.php?id=BSGatlas-transcript-2814","BSGatlas-transcript-2814")</f>
        <v>BSGatlas-transcript-2814</v>
      </c>
      <c r="B2815" s="1" t="s">
        <v>2637</v>
      </c>
      <c r="C2815" s="3">
        <v>2568573</v>
      </c>
      <c r="D2815" s="3">
        <v>2570556</v>
      </c>
      <c r="E2815" s="1" t="s">
        <v>13</v>
      </c>
      <c r="F2815" s="1">
        <v>0</v>
      </c>
      <c r="G2815" s="1" t="s">
        <v>4372</v>
      </c>
      <c r="H2815" s="1" t="s">
        <v>4372</v>
      </c>
      <c r="I2815" s="1" t="s">
        <v>4377</v>
      </c>
      <c r="J2815" s="1" t="s">
        <v>8552</v>
      </c>
      <c r="K2815" s="1" t="s">
        <v>8553</v>
      </c>
    </row>
    <row r="2816" spans="1:11" ht="21" x14ac:dyDescent="0.25">
      <c r="A2816" s="11" t="str">
        <f>HYPERLINK("https://rth.dk/resources/bsgatlas/details.php?id=BSGatlas-transcript-2815","BSGatlas-transcript-2815")</f>
        <v>BSGatlas-transcript-2815</v>
      </c>
      <c r="B2816" s="1" t="s">
        <v>8554</v>
      </c>
      <c r="C2816" s="3">
        <v>2568573</v>
      </c>
      <c r="D2816" s="3">
        <v>2573461</v>
      </c>
      <c r="E2816" s="1" t="s">
        <v>13</v>
      </c>
      <c r="F2816" s="1">
        <v>2</v>
      </c>
      <c r="G2816" s="1">
        <v>32</v>
      </c>
      <c r="H2816" s="1" t="s">
        <v>4372</v>
      </c>
      <c r="I2816" s="1" t="s">
        <v>4377</v>
      </c>
      <c r="J2816" s="1" t="s">
        <v>8555</v>
      </c>
      <c r="K2816" s="1" t="s">
        <v>8553</v>
      </c>
    </row>
    <row r="2817" spans="1:11" ht="21" x14ac:dyDescent="0.25">
      <c r="A2817" s="11" t="str">
        <f>HYPERLINK("https://rth.dk/resources/bsgatlas/details.php?id=BSGatlas-transcript-2816","BSGatlas-transcript-2816")</f>
        <v>BSGatlas-transcript-2816</v>
      </c>
      <c r="B2817" s="1" t="s">
        <v>8556</v>
      </c>
      <c r="C2817" s="3">
        <v>2568573</v>
      </c>
      <c r="D2817" s="3">
        <v>2573721</v>
      </c>
      <c r="E2817" s="1" t="s">
        <v>13</v>
      </c>
      <c r="F2817" s="1">
        <v>3</v>
      </c>
      <c r="G2817" s="1">
        <v>29</v>
      </c>
      <c r="H2817" s="1" t="s">
        <v>4372</v>
      </c>
      <c r="I2817" s="1" t="s">
        <v>4386</v>
      </c>
      <c r="J2817" s="1" t="s">
        <v>8557</v>
      </c>
      <c r="K2817" s="1" t="s">
        <v>8553</v>
      </c>
    </row>
    <row r="2818" spans="1:11" ht="21" x14ac:dyDescent="0.25">
      <c r="A2818" s="11" t="str">
        <f>HYPERLINK("https://rth.dk/resources/bsgatlas/details.php?id=BSGatlas-transcript-2817","BSGatlas-transcript-2817")</f>
        <v>BSGatlas-transcript-2817</v>
      </c>
      <c r="B2818" s="1" t="s">
        <v>2642</v>
      </c>
      <c r="C2818" s="3">
        <v>2569624</v>
      </c>
      <c r="D2818" s="3">
        <v>2570653</v>
      </c>
      <c r="E2818" s="1" t="s">
        <v>9</v>
      </c>
      <c r="F2818" s="1">
        <v>0</v>
      </c>
      <c r="G2818" s="1" t="s">
        <v>4372</v>
      </c>
      <c r="H2818" s="1" t="s">
        <v>4372</v>
      </c>
      <c r="I2818" s="1" t="s">
        <v>4377</v>
      </c>
      <c r="J2818" s="1" t="s">
        <v>8558</v>
      </c>
      <c r="K2818" s="1" t="s">
        <v>318</v>
      </c>
    </row>
    <row r="2819" spans="1:11" ht="21" x14ac:dyDescent="0.25">
      <c r="A2819" s="11" t="str">
        <f>HYPERLINK("https://rth.dk/resources/bsgatlas/details.php?id=BSGatlas-transcript-2818","BSGatlas-transcript-2818")</f>
        <v>BSGatlas-transcript-2818</v>
      </c>
      <c r="B2819" s="1" t="s">
        <v>2641</v>
      </c>
      <c r="C2819" s="3">
        <v>2573520</v>
      </c>
      <c r="D2819" s="3">
        <v>2573721</v>
      </c>
      <c r="E2819" s="1" t="s">
        <v>13</v>
      </c>
      <c r="F2819" s="1">
        <v>0</v>
      </c>
      <c r="G2819" s="1" t="s">
        <v>4372</v>
      </c>
      <c r="H2819" s="1" t="s">
        <v>4372</v>
      </c>
      <c r="I2819" s="1" t="s">
        <v>4377</v>
      </c>
      <c r="J2819" s="1" t="s">
        <v>8557</v>
      </c>
      <c r="K2819" s="1" t="s">
        <v>8559</v>
      </c>
    </row>
    <row r="2820" spans="1:11" ht="21" x14ac:dyDescent="0.25">
      <c r="A2820" s="11" t="str">
        <f>HYPERLINK("https://rth.dk/resources/bsgatlas/details.php?id=BSGatlas-transcript-2819","BSGatlas-transcript-2819")</f>
        <v>BSGatlas-transcript-2819</v>
      </c>
      <c r="B2820" s="1" t="s">
        <v>2643</v>
      </c>
      <c r="C2820" s="3">
        <v>2574408</v>
      </c>
      <c r="D2820" s="3">
        <v>2574604</v>
      </c>
      <c r="E2820" s="1" t="s">
        <v>13</v>
      </c>
      <c r="F2820" s="1">
        <v>0</v>
      </c>
      <c r="G2820" s="1" t="s">
        <v>4372</v>
      </c>
      <c r="H2820" s="1" t="s">
        <v>4372</v>
      </c>
      <c r="I2820" s="1" t="s">
        <v>4386</v>
      </c>
      <c r="J2820" s="1" t="s">
        <v>8560</v>
      </c>
      <c r="K2820" s="1" t="s">
        <v>8561</v>
      </c>
    </row>
    <row r="2821" spans="1:11" ht="21" x14ac:dyDescent="0.25">
      <c r="A2821" s="11" t="str">
        <f>HYPERLINK("https://rth.dk/resources/bsgatlas/details.php?id=BSGatlas-transcript-2820","BSGatlas-transcript-2820")</f>
        <v>BSGatlas-transcript-2820</v>
      </c>
      <c r="B2821" s="1" t="s">
        <v>8562</v>
      </c>
      <c r="C2821" s="3">
        <v>2574408</v>
      </c>
      <c r="D2821" s="3">
        <v>2576235</v>
      </c>
      <c r="E2821" s="1" t="s">
        <v>13</v>
      </c>
      <c r="F2821" s="1">
        <v>1</v>
      </c>
      <c r="G2821" s="1">
        <v>49</v>
      </c>
      <c r="H2821" s="1" t="s">
        <v>4372</v>
      </c>
      <c r="I2821" s="1" t="s">
        <v>4386</v>
      </c>
      <c r="J2821" s="1" t="s">
        <v>8563</v>
      </c>
      <c r="K2821" s="1" t="s">
        <v>8561</v>
      </c>
    </row>
    <row r="2822" spans="1:11" ht="21" x14ac:dyDescent="0.25">
      <c r="A2822" s="11" t="str">
        <f>HYPERLINK("https://rth.dk/resources/bsgatlas/details.php?id=BSGatlas-transcript-2821","BSGatlas-transcript-2821")</f>
        <v>BSGatlas-transcript-2821</v>
      </c>
      <c r="B2822" s="1" t="s">
        <v>8564</v>
      </c>
      <c r="C2822" s="3">
        <v>2576156</v>
      </c>
      <c r="D2822" s="3">
        <v>2577204</v>
      </c>
      <c r="E2822" s="1" t="s">
        <v>9</v>
      </c>
      <c r="F2822" s="1">
        <v>0</v>
      </c>
      <c r="G2822" s="1" t="s">
        <v>4372</v>
      </c>
      <c r="H2822" s="1" t="s">
        <v>4372</v>
      </c>
      <c r="I2822" s="1" t="s">
        <v>4397</v>
      </c>
      <c r="J2822" s="1" t="s">
        <v>8565</v>
      </c>
      <c r="K2822" s="1" t="s">
        <v>8566</v>
      </c>
    </row>
    <row r="2823" spans="1:11" ht="21" x14ac:dyDescent="0.25">
      <c r="A2823" s="11" t="str">
        <f>HYPERLINK("https://rth.dk/resources/bsgatlas/details.php?id=BSGatlas-transcript-2822","BSGatlas-transcript-2822")</f>
        <v>BSGatlas-transcript-2822</v>
      </c>
      <c r="B2823" s="1" t="s">
        <v>8564</v>
      </c>
      <c r="C2823" s="3">
        <v>2576330</v>
      </c>
      <c r="D2823" s="3">
        <v>2577204</v>
      </c>
      <c r="E2823" s="1" t="s">
        <v>9</v>
      </c>
      <c r="F2823" s="1">
        <v>0</v>
      </c>
      <c r="G2823" s="1" t="s">
        <v>4372</v>
      </c>
      <c r="H2823" s="1" t="s">
        <v>4372</v>
      </c>
      <c r="I2823" s="1" t="s">
        <v>4397</v>
      </c>
      <c r="J2823" s="1" t="s">
        <v>8567</v>
      </c>
      <c r="K2823" s="1" t="s">
        <v>8566</v>
      </c>
    </row>
    <row r="2824" spans="1:11" ht="21" x14ac:dyDescent="0.25">
      <c r="A2824" s="11" t="str">
        <f>HYPERLINK("https://rth.dk/resources/bsgatlas/details.php?id=BSGatlas-transcript-2823","BSGatlas-transcript-2823")</f>
        <v>BSGatlas-transcript-2823</v>
      </c>
      <c r="B2824" s="1" t="s">
        <v>8568</v>
      </c>
      <c r="C2824" s="3">
        <v>2577172</v>
      </c>
      <c r="D2824" s="3">
        <v>2581658</v>
      </c>
      <c r="E2824" s="1" t="s">
        <v>13</v>
      </c>
      <c r="F2824" s="1">
        <v>2</v>
      </c>
      <c r="G2824" s="1">
        <v>42</v>
      </c>
      <c r="H2824" s="1">
        <v>39</v>
      </c>
      <c r="I2824" s="1" t="s">
        <v>4373</v>
      </c>
      <c r="J2824" s="1" t="s">
        <v>8569</v>
      </c>
      <c r="K2824" s="1" t="s">
        <v>8570</v>
      </c>
    </row>
    <row r="2825" spans="1:11" ht="21" x14ac:dyDescent="0.25">
      <c r="A2825" s="11" t="str">
        <f>HYPERLINK("https://rth.dk/resources/bsgatlas/details.php?id=BSGatlas-transcript-2824","BSGatlas-transcript-2824")</f>
        <v>BSGatlas-transcript-2824</v>
      </c>
      <c r="B2825" s="1" t="s">
        <v>8568</v>
      </c>
      <c r="C2825" s="3">
        <v>2577172</v>
      </c>
      <c r="D2825" s="3">
        <v>2582523</v>
      </c>
      <c r="E2825" s="1" t="s">
        <v>13</v>
      </c>
      <c r="F2825" s="1">
        <v>2</v>
      </c>
      <c r="G2825" s="1">
        <v>907</v>
      </c>
      <c r="H2825" s="1">
        <v>39</v>
      </c>
      <c r="I2825" s="1" t="s">
        <v>4373</v>
      </c>
      <c r="J2825" s="1" t="s">
        <v>8571</v>
      </c>
      <c r="K2825" s="1" t="s">
        <v>8570</v>
      </c>
    </row>
    <row r="2826" spans="1:11" ht="21" x14ac:dyDescent="0.25">
      <c r="A2826" s="11" t="str">
        <f>HYPERLINK("https://rth.dk/resources/bsgatlas/details.php?id=BSGatlas-transcript-2825","BSGatlas-transcript-2825")</f>
        <v>BSGatlas-transcript-2825</v>
      </c>
      <c r="B2826" s="1" t="s">
        <v>2653</v>
      </c>
      <c r="C2826" s="3">
        <v>2581771</v>
      </c>
      <c r="D2826" s="3">
        <v>2583921</v>
      </c>
      <c r="E2826" s="1" t="s">
        <v>13</v>
      </c>
      <c r="F2826" s="1">
        <v>0</v>
      </c>
      <c r="G2826" s="1" t="s">
        <v>4372</v>
      </c>
      <c r="H2826" s="1" t="s">
        <v>4372</v>
      </c>
      <c r="I2826" s="1" t="s">
        <v>4386</v>
      </c>
      <c r="J2826" s="1" t="s">
        <v>8572</v>
      </c>
      <c r="K2826" s="1" t="s">
        <v>8573</v>
      </c>
    </row>
    <row r="2827" spans="1:11" ht="21" x14ac:dyDescent="0.25">
      <c r="A2827" s="11" t="str">
        <f>HYPERLINK("https://rth.dk/resources/bsgatlas/details.php?id=BSGatlas-transcript-2826","BSGatlas-transcript-2826")</f>
        <v>BSGatlas-transcript-2826</v>
      </c>
      <c r="B2827" s="1" t="s">
        <v>2653</v>
      </c>
      <c r="C2827" s="3">
        <v>2581771</v>
      </c>
      <c r="D2827" s="3">
        <v>2583976</v>
      </c>
      <c r="E2827" s="1" t="s">
        <v>13</v>
      </c>
      <c r="F2827" s="1">
        <v>0</v>
      </c>
      <c r="G2827" s="1" t="s">
        <v>4372</v>
      </c>
      <c r="H2827" s="1" t="s">
        <v>4372</v>
      </c>
      <c r="I2827" s="1" t="s">
        <v>4386</v>
      </c>
      <c r="J2827" s="1" t="s">
        <v>8574</v>
      </c>
      <c r="K2827" s="1" t="s">
        <v>8573</v>
      </c>
    </row>
    <row r="2828" spans="1:11" ht="21" x14ac:dyDescent="0.25">
      <c r="A2828" s="11" t="str">
        <f>HYPERLINK("https://rth.dk/resources/bsgatlas/details.php?id=BSGatlas-transcript-2827","BSGatlas-transcript-2827")</f>
        <v>BSGatlas-transcript-2827</v>
      </c>
      <c r="B2828" s="1" t="s">
        <v>2654</v>
      </c>
      <c r="C2828" s="3">
        <v>2584035</v>
      </c>
      <c r="D2828" s="3">
        <v>2585361</v>
      </c>
      <c r="E2828" s="1" t="s">
        <v>13</v>
      </c>
      <c r="F2828" s="1">
        <v>0</v>
      </c>
      <c r="G2828" s="1" t="s">
        <v>4372</v>
      </c>
      <c r="H2828" s="1" t="s">
        <v>4372</v>
      </c>
      <c r="I2828" s="1" t="s">
        <v>4377</v>
      </c>
      <c r="J2828" s="1" t="s">
        <v>8575</v>
      </c>
      <c r="K2828" s="1" t="s">
        <v>318</v>
      </c>
    </row>
    <row r="2829" spans="1:11" ht="21" x14ac:dyDescent="0.25">
      <c r="A2829" s="11" t="str">
        <f>HYPERLINK("https://rth.dk/resources/bsgatlas/details.php?id=BSGatlas-transcript-2828","BSGatlas-transcript-2828")</f>
        <v>BSGatlas-transcript-2828</v>
      </c>
      <c r="B2829" s="1" t="s">
        <v>2655</v>
      </c>
      <c r="C2829" s="3">
        <v>2585434</v>
      </c>
      <c r="D2829" s="3">
        <v>2586105</v>
      </c>
      <c r="E2829" s="1" t="s">
        <v>13</v>
      </c>
      <c r="F2829" s="1">
        <v>0</v>
      </c>
      <c r="G2829" s="1" t="s">
        <v>4372</v>
      </c>
      <c r="H2829" s="1" t="s">
        <v>4372</v>
      </c>
      <c r="I2829" s="1" t="s">
        <v>4386</v>
      </c>
      <c r="J2829" s="1" t="s">
        <v>8576</v>
      </c>
      <c r="K2829" s="1" t="s">
        <v>8577</v>
      </c>
    </row>
    <row r="2830" spans="1:11" ht="21" x14ac:dyDescent="0.25">
      <c r="A2830" s="11" t="str">
        <f>HYPERLINK("https://rth.dk/resources/bsgatlas/details.php?id=BSGatlas-transcript-2829","BSGatlas-transcript-2829")</f>
        <v>BSGatlas-transcript-2829</v>
      </c>
      <c r="B2830" s="1" t="s">
        <v>2655</v>
      </c>
      <c r="C2830" s="3">
        <v>2585434</v>
      </c>
      <c r="D2830" s="3">
        <v>2586175</v>
      </c>
      <c r="E2830" s="1" t="s">
        <v>13</v>
      </c>
      <c r="F2830" s="1">
        <v>0</v>
      </c>
      <c r="G2830" s="1" t="s">
        <v>4372</v>
      </c>
      <c r="H2830" s="1" t="s">
        <v>4372</v>
      </c>
      <c r="I2830" s="1" t="s">
        <v>4386</v>
      </c>
      <c r="J2830" s="1" t="s">
        <v>8578</v>
      </c>
      <c r="K2830" s="1" t="s">
        <v>8577</v>
      </c>
    </row>
    <row r="2831" spans="1:11" ht="21" x14ac:dyDescent="0.25">
      <c r="A2831" s="11" t="str">
        <f>HYPERLINK("https://rth.dk/resources/bsgatlas/details.php?id=BSGatlas-transcript-2830","BSGatlas-transcript-2830")</f>
        <v>BSGatlas-transcript-2830</v>
      </c>
      <c r="B2831" s="1" t="s">
        <v>8579</v>
      </c>
      <c r="C2831" s="3">
        <v>2585434</v>
      </c>
      <c r="D2831" s="3">
        <v>2586996</v>
      </c>
      <c r="E2831" s="1" t="s">
        <v>13</v>
      </c>
      <c r="F2831" s="1">
        <v>1</v>
      </c>
      <c r="G2831" s="1">
        <v>294</v>
      </c>
      <c r="H2831" s="1" t="s">
        <v>4372</v>
      </c>
      <c r="I2831" s="1" t="s">
        <v>4386</v>
      </c>
      <c r="J2831" s="1" t="s">
        <v>8580</v>
      </c>
      <c r="K2831" s="1" t="s">
        <v>8577</v>
      </c>
    </row>
    <row r="2832" spans="1:11" ht="21" x14ac:dyDescent="0.25">
      <c r="A2832" s="11" t="str">
        <f>HYPERLINK("https://rth.dk/resources/bsgatlas/details.php?id=BSGatlas-transcript-2831","BSGatlas-transcript-2831")</f>
        <v>BSGatlas-transcript-2831</v>
      </c>
      <c r="B2832" s="1" t="s">
        <v>2657</v>
      </c>
      <c r="C2832" s="3">
        <v>2586780</v>
      </c>
      <c r="D2832" s="3">
        <v>2587990</v>
      </c>
      <c r="E2832" s="1" t="s">
        <v>9</v>
      </c>
      <c r="F2832" s="1">
        <v>0</v>
      </c>
      <c r="G2832" s="1" t="s">
        <v>4372</v>
      </c>
      <c r="H2832" s="1" t="s">
        <v>4372</v>
      </c>
      <c r="I2832" s="1" t="s">
        <v>4397</v>
      </c>
      <c r="J2832" s="1" t="s">
        <v>8581</v>
      </c>
      <c r="K2832" s="1" t="s">
        <v>8582</v>
      </c>
    </row>
    <row r="2833" spans="1:11" ht="21" x14ac:dyDescent="0.25">
      <c r="A2833" s="11" t="str">
        <f>HYPERLINK("https://rth.dk/resources/bsgatlas/details.php?id=BSGatlas-transcript-2832","BSGatlas-transcript-2832")</f>
        <v>BSGatlas-transcript-2832</v>
      </c>
      <c r="B2833" s="1" t="s">
        <v>2658</v>
      </c>
      <c r="C2833" s="3">
        <v>2587957</v>
      </c>
      <c r="D2833" s="3">
        <v>2588470</v>
      </c>
      <c r="E2833" s="1" t="s">
        <v>13</v>
      </c>
      <c r="F2833" s="1">
        <v>0</v>
      </c>
      <c r="G2833" s="1" t="s">
        <v>4372</v>
      </c>
      <c r="H2833" s="1" t="s">
        <v>4372</v>
      </c>
      <c r="I2833" s="1" t="s">
        <v>4397</v>
      </c>
      <c r="J2833" s="1" t="s">
        <v>8583</v>
      </c>
      <c r="K2833" s="1" t="s">
        <v>8584</v>
      </c>
    </row>
    <row r="2834" spans="1:11" ht="21" x14ac:dyDescent="0.25">
      <c r="A2834" s="11" t="str">
        <f>HYPERLINK("https://rth.dk/resources/bsgatlas/details.php?id=BSGatlas-transcript-2833","BSGatlas-transcript-2833")</f>
        <v>BSGatlas-transcript-2833</v>
      </c>
      <c r="B2834" s="1" t="s">
        <v>8585</v>
      </c>
      <c r="C2834" s="3">
        <v>2588443</v>
      </c>
      <c r="D2834" s="3">
        <v>2590287</v>
      </c>
      <c r="E2834" s="1" t="s">
        <v>9</v>
      </c>
      <c r="F2834" s="1">
        <v>1</v>
      </c>
      <c r="G2834" s="1">
        <v>259</v>
      </c>
      <c r="H2834" s="1">
        <v>32</v>
      </c>
      <c r="I2834" s="1" t="s">
        <v>4373</v>
      </c>
      <c r="J2834" s="1" t="s">
        <v>8586</v>
      </c>
      <c r="K2834" s="1" t="s">
        <v>8587</v>
      </c>
    </row>
    <row r="2835" spans="1:11" ht="21" x14ac:dyDescent="0.25">
      <c r="A2835" s="11" t="str">
        <f>HYPERLINK("https://rth.dk/resources/bsgatlas/details.php?id=BSGatlas-transcript-2834","BSGatlas-transcript-2834")</f>
        <v>BSGatlas-transcript-2834</v>
      </c>
      <c r="B2835" s="1" t="s">
        <v>8585</v>
      </c>
      <c r="C2835" s="3">
        <v>2588674</v>
      </c>
      <c r="D2835" s="3">
        <v>2590287</v>
      </c>
      <c r="E2835" s="1" t="s">
        <v>9</v>
      </c>
      <c r="F2835" s="1">
        <v>1</v>
      </c>
      <c r="G2835" s="1">
        <v>28</v>
      </c>
      <c r="H2835" s="1">
        <v>32</v>
      </c>
      <c r="I2835" s="1" t="s">
        <v>4373</v>
      </c>
      <c r="J2835" s="1" t="s">
        <v>8588</v>
      </c>
      <c r="K2835" s="1" t="s">
        <v>8587</v>
      </c>
    </row>
    <row r="2836" spans="1:11" ht="21" x14ac:dyDescent="0.25">
      <c r="A2836" s="11" t="str">
        <f>HYPERLINK("https://rth.dk/resources/bsgatlas/details.php?id=BSGatlas-transcript-2835","BSGatlas-transcript-2835")</f>
        <v>BSGatlas-transcript-2835</v>
      </c>
      <c r="B2836" s="1" t="s">
        <v>2660</v>
      </c>
      <c r="C2836" s="3">
        <v>2589046</v>
      </c>
      <c r="D2836" s="3">
        <v>2590287</v>
      </c>
      <c r="E2836" s="1" t="s">
        <v>9</v>
      </c>
      <c r="F2836" s="1">
        <v>0</v>
      </c>
      <c r="G2836" s="1" t="s">
        <v>4372</v>
      </c>
      <c r="H2836" s="1" t="s">
        <v>4372</v>
      </c>
      <c r="I2836" s="1" t="s">
        <v>4377</v>
      </c>
      <c r="J2836" s="1" t="s">
        <v>8589</v>
      </c>
      <c r="K2836" s="1" t="s">
        <v>8587</v>
      </c>
    </row>
    <row r="2837" spans="1:11" ht="21" x14ac:dyDescent="0.25">
      <c r="A2837" s="11" t="str">
        <f>HYPERLINK("https://rth.dk/resources/bsgatlas/details.php?id=BSGatlas-transcript-2836","BSGatlas-transcript-2836")</f>
        <v>BSGatlas-transcript-2836</v>
      </c>
      <c r="B2837" s="1" t="s">
        <v>2661</v>
      </c>
      <c r="C2837" s="3">
        <v>2590282</v>
      </c>
      <c r="D2837" s="3">
        <v>2590706</v>
      </c>
      <c r="E2837" s="1" t="s">
        <v>13</v>
      </c>
      <c r="F2837" s="1">
        <v>0</v>
      </c>
      <c r="G2837" s="1" t="s">
        <v>4372</v>
      </c>
      <c r="H2837" s="1" t="s">
        <v>4372</v>
      </c>
      <c r="I2837" s="1" t="s">
        <v>4397</v>
      </c>
      <c r="J2837" s="1" t="s">
        <v>8590</v>
      </c>
      <c r="K2837" s="1" t="s">
        <v>8591</v>
      </c>
    </row>
    <row r="2838" spans="1:11" ht="21" x14ac:dyDescent="0.25">
      <c r="A2838" s="11" t="str">
        <f>HYPERLINK("https://rth.dk/resources/bsgatlas/details.php?id=BSGatlas-transcript-2837","BSGatlas-transcript-2837")</f>
        <v>BSGatlas-transcript-2837</v>
      </c>
      <c r="B2838" s="1" t="s">
        <v>2662</v>
      </c>
      <c r="C2838" s="3">
        <v>2590765</v>
      </c>
      <c r="D2838" s="3">
        <v>2591405</v>
      </c>
      <c r="E2838" s="1" t="s">
        <v>9</v>
      </c>
      <c r="F2838" s="1">
        <v>0</v>
      </c>
      <c r="G2838" s="1" t="s">
        <v>4372</v>
      </c>
      <c r="H2838" s="1" t="s">
        <v>4372</v>
      </c>
      <c r="I2838" s="1" t="s">
        <v>4397</v>
      </c>
      <c r="J2838" s="1" t="s">
        <v>8592</v>
      </c>
      <c r="K2838" s="1" t="s">
        <v>8593</v>
      </c>
    </row>
    <row r="2839" spans="1:11" ht="21" x14ac:dyDescent="0.25">
      <c r="A2839" s="11" t="str">
        <f>HYPERLINK("https://rth.dk/resources/bsgatlas/details.php?id=BSGatlas-transcript-2838","BSGatlas-transcript-2838")</f>
        <v>BSGatlas-transcript-2838</v>
      </c>
      <c r="B2839" s="1" t="s">
        <v>2662</v>
      </c>
      <c r="C2839" s="3">
        <v>2590765</v>
      </c>
      <c r="D2839" s="3">
        <v>2592069</v>
      </c>
      <c r="E2839" s="1" t="s">
        <v>9</v>
      </c>
      <c r="F2839" s="1">
        <v>0</v>
      </c>
      <c r="G2839" s="1" t="s">
        <v>4372</v>
      </c>
      <c r="H2839" s="1" t="s">
        <v>4372</v>
      </c>
      <c r="I2839" s="1" t="s">
        <v>4397</v>
      </c>
      <c r="J2839" s="1" t="s">
        <v>8592</v>
      </c>
      <c r="K2839" s="1" t="s">
        <v>8594</v>
      </c>
    </row>
    <row r="2840" spans="1:11" ht="21" x14ac:dyDescent="0.25">
      <c r="A2840" s="11" t="str">
        <f>HYPERLINK("https://rth.dk/resources/bsgatlas/details.php?id=BSGatlas-transcript-2839","BSGatlas-transcript-2839")</f>
        <v>BSGatlas-transcript-2839</v>
      </c>
      <c r="B2840" s="1" t="s">
        <v>2663</v>
      </c>
      <c r="C2840" s="3">
        <v>2591410</v>
      </c>
      <c r="D2840" s="3">
        <v>2591960</v>
      </c>
      <c r="E2840" s="1" t="s">
        <v>13</v>
      </c>
      <c r="F2840" s="1">
        <v>0</v>
      </c>
      <c r="G2840" s="1" t="s">
        <v>4372</v>
      </c>
      <c r="H2840" s="1" t="s">
        <v>4372</v>
      </c>
      <c r="I2840" s="1" t="s">
        <v>4377</v>
      </c>
      <c r="J2840" s="1" t="s">
        <v>8595</v>
      </c>
      <c r="K2840" s="1" t="s">
        <v>8596</v>
      </c>
    </row>
    <row r="2841" spans="1:11" ht="21" x14ac:dyDescent="0.25">
      <c r="A2841" s="11" t="str">
        <f>HYPERLINK("https://rth.dk/resources/bsgatlas/details.php?id=BSGatlas-transcript-2840","BSGatlas-transcript-2840")</f>
        <v>BSGatlas-transcript-2840</v>
      </c>
      <c r="B2841" s="1" t="s">
        <v>8597</v>
      </c>
      <c r="C2841" s="3">
        <v>2591410</v>
      </c>
      <c r="D2841" s="3">
        <v>2592928</v>
      </c>
      <c r="E2841" s="1" t="s">
        <v>13</v>
      </c>
      <c r="F2841" s="1">
        <v>1</v>
      </c>
      <c r="G2841" s="1">
        <v>45</v>
      </c>
      <c r="H2841" s="1">
        <v>19</v>
      </c>
      <c r="I2841" s="1" t="s">
        <v>4386</v>
      </c>
      <c r="J2841" s="1" t="s">
        <v>8598</v>
      </c>
      <c r="K2841" s="1" t="s">
        <v>8596</v>
      </c>
    </row>
    <row r="2842" spans="1:11" ht="21" x14ac:dyDescent="0.25">
      <c r="A2842" s="11" t="str">
        <f>HYPERLINK("https://rth.dk/resources/bsgatlas/details.php?id=BSGatlas-transcript-2841","BSGatlas-transcript-2841")</f>
        <v>BSGatlas-transcript-2841</v>
      </c>
      <c r="B2842" s="1" t="s">
        <v>8599</v>
      </c>
      <c r="C2842" s="3">
        <v>2591410</v>
      </c>
      <c r="D2842" s="3">
        <v>2594229</v>
      </c>
      <c r="E2842" s="1" t="s">
        <v>13</v>
      </c>
      <c r="F2842" s="1">
        <v>2</v>
      </c>
      <c r="G2842" s="1">
        <v>56</v>
      </c>
      <c r="H2842" s="1">
        <v>19</v>
      </c>
      <c r="I2842" s="1" t="s">
        <v>4377</v>
      </c>
      <c r="J2842" s="1" t="s">
        <v>8600</v>
      </c>
      <c r="K2842" s="1" t="s">
        <v>8596</v>
      </c>
    </row>
    <row r="2843" spans="1:11" ht="21" x14ac:dyDescent="0.25">
      <c r="A2843" s="11" t="str">
        <f>HYPERLINK("https://rth.dk/resources/bsgatlas/details.php?id=BSGatlas-transcript-2842","BSGatlas-transcript-2842")</f>
        <v>BSGatlas-transcript-2842</v>
      </c>
      <c r="B2843" s="1" t="s">
        <v>8601</v>
      </c>
      <c r="C2843" s="3">
        <v>2591410</v>
      </c>
      <c r="D2843" s="3">
        <v>2595547</v>
      </c>
      <c r="E2843" s="1" t="s">
        <v>13</v>
      </c>
      <c r="F2843" s="1">
        <v>2</v>
      </c>
      <c r="G2843" s="1">
        <v>48</v>
      </c>
      <c r="H2843" s="1">
        <v>19</v>
      </c>
      <c r="I2843" s="1" t="s">
        <v>4377</v>
      </c>
      <c r="J2843" s="1" t="s">
        <v>8602</v>
      </c>
      <c r="K2843" s="1" t="s">
        <v>8596</v>
      </c>
    </row>
    <row r="2844" spans="1:11" ht="21" x14ac:dyDescent="0.25">
      <c r="A2844" s="11" t="str">
        <f>HYPERLINK("https://rth.dk/resources/bsgatlas/details.php?id=BSGatlas-transcript-2843","BSGatlas-transcript-2843")</f>
        <v>BSGatlas-transcript-2843</v>
      </c>
      <c r="B2844" s="1" t="s">
        <v>2664</v>
      </c>
      <c r="C2844" s="3">
        <v>2591907</v>
      </c>
      <c r="D2844" s="3">
        <v>2592928</v>
      </c>
      <c r="E2844" s="1" t="s">
        <v>13</v>
      </c>
      <c r="F2844" s="1">
        <v>0</v>
      </c>
      <c r="G2844" s="1" t="s">
        <v>4372</v>
      </c>
      <c r="H2844" s="1" t="s">
        <v>4372</v>
      </c>
      <c r="I2844" s="1" t="s">
        <v>4377</v>
      </c>
      <c r="J2844" s="1" t="s">
        <v>8598</v>
      </c>
      <c r="K2844" s="1" t="s">
        <v>8603</v>
      </c>
    </row>
    <row r="2845" spans="1:11" ht="21" x14ac:dyDescent="0.25">
      <c r="A2845" s="11" t="str">
        <f>HYPERLINK("https://rth.dk/resources/bsgatlas/details.php?id=BSGatlas-transcript-2844","BSGatlas-transcript-2844")</f>
        <v>BSGatlas-transcript-2844</v>
      </c>
      <c r="B2845" s="1" t="s">
        <v>8604</v>
      </c>
      <c r="C2845" s="3">
        <v>2591907</v>
      </c>
      <c r="D2845" s="3">
        <v>2594229</v>
      </c>
      <c r="E2845" s="1" t="s">
        <v>13</v>
      </c>
      <c r="F2845" s="1">
        <v>1</v>
      </c>
      <c r="G2845" s="1">
        <v>56</v>
      </c>
      <c r="H2845" s="1">
        <v>97</v>
      </c>
      <c r="I2845" s="1" t="s">
        <v>4382</v>
      </c>
      <c r="J2845" s="1" t="s">
        <v>8600</v>
      </c>
      <c r="K2845" s="1" t="s">
        <v>8603</v>
      </c>
    </row>
    <row r="2846" spans="1:11" ht="21" x14ac:dyDescent="0.25">
      <c r="A2846" s="11" t="str">
        <f>HYPERLINK("https://rth.dk/resources/bsgatlas/details.php?id=BSGatlas-transcript-2845","BSGatlas-transcript-2845")</f>
        <v>BSGatlas-transcript-2845</v>
      </c>
      <c r="B2846" s="1" t="s">
        <v>8605</v>
      </c>
      <c r="C2846" s="3">
        <v>2591907</v>
      </c>
      <c r="D2846" s="3">
        <v>2595547</v>
      </c>
      <c r="E2846" s="1" t="s">
        <v>13</v>
      </c>
      <c r="F2846" s="1">
        <v>1</v>
      </c>
      <c r="G2846" s="1">
        <v>48</v>
      </c>
      <c r="H2846" s="1">
        <v>97</v>
      </c>
      <c r="I2846" s="1" t="s">
        <v>4377</v>
      </c>
      <c r="J2846" s="1" t="s">
        <v>8602</v>
      </c>
      <c r="K2846" s="1" t="s">
        <v>8603</v>
      </c>
    </row>
    <row r="2847" spans="1:11" ht="21" x14ac:dyDescent="0.25">
      <c r="A2847" s="11" t="str">
        <f>HYPERLINK("https://rth.dk/resources/bsgatlas/details.php?id=BSGatlas-transcript-2846","BSGatlas-transcript-2846")</f>
        <v>BSGatlas-transcript-2846</v>
      </c>
      <c r="B2847" s="1" t="s">
        <v>2667</v>
      </c>
      <c r="C2847" s="3">
        <v>2592917</v>
      </c>
      <c r="D2847" s="3">
        <v>2593254</v>
      </c>
      <c r="E2847" s="1" t="s">
        <v>9</v>
      </c>
      <c r="F2847" s="1">
        <v>0</v>
      </c>
      <c r="G2847" s="1" t="s">
        <v>4372</v>
      </c>
      <c r="H2847" s="1" t="s">
        <v>4372</v>
      </c>
      <c r="I2847" s="1" t="s">
        <v>4397</v>
      </c>
      <c r="J2847" s="1" t="s">
        <v>8606</v>
      </c>
      <c r="K2847" s="1" t="s">
        <v>8607</v>
      </c>
    </row>
    <row r="2848" spans="1:11" ht="21" x14ac:dyDescent="0.25">
      <c r="A2848" s="11" t="str">
        <f>HYPERLINK("https://rth.dk/resources/bsgatlas/details.php?id=BSGatlas-transcript-2847","BSGatlas-transcript-2847")</f>
        <v>BSGatlas-transcript-2847</v>
      </c>
      <c r="B2848" s="1" t="s">
        <v>2667</v>
      </c>
      <c r="C2848" s="3">
        <v>2592917</v>
      </c>
      <c r="D2848" s="3">
        <v>2594120</v>
      </c>
      <c r="E2848" s="1" t="s">
        <v>9</v>
      </c>
      <c r="F2848" s="1">
        <v>0</v>
      </c>
      <c r="G2848" s="1" t="s">
        <v>4372</v>
      </c>
      <c r="H2848" s="1" t="s">
        <v>4372</v>
      </c>
      <c r="I2848" s="1" t="s">
        <v>4397</v>
      </c>
      <c r="J2848" s="1" t="s">
        <v>8606</v>
      </c>
      <c r="K2848" s="1" t="s">
        <v>8608</v>
      </c>
    </row>
    <row r="2849" spans="1:11" ht="21" x14ac:dyDescent="0.25">
      <c r="A2849" s="11" t="str">
        <f>HYPERLINK("https://rth.dk/resources/bsgatlas/details.php?id=BSGatlas-transcript-2848","BSGatlas-transcript-2848")</f>
        <v>BSGatlas-transcript-2848</v>
      </c>
      <c r="B2849" s="1" t="s">
        <v>2667</v>
      </c>
      <c r="C2849" s="3">
        <v>2592962</v>
      </c>
      <c r="D2849" s="3">
        <v>2593254</v>
      </c>
      <c r="E2849" s="1" t="s">
        <v>9</v>
      </c>
      <c r="F2849" s="1">
        <v>0</v>
      </c>
      <c r="G2849" s="1" t="s">
        <v>4372</v>
      </c>
      <c r="H2849" s="1" t="s">
        <v>4372</v>
      </c>
      <c r="I2849" s="1" t="s">
        <v>4397</v>
      </c>
      <c r="J2849" s="1" t="s">
        <v>8609</v>
      </c>
      <c r="K2849" s="1" t="s">
        <v>8607</v>
      </c>
    </row>
    <row r="2850" spans="1:11" ht="21" x14ac:dyDescent="0.25">
      <c r="A2850" s="11" t="str">
        <f>HYPERLINK("https://rth.dk/resources/bsgatlas/details.php?id=BSGatlas-transcript-2849","BSGatlas-transcript-2849")</f>
        <v>BSGatlas-transcript-2849</v>
      </c>
      <c r="B2850" s="1" t="s">
        <v>2667</v>
      </c>
      <c r="C2850" s="3">
        <v>2592962</v>
      </c>
      <c r="D2850" s="3">
        <v>2594120</v>
      </c>
      <c r="E2850" s="1" t="s">
        <v>9</v>
      </c>
      <c r="F2850" s="1">
        <v>0</v>
      </c>
      <c r="G2850" s="1" t="s">
        <v>4372</v>
      </c>
      <c r="H2850" s="1" t="s">
        <v>4372</v>
      </c>
      <c r="I2850" s="1" t="s">
        <v>4397</v>
      </c>
      <c r="J2850" s="1" t="s">
        <v>8609</v>
      </c>
      <c r="K2850" s="1" t="s">
        <v>8608</v>
      </c>
    </row>
    <row r="2851" spans="1:11" ht="21" x14ac:dyDescent="0.25">
      <c r="A2851" s="11" t="str">
        <f>HYPERLINK("https://rth.dk/resources/bsgatlas/details.php?id=BSGatlas-transcript-2850","BSGatlas-transcript-2850")</f>
        <v>BSGatlas-transcript-2850</v>
      </c>
      <c r="B2851" s="1" t="s">
        <v>2665</v>
      </c>
      <c r="C2851" s="3">
        <v>2593281</v>
      </c>
      <c r="D2851" s="3">
        <v>2594229</v>
      </c>
      <c r="E2851" s="1" t="s">
        <v>13</v>
      </c>
      <c r="F2851" s="1">
        <v>0</v>
      </c>
      <c r="G2851" s="1" t="s">
        <v>4372</v>
      </c>
      <c r="H2851" s="1" t="s">
        <v>4372</v>
      </c>
      <c r="I2851" s="1" t="s">
        <v>4377</v>
      </c>
      <c r="J2851" s="1" t="s">
        <v>8600</v>
      </c>
      <c r="K2851" s="1" t="s">
        <v>8610</v>
      </c>
    </row>
    <row r="2852" spans="1:11" ht="21" x14ac:dyDescent="0.25">
      <c r="A2852" s="11" t="str">
        <f>HYPERLINK("https://rth.dk/resources/bsgatlas/details.php?id=BSGatlas-transcript-2851","BSGatlas-transcript-2851")</f>
        <v>BSGatlas-transcript-2851</v>
      </c>
      <c r="B2852" s="1" t="s">
        <v>8611</v>
      </c>
      <c r="C2852" s="3">
        <v>2593281</v>
      </c>
      <c r="D2852" s="3">
        <v>2595547</v>
      </c>
      <c r="E2852" s="1" t="s">
        <v>13</v>
      </c>
      <c r="F2852" s="1">
        <v>0</v>
      </c>
      <c r="G2852" s="1" t="s">
        <v>4372</v>
      </c>
      <c r="H2852" s="1" t="s">
        <v>4372</v>
      </c>
      <c r="I2852" s="1" t="s">
        <v>4386</v>
      </c>
      <c r="J2852" s="1" t="s">
        <v>8602</v>
      </c>
      <c r="K2852" s="1" t="s">
        <v>8610</v>
      </c>
    </row>
    <row r="2853" spans="1:11" ht="21" x14ac:dyDescent="0.25">
      <c r="A2853" s="11" t="str">
        <f>HYPERLINK("https://rth.dk/resources/bsgatlas/details.php?id=BSGatlas-transcript-2852","BSGatlas-transcript-2852")</f>
        <v>BSGatlas-transcript-2852</v>
      </c>
      <c r="B2853" s="1" t="s">
        <v>2668</v>
      </c>
      <c r="C2853" s="3">
        <v>2595625</v>
      </c>
      <c r="D2853" s="3">
        <v>2596412</v>
      </c>
      <c r="E2853" s="1" t="s">
        <v>9</v>
      </c>
      <c r="F2853" s="1">
        <v>0</v>
      </c>
      <c r="G2853" s="1" t="s">
        <v>4372</v>
      </c>
      <c r="H2853" s="1" t="s">
        <v>4372</v>
      </c>
      <c r="I2853" s="1" t="s">
        <v>4373</v>
      </c>
      <c r="J2853" s="1" t="s">
        <v>8612</v>
      </c>
      <c r="K2853" s="1" t="s">
        <v>8613</v>
      </c>
    </row>
    <row r="2854" spans="1:11" ht="21" x14ac:dyDescent="0.25">
      <c r="A2854" s="11" t="str">
        <f>HYPERLINK("https://rth.dk/resources/bsgatlas/details.php?id=BSGatlas-transcript-2853","BSGatlas-transcript-2853")</f>
        <v>BSGatlas-transcript-2853</v>
      </c>
      <c r="B2854" s="1" t="s">
        <v>2668</v>
      </c>
      <c r="C2854" s="3">
        <v>2595625</v>
      </c>
      <c r="D2854" s="3">
        <v>2596503</v>
      </c>
      <c r="E2854" s="1" t="s">
        <v>9</v>
      </c>
      <c r="F2854" s="1">
        <v>0</v>
      </c>
      <c r="G2854" s="1" t="s">
        <v>4372</v>
      </c>
      <c r="H2854" s="1" t="s">
        <v>4372</v>
      </c>
      <c r="I2854" s="1" t="s">
        <v>4373</v>
      </c>
      <c r="J2854" s="1" t="s">
        <v>8612</v>
      </c>
      <c r="K2854" s="1" t="s">
        <v>8614</v>
      </c>
    </row>
    <row r="2855" spans="1:11" ht="21" x14ac:dyDescent="0.25">
      <c r="A2855" s="11" t="str">
        <f>HYPERLINK("https://rth.dk/resources/bsgatlas/details.php?id=BSGatlas-transcript-2854","BSGatlas-transcript-2854")</f>
        <v>BSGatlas-transcript-2854</v>
      </c>
      <c r="B2855" s="1" t="s">
        <v>8615</v>
      </c>
      <c r="C2855" s="3">
        <v>2595625</v>
      </c>
      <c r="D2855" s="3">
        <v>2597479</v>
      </c>
      <c r="E2855" s="1" t="s">
        <v>9</v>
      </c>
      <c r="F2855" s="1">
        <v>1</v>
      </c>
      <c r="G2855" s="1">
        <v>45</v>
      </c>
      <c r="H2855" s="1" t="s">
        <v>4372</v>
      </c>
      <c r="I2855" s="1" t="s">
        <v>4386</v>
      </c>
      <c r="J2855" s="1" t="s">
        <v>8612</v>
      </c>
      <c r="K2855" s="1" t="s">
        <v>8616</v>
      </c>
    </row>
    <row r="2856" spans="1:11" ht="21" x14ac:dyDescent="0.25">
      <c r="A2856" s="11" t="str">
        <f>HYPERLINK("https://rth.dk/resources/bsgatlas/details.php?id=BSGatlas-transcript-2855","BSGatlas-transcript-2855")</f>
        <v>BSGatlas-transcript-2855</v>
      </c>
      <c r="B2856" s="1" t="s">
        <v>2669</v>
      </c>
      <c r="C2856" s="3">
        <v>2596439</v>
      </c>
      <c r="D2856" s="3">
        <v>2597479</v>
      </c>
      <c r="E2856" s="1" t="s">
        <v>9</v>
      </c>
      <c r="F2856" s="1">
        <v>0</v>
      </c>
      <c r="G2856" s="1" t="s">
        <v>4372</v>
      </c>
      <c r="H2856" s="1" t="s">
        <v>4372</v>
      </c>
      <c r="I2856" s="1" t="s">
        <v>4386</v>
      </c>
      <c r="J2856" s="1" t="s">
        <v>8617</v>
      </c>
      <c r="K2856" s="1" t="s">
        <v>8616</v>
      </c>
    </row>
    <row r="2857" spans="1:11" ht="21" x14ac:dyDescent="0.25">
      <c r="A2857" s="11" t="str">
        <f>HYPERLINK("https://rth.dk/resources/bsgatlas/details.php?id=BSGatlas-transcript-2856","BSGatlas-transcript-2856")</f>
        <v>BSGatlas-transcript-2856</v>
      </c>
      <c r="B2857" s="1" t="s">
        <v>8618</v>
      </c>
      <c r="C2857" s="3">
        <v>2597502</v>
      </c>
      <c r="D2857" s="3">
        <v>2599375</v>
      </c>
      <c r="E2857" s="1" t="s">
        <v>13</v>
      </c>
      <c r="F2857" s="1">
        <v>0</v>
      </c>
      <c r="G2857" s="1" t="s">
        <v>4372</v>
      </c>
      <c r="H2857" s="1" t="s">
        <v>4372</v>
      </c>
      <c r="I2857" s="1" t="s">
        <v>4386</v>
      </c>
      <c r="J2857" s="1" t="s">
        <v>8619</v>
      </c>
      <c r="K2857" s="1" t="s">
        <v>8620</v>
      </c>
    </row>
    <row r="2858" spans="1:11" ht="21" x14ac:dyDescent="0.25">
      <c r="A2858" s="11" t="str">
        <f>HYPERLINK("https://rth.dk/resources/bsgatlas/details.php?id=BSGatlas-transcript-2857","BSGatlas-transcript-2857")</f>
        <v>BSGatlas-transcript-2857</v>
      </c>
      <c r="B2858" s="1" t="s">
        <v>2672</v>
      </c>
      <c r="C2858" s="3">
        <v>2599523</v>
      </c>
      <c r="D2858" s="3">
        <v>2599924</v>
      </c>
      <c r="E2858" s="1" t="s">
        <v>13</v>
      </c>
      <c r="F2858" s="1">
        <v>0</v>
      </c>
      <c r="G2858" s="1" t="s">
        <v>4372</v>
      </c>
      <c r="H2858" s="1" t="s">
        <v>4372</v>
      </c>
      <c r="I2858" s="1" t="s">
        <v>4386</v>
      </c>
      <c r="J2858" s="1" t="s">
        <v>8621</v>
      </c>
      <c r="K2858" s="1" t="s">
        <v>8622</v>
      </c>
    </row>
    <row r="2859" spans="1:11" ht="21" x14ac:dyDescent="0.25">
      <c r="A2859" s="11" t="str">
        <f>HYPERLINK("https://rth.dk/resources/bsgatlas/details.php?id=BSGatlas-transcript-2858","BSGatlas-transcript-2858")</f>
        <v>BSGatlas-transcript-2858</v>
      </c>
      <c r="B2859" s="1" t="s">
        <v>2672</v>
      </c>
      <c r="C2859" s="3">
        <v>2599523</v>
      </c>
      <c r="D2859" s="3">
        <v>2600047</v>
      </c>
      <c r="E2859" s="1" t="s">
        <v>13</v>
      </c>
      <c r="F2859" s="1">
        <v>0</v>
      </c>
      <c r="G2859" s="1" t="s">
        <v>4372</v>
      </c>
      <c r="H2859" s="1" t="s">
        <v>4372</v>
      </c>
      <c r="I2859" s="1" t="s">
        <v>4386</v>
      </c>
      <c r="J2859" s="1" t="s">
        <v>8623</v>
      </c>
      <c r="K2859" s="1" t="s">
        <v>8622</v>
      </c>
    </row>
    <row r="2860" spans="1:11" ht="21" x14ac:dyDescent="0.25">
      <c r="A2860" s="11" t="str">
        <f>HYPERLINK("https://rth.dk/resources/bsgatlas/details.php?id=BSGatlas-transcript-2859","BSGatlas-transcript-2859")</f>
        <v>BSGatlas-transcript-2859</v>
      </c>
      <c r="B2860" s="1" t="s">
        <v>2673</v>
      </c>
      <c r="C2860" s="3">
        <v>2599914</v>
      </c>
      <c r="D2860" s="3">
        <v>2602305</v>
      </c>
      <c r="E2860" s="1" t="s">
        <v>9</v>
      </c>
      <c r="F2860" s="1">
        <v>0</v>
      </c>
      <c r="G2860" s="1" t="s">
        <v>4372</v>
      </c>
      <c r="H2860" s="1" t="s">
        <v>4372</v>
      </c>
      <c r="I2860" s="1" t="s">
        <v>4377</v>
      </c>
      <c r="J2860" s="1" t="s">
        <v>8624</v>
      </c>
      <c r="K2860" s="1" t="s">
        <v>318</v>
      </c>
    </row>
    <row r="2861" spans="1:11" ht="21" x14ac:dyDescent="0.25">
      <c r="A2861" s="11" t="str">
        <f>HYPERLINK("https://rth.dk/resources/bsgatlas/details.php?id=BSGatlas-transcript-2860","BSGatlas-transcript-2860")</f>
        <v>BSGatlas-transcript-2860</v>
      </c>
      <c r="B2861" s="1" t="s">
        <v>2673</v>
      </c>
      <c r="C2861" s="3">
        <v>2600050</v>
      </c>
      <c r="D2861" s="3">
        <v>2602305</v>
      </c>
      <c r="E2861" s="1" t="s">
        <v>9</v>
      </c>
      <c r="F2861" s="1">
        <v>0</v>
      </c>
      <c r="G2861" s="1" t="s">
        <v>4372</v>
      </c>
      <c r="H2861" s="1" t="s">
        <v>4372</v>
      </c>
      <c r="I2861" s="1" t="s">
        <v>4377</v>
      </c>
      <c r="J2861" s="1" t="s">
        <v>8625</v>
      </c>
      <c r="K2861" s="1" t="s">
        <v>318</v>
      </c>
    </row>
    <row r="2862" spans="1:11" ht="21" x14ac:dyDescent="0.25">
      <c r="A2862" s="11" t="str">
        <f>HYPERLINK("https://rth.dk/resources/bsgatlas/details.php?id=BSGatlas-transcript-2861","BSGatlas-transcript-2861")</f>
        <v>BSGatlas-transcript-2861</v>
      </c>
      <c r="B2862" s="1" t="s">
        <v>2673</v>
      </c>
      <c r="C2862" s="3">
        <v>2600156</v>
      </c>
      <c r="D2862" s="3">
        <v>2602305</v>
      </c>
      <c r="E2862" s="1" t="s">
        <v>9</v>
      </c>
      <c r="F2862" s="1">
        <v>0</v>
      </c>
      <c r="G2862" s="1" t="s">
        <v>4372</v>
      </c>
      <c r="H2862" s="1" t="s">
        <v>4372</v>
      </c>
      <c r="I2862" s="1" t="s">
        <v>4377</v>
      </c>
      <c r="J2862" s="1" t="s">
        <v>8626</v>
      </c>
      <c r="K2862" s="1" t="s">
        <v>318</v>
      </c>
    </row>
    <row r="2863" spans="1:11" ht="21" x14ac:dyDescent="0.25">
      <c r="A2863" s="11" t="str">
        <f>HYPERLINK("https://rth.dk/resources/bsgatlas/details.php?id=BSGatlas-transcript-2862","BSGatlas-transcript-2862")</f>
        <v>BSGatlas-transcript-2862</v>
      </c>
      <c r="B2863" s="1" t="s">
        <v>2674</v>
      </c>
      <c r="C2863" s="3">
        <v>2600169</v>
      </c>
      <c r="D2863" s="3">
        <v>2601329</v>
      </c>
      <c r="E2863" s="1" t="s">
        <v>13</v>
      </c>
      <c r="F2863" s="1">
        <v>0</v>
      </c>
      <c r="G2863" s="1" t="s">
        <v>4372</v>
      </c>
      <c r="H2863" s="1" t="s">
        <v>4372</v>
      </c>
      <c r="I2863" s="1" t="s">
        <v>4386</v>
      </c>
      <c r="J2863" s="1" t="s">
        <v>318</v>
      </c>
      <c r="K2863" s="1" t="s">
        <v>8627</v>
      </c>
    </row>
    <row r="2864" spans="1:11" ht="21" x14ac:dyDescent="0.25">
      <c r="A2864" s="11" t="str">
        <f>HYPERLINK("https://rth.dk/resources/bsgatlas/details.php?id=BSGatlas-transcript-2863","BSGatlas-transcript-2863")</f>
        <v>BSGatlas-transcript-2863</v>
      </c>
      <c r="B2864" s="1" t="s">
        <v>8628</v>
      </c>
      <c r="C2864" s="3">
        <v>2600169</v>
      </c>
      <c r="D2864" s="3">
        <v>2603339</v>
      </c>
      <c r="E2864" s="1" t="s">
        <v>13</v>
      </c>
      <c r="F2864" s="1">
        <v>1</v>
      </c>
      <c r="G2864" s="1" t="s">
        <v>4372</v>
      </c>
      <c r="H2864" s="1">
        <v>46</v>
      </c>
      <c r="I2864" s="1" t="s">
        <v>4377</v>
      </c>
      <c r="J2864" s="1" t="s">
        <v>8629</v>
      </c>
      <c r="K2864" s="1" t="s">
        <v>8627</v>
      </c>
    </row>
    <row r="2865" spans="1:11" ht="21" x14ac:dyDescent="0.25">
      <c r="A2865" s="11" t="str">
        <f>HYPERLINK("https://rth.dk/resources/bsgatlas/details.php?id=BSGatlas-transcript-2864","BSGatlas-transcript-2864")</f>
        <v>BSGatlas-transcript-2864</v>
      </c>
      <c r="B2865" s="1" t="s">
        <v>8630</v>
      </c>
      <c r="C2865" s="3">
        <v>2600169</v>
      </c>
      <c r="D2865" s="3">
        <v>2603867</v>
      </c>
      <c r="E2865" s="1" t="s">
        <v>13</v>
      </c>
      <c r="F2865" s="1">
        <v>2</v>
      </c>
      <c r="G2865" s="1" t="s">
        <v>4372</v>
      </c>
      <c r="H2865" s="1">
        <v>46</v>
      </c>
      <c r="I2865" s="1" t="s">
        <v>4373</v>
      </c>
      <c r="J2865" s="1" t="s">
        <v>8631</v>
      </c>
      <c r="K2865" s="1" t="s">
        <v>8627</v>
      </c>
    </row>
    <row r="2866" spans="1:11" ht="21" x14ac:dyDescent="0.25">
      <c r="A2866" s="11" t="str">
        <f>HYPERLINK("https://rth.dk/resources/bsgatlas/details.php?id=BSGatlas-transcript-2865","BSGatlas-transcript-2865")</f>
        <v>BSGatlas-transcript-2865</v>
      </c>
      <c r="B2866" s="1" t="s">
        <v>8630</v>
      </c>
      <c r="C2866" s="3">
        <v>2600169</v>
      </c>
      <c r="D2866" s="3">
        <v>2603970</v>
      </c>
      <c r="E2866" s="1" t="s">
        <v>13</v>
      </c>
      <c r="F2866" s="1">
        <v>2</v>
      </c>
      <c r="G2866" s="1">
        <v>104</v>
      </c>
      <c r="H2866" s="1">
        <v>46</v>
      </c>
      <c r="I2866" s="1" t="s">
        <v>4373</v>
      </c>
      <c r="J2866" s="1" t="s">
        <v>8632</v>
      </c>
      <c r="K2866" s="1" t="s">
        <v>8627</v>
      </c>
    </row>
    <row r="2867" spans="1:11" ht="21" x14ac:dyDescent="0.25">
      <c r="A2867" s="11" t="str">
        <f>HYPERLINK("https://rth.dk/resources/bsgatlas/details.php?id=BSGatlas-transcript-2866","BSGatlas-transcript-2866")</f>
        <v>BSGatlas-transcript-2866</v>
      </c>
      <c r="B2867" s="1" t="s">
        <v>8630</v>
      </c>
      <c r="C2867" s="3">
        <v>2600169</v>
      </c>
      <c r="D2867" s="3">
        <v>2604026</v>
      </c>
      <c r="E2867" s="1" t="s">
        <v>13</v>
      </c>
      <c r="F2867" s="1">
        <v>2</v>
      </c>
      <c r="G2867" s="1">
        <v>160</v>
      </c>
      <c r="H2867" s="1">
        <v>46</v>
      </c>
      <c r="I2867" s="1" t="s">
        <v>4373</v>
      </c>
      <c r="J2867" s="1" t="s">
        <v>8633</v>
      </c>
      <c r="K2867" s="1" t="s">
        <v>8627</v>
      </c>
    </row>
    <row r="2868" spans="1:11" ht="21" x14ac:dyDescent="0.25">
      <c r="A2868" s="11" t="str">
        <f>HYPERLINK("https://rth.dk/resources/bsgatlas/details.php?id=BSGatlas-transcript-2867","BSGatlas-transcript-2867")</f>
        <v>BSGatlas-transcript-2867</v>
      </c>
      <c r="B2868" s="1" t="s">
        <v>8630</v>
      </c>
      <c r="C2868" s="3">
        <v>2600169</v>
      </c>
      <c r="D2868" s="3">
        <v>2604053</v>
      </c>
      <c r="E2868" s="1" t="s">
        <v>13</v>
      </c>
      <c r="F2868" s="1">
        <v>2</v>
      </c>
      <c r="G2868" s="1">
        <v>187</v>
      </c>
      <c r="H2868" s="1">
        <v>46</v>
      </c>
      <c r="I2868" s="1" t="s">
        <v>4373</v>
      </c>
      <c r="J2868" s="1" t="s">
        <v>8634</v>
      </c>
      <c r="K2868" s="1" t="s">
        <v>8627</v>
      </c>
    </row>
    <row r="2869" spans="1:11" ht="21" x14ac:dyDescent="0.25">
      <c r="A2869" s="11" t="str">
        <f>HYPERLINK("https://rth.dk/resources/bsgatlas/details.php?id=BSGatlas-transcript-2868","BSGatlas-transcript-2868")</f>
        <v>BSGatlas-transcript-2868</v>
      </c>
      <c r="B2869" s="1" t="s">
        <v>8630</v>
      </c>
      <c r="C2869" s="3">
        <v>2600169</v>
      </c>
      <c r="D2869" s="3">
        <v>2604066</v>
      </c>
      <c r="E2869" s="1" t="s">
        <v>13</v>
      </c>
      <c r="F2869" s="1">
        <v>2</v>
      </c>
      <c r="G2869" s="1">
        <v>200</v>
      </c>
      <c r="H2869" s="1">
        <v>46</v>
      </c>
      <c r="I2869" s="1" t="s">
        <v>4373</v>
      </c>
      <c r="J2869" s="1" t="s">
        <v>8635</v>
      </c>
      <c r="K2869" s="1" t="s">
        <v>8627</v>
      </c>
    </row>
    <row r="2870" spans="1:11" ht="21" x14ac:dyDescent="0.25">
      <c r="A2870" s="11" t="str">
        <f>HYPERLINK("https://rth.dk/resources/bsgatlas/details.php?id=BSGatlas-transcript-2869","BSGatlas-transcript-2869")</f>
        <v>BSGatlas-transcript-2869</v>
      </c>
      <c r="B2870" s="1" t="s">
        <v>2677</v>
      </c>
      <c r="C2870" s="3">
        <v>2602979</v>
      </c>
      <c r="D2870" s="3">
        <v>2603419</v>
      </c>
      <c r="E2870" s="1" t="s">
        <v>9</v>
      </c>
      <c r="F2870" s="1">
        <v>0</v>
      </c>
      <c r="G2870" s="1" t="s">
        <v>4372</v>
      </c>
      <c r="H2870" s="1" t="s">
        <v>4372</v>
      </c>
      <c r="I2870" s="1" t="s">
        <v>4373</v>
      </c>
      <c r="J2870" s="1" t="s">
        <v>8636</v>
      </c>
      <c r="K2870" s="1" t="s">
        <v>8637</v>
      </c>
    </row>
    <row r="2871" spans="1:11" ht="21" x14ac:dyDescent="0.25">
      <c r="A2871" s="11" t="str">
        <f>HYPERLINK("https://rth.dk/resources/bsgatlas/details.php?id=BSGatlas-transcript-2870","BSGatlas-transcript-2870")</f>
        <v>BSGatlas-transcript-2870</v>
      </c>
      <c r="B2871" s="1" t="s">
        <v>8638</v>
      </c>
      <c r="C2871" s="3">
        <v>2604085</v>
      </c>
      <c r="D2871" s="3">
        <v>2605732</v>
      </c>
      <c r="E2871" s="1" t="s">
        <v>13</v>
      </c>
      <c r="F2871" s="1">
        <v>1</v>
      </c>
      <c r="G2871" s="1">
        <v>136</v>
      </c>
      <c r="H2871" s="1">
        <v>37</v>
      </c>
      <c r="I2871" s="1" t="s">
        <v>4373</v>
      </c>
      <c r="J2871" s="1" t="s">
        <v>8639</v>
      </c>
      <c r="K2871" s="1" t="s">
        <v>8640</v>
      </c>
    </row>
    <row r="2872" spans="1:11" ht="21" x14ac:dyDescent="0.25">
      <c r="A2872" s="11" t="str">
        <f>HYPERLINK("https://rth.dk/resources/bsgatlas/details.php?id=BSGatlas-transcript-2871","BSGatlas-transcript-2871")</f>
        <v>BSGatlas-transcript-2871</v>
      </c>
      <c r="B2872" s="1" t="s">
        <v>8641</v>
      </c>
      <c r="C2872" s="3">
        <v>2605730</v>
      </c>
      <c r="D2872" s="3">
        <v>2608922</v>
      </c>
      <c r="E2872" s="1" t="s">
        <v>13</v>
      </c>
      <c r="F2872" s="1">
        <v>0</v>
      </c>
      <c r="G2872" s="1" t="s">
        <v>4372</v>
      </c>
      <c r="H2872" s="1" t="s">
        <v>4372</v>
      </c>
      <c r="I2872" s="1" t="s">
        <v>4373</v>
      </c>
      <c r="J2872" s="1" t="s">
        <v>8642</v>
      </c>
      <c r="K2872" s="1" t="s">
        <v>8643</v>
      </c>
    </row>
    <row r="2873" spans="1:11" ht="21" x14ac:dyDescent="0.25">
      <c r="A2873" s="11" t="str">
        <f>HYPERLINK("https://rth.dk/resources/bsgatlas/details.php?id=BSGatlas-transcript-2872","BSGatlas-transcript-2872")</f>
        <v>BSGatlas-transcript-2872</v>
      </c>
      <c r="B2873" s="1" t="s">
        <v>8641</v>
      </c>
      <c r="C2873" s="3">
        <v>2605730</v>
      </c>
      <c r="D2873" s="3">
        <v>2608922</v>
      </c>
      <c r="E2873" s="1" t="s">
        <v>13</v>
      </c>
      <c r="F2873" s="1">
        <v>0</v>
      </c>
      <c r="G2873" s="1" t="s">
        <v>4372</v>
      </c>
      <c r="H2873" s="1" t="s">
        <v>4372</v>
      </c>
      <c r="I2873" s="1" t="s">
        <v>4373</v>
      </c>
      <c r="J2873" s="1" t="s">
        <v>8642</v>
      </c>
      <c r="K2873" s="1" t="s">
        <v>8644</v>
      </c>
    </row>
    <row r="2874" spans="1:11" ht="21" x14ac:dyDescent="0.25">
      <c r="A2874" s="11" t="str">
        <f>HYPERLINK("https://rth.dk/resources/bsgatlas/details.php?id=BSGatlas-transcript-2873","BSGatlas-transcript-2873")</f>
        <v>BSGatlas-transcript-2873</v>
      </c>
      <c r="B2874" s="1" t="s">
        <v>2682</v>
      </c>
      <c r="C2874" s="3">
        <v>2608688</v>
      </c>
      <c r="D2874" s="3">
        <v>2608906</v>
      </c>
      <c r="E2874" s="1" t="s">
        <v>13</v>
      </c>
      <c r="F2874" s="1">
        <v>0</v>
      </c>
      <c r="G2874" s="1" t="s">
        <v>4372</v>
      </c>
      <c r="H2874" s="1" t="s">
        <v>4372</v>
      </c>
      <c r="I2874" s="1" t="s">
        <v>4377</v>
      </c>
      <c r="J2874" s="1" t="s">
        <v>318</v>
      </c>
      <c r="K2874" s="1" t="s">
        <v>8645</v>
      </c>
    </row>
    <row r="2875" spans="1:11" ht="21" x14ac:dyDescent="0.25">
      <c r="A2875" s="11" t="str">
        <f>HYPERLINK("https://rth.dk/resources/bsgatlas/details.php?id=BSGatlas-transcript-2874","BSGatlas-transcript-2874")</f>
        <v>BSGatlas-transcript-2874</v>
      </c>
      <c r="B2875" s="1" t="s">
        <v>2683</v>
      </c>
      <c r="C2875" s="3">
        <v>2608912</v>
      </c>
      <c r="D2875" s="3">
        <v>2610324</v>
      </c>
      <c r="E2875" s="1" t="s">
        <v>9</v>
      </c>
      <c r="F2875" s="1">
        <v>0</v>
      </c>
      <c r="G2875" s="1" t="s">
        <v>4372</v>
      </c>
      <c r="H2875" s="1" t="s">
        <v>4372</v>
      </c>
      <c r="I2875" s="1" t="s">
        <v>4377</v>
      </c>
      <c r="J2875" s="1" t="s">
        <v>8646</v>
      </c>
      <c r="K2875" s="1" t="s">
        <v>318</v>
      </c>
    </row>
    <row r="2876" spans="1:11" ht="21" x14ac:dyDescent="0.25">
      <c r="A2876" s="11" t="str">
        <f>HYPERLINK("https://rth.dk/resources/bsgatlas/details.php?id=BSGatlas-transcript-2875","BSGatlas-transcript-2875")</f>
        <v>BSGatlas-transcript-2875</v>
      </c>
      <c r="B2876" s="1" t="s">
        <v>8647</v>
      </c>
      <c r="C2876" s="3">
        <v>2608946</v>
      </c>
      <c r="D2876" s="3">
        <v>2611378</v>
      </c>
      <c r="E2876" s="1" t="s">
        <v>13</v>
      </c>
      <c r="F2876" s="1">
        <v>2</v>
      </c>
      <c r="G2876" s="1">
        <v>42</v>
      </c>
      <c r="H2876" s="1" t="s">
        <v>4372</v>
      </c>
      <c r="I2876" s="1" t="s">
        <v>4386</v>
      </c>
      <c r="J2876" s="1" t="s">
        <v>8648</v>
      </c>
      <c r="K2876" s="1" t="s">
        <v>318</v>
      </c>
    </row>
    <row r="2877" spans="1:11" ht="21" x14ac:dyDescent="0.25">
      <c r="A2877" s="11" t="str">
        <f>HYPERLINK("https://rth.dk/resources/bsgatlas/details.php?id=BSGatlas-transcript-2876","BSGatlas-transcript-2876")</f>
        <v>BSGatlas-transcript-2876</v>
      </c>
      <c r="B2877" s="1" t="s">
        <v>8649</v>
      </c>
      <c r="C2877" s="3">
        <v>2610041</v>
      </c>
      <c r="D2877" s="3">
        <v>2611378</v>
      </c>
      <c r="E2877" s="1" t="s">
        <v>13</v>
      </c>
      <c r="F2877" s="1">
        <v>0</v>
      </c>
      <c r="G2877" s="1" t="s">
        <v>4372</v>
      </c>
      <c r="H2877" s="1" t="s">
        <v>4372</v>
      </c>
      <c r="I2877" s="1" t="s">
        <v>4382</v>
      </c>
      <c r="J2877" s="1" t="s">
        <v>8648</v>
      </c>
      <c r="K2877" s="1" t="s">
        <v>318</v>
      </c>
    </row>
    <row r="2878" spans="1:11" ht="21" x14ac:dyDescent="0.25">
      <c r="A2878" s="11" t="str">
        <f>HYPERLINK("https://rth.dk/resources/bsgatlas/details.php?id=BSGatlas-transcript-2877","BSGatlas-transcript-2877")</f>
        <v>BSGatlas-transcript-2877</v>
      </c>
      <c r="B2878" s="1" t="s">
        <v>2688</v>
      </c>
      <c r="C2878" s="3">
        <v>2614496</v>
      </c>
      <c r="D2878" s="3">
        <v>2615524</v>
      </c>
      <c r="E2878" s="1" t="s">
        <v>13</v>
      </c>
      <c r="F2878" s="1">
        <v>0</v>
      </c>
      <c r="G2878" s="1" t="s">
        <v>4372</v>
      </c>
      <c r="H2878" s="1" t="s">
        <v>4372</v>
      </c>
      <c r="I2878" s="1" t="s">
        <v>4386</v>
      </c>
      <c r="J2878" s="1" t="s">
        <v>8650</v>
      </c>
      <c r="K2878" s="1" t="s">
        <v>8651</v>
      </c>
    </row>
    <row r="2879" spans="1:11" ht="21" x14ac:dyDescent="0.25">
      <c r="A2879" s="11" t="str">
        <f>HYPERLINK("https://rth.dk/resources/bsgatlas/details.php?id=BSGatlas-transcript-2878","BSGatlas-transcript-2878")</f>
        <v>BSGatlas-transcript-2878</v>
      </c>
      <c r="B2879" s="1" t="s">
        <v>2688</v>
      </c>
      <c r="C2879" s="3">
        <v>2614496</v>
      </c>
      <c r="D2879" s="3">
        <v>2615611</v>
      </c>
      <c r="E2879" s="1" t="s">
        <v>13</v>
      </c>
      <c r="F2879" s="1">
        <v>0</v>
      </c>
      <c r="G2879" s="1" t="s">
        <v>4372</v>
      </c>
      <c r="H2879" s="1" t="s">
        <v>4372</v>
      </c>
      <c r="I2879" s="1" t="s">
        <v>4386</v>
      </c>
      <c r="J2879" s="1" t="s">
        <v>8652</v>
      </c>
      <c r="K2879" s="1" t="s">
        <v>8651</v>
      </c>
    </row>
    <row r="2880" spans="1:11" ht="21" x14ac:dyDescent="0.25">
      <c r="A2880" s="11" t="str">
        <f>HYPERLINK("https://rth.dk/resources/bsgatlas/details.php?id=BSGatlas-transcript-2879","BSGatlas-transcript-2879")</f>
        <v>BSGatlas-transcript-2879</v>
      </c>
      <c r="B2880" s="1" t="s">
        <v>2688</v>
      </c>
      <c r="C2880" s="3">
        <v>2614496</v>
      </c>
      <c r="D2880" s="3">
        <v>2615826</v>
      </c>
      <c r="E2880" s="1" t="s">
        <v>13</v>
      </c>
      <c r="F2880" s="1">
        <v>0</v>
      </c>
      <c r="G2880" s="1" t="s">
        <v>4372</v>
      </c>
      <c r="H2880" s="1" t="s">
        <v>4372</v>
      </c>
      <c r="I2880" s="1" t="s">
        <v>4386</v>
      </c>
      <c r="J2880" s="1" t="s">
        <v>8653</v>
      </c>
      <c r="K2880" s="1" t="s">
        <v>8651</v>
      </c>
    </row>
    <row r="2881" spans="1:11" ht="21" x14ac:dyDescent="0.25">
      <c r="A2881" s="11" t="str">
        <f>HYPERLINK("https://rth.dk/resources/bsgatlas/details.php?id=BSGatlas-transcript-2880","BSGatlas-transcript-2880")</f>
        <v>BSGatlas-transcript-2880</v>
      </c>
      <c r="B2881" s="1" t="s">
        <v>8654</v>
      </c>
      <c r="C2881" s="3">
        <v>2615452</v>
      </c>
      <c r="D2881" s="3">
        <v>2616948</v>
      </c>
      <c r="E2881" s="1" t="s">
        <v>13</v>
      </c>
      <c r="F2881" s="1">
        <v>1</v>
      </c>
      <c r="G2881" s="1" t="s">
        <v>4372</v>
      </c>
      <c r="H2881" s="1" t="s">
        <v>4372</v>
      </c>
      <c r="I2881" s="1" t="s">
        <v>4373</v>
      </c>
      <c r="J2881" s="1" t="s">
        <v>318</v>
      </c>
      <c r="K2881" s="1" t="s">
        <v>318</v>
      </c>
    </row>
    <row r="2882" spans="1:11" ht="21" x14ac:dyDescent="0.25">
      <c r="A2882" s="11" t="str">
        <f>HYPERLINK("https://rth.dk/resources/bsgatlas/details.php?id=BSGatlas-transcript-2881","BSGatlas-transcript-2881")</f>
        <v>BSGatlas-transcript-2881</v>
      </c>
      <c r="B2882" s="1" t="s">
        <v>8655</v>
      </c>
      <c r="C2882" s="3">
        <v>2616959</v>
      </c>
      <c r="D2882" s="3">
        <v>2619832</v>
      </c>
      <c r="E2882" s="1" t="s">
        <v>13</v>
      </c>
      <c r="F2882" s="1">
        <v>2</v>
      </c>
      <c r="G2882" s="1">
        <v>54</v>
      </c>
      <c r="H2882" s="1">
        <v>47</v>
      </c>
      <c r="I2882" s="1" t="s">
        <v>4373</v>
      </c>
      <c r="J2882" s="1" t="s">
        <v>8656</v>
      </c>
      <c r="K2882" s="1" t="s">
        <v>8657</v>
      </c>
    </row>
    <row r="2883" spans="1:11" ht="21" x14ac:dyDescent="0.25">
      <c r="A2883" s="11" t="str">
        <f>HYPERLINK("https://rth.dk/resources/bsgatlas/details.php?id=BSGatlas-transcript-2882","BSGatlas-transcript-2882")</f>
        <v>BSGatlas-transcript-2882</v>
      </c>
      <c r="B2883" s="1" t="s">
        <v>8655</v>
      </c>
      <c r="C2883" s="3">
        <v>2617005</v>
      </c>
      <c r="D2883" s="3">
        <v>2619832</v>
      </c>
      <c r="E2883" s="1" t="s">
        <v>13</v>
      </c>
      <c r="F2883" s="1">
        <v>2</v>
      </c>
      <c r="G2883" s="1">
        <v>54</v>
      </c>
      <c r="H2883" s="1" t="s">
        <v>4372</v>
      </c>
      <c r="I2883" s="1" t="s">
        <v>4373</v>
      </c>
      <c r="J2883" s="1" t="s">
        <v>8656</v>
      </c>
      <c r="K2883" s="1" t="s">
        <v>8658</v>
      </c>
    </row>
    <row r="2884" spans="1:11" ht="21" x14ac:dyDescent="0.25">
      <c r="A2884" s="11" t="str">
        <f>HYPERLINK("https://rth.dk/resources/bsgatlas/details.php?id=BSGatlas-transcript-2883","BSGatlas-transcript-2883")</f>
        <v>BSGatlas-transcript-2883</v>
      </c>
      <c r="B2884" s="1" t="s">
        <v>8659</v>
      </c>
      <c r="C2884" s="3">
        <v>2619910</v>
      </c>
      <c r="D2884" s="3">
        <v>2620620</v>
      </c>
      <c r="E2884" s="1" t="s">
        <v>13</v>
      </c>
      <c r="F2884" s="1">
        <v>0</v>
      </c>
      <c r="G2884" s="1" t="s">
        <v>4372</v>
      </c>
      <c r="H2884" s="1" t="s">
        <v>4372</v>
      </c>
      <c r="I2884" s="1" t="s">
        <v>4386</v>
      </c>
      <c r="J2884" s="1" t="s">
        <v>8660</v>
      </c>
      <c r="K2884" s="1" t="s">
        <v>8661</v>
      </c>
    </row>
    <row r="2885" spans="1:11" ht="21" x14ac:dyDescent="0.25">
      <c r="A2885" s="11" t="str">
        <f>HYPERLINK("https://rth.dk/resources/bsgatlas/details.php?id=BSGatlas-transcript-2884","BSGatlas-transcript-2884")</f>
        <v>BSGatlas-transcript-2884</v>
      </c>
      <c r="B2885" s="1" t="s">
        <v>2695</v>
      </c>
      <c r="C2885" s="3">
        <v>2620099</v>
      </c>
      <c r="D2885" s="3">
        <v>2620620</v>
      </c>
      <c r="E2885" s="1" t="s">
        <v>13</v>
      </c>
      <c r="F2885" s="1">
        <v>0</v>
      </c>
      <c r="G2885" s="1" t="s">
        <v>4372</v>
      </c>
      <c r="H2885" s="1" t="s">
        <v>4372</v>
      </c>
      <c r="I2885" s="1" t="s">
        <v>4377</v>
      </c>
      <c r="J2885" s="1" t="s">
        <v>8660</v>
      </c>
      <c r="K2885" s="1" t="s">
        <v>8662</v>
      </c>
    </row>
    <row r="2886" spans="1:11" ht="21" x14ac:dyDescent="0.25">
      <c r="A2886" s="11" t="str">
        <f>HYPERLINK("https://rth.dk/resources/bsgatlas/details.php?id=BSGatlas-transcript-2885","BSGatlas-transcript-2885")</f>
        <v>BSGatlas-transcript-2885</v>
      </c>
      <c r="B2886" s="1" t="s">
        <v>2696</v>
      </c>
      <c r="C2886" s="3">
        <v>2620485</v>
      </c>
      <c r="D2886" s="3">
        <v>2621640</v>
      </c>
      <c r="E2886" s="1" t="s">
        <v>9</v>
      </c>
      <c r="F2886" s="1">
        <v>0</v>
      </c>
      <c r="G2886" s="1" t="s">
        <v>4372</v>
      </c>
      <c r="H2886" s="1" t="s">
        <v>4372</v>
      </c>
      <c r="I2886" s="1" t="s">
        <v>4397</v>
      </c>
      <c r="J2886" s="1" t="s">
        <v>8663</v>
      </c>
      <c r="K2886" s="1" t="s">
        <v>318</v>
      </c>
    </row>
    <row r="2887" spans="1:11" ht="21" x14ac:dyDescent="0.25">
      <c r="A2887" s="11" t="str">
        <f>HYPERLINK("https://rth.dk/resources/bsgatlas/details.php?id=BSGatlas-transcript-2886","BSGatlas-transcript-2886")</f>
        <v>BSGatlas-transcript-2886</v>
      </c>
      <c r="B2887" s="1" t="s">
        <v>2696</v>
      </c>
      <c r="C2887" s="3">
        <v>2620683</v>
      </c>
      <c r="D2887" s="3">
        <v>2621640</v>
      </c>
      <c r="E2887" s="1" t="s">
        <v>9</v>
      </c>
      <c r="F2887" s="1">
        <v>0</v>
      </c>
      <c r="G2887" s="1" t="s">
        <v>4372</v>
      </c>
      <c r="H2887" s="1" t="s">
        <v>4372</v>
      </c>
      <c r="I2887" s="1" t="s">
        <v>4397</v>
      </c>
      <c r="J2887" s="1" t="s">
        <v>8664</v>
      </c>
      <c r="K2887" s="1" t="s">
        <v>318</v>
      </c>
    </row>
    <row r="2888" spans="1:11" ht="21" x14ac:dyDescent="0.25">
      <c r="A2888" s="11" t="str">
        <f>HYPERLINK("https://rth.dk/resources/bsgatlas/details.php?id=BSGatlas-transcript-2887","BSGatlas-transcript-2887")</f>
        <v>BSGatlas-transcript-2887</v>
      </c>
      <c r="B2888" s="1" t="s">
        <v>8665</v>
      </c>
      <c r="C2888" s="3">
        <v>2621631</v>
      </c>
      <c r="D2888" s="3">
        <v>2628555</v>
      </c>
      <c r="E2888" s="1" t="s">
        <v>13</v>
      </c>
      <c r="F2888" s="1">
        <v>4</v>
      </c>
      <c r="G2888" s="1">
        <v>22</v>
      </c>
      <c r="H2888" s="1">
        <v>47</v>
      </c>
      <c r="I2888" s="1" t="s">
        <v>4377</v>
      </c>
      <c r="J2888" s="1" t="s">
        <v>8666</v>
      </c>
      <c r="K2888" s="1" t="s">
        <v>8667</v>
      </c>
    </row>
    <row r="2889" spans="1:11" ht="21" x14ac:dyDescent="0.25">
      <c r="A2889" s="11" t="str">
        <f>HYPERLINK("https://rth.dk/resources/bsgatlas/details.php?id=BSGatlas-transcript-2888","BSGatlas-transcript-2888")</f>
        <v>BSGatlas-transcript-2888</v>
      </c>
      <c r="B2889" s="1" t="s">
        <v>8668</v>
      </c>
      <c r="C2889" s="3">
        <v>2621631</v>
      </c>
      <c r="D2889" s="3">
        <v>2629682</v>
      </c>
      <c r="E2889" s="1" t="s">
        <v>13</v>
      </c>
      <c r="F2889" s="1">
        <v>5</v>
      </c>
      <c r="G2889" s="1">
        <v>46</v>
      </c>
      <c r="H2889" s="1">
        <v>47</v>
      </c>
      <c r="I2889" s="1" t="s">
        <v>4386</v>
      </c>
      <c r="J2889" s="1" t="s">
        <v>8669</v>
      </c>
      <c r="K2889" s="1" t="s">
        <v>8667</v>
      </c>
    </row>
    <row r="2890" spans="1:11" ht="21" x14ac:dyDescent="0.25">
      <c r="A2890" s="11" t="str">
        <f>HYPERLINK("https://rth.dk/resources/bsgatlas/details.php?id=BSGatlas-transcript-2889","BSGatlas-transcript-2889")</f>
        <v>BSGatlas-transcript-2889</v>
      </c>
      <c r="B2890" s="1" t="s">
        <v>8668</v>
      </c>
      <c r="C2890" s="3">
        <v>2621631</v>
      </c>
      <c r="D2890" s="3">
        <v>2629819</v>
      </c>
      <c r="E2890" s="1" t="s">
        <v>13</v>
      </c>
      <c r="F2890" s="1">
        <v>5</v>
      </c>
      <c r="G2890" s="1">
        <v>183</v>
      </c>
      <c r="H2890" s="1">
        <v>47</v>
      </c>
      <c r="I2890" s="1" t="s">
        <v>4386</v>
      </c>
      <c r="J2890" s="1" t="s">
        <v>8670</v>
      </c>
      <c r="K2890" s="1" t="s">
        <v>8667</v>
      </c>
    </row>
    <row r="2891" spans="1:11" ht="21" x14ac:dyDescent="0.25">
      <c r="A2891" s="11" t="str">
        <f>HYPERLINK("https://rth.dk/resources/bsgatlas/details.php?id=BSGatlas-transcript-2890","BSGatlas-transcript-2890")</f>
        <v>BSGatlas-transcript-2890</v>
      </c>
      <c r="B2891" s="1" t="s">
        <v>8671</v>
      </c>
      <c r="C2891" s="3">
        <v>2621631</v>
      </c>
      <c r="D2891" s="3">
        <v>2630857</v>
      </c>
      <c r="E2891" s="1" t="s">
        <v>13</v>
      </c>
      <c r="F2891" s="1">
        <v>6</v>
      </c>
      <c r="G2891" s="1" t="s">
        <v>4372</v>
      </c>
      <c r="H2891" s="1">
        <v>47</v>
      </c>
      <c r="I2891" s="1" t="s">
        <v>4377</v>
      </c>
      <c r="J2891" s="1" t="s">
        <v>8672</v>
      </c>
      <c r="K2891" s="1" t="s">
        <v>8667</v>
      </c>
    </row>
    <row r="2892" spans="1:11" ht="21" x14ac:dyDescent="0.25">
      <c r="A2892" s="11" t="str">
        <f>HYPERLINK("https://rth.dk/resources/bsgatlas/details.php?id=BSGatlas-transcript-2891","BSGatlas-transcript-2891")</f>
        <v>BSGatlas-transcript-2891</v>
      </c>
      <c r="B2892" s="1" t="s">
        <v>8673</v>
      </c>
      <c r="C2892" s="3">
        <v>2621631</v>
      </c>
      <c r="D2892" s="3">
        <v>2632785</v>
      </c>
      <c r="E2892" s="1" t="s">
        <v>13</v>
      </c>
      <c r="F2892" s="1">
        <v>7</v>
      </c>
      <c r="G2892" s="1">
        <v>38</v>
      </c>
      <c r="H2892" s="1">
        <v>47</v>
      </c>
      <c r="I2892" s="1" t="s">
        <v>4382</v>
      </c>
      <c r="J2892" s="1" t="s">
        <v>8674</v>
      </c>
      <c r="K2892" s="1" t="s">
        <v>8667</v>
      </c>
    </row>
    <row r="2893" spans="1:11" ht="21" x14ac:dyDescent="0.25">
      <c r="A2893" s="11" t="str">
        <f>HYPERLINK("https://rth.dk/resources/bsgatlas/details.php?id=BSGatlas-transcript-2892","BSGatlas-transcript-2892")</f>
        <v>BSGatlas-transcript-2892</v>
      </c>
      <c r="B2893" s="1" t="s">
        <v>2706</v>
      </c>
      <c r="C2893" s="3">
        <v>2625840</v>
      </c>
      <c r="D2893" s="3">
        <v>2626112</v>
      </c>
      <c r="E2893" s="1" t="s">
        <v>9</v>
      </c>
      <c r="F2893" s="1">
        <v>0</v>
      </c>
      <c r="G2893" s="1" t="s">
        <v>4372</v>
      </c>
      <c r="H2893" s="1" t="s">
        <v>4372</v>
      </c>
      <c r="I2893" s="1" t="s">
        <v>4547</v>
      </c>
      <c r="J2893" s="1" t="s">
        <v>8675</v>
      </c>
      <c r="K2893" s="1" t="s">
        <v>318</v>
      </c>
    </row>
    <row r="2894" spans="1:11" ht="21" x14ac:dyDescent="0.25">
      <c r="A2894" s="11" t="str">
        <f>HYPERLINK("https://rth.dk/resources/bsgatlas/details.php?id=BSGatlas-transcript-2893","BSGatlas-transcript-2893")</f>
        <v>BSGatlas-transcript-2893</v>
      </c>
      <c r="B2894" s="1" t="s">
        <v>8676</v>
      </c>
      <c r="C2894" s="3">
        <v>2625989</v>
      </c>
      <c r="D2894" s="3">
        <v>2628555</v>
      </c>
      <c r="E2894" s="1" t="s">
        <v>13</v>
      </c>
      <c r="F2894" s="1">
        <v>1</v>
      </c>
      <c r="G2894" s="1">
        <v>22</v>
      </c>
      <c r="H2894" s="1">
        <v>124</v>
      </c>
      <c r="I2894" s="1" t="s">
        <v>4377</v>
      </c>
      <c r="J2894" s="1" t="s">
        <v>8666</v>
      </c>
      <c r="K2894" s="1" t="s">
        <v>8677</v>
      </c>
    </row>
    <row r="2895" spans="1:11" ht="21" x14ac:dyDescent="0.25">
      <c r="A2895" s="11" t="str">
        <f>HYPERLINK("https://rth.dk/resources/bsgatlas/details.php?id=BSGatlas-transcript-2894","BSGatlas-transcript-2894")</f>
        <v>BSGatlas-transcript-2894</v>
      </c>
      <c r="B2895" s="1" t="s">
        <v>8678</v>
      </c>
      <c r="C2895" s="3">
        <v>2625989</v>
      </c>
      <c r="D2895" s="3">
        <v>2629682</v>
      </c>
      <c r="E2895" s="1" t="s">
        <v>13</v>
      </c>
      <c r="F2895" s="1">
        <v>2</v>
      </c>
      <c r="G2895" s="1">
        <v>46</v>
      </c>
      <c r="H2895" s="1">
        <v>124</v>
      </c>
      <c r="I2895" s="1" t="s">
        <v>4377</v>
      </c>
      <c r="J2895" s="1" t="s">
        <v>8669</v>
      </c>
      <c r="K2895" s="1" t="s">
        <v>8677</v>
      </c>
    </row>
    <row r="2896" spans="1:11" ht="21" x14ac:dyDescent="0.25">
      <c r="A2896" s="11" t="str">
        <f>HYPERLINK("https://rth.dk/resources/bsgatlas/details.php?id=BSGatlas-transcript-2895","BSGatlas-transcript-2895")</f>
        <v>BSGatlas-transcript-2895</v>
      </c>
      <c r="B2896" s="1" t="s">
        <v>8678</v>
      </c>
      <c r="C2896" s="3">
        <v>2625989</v>
      </c>
      <c r="D2896" s="3">
        <v>2629819</v>
      </c>
      <c r="E2896" s="1" t="s">
        <v>13</v>
      </c>
      <c r="F2896" s="1">
        <v>2</v>
      </c>
      <c r="G2896" s="1">
        <v>183</v>
      </c>
      <c r="H2896" s="1">
        <v>124</v>
      </c>
      <c r="I2896" s="1" t="s">
        <v>4377</v>
      </c>
      <c r="J2896" s="1" t="s">
        <v>8670</v>
      </c>
      <c r="K2896" s="1" t="s">
        <v>8677</v>
      </c>
    </row>
    <row r="2897" spans="1:11" ht="21" x14ac:dyDescent="0.25">
      <c r="A2897" s="11" t="str">
        <f>HYPERLINK("https://rth.dk/resources/bsgatlas/details.php?id=BSGatlas-transcript-2896","BSGatlas-transcript-2896")</f>
        <v>BSGatlas-transcript-2896</v>
      </c>
      <c r="B2897" s="1" t="s">
        <v>8679</v>
      </c>
      <c r="C2897" s="3">
        <v>2625989</v>
      </c>
      <c r="D2897" s="3">
        <v>2630857</v>
      </c>
      <c r="E2897" s="1" t="s">
        <v>13</v>
      </c>
      <c r="F2897" s="1">
        <v>3</v>
      </c>
      <c r="G2897" s="1" t="s">
        <v>4372</v>
      </c>
      <c r="H2897" s="1">
        <v>124</v>
      </c>
      <c r="I2897" s="1" t="s">
        <v>4377</v>
      </c>
      <c r="J2897" s="1" t="s">
        <v>8672</v>
      </c>
      <c r="K2897" s="1" t="s">
        <v>8677</v>
      </c>
    </row>
    <row r="2898" spans="1:11" ht="21" x14ac:dyDescent="0.25">
      <c r="A2898" s="11" t="str">
        <f>HYPERLINK("https://rth.dk/resources/bsgatlas/details.php?id=BSGatlas-transcript-2897","BSGatlas-transcript-2897")</f>
        <v>BSGatlas-transcript-2897</v>
      </c>
      <c r="B2898" s="1" t="s">
        <v>8680</v>
      </c>
      <c r="C2898" s="3">
        <v>2625989</v>
      </c>
      <c r="D2898" s="3">
        <v>2632785</v>
      </c>
      <c r="E2898" s="1" t="s">
        <v>13</v>
      </c>
      <c r="F2898" s="1">
        <v>4</v>
      </c>
      <c r="G2898" s="1">
        <v>38</v>
      </c>
      <c r="H2898" s="1">
        <v>124</v>
      </c>
      <c r="I2898" s="1" t="s">
        <v>4377</v>
      </c>
      <c r="J2898" s="1" t="s">
        <v>8674</v>
      </c>
      <c r="K2898" s="1" t="s">
        <v>8677</v>
      </c>
    </row>
    <row r="2899" spans="1:11" ht="21" x14ac:dyDescent="0.25">
      <c r="A2899" s="11" t="str">
        <f>HYPERLINK("https://rth.dk/resources/bsgatlas/details.php?id=BSGatlas-transcript-2898","BSGatlas-transcript-2898")</f>
        <v>BSGatlas-transcript-2898</v>
      </c>
      <c r="B2899" s="1" t="s">
        <v>8676</v>
      </c>
      <c r="C2899" s="3">
        <v>2626112</v>
      </c>
      <c r="D2899" s="3">
        <v>2628555</v>
      </c>
      <c r="E2899" s="1" t="s">
        <v>13</v>
      </c>
      <c r="F2899" s="1">
        <v>1</v>
      </c>
      <c r="G2899" s="1">
        <v>22</v>
      </c>
      <c r="H2899" s="1" t="s">
        <v>4372</v>
      </c>
      <c r="I2899" s="1" t="s">
        <v>4377</v>
      </c>
      <c r="J2899" s="1" t="s">
        <v>8666</v>
      </c>
      <c r="K2899" s="1" t="s">
        <v>8681</v>
      </c>
    </row>
    <row r="2900" spans="1:11" ht="21" x14ac:dyDescent="0.25">
      <c r="A2900" s="11" t="str">
        <f>HYPERLINK("https://rth.dk/resources/bsgatlas/details.php?id=BSGatlas-transcript-2899","BSGatlas-transcript-2899")</f>
        <v>BSGatlas-transcript-2899</v>
      </c>
      <c r="B2900" s="1" t="s">
        <v>8678</v>
      </c>
      <c r="C2900" s="3">
        <v>2626112</v>
      </c>
      <c r="D2900" s="3">
        <v>2629682</v>
      </c>
      <c r="E2900" s="1" t="s">
        <v>13</v>
      </c>
      <c r="F2900" s="1">
        <v>2</v>
      </c>
      <c r="G2900" s="1">
        <v>46</v>
      </c>
      <c r="H2900" s="1" t="s">
        <v>4372</v>
      </c>
      <c r="I2900" s="1" t="s">
        <v>4377</v>
      </c>
      <c r="J2900" s="1" t="s">
        <v>8669</v>
      </c>
      <c r="K2900" s="1" t="s">
        <v>8681</v>
      </c>
    </row>
    <row r="2901" spans="1:11" ht="21" x14ac:dyDescent="0.25">
      <c r="A2901" s="11" t="str">
        <f>HYPERLINK("https://rth.dk/resources/bsgatlas/details.php?id=BSGatlas-transcript-2900","BSGatlas-transcript-2900")</f>
        <v>BSGatlas-transcript-2900</v>
      </c>
      <c r="B2901" s="1" t="s">
        <v>8678</v>
      </c>
      <c r="C2901" s="3">
        <v>2626112</v>
      </c>
      <c r="D2901" s="3">
        <v>2629819</v>
      </c>
      <c r="E2901" s="1" t="s">
        <v>13</v>
      </c>
      <c r="F2901" s="1">
        <v>2</v>
      </c>
      <c r="G2901" s="1">
        <v>183</v>
      </c>
      <c r="H2901" s="1" t="s">
        <v>4372</v>
      </c>
      <c r="I2901" s="1" t="s">
        <v>4377</v>
      </c>
      <c r="J2901" s="1" t="s">
        <v>8670</v>
      </c>
      <c r="K2901" s="1" t="s">
        <v>8681</v>
      </c>
    </row>
    <row r="2902" spans="1:11" ht="21" x14ac:dyDescent="0.25">
      <c r="A2902" s="11" t="str">
        <f>HYPERLINK("https://rth.dk/resources/bsgatlas/details.php?id=BSGatlas-transcript-2901","BSGatlas-transcript-2901")</f>
        <v>BSGatlas-transcript-2901</v>
      </c>
      <c r="B2902" s="1" t="s">
        <v>8679</v>
      </c>
      <c r="C2902" s="3">
        <v>2626112</v>
      </c>
      <c r="D2902" s="3">
        <v>2630857</v>
      </c>
      <c r="E2902" s="1" t="s">
        <v>13</v>
      </c>
      <c r="F2902" s="1">
        <v>3</v>
      </c>
      <c r="G2902" s="1" t="s">
        <v>4372</v>
      </c>
      <c r="H2902" s="1" t="s">
        <v>4372</v>
      </c>
      <c r="I2902" s="1" t="s">
        <v>4377</v>
      </c>
      <c r="J2902" s="1" t="s">
        <v>8672</v>
      </c>
      <c r="K2902" s="1" t="s">
        <v>8681</v>
      </c>
    </row>
    <row r="2903" spans="1:11" ht="21" x14ac:dyDescent="0.25">
      <c r="A2903" s="11" t="str">
        <f>HYPERLINK("https://rth.dk/resources/bsgatlas/details.php?id=BSGatlas-transcript-2902","BSGatlas-transcript-2902")</f>
        <v>BSGatlas-transcript-2902</v>
      </c>
      <c r="B2903" s="1" t="s">
        <v>8680</v>
      </c>
      <c r="C2903" s="3">
        <v>2626112</v>
      </c>
      <c r="D2903" s="3">
        <v>2632785</v>
      </c>
      <c r="E2903" s="1" t="s">
        <v>13</v>
      </c>
      <c r="F2903" s="1">
        <v>4</v>
      </c>
      <c r="G2903" s="1">
        <v>38</v>
      </c>
      <c r="H2903" s="1" t="s">
        <v>4372</v>
      </c>
      <c r="I2903" s="1" t="s">
        <v>4377</v>
      </c>
      <c r="J2903" s="1" t="s">
        <v>8674</v>
      </c>
      <c r="K2903" s="1" t="s">
        <v>8681</v>
      </c>
    </row>
    <row r="2904" spans="1:11" ht="21" x14ac:dyDescent="0.25">
      <c r="A2904" s="11" t="str">
        <f>HYPERLINK("https://rth.dk/resources/bsgatlas/details.php?id=BSGatlas-transcript-2903","BSGatlas-transcript-2903")</f>
        <v>BSGatlas-transcript-2903</v>
      </c>
      <c r="B2904" s="1" t="s">
        <v>8682</v>
      </c>
      <c r="C2904" s="3">
        <v>2629718</v>
      </c>
      <c r="D2904" s="3">
        <v>2632785</v>
      </c>
      <c r="E2904" s="1" t="s">
        <v>13</v>
      </c>
      <c r="F2904" s="1">
        <v>1</v>
      </c>
      <c r="G2904" s="1">
        <v>38</v>
      </c>
      <c r="H2904" s="1" t="s">
        <v>4372</v>
      </c>
      <c r="I2904" s="1" t="s">
        <v>4386</v>
      </c>
      <c r="J2904" s="1" t="s">
        <v>8674</v>
      </c>
      <c r="K2904" s="1" t="s">
        <v>318</v>
      </c>
    </row>
    <row r="2905" spans="1:11" ht="21" x14ac:dyDescent="0.25">
      <c r="A2905" s="11" t="str">
        <f>HYPERLINK("https://rth.dk/resources/bsgatlas/details.php?id=BSGatlas-transcript-2904","BSGatlas-transcript-2904")</f>
        <v>BSGatlas-transcript-2904</v>
      </c>
      <c r="B2905" s="1" t="s">
        <v>2705</v>
      </c>
      <c r="C2905" s="3">
        <v>2630869</v>
      </c>
      <c r="D2905" s="3">
        <v>2632785</v>
      </c>
      <c r="E2905" s="1" t="s">
        <v>13</v>
      </c>
      <c r="F2905" s="1">
        <v>0</v>
      </c>
      <c r="G2905" s="1" t="s">
        <v>4372</v>
      </c>
      <c r="H2905" s="1" t="s">
        <v>4372</v>
      </c>
      <c r="I2905" s="1" t="s">
        <v>4377</v>
      </c>
      <c r="J2905" s="1" t="s">
        <v>8674</v>
      </c>
      <c r="K2905" s="1" t="s">
        <v>8683</v>
      </c>
    </row>
    <row r="2906" spans="1:11" ht="21" x14ac:dyDescent="0.25">
      <c r="A2906" s="11" t="str">
        <f>HYPERLINK("https://rth.dk/resources/bsgatlas/details.php?id=BSGatlas-transcript-2905","BSGatlas-transcript-2905")</f>
        <v>BSGatlas-transcript-2905</v>
      </c>
      <c r="B2906" s="1" t="s">
        <v>8684</v>
      </c>
      <c r="C2906" s="3">
        <v>2632820</v>
      </c>
      <c r="D2906" s="3">
        <v>2634464</v>
      </c>
      <c r="E2906" s="1" t="s">
        <v>13</v>
      </c>
      <c r="F2906" s="1">
        <v>1</v>
      </c>
      <c r="G2906" s="1">
        <v>23</v>
      </c>
      <c r="H2906" s="1">
        <v>63</v>
      </c>
      <c r="I2906" s="1" t="s">
        <v>4373</v>
      </c>
      <c r="J2906" s="1" t="s">
        <v>8685</v>
      </c>
      <c r="K2906" s="1" t="s">
        <v>8686</v>
      </c>
    </row>
    <row r="2907" spans="1:11" ht="21" x14ac:dyDescent="0.25">
      <c r="A2907" s="11" t="str">
        <f>HYPERLINK("https://rth.dk/resources/bsgatlas/details.php?id=BSGatlas-transcript-2906","BSGatlas-transcript-2906")</f>
        <v>BSGatlas-transcript-2906</v>
      </c>
      <c r="B2907" s="1" t="s">
        <v>8687</v>
      </c>
      <c r="C2907" s="3">
        <v>2632820</v>
      </c>
      <c r="D2907" s="3">
        <v>2635635</v>
      </c>
      <c r="E2907" s="1" t="s">
        <v>13</v>
      </c>
      <c r="F2907" s="1">
        <v>2</v>
      </c>
      <c r="G2907" s="1">
        <v>25</v>
      </c>
      <c r="H2907" s="1">
        <v>63</v>
      </c>
      <c r="I2907" s="1" t="s">
        <v>4377</v>
      </c>
      <c r="J2907" s="1" t="s">
        <v>8688</v>
      </c>
      <c r="K2907" s="1" t="s">
        <v>8686</v>
      </c>
    </row>
    <row r="2908" spans="1:11" ht="21" x14ac:dyDescent="0.25">
      <c r="A2908" s="11" t="str">
        <f>HYPERLINK("https://rth.dk/resources/bsgatlas/details.php?id=BSGatlas-transcript-2907","BSGatlas-transcript-2907")</f>
        <v>BSGatlas-transcript-2907</v>
      </c>
      <c r="B2908" s="1" t="s">
        <v>8684</v>
      </c>
      <c r="C2908" s="3">
        <v>2632866</v>
      </c>
      <c r="D2908" s="3">
        <v>2634464</v>
      </c>
      <c r="E2908" s="1" t="s">
        <v>13</v>
      </c>
      <c r="F2908" s="1">
        <v>1</v>
      </c>
      <c r="G2908" s="1">
        <v>23</v>
      </c>
      <c r="H2908" s="1">
        <v>17</v>
      </c>
      <c r="I2908" s="1" t="s">
        <v>4373</v>
      </c>
      <c r="J2908" s="1" t="s">
        <v>8685</v>
      </c>
      <c r="K2908" s="1" t="s">
        <v>8689</v>
      </c>
    </row>
    <row r="2909" spans="1:11" ht="21" x14ac:dyDescent="0.25">
      <c r="A2909" s="11" t="str">
        <f>HYPERLINK("https://rth.dk/resources/bsgatlas/details.php?id=BSGatlas-transcript-2908","BSGatlas-transcript-2908")</f>
        <v>BSGatlas-transcript-2908</v>
      </c>
      <c r="B2909" s="1" t="s">
        <v>8687</v>
      </c>
      <c r="C2909" s="3">
        <v>2632866</v>
      </c>
      <c r="D2909" s="3">
        <v>2635635</v>
      </c>
      <c r="E2909" s="1" t="s">
        <v>13</v>
      </c>
      <c r="F2909" s="1">
        <v>2</v>
      </c>
      <c r="G2909" s="1">
        <v>25</v>
      </c>
      <c r="H2909" s="1">
        <v>17</v>
      </c>
      <c r="I2909" s="1" t="s">
        <v>4377</v>
      </c>
      <c r="J2909" s="1" t="s">
        <v>8688</v>
      </c>
      <c r="K2909" s="1" t="s">
        <v>8689</v>
      </c>
    </row>
    <row r="2910" spans="1:11" ht="21" x14ac:dyDescent="0.25">
      <c r="A2910" s="11" t="str">
        <f>HYPERLINK("https://rth.dk/resources/bsgatlas/details.php?id=BSGatlas-transcript-2909","BSGatlas-transcript-2909")</f>
        <v>BSGatlas-transcript-2909</v>
      </c>
      <c r="B2910" s="1" t="s">
        <v>8690</v>
      </c>
      <c r="C2910" s="3">
        <v>2633237</v>
      </c>
      <c r="D2910" s="3">
        <v>2635635</v>
      </c>
      <c r="E2910" s="1" t="s">
        <v>13</v>
      </c>
      <c r="F2910" s="1">
        <v>1</v>
      </c>
      <c r="G2910" s="1">
        <v>25</v>
      </c>
      <c r="H2910" s="1" t="s">
        <v>4372</v>
      </c>
      <c r="I2910" s="1" t="s">
        <v>4386</v>
      </c>
      <c r="J2910" s="1" t="s">
        <v>8688</v>
      </c>
      <c r="K2910" s="1" t="s">
        <v>318</v>
      </c>
    </row>
    <row r="2911" spans="1:11" ht="21" x14ac:dyDescent="0.25">
      <c r="A2911" s="11" t="str">
        <f>HYPERLINK("https://rth.dk/resources/bsgatlas/details.php?id=BSGatlas-transcript-2910","BSGatlas-transcript-2910")</f>
        <v>BSGatlas-transcript-2910</v>
      </c>
      <c r="B2911" s="1" t="s">
        <v>2709</v>
      </c>
      <c r="C2911" s="3">
        <v>2634505</v>
      </c>
      <c r="D2911" s="3">
        <v>2635635</v>
      </c>
      <c r="E2911" s="1" t="s">
        <v>13</v>
      </c>
      <c r="F2911" s="1">
        <v>0</v>
      </c>
      <c r="G2911" s="1" t="s">
        <v>4372</v>
      </c>
      <c r="H2911" s="1" t="s">
        <v>4372</v>
      </c>
      <c r="I2911" s="1" t="s">
        <v>4382</v>
      </c>
      <c r="J2911" s="1" t="s">
        <v>8688</v>
      </c>
      <c r="K2911" s="1" t="s">
        <v>318</v>
      </c>
    </row>
    <row r="2912" spans="1:11" ht="21" x14ac:dyDescent="0.25">
      <c r="A2912" s="11" t="str">
        <f>HYPERLINK("https://rth.dk/resources/bsgatlas/details.php?id=BSGatlas-transcript-2911","BSGatlas-transcript-2911")</f>
        <v>BSGatlas-transcript-2911</v>
      </c>
      <c r="B2912" s="1" t="s">
        <v>2710</v>
      </c>
      <c r="C2912" s="3">
        <v>2635726</v>
      </c>
      <c r="D2912" s="3">
        <v>2636081</v>
      </c>
      <c r="E2912" s="1" t="s">
        <v>9</v>
      </c>
      <c r="F2912" s="1">
        <v>0</v>
      </c>
      <c r="G2912" s="1" t="s">
        <v>4372</v>
      </c>
      <c r="H2912" s="1" t="s">
        <v>4372</v>
      </c>
      <c r="I2912" s="1" t="s">
        <v>4397</v>
      </c>
      <c r="J2912" s="1" t="s">
        <v>8691</v>
      </c>
      <c r="K2912" s="1" t="s">
        <v>8692</v>
      </c>
    </row>
    <row r="2913" spans="1:11" ht="21" x14ac:dyDescent="0.25">
      <c r="A2913" s="11" t="str">
        <f>HYPERLINK("https://rth.dk/resources/bsgatlas/details.php?id=BSGatlas-transcript-2912","BSGatlas-transcript-2912")</f>
        <v>BSGatlas-transcript-2912</v>
      </c>
      <c r="B2913" s="1" t="s">
        <v>2711</v>
      </c>
      <c r="C2913" s="3">
        <v>2636096</v>
      </c>
      <c r="D2913" s="3">
        <v>2637180</v>
      </c>
      <c r="E2913" s="1" t="s">
        <v>13</v>
      </c>
      <c r="F2913" s="1">
        <v>0</v>
      </c>
      <c r="G2913" s="1" t="s">
        <v>4372</v>
      </c>
      <c r="H2913" s="1" t="s">
        <v>4372</v>
      </c>
      <c r="I2913" s="1" t="s">
        <v>4397</v>
      </c>
      <c r="J2913" s="1" t="s">
        <v>8693</v>
      </c>
      <c r="K2913" s="1" t="s">
        <v>8694</v>
      </c>
    </row>
    <row r="2914" spans="1:11" ht="21" x14ac:dyDescent="0.25">
      <c r="A2914" s="11" t="str">
        <f>HYPERLINK("https://rth.dk/resources/bsgatlas/details.php?id=BSGatlas-transcript-2913","BSGatlas-transcript-2913")</f>
        <v>BSGatlas-transcript-2913</v>
      </c>
      <c r="B2914" s="1" t="s">
        <v>2712</v>
      </c>
      <c r="C2914" s="3">
        <v>2637203</v>
      </c>
      <c r="D2914" s="3">
        <v>2637576</v>
      </c>
      <c r="E2914" s="1" t="s">
        <v>13</v>
      </c>
      <c r="F2914" s="1">
        <v>0</v>
      </c>
      <c r="G2914" s="1" t="s">
        <v>4372</v>
      </c>
      <c r="H2914" s="1" t="s">
        <v>4372</v>
      </c>
      <c r="I2914" s="1" t="s">
        <v>4377</v>
      </c>
      <c r="J2914" s="1" t="s">
        <v>8695</v>
      </c>
      <c r="K2914" s="1" t="s">
        <v>8696</v>
      </c>
    </row>
    <row r="2915" spans="1:11" ht="21" x14ac:dyDescent="0.25">
      <c r="A2915" s="11" t="str">
        <f>HYPERLINK("https://rth.dk/resources/bsgatlas/details.php?id=BSGatlas-transcript-2914","BSGatlas-transcript-2914")</f>
        <v>BSGatlas-transcript-2914</v>
      </c>
      <c r="B2915" s="1" t="s">
        <v>2713</v>
      </c>
      <c r="C2915" s="3">
        <v>2637336</v>
      </c>
      <c r="D2915" s="3">
        <v>2637519</v>
      </c>
      <c r="E2915" s="1" t="s">
        <v>9</v>
      </c>
      <c r="F2915" s="1">
        <v>0</v>
      </c>
      <c r="G2915" s="1" t="s">
        <v>4372</v>
      </c>
      <c r="H2915" s="1" t="s">
        <v>4372</v>
      </c>
      <c r="I2915" s="1" t="s">
        <v>4547</v>
      </c>
      <c r="J2915" s="1" t="s">
        <v>8697</v>
      </c>
      <c r="K2915" s="1" t="s">
        <v>8698</v>
      </c>
    </row>
    <row r="2916" spans="1:11" ht="21" x14ac:dyDescent="0.25">
      <c r="A2916" s="11" t="str">
        <f>HYPERLINK("https://rth.dk/resources/bsgatlas/details.php?id=BSGatlas-transcript-2915","BSGatlas-transcript-2915")</f>
        <v>BSGatlas-transcript-2915</v>
      </c>
      <c r="B2916" s="1" t="s">
        <v>8699</v>
      </c>
      <c r="C2916" s="3">
        <v>2637543</v>
      </c>
      <c r="D2916" s="3">
        <v>2641193</v>
      </c>
      <c r="E2916" s="1" t="s">
        <v>13</v>
      </c>
      <c r="F2916" s="1">
        <v>1</v>
      </c>
      <c r="G2916" s="1">
        <v>64</v>
      </c>
      <c r="H2916" s="1" t="s">
        <v>4372</v>
      </c>
      <c r="I2916" s="1" t="s">
        <v>4373</v>
      </c>
      <c r="J2916" s="1" t="s">
        <v>8700</v>
      </c>
      <c r="K2916" s="1" t="s">
        <v>318</v>
      </c>
    </row>
    <row r="2917" spans="1:11" ht="21" x14ac:dyDescent="0.25">
      <c r="A2917" s="11" t="str">
        <f>HYPERLINK("https://rth.dk/resources/bsgatlas/details.php?id=BSGatlas-transcript-2916","BSGatlas-transcript-2916")</f>
        <v>BSGatlas-transcript-2916</v>
      </c>
      <c r="B2917" s="1" t="s">
        <v>8699</v>
      </c>
      <c r="C2917" s="3">
        <v>2637543</v>
      </c>
      <c r="D2917" s="3">
        <v>2642033</v>
      </c>
      <c r="E2917" s="1" t="s">
        <v>13</v>
      </c>
      <c r="F2917" s="1">
        <v>1</v>
      </c>
      <c r="G2917" s="1">
        <v>904</v>
      </c>
      <c r="H2917" s="1" t="s">
        <v>4372</v>
      </c>
      <c r="I2917" s="1" t="s">
        <v>4373</v>
      </c>
      <c r="J2917" s="1" t="s">
        <v>8701</v>
      </c>
      <c r="K2917" s="1" t="s">
        <v>318</v>
      </c>
    </row>
    <row r="2918" spans="1:11" ht="21" x14ac:dyDescent="0.25">
      <c r="A2918" s="11" t="str">
        <f>HYPERLINK("https://rth.dk/resources/bsgatlas/details.php?id=BSGatlas-transcript-2917","BSGatlas-transcript-2917")</f>
        <v>BSGatlas-transcript-2917</v>
      </c>
      <c r="B2918" s="1" t="s">
        <v>2717</v>
      </c>
      <c r="C2918" s="3">
        <v>2641168</v>
      </c>
      <c r="D2918" s="3">
        <v>2642129</v>
      </c>
      <c r="E2918" s="1" t="s">
        <v>9</v>
      </c>
      <c r="F2918" s="1">
        <v>0</v>
      </c>
      <c r="G2918" s="1" t="s">
        <v>4372</v>
      </c>
      <c r="H2918" s="1" t="s">
        <v>4372</v>
      </c>
      <c r="I2918" s="1" t="s">
        <v>4373</v>
      </c>
      <c r="J2918" s="1" t="s">
        <v>8702</v>
      </c>
      <c r="K2918" s="1" t="s">
        <v>8703</v>
      </c>
    </row>
    <row r="2919" spans="1:11" ht="21" x14ac:dyDescent="0.25">
      <c r="A2919" s="11" t="str">
        <f>HYPERLINK("https://rth.dk/resources/bsgatlas/details.php?id=BSGatlas-transcript-2918","BSGatlas-transcript-2918")</f>
        <v>BSGatlas-transcript-2918</v>
      </c>
      <c r="B2919" s="1" t="s">
        <v>8704</v>
      </c>
      <c r="C2919" s="3">
        <v>2642101</v>
      </c>
      <c r="D2919" s="3">
        <v>2647112</v>
      </c>
      <c r="E2919" s="1" t="s">
        <v>13</v>
      </c>
      <c r="F2919" s="1">
        <v>2</v>
      </c>
      <c r="G2919" s="1" t="s">
        <v>4372</v>
      </c>
      <c r="H2919" s="1" t="s">
        <v>4372</v>
      </c>
      <c r="I2919" s="1" t="s">
        <v>4386</v>
      </c>
      <c r="J2919" s="1" t="s">
        <v>8705</v>
      </c>
      <c r="K2919" s="1" t="s">
        <v>8706</v>
      </c>
    </row>
    <row r="2920" spans="1:11" ht="21" x14ac:dyDescent="0.25">
      <c r="A2920" s="11" t="str">
        <f>HYPERLINK("https://rth.dk/resources/bsgatlas/details.php?id=BSGatlas-transcript-2919","BSGatlas-transcript-2919")</f>
        <v>BSGatlas-transcript-2919</v>
      </c>
      <c r="B2920" s="1" t="s">
        <v>2726</v>
      </c>
      <c r="C2920" s="3">
        <v>2647051</v>
      </c>
      <c r="D2920" s="3">
        <v>2647663</v>
      </c>
      <c r="E2920" s="1" t="s">
        <v>13</v>
      </c>
      <c r="F2920" s="1">
        <v>0</v>
      </c>
      <c r="G2920" s="1" t="s">
        <v>4372</v>
      </c>
      <c r="H2920" s="1" t="s">
        <v>4372</v>
      </c>
      <c r="I2920" s="1" t="s">
        <v>4377</v>
      </c>
      <c r="J2920" s="1" t="s">
        <v>8707</v>
      </c>
      <c r="K2920" s="1" t="s">
        <v>8708</v>
      </c>
    </row>
    <row r="2921" spans="1:11" ht="21" x14ac:dyDescent="0.25">
      <c r="A2921" s="11" t="str">
        <f>HYPERLINK("https://rth.dk/resources/bsgatlas/details.php?id=BSGatlas-transcript-2920","BSGatlas-transcript-2920")</f>
        <v>BSGatlas-transcript-2920</v>
      </c>
      <c r="B2921" s="1" t="s">
        <v>2727</v>
      </c>
      <c r="C2921" s="3">
        <v>2647372</v>
      </c>
      <c r="D2921" s="3">
        <v>2647635</v>
      </c>
      <c r="E2921" s="1" t="s">
        <v>9</v>
      </c>
      <c r="F2921" s="1">
        <v>0</v>
      </c>
      <c r="G2921" s="1" t="s">
        <v>4372</v>
      </c>
      <c r="H2921" s="1" t="s">
        <v>4372</v>
      </c>
      <c r="I2921" s="1" t="s">
        <v>4373</v>
      </c>
      <c r="J2921" s="1" t="s">
        <v>8709</v>
      </c>
      <c r="K2921" s="1" t="s">
        <v>8710</v>
      </c>
    </row>
    <row r="2922" spans="1:11" ht="21" x14ac:dyDescent="0.25">
      <c r="A2922" s="11" t="str">
        <f>HYPERLINK("https://rth.dk/resources/bsgatlas/details.php?id=BSGatlas-transcript-2921","BSGatlas-transcript-2921")</f>
        <v>BSGatlas-transcript-2921</v>
      </c>
      <c r="B2922" s="1" t="s">
        <v>2728</v>
      </c>
      <c r="C2922" s="3">
        <v>2647695</v>
      </c>
      <c r="D2922" s="3">
        <v>2647869</v>
      </c>
      <c r="E2922" s="1" t="s">
        <v>9</v>
      </c>
      <c r="F2922" s="1">
        <v>0</v>
      </c>
      <c r="G2922" s="1" t="s">
        <v>4372</v>
      </c>
      <c r="H2922" s="1" t="s">
        <v>4372</v>
      </c>
      <c r="I2922" s="1" t="s">
        <v>4377</v>
      </c>
      <c r="J2922" s="1" t="s">
        <v>318</v>
      </c>
      <c r="K2922" s="1" t="s">
        <v>8711</v>
      </c>
    </row>
    <row r="2923" spans="1:11" ht="21" x14ac:dyDescent="0.25">
      <c r="A2923" s="11" t="str">
        <f>HYPERLINK("https://rth.dk/resources/bsgatlas/details.php?id=BSGatlas-transcript-2922","BSGatlas-transcript-2922")</f>
        <v>BSGatlas-transcript-2922</v>
      </c>
      <c r="B2923" s="1" t="s">
        <v>2728</v>
      </c>
      <c r="C2923" s="3">
        <v>2647695</v>
      </c>
      <c r="D2923" s="3">
        <v>2648949</v>
      </c>
      <c r="E2923" s="1" t="s">
        <v>9</v>
      </c>
      <c r="F2923" s="1">
        <v>0</v>
      </c>
      <c r="G2923" s="1" t="s">
        <v>4372</v>
      </c>
      <c r="H2923" s="1" t="s">
        <v>4372</v>
      </c>
      <c r="I2923" s="1" t="s">
        <v>4377</v>
      </c>
      <c r="J2923" s="1" t="s">
        <v>318</v>
      </c>
      <c r="K2923" s="1" t="s">
        <v>8712</v>
      </c>
    </row>
    <row r="2924" spans="1:11" ht="21" x14ac:dyDescent="0.25">
      <c r="A2924" s="11" t="str">
        <f>HYPERLINK("https://rth.dk/resources/bsgatlas/details.php?id=BSGatlas-transcript-2923","BSGatlas-transcript-2923")</f>
        <v>BSGatlas-transcript-2923</v>
      </c>
      <c r="B2924" s="1" t="s">
        <v>2729</v>
      </c>
      <c r="C2924" s="3">
        <v>2647725</v>
      </c>
      <c r="D2924" s="3">
        <v>2647872</v>
      </c>
      <c r="E2924" s="1" t="s">
        <v>13</v>
      </c>
      <c r="F2924" s="1">
        <v>0</v>
      </c>
      <c r="G2924" s="1" t="s">
        <v>4372</v>
      </c>
      <c r="H2924" s="1" t="s">
        <v>4372</v>
      </c>
      <c r="I2924" s="1" t="s">
        <v>4377</v>
      </c>
      <c r="J2924" s="1" t="s">
        <v>8713</v>
      </c>
      <c r="K2924" s="1" t="s">
        <v>8714</v>
      </c>
    </row>
    <row r="2925" spans="1:11" ht="21" x14ac:dyDescent="0.25">
      <c r="A2925" s="11" t="str">
        <f>HYPERLINK("https://rth.dk/resources/bsgatlas/details.php?id=BSGatlas-transcript-2924","BSGatlas-transcript-2924")</f>
        <v>BSGatlas-transcript-2924</v>
      </c>
      <c r="B2925" s="1" t="s">
        <v>2730</v>
      </c>
      <c r="C2925" s="3">
        <v>2647920</v>
      </c>
      <c r="D2925" s="3">
        <v>2648686</v>
      </c>
      <c r="E2925" s="1" t="s">
        <v>13</v>
      </c>
      <c r="F2925" s="1">
        <v>0</v>
      </c>
      <c r="G2925" s="1" t="s">
        <v>4372</v>
      </c>
      <c r="H2925" s="1" t="s">
        <v>4372</v>
      </c>
      <c r="I2925" s="1" t="s">
        <v>4386</v>
      </c>
      <c r="J2925" s="1" t="s">
        <v>8715</v>
      </c>
      <c r="K2925" s="1" t="s">
        <v>318</v>
      </c>
    </row>
    <row r="2926" spans="1:11" ht="21" x14ac:dyDescent="0.25">
      <c r="A2926" s="11" t="str">
        <f>HYPERLINK("https://rth.dk/resources/bsgatlas/details.php?id=BSGatlas-transcript-2925","BSGatlas-transcript-2925")</f>
        <v>BSGatlas-transcript-2925</v>
      </c>
      <c r="B2926" s="1" t="s">
        <v>2730</v>
      </c>
      <c r="C2926" s="3">
        <v>2647920</v>
      </c>
      <c r="D2926" s="3">
        <v>2648818</v>
      </c>
      <c r="E2926" s="1" t="s">
        <v>13</v>
      </c>
      <c r="F2926" s="1">
        <v>0</v>
      </c>
      <c r="G2926" s="1" t="s">
        <v>4372</v>
      </c>
      <c r="H2926" s="1" t="s">
        <v>4372</v>
      </c>
      <c r="I2926" s="1" t="s">
        <v>4386</v>
      </c>
      <c r="J2926" s="1" t="s">
        <v>8716</v>
      </c>
      <c r="K2926" s="1" t="s">
        <v>318</v>
      </c>
    </row>
    <row r="2927" spans="1:11" ht="21" x14ac:dyDescent="0.25">
      <c r="A2927" s="11" t="str">
        <f>HYPERLINK("https://rth.dk/resources/bsgatlas/details.php?id=BSGatlas-transcript-2926","BSGatlas-transcript-2926")</f>
        <v>BSGatlas-transcript-2926</v>
      </c>
      <c r="B2927" s="1" t="s">
        <v>2731</v>
      </c>
      <c r="C2927" s="3">
        <v>2648842</v>
      </c>
      <c r="D2927" s="3">
        <v>2649655</v>
      </c>
      <c r="E2927" s="1" t="s">
        <v>13</v>
      </c>
      <c r="F2927" s="1">
        <v>0</v>
      </c>
      <c r="G2927" s="1" t="s">
        <v>4372</v>
      </c>
      <c r="H2927" s="1" t="s">
        <v>4372</v>
      </c>
      <c r="I2927" s="1" t="s">
        <v>4373</v>
      </c>
      <c r="J2927" s="1" t="s">
        <v>8717</v>
      </c>
      <c r="K2927" s="1" t="s">
        <v>8718</v>
      </c>
    </row>
    <row r="2928" spans="1:11" ht="21" x14ac:dyDescent="0.25">
      <c r="A2928" s="11" t="str">
        <f>HYPERLINK("https://rth.dk/resources/bsgatlas/details.php?id=BSGatlas-transcript-2927","BSGatlas-transcript-2927")</f>
        <v>BSGatlas-transcript-2927</v>
      </c>
      <c r="B2928" s="1" t="s">
        <v>2732</v>
      </c>
      <c r="C2928" s="3">
        <v>2649061</v>
      </c>
      <c r="D2928" s="3">
        <v>2650468</v>
      </c>
      <c r="E2928" s="1" t="s">
        <v>9</v>
      </c>
      <c r="F2928" s="1">
        <v>0</v>
      </c>
      <c r="G2928" s="1" t="s">
        <v>4372</v>
      </c>
      <c r="H2928" s="1" t="s">
        <v>4372</v>
      </c>
      <c r="I2928" s="1" t="s">
        <v>4397</v>
      </c>
      <c r="J2928" s="1" t="s">
        <v>8719</v>
      </c>
      <c r="K2928" s="1" t="s">
        <v>8720</v>
      </c>
    </row>
    <row r="2929" spans="1:11" ht="21" x14ac:dyDescent="0.25">
      <c r="A2929" s="11" t="str">
        <f>HYPERLINK("https://rth.dk/resources/bsgatlas/details.php?id=BSGatlas-transcript-2928","BSGatlas-transcript-2928")</f>
        <v>BSGatlas-transcript-2928</v>
      </c>
      <c r="B2929" s="1" t="s">
        <v>2732</v>
      </c>
      <c r="C2929" s="3">
        <v>2649776</v>
      </c>
      <c r="D2929" s="3">
        <v>2650468</v>
      </c>
      <c r="E2929" s="1" t="s">
        <v>9</v>
      </c>
      <c r="F2929" s="1">
        <v>0</v>
      </c>
      <c r="G2929" s="1" t="s">
        <v>4372</v>
      </c>
      <c r="H2929" s="1" t="s">
        <v>4372</v>
      </c>
      <c r="I2929" s="1" t="s">
        <v>4397</v>
      </c>
      <c r="J2929" s="1" t="s">
        <v>8721</v>
      </c>
      <c r="K2929" s="1" t="s">
        <v>8720</v>
      </c>
    </row>
    <row r="2930" spans="1:11" ht="21" x14ac:dyDescent="0.25">
      <c r="A2930" s="11" t="str">
        <f>HYPERLINK("https://rth.dk/resources/bsgatlas/details.php?id=BSGatlas-transcript-2929","BSGatlas-transcript-2929")</f>
        <v>BSGatlas-transcript-2929</v>
      </c>
      <c r="B2930" s="1" t="s">
        <v>2733</v>
      </c>
      <c r="C2930" s="3">
        <v>2650487</v>
      </c>
      <c r="D2930" s="3">
        <v>2651380</v>
      </c>
      <c r="E2930" s="1" t="s">
        <v>13</v>
      </c>
      <c r="F2930" s="1">
        <v>0</v>
      </c>
      <c r="G2930" s="1" t="s">
        <v>4372</v>
      </c>
      <c r="H2930" s="1" t="s">
        <v>4372</v>
      </c>
      <c r="I2930" s="1" t="s">
        <v>4397</v>
      </c>
      <c r="J2930" s="1" t="s">
        <v>318</v>
      </c>
      <c r="K2930" s="1" t="s">
        <v>8722</v>
      </c>
    </row>
    <row r="2931" spans="1:11" ht="21" x14ac:dyDescent="0.25">
      <c r="A2931" s="11" t="str">
        <f>HYPERLINK("https://rth.dk/resources/bsgatlas/details.php?id=BSGatlas-transcript-2930","BSGatlas-transcript-2930")</f>
        <v>BSGatlas-transcript-2930</v>
      </c>
      <c r="B2931" s="1" t="s">
        <v>2734</v>
      </c>
      <c r="C2931" s="3">
        <v>2651581</v>
      </c>
      <c r="D2931" s="3">
        <v>2652354</v>
      </c>
      <c r="E2931" s="1" t="s">
        <v>9</v>
      </c>
      <c r="F2931" s="1">
        <v>0</v>
      </c>
      <c r="G2931" s="1" t="s">
        <v>4372</v>
      </c>
      <c r="H2931" s="1" t="s">
        <v>4372</v>
      </c>
      <c r="I2931" s="1" t="s">
        <v>4397</v>
      </c>
      <c r="J2931" s="1" t="s">
        <v>8723</v>
      </c>
      <c r="K2931" s="1" t="s">
        <v>318</v>
      </c>
    </row>
    <row r="2932" spans="1:11" ht="21" x14ac:dyDescent="0.25">
      <c r="A2932" s="11" t="str">
        <f>HYPERLINK("https://rth.dk/resources/bsgatlas/details.php?id=BSGatlas-transcript-2931","BSGatlas-transcript-2931")</f>
        <v>BSGatlas-transcript-2931</v>
      </c>
      <c r="B2932" s="1" t="s">
        <v>2735</v>
      </c>
      <c r="C2932" s="3">
        <v>2652343</v>
      </c>
      <c r="D2932" s="3">
        <v>2652819</v>
      </c>
      <c r="E2932" s="1" t="s">
        <v>13</v>
      </c>
      <c r="F2932" s="1">
        <v>0</v>
      </c>
      <c r="G2932" s="1" t="s">
        <v>4372</v>
      </c>
      <c r="H2932" s="1" t="s">
        <v>4372</v>
      </c>
      <c r="I2932" s="1" t="s">
        <v>4373</v>
      </c>
      <c r="J2932" s="1" t="s">
        <v>8724</v>
      </c>
      <c r="K2932" s="1" t="s">
        <v>8725</v>
      </c>
    </row>
    <row r="2933" spans="1:11" ht="21" x14ac:dyDescent="0.25">
      <c r="A2933" s="11" t="str">
        <f>HYPERLINK("https://rth.dk/resources/bsgatlas/details.php?id=BSGatlas-transcript-2932","BSGatlas-transcript-2932")</f>
        <v>BSGatlas-transcript-2932</v>
      </c>
      <c r="B2933" s="1" t="s">
        <v>2736</v>
      </c>
      <c r="C2933" s="3">
        <v>2652954</v>
      </c>
      <c r="D2933" s="3">
        <v>2653463</v>
      </c>
      <c r="E2933" s="1" t="s">
        <v>9</v>
      </c>
      <c r="F2933" s="1">
        <v>0</v>
      </c>
      <c r="G2933" s="1" t="s">
        <v>4372</v>
      </c>
      <c r="H2933" s="1" t="s">
        <v>4372</v>
      </c>
      <c r="I2933" s="1" t="s">
        <v>4386</v>
      </c>
      <c r="J2933" s="1" t="s">
        <v>8726</v>
      </c>
      <c r="K2933" s="1" t="s">
        <v>8727</v>
      </c>
    </row>
    <row r="2934" spans="1:11" ht="21" x14ac:dyDescent="0.25">
      <c r="A2934" s="11" t="str">
        <f>HYPERLINK("https://rth.dk/resources/bsgatlas/details.php?id=BSGatlas-transcript-2933","BSGatlas-transcript-2933")</f>
        <v>BSGatlas-transcript-2933</v>
      </c>
      <c r="B2934" s="1" t="s">
        <v>2736</v>
      </c>
      <c r="C2934" s="3">
        <v>2652954</v>
      </c>
      <c r="D2934" s="3">
        <v>2653463</v>
      </c>
      <c r="E2934" s="1" t="s">
        <v>9</v>
      </c>
      <c r="F2934" s="1">
        <v>0</v>
      </c>
      <c r="G2934" s="1" t="s">
        <v>4372</v>
      </c>
      <c r="H2934" s="1" t="s">
        <v>4372</v>
      </c>
      <c r="I2934" s="1" t="s">
        <v>4386</v>
      </c>
      <c r="J2934" s="1" t="s">
        <v>8726</v>
      </c>
      <c r="K2934" s="1" t="s">
        <v>8728</v>
      </c>
    </row>
    <row r="2935" spans="1:11" ht="21" x14ac:dyDescent="0.25">
      <c r="A2935" s="11" t="str">
        <f>HYPERLINK("https://rth.dk/resources/bsgatlas/details.php?id=BSGatlas-transcript-2934","BSGatlas-transcript-2934")</f>
        <v>BSGatlas-transcript-2934</v>
      </c>
      <c r="B2935" s="1" t="s">
        <v>2737</v>
      </c>
      <c r="C2935" s="3">
        <v>2653335</v>
      </c>
      <c r="D2935" s="3">
        <v>2654984</v>
      </c>
      <c r="E2935" s="1" t="s">
        <v>13</v>
      </c>
      <c r="F2935" s="1">
        <v>0</v>
      </c>
      <c r="G2935" s="1" t="s">
        <v>4372</v>
      </c>
      <c r="H2935" s="1" t="s">
        <v>4372</v>
      </c>
      <c r="I2935" s="1" t="s">
        <v>4373</v>
      </c>
      <c r="J2935" s="1" t="s">
        <v>8729</v>
      </c>
      <c r="K2935" s="1" t="s">
        <v>8730</v>
      </c>
    </row>
    <row r="2936" spans="1:11" ht="21" x14ac:dyDescent="0.25">
      <c r="A2936" s="11" t="str">
        <f>HYPERLINK("https://rth.dk/resources/bsgatlas/details.php?id=BSGatlas-transcript-2935","BSGatlas-transcript-2935")</f>
        <v>BSGatlas-transcript-2935</v>
      </c>
      <c r="B2936" s="1" t="s">
        <v>8731</v>
      </c>
      <c r="C2936" s="3">
        <v>2655267</v>
      </c>
      <c r="D2936" s="3">
        <v>2657687</v>
      </c>
      <c r="E2936" s="1" t="s">
        <v>13</v>
      </c>
      <c r="F2936" s="1">
        <v>2</v>
      </c>
      <c r="G2936" s="1">
        <v>54</v>
      </c>
      <c r="H2936" s="1">
        <v>56</v>
      </c>
      <c r="I2936" s="1" t="s">
        <v>4373</v>
      </c>
      <c r="J2936" s="1" t="s">
        <v>8732</v>
      </c>
      <c r="K2936" s="1" t="s">
        <v>8733</v>
      </c>
    </row>
    <row r="2937" spans="1:11" ht="21" x14ac:dyDescent="0.25">
      <c r="A2937" s="11" t="str">
        <f>HYPERLINK("https://rth.dk/resources/bsgatlas/details.php?id=BSGatlas-transcript-2936","BSGatlas-transcript-2936")</f>
        <v>BSGatlas-transcript-2936</v>
      </c>
      <c r="B2937" s="1" t="s">
        <v>8731</v>
      </c>
      <c r="C2937" s="3">
        <v>2655322</v>
      </c>
      <c r="D2937" s="3">
        <v>2657687</v>
      </c>
      <c r="E2937" s="1" t="s">
        <v>13</v>
      </c>
      <c r="F2937" s="1">
        <v>2</v>
      </c>
      <c r="G2937" s="1">
        <v>54</v>
      </c>
      <c r="H2937" s="1" t="s">
        <v>4372</v>
      </c>
      <c r="I2937" s="1" t="s">
        <v>4373</v>
      </c>
      <c r="J2937" s="1" t="s">
        <v>8732</v>
      </c>
      <c r="K2937" s="1" t="s">
        <v>8734</v>
      </c>
    </row>
    <row r="2938" spans="1:11" ht="21" x14ac:dyDescent="0.25">
      <c r="A2938" s="11" t="str">
        <f>HYPERLINK("https://rth.dk/resources/bsgatlas/details.php?id=BSGatlas-transcript-2937","BSGatlas-transcript-2937")</f>
        <v>BSGatlas-transcript-2937</v>
      </c>
      <c r="B2938" s="1" t="s">
        <v>2742</v>
      </c>
      <c r="C2938" s="3">
        <v>2657967</v>
      </c>
      <c r="D2938" s="3">
        <v>2658803</v>
      </c>
      <c r="E2938" s="1" t="s">
        <v>13</v>
      </c>
      <c r="F2938" s="1">
        <v>0</v>
      </c>
      <c r="G2938" s="1" t="s">
        <v>4372</v>
      </c>
      <c r="H2938" s="1" t="s">
        <v>4372</v>
      </c>
      <c r="I2938" s="1" t="s">
        <v>4377</v>
      </c>
      <c r="J2938" s="1" t="s">
        <v>8735</v>
      </c>
      <c r="K2938" s="1" t="s">
        <v>8736</v>
      </c>
    </row>
    <row r="2939" spans="1:11" ht="21" x14ac:dyDescent="0.25">
      <c r="A2939" s="11" t="str">
        <f>HYPERLINK("https://rth.dk/resources/bsgatlas/details.php?id=BSGatlas-transcript-2938","BSGatlas-transcript-2938")</f>
        <v>BSGatlas-transcript-2938</v>
      </c>
      <c r="B2939" s="1" t="s">
        <v>8737</v>
      </c>
      <c r="C2939" s="3">
        <v>2659166</v>
      </c>
      <c r="D2939" s="3">
        <v>2660528</v>
      </c>
      <c r="E2939" s="1" t="s">
        <v>9</v>
      </c>
      <c r="F2939" s="1">
        <v>0</v>
      </c>
      <c r="G2939" s="1" t="s">
        <v>4372</v>
      </c>
      <c r="H2939" s="1" t="s">
        <v>4372</v>
      </c>
      <c r="I2939" s="1" t="s">
        <v>4373</v>
      </c>
      <c r="J2939" s="1" t="s">
        <v>8738</v>
      </c>
      <c r="K2939" s="1" t="s">
        <v>8739</v>
      </c>
    </row>
    <row r="2940" spans="1:11" ht="21" x14ac:dyDescent="0.25">
      <c r="A2940" s="11" t="str">
        <f>HYPERLINK("https://rth.dk/resources/bsgatlas/details.php?id=BSGatlas-transcript-2939","BSGatlas-transcript-2939")</f>
        <v>BSGatlas-transcript-2939</v>
      </c>
      <c r="B2940" s="1" t="s">
        <v>2744</v>
      </c>
      <c r="C2940" s="3">
        <v>2660244</v>
      </c>
      <c r="D2940" s="3">
        <v>2660528</v>
      </c>
      <c r="E2940" s="1" t="s">
        <v>9</v>
      </c>
      <c r="F2940" s="1">
        <v>0</v>
      </c>
      <c r="G2940" s="1" t="s">
        <v>4372</v>
      </c>
      <c r="H2940" s="1" t="s">
        <v>4372</v>
      </c>
      <c r="I2940" s="1" t="s">
        <v>4386</v>
      </c>
      <c r="J2940" s="1" t="s">
        <v>8740</v>
      </c>
      <c r="K2940" s="1" t="s">
        <v>8739</v>
      </c>
    </row>
    <row r="2941" spans="1:11" ht="21" x14ac:dyDescent="0.25">
      <c r="A2941" s="11" t="str">
        <f>HYPERLINK("https://rth.dk/resources/bsgatlas/details.php?id=BSGatlas-transcript-2940","BSGatlas-transcript-2940")</f>
        <v>BSGatlas-transcript-2940</v>
      </c>
      <c r="B2941" s="1" t="s">
        <v>2744</v>
      </c>
      <c r="C2941" s="3">
        <v>2660296</v>
      </c>
      <c r="D2941" s="3">
        <v>2660528</v>
      </c>
      <c r="E2941" s="1" t="s">
        <v>9</v>
      </c>
      <c r="F2941" s="1">
        <v>0</v>
      </c>
      <c r="G2941" s="1" t="s">
        <v>4372</v>
      </c>
      <c r="H2941" s="1" t="s">
        <v>4372</v>
      </c>
      <c r="I2941" s="1" t="s">
        <v>4386</v>
      </c>
      <c r="J2941" s="1" t="s">
        <v>8741</v>
      </c>
      <c r="K2941" s="1" t="s">
        <v>8739</v>
      </c>
    </row>
    <row r="2942" spans="1:11" ht="21" x14ac:dyDescent="0.25">
      <c r="A2942" s="11" t="str">
        <f>HYPERLINK("https://rth.dk/resources/bsgatlas/details.php?id=BSGatlas-transcript-2941","BSGatlas-transcript-2941")</f>
        <v>BSGatlas-transcript-2941</v>
      </c>
      <c r="B2942" s="1" t="s">
        <v>8742</v>
      </c>
      <c r="C2942" s="3">
        <v>2661062</v>
      </c>
      <c r="D2942" s="3">
        <v>2663345</v>
      </c>
      <c r="E2942" s="1" t="s">
        <v>9</v>
      </c>
      <c r="F2942" s="1">
        <v>0</v>
      </c>
      <c r="G2942" s="1" t="s">
        <v>4372</v>
      </c>
      <c r="H2942" s="1" t="s">
        <v>4372</v>
      </c>
      <c r="I2942" s="1" t="s">
        <v>4397</v>
      </c>
      <c r="J2942" s="1" t="s">
        <v>8743</v>
      </c>
      <c r="K2942" s="1" t="s">
        <v>8744</v>
      </c>
    </row>
    <row r="2943" spans="1:11" ht="21" x14ac:dyDescent="0.25">
      <c r="A2943" s="11" t="str">
        <f>HYPERLINK("https://rth.dk/resources/bsgatlas/details.php?id=BSGatlas-transcript-2942","BSGatlas-transcript-2942")</f>
        <v>BSGatlas-transcript-2942</v>
      </c>
      <c r="B2943" s="1" t="s">
        <v>8745</v>
      </c>
      <c r="C2943" s="3">
        <v>2663303</v>
      </c>
      <c r="D2943" s="3">
        <v>2664454</v>
      </c>
      <c r="E2943" s="1" t="s">
        <v>13</v>
      </c>
      <c r="F2943" s="1">
        <v>0</v>
      </c>
      <c r="G2943" s="1" t="s">
        <v>4372</v>
      </c>
      <c r="H2943" s="1" t="s">
        <v>4372</v>
      </c>
      <c r="I2943" s="1" t="s">
        <v>4397</v>
      </c>
      <c r="J2943" s="1" t="s">
        <v>8746</v>
      </c>
      <c r="K2943" s="1" t="s">
        <v>8747</v>
      </c>
    </row>
    <row r="2944" spans="1:11" ht="21" x14ac:dyDescent="0.25">
      <c r="A2944" s="11" t="str">
        <f>HYPERLINK("https://rth.dk/resources/bsgatlas/details.php?id=BSGatlas-transcript-2943","BSGatlas-transcript-2943")</f>
        <v>BSGatlas-transcript-2943</v>
      </c>
      <c r="B2944" s="1" t="s">
        <v>4760</v>
      </c>
      <c r="C2944" s="3">
        <v>2663408</v>
      </c>
      <c r="D2944" s="3">
        <v>2664424</v>
      </c>
      <c r="E2944" s="1" t="s">
        <v>9</v>
      </c>
      <c r="F2944" s="1">
        <v>0</v>
      </c>
      <c r="G2944" s="1" t="s">
        <v>4372</v>
      </c>
      <c r="H2944" s="1" t="s">
        <v>4372</v>
      </c>
      <c r="I2944" s="1" t="s">
        <v>4377</v>
      </c>
      <c r="J2944" s="1" t="s">
        <v>318</v>
      </c>
      <c r="K2944" s="1" t="s">
        <v>8748</v>
      </c>
    </row>
    <row r="2945" spans="1:11" ht="21" x14ac:dyDescent="0.25">
      <c r="A2945" s="11" t="str">
        <f>HYPERLINK("https://rth.dk/resources/bsgatlas/details.php?id=BSGatlas-transcript-2944","BSGatlas-transcript-2944")</f>
        <v>BSGatlas-transcript-2944</v>
      </c>
      <c r="B2945" s="1" t="s">
        <v>8745</v>
      </c>
      <c r="C2945" s="3">
        <v>2663519</v>
      </c>
      <c r="D2945" s="3">
        <v>2664454</v>
      </c>
      <c r="E2945" s="1" t="s">
        <v>13</v>
      </c>
      <c r="F2945" s="1">
        <v>0</v>
      </c>
      <c r="G2945" s="1" t="s">
        <v>4372</v>
      </c>
      <c r="H2945" s="1" t="s">
        <v>4372</v>
      </c>
      <c r="I2945" s="1" t="s">
        <v>4397</v>
      </c>
      <c r="J2945" s="1" t="s">
        <v>8746</v>
      </c>
      <c r="K2945" s="1" t="s">
        <v>8749</v>
      </c>
    </row>
    <row r="2946" spans="1:11" ht="21" x14ac:dyDescent="0.25">
      <c r="A2946" s="11" t="str">
        <f>HYPERLINK("https://rth.dk/resources/bsgatlas/details.php?id=BSGatlas-transcript-2945","BSGatlas-transcript-2945")</f>
        <v>BSGatlas-transcript-2945</v>
      </c>
      <c r="B2946" s="1" t="s">
        <v>8745</v>
      </c>
      <c r="C2946" s="3">
        <v>2663551</v>
      </c>
      <c r="D2946" s="3">
        <v>2664454</v>
      </c>
      <c r="E2946" s="1" t="s">
        <v>13</v>
      </c>
      <c r="F2946" s="1">
        <v>0</v>
      </c>
      <c r="G2946" s="1" t="s">
        <v>4372</v>
      </c>
      <c r="H2946" s="1" t="s">
        <v>4372</v>
      </c>
      <c r="I2946" s="1" t="s">
        <v>4397</v>
      </c>
      <c r="J2946" s="1" t="s">
        <v>8746</v>
      </c>
      <c r="K2946" s="1" t="s">
        <v>8750</v>
      </c>
    </row>
    <row r="2947" spans="1:11" ht="21" x14ac:dyDescent="0.25">
      <c r="A2947" s="11" t="str">
        <f>HYPERLINK("https://rth.dk/resources/bsgatlas/details.php?id=BSGatlas-transcript-2946","BSGatlas-transcript-2946")</f>
        <v>BSGatlas-transcript-2946</v>
      </c>
      <c r="B2947" s="1" t="s">
        <v>2749</v>
      </c>
      <c r="C2947" s="3">
        <v>2664530</v>
      </c>
      <c r="D2947" s="3">
        <v>2666054</v>
      </c>
      <c r="E2947" s="1" t="s">
        <v>9</v>
      </c>
      <c r="F2947" s="1">
        <v>0</v>
      </c>
      <c r="G2947" s="1" t="s">
        <v>4372</v>
      </c>
      <c r="H2947" s="1" t="s">
        <v>4372</v>
      </c>
      <c r="I2947" s="1" t="s">
        <v>4377</v>
      </c>
      <c r="J2947" s="1" t="s">
        <v>8751</v>
      </c>
      <c r="K2947" s="1" t="s">
        <v>318</v>
      </c>
    </row>
    <row r="2948" spans="1:11" ht="21" x14ac:dyDescent="0.25">
      <c r="A2948" s="11" t="str">
        <f>HYPERLINK("https://rth.dk/resources/bsgatlas/details.php?id=BSGatlas-transcript-2947","BSGatlas-transcript-2947")</f>
        <v>BSGatlas-transcript-2947</v>
      </c>
      <c r="B2948" s="1" t="s">
        <v>2749</v>
      </c>
      <c r="C2948" s="3">
        <v>2664732</v>
      </c>
      <c r="D2948" s="3">
        <v>2666054</v>
      </c>
      <c r="E2948" s="1" t="s">
        <v>9</v>
      </c>
      <c r="F2948" s="1">
        <v>0</v>
      </c>
      <c r="G2948" s="1" t="s">
        <v>4372</v>
      </c>
      <c r="H2948" s="1" t="s">
        <v>4372</v>
      </c>
      <c r="I2948" s="1" t="s">
        <v>4377</v>
      </c>
      <c r="J2948" s="1" t="s">
        <v>8752</v>
      </c>
      <c r="K2948" s="1" t="s">
        <v>318</v>
      </c>
    </row>
    <row r="2949" spans="1:11" ht="21" x14ac:dyDescent="0.25">
      <c r="A2949" s="11" t="str">
        <f>HYPERLINK("https://rth.dk/resources/bsgatlas/details.php?id=BSGatlas-transcript-2948","BSGatlas-transcript-2948")</f>
        <v>BSGatlas-transcript-2948</v>
      </c>
      <c r="B2949" s="1" t="s">
        <v>2750</v>
      </c>
      <c r="C2949" s="3">
        <v>2672054</v>
      </c>
      <c r="D2949" s="3">
        <v>2672713</v>
      </c>
      <c r="E2949" s="1" t="s">
        <v>13</v>
      </c>
      <c r="F2949" s="1">
        <v>0</v>
      </c>
      <c r="G2949" s="1" t="s">
        <v>4372</v>
      </c>
      <c r="H2949" s="1" t="s">
        <v>4372</v>
      </c>
      <c r="I2949" s="1" t="s">
        <v>4377</v>
      </c>
      <c r="J2949" s="1" t="s">
        <v>8753</v>
      </c>
      <c r="K2949" s="1" t="s">
        <v>318</v>
      </c>
    </row>
    <row r="2950" spans="1:11" ht="21" x14ac:dyDescent="0.25">
      <c r="A2950" s="11" t="str">
        <f>HYPERLINK("https://rth.dk/resources/bsgatlas/details.php?id=BSGatlas-transcript-2949","BSGatlas-transcript-2949")</f>
        <v>BSGatlas-transcript-2949</v>
      </c>
      <c r="B2950" s="1" t="s">
        <v>2751</v>
      </c>
      <c r="C2950" s="3">
        <v>2672508</v>
      </c>
      <c r="D2950" s="3">
        <v>2677463</v>
      </c>
      <c r="E2950" s="1" t="s">
        <v>13</v>
      </c>
      <c r="F2950" s="1">
        <v>0</v>
      </c>
      <c r="G2950" s="1" t="s">
        <v>4372</v>
      </c>
      <c r="H2950" s="1" t="s">
        <v>4372</v>
      </c>
      <c r="I2950" s="1" t="s">
        <v>4377</v>
      </c>
      <c r="J2950" s="1" t="s">
        <v>318</v>
      </c>
      <c r="K2950" s="1" t="s">
        <v>8754</v>
      </c>
    </row>
    <row r="2951" spans="1:11" ht="21" x14ac:dyDescent="0.25">
      <c r="A2951" s="11" t="str">
        <f>HYPERLINK("https://rth.dk/resources/bsgatlas/details.php?id=BSGatlas-transcript-2950","BSGatlas-transcript-2950")</f>
        <v>BSGatlas-transcript-2950</v>
      </c>
      <c r="B2951" s="1" t="s">
        <v>2752</v>
      </c>
      <c r="C2951" s="3">
        <v>2677964</v>
      </c>
      <c r="D2951" s="3">
        <v>2678565</v>
      </c>
      <c r="E2951" s="1" t="s">
        <v>13</v>
      </c>
      <c r="F2951" s="1">
        <v>0</v>
      </c>
      <c r="G2951" s="1" t="s">
        <v>4372</v>
      </c>
      <c r="H2951" s="1" t="s">
        <v>4372</v>
      </c>
      <c r="I2951" s="1" t="s">
        <v>4547</v>
      </c>
      <c r="J2951" s="1" t="s">
        <v>8755</v>
      </c>
      <c r="K2951" s="1" t="s">
        <v>8756</v>
      </c>
    </row>
    <row r="2952" spans="1:11" ht="21" x14ac:dyDescent="0.25">
      <c r="A2952" s="11" t="str">
        <f>HYPERLINK("https://rth.dk/resources/bsgatlas/details.php?id=BSGatlas-transcript-2951","BSGatlas-transcript-2951")</f>
        <v>BSGatlas-transcript-2951</v>
      </c>
      <c r="B2952" s="1" t="s">
        <v>8757</v>
      </c>
      <c r="C2952" s="3">
        <v>2677964</v>
      </c>
      <c r="D2952" s="3">
        <v>2679076</v>
      </c>
      <c r="E2952" s="1" t="s">
        <v>13</v>
      </c>
      <c r="F2952" s="1">
        <v>1</v>
      </c>
      <c r="G2952" s="1" t="s">
        <v>4372</v>
      </c>
      <c r="H2952" s="1">
        <v>380</v>
      </c>
      <c r="I2952" s="1" t="s">
        <v>4386</v>
      </c>
      <c r="J2952" s="1" t="s">
        <v>8758</v>
      </c>
      <c r="K2952" s="1" t="s">
        <v>8756</v>
      </c>
    </row>
    <row r="2953" spans="1:11" ht="21" x14ac:dyDescent="0.25">
      <c r="A2953" s="11" t="str">
        <f>HYPERLINK("https://rth.dk/resources/bsgatlas/details.php?id=BSGatlas-transcript-2952","BSGatlas-transcript-2952")</f>
        <v>BSGatlas-transcript-2952</v>
      </c>
      <c r="B2953" s="1" t="s">
        <v>8759</v>
      </c>
      <c r="C2953" s="3">
        <v>2678180</v>
      </c>
      <c r="D2953" s="3">
        <v>2678456</v>
      </c>
      <c r="E2953" s="1" t="s">
        <v>9</v>
      </c>
      <c r="F2953" s="1">
        <v>0</v>
      </c>
      <c r="G2953" s="1" t="s">
        <v>4372</v>
      </c>
      <c r="H2953" s="1" t="s">
        <v>4372</v>
      </c>
      <c r="I2953" s="1" t="s">
        <v>4397</v>
      </c>
      <c r="J2953" s="1" t="s">
        <v>8760</v>
      </c>
      <c r="K2953" s="1" t="s">
        <v>8761</v>
      </c>
    </row>
    <row r="2954" spans="1:11" ht="21" x14ac:dyDescent="0.25">
      <c r="A2954" s="11" t="str">
        <f>HYPERLINK("https://rth.dk/resources/bsgatlas/details.php?id=BSGatlas-transcript-2953","BSGatlas-transcript-2953")</f>
        <v>BSGatlas-transcript-2953</v>
      </c>
      <c r="B2954" s="1" t="s">
        <v>8759</v>
      </c>
      <c r="C2954" s="3">
        <v>2678180</v>
      </c>
      <c r="D2954" s="3">
        <v>2678456</v>
      </c>
      <c r="E2954" s="1" t="s">
        <v>9</v>
      </c>
      <c r="F2954" s="1">
        <v>0</v>
      </c>
      <c r="G2954" s="1" t="s">
        <v>4372</v>
      </c>
      <c r="H2954" s="1" t="s">
        <v>4372</v>
      </c>
      <c r="I2954" s="1" t="s">
        <v>4397</v>
      </c>
      <c r="J2954" s="1" t="s">
        <v>8760</v>
      </c>
      <c r="K2954" s="1" t="s">
        <v>8762</v>
      </c>
    </row>
    <row r="2955" spans="1:11" ht="21" x14ac:dyDescent="0.25">
      <c r="A2955" s="11" t="str">
        <f>HYPERLINK("https://rth.dk/resources/bsgatlas/details.php?id=BSGatlas-transcript-2954","BSGatlas-transcript-2954")</f>
        <v>BSGatlas-transcript-2954</v>
      </c>
      <c r="B2955" s="1" t="s">
        <v>2752</v>
      </c>
      <c r="C2955" s="3">
        <v>2678343</v>
      </c>
      <c r="D2955" s="3">
        <v>2678565</v>
      </c>
      <c r="E2955" s="1" t="s">
        <v>13</v>
      </c>
      <c r="F2955" s="1">
        <v>0</v>
      </c>
      <c r="G2955" s="1" t="s">
        <v>4372</v>
      </c>
      <c r="H2955" s="1" t="s">
        <v>4372</v>
      </c>
      <c r="I2955" s="1" t="s">
        <v>4547</v>
      </c>
      <c r="J2955" s="1" t="s">
        <v>8755</v>
      </c>
      <c r="K2955" s="1" t="s">
        <v>8763</v>
      </c>
    </row>
    <row r="2956" spans="1:11" ht="21" x14ac:dyDescent="0.25">
      <c r="A2956" s="11" t="str">
        <f>HYPERLINK("https://rth.dk/resources/bsgatlas/details.php?id=BSGatlas-transcript-2955","BSGatlas-transcript-2955")</f>
        <v>BSGatlas-transcript-2955</v>
      </c>
      <c r="B2956" s="1" t="s">
        <v>8757</v>
      </c>
      <c r="C2956" s="3">
        <v>2678343</v>
      </c>
      <c r="D2956" s="3">
        <v>2679076</v>
      </c>
      <c r="E2956" s="1" t="s">
        <v>13</v>
      </c>
      <c r="F2956" s="1">
        <v>1</v>
      </c>
      <c r="G2956" s="1" t="s">
        <v>4372</v>
      </c>
      <c r="H2956" s="1" t="s">
        <v>4372</v>
      </c>
      <c r="I2956" s="1" t="s">
        <v>4386</v>
      </c>
      <c r="J2956" s="1" t="s">
        <v>8758</v>
      </c>
      <c r="K2956" s="1" t="s">
        <v>8763</v>
      </c>
    </row>
    <row r="2957" spans="1:11" ht="21" x14ac:dyDescent="0.25">
      <c r="A2957" s="11" t="str">
        <f>HYPERLINK("https://rth.dk/resources/bsgatlas/details.php?id=BSGatlas-transcript-2956","BSGatlas-transcript-2956")</f>
        <v>BSGatlas-transcript-2956</v>
      </c>
      <c r="B2957" s="1" t="s">
        <v>2757</v>
      </c>
      <c r="C2957" s="3">
        <v>2678645</v>
      </c>
      <c r="D2957" s="3">
        <v>2679415</v>
      </c>
      <c r="E2957" s="1" t="s">
        <v>9</v>
      </c>
      <c r="F2957" s="1">
        <v>0</v>
      </c>
      <c r="G2957" s="1" t="s">
        <v>4372</v>
      </c>
      <c r="H2957" s="1" t="s">
        <v>4372</v>
      </c>
      <c r="I2957" s="1" t="s">
        <v>4377</v>
      </c>
      <c r="J2957" s="1" t="s">
        <v>318</v>
      </c>
      <c r="K2957" s="1" t="s">
        <v>8764</v>
      </c>
    </row>
    <row r="2958" spans="1:11" ht="21" x14ac:dyDescent="0.25">
      <c r="A2958" s="11" t="str">
        <f>HYPERLINK("https://rth.dk/resources/bsgatlas/details.php?id=BSGatlas-transcript-2957","BSGatlas-transcript-2957")</f>
        <v>BSGatlas-transcript-2957</v>
      </c>
      <c r="B2958" s="1" t="s">
        <v>2758</v>
      </c>
      <c r="C2958" s="3">
        <v>2678724</v>
      </c>
      <c r="D2958" s="3">
        <v>2678922</v>
      </c>
      <c r="E2958" s="1" t="s">
        <v>9</v>
      </c>
      <c r="F2958" s="1">
        <v>0</v>
      </c>
      <c r="G2958" s="1" t="s">
        <v>4372</v>
      </c>
      <c r="H2958" s="1" t="s">
        <v>4372</v>
      </c>
      <c r="I2958" s="1" t="s">
        <v>4377</v>
      </c>
      <c r="J2958" s="1" t="s">
        <v>8765</v>
      </c>
      <c r="K2958" s="1" t="s">
        <v>8766</v>
      </c>
    </row>
    <row r="2959" spans="1:11" ht="21" x14ac:dyDescent="0.25">
      <c r="A2959" s="11" t="str">
        <f>HYPERLINK("https://rth.dk/resources/bsgatlas/details.php?id=BSGatlas-transcript-2958","BSGatlas-transcript-2958")</f>
        <v>BSGatlas-transcript-2958</v>
      </c>
      <c r="B2959" s="1" t="s">
        <v>2758</v>
      </c>
      <c r="C2959" s="3">
        <v>2678724</v>
      </c>
      <c r="D2959" s="3">
        <v>2678988</v>
      </c>
      <c r="E2959" s="1" t="s">
        <v>9</v>
      </c>
      <c r="F2959" s="1">
        <v>0</v>
      </c>
      <c r="G2959" s="1" t="s">
        <v>4372</v>
      </c>
      <c r="H2959" s="1" t="s">
        <v>4372</v>
      </c>
      <c r="I2959" s="1" t="s">
        <v>4377</v>
      </c>
      <c r="J2959" s="1" t="s">
        <v>8765</v>
      </c>
      <c r="K2959" s="1" t="s">
        <v>8767</v>
      </c>
    </row>
    <row r="2960" spans="1:11" ht="21" x14ac:dyDescent="0.25">
      <c r="A2960" s="11" t="str">
        <f>HYPERLINK("https://rth.dk/resources/bsgatlas/details.php?id=BSGatlas-transcript-2959","BSGatlas-transcript-2959")</f>
        <v>BSGatlas-transcript-2959</v>
      </c>
      <c r="B2960" s="1" t="s">
        <v>2759</v>
      </c>
      <c r="C2960" s="3">
        <v>2679142</v>
      </c>
      <c r="D2960" s="3">
        <v>2680187</v>
      </c>
      <c r="E2960" s="1" t="s">
        <v>13</v>
      </c>
      <c r="F2960" s="1">
        <v>0</v>
      </c>
      <c r="G2960" s="1" t="s">
        <v>4372</v>
      </c>
      <c r="H2960" s="1" t="s">
        <v>4372</v>
      </c>
      <c r="I2960" s="1" t="s">
        <v>4377</v>
      </c>
      <c r="J2960" s="1" t="s">
        <v>8768</v>
      </c>
      <c r="K2960" s="1" t="s">
        <v>318</v>
      </c>
    </row>
    <row r="2961" spans="1:11" ht="21" x14ac:dyDescent="0.25">
      <c r="A2961" s="11" t="str">
        <f>HYPERLINK("https://rth.dk/resources/bsgatlas/details.php?id=BSGatlas-transcript-2960","BSGatlas-transcript-2960")</f>
        <v>BSGatlas-transcript-2960</v>
      </c>
      <c r="B2961" s="1" t="s">
        <v>2760</v>
      </c>
      <c r="C2961" s="3">
        <v>2682486</v>
      </c>
      <c r="D2961" s="3">
        <v>2683035</v>
      </c>
      <c r="E2961" s="1" t="s">
        <v>13</v>
      </c>
      <c r="F2961" s="1">
        <v>0</v>
      </c>
      <c r="G2961" s="1" t="s">
        <v>4372</v>
      </c>
      <c r="H2961" s="1" t="s">
        <v>4372</v>
      </c>
      <c r="I2961" s="1" t="s">
        <v>4386</v>
      </c>
      <c r="J2961" s="1" t="s">
        <v>8769</v>
      </c>
      <c r="K2961" s="1" t="s">
        <v>318</v>
      </c>
    </row>
    <row r="2962" spans="1:11" ht="21" x14ac:dyDescent="0.25">
      <c r="A2962" s="11" t="str">
        <f>HYPERLINK("https://rth.dk/resources/bsgatlas/details.php?id=BSGatlas-transcript-2961","BSGatlas-transcript-2961")</f>
        <v>BSGatlas-transcript-2961</v>
      </c>
      <c r="B2962" s="1" t="s">
        <v>2761</v>
      </c>
      <c r="C2962" s="3">
        <v>2683207</v>
      </c>
      <c r="D2962" s="3">
        <v>2684367</v>
      </c>
      <c r="E2962" s="1" t="s">
        <v>13</v>
      </c>
      <c r="F2962" s="1">
        <v>0</v>
      </c>
      <c r="G2962" s="1" t="s">
        <v>4372</v>
      </c>
      <c r="H2962" s="1" t="s">
        <v>4372</v>
      </c>
      <c r="I2962" s="1" t="s">
        <v>4377</v>
      </c>
      <c r="J2962" s="1" t="s">
        <v>8770</v>
      </c>
      <c r="K2962" s="1" t="s">
        <v>318</v>
      </c>
    </row>
    <row r="2963" spans="1:11" ht="21" x14ac:dyDescent="0.25">
      <c r="A2963" s="11" t="str">
        <f>HYPERLINK("https://rth.dk/resources/bsgatlas/details.php?id=BSGatlas-transcript-2962","BSGatlas-transcript-2962")</f>
        <v>BSGatlas-transcript-2962</v>
      </c>
      <c r="B2963" s="1" t="s">
        <v>2762</v>
      </c>
      <c r="C2963" s="3">
        <v>2684161</v>
      </c>
      <c r="D2963" s="3">
        <v>2685129</v>
      </c>
      <c r="E2963" s="1" t="s">
        <v>13</v>
      </c>
      <c r="F2963" s="1">
        <v>0</v>
      </c>
      <c r="G2963" s="1" t="s">
        <v>4372</v>
      </c>
      <c r="H2963" s="1" t="s">
        <v>4372</v>
      </c>
      <c r="I2963" s="1" t="s">
        <v>4377</v>
      </c>
      <c r="J2963" s="1" t="s">
        <v>318</v>
      </c>
      <c r="K2963" s="1" t="s">
        <v>8771</v>
      </c>
    </row>
    <row r="2964" spans="1:11" ht="21" x14ac:dyDescent="0.25">
      <c r="A2964" s="11" t="str">
        <f>HYPERLINK("https://rth.dk/resources/bsgatlas/details.php?id=BSGatlas-transcript-2963","BSGatlas-transcript-2963")</f>
        <v>BSGatlas-transcript-2963</v>
      </c>
      <c r="B2964" s="1" t="s">
        <v>2763</v>
      </c>
      <c r="C2964" s="3">
        <v>2685162</v>
      </c>
      <c r="D2964" s="3">
        <v>2685841</v>
      </c>
      <c r="E2964" s="1" t="s">
        <v>13</v>
      </c>
      <c r="F2964" s="1">
        <v>0</v>
      </c>
      <c r="G2964" s="1" t="s">
        <v>4372</v>
      </c>
      <c r="H2964" s="1" t="s">
        <v>4372</v>
      </c>
      <c r="I2964" s="1" t="s">
        <v>4386</v>
      </c>
      <c r="J2964" s="1" t="s">
        <v>8772</v>
      </c>
      <c r="K2964" s="1" t="s">
        <v>8773</v>
      </c>
    </row>
    <row r="2965" spans="1:11" ht="21" x14ac:dyDescent="0.25">
      <c r="A2965" s="11" t="str">
        <f>HYPERLINK("https://rth.dk/resources/bsgatlas/details.php?id=BSGatlas-transcript-2964","BSGatlas-transcript-2964")</f>
        <v>BSGatlas-transcript-2964</v>
      </c>
      <c r="B2965" s="1" t="s">
        <v>2764</v>
      </c>
      <c r="C2965" s="3">
        <v>2686770</v>
      </c>
      <c r="D2965" s="3">
        <v>2688302</v>
      </c>
      <c r="E2965" s="1" t="s">
        <v>13</v>
      </c>
      <c r="F2965" s="1">
        <v>0</v>
      </c>
      <c r="G2965" s="1" t="s">
        <v>4372</v>
      </c>
      <c r="H2965" s="1" t="s">
        <v>4372</v>
      </c>
      <c r="I2965" s="1" t="s">
        <v>4377</v>
      </c>
      <c r="J2965" s="1" t="s">
        <v>8774</v>
      </c>
      <c r="K2965" s="1" t="s">
        <v>318</v>
      </c>
    </row>
    <row r="2966" spans="1:11" ht="21" x14ac:dyDescent="0.25">
      <c r="A2966" s="11" t="str">
        <f>HYPERLINK("https://rth.dk/resources/bsgatlas/details.php?id=BSGatlas-transcript-2965","BSGatlas-transcript-2965")</f>
        <v>BSGatlas-transcript-2965</v>
      </c>
      <c r="B2966" s="1" t="s">
        <v>2765</v>
      </c>
      <c r="C2966" s="3">
        <v>2689594</v>
      </c>
      <c r="D2966" s="3">
        <v>2690313</v>
      </c>
      <c r="E2966" s="1" t="s">
        <v>13</v>
      </c>
      <c r="F2966" s="1">
        <v>0</v>
      </c>
      <c r="G2966" s="1" t="s">
        <v>4372</v>
      </c>
      <c r="H2966" s="1" t="s">
        <v>4372</v>
      </c>
      <c r="I2966" s="1" t="s">
        <v>4386</v>
      </c>
      <c r="J2966" s="1" t="s">
        <v>318</v>
      </c>
      <c r="K2966" s="1" t="s">
        <v>318</v>
      </c>
    </row>
    <row r="2967" spans="1:11" ht="21" x14ac:dyDescent="0.25">
      <c r="A2967" s="11" t="str">
        <f>HYPERLINK("https://rth.dk/resources/bsgatlas/details.php?id=BSGatlas-transcript-2966","BSGatlas-transcript-2966")</f>
        <v>BSGatlas-transcript-2966</v>
      </c>
      <c r="B2967" s="1" t="s">
        <v>2766</v>
      </c>
      <c r="C2967" s="3">
        <v>2690381</v>
      </c>
      <c r="D2967" s="3">
        <v>2690878</v>
      </c>
      <c r="E2967" s="1" t="s">
        <v>13</v>
      </c>
      <c r="F2967" s="1">
        <v>0</v>
      </c>
      <c r="G2967" s="1" t="s">
        <v>4372</v>
      </c>
      <c r="H2967" s="1" t="s">
        <v>4372</v>
      </c>
      <c r="I2967" s="1" t="s">
        <v>4386</v>
      </c>
      <c r="J2967" s="1" t="s">
        <v>8775</v>
      </c>
      <c r="K2967" s="1" t="s">
        <v>8776</v>
      </c>
    </row>
    <row r="2968" spans="1:11" ht="21" x14ac:dyDescent="0.25">
      <c r="A2968" s="11" t="str">
        <f>HYPERLINK("https://rth.dk/resources/bsgatlas/details.php?id=BSGatlas-transcript-2967","BSGatlas-transcript-2967")</f>
        <v>BSGatlas-transcript-2967</v>
      </c>
      <c r="B2968" s="1" t="s">
        <v>2766</v>
      </c>
      <c r="C2968" s="3">
        <v>2690381</v>
      </c>
      <c r="D2968" s="3">
        <v>2690989</v>
      </c>
      <c r="E2968" s="1" t="s">
        <v>13</v>
      </c>
      <c r="F2968" s="1">
        <v>0</v>
      </c>
      <c r="G2968" s="1" t="s">
        <v>4372</v>
      </c>
      <c r="H2968" s="1" t="s">
        <v>4372</v>
      </c>
      <c r="I2968" s="1" t="s">
        <v>4386</v>
      </c>
      <c r="J2968" s="1" t="s">
        <v>8777</v>
      </c>
      <c r="K2968" s="1" t="s">
        <v>8776</v>
      </c>
    </row>
    <row r="2969" spans="1:11" ht="21" x14ac:dyDescent="0.25">
      <c r="A2969" s="11" t="str">
        <f>HYPERLINK("https://rth.dk/resources/bsgatlas/details.php?id=BSGatlas-transcript-2968","BSGatlas-transcript-2968")</f>
        <v>BSGatlas-transcript-2968</v>
      </c>
      <c r="B2969" s="1" t="s">
        <v>522</v>
      </c>
      <c r="C2969" s="3">
        <v>2691468</v>
      </c>
      <c r="D2969" s="3">
        <v>2691617</v>
      </c>
      <c r="E2969" s="1" t="s">
        <v>13</v>
      </c>
      <c r="F2969" s="1">
        <v>0</v>
      </c>
      <c r="G2969" s="1" t="s">
        <v>4372</v>
      </c>
      <c r="H2969" s="1" t="s">
        <v>4372</v>
      </c>
      <c r="I2969" s="1" t="s">
        <v>4377</v>
      </c>
      <c r="J2969" s="1" t="s">
        <v>318</v>
      </c>
      <c r="K2969" s="1" t="s">
        <v>8778</v>
      </c>
    </row>
    <row r="2970" spans="1:11" ht="21" x14ac:dyDescent="0.25">
      <c r="A2970" s="11" t="str">
        <f>HYPERLINK("https://rth.dk/resources/bsgatlas/details.php?id=BSGatlas-transcript-2969","BSGatlas-transcript-2969")</f>
        <v>BSGatlas-transcript-2969</v>
      </c>
      <c r="B2970" s="1" t="s">
        <v>2767</v>
      </c>
      <c r="C2970" s="3">
        <v>2691590</v>
      </c>
      <c r="D2970" s="3">
        <v>2692571</v>
      </c>
      <c r="E2970" s="1" t="s">
        <v>9</v>
      </c>
      <c r="F2970" s="1">
        <v>0</v>
      </c>
      <c r="G2970" s="1" t="s">
        <v>4372</v>
      </c>
      <c r="H2970" s="1" t="s">
        <v>4372</v>
      </c>
      <c r="I2970" s="1" t="s">
        <v>4397</v>
      </c>
      <c r="J2970" s="1" t="s">
        <v>8779</v>
      </c>
      <c r="K2970" s="1" t="s">
        <v>8780</v>
      </c>
    </row>
    <row r="2971" spans="1:11" ht="21" x14ac:dyDescent="0.25">
      <c r="A2971" s="11" t="str">
        <f>HYPERLINK("https://rth.dk/resources/bsgatlas/details.php?id=BSGatlas-transcript-2970","BSGatlas-transcript-2970")</f>
        <v>BSGatlas-transcript-2970</v>
      </c>
      <c r="B2971" s="1" t="s">
        <v>2767</v>
      </c>
      <c r="C2971" s="3">
        <v>2691590</v>
      </c>
      <c r="D2971" s="3">
        <v>2692892</v>
      </c>
      <c r="E2971" s="1" t="s">
        <v>9</v>
      </c>
      <c r="F2971" s="1">
        <v>0</v>
      </c>
      <c r="G2971" s="1" t="s">
        <v>4372</v>
      </c>
      <c r="H2971" s="1" t="s">
        <v>4372</v>
      </c>
      <c r="I2971" s="1" t="s">
        <v>4397</v>
      </c>
      <c r="J2971" s="1" t="s">
        <v>8779</v>
      </c>
      <c r="K2971" s="1" t="s">
        <v>8781</v>
      </c>
    </row>
    <row r="2972" spans="1:11" ht="21" x14ac:dyDescent="0.25">
      <c r="A2972" s="11" t="str">
        <f>HYPERLINK("https://rth.dk/resources/bsgatlas/details.php?id=BSGatlas-transcript-2971","BSGatlas-transcript-2971")</f>
        <v>BSGatlas-transcript-2971</v>
      </c>
      <c r="B2972" s="1" t="s">
        <v>8782</v>
      </c>
      <c r="C2972" s="3">
        <v>2692933</v>
      </c>
      <c r="D2972" s="3">
        <v>2693656</v>
      </c>
      <c r="E2972" s="1" t="s">
        <v>13</v>
      </c>
      <c r="F2972" s="1">
        <v>1</v>
      </c>
      <c r="G2972" s="1">
        <v>51</v>
      </c>
      <c r="H2972" s="1" t="s">
        <v>4372</v>
      </c>
      <c r="I2972" s="1" t="s">
        <v>4386</v>
      </c>
      <c r="J2972" s="1" t="s">
        <v>8783</v>
      </c>
      <c r="K2972" s="1" t="s">
        <v>318</v>
      </c>
    </row>
    <row r="2973" spans="1:11" ht="21" x14ac:dyDescent="0.25">
      <c r="A2973" s="11" t="str">
        <f>HYPERLINK("https://rth.dk/resources/bsgatlas/details.php?id=BSGatlas-transcript-2972","BSGatlas-transcript-2972")</f>
        <v>BSGatlas-transcript-2972</v>
      </c>
      <c r="B2973" s="1" t="s">
        <v>8784</v>
      </c>
      <c r="C2973" s="3">
        <v>2692933</v>
      </c>
      <c r="D2973" s="3">
        <v>2698716</v>
      </c>
      <c r="E2973" s="1" t="s">
        <v>13</v>
      </c>
      <c r="F2973" s="1">
        <v>5</v>
      </c>
      <c r="G2973" s="1" t="s">
        <v>4372</v>
      </c>
      <c r="H2973" s="1" t="s">
        <v>4372</v>
      </c>
      <c r="I2973" s="1" t="s">
        <v>4386</v>
      </c>
      <c r="J2973" s="1" t="s">
        <v>318</v>
      </c>
      <c r="K2973" s="1" t="s">
        <v>318</v>
      </c>
    </row>
    <row r="2974" spans="1:11" ht="21" x14ac:dyDescent="0.25">
      <c r="A2974" s="11" t="str">
        <f>HYPERLINK("https://rth.dk/resources/bsgatlas/details.php?id=BSGatlas-transcript-2973","BSGatlas-transcript-2973")</f>
        <v>BSGatlas-transcript-2973</v>
      </c>
      <c r="B2974" s="1" t="s">
        <v>2779</v>
      </c>
      <c r="C2974" s="3">
        <v>2698855</v>
      </c>
      <c r="D2974" s="3">
        <v>2699361</v>
      </c>
      <c r="E2974" s="1" t="s">
        <v>9</v>
      </c>
      <c r="F2974" s="1">
        <v>0</v>
      </c>
      <c r="G2974" s="1" t="s">
        <v>4372</v>
      </c>
      <c r="H2974" s="1" t="s">
        <v>4372</v>
      </c>
      <c r="I2974" s="1" t="s">
        <v>4397</v>
      </c>
      <c r="J2974" s="1" t="s">
        <v>8785</v>
      </c>
      <c r="K2974" s="1" t="s">
        <v>8786</v>
      </c>
    </row>
    <row r="2975" spans="1:11" ht="21" x14ac:dyDescent="0.25">
      <c r="A2975" s="11" t="str">
        <f>HYPERLINK("https://rth.dk/resources/bsgatlas/details.php?id=BSGatlas-transcript-2974","BSGatlas-transcript-2974")</f>
        <v>BSGatlas-transcript-2974</v>
      </c>
      <c r="B2975" s="1" t="s">
        <v>2780</v>
      </c>
      <c r="C2975" s="3">
        <v>2700033</v>
      </c>
      <c r="D2975" s="3">
        <v>2700625</v>
      </c>
      <c r="E2975" s="1" t="s">
        <v>13</v>
      </c>
      <c r="F2975" s="1">
        <v>0</v>
      </c>
      <c r="G2975" s="1" t="s">
        <v>4372</v>
      </c>
      <c r="H2975" s="1" t="s">
        <v>4372</v>
      </c>
      <c r="I2975" s="1" t="s">
        <v>4377</v>
      </c>
      <c r="J2975" s="1" t="s">
        <v>8787</v>
      </c>
      <c r="K2975" s="1" t="s">
        <v>318</v>
      </c>
    </row>
    <row r="2976" spans="1:11" ht="21" x14ac:dyDescent="0.25">
      <c r="A2976" s="11" t="str">
        <f>HYPERLINK("https://rth.dk/resources/bsgatlas/details.php?id=BSGatlas-transcript-2975","BSGatlas-transcript-2975")</f>
        <v>BSGatlas-transcript-2975</v>
      </c>
      <c r="B2976" s="1" t="s">
        <v>2780</v>
      </c>
      <c r="C2976" s="3">
        <v>2700033</v>
      </c>
      <c r="D2976" s="3">
        <v>2701351</v>
      </c>
      <c r="E2976" s="1" t="s">
        <v>13</v>
      </c>
      <c r="F2976" s="1">
        <v>0</v>
      </c>
      <c r="G2976" s="1" t="s">
        <v>4372</v>
      </c>
      <c r="H2976" s="1" t="s">
        <v>4372</v>
      </c>
      <c r="I2976" s="1" t="s">
        <v>4377</v>
      </c>
      <c r="J2976" s="1" t="s">
        <v>8788</v>
      </c>
      <c r="K2976" s="1" t="s">
        <v>318</v>
      </c>
    </row>
    <row r="2977" spans="1:11" ht="21" x14ac:dyDescent="0.25">
      <c r="A2977" s="11" t="str">
        <f>HYPERLINK("https://rth.dk/resources/bsgatlas/details.php?id=BSGatlas-transcript-2976","BSGatlas-transcript-2976")</f>
        <v>BSGatlas-transcript-2976</v>
      </c>
      <c r="B2977" s="1" t="s">
        <v>8789</v>
      </c>
      <c r="C2977" s="3">
        <v>2700681</v>
      </c>
      <c r="D2977" s="3">
        <v>2701799</v>
      </c>
      <c r="E2977" s="1" t="s">
        <v>9</v>
      </c>
      <c r="F2977" s="1">
        <v>0</v>
      </c>
      <c r="G2977" s="1" t="s">
        <v>4372</v>
      </c>
      <c r="H2977" s="1" t="s">
        <v>4372</v>
      </c>
      <c r="I2977" s="1" t="s">
        <v>4386</v>
      </c>
      <c r="J2977" s="1" t="s">
        <v>8790</v>
      </c>
      <c r="K2977" s="1" t="s">
        <v>8791</v>
      </c>
    </row>
    <row r="2978" spans="1:11" ht="21" x14ac:dyDescent="0.25">
      <c r="A2978" s="11" t="str">
        <f>HYPERLINK("https://rth.dk/resources/bsgatlas/details.php?id=BSGatlas-transcript-2977","BSGatlas-transcript-2977")</f>
        <v>BSGatlas-transcript-2977</v>
      </c>
      <c r="B2978" s="1" t="s">
        <v>2782</v>
      </c>
      <c r="C2978" s="3">
        <v>2701338</v>
      </c>
      <c r="D2978" s="3">
        <v>2701799</v>
      </c>
      <c r="E2978" s="1" t="s">
        <v>9</v>
      </c>
      <c r="F2978" s="1">
        <v>0</v>
      </c>
      <c r="G2978" s="1" t="s">
        <v>4372</v>
      </c>
      <c r="H2978" s="1" t="s">
        <v>4372</v>
      </c>
      <c r="I2978" s="1" t="s">
        <v>4386</v>
      </c>
      <c r="J2978" s="1" t="s">
        <v>8792</v>
      </c>
      <c r="K2978" s="1" t="s">
        <v>8791</v>
      </c>
    </row>
    <row r="2979" spans="1:11" ht="21" x14ac:dyDescent="0.25">
      <c r="A2979" s="11" t="str">
        <f>HYPERLINK("https://rth.dk/resources/bsgatlas/details.php?id=BSGatlas-transcript-2978","BSGatlas-transcript-2978")</f>
        <v>BSGatlas-transcript-2978</v>
      </c>
      <c r="B2979" s="1" t="s">
        <v>4760</v>
      </c>
      <c r="C2979" s="3">
        <v>2701754</v>
      </c>
      <c r="D2979" s="3">
        <v>2703150</v>
      </c>
      <c r="E2979" s="1" t="s">
        <v>9</v>
      </c>
      <c r="F2979" s="1">
        <v>0</v>
      </c>
      <c r="G2979" s="1" t="s">
        <v>4372</v>
      </c>
      <c r="H2979" s="1" t="s">
        <v>4372</v>
      </c>
      <c r="I2979" s="1" t="s">
        <v>4377</v>
      </c>
      <c r="J2979" s="1" t="s">
        <v>318</v>
      </c>
      <c r="K2979" s="1" t="s">
        <v>8793</v>
      </c>
    </row>
    <row r="2980" spans="1:11" ht="21" x14ac:dyDescent="0.25">
      <c r="A2980" s="11" t="str">
        <f>HYPERLINK("https://rth.dk/resources/bsgatlas/details.php?id=BSGatlas-transcript-2979","BSGatlas-transcript-2979")</f>
        <v>BSGatlas-transcript-2979</v>
      </c>
      <c r="B2980" s="1" t="s">
        <v>2783</v>
      </c>
      <c r="C2980" s="3">
        <v>2701879</v>
      </c>
      <c r="D2980" s="3">
        <v>2702143</v>
      </c>
      <c r="E2980" s="1" t="s">
        <v>13</v>
      </c>
      <c r="F2980" s="1">
        <v>0</v>
      </c>
      <c r="G2980" s="1" t="s">
        <v>4372</v>
      </c>
      <c r="H2980" s="1" t="s">
        <v>4372</v>
      </c>
      <c r="I2980" s="1" t="s">
        <v>4377</v>
      </c>
      <c r="J2980" s="1" t="s">
        <v>8794</v>
      </c>
      <c r="K2980" s="1" t="s">
        <v>8795</v>
      </c>
    </row>
    <row r="2981" spans="1:11" ht="21" x14ac:dyDescent="0.25">
      <c r="A2981" s="11" t="str">
        <f>HYPERLINK("https://rth.dk/resources/bsgatlas/details.php?id=BSGatlas-transcript-2980","BSGatlas-transcript-2980")</f>
        <v>BSGatlas-transcript-2980</v>
      </c>
      <c r="B2981" s="1" t="s">
        <v>8796</v>
      </c>
      <c r="C2981" s="3">
        <v>2702255</v>
      </c>
      <c r="D2981" s="3">
        <v>2705205</v>
      </c>
      <c r="E2981" s="1" t="s">
        <v>13</v>
      </c>
      <c r="F2981" s="1">
        <v>1</v>
      </c>
      <c r="G2981" s="1">
        <v>76</v>
      </c>
      <c r="H2981" s="1">
        <v>434</v>
      </c>
      <c r="I2981" s="1" t="s">
        <v>4386</v>
      </c>
      <c r="J2981" s="1" t="s">
        <v>8797</v>
      </c>
      <c r="K2981" s="1" t="s">
        <v>8798</v>
      </c>
    </row>
    <row r="2982" spans="1:11" ht="21" x14ac:dyDescent="0.25">
      <c r="A2982" s="11" t="str">
        <f>HYPERLINK("https://rth.dk/resources/bsgatlas/details.php?id=BSGatlas-transcript-2981","BSGatlas-transcript-2981")</f>
        <v>BSGatlas-transcript-2981</v>
      </c>
      <c r="B2982" s="1" t="s">
        <v>8799</v>
      </c>
      <c r="C2982" s="3">
        <v>2705319</v>
      </c>
      <c r="D2982" s="3">
        <v>2707840</v>
      </c>
      <c r="E2982" s="1" t="s">
        <v>9</v>
      </c>
      <c r="F2982" s="1">
        <v>1</v>
      </c>
      <c r="G2982" s="1">
        <v>80</v>
      </c>
      <c r="H2982" s="1">
        <v>157</v>
      </c>
      <c r="I2982" s="1" t="s">
        <v>4386</v>
      </c>
      <c r="J2982" s="1" t="s">
        <v>8800</v>
      </c>
      <c r="K2982" s="1" t="s">
        <v>8801</v>
      </c>
    </row>
    <row r="2983" spans="1:11" ht="21" x14ac:dyDescent="0.25">
      <c r="A2983" s="11" t="str">
        <f>HYPERLINK("https://rth.dk/resources/bsgatlas/details.php?id=BSGatlas-transcript-2982","BSGatlas-transcript-2982")</f>
        <v>BSGatlas-transcript-2982</v>
      </c>
      <c r="B2983" s="1" t="s">
        <v>8799</v>
      </c>
      <c r="C2983" s="3">
        <v>2705398</v>
      </c>
      <c r="D2983" s="3">
        <v>2707840</v>
      </c>
      <c r="E2983" s="1" t="s">
        <v>9</v>
      </c>
      <c r="F2983" s="1">
        <v>1</v>
      </c>
      <c r="G2983" s="1" t="s">
        <v>4372</v>
      </c>
      <c r="H2983" s="1">
        <v>157</v>
      </c>
      <c r="I2983" s="1" t="s">
        <v>4386</v>
      </c>
      <c r="J2983" s="1" t="s">
        <v>8802</v>
      </c>
      <c r="K2983" s="1" t="s">
        <v>8801</v>
      </c>
    </row>
    <row r="2984" spans="1:11" ht="21" x14ac:dyDescent="0.25">
      <c r="A2984" s="11" t="str">
        <f>HYPERLINK("https://rth.dk/resources/bsgatlas/details.php?id=BSGatlas-transcript-2983","BSGatlas-transcript-2983")</f>
        <v>BSGatlas-transcript-2983</v>
      </c>
      <c r="B2984" s="1" t="s">
        <v>2789</v>
      </c>
      <c r="C2984" s="3">
        <v>2706678</v>
      </c>
      <c r="D2984" s="3">
        <v>2708052</v>
      </c>
      <c r="E2984" s="1" t="s">
        <v>13</v>
      </c>
      <c r="F2984" s="1">
        <v>0</v>
      </c>
      <c r="G2984" s="1" t="s">
        <v>4372</v>
      </c>
      <c r="H2984" s="1" t="s">
        <v>4372</v>
      </c>
      <c r="I2984" s="1" t="s">
        <v>4377</v>
      </c>
      <c r="J2984" s="1" t="s">
        <v>318</v>
      </c>
      <c r="K2984" s="1" t="s">
        <v>8803</v>
      </c>
    </row>
    <row r="2985" spans="1:11" ht="21" x14ac:dyDescent="0.25">
      <c r="A2985" s="11" t="str">
        <f>HYPERLINK("https://rth.dk/resources/bsgatlas/details.php?id=BSGatlas-transcript-2984","BSGatlas-transcript-2984")</f>
        <v>BSGatlas-transcript-2984</v>
      </c>
      <c r="B2985" s="1" t="s">
        <v>2789</v>
      </c>
      <c r="C2985" s="3">
        <v>2707768</v>
      </c>
      <c r="D2985" s="3">
        <v>2708052</v>
      </c>
      <c r="E2985" s="1" t="s">
        <v>13</v>
      </c>
      <c r="F2985" s="1">
        <v>0</v>
      </c>
      <c r="G2985" s="1" t="s">
        <v>4372</v>
      </c>
      <c r="H2985" s="1" t="s">
        <v>4372</v>
      </c>
      <c r="I2985" s="1" t="s">
        <v>4377</v>
      </c>
      <c r="J2985" s="1" t="s">
        <v>318</v>
      </c>
      <c r="K2985" s="1" t="s">
        <v>8804</v>
      </c>
    </row>
    <row r="2986" spans="1:11" ht="21" x14ac:dyDescent="0.25">
      <c r="A2986" s="11" t="str">
        <f>HYPERLINK("https://rth.dk/resources/bsgatlas/details.php?id=BSGatlas-transcript-2985","BSGatlas-transcript-2985")</f>
        <v>BSGatlas-transcript-2985</v>
      </c>
      <c r="B2986" s="1" t="s">
        <v>8805</v>
      </c>
      <c r="C2986" s="3">
        <v>2708175</v>
      </c>
      <c r="D2986" s="3">
        <v>2709469</v>
      </c>
      <c r="E2986" s="1" t="s">
        <v>13</v>
      </c>
      <c r="F2986" s="1">
        <v>1</v>
      </c>
      <c r="G2986" s="1">
        <v>51</v>
      </c>
      <c r="H2986" s="1" t="s">
        <v>4372</v>
      </c>
      <c r="I2986" s="1" t="s">
        <v>4386</v>
      </c>
      <c r="J2986" s="1" t="s">
        <v>8806</v>
      </c>
      <c r="K2986" s="1" t="s">
        <v>318</v>
      </c>
    </row>
    <row r="2987" spans="1:11" ht="21" x14ac:dyDescent="0.25">
      <c r="A2987" s="11" t="str">
        <f>HYPERLINK("https://rth.dk/resources/bsgatlas/details.php?id=BSGatlas-transcript-2986","BSGatlas-transcript-2986")</f>
        <v>BSGatlas-transcript-2986</v>
      </c>
      <c r="B2987" s="1" t="s">
        <v>8807</v>
      </c>
      <c r="C2987" s="3">
        <v>2708943</v>
      </c>
      <c r="D2987" s="3">
        <v>2714548</v>
      </c>
      <c r="E2987" s="1" t="s">
        <v>13</v>
      </c>
      <c r="F2987" s="1">
        <v>7</v>
      </c>
      <c r="G2987" s="1" t="s">
        <v>4372</v>
      </c>
      <c r="H2987" s="1" t="s">
        <v>4372</v>
      </c>
      <c r="I2987" s="1" t="s">
        <v>4386</v>
      </c>
      <c r="J2987" s="1" t="s">
        <v>8808</v>
      </c>
      <c r="K2987" s="1" t="s">
        <v>318</v>
      </c>
    </row>
    <row r="2988" spans="1:11" ht="21" x14ac:dyDescent="0.25">
      <c r="A2988" s="11" t="str">
        <f>HYPERLINK("https://rth.dk/resources/bsgatlas/details.php?id=BSGatlas-transcript-2987","BSGatlas-transcript-2987")</f>
        <v>BSGatlas-transcript-2987</v>
      </c>
      <c r="B2988" s="1" t="s">
        <v>8807</v>
      </c>
      <c r="C2988" s="3">
        <v>2708943</v>
      </c>
      <c r="D2988" s="3">
        <v>2714632</v>
      </c>
      <c r="E2988" s="1" t="s">
        <v>13</v>
      </c>
      <c r="F2988" s="1">
        <v>7</v>
      </c>
      <c r="G2988" s="1">
        <v>85</v>
      </c>
      <c r="H2988" s="1" t="s">
        <v>4372</v>
      </c>
      <c r="I2988" s="1" t="s">
        <v>4386</v>
      </c>
      <c r="J2988" s="1" t="s">
        <v>8809</v>
      </c>
      <c r="K2988" s="1" t="s">
        <v>318</v>
      </c>
    </row>
    <row r="2989" spans="1:11" ht="21" x14ac:dyDescent="0.25">
      <c r="A2989" s="11" t="str">
        <f>HYPERLINK("https://rth.dk/resources/bsgatlas/details.php?id=BSGatlas-transcript-2988","BSGatlas-transcript-2988")</f>
        <v>BSGatlas-transcript-2988</v>
      </c>
      <c r="B2989" s="1" t="s">
        <v>8810</v>
      </c>
      <c r="C2989" s="3">
        <v>2710848</v>
      </c>
      <c r="D2989" s="3">
        <v>2712242</v>
      </c>
      <c r="E2989" s="1" t="s">
        <v>13</v>
      </c>
      <c r="F2989" s="1">
        <v>1</v>
      </c>
      <c r="G2989" s="1" t="s">
        <v>4372</v>
      </c>
      <c r="H2989" s="1" t="s">
        <v>4372</v>
      </c>
      <c r="I2989" s="1" t="s">
        <v>4377</v>
      </c>
      <c r="J2989" s="1" t="s">
        <v>8811</v>
      </c>
      <c r="K2989" s="1" t="s">
        <v>8812</v>
      </c>
    </row>
    <row r="2990" spans="1:11" ht="21" x14ac:dyDescent="0.25">
      <c r="A2990" s="11" t="str">
        <f>HYPERLINK("https://rth.dk/resources/bsgatlas/details.php?id=BSGatlas-transcript-2989","BSGatlas-transcript-2989")</f>
        <v>BSGatlas-transcript-2989</v>
      </c>
      <c r="B2990" s="1" t="s">
        <v>8813</v>
      </c>
      <c r="C2990" s="3">
        <v>2710848</v>
      </c>
      <c r="D2990" s="3">
        <v>2714548</v>
      </c>
      <c r="E2990" s="1" t="s">
        <v>13</v>
      </c>
      <c r="F2990" s="1">
        <v>5</v>
      </c>
      <c r="G2990" s="1" t="s">
        <v>4372</v>
      </c>
      <c r="H2990" s="1" t="s">
        <v>4372</v>
      </c>
      <c r="I2990" s="1" t="s">
        <v>4386</v>
      </c>
      <c r="J2990" s="1" t="s">
        <v>8808</v>
      </c>
      <c r="K2990" s="1" t="s">
        <v>8812</v>
      </c>
    </row>
    <row r="2991" spans="1:11" ht="21" x14ac:dyDescent="0.25">
      <c r="A2991" s="11" t="str">
        <f>HYPERLINK("https://rth.dk/resources/bsgatlas/details.php?id=BSGatlas-transcript-2990","BSGatlas-transcript-2990")</f>
        <v>BSGatlas-transcript-2990</v>
      </c>
      <c r="B2991" s="1" t="s">
        <v>8813</v>
      </c>
      <c r="C2991" s="3">
        <v>2710848</v>
      </c>
      <c r="D2991" s="3">
        <v>2714632</v>
      </c>
      <c r="E2991" s="1" t="s">
        <v>13</v>
      </c>
      <c r="F2991" s="1">
        <v>5</v>
      </c>
      <c r="G2991" s="1">
        <v>85</v>
      </c>
      <c r="H2991" s="1" t="s">
        <v>4372</v>
      </c>
      <c r="I2991" s="1" t="s">
        <v>4386</v>
      </c>
      <c r="J2991" s="1" t="s">
        <v>8809</v>
      </c>
      <c r="K2991" s="1" t="s">
        <v>8812</v>
      </c>
    </row>
    <row r="2992" spans="1:11" ht="21" x14ac:dyDescent="0.25">
      <c r="A2992" s="11" t="str">
        <f>HYPERLINK("https://rth.dk/resources/bsgatlas/details.php?id=BSGatlas-transcript-2991","BSGatlas-transcript-2991")</f>
        <v>BSGatlas-transcript-2991</v>
      </c>
      <c r="B2992" s="1" t="s">
        <v>8814</v>
      </c>
      <c r="C2992" s="3">
        <v>2713934</v>
      </c>
      <c r="D2992" s="3">
        <v>2714548</v>
      </c>
      <c r="E2992" s="1" t="s">
        <v>13</v>
      </c>
      <c r="F2992" s="1">
        <v>1</v>
      </c>
      <c r="G2992" s="1" t="s">
        <v>4372</v>
      </c>
      <c r="H2992" s="1">
        <v>16</v>
      </c>
      <c r="I2992" s="1" t="s">
        <v>4377</v>
      </c>
      <c r="J2992" s="1" t="s">
        <v>8808</v>
      </c>
      <c r="K2992" s="1" t="s">
        <v>8815</v>
      </c>
    </row>
    <row r="2993" spans="1:11" ht="21" x14ac:dyDescent="0.25">
      <c r="A2993" s="11" t="str">
        <f>HYPERLINK("https://rth.dk/resources/bsgatlas/details.php?id=BSGatlas-transcript-2992","BSGatlas-transcript-2992")</f>
        <v>BSGatlas-transcript-2992</v>
      </c>
      <c r="B2993" s="1" t="s">
        <v>8814</v>
      </c>
      <c r="C2993" s="3">
        <v>2713934</v>
      </c>
      <c r="D2993" s="3">
        <v>2714632</v>
      </c>
      <c r="E2993" s="1" t="s">
        <v>13</v>
      </c>
      <c r="F2993" s="1">
        <v>1</v>
      </c>
      <c r="G2993" s="1">
        <v>85</v>
      </c>
      <c r="H2993" s="1">
        <v>16</v>
      </c>
      <c r="I2993" s="1" t="s">
        <v>4377</v>
      </c>
      <c r="J2993" s="1" t="s">
        <v>8809</v>
      </c>
      <c r="K2993" s="1" t="s">
        <v>8815</v>
      </c>
    </row>
    <row r="2994" spans="1:11" ht="21" x14ac:dyDescent="0.25">
      <c r="A2994" s="11" t="str">
        <f>HYPERLINK("https://rth.dk/resources/bsgatlas/details.php?id=BSGatlas-transcript-2993","BSGatlas-transcript-2993")</f>
        <v>BSGatlas-transcript-2993</v>
      </c>
      <c r="B2994" s="1" t="s">
        <v>8816</v>
      </c>
      <c r="C2994" s="3">
        <v>2714590</v>
      </c>
      <c r="D2994" s="3">
        <v>2715523</v>
      </c>
      <c r="E2994" s="1" t="s">
        <v>13</v>
      </c>
      <c r="F2994" s="1">
        <v>1</v>
      </c>
      <c r="G2994" s="1">
        <v>31</v>
      </c>
      <c r="H2994" s="1" t="s">
        <v>4372</v>
      </c>
      <c r="I2994" s="1" t="s">
        <v>4386</v>
      </c>
      <c r="J2994" s="1" t="s">
        <v>8817</v>
      </c>
      <c r="K2994" s="1" t="s">
        <v>318</v>
      </c>
    </row>
    <row r="2995" spans="1:11" ht="21" x14ac:dyDescent="0.25">
      <c r="A2995" s="11" t="str">
        <f>HYPERLINK("https://rth.dk/resources/bsgatlas/details.php?id=BSGatlas-transcript-2994","BSGatlas-transcript-2994")</f>
        <v>BSGatlas-transcript-2994</v>
      </c>
      <c r="B2995" s="1" t="s">
        <v>2800</v>
      </c>
      <c r="C2995" s="3">
        <v>2714757</v>
      </c>
      <c r="D2995" s="3">
        <v>2715523</v>
      </c>
      <c r="E2995" s="1" t="s">
        <v>13</v>
      </c>
      <c r="F2995" s="1">
        <v>0</v>
      </c>
      <c r="G2995" s="1" t="s">
        <v>4372</v>
      </c>
      <c r="H2995" s="1" t="s">
        <v>4372</v>
      </c>
      <c r="I2995" s="1" t="s">
        <v>4382</v>
      </c>
      <c r="J2995" s="1" t="s">
        <v>8817</v>
      </c>
      <c r="K2995" s="1" t="s">
        <v>8818</v>
      </c>
    </row>
    <row r="2996" spans="1:11" ht="21" x14ac:dyDescent="0.25">
      <c r="A2996" s="11" t="str">
        <f>HYPERLINK("https://rth.dk/resources/bsgatlas/details.php?id=BSGatlas-transcript-2995","BSGatlas-transcript-2995")</f>
        <v>BSGatlas-transcript-2995</v>
      </c>
      <c r="B2996" s="1" t="s">
        <v>2801</v>
      </c>
      <c r="C2996" s="3">
        <v>2716035</v>
      </c>
      <c r="D2996" s="3">
        <v>2716883</v>
      </c>
      <c r="E2996" s="1" t="s">
        <v>13</v>
      </c>
      <c r="F2996" s="1">
        <v>0</v>
      </c>
      <c r="G2996" s="1" t="s">
        <v>4372</v>
      </c>
      <c r="H2996" s="1" t="s">
        <v>4372</v>
      </c>
      <c r="I2996" s="1" t="s">
        <v>4377</v>
      </c>
      <c r="J2996" s="1" t="s">
        <v>8819</v>
      </c>
      <c r="K2996" s="1" t="s">
        <v>318</v>
      </c>
    </row>
    <row r="2997" spans="1:11" ht="21" x14ac:dyDescent="0.25">
      <c r="A2997" s="11" t="str">
        <f>HYPERLINK("https://rth.dk/resources/bsgatlas/details.php?id=BSGatlas-transcript-2996","BSGatlas-transcript-2996")</f>
        <v>BSGatlas-transcript-2996</v>
      </c>
      <c r="B2997" s="1" t="s">
        <v>8820</v>
      </c>
      <c r="C2997" s="3">
        <v>2716904</v>
      </c>
      <c r="D2997" s="3">
        <v>2718802</v>
      </c>
      <c r="E2997" s="1" t="s">
        <v>9</v>
      </c>
      <c r="F2997" s="1">
        <v>1</v>
      </c>
      <c r="G2997" s="1">
        <v>70</v>
      </c>
      <c r="H2997" s="1" t="s">
        <v>4372</v>
      </c>
      <c r="I2997" s="1" t="s">
        <v>4373</v>
      </c>
      <c r="J2997" s="1" t="s">
        <v>8821</v>
      </c>
      <c r="K2997" s="1" t="s">
        <v>318</v>
      </c>
    </row>
    <row r="2998" spans="1:11" ht="21" x14ac:dyDescent="0.25">
      <c r="A2998" s="11" t="str">
        <f>HYPERLINK("https://rth.dk/resources/bsgatlas/details.php?id=BSGatlas-transcript-2997","BSGatlas-transcript-2997")</f>
        <v>BSGatlas-transcript-2997</v>
      </c>
      <c r="B2998" s="1" t="s">
        <v>2804</v>
      </c>
      <c r="C2998" s="3">
        <v>2718912</v>
      </c>
      <c r="D2998" s="3">
        <v>2720343</v>
      </c>
      <c r="E2998" s="1" t="s">
        <v>13</v>
      </c>
      <c r="F2998" s="1">
        <v>0</v>
      </c>
      <c r="G2998" s="1" t="s">
        <v>4372</v>
      </c>
      <c r="H2998" s="1" t="s">
        <v>4372</v>
      </c>
      <c r="I2998" s="1" t="s">
        <v>4386</v>
      </c>
      <c r="J2998" s="1" t="s">
        <v>8822</v>
      </c>
      <c r="K2998" s="1" t="s">
        <v>8823</v>
      </c>
    </row>
    <row r="2999" spans="1:11" ht="21" x14ac:dyDescent="0.25">
      <c r="A2999" s="11" t="str">
        <f>HYPERLINK("https://rth.dk/resources/bsgatlas/details.php?id=BSGatlas-transcript-2998","BSGatlas-transcript-2998")</f>
        <v>BSGatlas-transcript-2998</v>
      </c>
      <c r="B2999" s="1" t="s">
        <v>8824</v>
      </c>
      <c r="C2999" s="3">
        <v>2720526</v>
      </c>
      <c r="D2999" s="3">
        <v>2721652</v>
      </c>
      <c r="E2999" s="1" t="s">
        <v>13</v>
      </c>
      <c r="F2999" s="1">
        <v>1</v>
      </c>
      <c r="G2999" s="1" t="s">
        <v>4372</v>
      </c>
      <c r="H2999" s="1" t="s">
        <v>4372</v>
      </c>
      <c r="I2999" s="1" t="s">
        <v>4386</v>
      </c>
      <c r="J2999" s="1" t="s">
        <v>318</v>
      </c>
      <c r="K2999" s="1" t="s">
        <v>318</v>
      </c>
    </row>
    <row r="3000" spans="1:11" ht="21" x14ac:dyDescent="0.25">
      <c r="A3000" s="11" t="str">
        <f>HYPERLINK("https://rth.dk/resources/bsgatlas/details.php?id=BSGatlas-transcript-2999","BSGatlas-transcript-2999")</f>
        <v>BSGatlas-transcript-2999</v>
      </c>
      <c r="B3000" s="1" t="s">
        <v>2807</v>
      </c>
      <c r="C3000" s="3">
        <v>2721735</v>
      </c>
      <c r="D3000" s="3">
        <v>2722725</v>
      </c>
      <c r="E3000" s="1" t="s">
        <v>9</v>
      </c>
      <c r="F3000" s="1">
        <v>0</v>
      </c>
      <c r="G3000" s="1" t="s">
        <v>4372</v>
      </c>
      <c r="H3000" s="1" t="s">
        <v>4372</v>
      </c>
      <c r="I3000" s="1" t="s">
        <v>4547</v>
      </c>
      <c r="J3000" s="1" t="s">
        <v>8825</v>
      </c>
      <c r="K3000" s="1" t="s">
        <v>8826</v>
      </c>
    </row>
    <row r="3001" spans="1:11" ht="21" x14ac:dyDescent="0.25">
      <c r="A3001" s="11" t="str">
        <f>HYPERLINK("https://rth.dk/resources/bsgatlas/details.php?id=BSGatlas-transcript-3000","BSGatlas-transcript-3000")</f>
        <v>BSGatlas-transcript-3000</v>
      </c>
      <c r="B3001" s="1" t="s">
        <v>8827</v>
      </c>
      <c r="C3001" s="3">
        <v>2722767</v>
      </c>
      <c r="D3001" s="3">
        <v>2724869</v>
      </c>
      <c r="E3001" s="1" t="s">
        <v>13</v>
      </c>
      <c r="F3001" s="1">
        <v>1</v>
      </c>
      <c r="G3001" s="1">
        <v>43</v>
      </c>
      <c r="H3001" s="1" t="s">
        <v>4372</v>
      </c>
      <c r="I3001" s="1" t="s">
        <v>4386</v>
      </c>
      <c r="J3001" s="1" t="s">
        <v>8828</v>
      </c>
      <c r="K3001" s="1" t="s">
        <v>8829</v>
      </c>
    </row>
    <row r="3002" spans="1:11" ht="21" x14ac:dyDescent="0.25">
      <c r="A3002" s="11" t="str">
        <f>HYPERLINK("https://rth.dk/resources/bsgatlas/details.php?id=BSGatlas-transcript-3001","BSGatlas-transcript-3001")</f>
        <v>BSGatlas-transcript-3001</v>
      </c>
      <c r="B3002" s="1" t="s">
        <v>8827</v>
      </c>
      <c r="C3002" s="3">
        <v>2722767</v>
      </c>
      <c r="D3002" s="3">
        <v>2724954</v>
      </c>
      <c r="E3002" s="1" t="s">
        <v>13</v>
      </c>
      <c r="F3002" s="1">
        <v>1</v>
      </c>
      <c r="G3002" s="1">
        <v>128</v>
      </c>
      <c r="H3002" s="1" t="s">
        <v>4372</v>
      </c>
      <c r="I3002" s="1" t="s">
        <v>4386</v>
      </c>
      <c r="J3002" s="1" t="s">
        <v>8830</v>
      </c>
      <c r="K3002" s="1" t="s">
        <v>8829</v>
      </c>
    </row>
    <row r="3003" spans="1:11" ht="21" x14ac:dyDescent="0.25">
      <c r="A3003" s="11" t="str">
        <f>HYPERLINK("https://rth.dk/resources/bsgatlas/details.php?id=BSGatlas-transcript-3002","BSGatlas-transcript-3002")</f>
        <v>BSGatlas-transcript-3002</v>
      </c>
      <c r="B3003" s="1" t="s">
        <v>2810</v>
      </c>
      <c r="C3003" s="3">
        <v>2725067</v>
      </c>
      <c r="D3003" s="3">
        <v>2725503</v>
      </c>
      <c r="E3003" s="1" t="s">
        <v>13</v>
      </c>
      <c r="F3003" s="1">
        <v>0</v>
      </c>
      <c r="G3003" s="1" t="s">
        <v>4372</v>
      </c>
      <c r="H3003" s="1" t="s">
        <v>4372</v>
      </c>
      <c r="I3003" s="1" t="s">
        <v>4377</v>
      </c>
      <c r="J3003" s="1" t="s">
        <v>318</v>
      </c>
      <c r="K3003" s="1" t="s">
        <v>8831</v>
      </c>
    </row>
    <row r="3004" spans="1:11" ht="21" x14ac:dyDescent="0.25">
      <c r="A3004" s="11" t="str">
        <f>HYPERLINK("https://rth.dk/resources/bsgatlas/details.php?id=BSGatlas-transcript-3003","BSGatlas-transcript-3003")</f>
        <v>BSGatlas-transcript-3003</v>
      </c>
      <c r="B3004" s="1" t="s">
        <v>2811</v>
      </c>
      <c r="C3004" s="3">
        <v>2725791</v>
      </c>
      <c r="D3004" s="3">
        <v>2726858</v>
      </c>
      <c r="E3004" s="1" t="s">
        <v>9</v>
      </c>
      <c r="F3004" s="1">
        <v>0</v>
      </c>
      <c r="G3004" s="1" t="s">
        <v>4372</v>
      </c>
      <c r="H3004" s="1" t="s">
        <v>4372</v>
      </c>
      <c r="I3004" s="1" t="s">
        <v>4373</v>
      </c>
      <c r="J3004" s="1" t="s">
        <v>8832</v>
      </c>
      <c r="K3004" s="1" t="s">
        <v>8833</v>
      </c>
    </row>
    <row r="3005" spans="1:11" ht="21" x14ac:dyDescent="0.25">
      <c r="A3005" s="11" t="str">
        <f>HYPERLINK("https://rth.dk/resources/bsgatlas/details.php?id=BSGatlas-transcript-3004","BSGatlas-transcript-3004")</f>
        <v>BSGatlas-transcript-3004</v>
      </c>
      <c r="B3005" s="1" t="s">
        <v>2811</v>
      </c>
      <c r="C3005" s="3">
        <v>2725837</v>
      </c>
      <c r="D3005" s="3">
        <v>2726858</v>
      </c>
      <c r="E3005" s="1" t="s">
        <v>9</v>
      </c>
      <c r="F3005" s="1">
        <v>0</v>
      </c>
      <c r="G3005" s="1" t="s">
        <v>4372</v>
      </c>
      <c r="H3005" s="1" t="s">
        <v>4372</v>
      </c>
      <c r="I3005" s="1" t="s">
        <v>4373</v>
      </c>
      <c r="J3005" s="1" t="s">
        <v>8834</v>
      </c>
      <c r="K3005" s="1" t="s">
        <v>8833</v>
      </c>
    </row>
    <row r="3006" spans="1:11" ht="21" x14ac:dyDescent="0.25">
      <c r="A3006" s="11" t="str">
        <f>HYPERLINK("https://rth.dk/resources/bsgatlas/details.php?id=BSGatlas-transcript-3005","BSGatlas-transcript-3005")</f>
        <v>BSGatlas-transcript-3005</v>
      </c>
      <c r="B3006" s="1" t="s">
        <v>8835</v>
      </c>
      <c r="C3006" s="3">
        <v>2726811</v>
      </c>
      <c r="D3006" s="3">
        <v>2730226</v>
      </c>
      <c r="E3006" s="1" t="s">
        <v>13</v>
      </c>
      <c r="F3006" s="1">
        <v>1</v>
      </c>
      <c r="G3006" s="1" t="s">
        <v>4372</v>
      </c>
      <c r="H3006" s="1">
        <v>75</v>
      </c>
      <c r="I3006" s="1" t="s">
        <v>4373</v>
      </c>
      <c r="J3006" s="1" t="s">
        <v>318</v>
      </c>
      <c r="K3006" s="1" t="s">
        <v>8836</v>
      </c>
    </row>
    <row r="3007" spans="1:11" ht="21" x14ac:dyDescent="0.25">
      <c r="A3007" s="11" t="str">
        <f>HYPERLINK("https://rth.dk/resources/bsgatlas/details.php?id=BSGatlas-transcript-3006","BSGatlas-transcript-3006")</f>
        <v>BSGatlas-transcript-3006</v>
      </c>
      <c r="B3007" s="1" t="s">
        <v>2817</v>
      </c>
      <c r="C3007" s="3">
        <v>2730560</v>
      </c>
      <c r="D3007" s="3">
        <v>2730853</v>
      </c>
      <c r="E3007" s="1" t="s">
        <v>13</v>
      </c>
      <c r="F3007" s="1">
        <v>0</v>
      </c>
      <c r="G3007" s="1" t="s">
        <v>4372</v>
      </c>
      <c r="H3007" s="1" t="s">
        <v>4372</v>
      </c>
      <c r="I3007" s="1" t="s">
        <v>4377</v>
      </c>
      <c r="J3007" s="1" t="s">
        <v>8837</v>
      </c>
      <c r="K3007" s="1" t="s">
        <v>318</v>
      </c>
    </row>
    <row r="3008" spans="1:11" ht="21" x14ac:dyDescent="0.25">
      <c r="A3008" s="11" t="str">
        <f>HYPERLINK("https://rth.dk/resources/bsgatlas/details.php?id=BSGatlas-transcript-3007","BSGatlas-transcript-3007")</f>
        <v>BSGatlas-transcript-3007</v>
      </c>
      <c r="B3008" s="1" t="s">
        <v>2818</v>
      </c>
      <c r="C3008" s="3">
        <v>2730888</v>
      </c>
      <c r="D3008" s="3">
        <v>2732339</v>
      </c>
      <c r="E3008" s="1" t="s">
        <v>13</v>
      </c>
      <c r="F3008" s="1">
        <v>0</v>
      </c>
      <c r="G3008" s="1" t="s">
        <v>4372</v>
      </c>
      <c r="H3008" s="1" t="s">
        <v>4372</v>
      </c>
      <c r="I3008" s="1" t="s">
        <v>4386</v>
      </c>
      <c r="J3008" s="1" t="s">
        <v>318</v>
      </c>
      <c r="K3008" s="1" t="s">
        <v>8838</v>
      </c>
    </row>
    <row r="3009" spans="1:11" ht="21" x14ac:dyDescent="0.25">
      <c r="A3009" s="11" t="str">
        <f>HYPERLINK("https://rth.dk/resources/bsgatlas/details.php?id=BSGatlas-transcript-3008","BSGatlas-transcript-3008")</f>
        <v>BSGatlas-transcript-3008</v>
      </c>
      <c r="B3009" s="1" t="s">
        <v>2819</v>
      </c>
      <c r="C3009" s="3">
        <v>2732547</v>
      </c>
      <c r="D3009" s="3">
        <v>2732747</v>
      </c>
      <c r="E3009" s="1" t="s">
        <v>13</v>
      </c>
      <c r="F3009" s="1">
        <v>0</v>
      </c>
      <c r="G3009" s="1" t="s">
        <v>4372</v>
      </c>
      <c r="H3009" s="1" t="s">
        <v>4372</v>
      </c>
      <c r="I3009" s="1" t="s">
        <v>4377</v>
      </c>
      <c r="J3009" s="1" t="s">
        <v>8839</v>
      </c>
      <c r="K3009" s="1" t="s">
        <v>318</v>
      </c>
    </row>
    <row r="3010" spans="1:11" ht="21" x14ac:dyDescent="0.25">
      <c r="A3010" s="11" t="str">
        <f>HYPERLINK("https://rth.dk/resources/bsgatlas/details.php?id=BSGatlas-transcript-3009","BSGatlas-transcript-3009")</f>
        <v>BSGatlas-transcript-3009</v>
      </c>
      <c r="B3010" s="1" t="s">
        <v>2820</v>
      </c>
      <c r="C3010" s="3">
        <v>2732943</v>
      </c>
      <c r="D3010" s="3">
        <v>2733581</v>
      </c>
      <c r="E3010" s="1" t="s">
        <v>13</v>
      </c>
      <c r="F3010" s="1">
        <v>0</v>
      </c>
      <c r="G3010" s="1" t="s">
        <v>4372</v>
      </c>
      <c r="H3010" s="1" t="s">
        <v>4372</v>
      </c>
      <c r="I3010" s="1" t="s">
        <v>4386</v>
      </c>
      <c r="J3010" s="1" t="s">
        <v>8840</v>
      </c>
      <c r="K3010" s="1" t="s">
        <v>8841</v>
      </c>
    </row>
    <row r="3011" spans="1:11" ht="21" x14ac:dyDescent="0.25">
      <c r="A3011" s="11" t="str">
        <f>HYPERLINK("https://rth.dk/resources/bsgatlas/details.php?id=BSGatlas-transcript-3010","BSGatlas-transcript-3010")</f>
        <v>BSGatlas-transcript-3010</v>
      </c>
      <c r="B3011" s="1" t="s">
        <v>2821</v>
      </c>
      <c r="C3011" s="3">
        <v>2733772</v>
      </c>
      <c r="D3011" s="3">
        <v>2734143</v>
      </c>
      <c r="E3011" s="1" t="s">
        <v>13</v>
      </c>
      <c r="F3011" s="1">
        <v>0</v>
      </c>
      <c r="G3011" s="1" t="s">
        <v>4372</v>
      </c>
      <c r="H3011" s="1" t="s">
        <v>4372</v>
      </c>
      <c r="I3011" s="1" t="s">
        <v>4386</v>
      </c>
      <c r="J3011" s="1" t="s">
        <v>318</v>
      </c>
      <c r="K3011" s="1" t="s">
        <v>318</v>
      </c>
    </row>
    <row r="3012" spans="1:11" ht="21" x14ac:dyDescent="0.25">
      <c r="A3012" s="11" t="str">
        <f>HYPERLINK("https://rth.dk/resources/bsgatlas/details.php?id=BSGatlas-transcript-3011","BSGatlas-transcript-3011")</f>
        <v>BSGatlas-transcript-3011</v>
      </c>
      <c r="B3012" s="1" t="s">
        <v>2822</v>
      </c>
      <c r="C3012" s="3">
        <v>2734262</v>
      </c>
      <c r="D3012" s="3">
        <v>2734358</v>
      </c>
      <c r="E3012" s="1" t="s">
        <v>13</v>
      </c>
      <c r="F3012" s="1">
        <v>0</v>
      </c>
      <c r="G3012" s="1" t="s">
        <v>4372</v>
      </c>
      <c r="H3012" s="1" t="s">
        <v>4372</v>
      </c>
      <c r="I3012" s="1" t="s">
        <v>4377</v>
      </c>
      <c r="J3012" s="1" t="s">
        <v>8842</v>
      </c>
      <c r="K3012" s="1" t="s">
        <v>318</v>
      </c>
    </row>
    <row r="3013" spans="1:11" ht="21" x14ac:dyDescent="0.25">
      <c r="A3013" s="11" t="str">
        <f>HYPERLINK("https://rth.dk/resources/bsgatlas/details.php?id=BSGatlas-transcript-3012","BSGatlas-transcript-3012")</f>
        <v>BSGatlas-transcript-3012</v>
      </c>
      <c r="B3013" s="1" t="s">
        <v>8843</v>
      </c>
      <c r="C3013" s="3">
        <v>2734917</v>
      </c>
      <c r="D3013" s="3">
        <v>2736637</v>
      </c>
      <c r="E3013" s="1" t="s">
        <v>13</v>
      </c>
      <c r="F3013" s="1">
        <v>1</v>
      </c>
      <c r="G3013" s="1">
        <v>102</v>
      </c>
      <c r="H3013" s="1">
        <v>37</v>
      </c>
      <c r="I3013" s="1" t="s">
        <v>4386</v>
      </c>
      <c r="J3013" s="1" t="s">
        <v>8844</v>
      </c>
      <c r="K3013" s="1" t="s">
        <v>8845</v>
      </c>
    </row>
    <row r="3014" spans="1:11" ht="21" x14ac:dyDescent="0.25">
      <c r="A3014" s="11" t="str">
        <f>HYPERLINK("https://rth.dk/resources/bsgatlas/details.php?id=BSGatlas-transcript-3013","BSGatlas-transcript-3013")</f>
        <v>BSGatlas-transcript-3013</v>
      </c>
      <c r="B3014" s="1" t="s">
        <v>2825</v>
      </c>
      <c r="C3014" s="3">
        <v>2736844</v>
      </c>
      <c r="D3014" s="3">
        <v>2737978</v>
      </c>
      <c r="E3014" s="1" t="s">
        <v>9</v>
      </c>
      <c r="F3014" s="1">
        <v>0</v>
      </c>
      <c r="G3014" s="1" t="s">
        <v>4372</v>
      </c>
      <c r="H3014" s="1" t="s">
        <v>4372</v>
      </c>
      <c r="I3014" s="1" t="s">
        <v>4386</v>
      </c>
      <c r="J3014" s="1" t="s">
        <v>8846</v>
      </c>
      <c r="K3014" s="1" t="s">
        <v>8847</v>
      </c>
    </row>
    <row r="3015" spans="1:11" ht="21" x14ac:dyDescent="0.25">
      <c r="A3015" s="11" t="str">
        <f>HYPERLINK("https://rth.dk/resources/bsgatlas/details.php?id=BSGatlas-transcript-3014","BSGatlas-transcript-3014")</f>
        <v>BSGatlas-transcript-3014</v>
      </c>
      <c r="B3015" s="1" t="s">
        <v>2826</v>
      </c>
      <c r="C3015" s="3">
        <v>2738257</v>
      </c>
      <c r="D3015" s="3">
        <v>2739105</v>
      </c>
      <c r="E3015" s="1" t="s">
        <v>9</v>
      </c>
      <c r="F3015" s="1">
        <v>0</v>
      </c>
      <c r="G3015" s="1" t="s">
        <v>4372</v>
      </c>
      <c r="H3015" s="1" t="s">
        <v>4372</v>
      </c>
      <c r="I3015" s="1" t="s">
        <v>4386</v>
      </c>
      <c r="J3015" s="1" t="s">
        <v>8848</v>
      </c>
      <c r="K3015" s="1" t="s">
        <v>318</v>
      </c>
    </row>
    <row r="3016" spans="1:11" ht="21" x14ac:dyDescent="0.25">
      <c r="A3016" s="11" t="str">
        <f>HYPERLINK("https://rth.dk/resources/bsgatlas/details.php?id=BSGatlas-transcript-3015","BSGatlas-transcript-3015")</f>
        <v>BSGatlas-transcript-3015</v>
      </c>
      <c r="B3016" s="1" t="s">
        <v>2827</v>
      </c>
      <c r="C3016" s="3">
        <v>2739439</v>
      </c>
      <c r="D3016" s="3">
        <v>2740215</v>
      </c>
      <c r="E3016" s="1" t="s">
        <v>9</v>
      </c>
      <c r="F3016" s="1">
        <v>0</v>
      </c>
      <c r="G3016" s="1" t="s">
        <v>4372</v>
      </c>
      <c r="H3016" s="1" t="s">
        <v>4372</v>
      </c>
      <c r="I3016" s="1" t="s">
        <v>4386</v>
      </c>
      <c r="J3016" s="1" t="s">
        <v>8849</v>
      </c>
      <c r="K3016" s="1" t="s">
        <v>8850</v>
      </c>
    </row>
    <row r="3017" spans="1:11" ht="21" x14ac:dyDescent="0.25">
      <c r="A3017" s="11" t="str">
        <f>HYPERLINK("https://rth.dk/resources/bsgatlas/details.php?id=BSGatlas-transcript-3016","BSGatlas-transcript-3016")</f>
        <v>BSGatlas-transcript-3016</v>
      </c>
      <c r="B3017" s="1" t="s">
        <v>4760</v>
      </c>
      <c r="C3017" s="3">
        <v>2740413</v>
      </c>
      <c r="D3017" s="3">
        <v>2740678</v>
      </c>
      <c r="E3017" s="1" t="s">
        <v>9</v>
      </c>
      <c r="F3017" s="1">
        <v>0</v>
      </c>
      <c r="G3017" s="1" t="s">
        <v>4372</v>
      </c>
      <c r="H3017" s="1" t="s">
        <v>4372</v>
      </c>
      <c r="I3017" s="1" t="s">
        <v>4377</v>
      </c>
      <c r="J3017" s="1" t="s">
        <v>8851</v>
      </c>
      <c r="K3017" s="1" t="s">
        <v>318</v>
      </c>
    </row>
    <row r="3018" spans="1:11" ht="21" x14ac:dyDescent="0.25">
      <c r="A3018" s="11" t="str">
        <f>HYPERLINK("https://rth.dk/resources/bsgatlas/details.php?id=BSGatlas-transcript-3017","BSGatlas-transcript-3017")</f>
        <v>BSGatlas-transcript-3017</v>
      </c>
      <c r="B3018" s="1" t="s">
        <v>2828</v>
      </c>
      <c r="C3018" s="3">
        <v>2740743</v>
      </c>
      <c r="D3018" s="3">
        <v>2741126</v>
      </c>
      <c r="E3018" s="1" t="s">
        <v>9</v>
      </c>
      <c r="F3018" s="1">
        <v>0</v>
      </c>
      <c r="G3018" s="1" t="s">
        <v>4372</v>
      </c>
      <c r="H3018" s="1" t="s">
        <v>4372</v>
      </c>
      <c r="I3018" s="1" t="s">
        <v>4377</v>
      </c>
      <c r="J3018" s="1" t="s">
        <v>8852</v>
      </c>
      <c r="K3018" s="1" t="s">
        <v>8853</v>
      </c>
    </row>
    <row r="3019" spans="1:11" ht="21" x14ac:dyDescent="0.25">
      <c r="A3019" s="11" t="str">
        <f>HYPERLINK("https://rth.dk/resources/bsgatlas/details.php?id=BSGatlas-transcript-3018","BSGatlas-transcript-3018")</f>
        <v>BSGatlas-transcript-3018</v>
      </c>
      <c r="B3019" s="1" t="s">
        <v>2829</v>
      </c>
      <c r="C3019" s="3">
        <v>2740769</v>
      </c>
      <c r="D3019" s="3">
        <v>2740873</v>
      </c>
      <c r="E3019" s="1" t="s">
        <v>9</v>
      </c>
      <c r="F3019" s="1">
        <v>0</v>
      </c>
      <c r="G3019" s="1" t="s">
        <v>4372</v>
      </c>
      <c r="H3019" s="1" t="s">
        <v>4372</v>
      </c>
      <c r="I3019" s="1" t="s">
        <v>4377</v>
      </c>
      <c r="J3019" s="1" t="s">
        <v>318</v>
      </c>
      <c r="K3019" s="1" t="s">
        <v>8854</v>
      </c>
    </row>
    <row r="3020" spans="1:11" ht="21" x14ac:dyDescent="0.25">
      <c r="A3020" s="11" t="str">
        <f>HYPERLINK("https://rth.dk/resources/bsgatlas/details.php?id=BSGatlas-transcript-3019","BSGatlas-transcript-3019")</f>
        <v>BSGatlas-transcript-3019</v>
      </c>
      <c r="B3020" s="1" t="s">
        <v>4760</v>
      </c>
      <c r="C3020" s="3">
        <v>2741105</v>
      </c>
      <c r="D3020" s="3">
        <v>2741294</v>
      </c>
      <c r="E3020" s="1" t="s">
        <v>13</v>
      </c>
      <c r="F3020" s="1">
        <v>0</v>
      </c>
      <c r="G3020" s="1" t="s">
        <v>4372</v>
      </c>
      <c r="H3020" s="1" t="s">
        <v>4372</v>
      </c>
      <c r="I3020" s="1" t="s">
        <v>4377</v>
      </c>
      <c r="J3020" s="1" t="s">
        <v>318</v>
      </c>
      <c r="K3020" s="1" t="s">
        <v>8855</v>
      </c>
    </row>
    <row r="3021" spans="1:11" ht="21" x14ac:dyDescent="0.25">
      <c r="A3021" s="11" t="str">
        <f>HYPERLINK("https://rth.dk/resources/bsgatlas/details.php?id=BSGatlas-transcript-3020","BSGatlas-transcript-3020")</f>
        <v>BSGatlas-transcript-3020</v>
      </c>
      <c r="B3021" s="1" t="s">
        <v>2830</v>
      </c>
      <c r="C3021" s="3">
        <v>2741357</v>
      </c>
      <c r="D3021" s="3">
        <v>2742159</v>
      </c>
      <c r="E3021" s="1" t="s">
        <v>13</v>
      </c>
      <c r="F3021" s="1">
        <v>0</v>
      </c>
      <c r="G3021" s="1" t="s">
        <v>4372</v>
      </c>
      <c r="H3021" s="1" t="s">
        <v>4372</v>
      </c>
      <c r="I3021" s="1" t="s">
        <v>4397</v>
      </c>
      <c r="J3021" s="1" t="s">
        <v>8856</v>
      </c>
      <c r="K3021" s="1" t="s">
        <v>318</v>
      </c>
    </row>
    <row r="3022" spans="1:11" ht="21" x14ac:dyDescent="0.25">
      <c r="A3022" s="11" t="str">
        <f>HYPERLINK("https://rth.dk/resources/bsgatlas/details.php?id=BSGatlas-transcript-3021","BSGatlas-transcript-3021")</f>
        <v>BSGatlas-transcript-3021</v>
      </c>
      <c r="B3022" s="1" t="s">
        <v>2831</v>
      </c>
      <c r="C3022" s="3">
        <v>2742244</v>
      </c>
      <c r="D3022" s="3">
        <v>2742843</v>
      </c>
      <c r="E3022" s="1" t="s">
        <v>13</v>
      </c>
      <c r="F3022" s="1">
        <v>0</v>
      </c>
      <c r="G3022" s="1" t="s">
        <v>4372</v>
      </c>
      <c r="H3022" s="1" t="s">
        <v>4372</v>
      </c>
      <c r="I3022" s="1" t="s">
        <v>4377</v>
      </c>
      <c r="J3022" s="1" t="s">
        <v>8857</v>
      </c>
      <c r="K3022" s="1" t="s">
        <v>318</v>
      </c>
    </row>
    <row r="3023" spans="1:11" ht="21" x14ac:dyDescent="0.25">
      <c r="A3023" s="11" t="str">
        <f>HYPERLINK("https://rth.dk/resources/bsgatlas/details.php?id=BSGatlas-transcript-3022","BSGatlas-transcript-3022")</f>
        <v>BSGatlas-transcript-3022</v>
      </c>
      <c r="B3023" s="1" t="s">
        <v>2832</v>
      </c>
      <c r="C3023" s="3">
        <v>2742909</v>
      </c>
      <c r="D3023" s="3">
        <v>2743889</v>
      </c>
      <c r="E3023" s="1" t="s">
        <v>9</v>
      </c>
      <c r="F3023" s="1">
        <v>0</v>
      </c>
      <c r="G3023" s="1" t="s">
        <v>4372</v>
      </c>
      <c r="H3023" s="1" t="s">
        <v>4372</v>
      </c>
      <c r="I3023" s="1" t="s">
        <v>4547</v>
      </c>
      <c r="J3023" s="1" t="s">
        <v>318</v>
      </c>
      <c r="K3023" s="1" t="s">
        <v>318</v>
      </c>
    </row>
    <row r="3024" spans="1:11" ht="21" x14ac:dyDescent="0.25">
      <c r="A3024" s="11" t="str">
        <f>HYPERLINK("https://rth.dk/resources/bsgatlas/details.php?id=BSGatlas-transcript-3023","BSGatlas-transcript-3023")</f>
        <v>BSGatlas-transcript-3023</v>
      </c>
      <c r="B3024" s="1" t="s">
        <v>8858</v>
      </c>
      <c r="C3024" s="3">
        <v>2744163</v>
      </c>
      <c r="D3024" s="3">
        <v>2746503</v>
      </c>
      <c r="E3024" s="1" t="s">
        <v>13</v>
      </c>
      <c r="F3024" s="1">
        <v>1</v>
      </c>
      <c r="G3024" s="1">
        <v>41</v>
      </c>
      <c r="H3024" s="1" t="s">
        <v>4372</v>
      </c>
      <c r="I3024" s="1" t="s">
        <v>4386</v>
      </c>
      <c r="J3024" s="1" t="s">
        <v>8859</v>
      </c>
      <c r="K3024" s="1" t="s">
        <v>318</v>
      </c>
    </row>
    <row r="3025" spans="1:11" ht="21" x14ac:dyDescent="0.25">
      <c r="A3025" s="11" t="str">
        <f>HYPERLINK("https://rth.dk/resources/bsgatlas/details.php?id=BSGatlas-transcript-3024","BSGatlas-transcript-3024")</f>
        <v>BSGatlas-transcript-3024</v>
      </c>
      <c r="B3025" s="1" t="s">
        <v>8858</v>
      </c>
      <c r="C3025" s="3">
        <v>2744163</v>
      </c>
      <c r="D3025" s="3">
        <v>2746578</v>
      </c>
      <c r="E3025" s="1" t="s">
        <v>13</v>
      </c>
      <c r="F3025" s="1">
        <v>1</v>
      </c>
      <c r="G3025" s="1">
        <v>116</v>
      </c>
      <c r="H3025" s="1" t="s">
        <v>4372</v>
      </c>
      <c r="I3025" s="1" t="s">
        <v>4386</v>
      </c>
      <c r="J3025" s="1" t="s">
        <v>8860</v>
      </c>
      <c r="K3025" s="1" t="s">
        <v>318</v>
      </c>
    </row>
    <row r="3026" spans="1:11" ht="21" x14ac:dyDescent="0.25">
      <c r="A3026" s="11" t="str">
        <f>HYPERLINK("https://rth.dk/resources/bsgatlas/details.php?id=BSGatlas-transcript-3025","BSGatlas-transcript-3025")</f>
        <v>BSGatlas-transcript-3025</v>
      </c>
      <c r="B3026" s="1" t="s">
        <v>2835</v>
      </c>
      <c r="C3026" s="3">
        <v>2746608</v>
      </c>
      <c r="D3026" s="3">
        <v>2747711</v>
      </c>
      <c r="E3026" s="1" t="s">
        <v>9</v>
      </c>
      <c r="F3026" s="1">
        <v>0</v>
      </c>
      <c r="G3026" s="1" t="s">
        <v>4372</v>
      </c>
      <c r="H3026" s="1" t="s">
        <v>4372</v>
      </c>
      <c r="I3026" s="1" t="s">
        <v>4547</v>
      </c>
      <c r="J3026" s="1" t="s">
        <v>8861</v>
      </c>
      <c r="K3026" s="1" t="s">
        <v>318</v>
      </c>
    </row>
    <row r="3027" spans="1:11" ht="21" x14ac:dyDescent="0.25">
      <c r="A3027" s="11" t="str">
        <f>HYPERLINK("https://rth.dk/resources/bsgatlas/details.php?id=BSGatlas-transcript-3026","BSGatlas-transcript-3026")</f>
        <v>BSGatlas-transcript-3026</v>
      </c>
      <c r="B3027" s="1" t="s">
        <v>2836</v>
      </c>
      <c r="C3027" s="3">
        <v>2747936</v>
      </c>
      <c r="D3027" s="3">
        <v>2748856</v>
      </c>
      <c r="E3027" s="1" t="s">
        <v>13</v>
      </c>
      <c r="F3027" s="1">
        <v>0</v>
      </c>
      <c r="G3027" s="1" t="s">
        <v>4372</v>
      </c>
      <c r="H3027" s="1" t="s">
        <v>4372</v>
      </c>
      <c r="I3027" s="1" t="s">
        <v>4397</v>
      </c>
      <c r="J3027" s="1" t="s">
        <v>8862</v>
      </c>
      <c r="K3027" s="1" t="s">
        <v>8863</v>
      </c>
    </row>
    <row r="3028" spans="1:11" ht="21" x14ac:dyDescent="0.25">
      <c r="A3028" s="11" t="str">
        <f>HYPERLINK("https://rth.dk/resources/bsgatlas/details.php?id=BSGatlas-transcript-3027","BSGatlas-transcript-3027")</f>
        <v>BSGatlas-transcript-3027</v>
      </c>
      <c r="B3028" s="1" t="s">
        <v>2837</v>
      </c>
      <c r="C3028" s="3">
        <v>2749037</v>
      </c>
      <c r="D3028" s="3">
        <v>2749523</v>
      </c>
      <c r="E3028" s="1" t="s">
        <v>9</v>
      </c>
      <c r="F3028" s="1">
        <v>0</v>
      </c>
      <c r="G3028" s="1" t="s">
        <v>4372</v>
      </c>
      <c r="H3028" s="1" t="s">
        <v>4372</v>
      </c>
      <c r="I3028" s="1" t="s">
        <v>4386</v>
      </c>
      <c r="J3028" s="1" t="s">
        <v>8864</v>
      </c>
      <c r="K3028" s="1" t="s">
        <v>8865</v>
      </c>
    </row>
    <row r="3029" spans="1:11" ht="21" x14ac:dyDescent="0.25">
      <c r="A3029" s="11" t="str">
        <f>HYPERLINK("https://rth.dk/resources/bsgatlas/details.php?id=BSGatlas-transcript-3028","BSGatlas-transcript-3028")</f>
        <v>BSGatlas-transcript-3028</v>
      </c>
      <c r="B3029" s="1" t="s">
        <v>8866</v>
      </c>
      <c r="C3029" s="3">
        <v>2750831</v>
      </c>
      <c r="D3029" s="3">
        <v>2751754</v>
      </c>
      <c r="E3029" s="1" t="s">
        <v>13</v>
      </c>
      <c r="F3029" s="1">
        <v>1</v>
      </c>
      <c r="G3029" s="1">
        <v>104</v>
      </c>
      <c r="H3029" s="1">
        <v>53</v>
      </c>
      <c r="I3029" s="1" t="s">
        <v>4386</v>
      </c>
      <c r="J3029" s="1" t="s">
        <v>8867</v>
      </c>
      <c r="K3029" s="1" t="s">
        <v>8868</v>
      </c>
    </row>
    <row r="3030" spans="1:11" ht="21" x14ac:dyDescent="0.25">
      <c r="A3030" s="11" t="str">
        <f>HYPERLINK("https://rth.dk/resources/bsgatlas/details.php?id=BSGatlas-transcript-3029","BSGatlas-transcript-3029")</f>
        <v>BSGatlas-transcript-3029</v>
      </c>
      <c r="B3030" s="1" t="s">
        <v>2840</v>
      </c>
      <c r="C3030" s="3">
        <v>2752084</v>
      </c>
      <c r="D3030" s="3">
        <v>2752611</v>
      </c>
      <c r="E3030" s="1" t="s">
        <v>13</v>
      </c>
      <c r="F3030" s="1">
        <v>0</v>
      </c>
      <c r="G3030" s="1" t="s">
        <v>4372</v>
      </c>
      <c r="H3030" s="1" t="s">
        <v>4372</v>
      </c>
      <c r="I3030" s="1" t="s">
        <v>4386</v>
      </c>
      <c r="J3030" s="1" t="s">
        <v>8869</v>
      </c>
      <c r="K3030" s="1" t="s">
        <v>8870</v>
      </c>
    </row>
    <row r="3031" spans="1:11" ht="21" x14ac:dyDescent="0.25">
      <c r="A3031" s="11" t="str">
        <f>HYPERLINK("https://rth.dk/resources/bsgatlas/details.php?id=BSGatlas-transcript-3030","BSGatlas-transcript-3030")</f>
        <v>BSGatlas-transcript-3030</v>
      </c>
      <c r="B3031" s="1" t="s">
        <v>8871</v>
      </c>
      <c r="C3031" s="3">
        <v>2752780</v>
      </c>
      <c r="D3031" s="3">
        <v>2755119</v>
      </c>
      <c r="E3031" s="1" t="s">
        <v>9</v>
      </c>
      <c r="F3031" s="1">
        <v>3</v>
      </c>
      <c r="G3031" s="1">
        <v>23</v>
      </c>
      <c r="H3031" s="1" t="s">
        <v>4372</v>
      </c>
      <c r="I3031" s="1" t="s">
        <v>4373</v>
      </c>
      <c r="J3031" s="1" t="s">
        <v>8872</v>
      </c>
      <c r="K3031" s="1" t="s">
        <v>8873</v>
      </c>
    </row>
    <row r="3032" spans="1:11" ht="21" x14ac:dyDescent="0.25">
      <c r="A3032" s="11" t="str">
        <f>HYPERLINK("https://rth.dk/resources/bsgatlas/details.php?id=BSGatlas-transcript-3031","BSGatlas-transcript-3031")</f>
        <v>BSGatlas-transcript-3031</v>
      </c>
      <c r="B3032" s="1" t="s">
        <v>8871</v>
      </c>
      <c r="C3032" s="3">
        <v>2752780</v>
      </c>
      <c r="D3032" s="3">
        <v>2755574</v>
      </c>
      <c r="E3032" s="1" t="s">
        <v>9</v>
      </c>
      <c r="F3032" s="1">
        <v>3</v>
      </c>
      <c r="G3032" s="1">
        <v>23</v>
      </c>
      <c r="H3032" s="1">
        <v>456</v>
      </c>
      <c r="I3032" s="1" t="s">
        <v>4373</v>
      </c>
      <c r="J3032" s="1" t="s">
        <v>8872</v>
      </c>
      <c r="K3032" s="1" t="s">
        <v>8874</v>
      </c>
    </row>
    <row r="3033" spans="1:11" ht="21" x14ac:dyDescent="0.25">
      <c r="A3033" s="11" t="str">
        <f>HYPERLINK("https://rth.dk/resources/bsgatlas/details.php?id=BSGatlas-transcript-3032","BSGatlas-transcript-3032")</f>
        <v>BSGatlas-transcript-3032</v>
      </c>
      <c r="B3033" s="1" t="s">
        <v>2846</v>
      </c>
      <c r="C3033" s="3">
        <v>2755382</v>
      </c>
      <c r="D3033" s="3">
        <v>2755846</v>
      </c>
      <c r="E3033" s="1" t="s">
        <v>13</v>
      </c>
      <c r="F3033" s="1">
        <v>0</v>
      </c>
      <c r="G3033" s="1" t="s">
        <v>4372</v>
      </c>
      <c r="H3033" s="1" t="s">
        <v>4372</v>
      </c>
      <c r="I3033" s="1" t="s">
        <v>4397</v>
      </c>
      <c r="J3033" s="1" t="s">
        <v>8875</v>
      </c>
      <c r="K3033" s="1" t="s">
        <v>318</v>
      </c>
    </row>
    <row r="3034" spans="1:11" ht="21" x14ac:dyDescent="0.25">
      <c r="A3034" s="11" t="str">
        <f>HYPERLINK("https://rth.dk/resources/bsgatlas/details.php?id=BSGatlas-transcript-3033","BSGatlas-transcript-3033")</f>
        <v>BSGatlas-transcript-3033</v>
      </c>
      <c r="B3034" s="1" t="s">
        <v>2846</v>
      </c>
      <c r="C3034" s="3">
        <v>2755382</v>
      </c>
      <c r="D3034" s="3">
        <v>2755963</v>
      </c>
      <c r="E3034" s="1" t="s">
        <v>13</v>
      </c>
      <c r="F3034" s="1">
        <v>0</v>
      </c>
      <c r="G3034" s="1" t="s">
        <v>4372</v>
      </c>
      <c r="H3034" s="1" t="s">
        <v>4372</v>
      </c>
      <c r="I3034" s="1" t="s">
        <v>4397</v>
      </c>
      <c r="J3034" s="1" t="s">
        <v>8876</v>
      </c>
      <c r="K3034" s="1" t="s">
        <v>318</v>
      </c>
    </row>
    <row r="3035" spans="1:11" ht="21" x14ac:dyDescent="0.25">
      <c r="A3035" s="11" t="str">
        <f>HYPERLINK("https://rth.dk/resources/bsgatlas/details.php?id=BSGatlas-transcript-3034","BSGatlas-transcript-3034")</f>
        <v>BSGatlas-transcript-3034</v>
      </c>
      <c r="B3035" s="1" t="s">
        <v>8877</v>
      </c>
      <c r="C3035" s="3">
        <v>2755836</v>
      </c>
      <c r="D3035" s="3">
        <v>2758001</v>
      </c>
      <c r="E3035" s="1" t="s">
        <v>9</v>
      </c>
      <c r="F3035" s="1">
        <v>2</v>
      </c>
      <c r="G3035" s="1">
        <v>152</v>
      </c>
      <c r="H3035" s="1" t="s">
        <v>4372</v>
      </c>
      <c r="I3035" s="1" t="s">
        <v>4386</v>
      </c>
      <c r="J3035" s="1" t="s">
        <v>8878</v>
      </c>
      <c r="K3035" s="1" t="s">
        <v>8879</v>
      </c>
    </row>
    <row r="3036" spans="1:11" ht="21" x14ac:dyDescent="0.25">
      <c r="A3036" s="11" t="str">
        <f>HYPERLINK("https://rth.dk/resources/bsgatlas/details.php?id=BSGatlas-transcript-3035","BSGatlas-transcript-3035")</f>
        <v>BSGatlas-transcript-3035</v>
      </c>
      <c r="B3036" s="1" t="s">
        <v>8877</v>
      </c>
      <c r="C3036" s="3">
        <v>2755836</v>
      </c>
      <c r="D3036" s="3">
        <v>2758047</v>
      </c>
      <c r="E3036" s="1" t="s">
        <v>9</v>
      </c>
      <c r="F3036" s="1">
        <v>2</v>
      </c>
      <c r="G3036" s="1">
        <v>152</v>
      </c>
      <c r="H3036" s="1">
        <v>47</v>
      </c>
      <c r="I3036" s="1" t="s">
        <v>4386</v>
      </c>
      <c r="J3036" s="1" t="s">
        <v>8878</v>
      </c>
      <c r="K3036" s="1" t="s">
        <v>8880</v>
      </c>
    </row>
    <row r="3037" spans="1:11" ht="21" x14ac:dyDescent="0.25">
      <c r="A3037" s="11" t="str">
        <f>HYPERLINK("https://rth.dk/resources/bsgatlas/details.php?id=BSGatlas-transcript-3036","BSGatlas-transcript-3036")</f>
        <v>BSGatlas-transcript-3036</v>
      </c>
      <c r="B3037" s="1" t="s">
        <v>8877</v>
      </c>
      <c r="C3037" s="3">
        <v>2755836</v>
      </c>
      <c r="D3037" s="3">
        <v>2759153</v>
      </c>
      <c r="E3037" s="1" t="s">
        <v>9</v>
      </c>
      <c r="F3037" s="1">
        <v>2</v>
      </c>
      <c r="G3037" s="1">
        <v>152</v>
      </c>
      <c r="H3037" s="1">
        <v>1153</v>
      </c>
      <c r="I3037" s="1" t="s">
        <v>4386</v>
      </c>
      <c r="J3037" s="1" t="s">
        <v>8878</v>
      </c>
      <c r="K3037" s="1" t="s">
        <v>8881</v>
      </c>
    </row>
    <row r="3038" spans="1:11" ht="21" x14ac:dyDescent="0.25">
      <c r="A3038" s="11" t="str">
        <f>HYPERLINK("https://rth.dk/resources/bsgatlas/details.php?id=BSGatlas-transcript-3037","BSGatlas-transcript-3037")</f>
        <v>BSGatlas-transcript-3037</v>
      </c>
      <c r="B3038" s="1" t="s">
        <v>8882</v>
      </c>
      <c r="C3038" s="3">
        <v>2756226</v>
      </c>
      <c r="D3038" s="3">
        <v>2758001</v>
      </c>
      <c r="E3038" s="1" t="s">
        <v>9</v>
      </c>
      <c r="F3038" s="1">
        <v>1</v>
      </c>
      <c r="G3038" s="1">
        <v>87</v>
      </c>
      <c r="H3038" s="1" t="s">
        <v>4372</v>
      </c>
      <c r="I3038" s="1" t="s">
        <v>4386</v>
      </c>
      <c r="J3038" s="1" t="s">
        <v>8883</v>
      </c>
      <c r="K3038" s="1" t="s">
        <v>8879</v>
      </c>
    </row>
    <row r="3039" spans="1:11" ht="21" x14ac:dyDescent="0.25">
      <c r="A3039" s="11" t="str">
        <f>HYPERLINK("https://rth.dk/resources/bsgatlas/details.php?id=BSGatlas-transcript-3038","BSGatlas-transcript-3038")</f>
        <v>BSGatlas-transcript-3038</v>
      </c>
      <c r="B3039" s="1" t="s">
        <v>8882</v>
      </c>
      <c r="C3039" s="3">
        <v>2756226</v>
      </c>
      <c r="D3039" s="3">
        <v>2758047</v>
      </c>
      <c r="E3039" s="1" t="s">
        <v>9</v>
      </c>
      <c r="F3039" s="1">
        <v>1</v>
      </c>
      <c r="G3039" s="1">
        <v>87</v>
      </c>
      <c r="H3039" s="1">
        <v>47</v>
      </c>
      <c r="I3039" s="1" t="s">
        <v>4386</v>
      </c>
      <c r="J3039" s="1" t="s">
        <v>8883</v>
      </c>
      <c r="K3039" s="1" t="s">
        <v>8880</v>
      </c>
    </row>
    <row r="3040" spans="1:11" ht="21" x14ac:dyDescent="0.25">
      <c r="A3040" s="11" t="str">
        <f>HYPERLINK("https://rth.dk/resources/bsgatlas/details.php?id=BSGatlas-transcript-3039","BSGatlas-transcript-3039")</f>
        <v>BSGatlas-transcript-3039</v>
      </c>
      <c r="B3040" s="1" t="s">
        <v>8882</v>
      </c>
      <c r="C3040" s="3">
        <v>2756226</v>
      </c>
      <c r="D3040" s="3">
        <v>2759153</v>
      </c>
      <c r="E3040" s="1" t="s">
        <v>9</v>
      </c>
      <c r="F3040" s="1">
        <v>1</v>
      </c>
      <c r="G3040" s="1">
        <v>87</v>
      </c>
      <c r="H3040" s="1">
        <v>1153</v>
      </c>
      <c r="I3040" s="1" t="s">
        <v>4386</v>
      </c>
      <c r="J3040" s="1" t="s">
        <v>8883</v>
      </c>
      <c r="K3040" s="1" t="s">
        <v>8881</v>
      </c>
    </row>
    <row r="3041" spans="1:11" ht="21" x14ac:dyDescent="0.25">
      <c r="A3041" s="11" t="str">
        <f>HYPERLINK("https://rth.dk/resources/bsgatlas/details.php?id=BSGatlas-transcript-3040","BSGatlas-transcript-3040")</f>
        <v>BSGatlas-transcript-3040</v>
      </c>
      <c r="B3041" s="1" t="s">
        <v>2849</v>
      </c>
      <c r="C3041" s="3">
        <v>2757464</v>
      </c>
      <c r="D3041" s="3">
        <v>2758001</v>
      </c>
      <c r="E3041" s="1" t="s">
        <v>9</v>
      </c>
      <c r="F3041" s="1">
        <v>0</v>
      </c>
      <c r="G3041" s="1" t="s">
        <v>4372</v>
      </c>
      <c r="H3041" s="1" t="s">
        <v>4372</v>
      </c>
      <c r="I3041" s="1" t="s">
        <v>4373</v>
      </c>
      <c r="J3041" s="1" t="s">
        <v>8884</v>
      </c>
      <c r="K3041" s="1" t="s">
        <v>8879</v>
      </c>
    </row>
    <row r="3042" spans="1:11" ht="21" x14ac:dyDescent="0.25">
      <c r="A3042" s="11" t="str">
        <f>HYPERLINK("https://rth.dk/resources/bsgatlas/details.php?id=BSGatlas-transcript-3041","BSGatlas-transcript-3041")</f>
        <v>BSGatlas-transcript-3041</v>
      </c>
      <c r="B3042" s="1" t="s">
        <v>2849</v>
      </c>
      <c r="C3042" s="3">
        <v>2757464</v>
      </c>
      <c r="D3042" s="3">
        <v>2758047</v>
      </c>
      <c r="E3042" s="1" t="s">
        <v>9</v>
      </c>
      <c r="F3042" s="1">
        <v>0</v>
      </c>
      <c r="G3042" s="1" t="s">
        <v>4372</v>
      </c>
      <c r="H3042" s="1" t="s">
        <v>4372</v>
      </c>
      <c r="I3042" s="1" t="s">
        <v>4373</v>
      </c>
      <c r="J3042" s="1" t="s">
        <v>8884</v>
      </c>
      <c r="K3042" s="1" t="s">
        <v>8880</v>
      </c>
    </row>
    <row r="3043" spans="1:11" ht="21" x14ac:dyDescent="0.25">
      <c r="A3043" s="11" t="str">
        <f>HYPERLINK("https://rth.dk/resources/bsgatlas/details.php?id=BSGatlas-transcript-3042","BSGatlas-transcript-3042")</f>
        <v>BSGatlas-transcript-3042</v>
      </c>
      <c r="B3043" s="1" t="s">
        <v>2849</v>
      </c>
      <c r="C3043" s="3">
        <v>2757464</v>
      </c>
      <c r="D3043" s="3">
        <v>2759153</v>
      </c>
      <c r="E3043" s="1" t="s">
        <v>9</v>
      </c>
      <c r="F3043" s="1">
        <v>0</v>
      </c>
      <c r="G3043" s="1" t="s">
        <v>4372</v>
      </c>
      <c r="H3043" s="1" t="s">
        <v>4372</v>
      </c>
      <c r="I3043" s="1" t="s">
        <v>4373</v>
      </c>
      <c r="J3043" s="1" t="s">
        <v>8884</v>
      </c>
      <c r="K3043" s="1" t="s">
        <v>8881</v>
      </c>
    </row>
    <row r="3044" spans="1:11" ht="21" x14ac:dyDescent="0.25">
      <c r="A3044" s="11" t="str">
        <f>HYPERLINK("https://rth.dk/resources/bsgatlas/details.php?id=BSGatlas-transcript-3043","BSGatlas-transcript-3043")</f>
        <v>BSGatlas-transcript-3043</v>
      </c>
      <c r="B3044" s="1" t="s">
        <v>8885</v>
      </c>
      <c r="C3044" s="3">
        <v>2757993</v>
      </c>
      <c r="D3044" s="3">
        <v>2762862</v>
      </c>
      <c r="E3044" s="1" t="s">
        <v>13</v>
      </c>
      <c r="F3044" s="1">
        <v>3</v>
      </c>
      <c r="G3044" s="1">
        <v>28</v>
      </c>
      <c r="H3044" s="1">
        <v>51</v>
      </c>
      <c r="I3044" s="1" t="s">
        <v>4373</v>
      </c>
      <c r="J3044" s="1" t="s">
        <v>8886</v>
      </c>
      <c r="K3044" s="1" t="s">
        <v>8887</v>
      </c>
    </row>
    <row r="3045" spans="1:11" ht="21" x14ac:dyDescent="0.25">
      <c r="A3045" s="11" t="str">
        <f>HYPERLINK("https://rth.dk/resources/bsgatlas/details.php?id=BSGatlas-transcript-3044","BSGatlas-transcript-3044")</f>
        <v>BSGatlas-transcript-3044</v>
      </c>
      <c r="B3045" s="1" t="s">
        <v>8885</v>
      </c>
      <c r="C3045" s="3">
        <v>2758043</v>
      </c>
      <c r="D3045" s="3">
        <v>2762862</v>
      </c>
      <c r="E3045" s="1" t="s">
        <v>13</v>
      </c>
      <c r="F3045" s="1">
        <v>3</v>
      </c>
      <c r="G3045" s="1">
        <v>28</v>
      </c>
      <c r="H3045" s="1" t="s">
        <v>4372</v>
      </c>
      <c r="I3045" s="1" t="s">
        <v>4373</v>
      </c>
      <c r="J3045" s="1" t="s">
        <v>8886</v>
      </c>
      <c r="K3045" s="1" t="s">
        <v>8888</v>
      </c>
    </row>
    <row r="3046" spans="1:11" ht="21" x14ac:dyDescent="0.25">
      <c r="A3046" s="11" t="str">
        <f>HYPERLINK("https://rth.dk/resources/bsgatlas/details.php?id=BSGatlas-transcript-3045","BSGatlas-transcript-3045")</f>
        <v>BSGatlas-transcript-3045</v>
      </c>
      <c r="B3046" s="1" t="s">
        <v>2855</v>
      </c>
      <c r="C3046" s="3">
        <v>2763025</v>
      </c>
      <c r="D3046" s="3">
        <v>2766054</v>
      </c>
      <c r="E3046" s="1" t="s">
        <v>13</v>
      </c>
      <c r="F3046" s="1">
        <v>0</v>
      </c>
      <c r="G3046" s="1" t="s">
        <v>4372</v>
      </c>
      <c r="H3046" s="1" t="s">
        <v>4372</v>
      </c>
      <c r="I3046" s="1" t="s">
        <v>4386</v>
      </c>
      <c r="J3046" s="1" t="s">
        <v>8889</v>
      </c>
      <c r="K3046" s="1" t="s">
        <v>318</v>
      </c>
    </row>
    <row r="3047" spans="1:11" ht="21" x14ac:dyDescent="0.25">
      <c r="A3047" s="11" t="str">
        <f>HYPERLINK("https://rth.dk/resources/bsgatlas/details.php?id=BSGatlas-transcript-3046","BSGatlas-transcript-3046")</f>
        <v>BSGatlas-transcript-3046</v>
      </c>
      <c r="B3047" s="1" t="s">
        <v>2856</v>
      </c>
      <c r="C3047" s="3">
        <v>2766510</v>
      </c>
      <c r="D3047" s="3">
        <v>2767946</v>
      </c>
      <c r="E3047" s="1" t="s">
        <v>9</v>
      </c>
      <c r="F3047" s="1">
        <v>0</v>
      </c>
      <c r="G3047" s="1" t="s">
        <v>4372</v>
      </c>
      <c r="H3047" s="1" t="s">
        <v>4372</v>
      </c>
      <c r="I3047" s="1" t="s">
        <v>4397</v>
      </c>
      <c r="J3047" s="1" t="s">
        <v>8890</v>
      </c>
      <c r="K3047" s="1" t="s">
        <v>8891</v>
      </c>
    </row>
    <row r="3048" spans="1:11" ht="21" x14ac:dyDescent="0.25">
      <c r="A3048" s="11" t="str">
        <f>HYPERLINK("https://rth.dk/resources/bsgatlas/details.php?id=BSGatlas-transcript-3047","BSGatlas-transcript-3047")</f>
        <v>BSGatlas-transcript-3047</v>
      </c>
      <c r="B3048" s="1" t="s">
        <v>2857</v>
      </c>
      <c r="C3048" s="3">
        <v>2767988</v>
      </c>
      <c r="D3048" s="3">
        <v>2768739</v>
      </c>
      <c r="E3048" s="1" t="s">
        <v>13</v>
      </c>
      <c r="F3048" s="1">
        <v>0</v>
      </c>
      <c r="G3048" s="1" t="s">
        <v>4372</v>
      </c>
      <c r="H3048" s="1" t="s">
        <v>4372</v>
      </c>
      <c r="I3048" s="1" t="s">
        <v>4397</v>
      </c>
      <c r="J3048" s="1" t="s">
        <v>8892</v>
      </c>
      <c r="K3048" s="1" t="s">
        <v>8893</v>
      </c>
    </row>
    <row r="3049" spans="1:11" ht="21" x14ac:dyDescent="0.25">
      <c r="A3049" s="11" t="str">
        <f>HYPERLINK("https://rth.dk/resources/bsgatlas/details.php?id=BSGatlas-transcript-3048","BSGatlas-transcript-3048")</f>
        <v>BSGatlas-transcript-3048</v>
      </c>
      <c r="B3049" s="1" t="s">
        <v>2857</v>
      </c>
      <c r="C3049" s="3">
        <v>2768042</v>
      </c>
      <c r="D3049" s="3">
        <v>2768739</v>
      </c>
      <c r="E3049" s="1" t="s">
        <v>13</v>
      </c>
      <c r="F3049" s="1">
        <v>0</v>
      </c>
      <c r="G3049" s="1" t="s">
        <v>4372</v>
      </c>
      <c r="H3049" s="1" t="s">
        <v>4372</v>
      </c>
      <c r="I3049" s="1" t="s">
        <v>4397</v>
      </c>
      <c r="J3049" s="1" t="s">
        <v>8892</v>
      </c>
      <c r="K3049" s="1" t="s">
        <v>8894</v>
      </c>
    </row>
    <row r="3050" spans="1:11" ht="21" x14ac:dyDescent="0.25">
      <c r="A3050" s="11" t="str">
        <f>HYPERLINK("https://rth.dk/resources/bsgatlas/details.php?id=BSGatlas-transcript-3049","BSGatlas-transcript-3049")</f>
        <v>BSGatlas-transcript-3049</v>
      </c>
      <c r="B3050" s="1" t="s">
        <v>2858</v>
      </c>
      <c r="C3050" s="3">
        <v>2768778</v>
      </c>
      <c r="D3050" s="3">
        <v>2769672</v>
      </c>
      <c r="E3050" s="1" t="s">
        <v>9</v>
      </c>
      <c r="F3050" s="1">
        <v>0</v>
      </c>
      <c r="G3050" s="1" t="s">
        <v>4372</v>
      </c>
      <c r="H3050" s="1" t="s">
        <v>4372</v>
      </c>
      <c r="I3050" s="1" t="s">
        <v>4386</v>
      </c>
      <c r="J3050" s="1" t="s">
        <v>8895</v>
      </c>
      <c r="K3050" s="1" t="s">
        <v>8896</v>
      </c>
    </row>
    <row r="3051" spans="1:11" ht="21" x14ac:dyDescent="0.25">
      <c r="A3051" s="11" t="str">
        <f>HYPERLINK("https://rth.dk/resources/bsgatlas/details.php?id=BSGatlas-transcript-3050","BSGatlas-transcript-3050")</f>
        <v>BSGatlas-transcript-3050</v>
      </c>
      <c r="B3051" s="1" t="s">
        <v>8897</v>
      </c>
      <c r="C3051" s="3">
        <v>2769794</v>
      </c>
      <c r="D3051" s="3">
        <v>2771252</v>
      </c>
      <c r="E3051" s="1" t="s">
        <v>9</v>
      </c>
      <c r="F3051" s="1">
        <v>0</v>
      </c>
      <c r="G3051" s="1" t="s">
        <v>4372</v>
      </c>
      <c r="H3051" s="1" t="s">
        <v>4372</v>
      </c>
      <c r="I3051" s="1" t="s">
        <v>4382</v>
      </c>
      <c r="J3051" s="1" t="s">
        <v>8898</v>
      </c>
      <c r="K3051" s="1" t="s">
        <v>8899</v>
      </c>
    </row>
    <row r="3052" spans="1:11" ht="21" x14ac:dyDescent="0.25">
      <c r="A3052" s="11" t="str">
        <f>HYPERLINK("https://rth.dk/resources/bsgatlas/details.php?id=BSGatlas-transcript-3051","BSGatlas-transcript-3051")</f>
        <v>BSGatlas-transcript-3051</v>
      </c>
      <c r="B3052" s="1" t="s">
        <v>8900</v>
      </c>
      <c r="C3052" s="3">
        <v>2769794</v>
      </c>
      <c r="D3052" s="3">
        <v>2773646</v>
      </c>
      <c r="E3052" s="1" t="s">
        <v>9</v>
      </c>
      <c r="F3052" s="1">
        <v>2</v>
      </c>
      <c r="G3052" s="1">
        <v>57</v>
      </c>
      <c r="H3052" s="1" t="s">
        <v>4372</v>
      </c>
      <c r="I3052" s="1" t="s">
        <v>4397</v>
      </c>
      <c r="J3052" s="1" t="s">
        <v>8898</v>
      </c>
      <c r="K3052" s="1" t="s">
        <v>318</v>
      </c>
    </row>
    <row r="3053" spans="1:11" ht="21" x14ac:dyDescent="0.25">
      <c r="A3053" s="11" t="str">
        <f>HYPERLINK("https://rth.dk/resources/bsgatlas/details.php?id=BSGatlas-transcript-3052","BSGatlas-transcript-3052")</f>
        <v>BSGatlas-transcript-3052</v>
      </c>
      <c r="B3053" s="1" t="s">
        <v>2863</v>
      </c>
      <c r="C3053" s="3">
        <v>2773764</v>
      </c>
      <c r="D3053" s="3">
        <v>2773886</v>
      </c>
      <c r="E3053" s="1" t="s">
        <v>9</v>
      </c>
      <c r="F3053" s="1">
        <v>0</v>
      </c>
      <c r="G3053" s="1" t="s">
        <v>4372</v>
      </c>
      <c r="H3053" s="1" t="s">
        <v>4372</v>
      </c>
      <c r="I3053" s="1" t="s">
        <v>4386</v>
      </c>
      <c r="J3053" s="1" t="s">
        <v>8901</v>
      </c>
      <c r="K3053" s="1" t="s">
        <v>8902</v>
      </c>
    </row>
    <row r="3054" spans="1:11" ht="21" x14ac:dyDescent="0.25">
      <c r="A3054" s="11" t="str">
        <f>HYPERLINK("https://rth.dk/resources/bsgatlas/details.php?id=BSGatlas-transcript-3053","BSGatlas-transcript-3053")</f>
        <v>BSGatlas-transcript-3053</v>
      </c>
      <c r="B3054" s="1" t="s">
        <v>8903</v>
      </c>
      <c r="C3054" s="3">
        <v>2773843</v>
      </c>
      <c r="D3054" s="3">
        <v>2777654</v>
      </c>
      <c r="E3054" s="1" t="s">
        <v>13</v>
      </c>
      <c r="F3054" s="1">
        <v>0</v>
      </c>
      <c r="G3054" s="1" t="s">
        <v>4372</v>
      </c>
      <c r="H3054" s="1" t="s">
        <v>4372</v>
      </c>
      <c r="I3054" s="1" t="s">
        <v>4373</v>
      </c>
      <c r="J3054" s="1" t="s">
        <v>318</v>
      </c>
      <c r="K3054" s="1" t="s">
        <v>8904</v>
      </c>
    </row>
    <row r="3055" spans="1:11" ht="21" x14ac:dyDescent="0.25">
      <c r="A3055" s="11" t="str">
        <f>HYPERLINK("https://rth.dk/resources/bsgatlas/details.php?id=BSGatlas-transcript-3054","BSGatlas-transcript-3054")</f>
        <v>BSGatlas-transcript-3054</v>
      </c>
      <c r="B3055" s="1" t="s">
        <v>8905</v>
      </c>
      <c r="C3055" s="3">
        <v>2773843</v>
      </c>
      <c r="D3055" s="3">
        <v>2778506</v>
      </c>
      <c r="E3055" s="1" t="s">
        <v>13</v>
      </c>
      <c r="F3055" s="1">
        <v>1</v>
      </c>
      <c r="G3055" s="1">
        <v>88</v>
      </c>
      <c r="H3055" s="1">
        <v>48</v>
      </c>
      <c r="I3055" s="1" t="s">
        <v>4386</v>
      </c>
      <c r="J3055" s="1" t="s">
        <v>8906</v>
      </c>
      <c r="K3055" s="1" t="s">
        <v>8904</v>
      </c>
    </row>
    <row r="3056" spans="1:11" ht="21" x14ac:dyDescent="0.25">
      <c r="A3056" s="11" t="str">
        <f>HYPERLINK("https://rth.dk/resources/bsgatlas/details.php?id=BSGatlas-transcript-3055","BSGatlas-transcript-3055")</f>
        <v>BSGatlas-transcript-3055</v>
      </c>
      <c r="B3056" s="1" t="s">
        <v>2866</v>
      </c>
      <c r="C3056" s="3">
        <v>2777811</v>
      </c>
      <c r="D3056" s="3">
        <v>2778506</v>
      </c>
      <c r="E3056" s="1" t="s">
        <v>13</v>
      </c>
      <c r="F3056" s="1">
        <v>0</v>
      </c>
      <c r="G3056" s="1" t="s">
        <v>4372</v>
      </c>
      <c r="H3056" s="1" t="s">
        <v>4372</v>
      </c>
      <c r="I3056" s="1" t="s">
        <v>4373</v>
      </c>
      <c r="J3056" s="1" t="s">
        <v>8906</v>
      </c>
      <c r="K3056" s="1" t="s">
        <v>8907</v>
      </c>
    </row>
    <row r="3057" spans="1:11" ht="21" x14ac:dyDescent="0.25">
      <c r="A3057" s="11" t="str">
        <f>HYPERLINK("https://rth.dk/resources/bsgatlas/details.php?id=BSGatlas-transcript-3056","BSGatlas-transcript-3056")</f>
        <v>BSGatlas-transcript-3056</v>
      </c>
      <c r="B3057" s="1" t="s">
        <v>2867</v>
      </c>
      <c r="C3057" s="3">
        <v>2778574</v>
      </c>
      <c r="D3057" s="3">
        <v>2778790</v>
      </c>
      <c r="E3057" s="1" t="s">
        <v>13</v>
      </c>
      <c r="F3057" s="1">
        <v>0</v>
      </c>
      <c r="G3057" s="1" t="s">
        <v>4372</v>
      </c>
      <c r="H3057" s="1" t="s">
        <v>4372</v>
      </c>
      <c r="I3057" s="1" t="s">
        <v>4377</v>
      </c>
      <c r="J3057" s="1" t="s">
        <v>8908</v>
      </c>
      <c r="K3057" s="1" t="s">
        <v>318</v>
      </c>
    </row>
    <row r="3058" spans="1:11" ht="21" x14ac:dyDescent="0.25">
      <c r="A3058" s="11" t="str">
        <f>HYPERLINK("https://rth.dk/resources/bsgatlas/details.php?id=BSGatlas-transcript-3057","BSGatlas-transcript-3057")</f>
        <v>BSGatlas-transcript-3057</v>
      </c>
      <c r="B3058" s="1" t="s">
        <v>4760</v>
      </c>
      <c r="C3058" s="3">
        <v>2778608</v>
      </c>
      <c r="D3058" s="3">
        <v>2778766</v>
      </c>
      <c r="E3058" s="1" t="s">
        <v>13</v>
      </c>
      <c r="F3058" s="1">
        <v>0</v>
      </c>
      <c r="G3058" s="1" t="s">
        <v>4372</v>
      </c>
      <c r="H3058" s="1" t="s">
        <v>4372</v>
      </c>
      <c r="I3058" s="1" t="s">
        <v>4377</v>
      </c>
      <c r="J3058" s="1" t="s">
        <v>318</v>
      </c>
      <c r="K3058" s="1" t="s">
        <v>8909</v>
      </c>
    </row>
    <row r="3059" spans="1:11" ht="21" x14ac:dyDescent="0.25">
      <c r="A3059" s="11" t="str">
        <f>HYPERLINK("https://rth.dk/resources/bsgatlas/details.php?id=BSGatlas-transcript-3058","BSGatlas-transcript-3058")</f>
        <v>BSGatlas-transcript-3058</v>
      </c>
      <c r="B3059" s="1" t="s">
        <v>2868</v>
      </c>
      <c r="C3059" s="3">
        <v>2778923</v>
      </c>
      <c r="D3059" s="3">
        <v>2779072</v>
      </c>
      <c r="E3059" s="1" t="s">
        <v>13</v>
      </c>
      <c r="F3059" s="1">
        <v>0</v>
      </c>
      <c r="G3059" s="1" t="s">
        <v>4372</v>
      </c>
      <c r="H3059" s="1" t="s">
        <v>4372</v>
      </c>
      <c r="I3059" s="1" t="s">
        <v>4386</v>
      </c>
      <c r="J3059" s="1" t="s">
        <v>318</v>
      </c>
      <c r="K3059" s="1" t="s">
        <v>318</v>
      </c>
    </row>
    <row r="3060" spans="1:11" ht="21" x14ac:dyDescent="0.25">
      <c r="A3060" s="11" t="str">
        <f>HYPERLINK("https://rth.dk/resources/bsgatlas/details.php?id=BSGatlas-transcript-3059","BSGatlas-transcript-3059")</f>
        <v>BSGatlas-transcript-3059</v>
      </c>
      <c r="B3060" s="1" t="s">
        <v>2869</v>
      </c>
      <c r="C3060" s="3">
        <v>2779113</v>
      </c>
      <c r="D3060" s="3">
        <v>2779375</v>
      </c>
      <c r="E3060" s="1" t="s">
        <v>13</v>
      </c>
      <c r="F3060" s="1">
        <v>0</v>
      </c>
      <c r="G3060" s="1" t="s">
        <v>4372</v>
      </c>
      <c r="H3060" s="1" t="s">
        <v>4372</v>
      </c>
      <c r="I3060" s="1" t="s">
        <v>4377</v>
      </c>
      <c r="J3060" s="1" t="s">
        <v>8910</v>
      </c>
      <c r="K3060" s="1" t="s">
        <v>8911</v>
      </c>
    </row>
    <row r="3061" spans="1:11" ht="21" x14ac:dyDescent="0.25">
      <c r="A3061" s="11" t="str">
        <f>HYPERLINK("https://rth.dk/resources/bsgatlas/details.php?id=BSGatlas-transcript-3060","BSGatlas-transcript-3060")</f>
        <v>BSGatlas-transcript-3060</v>
      </c>
      <c r="B3061" s="1" t="s">
        <v>2870</v>
      </c>
      <c r="C3061" s="3">
        <v>2779462</v>
      </c>
      <c r="D3061" s="3">
        <v>2780262</v>
      </c>
      <c r="E3061" s="1" t="s">
        <v>13</v>
      </c>
      <c r="F3061" s="1">
        <v>0</v>
      </c>
      <c r="G3061" s="1" t="s">
        <v>4372</v>
      </c>
      <c r="H3061" s="1" t="s">
        <v>4372</v>
      </c>
      <c r="I3061" s="1" t="s">
        <v>4386</v>
      </c>
      <c r="J3061" s="1" t="s">
        <v>318</v>
      </c>
      <c r="K3061" s="1" t="s">
        <v>318</v>
      </c>
    </row>
    <row r="3062" spans="1:11" ht="21" x14ac:dyDescent="0.25">
      <c r="A3062" s="11" t="str">
        <f>HYPERLINK("https://rth.dk/resources/bsgatlas/details.php?id=BSGatlas-transcript-3061","BSGatlas-transcript-3061")</f>
        <v>BSGatlas-transcript-3061</v>
      </c>
      <c r="B3062" s="1" t="s">
        <v>2871</v>
      </c>
      <c r="C3062" s="3">
        <v>2780319</v>
      </c>
      <c r="D3062" s="3">
        <v>2780477</v>
      </c>
      <c r="E3062" s="1" t="s">
        <v>13</v>
      </c>
      <c r="F3062" s="1">
        <v>0</v>
      </c>
      <c r="G3062" s="1" t="s">
        <v>4372</v>
      </c>
      <c r="H3062" s="1" t="s">
        <v>4372</v>
      </c>
      <c r="I3062" s="1" t="s">
        <v>4377</v>
      </c>
      <c r="J3062" s="1" t="s">
        <v>8912</v>
      </c>
      <c r="K3062" s="1" t="s">
        <v>8913</v>
      </c>
    </row>
    <row r="3063" spans="1:11" ht="21" x14ac:dyDescent="0.25">
      <c r="A3063" s="11" t="str">
        <f>HYPERLINK("https://rth.dk/resources/bsgatlas/details.php?id=BSGatlas-transcript-3062","BSGatlas-transcript-3062")</f>
        <v>BSGatlas-transcript-3062</v>
      </c>
      <c r="B3063" s="1" t="s">
        <v>2872</v>
      </c>
      <c r="C3063" s="3">
        <v>2780525</v>
      </c>
      <c r="D3063" s="3">
        <v>2780996</v>
      </c>
      <c r="E3063" s="1" t="s">
        <v>13</v>
      </c>
      <c r="F3063" s="1">
        <v>0</v>
      </c>
      <c r="G3063" s="1" t="s">
        <v>4372</v>
      </c>
      <c r="H3063" s="1" t="s">
        <v>4372</v>
      </c>
      <c r="I3063" s="1" t="s">
        <v>4386</v>
      </c>
      <c r="J3063" s="1" t="s">
        <v>8914</v>
      </c>
      <c r="K3063" s="1" t="s">
        <v>318</v>
      </c>
    </row>
    <row r="3064" spans="1:11" ht="21" x14ac:dyDescent="0.25">
      <c r="A3064" s="11" t="str">
        <f>HYPERLINK("https://rth.dk/resources/bsgatlas/details.php?id=BSGatlas-transcript-3063","BSGatlas-transcript-3063")</f>
        <v>BSGatlas-transcript-3063</v>
      </c>
      <c r="B3064" s="1" t="s">
        <v>8915</v>
      </c>
      <c r="C3064" s="3">
        <v>2781001</v>
      </c>
      <c r="D3064" s="3">
        <v>2784652</v>
      </c>
      <c r="E3064" s="1" t="s">
        <v>9</v>
      </c>
      <c r="F3064" s="1">
        <v>1</v>
      </c>
      <c r="G3064" s="1">
        <v>209</v>
      </c>
      <c r="H3064" s="1" t="s">
        <v>4372</v>
      </c>
      <c r="I3064" s="1" t="s">
        <v>4386</v>
      </c>
      <c r="J3064" s="1" t="s">
        <v>8916</v>
      </c>
      <c r="K3064" s="1" t="s">
        <v>8917</v>
      </c>
    </row>
    <row r="3065" spans="1:11" ht="21" x14ac:dyDescent="0.25">
      <c r="A3065" s="11" t="str">
        <f>HYPERLINK("https://rth.dk/resources/bsgatlas/details.php?id=BSGatlas-transcript-3064","BSGatlas-transcript-3064")</f>
        <v>BSGatlas-transcript-3064</v>
      </c>
      <c r="B3065" s="1" t="s">
        <v>8918</v>
      </c>
      <c r="C3065" s="3">
        <v>2784646</v>
      </c>
      <c r="D3065" s="3">
        <v>2787825</v>
      </c>
      <c r="E3065" s="1" t="s">
        <v>13</v>
      </c>
      <c r="F3065" s="1">
        <v>2</v>
      </c>
      <c r="G3065" s="1" t="s">
        <v>4372</v>
      </c>
      <c r="H3065" s="1">
        <v>43</v>
      </c>
      <c r="I3065" s="1" t="s">
        <v>4377</v>
      </c>
      <c r="J3065" s="1" t="s">
        <v>8919</v>
      </c>
      <c r="K3065" s="1" t="s">
        <v>8920</v>
      </c>
    </row>
    <row r="3066" spans="1:11" ht="21" x14ac:dyDescent="0.25">
      <c r="A3066" s="11" t="str">
        <f>HYPERLINK("https://rth.dk/resources/bsgatlas/details.php?id=BSGatlas-transcript-3065","BSGatlas-transcript-3065")</f>
        <v>BSGatlas-transcript-3065</v>
      </c>
      <c r="B3066" s="1" t="s">
        <v>8918</v>
      </c>
      <c r="C3066" s="3">
        <v>2784646</v>
      </c>
      <c r="D3066" s="3">
        <v>2788073</v>
      </c>
      <c r="E3066" s="1" t="s">
        <v>13</v>
      </c>
      <c r="F3066" s="1">
        <v>2</v>
      </c>
      <c r="G3066" s="1">
        <v>249</v>
      </c>
      <c r="H3066" s="1">
        <v>43</v>
      </c>
      <c r="I3066" s="1" t="s">
        <v>4377</v>
      </c>
      <c r="J3066" s="1" t="s">
        <v>8921</v>
      </c>
      <c r="K3066" s="1" t="s">
        <v>8920</v>
      </c>
    </row>
    <row r="3067" spans="1:11" ht="21" x14ac:dyDescent="0.25">
      <c r="A3067" s="11" t="str">
        <f>HYPERLINK("https://rth.dk/resources/bsgatlas/details.php?id=BSGatlas-transcript-3066","BSGatlas-transcript-3066")</f>
        <v>BSGatlas-transcript-3066</v>
      </c>
      <c r="B3067" s="1" t="s">
        <v>8922</v>
      </c>
      <c r="C3067" s="3">
        <v>2784646</v>
      </c>
      <c r="D3067" s="3">
        <v>2788546</v>
      </c>
      <c r="E3067" s="1" t="s">
        <v>13</v>
      </c>
      <c r="F3067" s="1">
        <v>3</v>
      </c>
      <c r="G3067" s="1">
        <v>60</v>
      </c>
      <c r="H3067" s="1">
        <v>43</v>
      </c>
      <c r="I3067" s="1" t="s">
        <v>4373</v>
      </c>
      <c r="J3067" s="1" t="s">
        <v>8923</v>
      </c>
      <c r="K3067" s="1" t="s">
        <v>8920</v>
      </c>
    </row>
    <row r="3068" spans="1:11" ht="21" x14ac:dyDescent="0.25">
      <c r="A3068" s="11" t="str">
        <f>HYPERLINK("https://rth.dk/resources/bsgatlas/details.php?id=BSGatlas-transcript-3067","BSGatlas-transcript-3067")</f>
        <v>BSGatlas-transcript-3067</v>
      </c>
      <c r="B3068" s="1" t="s">
        <v>2878</v>
      </c>
      <c r="C3068" s="3">
        <v>2787036</v>
      </c>
      <c r="D3068" s="3">
        <v>2787825</v>
      </c>
      <c r="E3068" s="1" t="s">
        <v>13</v>
      </c>
      <c r="F3068" s="1">
        <v>0</v>
      </c>
      <c r="G3068" s="1" t="s">
        <v>4372</v>
      </c>
      <c r="H3068" s="1" t="s">
        <v>4372</v>
      </c>
      <c r="I3068" s="1" t="s">
        <v>4377</v>
      </c>
      <c r="J3068" s="1" t="s">
        <v>8919</v>
      </c>
      <c r="K3068" s="1" t="s">
        <v>8924</v>
      </c>
    </row>
    <row r="3069" spans="1:11" ht="21" x14ac:dyDescent="0.25">
      <c r="A3069" s="11" t="str">
        <f>HYPERLINK("https://rth.dk/resources/bsgatlas/details.php?id=BSGatlas-transcript-3068","BSGatlas-transcript-3068")</f>
        <v>BSGatlas-transcript-3068</v>
      </c>
      <c r="B3069" s="1" t="s">
        <v>2878</v>
      </c>
      <c r="C3069" s="3">
        <v>2787036</v>
      </c>
      <c r="D3069" s="3">
        <v>2788073</v>
      </c>
      <c r="E3069" s="1" t="s">
        <v>13</v>
      </c>
      <c r="F3069" s="1">
        <v>0</v>
      </c>
      <c r="G3069" s="1" t="s">
        <v>4372</v>
      </c>
      <c r="H3069" s="1" t="s">
        <v>4372</v>
      </c>
      <c r="I3069" s="1" t="s">
        <v>4377</v>
      </c>
      <c r="J3069" s="1" t="s">
        <v>8921</v>
      </c>
      <c r="K3069" s="1" t="s">
        <v>8924</v>
      </c>
    </row>
    <row r="3070" spans="1:11" ht="21" x14ac:dyDescent="0.25">
      <c r="A3070" s="11" t="str">
        <f>HYPERLINK("https://rth.dk/resources/bsgatlas/details.php?id=BSGatlas-transcript-3069","BSGatlas-transcript-3069")</f>
        <v>BSGatlas-transcript-3069</v>
      </c>
      <c r="B3070" s="1" t="s">
        <v>8925</v>
      </c>
      <c r="C3070" s="3">
        <v>2787036</v>
      </c>
      <c r="D3070" s="3">
        <v>2788546</v>
      </c>
      <c r="E3070" s="1" t="s">
        <v>13</v>
      </c>
      <c r="F3070" s="1">
        <v>1</v>
      </c>
      <c r="G3070" s="1">
        <v>60</v>
      </c>
      <c r="H3070" s="1">
        <v>95</v>
      </c>
      <c r="I3070" s="1" t="s">
        <v>4377</v>
      </c>
      <c r="J3070" s="1" t="s">
        <v>8923</v>
      </c>
      <c r="K3070" s="1" t="s">
        <v>8924</v>
      </c>
    </row>
    <row r="3071" spans="1:11" ht="21" x14ac:dyDescent="0.25">
      <c r="A3071" s="11" t="str">
        <f>HYPERLINK("https://rth.dk/resources/bsgatlas/details.php?id=BSGatlas-transcript-3070","BSGatlas-transcript-3070")</f>
        <v>BSGatlas-transcript-3070</v>
      </c>
      <c r="B3071" s="1" t="s">
        <v>2880</v>
      </c>
      <c r="C3071" s="3">
        <v>2788570</v>
      </c>
      <c r="D3071" s="3">
        <v>2788912</v>
      </c>
      <c r="E3071" s="1" t="s">
        <v>9</v>
      </c>
      <c r="F3071" s="1">
        <v>0</v>
      </c>
      <c r="G3071" s="1" t="s">
        <v>4372</v>
      </c>
      <c r="H3071" s="1" t="s">
        <v>4372</v>
      </c>
      <c r="I3071" s="1" t="s">
        <v>4397</v>
      </c>
      <c r="J3071" s="1" t="s">
        <v>8926</v>
      </c>
      <c r="K3071" s="1" t="s">
        <v>8927</v>
      </c>
    </row>
    <row r="3072" spans="1:11" ht="21" x14ac:dyDescent="0.25">
      <c r="A3072" s="11" t="str">
        <f>HYPERLINK("https://rth.dk/resources/bsgatlas/details.php?id=BSGatlas-transcript-3071","BSGatlas-transcript-3071")</f>
        <v>BSGatlas-transcript-3071</v>
      </c>
      <c r="B3072" s="1" t="s">
        <v>2880</v>
      </c>
      <c r="C3072" s="3">
        <v>2788636</v>
      </c>
      <c r="D3072" s="3">
        <v>2788912</v>
      </c>
      <c r="E3072" s="1" t="s">
        <v>9</v>
      </c>
      <c r="F3072" s="1">
        <v>0</v>
      </c>
      <c r="G3072" s="1" t="s">
        <v>4372</v>
      </c>
      <c r="H3072" s="1" t="s">
        <v>4372</v>
      </c>
      <c r="I3072" s="1" t="s">
        <v>4397</v>
      </c>
      <c r="J3072" s="1" t="s">
        <v>8928</v>
      </c>
      <c r="K3072" s="1" t="s">
        <v>8927</v>
      </c>
    </row>
    <row r="3073" spans="1:11" ht="21" x14ac:dyDescent="0.25">
      <c r="A3073" s="11" t="str">
        <f>HYPERLINK("https://rth.dk/resources/bsgatlas/details.php?id=BSGatlas-transcript-3072","BSGatlas-transcript-3072")</f>
        <v>BSGatlas-transcript-3072</v>
      </c>
      <c r="B3073" s="1" t="s">
        <v>2881</v>
      </c>
      <c r="C3073" s="3">
        <v>2788876</v>
      </c>
      <c r="D3073" s="3">
        <v>2789724</v>
      </c>
      <c r="E3073" s="1" t="s">
        <v>13</v>
      </c>
      <c r="F3073" s="1">
        <v>0</v>
      </c>
      <c r="G3073" s="1" t="s">
        <v>4372</v>
      </c>
      <c r="H3073" s="1" t="s">
        <v>4372</v>
      </c>
      <c r="I3073" s="1" t="s">
        <v>4377</v>
      </c>
      <c r="J3073" s="1" t="s">
        <v>8929</v>
      </c>
      <c r="K3073" s="1" t="s">
        <v>8930</v>
      </c>
    </row>
    <row r="3074" spans="1:11" ht="21" x14ac:dyDescent="0.25">
      <c r="A3074" s="11" t="str">
        <f>HYPERLINK("https://rth.dk/resources/bsgatlas/details.php?id=BSGatlas-transcript-3073","BSGatlas-transcript-3073")</f>
        <v>BSGatlas-transcript-3073</v>
      </c>
      <c r="B3074" s="1" t="s">
        <v>8931</v>
      </c>
      <c r="C3074" s="3">
        <v>2788876</v>
      </c>
      <c r="D3074" s="3">
        <v>2791440</v>
      </c>
      <c r="E3074" s="1" t="s">
        <v>13</v>
      </c>
      <c r="F3074" s="1">
        <v>1</v>
      </c>
      <c r="G3074" s="1" t="s">
        <v>4372</v>
      </c>
      <c r="H3074" s="1">
        <v>45</v>
      </c>
      <c r="I3074" s="1" t="s">
        <v>4373</v>
      </c>
      <c r="J3074" s="1" t="s">
        <v>8932</v>
      </c>
      <c r="K3074" s="1" t="s">
        <v>8930</v>
      </c>
    </row>
    <row r="3075" spans="1:11" ht="21" x14ac:dyDescent="0.25">
      <c r="A3075" s="11" t="str">
        <f>HYPERLINK("https://rth.dk/resources/bsgatlas/details.php?id=BSGatlas-transcript-3074","BSGatlas-transcript-3074")</f>
        <v>BSGatlas-transcript-3074</v>
      </c>
      <c r="B3075" s="1" t="s">
        <v>8931</v>
      </c>
      <c r="C3075" s="3">
        <v>2788876</v>
      </c>
      <c r="D3075" s="3">
        <v>2791440</v>
      </c>
      <c r="E3075" s="1" t="s">
        <v>13</v>
      </c>
      <c r="F3075" s="1">
        <v>1</v>
      </c>
      <c r="G3075" s="1" t="s">
        <v>4372</v>
      </c>
      <c r="H3075" s="1">
        <v>45</v>
      </c>
      <c r="I3075" s="1" t="s">
        <v>4373</v>
      </c>
      <c r="J3075" s="1" t="s">
        <v>8933</v>
      </c>
      <c r="K3075" s="1" t="s">
        <v>8930</v>
      </c>
    </row>
    <row r="3076" spans="1:11" ht="21" x14ac:dyDescent="0.25">
      <c r="A3076" s="11" t="str">
        <f>HYPERLINK("https://rth.dk/resources/bsgatlas/details.php?id=BSGatlas-transcript-3075","BSGatlas-transcript-3075")</f>
        <v>BSGatlas-transcript-3075</v>
      </c>
      <c r="B3076" s="1" t="s">
        <v>8931</v>
      </c>
      <c r="C3076" s="3">
        <v>2788876</v>
      </c>
      <c r="D3076" s="3">
        <v>2791440</v>
      </c>
      <c r="E3076" s="1" t="s">
        <v>13</v>
      </c>
      <c r="F3076" s="1">
        <v>1</v>
      </c>
      <c r="G3076" s="1" t="s">
        <v>4372</v>
      </c>
      <c r="H3076" s="1">
        <v>45</v>
      </c>
      <c r="I3076" s="1" t="s">
        <v>4373</v>
      </c>
      <c r="J3076" s="1" t="s">
        <v>8934</v>
      </c>
      <c r="K3076" s="1" t="s">
        <v>8930</v>
      </c>
    </row>
    <row r="3077" spans="1:11" ht="21" x14ac:dyDescent="0.25">
      <c r="A3077" s="11" t="str">
        <f>HYPERLINK("https://rth.dk/resources/bsgatlas/details.php?id=BSGatlas-transcript-3076","BSGatlas-transcript-3076")</f>
        <v>BSGatlas-transcript-3076</v>
      </c>
      <c r="B3077" s="1" t="s">
        <v>2883</v>
      </c>
      <c r="C3077" s="3">
        <v>2791479</v>
      </c>
      <c r="D3077" s="3">
        <v>2792100</v>
      </c>
      <c r="E3077" s="1" t="s">
        <v>13</v>
      </c>
      <c r="F3077" s="1">
        <v>0</v>
      </c>
      <c r="G3077" s="1" t="s">
        <v>4372</v>
      </c>
      <c r="H3077" s="1" t="s">
        <v>4372</v>
      </c>
      <c r="I3077" s="1" t="s">
        <v>4386</v>
      </c>
      <c r="J3077" s="1" t="s">
        <v>8935</v>
      </c>
      <c r="K3077" s="1" t="s">
        <v>8936</v>
      </c>
    </row>
    <row r="3078" spans="1:11" ht="21" x14ac:dyDescent="0.25">
      <c r="A3078" s="11" t="str">
        <f>HYPERLINK("https://rth.dk/resources/bsgatlas/details.php?id=BSGatlas-transcript-3077","BSGatlas-transcript-3077")</f>
        <v>BSGatlas-transcript-3077</v>
      </c>
      <c r="B3078" s="1" t="s">
        <v>2883</v>
      </c>
      <c r="C3078" s="3">
        <v>2791479</v>
      </c>
      <c r="D3078" s="3">
        <v>2792210</v>
      </c>
      <c r="E3078" s="1" t="s">
        <v>13</v>
      </c>
      <c r="F3078" s="1">
        <v>0</v>
      </c>
      <c r="G3078" s="1" t="s">
        <v>4372</v>
      </c>
      <c r="H3078" s="1" t="s">
        <v>4372</v>
      </c>
      <c r="I3078" s="1" t="s">
        <v>4386</v>
      </c>
      <c r="J3078" s="1" t="s">
        <v>8937</v>
      </c>
      <c r="K3078" s="1" t="s">
        <v>8936</v>
      </c>
    </row>
    <row r="3079" spans="1:11" ht="21" x14ac:dyDescent="0.25">
      <c r="A3079" s="11" t="str">
        <f>HYPERLINK("https://rth.dk/resources/bsgatlas/details.php?id=BSGatlas-transcript-3078","BSGatlas-transcript-3078")</f>
        <v>BSGatlas-transcript-3078</v>
      </c>
      <c r="B3079" s="1" t="s">
        <v>8938</v>
      </c>
      <c r="C3079" s="3">
        <v>2791479</v>
      </c>
      <c r="D3079" s="3">
        <v>2795840</v>
      </c>
      <c r="E3079" s="1" t="s">
        <v>13</v>
      </c>
      <c r="F3079" s="1">
        <v>2</v>
      </c>
      <c r="G3079" s="1">
        <v>106</v>
      </c>
      <c r="H3079" s="1">
        <v>16</v>
      </c>
      <c r="I3079" s="1" t="s">
        <v>4386</v>
      </c>
      <c r="J3079" s="1" t="s">
        <v>8939</v>
      </c>
      <c r="K3079" s="1" t="s">
        <v>8936</v>
      </c>
    </row>
    <row r="3080" spans="1:11" ht="21" x14ac:dyDescent="0.25">
      <c r="A3080" s="11" t="str">
        <f>HYPERLINK("https://rth.dk/resources/bsgatlas/details.php?id=BSGatlas-transcript-3079","BSGatlas-transcript-3079")</f>
        <v>BSGatlas-transcript-3079</v>
      </c>
      <c r="B3080" s="1" t="s">
        <v>2888</v>
      </c>
      <c r="C3080" s="3">
        <v>2795865</v>
      </c>
      <c r="D3080" s="3">
        <v>2797005</v>
      </c>
      <c r="E3080" s="1" t="s">
        <v>13</v>
      </c>
      <c r="F3080" s="1">
        <v>0</v>
      </c>
      <c r="G3080" s="1" t="s">
        <v>4372</v>
      </c>
      <c r="H3080" s="1" t="s">
        <v>4372</v>
      </c>
      <c r="I3080" s="1" t="s">
        <v>4397</v>
      </c>
      <c r="J3080" s="1" t="s">
        <v>8940</v>
      </c>
      <c r="K3080" s="1" t="s">
        <v>8941</v>
      </c>
    </row>
    <row r="3081" spans="1:11" ht="21" x14ac:dyDescent="0.25">
      <c r="A3081" s="11" t="str">
        <f>HYPERLINK("https://rth.dk/resources/bsgatlas/details.php?id=BSGatlas-transcript-3080","BSGatlas-transcript-3080")</f>
        <v>BSGatlas-transcript-3080</v>
      </c>
      <c r="B3081" s="1" t="s">
        <v>2888</v>
      </c>
      <c r="C3081" s="3">
        <v>2795887</v>
      </c>
      <c r="D3081" s="3">
        <v>2797005</v>
      </c>
      <c r="E3081" s="1" t="s">
        <v>13</v>
      </c>
      <c r="F3081" s="1">
        <v>0</v>
      </c>
      <c r="G3081" s="1" t="s">
        <v>4372</v>
      </c>
      <c r="H3081" s="1" t="s">
        <v>4372</v>
      </c>
      <c r="I3081" s="1" t="s">
        <v>4397</v>
      </c>
      <c r="J3081" s="1" t="s">
        <v>8940</v>
      </c>
      <c r="K3081" s="1" t="s">
        <v>8942</v>
      </c>
    </row>
    <row r="3082" spans="1:11" ht="21" x14ac:dyDescent="0.25">
      <c r="A3082" s="11" t="str">
        <f>HYPERLINK("https://rth.dk/resources/bsgatlas/details.php?id=BSGatlas-transcript-3081","BSGatlas-transcript-3081")</f>
        <v>BSGatlas-transcript-3081</v>
      </c>
      <c r="B3082" s="1" t="s">
        <v>8943</v>
      </c>
      <c r="C3082" s="3">
        <v>2797073</v>
      </c>
      <c r="D3082" s="3">
        <v>2797815</v>
      </c>
      <c r="E3082" s="1" t="s">
        <v>13</v>
      </c>
      <c r="F3082" s="1">
        <v>1</v>
      </c>
      <c r="G3082" s="1" t="s">
        <v>4372</v>
      </c>
      <c r="H3082" s="1">
        <v>28</v>
      </c>
      <c r="I3082" s="1" t="s">
        <v>4377</v>
      </c>
      <c r="J3082" s="1" t="s">
        <v>8944</v>
      </c>
      <c r="K3082" s="1" t="s">
        <v>8945</v>
      </c>
    </row>
    <row r="3083" spans="1:11" ht="21" x14ac:dyDescent="0.25">
      <c r="A3083" s="11" t="str">
        <f>HYPERLINK("https://rth.dk/resources/bsgatlas/details.php?id=BSGatlas-transcript-3082","BSGatlas-transcript-3082")</f>
        <v>BSGatlas-transcript-3082</v>
      </c>
      <c r="B3083" s="1" t="s">
        <v>8946</v>
      </c>
      <c r="C3083" s="3">
        <v>2797073</v>
      </c>
      <c r="D3083" s="3">
        <v>2798150</v>
      </c>
      <c r="E3083" s="1" t="s">
        <v>13</v>
      </c>
      <c r="F3083" s="1">
        <v>1</v>
      </c>
      <c r="G3083" s="1">
        <v>62</v>
      </c>
      <c r="H3083" s="1">
        <v>28</v>
      </c>
      <c r="I3083" s="1" t="s">
        <v>4386</v>
      </c>
      <c r="J3083" s="1" t="s">
        <v>8947</v>
      </c>
      <c r="K3083" s="1" t="s">
        <v>8945</v>
      </c>
    </row>
    <row r="3084" spans="1:11" ht="21" x14ac:dyDescent="0.25">
      <c r="A3084" s="11" t="str">
        <f>HYPERLINK("https://rth.dk/resources/bsgatlas/details.php?id=BSGatlas-transcript-3083","BSGatlas-transcript-3083")</f>
        <v>BSGatlas-transcript-3083</v>
      </c>
      <c r="B3084" s="1" t="s">
        <v>8948</v>
      </c>
      <c r="C3084" s="3">
        <v>2797073</v>
      </c>
      <c r="D3084" s="3">
        <v>2800810</v>
      </c>
      <c r="E3084" s="1" t="s">
        <v>13</v>
      </c>
      <c r="F3084" s="1">
        <v>2</v>
      </c>
      <c r="G3084" s="1" t="s">
        <v>4372</v>
      </c>
      <c r="H3084" s="1">
        <v>28</v>
      </c>
      <c r="I3084" s="1" t="s">
        <v>4386</v>
      </c>
      <c r="J3084" s="1" t="s">
        <v>8949</v>
      </c>
      <c r="K3084" s="1" t="s">
        <v>8945</v>
      </c>
    </row>
    <row r="3085" spans="1:11" ht="21" x14ac:dyDescent="0.25">
      <c r="A3085" s="11" t="str">
        <f>HYPERLINK("https://rth.dk/resources/bsgatlas/details.php?id=BSGatlas-transcript-3084","BSGatlas-transcript-3084")</f>
        <v>BSGatlas-transcript-3084</v>
      </c>
      <c r="B3085" s="1" t="s">
        <v>8948</v>
      </c>
      <c r="C3085" s="3">
        <v>2797073</v>
      </c>
      <c r="D3085" s="3">
        <v>2801120</v>
      </c>
      <c r="E3085" s="1" t="s">
        <v>13</v>
      </c>
      <c r="F3085" s="1">
        <v>2</v>
      </c>
      <c r="G3085" s="1">
        <v>311</v>
      </c>
      <c r="H3085" s="1">
        <v>28</v>
      </c>
      <c r="I3085" s="1" t="s">
        <v>4386</v>
      </c>
      <c r="J3085" s="1" t="s">
        <v>8950</v>
      </c>
      <c r="K3085" s="1" t="s">
        <v>8945</v>
      </c>
    </row>
    <row r="3086" spans="1:11" ht="21" x14ac:dyDescent="0.25">
      <c r="A3086" s="11" t="str">
        <f>HYPERLINK("https://rth.dk/resources/bsgatlas/details.php?id=BSGatlas-transcript-3085","BSGatlas-transcript-3085")</f>
        <v>BSGatlas-transcript-3085</v>
      </c>
      <c r="B3086" s="1" t="s">
        <v>8943</v>
      </c>
      <c r="C3086" s="3">
        <v>2797100</v>
      </c>
      <c r="D3086" s="3">
        <v>2797815</v>
      </c>
      <c r="E3086" s="1" t="s">
        <v>13</v>
      </c>
      <c r="F3086" s="1">
        <v>1</v>
      </c>
      <c r="G3086" s="1" t="s">
        <v>4372</v>
      </c>
      <c r="H3086" s="1" t="s">
        <v>4372</v>
      </c>
      <c r="I3086" s="1" t="s">
        <v>4377</v>
      </c>
      <c r="J3086" s="1" t="s">
        <v>8944</v>
      </c>
      <c r="K3086" s="1" t="s">
        <v>8951</v>
      </c>
    </row>
    <row r="3087" spans="1:11" ht="21" x14ac:dyDescent="0.25">
      <c r="A3087" s="11" t="str">
        <f>HYPERLINK("https://rth.dk/resources/bsgatlas/details.php?id=BSGatlas-transcript-3086","BSGatlas-transcript-3086")</f>
        <v>BSGatlas-transcript-3086</v>
      </c>
      <c r="B3087" s="1" t="s">
        <v>8946</v>
      </c>
      <c r="C3087" s="3">
        <v>2797100</v>
      </c>
      <c r="D3087" s="3">
        <v>2798150</v>
      </c>
      <c r="E3087" s="1" t="s">
        <v>13</v>
      </c>
      <c r="F3087" s="1">
        <v>1</v>
      </c>
      <c r="G3087" s="1">
        <v>62</v>
      </c>
      <c r="H3087" s="1" t="s">
        <v>4372</v>
      </c>
      <c r="I3087" s="1" t="s">
        <v>4386</v>
      </c>
      <c r="J3087" s="1" t="s">
        <v>8947</v>
      </c>
      <c r="K3087" s="1" t="s">
        <v>8951</v>
      </c>
    </row>
    <row r="3088" spans="1:11" ht="21" x14ac:dyDescent="0.25">
      <c r="A3088" s="11" t="str">
        <f>HYPERLINK("https://rth.dk/resources/bsgatlas/details.php?id=BSGatlas-transcript-3087","BSGatlas-transcript-3087")</f>
        <v>BSGatlas-transcript-3087</v>
      </c>
      <c r="B3088" s="1" t="s">
        <v>8948</v>
      </c>
      <c r="C3088" s="3">
        <v>2797100</v>
      </c>
      <c r="D3088" s="3">
        <v>2800810</v>
      </c>
      <c r="E3088" s="1" t="s">
        <v>13</v>
      </c>
      <c r="F3088" s="1">
        <v>2</v>
      </c>
      <c r="G3088" s="1" t="s">
        <v>4372</v>
      </c>
      <c r="H3088" s="1" t="s">
        <v>4372</v>
      </c>
      <c r="I3088" s="1" t="s">
        <v>4386</v>
      </c>
      <c r="J3088" s="1" t="s">
        <v>8949</v>
      </c>
      <c r="K3088" s="1" t="s">
        <v>8951</v>
      </c>
    </row>
    <row r="3089" spans="1:11" ht="21" x14ac:dyDescent="0.25">
      <c r="A3089" s="11" t="str">
        <f>HYPERLINK("https://rth.dk/resources/bsgatlas/details.php?id=BSGatlas-transcript-3088","BSGatlas-transcript-3088")</f>
        <v>BSGatlas-transcript-3088</v>
      </c>
      <c r="B3089" s="1" t="s">
        <v>8948</v>
      </c>
      <c r="C3089" s="3">
        <v>2797100</v>
      </c>
      <c r="D3089" s="3">
        <v>2801120</v>
      </c>
      <c r="E3089" s="1" t="s">
        <v>13</v>
      </c>
      <c r="F3089" s="1">
        <v>2</v>
      </c>
      <c r="G3089" s="1">
        <v>311</v>
      </c>
      <c r="H3089" s="1" t="s">
        <v>4372</v>
      </c>
      <c r="I3089" s="1" t="s">
        <v>4386</v>
      </c>
      <c r="J3089" s="1" t="s">
        <v>8950</v>
      </c>
      <c r="K3089" s="1" t="s">
        <v>8951</v>
      </c>
    </row>
    <row r="3090" spans="1:11" ht="21" x14ac:dyDescent="0.25">
      <c r="A3090" s="11" t="str">
        <f>HYPERLINK("https://rth.dk/resources/bsgatlas/details.php?id=BSGatlas-transcript-3089","BSGatlas-transcript-3089")</f>
        <v>BSGatlas-transcript-3089</v>
      </c>
      <c r="B3090" s="1" t="s">
        <v>2893</v>
      </c>
      <c r="C3090" s="3">
        <v>2798008</v>
      </c>
      <c r="D3090" s="3">
        <v>2799197</v>
      </c>
      <c r="E3090" s="1" t="s">
        <v>9</v>
      </c>
      <c r="F3090" s="1">
        <v>0</v>
      </c>
      <c r="G3090" s="1" t="s">
        <v>4372</v>
      </c>
      <c r="H3090" s="1" t="s">
        <v>4372</v>
      </c>
      <c r="I3090" s="1" t="s">
        <v>4377</v>
      </c>
      <c r="J3090" s="1" t="s">
        <v>8952</v>
      </c>
      <c r="K3090" s="1" t="s">
        <v>318</v>
      </c>
    </row>
    <row r="3091" spans="1:11" ht="21" x14ac:dyDescent="0.25">
      <c r="A3091" s="11" t="str">
        <f>HYPERLINK("https://rth.dk/resources/bsgatlas/details.php?id=BSGatlas-transcript-3090","BSGatlas-transcript-3090")</f>
        <v>BSGatlas-transcript-3090</v>
      </c>
      <c r="B3091" s="1" t="s">
        <v>2894</v>
      </c>
      <c r="C3091" s="3">
        <v>2801141</v>
      </c>
      <c r="D3091" s="3">
        <v>2802220</v>
      </c>
      <c r="E3091" s="1" t="s">
        <v>13</v>
      </c>
      <c r="F3091" s="1">
        <v>0</v>
      </c>
      <c r="G3091" s="1" t="s">
        <v>4372</v>
      </c>
      <c r="H3091" s="1" t="s">
        <v>4372</v>
      </c>
      <c r="I3091" s="1" t="s">
        <v>4377</v>
      </c>
      <c r="J3091" s="1" t="s">
        <v>8953</v>
      </c>
      <c r="K3091" s="1" t="s">
        <v>318</v>
      </c>
    </row>
    <row r="3092" spans="1:11" ht="21" x14ac:dyDescent="0.25">
      <c r="A3092" s="11" t="str">
        <f>HYPERLINK("https://rth.dk/resources/bsgatlas/details.php?id=BSGatlas-transcript-3091","BSGatlas-transcript-3091")</f>
        <v>BSGatlas-transcript-3091</v>
      </c>
      <c r="B3092" s="1" t="s">
        <v>8954</v>
      </c>
      <c r="C3092" s="3">
        <v>2802123</v>
      </c>
      <c r="D3092" s="3">
        <v>2803981</v>
      </c>
      <c r="E3092" s="1" t="s">
        <v>9</v>
      </c>
      <c r="F3092" s="1">
        <v>1</v>
      </c>
      <c r="G3092" s="1">
        <v>236</v>
      </c>
      <c r="H3092" s="1">
        <v>53</v>
      </c>
      <c r="I3092" s="1" t="s">
        <v>4377</v>
      </c>
      <c r="J3092" s="1" t="s">
        <v>8955</v>
      </c>
      <c r="K3092" s="1" t="s">
        <v>8956</v>
      </c>
    </row>
    <row r="3093" spans="1:11" ht="21" x14ac:dyDescent="0.25">
      <c r="A3093" s="11" t="str">
        <f>HYPERLINK("https://rth.dk/resources/bsgatlas/details.php?id=BSGatlas-transcript-3092","BSGatlas-transcript-3092")</f>
        <v>BSGatlas-transcript-3092</v>
      </c>
      <c r="B3093" s="1" t="s">
        <v>8957</v>
      </c>
      <c r="C3093" s="3">
        <v>2802123</v>
      </c>
      <c r="D3093" s="3">
        <v>2805354</v>
      </c>
      <c r="E3093" s="1" t="s">
        <v>9</v>
      </c>
      <c r="F3093" s="1">
        <v>3</v>
      </c>
      <c r="G3093" s="1">
        <v>236</v>
      </c>
      <c r="H3093" s="1">
        <v>42</v>
      </c>
      <c r="I3093" s="1" t="s">
        <v>4373</v>
      </c>
      <c r="J3093" s="1" t="s">
        <v>8955</v>
      </c>
      <c r="K3093" s="1" t="s">
        <v>8958</v>
      </c>
    </row>
    <row r="3094" spans="1:11" ht="21" x14ac:dyDescent="0.25">
      <c r="A3094" s="11" t="str">
        <f>HYPERLINK("https://rth.dk/resources/bsgatlas/details.php?id=BSGatlas-transcript-3093","BSGatlas-transcript-3093")</f>
        <v>BSGatlas-transcript-3093</v>
      </c>
      <c r="B3094" s="1" t="s">
        <v>8959</v>
      </c>
      <c r="C3094" s="3">
        <v>2805303</v>
      </c>
      <c r="D3094" s="3">
        <v>2805815</v>
      </c>
      <c r="E3094" s="1" t="s">
        <v>13</v>
      </c>
      <c r="F3094" s="1">
        <v>1</v>
      </c>
      <c r="G3094" s="1">
        <v>124</v>
      </c>
      <c r="H3094" s="1">
        <v>46</v>
      </c>
      <c r="I3094" s="1" t="s">
        <v>4386</v>
      </c>
      <c r="J3094" s="1" t="s">
        <v>8960</v>
      </c>
      <c r="K3094" s="1" t="s">
        <v>8961</v>
      </c>
    </row>
    <row r="3095" spans="1:11" ht="21" x14ac:dyDescent="0.25">
      <c r="A3095" s="11" t="str">
        <f>HYPERLINK("https://rth.dk/resources/bsgatlas/details.php?id=BSGatlas-transcript-3094","BSGatlas-transcript-3094")</f>
        <v>BSGatlas-transcript-3094</v>
      </c>
      <c r="B3095" s="1" t="s">
        <v>8962</v>
      </c>
      <c r="C3095" s="3">
        <v>2805303</v>
      </c>
      <c r="D3095" s="3">
        <v>2806228</v>
      </c>
      <c r="E3095" s="1" t="s">
        <v>13</v>
      </c>
      <c r="F3095" s="1">
        <v>1</v>
      </c>
      <c r="G3095" s="1" t="s">
        <v>4372</v>
      </c>
      <c r="H3095" s="1">
        <v>46</v>
      </c>
      <c r="I3095" s="1" t="s">
        <v>4386</v>
      </c>
      <c r="J3095" s="1" t="s">
        <v>8963</v>
      </c>
      <c r="K3095" s="1" t="s">
        <v>8961</v>
      </c>
    </row>
    <row r="3096" spans="1:11" ht="21" x14ac:dyDescent="0.25">
      <c r="A3096" s="11" t="str">
        <f>HYPERLINK("https://rth.dk/resources/bsgatlas/details.php?id=BSGatlas-transcript-3095","BSGatlas-transcript-3095")</f>
        <v>BSGatlas-transcript-3095</v>
      </c>
      <c r="B3096" s="1" t="s">
        <v>2901</v>
      </c>
      <c r="C3096" s="3">
        <v>2805704</v>
      </c>
      <c r="D3096" s="3">
        <v>2806228</v>
      </c>
      <c r="E3096" s="1" t="s">
        <v>13</v>
      </c>
      <c r="F3096" s="1">
        <v>0</v>
      </c>
      <c r="G3096" s="1" t="s">
        <v>4372</v>
      </c>
      <c r="H3096" s="1" t="s">
        <v>4372</v>
      </c>
      <c r="I3096" s="1" t="s">
        <v>4373</v>
      </c>
      <c r="J3096" s="1" t="s">
        <v>8963</v>
      </c>
      <c r="K3096" s="1" t="s">
        <v>318</v>
      </c>
    </row>
    <row r="3097" spans="1:11" ht="21" x14ac:dyDescent="0.25">
      <c r="A3097" s="11" t="str">
        <f>HYPERLINK("https://rth.dk/resources/bsgatlas/details.php?id=BSGatlas-transcript-3096","BSGatlas-transcript-3096")</f>
        <v>BSGatlas-transcript-3096</v>
      </c>
      <c r="B3097" s="1" t="s">
        <v>8964</v>
      </c>
      <c r="C3097" s="3">
        <v>2806286</v>
      </c>
      <c r="D3097" s="3">
        <v>2811698</v>
      </c>
      <c r="E3097" s="1" t="s">
        <v>13</v>
      </c>
      <c r="F3097" s="1">
        <v>3</v>
      </c>
      <c r="G3097" s="1" t="s">
        <v>4372</v>
      </c>
      <c r="H3097" s="1" t="s">
        <v>4372</v>
      </c>
      <c r="I3097" s="1" t="s">
        <v>4377</v>
      </c>
      <c r="J3097" s="1" t="s">
        <v>8965</v>
      </c>
      <c r="K3097" s="1" t="s">
        <v>8966</v>
      </c>
    </row>
    <row r="3098" spans="1:11" ht="21" x14ac:dyDescent="0.25">
      <c r="A3098" s="11" t="str">
        <f>HYPERLINK("https://rth.dk/resources/bsgatlas/details.php?id=BSGatlas-transcript-3097","BSGatlas-transcript-3097")</f>
        <v>BSGatlas-transcript-3097</v>
      </c>
      <c r="B3098" s="1" t="s">
        <v>8964</v>
      </c>
      <c r="C3098" s="3">
        <v>2806286</v>
      </c>
      <c r="D3098" s="3">
        <v>2811698</v>
      </c>
      <c r="E3098" s="1" t="s">
        <v>13</v>
      </c>
      <c r="F3098" s="1">
        <v>3</v>
      </c>
      <c r="G3098" s="1" t="s">
        <v>4372</v>
      </c>
      <c r="H3098" s="1" t="s">
        <v>4372</v>
      </c>
      <c r="I3098" s="1" t="s">
        <v>4377</v>
      </c>
      <c r="J3098" s="1" t="s">
        <v>8965</v>
      </c>
      <c r="K3098" s="1" t="s">
        <v>8967</v>
      </c>
    </row>
    <row r="3099" spans="1:11" ht="21" x14ac:dyDescent="0.25">
      <c r="A3099" s="11" t="str">
        <f>HYPERLINK("https://rth.dk/resources/bsgatlas/details.php?id=BSGatlas-transcript-3098","BSGatlas-transcript-3098")</f>
        <v>BSGatlas-transcript-3098</v>
      </c>
      <c r="B3099" s="1" t="s">
        <v>8968</v>
      </c>
      <c r="C3099" s="3">
        <v>2806286</v>
      </c>
      <c r="D3099" s="3">
        <v>2812216</v>
      </c>
      <c r="E3099" s="1" t="s">
        <v>13</v>
      </c>
      <c r="F3099" s="1">
        <v>4</v>
      </c>
      <c r="G3099" s="1">
        <v>84</v>
      </c>
      <c r="H3099" s="1" t="s">
        <v>4372</v>
      </c>
      <c r="I3099" s="1" t="s">
        <v>4386</v>
      </c>
      <c r="J3099" s="1" t="s">
        <v>8969</v>
      </c>
      <c r="K3099" s="1" t="s">
        <v>8966</v>
      </c>
    </row>
    <row r="3100" spans="1:11" ht="21" x14ac:dyDescent="0.25">
      <c r="A3100" s="11" t="str">
        <f>HYPERLINK("https://rth.dk/resources/bsgatlas/details.php?id=BSGatlas-transcript-3099","BSGatlas-transcript-3099")</f>
        <v>BSGatlas-transcript-3099</v>
      </c>
      <c r="B3100" s="1" t="s">
        <v>8968</v>
      </c>
      <c r="C3100" s="3">
        <v>2806286</v>
      </c>
      <c r="D3100" s="3">
        <v>2812216</v>
      </c>
      <c r="E3100" s="1" t="s">
        <v>13</v>
      </c>
      <c r="F3100" s="1">
        <v>4</v>
      </c>
      <c r="G3100" s="1">
        <v>84</v>
      </c>
      <c r="H3100" s="1" t="s">
        <v>4372</v>
      </c>
      <c r="I3100" s="1" t="s">
        <v>4386</v>
      </c>
      <c r="J3100" s="1" t="s">
        <v>8969</v>
      </c>
      <c r="K3100" s="1" t="s">
        <v>8967</v>
      </c>
    </row>
    <row r="3101" spans="1:11" ht="21" x14ac:dyDescent="0.25">
      <c r="A3101" s="11" t="str">
        <f>HYPERLINK("https://rth.dk/resources/bsgatlas/details.php?id=BSGatlas-transcript-3100","BSGatlas-transcript-3100")</f>
        <v>BSGatlas-transcript-3100</v>
      </c>
      <c r="B3101" s="1" t="s">
        <v>2907</v>
      </c>
      <c r="C3101" s="3">
        <v>2806546</v>
      </c>
      <c r="D3101" s="3">
        <v>2806915</v>
      </c>
      <c r="E3101" s="1" t="s">
        <v>9</v>
      </c>
      <c r="F3101" s="1">
        <v>0</v>
      </c>
      <c r="G3101" s="1" t="s">
        <v>4372</v>
      </c>
      <c r="H3101" s="1" t="s">
        <v>4372</v>
      </c>
      <c r="I3101" s="1" t="s">
        <v>4377</v>
      </c>
      <c r="J3101" s="1" t="s">
        <v>8970</v>
      </c>
      <c r="K3101" s="1" t="s">
        <v>318</v>
      </c>
    </row>
    <row r="3102" spans="1:11" ht="21" x14ac:dyDescent="0.25">
      <c r="A3102" s="11" t="str">
        <f>HYPERLINK("https://rth.dk/resources/bsgatlas/details.php?id=BSGatlas-transcript-3101","BSGatlas-transcript-3101")</f>
        <v>BSGatlas-transcript-3101</v>
      </c>
      <c r="B3102" s="1" t="s">
        <v>8971</v>
      </c>
      <c r="C3102" s="3">
        <v>2809368</v>
      </c>
      <c r="D3102" s="3">
        <v>2811698</v>
      </c>
      <c r="E3102" s="1" t="s">
        <v>13</v>
      </c>
      <c r="F3102" s="1">
        <v>1</v>
      </c>
      <c r="G3102" s="1" t="s">
        <v>4372</v>
      </c>
      <c r="H3102" s="1">
        <v>46</v>
      </c>
      <c r="I3102" s="1" t="s">
        <v>4377</v>
      </c>
      <c r="J3102" s="1" t="s">
        <v>8965</v>
      </c>
      <c r="K3102" s="1" t="s">
        <v>8972</v>
      </c>
    </row>
    <row r="3103" spans="1:11" ht="21" x14ac:dyDescent="0.25">
      <c r="A3103" s="11" t="str">
        <f>HYPERLINK("https://rth.dk/resources/bsgatlas/details.php?id=BSGatlas-transcript-3102","BSGatlas-transcript-3102")</f>
        <v>BSGatlas-transcript-3102</v>
      </c>
      <c r="B3103" s="1" t="s">
        <v>8973</v>
      </c>
      <c r="C3103" s="3">
        <v>2809368</v>
      </c>
      <c r="D3103" s="3">
        <v>2812216</v>
      </c>
      <c r="E3103" s="1" t="s">
        <v>13</v>
      </c>
      <c r="F3103" s="1">
        <v>2</v>
      </c>
      <c r="G3103" s="1">
        <v>84</v>
      </c>
      <c r="H3103" s="1">
        <v>46</v>
      </c>
      <c r="I3103" s="1" t="s">
        <v>4373</v>
      </c>
      <c r="J3103" s="1" t="s">
        <v>8969</v>
      </c>
      <c r="K3103" s="1" t="s">
        <v>8972</v>
      </c>
    </row>
    <row r="3104" spans="1:11" ht="21" x14ac:dyDescent="0.25">
      <c r="A3104" s="11" t="str">
        <f>HYPERLINK("https://rth.dk/resources/bsgatlas/details.php?id=BSGatlas-transcript-3103","BSGatlas-transcript-3103")</f>
        <v>BSGatlas-transcript-3103</v>
      </c>
      <c r="B3104" s="1" t="s">
        <v>2908</v>
      </c>
      <c r="C3104" s="3">
        <v>2812308</v>
      </c>
      <c r="D3104" s="3">
        <v>2813622</v>
      </c>
      <c r="E3104" s="1" t="s">
        <v>9</v>
      </c>
      <c r="F3104" s="1">
        <v>0</v>
      </c>
      <c r="G3104" s="1" t="s">
        <v>4372</v>
      </c>
      <c r="H3104" s="1" t="s">
        <v>4372</v>
      </c>
      <c r="I3104" s="1" t="s">
        <v>4397</v>
      </c>
      <c r="J3104" s="1" t="s">
        <v>8974</v>
      </c>
      <c r="K3104" s="1" t="s">
        <v>8975</v>
      </c>
    </row>
    <row r="3105" spans="1:11" ht="21" x14ac:dyDescent="0.25">
      <c r="A3105" s="11" t="str">
        <f>HYPERLINK("https://rth.dk/resources/bsgatlas/details.php?id=BSGatlas-transcript-3104","BSGatlas-transcript-3104")</f>
        <v>BSGatlas-transcript-3104</v>
      </c>
      <c r="B3105" s="1" t="s">
        <v>8976</v>
      </c>
      <c r="C3105" s="3">
        <v>2813643</v>
      </c>
      <c r="D3105" s="3">
        <v>2814691</v>
      </c>
      <c r="E3105" s="1" t="s">
        <v>13</v>
      </c>
      <c r="F3105" s="1">
        <v>1</v>
      </c>
      <c r="G3105" s="1" t="s">
        <v>4372</v>
      </c>
      <c r="H3105" s="1" t="s">
        <v>4372</v>
      </c>
      <c r="I3105" s="1" t="s">
        <v>4386</v>
      </c>
      <c r="J3105" s="1" t="s">
        <v>8977</v>
      </c>
      <c r="K3105" s="1" t="s">
        <v>8978</v>
      </c>
    </row>
    <row r="3106" spans="1:11" ht="21" x14ac:dyDescent="0.25">
      <c r="A3106" s="11" t="str">
        <f>HYPERLINK("https://rth.dk/resources/bsgatlas/details.php?id=BSGatlas-transcript-3105","BSGatlas-transcript-3105")</f>
        <v>BSGatlas-transcript-3105</v>
      </c>
      <c r="B3106" s="1" t="s">
        <v>2910</v>
      </c>
      <c r="C3106" s="3">
        <v>2814489</v>
      </c>
      <c r="D3106" s="3">
        <v>2814691</v>
      </c>
      <c r="E3106" s="1" t="s">
        <v>13</v>
      </c>
      <c r="F3106" s="1">
        <v>0</v>
      </c>
      <c r="G3106" s="1" t="s">
        <v>4372</v>
      </c>
      <c r="H3106" s="1" t="s">
        <v>4372</v>
      </c>
      <c r="I3106" s="1" t="s">
        <v>4377</v>
      </c>
      <c r="J3106" s="1" t="s">
        <v>8977</v>
      </c>
      <c r="K3106" s="1" t="s">
        <v>8979</v>
      </c>
    </row>
    <row r="3107" spans="1:11" ht="21" x14ac:dyDescent="0.25">
      <c r="A3107" s="11" t="str">
        <f>HYPERLINK("https://rth.dk/resources/bsgatlas/details.php?id=BSGatlas-transcript-3106","BSGatlas-transcript-3106")</f>
        <v>BSGatlas-transcript-3106</v>
      </c>
      <c r="B3107" s="1" t="s">
        <v>8980</v>
      </c>
      <c r="C3107" s="3">
        <v>2814743</v>
      </c>
      <c r="D3107" s="3">
        <v>2818174</v>
      </c>
      <c r="E3107" s="1" t="s">
        <v>13</v>
      </c>
      <c r="F3107" s="1">
        <v>0</v>
      </c>
      <c r="G3107" s="1" t="s">
        <v>4372</v>
      </c>
      <c r="H3107" s="1" t="s">
        <v>4372</v>
      </c>
      <c r="I3107" s="1" t="s">
        <v>4386</v>
      </c>
      <c r="J3107" s="1" t="s">
        <v>8981</v>
      </c>
      <c r="K3107" s="1" t="s">
        <v>318</v>
      </c>
    </row>
    <row r="3108" spans="1:11" ht="21" x14ac:dyDescent="0.25">
      <c r="A3108" s="11" t="str">
        <f>HYPERLINK("https://rth.dk/resources/bsgatlas/details.php?id=BSGatlas-transcript-3107","BSGatlas-transcript-3107")</f>
        <v>BSGatlas-transcript-3107</v>
      </c>
      <c r="B3108" s="1" t="s">
        <v>2913</v>
      </c>
      <c r="C3108" s="3">
        <v>2817898</v>
      </c>
      <c r="D3108" s="3">
        <v>2818131</v>
      </c>
      <c r="E3108" s="1" t="s">
        <v>13</v>
      </c>
      <c r="F3108" s="1">
        <v>0</v>
      </c>
      <c r="G3108" s="1" t="s">
        <v>4372</v>
      </c>
      <c r="H3108" s="1" t="s">
        <v>4372</v>
      </c>
      <c r="I3108" s="1" t="s">
        <v>4377</v>
      </c>
      <c r="J3108" s="1" t="s">
        <v>318</v>
      </c>
      <c r="K3108" s="1" t="s">
        <v>8982</v>
      </c>
    </row>
    <row r="3109" spans="1:11" ht="21" x14ac:dyDescent="0.25">
      <c r="A3109" s="11" t="str">
        <f>HYPERLINK("https://rth.dk/resources/bsgatlas/details.php?id=BSGatlas-transcript-3108","BSGatlas-transcript-3108")</f>
        <v>BSGatlas-transcript-3108</v>
      </c>
      <c r="B3109" s="1" t="s">
        <v>2914</v>
      </c>
      <c r="C3109" s="3">
        <v>2818161</v>
      </c>
      <c r="D3109" s="3">
        <v>2820086</v>
      </c>
      <c r="E3109" s="1" t="s">
        <v>9</v>
      </c>
      <c r="F3109" s="1">
        <v>0</v>
      </c>
      <c r="G3109" s="1" t="s">
        <v>4372</v>
      </c>
      <c r="H3109" s="1" t="s">
        <v>4372</v>
      </c>
      <c r="I3109" s="1" t="s">
        <v>4373</v>
      </c>
      <c r="J3109" s="1" t="s">
        <v>8983</v>
      </c>
      <c r="K3109" s="1" t="s">
        <v>8984</v>
      </c>
    </row>
    <row r="3110" spans="1:11" ht="21" x14ac:dyDescent="0.25">
      <c r="A3110" s="11" t="str">
        <f>HYPERLINK("https://rth.dk/resources/bsgatlas/details.php?id=BSGatlas-transcript-3109","BSGatlas-transcript-3109")</f>
        <v>BSGatlas-transcript-3109</v>
      </c>
      <c r="B3110" s="1" t="s">
        <v>2915</v>
      </c>
      <c r="C3110" s="3">
        <v>2818191</v>
      </c>
      <c r="D3110" s="3">
        <v>2818409</v>
      </c>
      <c r="E3110" s="1" t="s">
        <v>13</v>
      </c>
      <c r="F3110" s="1">
        <v>0</v>
      </c>
      <c r="G3110" s="1" t="s">
        <v>4372</v>
      </c>
      <c r="H3110" s="1" t="s">
        <v>4372</v>
      </c>
      <c r="I3110" s="1" t="s">
        <v>4377</v>
      </c>
      <c r="J3110" s="1" t="s">
        <v>8985</v>
      </c>
      <c r="K3110" s="1" t="s">
        <v>318</v>
      </c>
    </row>
    <row r="3111" spans="1:11" ht="21" x14ac:dyDescent="0.25">
      <c r="A3111" s="11" t="str">
        <f>HYPERLINK("https://rth.dk/resources/bsgatlas/details.php?id=BSGatlas-transcript-3110","BSGatlas-transcript-3110")</f>
        <v>BSGatlas-transcript-3110</v>
      </c>
      <c r="B3111" s="1" t="s">
        <v>2914</v>
      </c>
      <c r="C3111" s="3">
        <v>2818447</v>
      </c>
      <c r="D3111" s="3">
        <v>2820086</v>
      </c>
      <c r="E3111" s="1" t="s">
        <v>9</v>
      </c>
      <c r="F3111" s="1">
        <v>0</v>
      </c>
      <c r="G3111" s="1" t="s">
        <v>4372</v>
      </c>
      <c r="H3111" s="1" t="s">
        <v>4372</v>
      </c>
      <c r="I3111" s="1" t="s">
        <v>4373</v>
      </c>
      <c r="J3111" s="1" t="s">
        <v>8986</v>
      </c>
      <c r="K3111" s="1" t="s">
        <v>8984</v>
      </c>
    </row>
    <row r="3112" spans="1:11" ht="21" x14ac:dyDescent="0.25">
      <c r="A3112" s="11" t="str">
        <f>HYPERLINK("https://rth.dk/resources/bsgatlas/details.php?id=BSGatlas-transcript-3111","BSGatlas-transcript-3111")</f>
        <v>BSGatlas-transcript-3111</v>
      </c>
      <c r="B3112" s="1" t="s">
        <v>8987</v>
      </c>
      <c r="C3112" s="3">
        <v>2820041</v>
      </c>
      <c r="D3112" s="3">
        <v>2822769</v>
      </c>
      <c r="E3112" s="1" t="s">
        <v>13</v>
      </c>
      <c r="F3112" s="1">
        <v>1</v>
      </c>
      <c r="G3112" s="1">
        <v>37</v>
      </c>
      <c r="H3112" s="1">
        <v>37</v>
      </c>
      <c r="I3112" s="1" t="s">
        <v>4373</v>
      </c>
      <c r="J3112" s="1" t="s">
        <v>8988</v>
      </c>
      <c r="K3112" s="1" t="s">
        <v>8989</v>
      </c>
    </row>
    <row r="3113" spans="1:11" ht="21" x14ac:dyDescent="0.25">
      <c r="A3113" s="11" t="str">
        <f>HYPERLINK("https://rth.dk/resources/bsgatlas/details.php?id=BSGatlas-transcript-3112","BSGatlas-transcript-3112")</f>
        <v>BSGatlas-transcript-3112</v>
      </c>
      <c r="B3113" s="1" t="s">
        <v>8987</v>
      </c>
      <c r="C3113" s="3">
        <v>2820041</v>
      </c>
      <c r="D3113" s="3">
        <v>2822806</v>
      </c>
      <c r="E3113" s="1" t="s">
        <v>13</v>
      </c>
      <c r="F3113" s="1">
        <v>1</v>
      </c>
      <c r="G3113" s="1">
        <v>74</v>
      </c>
      <c r="H3113" s="1">
        <v>37</v>
      </c>
      <c r="I3113" s="1" t="s">
        <v>4373</v>
      </c>
      <c r="J3113" s="1" t="s">
        <v>8990</v>
      </c>
      <c r="K3113" s="1" t="s">
        <v>8989</v>
      </c>
    </row>
    <row r="3114" spans="1:11" ht="21" x14ac:dyDescent="0.25">
      <c r="A3114" s="11" t="str">
        <f>HYPERLINK("https://rth.dk/resources/bsgatlas/details.php?id=BSGatlas-transcript-3113","BSGatlas-transcript-3113")</f>
        <v>BSGatlas-transcript-3113</v>
      </c>
      <c r="B3114" s="1" t="s">
        <v>2918</v>
      </c>
      <c r="C3114" s="3">
        <v>2822846</v>
      </c>
      <c r="D3114" s="3">
        <v>2823891</v>
      </c>
      <c r="E3114" s="1" t="s">
        <v>13</v>
      </c>
      <c r="F3114" s="1">
        <v>0</v>
      </c>
      <c r="G3114" s="1" t="s">
        <v>4372</v>
      </c>
      <c r="H3114" s="1" t="s">
        <v>4372</v>
      </c>
      <c r="I3114" s="1" t="s">
        <v>4377</v>
      </c>
      <c r="J3114" s="1" t="s">
        <v>8991</v>
      </c>
      <c r="K3114" s="1" t="s">
        <v>8992</v>
      </c>
    </row>
    <row r="3115" spans="1:11" ht="21" x14ac:dyDescent="0.25">
      <c r="A3115" s="11" t="str">
        <f>HYPERLINK("https://rth.dk/resources/bsgatlas/details.php?id=BSGatlas-transcript-3114","BSGatlas-transcript-3114")</f>
        <v>BSGatlas-transcript-3114</v>
      </c>
      <c r="B3115" s="1" t="s">
        <v>8993</v>
      </c>
      <c r="C3115" s="3">
        <v>2822846</v>
      </c>
      <c r="D3115" s="3">
        <v>2825804</v>
      </c>
      <c r="E3115" s="1" t="s">
        <v>13</v>
      </c>
      <c r="F3115" s="1">
        <v>0</v>
      </c>
      <c r="G3115" s="1" t="s">
        <v>4372</v>
      </c>
      <c r="H3115" s="1" t="s">
        <v>4372</v>
      </c>
      <c r="I3115" s="1" t="s">
        <v>4373</v>
      </c>
      <c r="J3115" s="1" t="s">
        <v>8994</v>
      </c>
      <c r="K3115" s="1" t="s">
        <v>8992</v>
      </c>
    </row>
    <row r="3116" spans="1:11" ht="21" x14ac:dyDescent="0.25">
      <c r="A3116" s="11" t="str">
        <f>HYPERLINK("https://rth.dk/resources/bsgatlas/details.php?id=BSGatlas-transcript-3115","BSGatlas-transcript-3115")</f>
        <v>BSGatlas-transcript-3115</v>
      </c>
      <c r="B3116" s="1" t="s">
        <v>2920</v>
      </c>
      <c r="C3116" s="3">
        <v>2825846</v>
      </c>
      <c r="D3116" s="3">
        <v>2826201</v>
      </c>
      <c r="E3116" s="1" t="s">
        <v>13</v>
      </c>
      <c r="F3116" s="1">
        <v>0</v>
      </c>
      <c r="G3116" s="1" t="s">
        <v>4372</v>
      </c>
      <c r="H3116" s="1" t="s">
        <v>4372</v>
      </c>
      <c r="I3116" s="1" t="s">
        <v>4373</v>
      </c>
      <c r="J3116" s="1" t="s">
        <v>8995</v>
      </c>
      <c r="K3116" s="1" t="s">
        <v>318</v>
      </c>
    </row>
    <row r="3117" spans="1:11" ht="21" x14ac:dyDescent="0.25">
      <c r="A3117" s="11" t="str">
        <f>HYPERLINK("https://rth.dk/resources/bsgatlas/details.php?id=BSGatlas-transcript-3116","BSGatlas-transcript-3116")</f>
        <v>BSGatlas-transcript-3116</v>
      </c>
      <c r="B3117" s="1" t="s">
        <v>8996</v>
      </c>
      <c r="C3117" s="3">
        <v>2825846</v>
      </c>
      <c r="D3117" s="3">
        <v>2826818</v>
      </c>
      <c r="E3117" s="1" t="s">
        <v>13</v>
      </c>
      <c r="F3117" s="1">
        <v>1</v>
      </c>
      <c r="G3117" s="1">
        <v>77</v>
      </c>
      <c r="H3117" s="1" t="s">
        <v>4372</v>
      </c>
      <c r="I3117" s="1" t="s">
        <v>4386</v>
      </c>
      <c r="J3117" s="1" t="s">
        <v>8997</v>
      </c>
      <c r="K3117" s="1" t="s">
        <v>318</v>
      </c>
    </row>
    <row r="3118" spans="1:11" ht="21" x14ac:dyDescent="0.25">
      <c r="A3118" s="11" t="str">
        <f>HYPERLINK("https://rth.dk/resources/bsgatlas/details.php?id=BSGatlas-transcript-3117","BSGatlas-transcript-3117")</f>
        <v>BSGatlas-transcript-3117</v>
      </c>
      <c r="B3118" s="1" t="s">
        <v>8998</v>
      </c>
      <c r="C3118" s="3">
        <v>2826883</v>
      </c>
      <c r="D3118" s="3">
        <v>2829527</v>
      </c>
      <c r="E3118" s="1" t="s">
        <v>13</v>
      </c>
      <c r="F3118" s="1">
        <v>1</v>
      </c>
      <c r="G3118" s="1">
        <v>80</v>
      </c>
      <c r="H3118" s="1">
        <v>18</v>
      </c>
      <c r="I3118" s="1" t="s">
        <v>4386</v>
      </c>
      <c r="J3118" s="1" t="s">
        <v>8999</v>
      </c>
      <c r="K3118" s="1" t="s">
        <v>9000</v>
      </c>
    </row>
    <row r="3119" spans="1:11" ht="21" x14ac:dyDescent="0.25">
      <c r="A3119" s="11" t="str">
        <f>HYPERLINK("https://rth.dk/resources/bsgatlas/details.php?id=BSGatlas-transcript-3118","BSGatlas-transcript-3118")</f>
        <v>BSGatlas-transcript-3118</v>
      </c>
      <c r="B3119" s="1" t="s">
        <v>8998</v>
      </c>
      <c r="C3119" s="3">
        <v>2826883</v>
      </c>
      <c r="D3119" s="3">
        <v>2830447</v>
      </c>
      <c r="E3119" s="1" t="s">
        <v>13</v>
      </c>
      <c r="F3119" s="1">
        <v>1</v>
      </c>
      <c r="G3119" s="1">
        <v>1000</v>
      </c>
      <c r="H3119" s="1">
        <v>18</v>
      </c>
      <c r="I3119" s="1" t="s">
        <v>4386</v>
      </c>
      <c r="J3119" s="1" t="s">
        <v>9001</v>
      </c>
      <c r="K3119" s="1" t="s">
        <v>9000</v>
      </c>
    </row>
    <row r="3120" spans="1:11" ht="21" x14ac:dyDescent="0.25">
      <c r="A3120" s="11" t="str">
        <f>HYPERLINK("https://rth.dk/resources/bsgatlas/details.php?id=BSGatlas-transcript-3119","BSGatlas-transcript-3119")</f>
        <v>BSGatlas-transcript-3119</v>
      </c>
      <c r="B3120" s="1" t="s">
        <v>2924</v>
      </c>
      <c r="C3120" s="3">
        <v>2828699</v>
      </c>
      <c r="D3120" s="3">
        <v>2831156</v>
      </c>
      <c r="E3120" s="1" t="s">
        <v>9</v>
      </c>
      <c r="F3120" s="1">
        <v>0</v>
      </c>
      <c r="G3120" s="1" t="s">
        <v>4372</v>
      </c>
      <c r="H3120" s="1" t="s">
        <v>4372</v>
      </c>
      <c r="I3120" s="1" t="s">
        <v>4382</v>
      </c>
      <c r="J3120" s="1" t="s">
        <v>9002</v>
      </c>
      <c r="K3120" s="1" t="s">
        <v>9003</v>
      </c>
    </row>
    <row r="3121" spans="1:11" ht="21" x14ac:dyDescent="0.25">
      <c r="A3121" s="11" t="str">
        <f>HYPERLINK("https://rth.dk/resources/bsgatlas/details.php?id=BSGatlas-transcript-3120","BSGatlas-transcript-3120")</f>
        <v>BSGatlas-transcript-3120</v>
      </c>
      <c r="B3121" s="1" t="s">
        <v>9004</v>
      </c>
      <c r="C3121" s="3">
        <v>2828699</v>
      </c>
      <c r="D3121" s="3">
        <v>2832367</v>
      </c>
      <c r="E3121" s="1" t="s">
        <v>9</v>
      </c>
      <c r="F3121" s="1">
        <v>1</v>
      </c>
      <c r="G3121" s="1">
        <v>866</v>
      </c>
      <c r="H3121" s="1" t="s">
        <v>4372</v>
      </c>
      <c r="I3121" s="1" t="s">
        <v>4386</v>
      </c>
      <c r="J3121" s="1" t="s">
        <v>9002</v>
      </c>
      <c r="K3121" s="1" t="s">
        <v>9005</v>
      </c>
    </row>
    <row r="3122" spans="1:11" ht="21" x14ac:dyDescent="0.25">
      <c r="A3122" s="11" t="str">
        <f>HYPERLINK("https://rth.dk/resources/bsgatlas/details.php?id=BSGatlas-transcript-3121","BSGatlas-transcript-3121")</f>
        <v>BSGatlas-transcript-3121</v>
      </c>
      <c r="B3122" s="1" t="s">
        <v>2924</v>
      </c>
      <c r="C3122" s="3">
        <v>2829513</v>
      </c>
      <c r="D3122" s="3">
        <v>2831156</v>
      </c>
      <c r="E3122" s="1" t="s">
        <v>9</v>
      </c>
      <c r="F3122" s="1">
        <v>0</v>
      </c>
      <c r="G3122" s="1" t="s">
        <v>4372</v>
      </c>
      <c r="H3122" s="1" t="s">
        <v>4372</v>
      </c>
      <c r="I3122" s="1" t="s">
        <v>4382</v>
      </c>
      <c r="J3122" s="1" t="s">
        <v>9006</v>
      </c>
      <c r="K3122" s="1" t="s">
        <v>9003</v>
      </c>
    </row>
    <row r="3123" spans="1:11" ht="21" x14ac:dyDescent="0.25">
      <c r="A3123" s="11" t="str">
        <f>HYPERLINK("https://rth.dk/resources/bsgatlas/details.php?id=BSGatlas-transcript-3122","BSGatlas-transcript-3122")</f>
        <v>BSGatlas-transcript-3122</v>
      </c>
      <c r="B3123" s="1" t="s">
        <v>9004</v>
      </c>
      <c r="C3123" s="3">
        <v>2829513</v>
      </c>
      <c r="D3123" s="3">
        <v>2832367</v>
      </c>
      <c r="E3123" s="1" t="s">
        <v>9</v>
      </c>
      <c r="F3123" s="1">
        <v>1</v>
      </c>
      <c r="G3123" s="1">
        <v>52</v>
      </c>
      <c r="H3123" s="1" t="s">
        <v>4372</v>
      </c>
      <c r="I3123" s="1" t="s">
        <v>4386</v>
      </c>
      <c r="J3123" s="1" t="s">
        <v>9006</v>
      </c>
      <c r="K3123" s="1" t="s">
        <v>9005</v>
      </c>
    </row>
    <row r="3124" spans="1:11" ht="21" x14ac:dyDescent="0.25">
      <c r="A3124" s="11" t="str">
        <f>HYPERLINK("https://rth.dk/resources/bsgatlas/details.php?id=BSGatlas-transcript-3123","BSGatlas-transcript-3123")</f>
        <v>BSGatlas-transcript-3123</v>
      </c>
      <c r="B3124" s="1" t="s">
        <v>2926</v>
      </c>
      <c r="C3124" s="3">
        <v>2831124</v>
      </c>
      <c r="D3124" s="3">
        <v>2831811</v>
      </c>
      <c r="E3124" s="1" t="s">
        <v>13</v>
      </c>
      <c r="F3124" s="1">
        <v>0</v>
      </c>
      <c r="G3124" s="1" t="s">
        <v>4372</v>
      </c>
      <c r="H3124" s="1" t="s">
        <v>4372</v>
      </c>
      <c r="I3124" s="1" t="s">
        <v>4397</v>
      </c>
      <c r="J3124" s="1" t="s">
        <v>9007</v>
      </c>
      <c r="K3124" s="1" t="s">
        <v>318</v>
      </c>
    </row>
    <row r="3125" spans="1:11" ht="21" x14ac:dyDescent="0.25">
      <c r="A3125" s="11" t="str">
        <f>HYPERLINK("https://rth.dk/resources/bsgatlas/details.php?id=BSGatlas-transcript-3124","BSGatlas-transcript-3124")</f>
        <v>BSGatlas-transcript-3124</v>
      </c>
      <c r="B3125" s="1" t="s">
        <v>2925</v>
      </c>
      <c r="C3125" s="3">
        <v>2831887</v>
      </c>
      <c r="D3125" s="3">
        <v>2832367</v>
      </c>
      <c r="E3125" s="1" t="s">
        <v>9</v>
      </c>
      <c r="F3125" s="1">
        <v>0</v>
      </c>
      <c r="G3125" s="1" t="s">
        <v>4372</v>
      </c>
      <c r="H3125" s="1" t="s">
        <v>4372</v>
      </c>
      <c r="I3125" s="1" t="s">
        <v>4397</v>
      </c>
      <c r="J3125" s="1" t="s">
        <v>9008</v>
      </c>
      <c r="K3125" s="1" t="s">
        <v>9005</v>
      </c>
    </row>
    <row r="3126" spans="1:11" ht="21" x14ac:dyDescent="0.25">
      <c r="A3126" s="11" t="str">
        <f>HYPERLINK("https://rth.dk/resources/bsgatlas/details.php?id=BSGatlas-transcript-3125","BSGatlas-transcript-3125")</f>
        <v>BSGatlas-transcript-3125</v>
      </c>
      <c r="B3126" s="1" t="s">
        <v>2927</v>
      </c>
      <c r="C3126" s="3">
        <v>2832384</v>
      </c>
      <c r="D3126" s="3">
        <v>2832779</v>
      </c>
      <c r="E3126" s="1" t="s">
        <v>13</v>
      </c>
      <c r="F3126" s="1">
        <v>0</v>
      </c>
      <c r="G3126" s="1" t="s">
        <v>4372</v>
      </c>
      <c r="H3126" s="1" t="s">
        <v>4372</v>
      </c>
      <c r="I3126" s="1" t="s">
        <v>4386</v>
      </c>
      <c r="J3126" s="1" t="s">
        <v>9009</v>
      </c>
      <c r="K3126" s="1" t="s">
        <v>9010</v>
      </c>
    </row>
    <row r="3127" spans="1:11" ht="21" x14ac:dyDescent="0.25">
      <c r="A3127" s="11" t="str">
        <f>HYPERLINK("https://rth.dk/resources/bsgatlas/details.php?id=BSGatlas-transcript-3126","BSGatlas-transcript-3126")</f>
        <v>BSGatlas-transcript-3126</v>
      </c>
      <c r="B3127" s="1" t="s">
        <v>2927</v>
      </c>
      <c r="C3127" s="3">
        <v>2832384</v>
      </c>
      <c r="D3127" s="3">
        <v>2832823</v>
      </c>
      <c r="E3127" s="1" t="s">
        <v>13</v>
      </c>
      <c r="F3127" s="1">
        <v>0</v>
      </c>
      <c r="G3127" s="1" t="s">
        <v>4372</v>
      </c>
      <c r="H3127" s="1" t="s">
        <v>4372</v>
      </c>
      <c r="I3127" s="1" t="s">
        <v>4386</v>
      </c>
      <c r="J3127" s="1" t="s">
        <v>9011</v>
      </c>
      <c r="K3127" s="1" t="s">
        <v>9010</v>
      </c>
    </row>
    <row r="3128" spans="1:11" ht="21" x14ac:dyDescent="0.25">
      <c r="A3128" s="11" t="str">
        <f>HYPERLINK("https://rth.dk/resources/bsgatlas/details.php?id=BSGatlas-transcript-3127","BSGatlas-transcript-3127")</f>
        <v>BSGatlas-transcript-3127</v>
      </c>
      <c r="B3128" s="1" t="s">
        <v>9012</v>
      </c>
      <c r="C3128" s="3">
        <v>2832384</v>
      </c>
      <c r="D3128" s="3">
        <v>2836805</v>
      </c>
      <c r="E3128" s="1" t="s">
        <v>13</v>
      </c>
      <c r="F3128" s="1">
        <v>3</v>
      </c>
      <c r="G3128" s="1">
        <v>36</v>
      </c>
      <c r="H3128" s="1">
        <v>41</v>
      </c>
      <c r="I3128" s="1" t="s">
        <v>4386</v>
      </c>
      <c r="J3128" s="1" t="s">
        <v>9013</v>
      </c>
      <c r="K3128" s="1" t="s">
        <v>9010</v>
      </c>
    </row>
    <row r="3129" spans="1:11" ht="21" x14ac:dyDescent="0.25">
      <c r="A3129" s="11" t="str">
        <f>HYPERLINK("https://rth.dk/resources/bsgatlas/details.php?id=BSGatlas-transcript-3128","BSGatlas-transcript-3128")</f>
        <v>BSGatlas-transcript-3128</v>
      </c>
      <c r="B3129" s="1" t="s">
        <v>9014</v>
      </c>
      <c r="C3129" s="3">
        <v>2835082</v>
      </c>
      <c r="D3129" s="3">
        <v>2836805</v>
      </c>
      <c r="E3129" s="1" t="s">
        <v>13</v>
      </c>
      <c r="F3129" s="1">
        <v>0</v>
      </c>
      <c r="G3129" s="1" t="s">
        <v>4372</v>
      </c>
      <c r="H3129" s="1" t="s">
        <v>4372</v>
      </c>
      <c r="I3129" s="1" t="s">
        <v>4373</v>
      </c>
      <c r="J3129" s="1" t="s">
        <v>9013</v>
      </c>
      <c r="K3129" s="1" t="s">
        <v>9015</v>
      </c>
    </row>
    <row r="3130" spans="1:11" ht="21" x14ac:dyDescent="0.25">
      <c r="A3130" s="11" t="str">
        <f>HYPERLINK("https://rth.dk/resources/bsgatlas/details.php?id=BSGatlas-transcript-3129","BSGatlas-transcript-3129")</f>
        <v>BSGatlas-transcript-3129</v>
      </c>
      <c r="B3130" s="1" t="s">
        <v>2933</v>
      </c>
      <c r="C3130" s="3">
        <v>2836863</v>
      </c>
      <c r="D3130" s="3">
        <v>2837446</v>
      </c>
      <c r="E3130" s="1" t="s">
        <v>13</v>
      </c>
      <c r="F3130" s="1">
        <v>0</v>
      </c>
      <c r="G3130" s="1" t="s">
        <v>4372</v>
      </c>
      <c r="H3130" s="1" t="s">
        <v>4372</v>
      </c>
      <c r="I3130" s="1" t="s">
        <v>4377</v>
      </c>
      <c r="J3130" s="1" t="s">
        <v>9016</v>
      </c>
      <c r="K3130" s="1" t="s">
        <v>9017</v>
      </c>
    </row>
    <row r="3131" spans="1:11" ht="21" x14ac:dyDescent="0.25">
      <c r="A3131" s="11" t="str">
        <f>HYPERLINK("https://rth.dk/resources/bsgatlas/details.php?id=BSGatlas-transcript-3130","BSGatlas-transcript-3130")</f>
        <v>BSGatlas-transcript-3130</v>
      </c>
      <c r="B3131" s="1" t="s">
        <v>9018</v>
      </c>
      <c r="C3131" s="3">
        <v>2836863</v>
      </c>
      <c r="D3131" s="3">
        <v>2838815</v>
      </c>
      <c r="E3131" s="1" t="s">
        <v>13</v>
      </c>
      <c r="F3131" s="1">
        <v>1</v>
      </c>
      <c r="G3131" s="1">
        <v>40</v>
      </c>
      <c r="H3131" s="1">
        <v>47</v>
      </c>
      <c r="I3131" s="1" t="s">
        <v>4373</v>
      </c>
      <c r="J3131" s="1" t="s">
        <v>9019</v>
      </c>
      <c r="K3131" s="1" t="s">
        <v>9017</v>
      </c>
    </row>
    <row r="3132" spans="1:11" ht="21" x14ac:dyDescent="0.25">
      <c r="A3132" s="11" t="str">
        <f>HYPERLINK("https://rth.dk/resources/bsgatlas/details.php?id=BSGatlas-transcript-3131","BSGatlas-transcript-3131")</f>
        <v>BSGatlas-transcript-3131</v>
      </c>
      <c r="B3132" s="1" t="s">
        <v>2935</v>
      </c>
      <c r="C3132" s="3">
        <v>2838708</v>
      </c>
      <c r="D3132" s="3">
        <v>2839929</v>
      </c>
      <c r="E3132" s="1" t="s">
        <v>13</v>
      </c>
      <c r="F3132" s="1">
        <v>0</v>
      </c>
      <c r="G3132" s="1" t="s">
        <v>4372</v>
      </c>
      <c r="H3132" s="1" t="s">
        <v>4372</v>
      </c>
      <c r="I3132" s="1" t="s">
        <v>4377</v>
      </c>
      <c r="J3132" s="1" t="s">
        <v>9020</v>
      </c>
      <c r="K3132" s="1" t="s">
        <v>9021</v>
      </c>
    </row>
    <row r="3133" spans="1:11" ht="21" x14ac:dyDescent="0.25">
      <c r="A3133" s="11" t="str">
        <f>HYPERLINK("https://rth.dk/resources/bsgatlas/details.php?id=BSGatlas-transcript-3132","BSGatlas-transcript-3132")</f>
        <v>BSGatlas-transcript-3132</v>
      </c>
      <c r="B3133" s="1" t="s">
        <v>2936</v>
      </c>
      <c r="C3133" s="3">
        <v>2840027</v>
      </c>
      <c r="D3133" s="3">
        <v>2840757</v>
      </c>
      <c r="E3133" s="1" t="s">
        <v>9</v>
      </c>
      <c r="F3133" s="1">
        <v>0</v>
      </c>
      <c r="G3133" s="1" t="s">
        <v>4372</v>
      </c>
      <c r="H3133" s="1" t="s">
        <v>4372</v>
      </c>
      <c r="I3133" s="1" t="s">
        <v>4386</v>
      </c>
      <c r="J3133" s="1" t="s">
        <v>9022</v>
      </c>
      <c r="K3133" s="1" t="s">
        <v>9023</v>
      </c>
    </row>
    <row r="3134" spans="1:11" ht="21" x14ac:dyDescent="0.25">
      <c r="A3134" s="11" t="str">
        <f>HYPERLINK("https://rth.dk/resources/bsgatlas/details.php?id=BSGatlas-transcript-3133","BSGatlas-transcript-3133")</f>
        <v>BSGatlas-transcript-3133</v>
      </c>
      <c r="B3134" s="1" t="s">
        <v>2936</v>
      </c>
      <c r="C3134" s="3">
        <v>2840073</v>
      </c>
      <c r="D3134" s="3">
        <v>2840757</v>
      </c>
      <c r="E3134" s="1" t="s">
        <v>9</v>
      </c>
      <c r="F3134" s="1">
        <v>0</v>
      </c>
      <c r="G3134" s="1" t="s">
        <v>4372</v>
      </c>
      <c r="H3134" s="1" t="s">
        <v>4372</v>
      </c>
      <c r="I3134" s="1" t="s">
        <v>4386</v>
      </c>
      <c r="J3134" s="1" t="s">
        <v>9024</v>
      </c>
      <c r="K3134" s="1" t="s">
        <v>9023</v>
      </c>
    </row>
    <row r="3135" spans="1:11" ht="21" x14ac:dyDescent="0.25">
      <c r="A3135" s="11" t="str">
        <f>HYPERLINK("https://rth.dk/resources/bsgatlas/details.php?id=BSGatlas-transcript-3134","BSGatlas-transcript-3134")</f>
        <v>BSGatlas-transcript-3134</v>
      </c>
      <c r="B3135" s="1" t="s">
        <v>2937</v>
      </c>
      <c r="C3135" s="3">
        <v>2840399</v>
      </c>
      <c r="D3135" s="3">
        <v>2840964</v>
      </c>
      <c r="E3135" s="1" t="s">
        <v>13</v>
      </c>
      <c r="F3135" s="1">
        <v>0</v>
      </c>
      <c r="G3135" s="1" t="s">
        <v>4372</v>
      </c>
      <c r="H3135" s="1" t="s">
        <v>4372</v>
      </c>
      <c r="I3135" s="1" t="s">
        <v>4377</v>
      </c>
      <c r="J3135" s="1" t="s">
        <v>9025</v>
      </c>
      <c r="K3135" s="1" t="s">
        <v>9026</v>
      </c>
    </row>
    <row r="3136" spans="1:11" ht="21" x14ac:dyDescent="0.25">
      <c r="A3136" s="11" t="str">
        <f>HYPERLINK("https://rth.dk/resources/bsgatlas/details.php?id=BSGatlas-transcript-3135","BSGatlas-transcript-3135")</f>
        <v>BSGatlas-transcript-3135</v>
      </c>
      <c r="B3136" s="1" t="s">
        <v>4760</v>
      </c>
      <c r="C3136" s="3">
        <v>2840788</v>
      </c>
      <c r="D3136" s="3">
        <v>2840925</v>
      </c>
      <c r="E3136" s="1" t="s">
        <v>13</v>
      </c>
      <c r="F3136" s="1">
        <v>0</v>
      </c>
      <c r="G3136" s="1" t="s">
        <v>4372</v>
      </c>
      <c r="H3136" s="1" t="s">
        <v>4372</v>
      </c>
      <c r="I3136" s="1" t="s">
        <v>4377</v>
      </c>
      <c r="J3136" s="1" t="s">
        <v>318</v>
      </c>
      <c r="K3136" s="1" t="s">
        <v>9027</v>
      </c>
    </row>
    <row r="3137" spans="1:11" ht="21" x14ac:dyDescent="0.25">
      <c r="A3137" s="11" t="str">
        <f>HYPERLINK("https://rth.dk/resources/bsgatlas/details.php?id=BSGatlas-transcript-3136","BSGatlas-transcript-3136")</f>
        <v>BSGatlas-transcript-3136</v>
      </c>
      <c r="B3137" s="1" t="s">
        <v>9028</v>
      </c>
      <c r="C3137" s="3">
        <v>2841010</v>
      </c>
      <c r="D3137" s="3">
        <v>2841447</v>
      </c>
      <c r="E3137" s="1" t="s">
        <v>9</v>
      </c>
      <c r="F3137" s="1">
        <v>0</v>
      </c>
      <c r="G3137" s="1" t="s">
        <v>4372</v>
      </c>
      <c r="H3137" s="1" t="s">
        <v>4372</v>
      </c>
      <c r="I3137" s="1" t="s">
        <v>4386</v>
      </c>
      <c r="J3137" s="1" t="s">
        <v>9029</v>
      </c>
      <c r="K3137" s="1" t="s">
        <v>9030</v>
      </c>
    </row>
    <row r="3138" spans="1:11" ht="21" x14ac:dyDescent="0.25">
      <c r="A3138" s="11" t="str">
        <f>HYPERLINK("https://rth.dk/resources/bsgatlas/details.php?id=BSGatlas-transcript-3137","BSGatlas-transcript-3137")</f>
        <v>BSGatlas-transcript-3137</v>
      </c>
      <c r="B3138" s="1" t="s">
        <v>2940</v>
      </c>
      <c r="C3138" s="3">
        <v>2841518</v>
      </c>
      <c r="D3138" s="3">
        <v>2843116</v>
      </c>
      <c r="E3138" s="1" t="s">
        <v>9</v>
      </c>
      <c r="F3138" s="1">
        <v>0</v>
      </c>
      <c r="G3138" s="1" t="s">
        <v>4372</v>
      </c>
      <c r="H3138" s="1" t="s">
        <v>4372</v>
      </c>
      <c r="I3138" s="1" t="s">
        <v>4373</v>
      </c>
      <c r="J3138" s="1" t="s">
        <v>9031</v>
      </c>
      <c r="K3138" s="1" t="s">
        <v>9032</v>
      </c>
    </row>
    <row r="3139" spans="1:11" ht="21" x14ac:dyDescent="0.25">
      <c r="A3139" s="11" t="str">
        <f>HYPERLINK("https://rth.dk/resources/bsgatlas/details.php?id=BSGatlas-transcript-3138","BSGatlas-transcript-3138")</f>
        <v>BSGatlas-transcript-3138</v>
      </c>
      <c r="B3139" s="1" t="s">
        <v>2940</v>
      </c>
      <c r="C3139" s="3">
        <v>2841518</v>
      </c>
      <c r="D3139" s="3">
        <v>2843565</v>
      </c>
      <c r="E3139" s="1" t="s">
        <v>9</v>
      </c>
      <c r="F3139" s="1">
        <v>0</v>
      </c>
      <c r="G3139" s="1" t="s">
        <v>4372</v>
      </c>
      <c r="H3139" s="1" t="s">
        <v>4372</v>
      </c>
      <c r="I3139" s="1" t="s">
        <v>4373</v>
      </c>
      <c r="J3139" s="1" t="s">
        <v>9031</v>
      </c>
      <c r="K3139" s="1" t="s">
        <v>9033</v>
      </c>
    </row>
    <row r="3140" spans="1:11" ht="21" x14ac:dyDescent="0.25">
      <c r="A3140" s="11" t="str">
        <f>HYPERLINK("https://rth.dk/resources/bsgatlas/details.php?id=BSGatlas-transcript-3139","BSGatlas-transcript-3139")</f>
        <v>BSGatlas-transcript-3139</v>
      </c>
      <c r="B3140" s="1" t="s">
        <v>2940</v>
      </c>
      <c r="C3140" s="3">
        <v>2841570</v>
      </c>
      <c r="D3140" s="3">
        <v>2843116</v>
      </c>
      <c r="E3140" s="1" t="s">
        <v>9</v>
      </c>
      <c r="F3140" s="1">
        <v>0</v>
      </c>
      <c r="G3140" s="1" t="s">
        <v>4372</v>
      </c>
      <c r="H3140" s="1" t="s">
        <v>4372</v>
      </c>
      <c r="I3140" s="1" t="s">
        <v>4373</v>
      </c>
      <c r="J3140" s="1" t="s">
        <v>9034</v>
      </c>
      <c r="K3140" s="1" t="s">
        <v>9032</v>
      </c>
    </row>
    <row r="3141" spans="1:11" ht="21" x14ac:dyDescent="0.25">
      <c r="A3141" s="11" t="str">
        <f>HYPERLINK("https://rth.dk/resources/bsgatlas/details.php?id=BSGatlas-transcript-3140","BSGatlas-transcript-3140")</f>
        <v>BSGatlas-transcript-3140</v>
      </c>
      <c r="B3141" s="1" t="s">
        <v>2940</v>
      </c>
      <c r="C3141" s="3">
        <v>2841570</v>
      </c>
      <c r="D3141" s="3">
        <v>2843565</v>
      </c>
      <c r="E3141" s="1" t="s">
        <v>9</v>
      </c>
      <c r="F3141" s="1">
        <v>0</v>
      </c>
      <c r="G3141" s="1" t="s">
        <v>4372</v>
      </c>
      <c r="H3141" s="1" t="s">
        <v>4372</v>
      </c>
      <c r="I3141" s="1" t="s">
        <v>4373</v>
      </c>
      <c r="J3141" s="1" t="s">
        <v>9034</v>
      </c>
      <c r="K3141" s="1" t="s">
        <v>9033</v>
      </c>
    </row>
    <row r="3142" spans="1:11" ht="21" x14ac:dyDescent="0.25">
      <c r="A3142" s="11" t="str">
        <f>HYPERLINK("https://rth.dk/resources/bsgatlas/details.php?id=BSGatlas-transcript-3141","BSGatlas-transcript-3141")</f>
        <v>BSGatlas-transcript-3141</v>
      </c>
      <c r="B3142" s="1" t="s">
        <v>2941</v>
      </c>
      <c r="C3142" s="3">
        <v>2843106</v>
      </c>
      <c r="D3142" s="3">
        <v>2843868</v>
      </c>
      <c r="E3142" s="1" t="s">
        <v>13</v>
      </c>
      <c r="F3142" s="1">
        <v>0</v>
      </c>
      <c r="G3142" s="1" t="s">
        <v>4372</v>
      </c>
      <c r="H3142" s="1" t="s">
        <v>4372</v>
      </c>
      <c r="I3142" s="1" t="s">
        <v>4386</v>
      </c>
      <c r="J3142" s="1" t="s">
        <v>9035</v>
      </c>
      <c r="K3142" s="1" t="s">
        <v>9036</v>
      </c>
    </row>
    <row r="3143" spans="1:11" ht="21" x14ac:dyDescent="0.25">
      <c r="A3143" s="11" t="str">
        <f>HYPERLINK("https://rth.dk/resources/bsgatlas/details.php?id=BSGatlas-transcript-3142","BSGatlas-transcript-3142")</f>
        <v>BSGatlas-transcript-3142</v>
      </c>
      <c r="B3143" s="1" t="s">
        <v>2942</v>
      </c>
      <c r="C3143" s="3">
        <v>2843881</v>
      </c>
      <c r="D3143" s="3">
        <v>2844572</v>
      </c>
      <c r="E3143" s="1" t="s">
        <v>13</v>
      </c>
      <c r="F3143" s="1">
        <v>0</v>
      </c>
      <c r="G3143" s="1" t="s">
        <v>4372</v>
      </c>
      <c r="H3143" s="1" t="s">
        <v>4372</v>
      </c>
      <c r="I3143" s="1" t="s">
        <v>4377</v>
      </c>
      <c r="J3143" s="1" t="s">
        <v>9037</v>
      </c>
      <c r="K3143" s="1" t="s">
        <v>9038</v>
      </c>
    </row>
    <row r="3144" spans="1:11" ht="21" x14ac:dyDescent="0.25">
      <c r="A3144" s="11" t="str">
        <f>HYPERLINK("https://rth.dk/resources/bsgatlas/details.php?id=BSGatlas-transcript-3143","BSGatlas-transcript-3143")</f>
        <v>BSGatlas-transcript-3143</v>
      </c>
      <c r="B3144" s="1" t="s">
        <v>9039</v>
      </c>
      <c r="C3144" s="3">
        <v>2843881</v>
      </c>
      <c r="D3144" s="3">
        <v>2845894</v>
      </c>
      <c r="E3144" s="1" t="s">
        <v>13</v>
      </c>
      <c r="F3144" s="1">
        <v>1</v>
      </c>
      <c r="G3144" s="1">
        <v>57</v>
      </c>
      <c r="H3144" s="1">
        <v>51</v>
      </c>
      <c r="I3144" s="1" t="s">
        <v>4373</v>
      </c>
      <c r="J3144" s="1" t="s">
        <v>9040</v>
      </c>
      <c r="K3144" s="1" t="s">
        <v>9038</v>
      </c>
    </row>
    <row r="3145" spans="1:11" ht="21" x14ac:dyDescent="0.25">
      <c r="A3145" s="11" t="str">
        <f>HYPERLINK("https://rth.dk/resources/bsgatlas/details.php?id=BSGatlas-transcript-3144","BSGatlas-transcript-3144")</f>
        <v>BSGatlas-transcript-3144</v>
      </c>
      <c r="B3145" s="1" t="s">
        <v>2943</v>
      </c>
      <c r="C3145" s="3">
        <v>2844675</v>
      </c>
      <c r="D3145" s="3">
        <v>2845894</v>
      </c>
      <c r="E3145" s="1" t="s">
        <v>13</v>
      </c>
      <c r="F3145" s="1">
        <v>0</v>
      </c>
      <c r="G3145" s="1" t="s">
        <v>4372</v>
      </c>
      <c r="H3145" s="1" t="s">
        <v>4372</v>
      </c>
      <c r="I3145" s="1" t="s">
        <v>4377</v>
      </c>
      <c r="J3145" s="1" t="s">
        <v>9040</v>
      </c>
      <c r="K3145" s="1" t="s">
        <v>9041</v>
      </c>
    </row>
    <row r="3146" spans="1:11" ht="21" x14ac:dyDescent="0.25">
      <c r="A3146" s="11" t="str">
        <f>HYPERLINK("https://rth.dk/resources/bsgatlas/details.php?id=BSGatlas-transcript-3145","BSGatlas-transcript-3145")</f>
        <v>BSGatlas-transcript-3145</v>
      </c>
      <c r="B3146" s="1" t="s">
        <v>2944</v>
      </c>
      <c r="C3146" s="3">
        <v>2845930</v>
      </c>
      <c r="D3146" s="3">
        <v>2847061</v>
      </c>
      <c r="E3146" s="1" t="s">
        <v>13</v>
      </c>
      <c r="F3146" s="1">
        <v>0</v>
      </c>
      <c r="G3146" s="1" t="s">
        <v>4372</v>
      </c>
      <c r="H3146" s="1" t="s">
        <v>4372</v>
      </c>
      <c r="I3146" s="1" t="s">
        <v>4377</v>
      </c>
      <c r="J3146" s="1" t="s">
        <v>9042</v>
      </c>
      <c r="K3146" s="1" t="s">
        <v>9043</v>
      </c>
    </row>
    <row r="3147" spans="1:11" ht="21" x14ac:dyDescent="0.25">
      <c r="A3147" s="11" t="str">
        <f>HYPERLINK("https://rth.dk/resources/bsgatlas/details.php?id=BSGatlas-transcript-3146","BSGatlas-transcript-3146")</f>
        <v>BSGatlas-transcript-3146</v>
      </c>
      <c r="B3147" s="1" t="s">
        <v>9044</v>
      </c>
      <c r="C3147" s="3">
        <v>2845930</v>
      </c>
      <c r="D3147" s="3">
        <v>2849497</v>
      </c>
      <c r="E3147" s="1" t="s">
        <v>13</v>
      </c>
      <c r="F3147" s="1">
        <v>0</v>
      </c>
      <c r="G3147" s="1" t="s">
        <v>4372</v>
      </c>
      <c r="H3147" s="1" t="s">
        <v>4372</v>
      </c>
      <c r="I3147" s="1" t="s">
        <v>4373</v>
      </c>
      <c r="J3147" s="1" t="s">
        <v>9045</v>
      </c>
      <c r="K3147" s="1" t="s">
        <v>9043</v>
      </c>
    </row>
    <row r="3148" spans="1:11" ht="21" x14ac:dyDescent="0.25">
      <c r="A3148" s="11" t="str">
        <f>HYPERLINK("https://rth.dk/resources/bsgatlas/details.php?id=BSGatlas-transcript-3147","BSGatlas-transcript-3147")</f>
        <v>BSGatlas-transcript-3147</v>
      </c>
      <c r="B3148" s="1" t="s">
        <v>9044</v>
      </c>
      <c r="C3148" s="3">
        <v>2845930</v>
      </c>
      <c r="D3148" s="3">
        <v>2849588</v>
      </c>
      <c r="E3148" s="1" t="s">
        <v>13</v>
      </c>
      <c r="F3148" s="1">
        <v>0</v>
      </c>
      <c r="G3148" s="1" t="s">
        <v>4372</v>
      </c>
      <c r="H3148" s="1" t="s">
        <v>4372</v>
      </c>
      <c r="I3148" s="1" t="s">
        <v>4373</v>
      </c>
      <c r="J3148" s="1" t="s">
        <v>9046</v>
      </c>
      <c r="K3148" s="1" t="s">
        <v>9043</v>
      </c>
    </row>
    <row r="3149" spans="1:11" ht="21" x14ac:dyDescent="0.25">
      <c r="A3149" s="11" t="str">
        <f>HYPERLINK("https://rth.dk/resources/bsgatlas/details.php?id=BSGatlas-transcript-3148","BSGatlas-transcript-3148")</f>
        <v>BSGatlas-transcript-3148</v>
      </c>
      <c r="B3149" s="1" t="s">
        <v>9047</v>
      </c>
      <c r="C3149" s="3">
        <v>2849532</v>
      </c>
      <c r="D3149" s="3">
        <v>2851292</v>
      </c>
      <c r="E3149" s="1" t="s">
        <v>9</v>
      </c>
      <c r="F3149" s="1">
        <v>0</v>
      </c>
      <c r="G3149" s="1" t="s">
        <v>4372</v>
      </c>
      <c r="H3149" s="1" t="s">
        <v>4372</v>
      </c>
      <c r="I3149" s="1" t="s">
        <v>4373</v>
      </c>
      <c r="J3149" s="1" t="s">
        <v>9048</v>
      </c>
      <c r="K3149" s="1" t="s">
        <v>9049</v>
      </c>
    </row>
    <row r="3150" spans="1:11" ht="21" x14ac:dyDescent="0.25">
      <c r="A3150" s="11" t="str">
        <f>HYPERLINK("https://rth.dk/resources/bsgatlas/details.php?id=BSGatlas-transcript-3149","BSGatlas-transcript-3149")</f>
        <v>BSGatlas-transcript-3149</v>
      </c>
      <c r="B3150" s="1" t="s">
        <v>9047</v>
      </c>
      <c r="C3150" s="3">
        <v>2849532</v>
      </c>
      <c r="D3150" s="3">
        <v>2852028</v>
      </c>
      <c r="E3150" s="1" t="s">
        <v>9</v>
      </c>
      <c r="F3150" s="1">
        <v>0</v>
      </c>
      <c r="G3150" s="1" t="s">
        <v>4372</v>
      </c>
      <c r="H3150" s="1" t="s">
        <v>4372</v>
      </c>
      <c r="I3150" s="1" t="s">
        <v>4373</v>
      </c>
      <c r="J3150" s="1" t="s">
        <v>9048</v>
      </c>
      <c r="K3150" s="1" t="s">
        <v>9050</v>
      </c>
    </row>
    <row r="3151" spans="1:11" ht="21" x14ac:dyDescent="0.25">
      <c r="A3151" s="11" t="str">
        <f>HYPERLINK("https://rth.dk/resources/bsgatlas/details.php?id=BSGatlas-transcript-3150","BSGatlas-transcript-3150")</f>
        <v>BSGatlas-transcript-3150</v>
      </c>
      <c r="B3151" s="1" t="s">
        <v>2948</v>
      </c>
      <c r="C3151" s="3">
        <v>2850485</v>
      </c>
      <c r="D3151" s="3">
        <v>2851292</v>
      </c>
      <c r="E3151" s="1" t="s">
        <v>9</v>
      </c>
      <c r="F3151" s="1">
        <v>0</v>
      </c>
      <c r="G3151" s="1" t="s">
        <v>4372</v>
      </c>
      <c r="H3151" s="1" t="s">
        <v>4372</v>
      </c>
      <c r="I3151" s="1" t="s">
        <v>4377</v>
      </c>
      <c r="J3151" s="1" t="s">
        <v>9051</v>
      </c>
      <c r="K3151" s="1" t="s">
        <v>9049</v>
      </c>
    </row>
    <row r="3152" spans="1:11" ht="21" x14ac:dyDescent="0.25">
      <c r="A3152" s="11" t="str">
        <f>HYPERLINK("https://rth.dk/resources/bsgatlas/details.php?id=BSGatlas-transcript-3151","BSGatlas-transcript-3151")</f>
        <v>BSGatlas-transcript-3151</v>
      </c>
      <c r="B3152" s="1" t="s">
        <v>2948</v>
      </c>
      <c r="C3152" s="3">
        <v>2850485</v>
      </c>
      <c r="D3152" s="3">
        <v>2852028</v>
      </c>
      <c r="E3152" s="1" t="s">
        <v>9</v>
      </c>
      <c r="F3152" s="1">
        <v>0</v>
      </c>
      <c r="G3152" s="1" t="s">
        <v>4372</v>
      </c>
      <c r="H3152" s="1" t="s">
        <v>4372</v>
      </c>
      <c r="I3152" s="1" t="s">
        <v>4377</v>
      </c>
      <c r="J3152" s="1" t="s">
        <v>9051</v>
      </c>
      <c r="K3152" s="1" t="s">
        <v>9050</v>
      </c>
    </row>
    <row r="3153" spans="1:11" ht="21" x14ac:dyDescent="0.25">
      <c r="A3153" s="11" t="str">
        <f>HYPERLINK("https://rth.dk/resources/bsgatlas/details.php?id=BSGatlas-transcript-3152","BSGatlas-transcript-3152")</f>
        <v>BSGatlas-transcript-3152</v>
      </c>
      <c r="B3153" s="1" t="s">
        <v>9052</v>
      </c>
      <c r="C3153" s="3">
        <v>2851249</v>
      </c>
      <c r="D3153" s="3">
        <v>2852600</v>
      </c>
      <c r="E3153" s="1" t="s">
        <v>13</v>
      </c>
      <c r="F3153" s="1">
        <v>1</v>
      </c>
      <c r="G3153" s="1" t="s">
        <v>4372</v>
      </c>
      <c r="H3153" s="1">
        <v>35</v>
      </c>
      <c r="I3153" s="1" t="s">
        <v>4382</v>
      </c>
      <c r="J3153" s="1" t="s">
        <v>318</v>
      </c>
      <c r="K3153" s="1" t="s">
        <v>9053</v>
      </c>
    </row>
    <row r="3154" spans="1:11" ht="21" x14ac:dyDescent="0.25">
      <c r="A3154" s="11" t="str">
        <f>HYPERLINK("https://rth.dk/resources/bsgatlas/details.php?id=BSGatlas-transcript-3153","BSGatlas-transcript-3153")</f>
        <v>BSGatlas-transcript-3153</v>
      </c>
      <c r="B3154" s="1" t="s">
        <v>9054</v>
      </c>
      <c r="C3154" s="3">
        <v>2851249</v>
      </c>
      <c r="D3154" s="3">
        <v>2854611</v>
      </c>
      <c r="E3154" s="1" t="s">
        <v>13</v>
      </c>
      <c r="F3154" s="1">
        <v>3</v>
      </c>
      <c r="G3154" s="1">
        <v>53</v>
      </c>
      <c r="H3154" s="1">
        <v>35</v>
      </c>
      <c r="I3154" s="1" t="s">
        <v>4386</v>
      </c>
      <c r="J3154" s="1" t="s">
        <v>9055</v>
      </c>
      <c r="K3154" s="1" t="s">
        <v>9053</v>
      </c>
    </row>
    <row r="3155" spans="1:11" ht="21" x14ac:dyDescent="0.25">
      <c r="A3155" s="11" t="str">
        <f>HYPERLINK("https://rth.dk/resources/bsgatlas/details.php?id=BSGatlas-transcript-3154","BSGatlas-transcript-3154")</f>
        <v>BSGatlas-transcript-3154</v>
      </c>
      <c r="B3155" s="1" t="s">
        <v>9056</v>
      </c>
      <c r="C3155" s="3">
        <v>2852605</v>
      </c>
      <c r="D3155" s="3">
        <v>2854611</v>
      </c>
      <c r="E3155" s="1" t="s">
        <v>13</v>
      </c>
      <c r="F3155" s="1">
        <v>1</v>
      </c>
      <c r="G3155" s="1">
        <v>53</v>
      </c>
      <c r="H3155" s="1">
        <v>57</v>
      </c>
      <c r="I3155" s="1" t="s">
        <v>4382</v>
      </c>
      <c r="J3155" s="1" t="s">
        <v>9055</v>
      </c>
      <c r="K3155" s="1" t="s">
        <v>9057</v>
      </c>
    </row>
    <row r="3156" spans="1:11" ht="21" x14ac:dyDescent="0.25">
      <c r="A3156" s="11" t="str">
        <f>HYPERLINK("https://rth.dk/resources/bsgatlas/details.php?id=BSGatlas-transcript-3155","BSGatlas-transcript-3155")</f>
        <v>BSGatlas-transcript-3155</v>
      </c>
      <c r="B3156" s="1" t="s">
        <v>2953</v>
      </c>
      <c r="C3156" s="3">
        <v>2854831</v>
      </c>
      <c r="D3156" s="3">
        <v>2855164</v>
      </c>
      <c r="E3156" s="1" t="s">
        <v>13</v>
      </c>
      <c r="F3156" s="1">
        <v>0</v>
      </c>
      <c r="G3156" s="1" t="s">
        <v>4372</v>
      </c>
      <c r="H3156" s="1" t="s">
        <v>4372</v>
      </c>
      <c r="I3156" s="1" t="s">
        <v>4373</v>
      </c>
      <c r="J3156" s="1" t="s">
        <v>318</v>
      </c>
      <c r="K3156" s="1" t="s">
        <v>9058</v>
      </c>
    </row>
    <row r="3157" spans="1:11" ht="21" x14ac:dyDescent="0.25">
      <c r="A3157" s="11" t="str">
        <f>HYPERLINK("https://rth.dk/resources/bsgatlas/details.php?id=BSGatlas-transcript-3156","BSGatlas-transcript-3156")</f>
        <v>BSGatlas-transcript-3156</v>
      </c>
      <c r="B3157" s="1" t="s">
        <v>9059</v>
      </c>
      <c r="C3157" s="3">
        <v>2854831</v>
      </c>
      <c r="D3157" s="3">
        <v>2855947</v>
      </c>
      <c r="E3157" s="1" t="s">
        <v>13</v>
      </c>
      <c r="F3157" s="1">
        <v>0</v>
      </c>
      <c r="G3157" s="1" t="s">
        <v>4372</v>
      </c>
      <c r="H3157" s="1" t="s">
        <v>4372</v>
      </c>
      <c r="I3157" s="1" t="s">
        <v>4386</v>
      </c>
      <c r="J3157" s="1" t="s">
        <v>9060</v>
      </c>
      <c r="K3157" s="1" t="s">
        <v>9058</v>
      </c>
    </row>
    <row r="3158" spans="1:11" ht="21" x14ac:dyDescent="0.25">
      <c r="A3158" s="11" t="str">
        <f>HYPERLINK("https://rth.dk/resources/bsgatlas/details.php?id=BSGatlas-transcript-3157","BSGatlas-transcript-3157")</f>
        <v>BSGatlas-transcript-3157</v>
      </c>
      <c r="B3158" s="1" t="s">
        <v>9061</v>
      </c>
      <c r="C3158" s="3">
        <v>2854831</v>
      </c>
      <c r="D3158" s="3">
        <v>2857656</v>
      </c>
      <c r="E3158" s="1" t="s">
        <v>13</v>
      </c>
      <c r="F3158" s="1">
        <v>1</v>
      </c>
      <c r="G3158" s="1">
        <v>31</v>
      </c>
      <c r="H3158" s="1">
        <v>50</v>
      </c>
      <c r="I3158" s="1" t="s">
        <v>4386</v>
      </c>
      <c r="J3158" s="1" t="s">
        <v>9062</v>
      </c>
      <c r="K3158" s="1" t="s">
        <v>9058</v>
      </c>
    </row>
    <row r="3159" spans="1:11" ht="21" x14ac:dyDescent="0.25">
      <c r="A3159" s="11" t="str">
        <f>HYPERLINK("https://rth.dk/resources/bsgatlas/details.php?id=BSGatlas-transcript-3158","BSGatlas-transcript-3158")</f>
        <v>BSGatlas-transcript-3158</v>
      </c>
      <c r="B3159" s="1" t="s">
        <v>9063</v>
      </c>
      <c r="C3159" s="3">
        <v>2855925</v>
      </c>
      <c r="D3159" s="3">
        <v>2857656</v>
      </c>
      <c r="E3159" s="1" t="s">
        <v>13</v>
      </c>
      <c r="F3159" s="1">
        <v>0</v>
      </c>
      <c r="G3159" s="1" t="s">
        <v>4372</v>
      </c>
      <c r="H3159" s="1" t="s">
        <v>4372</v>
      </c>
      <c r="I3159" s="1" t="s">
        <v>4373</v>
      </c>
      <c r="J3159" s="1" t="s">
        <v>9062</v>
      </c>
      <c r="K3159" s="1" t="s">
        <v>9064</v>
      </c>
    </row>
    <row r="3160" spans="1:11" ht="21" x14ac:dyDescent="0.25">
      <c r="A3160" s="11" t="str">
        <f>HYPERLINK("https://rth.dk/resources/bsgatlas/details.php?id=BSGatlas-transcript-3159","BSGatlas-transcript-3159")</f>
        <v>BSGatlas-transcript-3159</v>
      </c>
      <c r="B3160" s="1" t="s">
        <v>9065</v>
      </c>
      <c r="C3160" s="3">
        <v>2857726</v>
      </c>
      <c r="D3160" s="3">
        <v>2859264</v>
      </c>
      <c r="E3160" s="1" t="s">
        <v>13</v>
      </c>
      <c r="F3160" s="1">
        <v>0</v>
      </c>
      <c r="G3160" s="1" t="s">
        <v>4372</v>
      </c>
      <c r="H3160" s="1" t="s">
        <v>4372</v>
      </c>
      <c r="I3160" s="1" t="s">
        <v>4386</v>
      </c>
      <c r="J3160" s="1" t="s">
        <v>318</v>
      </c>
      <c r="K3160" s="1" t="s">
        <v>9066</v>
      </c>
    </row>
    <row r="3161" spans="1:11" ht="21" x14ac:dyDescent="0.25">
      <c r="A3161" s="11" t="str">
        <f>HYPERLINK("https://rth.dk/resources/bsgatlas/details.php?id=BSGatlas-transcript-3160","BSGatlas-transcript-3160")</f>
        <v>BSGatlas-transcript-3160</v>
      </c>
      <c r="B3161" s="1" t="s">
        <v>9067</v>
      </c>
      <c r="C3161" s="3">
        <v>2857726</v>
      </c>
      <c r="D3161" s="3">
        <v>2861789</v>
      </c>
      <c r="E3161" s="1" t="s">
        <v>13</v>
      </c>
      <c r="F3161" s="1">
        <v>2</v>
      </c>
      <c r="G3161" s="1">
        <v>42</v>
      </c>
      <c r="H3161" s="1">
        <v>51</v>
      </c>
      <c r="I3161" s="1" t="s">
        <v>4373</v>
      </c>
      <c r="J3161" s="1" t="s">
        <v>9068</v>
      </c>
      <c r="K3161" s="1" t="s">
        <v>9066</v>
      </c>
    </row>
    <row r="3162" spans="1:11" ht="21" x14ac:dyDescent="0.25">
      <c r="A3162" s="11" t="str">
        <f>HYPERLINK("https://rth.dk/resources/bsgatlas/details.php?id=BSGatlas-transcript-3161","BSGatlas-transcript-3161")</f>
        <v>BSGatlas-transcript-3161</v>
      </c>
      <c r="B3162" s="1" t="s">
        <v>9069</v>
      </c>
      <c r="C3162" s="3">
        <v>2857726</v>
      </c>
      <c r="D3162" s="3">
        <v>2863141</v>
      </c>
      <c r="E3162" s="1" t="s">
        <v>13</v>
      </c>
      <c r="F3162" s="1">
        <v>4</v>
      </c>
      <c r="G3162" s="1" t="s">
        <v>4372</v>
      </c>
      <c r="H3162" s="1">
        <v>51</v>
      </c>
      <c r="I3162" s="1" t="s">
        <v>4386</v>
      </c>
      <c r="J3162" s="1" t="s">
        <v>9070</v>
      </c>
      <c r="K3162" s="1" t="s">
        <v>9066</v>
      </c>
    </row>
    <row r="3163" spans="1:11" ht="21" x14ac:dyDescent="0.25">
      <c r="A3163" s="11" t="str">
        <f>HYPERLINK("https://rth.dk/resources/bsgatlas/details.php?id=BSGatlas-transcript-3162","BSGatlas-transcript-3162")</f>
        <v>BSGatlas-transcript-3162</v>
      </c>
      <c r="B3163" s="1" t="s">
        <v>9069</v>
      </c>
      <c r="C3163" s="3">
        <v>2857726</v>
      </c>
      <c r="D3163" s="3">
        <v>2863196</v>
      </c>
      <c r="E3163" s="1" t="s">
        <v>13</v>
      </c>
      <c r="F3163" s="1">
        <v>4</v>
      </c>
      <c r="G3163" s="1">
        <v>56</v>
      </c>
      <c r="H3163" s="1">
        <v>51</v>
      </c>
      <c r="I3163" s="1" t="s">
        <v>4386</v>
      </c>
      <c r="J3163" s="1" t="s">
        <v>9071</v>
      </c>
      <c r="K3163" s="1" t="s">
        <v>9066</v>
      </c>
    </row>
    <row r="3164" spans="1:11" ht="21" x14ac:dyDescent="0.25">
      <c r="A3164" s="11" t="str">
        <f>HYPERLINK("https://rth.dk/resources/bsgatlas/details.php?id=BSGatlas-transcript-3163","BSGatlas-transcript-3163")</f>
        <v>BSGatlas-transcript-3163</v>
      </c>
      <c r="B3164" s="1" t="s">
        <v>2964</v>
      </c>
      <c r="C3164" s="3">
        <v>2861765</v>
      </c>
      <c r="D3164" s="3">
        <v>2862535</v>
      </c>
      <c r="E3164" s="1" t="s">
        <v>13</v>
      </c>
      <c r="F3164" s="1">
        <v>0</v>
      </c>
      <c r="G3164" s="1" t="s">
        <v>4372</v>
      </c>
      <c r="H3164" s="1" t="s">
        <v>4372</v>
      </c>
      <c r="I3164" s="1" t="s">
        <v>4382</v>
      </c>
      <c r="J3164" s="1" t="s">
        <v>318</v>
      </c>
      <c r="K3164" s="1" t="s">
        <v>9072</v>
      </c>
    </row>
    <row r="3165" spans="1:11" ht="21" x14ac:dyDescent="0.25">
      <c r="A3165" s="11" t="str">
        <f>HYPERLINK("https://rth.dk/resources/bsgatlas/details.php?id=BSGatlas-transcript-3164","BSGatlas-transcript-3164")</f>
        <v>BSGatlas-transcript-3164</v>
      </c>
      <c r="B3165" s="1" t="s">
        <v>9073</v>
      </c>
      <c r="C3165" s="3">
        <v>2861765</v>
      </c>
      <c r="D3165" s="3">
        <v>2863141</v>
      </c>
      <c r="E3165" s="1" t="s">
        <v>13</v>
      </c>
      <c r="F3165" s="1">
        <v>1</v>
      </c>
      <c r="G3165" s="1" t="s">
        <v>4372</v>
      </c>
      <c r="H3165" s="1">
        <v>76</v>
      </c>
      <c r="I3165" s="1" t="s">
        <v>4377</v>
      </c>
      <c r="J3165" s="1" t="s">
        <v>9070</v>
      </c>
      <c r="K3165" s="1" t="s">
        <v>9072</v>
      </c>
    </row>
    <row r="3166" spans="1:11" ht="21" x14ac:dyDescent="0.25">
      <c r="A3166" s="11" t="str">
        <f>HYPERLINK("https://rth.dk/resources/bsgatlas/details.php?id=BSGatlas-transcript-3165","BSGatlas-transcript-3165")</f>
        <v>BSGatlas-transcript-3165</v>
      </c>
      <c r="B3166" s="1" t="s">
        <v>9073</v>
      </c>
      <c r="C3166" s="3">
        <v>2861765</v>
      </c>
      <c r="D3166" s="3">
        <v>2863196</v>
      </c>
      <c r="E3166" s="1" t="s">
        <v>13</v>
      </c>
      <c r="F3166" s="1">
        <v>1</v>
      </c>
      <c r="G3166" s="1">
        <v>56</v>
      </c>
      <c r="H3166" s="1">
        <v>76</v>
      </c>
      <c r="I3166" s="1" t="s">
        <v>4377</v>
      </c>
      <c r="J3166" s="1" t="s">
        <v>9071</v>
      </c>
      <c r="K3166" s="1" t="s">
        <v>9072</v>
      </c>
    </row>
    <row r="3167" spans="1:11" ht="21" x14ac:dyDescent="0.25">
      <c r="A3167" s="11" t="str">
        <f>HYPERLINK("https://rth.dk/resources/bsgatlas/details.php?id=BSGatlas-transcript-3166","BSGatlas-transcript-3166")</f>
        <v>BSGatlas-transcript-3166</v>
      </c>
      <c r="B3167" s="1" t="s">
        <v>2965</v>
      </c>
      <c r="C3167" s="3">
        <v>2862572</v>
      </c>
      <c r="D3167" s="3">
        <v>2863141</v>
      </c>
      <c r="E3167" s="1" t="s">
        <v>13</v>
      </c>
      <c r="F3167" s="1">
        <v>0</v>
      </c>
      <c r="G3167" s="1" t="s">
        <v>4372</v>
      </c>
      <c r="H3167" s="1" t="s">
        <v>4372</v>
      </c>
      <c r="I3167" s="1" t="s">
        <v>4547</v>
      </c>
      <c r="J3167" s="1" t="s">
        <v>9070</v>
      </c>
      <c r="K3167" s="1" t="s">
        <v>318</v>
      </c>
    </row>
    <row r="3168" spans="1:11" ht="21" x14ac:dyDescent="0.25">
      <c r="A3168" s="11" t="str">
        <f>HYPERLINK("https://rth.dk/resources/bsgatlas/details.php?id=BSGatlas-transcript-3167","BSGatlas-transcript-3167")</f>
        <v>BSGatlas-transcript-3167</v>
      </c>
      <c r="B3168" s="1" t="s">
        <v>2965</v>
      </c>
      <c r="C3168" s="3">
        <v>2862572</v>
      </c>
      <c r="D3168" s="3">
        <v>2863196</v>
      </c>
      <c r="E3168" s="1" t="s">
        <v>13</v>
      </c>
      <c r="F3168" s="1">
        <v>0</v>
      </c>
      <c r="G3168" s="1" t="s">
        <v>4372</v>
      </c>
      <c r="H3168" s="1" t="s">
        <v>4372</v>
      </c>
      <c r="I3168" s="1" t="s">
        <v>4547</v>
      </c>
      <c r="J3168" s="1" t="s">
        <v>9071</v>
      </c>
      <c r="K3168" s="1" t="s">
        <v>318</v>
      </c>
    </row>
    <row r="3169" spans="1:11" ht="21" x14ac:dyDescent="0.25">
      <c r="A3169" s="11" t="str">
        <f>HYPERLINK("https://rth.dk/resources/bsgatlas/details.php?id=BSGatlas-transcript-3168","BSGatlas-transcript-3168")</f>
        <v>BSGatlas-transcript-3168</v>
      </c>
      <c r="B3169" s="1" t="s">
        <v>2966</v>
      </c>
      <c r="C3169" s="3">
        <v>2863270</v>
      </c>
      <c r="D3169" s="3">
        <v>2864347</v>
      </c>
      <c r="E3169" s="1" t="s">
        <v>13</v>
      </c>
      <c r="F3169" s="1">
        <v>0</v>
      </c>
      <c r="G3169" s="1" t="s">
        <v>4372</v>
      </c>
      <c r="H3169" s="1" t="s">
        <v>4372</v>
      </c>
      <c r="I3169" s="1" t="s">
        <v>4386</v>
      </c>
      <c r="J3169" s="1" t="s">
        <v>9074</v>
      </c>
      <c r="K3169" s="1" t="s">
        <v>9075</v>
      </c>
    </row>
    <row r="3170" spans="1:11" ht="21" x14ac:dyDescent="0.25">
      <c r="A3170" s="11" t="str">
        <f>HYPERLINK("https://rth.dk/resources/bsgatlas/details.php?id=BSGatlas-transcript-3169","BSGatlas-transcript-3169")</f>
        <v>BSGatlas-transcript-3169</v>
      </c>
      <c r="B3170" s="1" t="s">
        <v>2967</v>
      </c>
      <c r="C3170" s="3">
        <v>2864358</v>
      </c>
      <c r="D3170" s="3">
        <v>2865200</v>
      </c>
      <c r="E3170" s="1" t="s">
        <v>13</v>
      </c>
      <c r="F3170" s="1">
        <v>0</v>
      </c>
      <c r="G3170" s="1" t="s">
        <v>4372</v>
      </c>
      <c r="H3170" s="1" t="s">
        <v>4372</v>
      </c>
      <c r="I3170" s="1" t="s">
        <v>4373</v>
      </c>
      <c r="J3170" s="1" t="s">
        <v>9076</v>
      </c>
      <c r="K3170" s="1" t="s">
        <v>9077</v>
      </c>
    </row>
    <row r="3171" spans="1:11" ht="21" x14ac:dyDescent="0.25">
      <c r="A3171" s="11" t="str">
        <f>HYPERLINK("https://rth.dk/resources/bsgatlas/details.php?id=BSGatlas-transcript-3170","BSGatlas-transcript-3170")</f>
        <v>BSGatlas-transcript-3170</v>
      </c>
      <c r="B3171" s="1" t="s">
        <v>9078</v>
      </c>
      <c r="C3171" s="3">
        <v>2865257</v>
      </c>
      <c r="D3171" s="3">
        <v>2869618</v>
      </c>
      <c r="E3171" s="1" t="s">
        <v>13</v>
      </c>
      <c r="F3171" s="1">
        <v>1</v>
      </c>
      <c r="G3171" s="1">
        <v>313</v>
      </c>
      <c r="H3171" s="1">
        <v>56</v>
      </c>
      <c r="I3171" s="1" t="s">
        <v>4373</v>
      </c>
      <c r="J3171" s="1" t="s">
        <v>9079</v>
      </c>
      <c r="K3171" s="1" t="s">
        <v>9080</v>
      </c>
    </row>
    <row r="3172" spans="1:11" ht="21" x14ac:dyDescent="0.25">
      <c r="A3172" s="11" t="str">
        <f>HYPERLINK("https://rth.dk/resources/bsgatlas/details.php?id=BSGatlas-transcript-3171","BSGatlas-transcript-3171")</f>
        <v>BSGatlas-transcript-3171</v>
      </c>
      <c r="B3172" s="1" t="s">
        <v>9078</v>
      </c>
      <c r="C3172" s="3">
        <v>2865257</v>
      </c>
      <c r="D3172" s="3">
        <v>2869739</v>
      </c>
      <c r="E3172" s="1" t="s">
        <v>13</v>
      </c>
      <c r="F3172" s="1">
        <v>1</v>
      </c>
      <c r="G3172" s="1">
        <v>434</v>
      </c>
      <c r="H3172" s="1">
        <v>56</v>
      </c>
      <c r="I3172" s="1" t="s">
        <v>4373</v>
      </c>
      <c r="J3172" s="1" t="s">
        <v>9081</v>
      </c>
      <c r="K3172" s="1" t="s">
        <v>9080</v>
      </c>
    </row>
    <row r="3173" spans="1:11" ht="21" x14ac:dyDescent="0.25">
      <c r="A3173" s="11" t="str">
        <f>HYPERLINK("https://rth.dk/resources/bsgatlas/details.php?id=BSGatlas-transcript-3172","BSGatlas-transcript-3172")</f>
        <v>BSGatlas-transcript-3172</v>
      </c>
      <c r="B3173" s="1" t="s">
        <v>2969</v>
      </c>
      <c r="C3173" s="3">
        <v>2866616</v>
      </c>
      <c r="D3173" s="3">
        <v>2869618</v>
      </c>
      <c r="E3173" s="1" t="s">
        <v>13</v>
      </c>
      <c r="F3173" s="1">
        <v>0</v>
      </c>
      <c r="G3173" s="1" t="s">
        <v>4372</v>
      </c>
      <c r="H3173" s="1" t="s">
        <v>4372</v>
      </c>
      <c r="I3173" s="1" t="s">
        <v>4377</v>
      </c>
      <c r="J3173" s="1" t="s">
        <v>9079</v>
      </c>
      <c r="K3173" s="1" t="s">
        <v>9082</v>
      </c>
    </row>
    <row r="3174" spans="1:11" ht="21" x14ac:dyDescent="0.25">
      <c r="A3174" s="11" t="str">
        <f>HYPERLINK("https://rth.dk/resources/bsgatlas/details.php?id=BSGatlas-transcript-3173","BSGatlas-transcript-3173")</f>
        <v>BSGatlas-transcript-3173</v>
      </c>
      <c r="B3174" s="1" t="s">
        <v>2969</v>
      </c>
      <c r="C3174" s="3">
        <v>2866616</v>
      </c>
      <c r="D3174" s="3">
        <v>2869739</v>
      </c>
      <c r="E3174" s="1" t="s">
        <v>13</v>
      </c>
      <c r="F3174" s="1">
        <v>0</v>
      </c>
      <c r="G3174" s="1" t="s">
        <v>4372</v>
      </c>
      <c r="H3174" s="1" t="s">
        <v>4372</v>
      </c>
      <c r="I3174" s="1" t="s">
        <v>4377</v>
      </c>
      <c r="J3174" s="1" t="s">
        <v>9081</v>
      </c>
      <c r="K3174" s="1" t="s">
        <v>9082</v>
      </c>
    </row>
    <row r="3175" spans="1:11" ht="21" x14ac:dyDescent="0.25">
      <c r="A3175" s="11" t="str">
        <f>HYPERLINK("https://rth.dk/resources/bsgatlas/details.php?id=BSGatlas-transcript-3174","BSGatlas-transcript-3174")</f>
        <v>BSGatlas-transcript-3174</v>
      </c>
      <c r="B3175" s="1" t="s">
        <v>2970</v>
      </c>
      <c r="C3175" s="3">
        <v>2869335</v>
      </c>
      <c r="D3175" s="3">
        <v>2869588</v>
      </c>
      <c r="E3175" s="1" t="s">
        <v>13</v>
      </c>
      <c r="F3175" s="1">
        <v>0</v>
      </c>
      <c r="G3175" s="1" t="s">
        <v>4372</v>
      </c>
      <c r="H3175" s="1" t="s">
        <v>4372</v>
      </c>
      <c r="I3175" s="1" t="s">
        <v>4377</v>
      </c>
      <c r="J3175" s="1" t="s">
        <v>318</v>
      </c>
      <c r="K3175" s="1" t="s">
        <v>9083</v>
      </c>
    </row>
    <row r="3176" spans="1:11" ht="21" x14ac:dyDescent="0.25">
      <c r="A3176" s="11" t="str">
        <f>HYPERLINK("https://rth.dk/resources/bsgatlas/details.php?id=BSGatlas-transcript-3175","BSGatlas-transcript-3175")</f>
        <v>BSGatlas-transcript-3175</v>
      </c>
      <c r="B3176" s="1" t="s">
        <v>2971</v>
      </c>
      <c r="C3176" s="3">
        <v>2869716</v>
      </c>
      <c r="D3176" s="3">
        <v>2869945</v>
      </c>
      <c r="E3176" s="1" t="s">
        <v>9</v>
      </c>
      <c r="F3176" s="1">
        <v>0</v>
      </c>
      <c r="G3176" s="1" t="s">
        <v>4372</v>
      </c>
      <c r="H3176" s="1" t="s">
        <v>4372</v>
      </c>
      <c r="I3176" s="1" t="s">
        <v>4547</v>
      </c>
      <c r="J3176" s="1" t="s">
        <v>9084</v>
      </c>
      <c r="K3176" s="1" t="s">
        <v>318</v>
      </c>
    </row>
    <row r="3177" spans="1:11" ht="21" x14ac:dyDescent="0.25">
      <c r="A3177" s="11" t="str">
        <f>HYPERLINK("https://rth.dk/resources/bsgatlas/details.php?id=BSGatlas-transcript-3176","BSGatlas-transcript-3176")</f>
        <v>BSGatlas-transcript-3176</v>
      </c>
      <c r="B3177" s="1" t="s">
        <v>9085</v>
      </c>
      <c r="C3177" s="3">
        <v>2869964</v>
      </c>
      <c r="D3177" s="3">
        <v>2872790</v>
      </c>
      <c r="E3177" s="1" t="s">
        <v>13</v>
      </c>
      <c r="F3177" s="1">
        <v>1</v>
      </c>
      <c r="G3177" s="1">
        <v>42</v>
      </c>
      <c r="H3177" s="1" t="s">
        <v>4372</v>
      </c>
      <c r="I3177" s="1" t="s">
        <v>4373</v>
      </c>
      <c r="J3177" s="1" t="s">
        <v>9086</v>
      </c>
      <c r="K3177" s="1" t="s">
        <v>9087</v>
      </c>
    </row>
    <row r="3178" spans="1:11" ht="21" x14ac:dyDescent="0.25">
      <c r="A3178" s="11" t="str">
        <f>HYPERLINK("https://rth.dk/resources/bsgatlas/details.php?id=BSGatlas-transcript-3177","BSGatlas-transcript-3177")</f>
        <v>BSGatlas-transcript-3177</v>
      </c>
      <c r="B3178" s="1" t="s">
        <v>9088</v>
      </c>
      <c r="C3178" s="3">
        <v>2872830</v>
      </c>
      <c r="D3178" s="3">
        <v>2879203</v>
      </c>
      <c r="E3178" s="1" t="s">
        <v>13</v>
      </c>
      <c r="F3178" s="1">
        <v>2</v>
      </c>
      <c r="G3178" s="1">
        <v>71</v>
      </c>
      <c r="H3178" s="1">
        <v>51</v>
      </c>
      <c r="I3178" s="1" t="s">
        <v>4373</v>
      </c>
      <c r="J3178" s="1" t="s">
        <v>9089</v>
      </c>
      <c r="K3178" s="1" t="s">
        <v>9090</v>
      </c>
    </row>
    <row r="3179" spans="1:11" ht="21" x14ac:dyDescent="0.25">
      <c r="A3179" s="11" t="str">
        <f>HYPERLINK("https://rth.dk/resources/bsgatlas/details.php?id=BSGatlas-transcript-3178","BSGatlas-transcript-3178")</f>
        <v>BSGatlas-transcript-3178</v>
      </c>
      <c r="B3179" s="1" t="s">
        <v>9088</v>
      </c>
      <c r="C3179" s="3">
        <v>2872830</v>
      </c>
      <c r="D3179" s="3">
        <v>2879294</v>
      </c>
      <c r="E3179" s="1" t="s">
        <v>13</v>
      </c>
      <c r="F3179" s="1">
        <v>2</v>
      </c>
      <c r="G3179" s="1">
        <v>162</v>
      </c>
      <c r="H3179" s="1">
        <v>51</v>
      </c>
      <c r="I3179" s="1" t="s">
        <v>4373</v>
      </c>
      <c r="J3179" s="1" t="s">
        <v>9091</v>
      </c>
      <c r="K3179" s="1" t="s">
        <v>9090</v>
      </c>
    </row>
    <row r="3180" spans="1:11" ht="21" x14ac:dyDescent="0.25">
      <c r="A3180" s="11" t="str">
        <f>HYPERLINK("https://rth.dk/resources/bsgatlas/details.php?id=BSGatlas-transcript-3179","BSGatlas-transcript-3179")</f>
        <v>BSGatlas-transcript-3179</v>
      </c>
      <c r="B3180" s="1" t="s">
        <v>9088</v>
      </c>
      <c r="C3180" s="3">
        <v>2872830</v>
      </c>
      <c r="D3180" s="3">
        <v>2879712</v>
      </c>
      <c r="E3180" s="1" t="s">
        <v>13</v>
      </c>
      <c r="F3180" s="1">
        <v>2</v>
      </c>
      <c r="G3180" s="1">
        <v>580</v>
      </c>
      <c r="H3180" s="1">
        <v>51</v>
      </c>
      <c r="I3180" s="1" t="s">
        <v>4373</v>
      </c>
      <c r="J3180" s="1" t="s">
        <v>9092</v>
      </c>
      <c r="K3180" s="1" t="s">
        <v>9090</v>
      </c>
    </row>
    <row r="3181" spans="1:11" ht="21" x14ac:dyDescent="0.25">
      <c r="A3181" s="11" t="str">
        <f>HYPERLINK("https://rth.dk/resources/bsgatlas/details.php?id=BSGatlas-transcript-3180","BSGatlas-transcript-3180")</f>
        <v>BSGatlas-transcript-3180</v>
      </c>
      <c r="B3181" s="1" t="s">
        <v>9088</v>
      </c>
      <c r="C3181" s="3">
        <v>2872830</v>
      </c>
      <c r="D3181" s="3">
        <v>2879844</v>
      </c>
      <c r="E3181" s="1" t="s">
        <v>13</v>
      </c>
      <c r="F3181" s="1">
        <v>2</v>
      </c>
      <c r="G3181" s="1">
        <v>712</v>
      </c>
      <c r="H3181" s="1">
        <v>51</v>
      </c>
      <c r="I3181" s="1" t="s">
        <v>4373</v>
      </c>
      <c r="J3181" s="1" t="s">
        <v>9093</v>
      </c>
      <c r="K3181" s="1" t="s">
        <v>9090</v>
      </c>
    </row>
    <row r="3182" spans="1:11" ht="21" x14ac:dyDescent="0.25">
      <c r="A3182" s="11" t="str">
        <f>HYPERLINK("https://rth.dk/resources/bsgatlas/details.php?id=BSGatlas-transcript-3181","BSGatlas-transcript-3181")</f>
        <v>BSGatlas-transcript-3181</v>
      </c>
      <c r="B3182" s="1" t="s">
        <v>2980</v>
      </c>
      <c r="C3182" s="3">
        <v>2879262</v>
      </c>
      <c r="D3182" s="3">
        <v>2879903</v>
      </c>
      <c r="E3182" s="1" t="s">
        <v>9</v>
      </c>
      <c r="F3182" s="1">
        <v>0</v>
      </c>
      <c r="G3182" s="1" t="s">
        <v>4372</v>
      </c>
      <c r="H3182" s="1" t="s">
        <v>4372</v>
      </c>
      <c r="I3182" s="1" t="s">
        <v>4373</v>
      </c>
      <c r="J3182" s="1" t="s">
        <v>9094</v>
      </c>
      <c r="K3182" s="1" t="s">
        <v>9095</v>
      </c>
    </row>
    <row r="3183" spans="1:11" ht="21" x14ac:dyDescent="0.25">
      <c r="A3183" s="11" t="str">
        <f>HYPERLINK("https://rth.dk/resources/bsgatlas/details.php?id=BSGatlas-transcript-3182","BSGatlas-transcript-3182")</f>
        <v>BSGatlas-transcript-3182</v>
      </c>
      <c r="B3183" s="1" t="s">
        <v>9096</v>
      </c>
      <c r="C3183" s="3">
        <v>2879852</v>
      </c>
      <c r="D3183" s="3">
        <v>2882816</v>
      </c>
      <c r="E3183" s="1" t="s">
        <v>13</v>
      </c>
      <c r="F3183" s="1">
        <v>0</v>
      </c>
      <c r="G3183" s="1" t="s">
        <v>4372</v>
      </c>
      <c r="H3183" s="1" t="s">
        <v>4372</v>
      </c>
      <c r="I3183" s="1" t="s">
        <v>4373</v>
      </c>
      <c r="J3183" s="1" t="s">
        <v>9097</v>
      </c>
      <c r="K3183" s="1" t="s">
        <v>9098</v>
      </c>
    </row>
    <row r="3184" spans="1:11" ht="21" x14ac:dyDescent="0.25">
      <c r="A3184" s="11" t="str">
        <f>HYPERLINK("https://rth.dk/resources/bsgatlas/details.php?id=BSGatlas-transcript-3183","BSGatlas-transcript-3183")</f>
        <v>BSGatlas-transcript-3183</v>
      </c>
      <c r="B3184" s="1" t="s">
        <v>9096</v>
      </c>
      <c r="C3184" s="3">
        <v>2879852</v>
      </c>
      <c r="D3184" s="3">
        <v>2882888</v>
      </c>
      <c r="E3184" s="1" t="s">
        <v>13</v>
      </c>
      <c r="F3184" s="1">
        <v>0</v>
      </c>
      <c r="G3184" s="1" t="s">
        <v>4372</v>
      </c>
      <c r="H3184" s="1" t="s">
        <v>4372</v>
      </c>
      <c r="I3184" s="1" t="s">
        <v>4373</v>
      </c>
      <c r="J3184" s="1" t="s">
        <v>9099</v>
      </c>
      <c r="K3184" s="1" t="s">
        <v>9098</v>
      </c>
    </row>
    <row r="3185" spans="1:11" ht="21" x14ac:dyDescent="0.25">
      <c r="A3185" s="11" t="str">
        <f>HYPERLINK("https://rth.dk/resources/bsgatlas/details.php?id=BSGatlas-transcript-3184","BSGatlas-transcript-3184")</f>
        <v>BSGatlas-transcript-3184</v>
      </c>
      <c r="B3185" s="1" t="s">
        <v>2983</v>
      </c>
      <c r="C3185" s="3">
        <v>2882936</v>
      </c>
      <c r="D3185" s="3">
        <v>2884676</v>
      </c>
      <c r="E3185" s="1" t="s">
        <v>13</v>
      </c>
      <c r="F3185" s="1">
        <v>0</v>
      </c>
      <c r="G3185" s="1" t="s">
        <v>4372</v>
      </c>
      <c r="H3185" s="1" t="s">
        <v>4372</v>
      </c>
      <c r="I3185" s="1" t="s">
        <v>4373</v>
      </c>
      <c r="J3185" s="1" t="s">
        <v>9100</v>
      </c>
      <c r="K3185" s="1" t="s">
        <v>9101</v>
      </c>
    </row>
    <row r="3186" spans="1:11" ht="21" x14ac:dyDescent="0.25">
      <c r="A3186" s="11" t="str">
        <f>HYPERLINK("https://rth.dk/resources/bsgatlas/details.php?id=BSGatlas-transcript-3185","BSGatlas-transcript-3185")</f>
        <v>BSGatlas-transcript-3185</v>
      </c>
      <c r="B3186" s="1" t="s">
        <v>2984</v>
      </c>
      <c r="C3186" s="3">
        <v>2884727</v>
      </c>
      <c r="D3186" s="3">
        <v>2886122</v>
      </c>
      <c r="E3186" s="1" t="s">
        <v>13</v>
      </c>
      <c r="F3186" s="1">
        <v>0</v>
      </c>
      <c r="G3186" s="1" t="s">
        <v>4372</v>
      </c>
      <c r="H3186" s="1" t="s">
        <v>4372</v>
      </c>
      <c r="I3186" s="1" t="s">
        <v>4373</v>
      </c>
      <c r="J3186" s="1" t="s">
        <v>9102</v>
      </c>
      <c r="K3186" s="1" t="s">
        <v>9103</v>
      </c>
    </row>
    <row r="3187" spans="1:11" ht="21" x14ac:dyDescent="0.25">
      <c r="A3187" s="11" t="str">
        <f>HYPERLINK("https://rth.dk/resources/bsgatlas/details.php?id=BSGatlas-transcript-3186","BSGatlas-transcript-3186")</f>
        <v>BSGatlas-transcript-3186</v>
      </c>
      <c r="B3187" s="1" t="s">
        <v>2985</v>
      </c>
      <c r="C3187" s="3">
        <v>2886263</v>
      </c>
      <c r="D3187" s="3">
        <v>2887779</v>
      </c>
      <c r="E3187" s="1" t="s">
        <v>13</v>
      </c>
      <c r="F3187" s="1">
        <v>0</v>
      </c>
      <c r="G3187" s="1" t="s">
        <v>4372</v>
      </c>
      <c r="H3187" s="1" t="s">
        <v>4372</v>
      </c>
      <c r="I3187" s="1" t="s">
        <v>4373</v>
      </c>
      <c r="J3187" s="1" t="s">
        <v>9104</v>
      </c>
      <c r="K3187" s="1" t="s">
        <v>9105</v>
      </c>
    </row>
    <row r="3188" spans="1:11" ht="21" x14ac:dyDescent="0.25">
      <c r="A3188" s="11" t="str">
        <f>HYPERLINK("https://rth.dk/resources/bsgatlas/details.php?id=BSGatlas-transcript-3187","BSGatlas-transcript-3187")</f>
        <v>BSGatlas-transcript-3187</v>
      </c>
      <c r="B3188" s="1" t="s">
        <v>2985</v>
      </c>
      <c r="C3188" s="3">
        <v>2886289</v>
      </c>
      <c r="D3188" s="3">
        <v>2887779</v>
      </c>
      <c r="E3188" s="1" t="s">
        <v>13</v>
      </c>
      <c r="F3188" s="1">
        <v>0</v>
      </c>
      <c r="G3188" s="1" t="s">
        <v>4372</v>
      </c>
      <c r="H3188" s="1" t="s">
        <v>4372</v>
      </c>
      <c r="I3188" s="1" t="s">
        <v>4373</v>
      </c>
      <c r="J3188" s="1" t="s">
        <v>9104</v>
      </c>
      <c r="K3188" s="1" t="s">
        <v>9106</v>
      </c>
    </row>
    <row r="3189" spans="1:11" ht="21" x14ac:dyDescent="0.25">
      <c r="A3189" s="11" t="str">
        <f>HYPERLINK("https://rth.dk/resources/bsgatlas/details.php?id=BSGatlas-transcript-3188","BSGatlas-transcript-3188")</f>
        <v>BSGatlas-transcript-3188</v>
      </c>
      <c r="B3189" s="1" t="s">
        <v>2986</v>
      </c>
      <c r="C3189" s="3">
        <v>2887817</v>
      </c>
      <c r="D3189" s="3">
        <v>2888864</v>
      </c>
      <c r="E3189" s="1" t="s">
        <v>13</v>
      </c>
      <c r="F3189" s="1">
        <v>0</v>
      </c>
      <c r="G3189" s="1" t="s">
        <v>4372</v>
      </c>
      <c r="H3189" s="1" t="s">
        <v>4372</v>
      </c>
      <c r="I3189" s="1" t="s">
        <v>4377</v>
      </c>
      <c r="J3189" s="1" t="s">
        <v>9107</v>
      </c>
      <c r="K3189" s="1" t="s">
        <v>318</v>
      </c>
    </row>
    <row r="3190" spans="1:11" ht="21" x14ac:dyDescent="0.25">
      <c r="A3190" s="11" t="str">
        <f>HYPERLINK("https://rth.dk/resources/bsgatlas/details.php?id=BSGatlas-transcript-3189","BSGatlas-transcript-3189")</f>
        <v>BSGatlas-transcript-3189</v>
      </c>
      <c r="B3190" s="1" t="s">
        <v>9108</v>
      </c>
      <c r="C3190" s="3">
        <v>2888898</v>
      </c>
      <c r="D3190" s="3">
        <v>2897454</v>
      </c>
      <c r="E3190" s="1" t="s">
        <v>13</v>
      </c>
      <c r="F3190" s="1">
        <v>3</v>
      </c>
      <c r="G3190" s="1">
        <v>483</v>
      </c>
      <c r="H3190" s="1">
        <v>43</v>
      </c>
      <c r="I3190" s="1" t="s">
        <v>4373</v>
      </c>
      <c r="J3190" s="1" t="s">
        <v>9109</v>
      </c>
      <c r="K3190" s="1" t="s">
        <v>9110</v>
      </c>
    </row>
    <row r="3191" spans="1:11" ht="21" x14ac:dyDescent="0.25">
      <c r="A3191" s="11" t="str">
        <f>HYPERLINK("https://rth.dk/resources/bsgatlas/details.php?id=BSGatlas-transcript-3190","BSGatlas-transcript-3190")</f>
        <v>BSGatlas-transcript-3190</v>
      </c>
      <c r="B3191" s="1" t="s">
        <v>9108</v>
      </c>
      <c r="C3191" s="3">
        <v>2888898</v>
      </c>
      <c r="D3191" s="3">
        <v>2897603</v>
      </c>
      <c r="E3191" s="1" t="s">
        <v>13</v>
      </c>
      <c r="F3191" s="1">
        <v>3</v>
      </c>
      <c r="G3191" s="1">
        <v>632</v>
      </c>
      <c r="H3191" s="1">
        <v>43</v>
      </c>
      <c r="I3191" s="1" t="s">
        <v>4373</v>
      </c>
      <c r="J3191" s="1" t="s">
        <v>9111</v>
      </c>
      <c r="K3191" s="1" t="s">
        <v>9110</v>
      </c>
    </row>
    <row r="3192" spans="1:11" ht="21" x14ac:dyDescent="0.25">
      <c r="A3192" s="11" t="str">
        <f>HYPERLINK("https://rth.dk/resources/bsgatlas/details.php?id=BSGatlas-transcript-3191","BSGatlas-transcript-3191")</f>
        <v>BSGatlas-transcript-3191</v>
      </c>
      <c r="B3192" s="1" t="s">
        <v>2994</v>
      </c>
      <c r="C3192" s="3">
        <v>2890878</v>
      </c>
      <c r="D3192" s="3">
        <v>2894991</v>
      </c>
      <c r="E3192" s="1" t="s">
        <v>9</v>
      </c>
      <c r="F3192" s="1">
        <v>0</v>
      </c>
      <c r="G3192" s="1" t="s">
        <v>4372</v>
      </c>
      <c r="H3192" s="1" t="s">
        <v>4372</v>
      </c>
      <c r="I3192" s="1" t="s">
        <v>4377</v>
      </c>
      <c r="J3192" s="1" t="s">
        <v>9112</v>
      </c>
      <c r="K3192" s="1" t="s">
        <v>318</v>
      </c>
    </row>
    <row r="3193" spans="1:11" ht="21" x14ac:dyDescent="0.25">
      <c r="A3193" s="11" t="str">
        <f>HYPERLINK("https://rth.dk/resources/bsgatlas/details.php?id=BSGatlas-transcript-3192","BSGatlas-transcript-3192")</f>
        <v>BSGatlas-transcript-3192</v>
      </c>
      <c r="B3193" s="1" t="s">
        <v>2994</v>
      </c>
      <c r="C3193" s="3">
        <v>2892550</v>
      </c>
      <c r="D3193" s="3">
        <v>2894991</v>
      </c>
      <c r="E3193" s="1" t="s">
        <v>9</v>
      </c>
      <c r="F3193" s="1">
        <v>0</v>
      </c>
      <c r="G3193" s="1" t="s">
        <v>4372</v>
      </c>
      <c r="H3193" s="1" t="s">
        <v>4372</v>
      </c>
      <c r="I3193" s="1" t="s">
        <v>4377</v>
      </c>
      <c r="J3193" s="1" t="s">
        <v>9113</v>
      </c>
      <c r="K3193" s="1" t="s">
        <v>318</v>
      </c>
    </row>
    <row r="3194" spans="1:11" ht="21" x14ac:dyDescent="0.25">
      <c r="A3194" s="11" t="str">
        <f>HYPERLINK("https://rth.dk/resources/bsgatlas/details.php?id=BSGatlas-transcript-3193","BSGatlas-transcript-3193")</f>
        <v>BSGatlas-transcript-3193</v>
      </c>
      <c r="B3194" s="1" t="s">
        <v>9114</v>
      </c>
      <c r="C3194" s="3">
        <v>2893519</v>
      </c>
      <c r="D3194" s="3">
        <v>2897454</v>
      </c>
      <c r="E3194" s="1" t="s">
        <v>13</v>
      </c>
      <c r="F3194" s="1">
        <v>1</v>
      </c>
      <c r="G3194" s="1">
        <v>483</v>
      </c>
      <c r="H3194" s="1">
        <v>163</v>
      </c>
      <c r="I3194" s="1" t="s">
        <v>4377</v>
      </c>
      <c r="J3194" s="1" t="s">
        <v>9109</v>
      </c>
      <c r="K3194" s="1" t="s">
        <v>9115</v>
      </c>
    </row>
    <row r="3195" spans="1:11" ht="21" x14ac:dyDescent="0.25">
      <c r="A3195" s="11" t="str">
        <f>HYPERLINK("https://rth.dk/resources/bsgatlas/details.php?id=BSGatlas-transcript-3194","BSGatlas-transcript-3194")</f>
        <v>BSGatlas-transcript-3194</v>
      </c>
      <c r="B3195" s="1" t="s">
        <v>9114</v>
      </c>
      <c r="C3195" s="3">
        <v>2893519</v>
      </c>
      <c r="D3195" s="3">
        <v>2897603</v>
      </c>
      <c r="E3195" s="1" t="s">
        <v>13</v>
      </c>
      <c r="F3195" s="1">
        <v>1</v>
      </c>
      <c r="G3195" s="1">
        <v>632</v>
      </c>
      <c r="H3195" s="1">
        <v>163</v>
      </c>
      <c r="I3195" s="1" t="s">
        <v>4377</v>
      </c>
      <c r="J3195" s="1" t="s">
        <v>9111</v>
      </c>
      <c r="K3195" s="1" t="s">
        <v>9115</v>
      </c>
    </row>
    <row r="3196" spans="1:11" ht="21" x14ac:dyDescent="0.25">
      <c r="A3196" s="11" t="str">
        <f>HYPERLINK("https://rth.dk/resources/bsgatlas/details.php?id=BSGatlas-transcript-3195","BSGatlas-transcript-3195")</f>
        <v>BSGatlas-transcript-3195</v>
      </c>
      <c r="B3196" s="1" t="s">
        <v>2995</v>
      </c>
      <c r="C3196" s="3">
        <v>2897037</v>
      </c>
      <c r="D3196" s="3">
        <v>2897340</v>
      </c>
      <c r="E3196" s="1" t="s">
        <v>13</v>
      </c>
      <c r="F3196" s="1">
        <v>0</v>
      </c>
      <c r="G3196" s="1" t="s">
        <v>4372</v>
      </c>
      <c r="H3196" s="1" t="s">
        <v>4372</v>
      </c>
      <c r="I3196" s="1" t="s">
        <v>4377</v>
      </c>
      <c r="J3196" s="1" t="s">
        <v>318</v>
      </c>
      <c r="K3196" s="1" t="s">
        <v>9116</v>
      </c>
    </row>
    <row r="3197" spans="1:11" ht="21" x14ac:dyDescent="0.25">
      <c r="A3197" s="11" t="str">
        <f>HYPERLINK("https://rth.dk/resources/bsgatlas/details.php?id=BSGatlas-transcript-3196","BSGatlas-transcript-3196")</f>
        <v>BSGatlas-transcript-3196</v>
      </c>
      <c r="B3197" s="1" t="s">
        <v>2995</v>
      </c>
      <c r="C3197" s="3">
        <v>2897093</v>
      </c>
      <c r="D3197" s="3">
        <v>2897340</v>
      </c>
      <c r="E3197" s="1" t="s">
        <v>13</v>
      </c>
      <c r="F3197" s="1">
        <v>0</v>
      </c>
      <c r="G3197" s="1" t="s">
        <v>4372</v>
      </c>
      <c r="H3197" s="1" t="s">
        <v>4372</v>
      </c>
      <c r="I3197" s="1" t="s">
        <v>4377</v>
      </c>
      <c r="J3197" s="1" t="s">
        <v>318</v>
      </c>
      <c r="K3197" s="1" t="s">
        <v>9117</v>
      </c>
    </row>
    <row r="3198" spans="1:11" ht="21" x14ac:dyDescent="0.25">
      <c r="A3198" s="11" t="str">
        <f>HYPERLINK("https://rth.dk/resources/bsgatlas/details.php?id=BSGatlas-transcript-3197","BSGatlas-transcript-3197")</f>
        <v>BSGatlas-transcript-3197</v>
      </c>
      <c r="B3198" s="1" t="s">
        <v>2996</v>
      </c>
      <c r="C3198" s="3">
        <v>2897762</v>
      </c>
      <c r="D3198" s="3">
        <v>2898173</v>
      </c>
      <c r="E3198" s="1" t="s">
        <v>9</v>
      </c>
      <c r="F3198" s="1">
        <v>0</v>
      </c>
      <c r="G3198" s="1" t="s">
        <v>4372</v>
      </c>
      <c r="H3198" s="1" t="s">
        <v>4372</v>
      </c>
      <c r="I3198" s="1" t="s">
        <v>4373</v>
      </c>
      <c r="J3198" s="1" t="s">
        <v>9118</v>
      </c>
      <c r="K3198" s="1" t="s">
        <v>9119</v>
      </c>
    </row>
    <row r="3199" spans="1:11" ht="21" x14ac:dyDescent="0.25">
      <c r="A3199" s="11" t="str">
        <f>HYPERLINK("https://rth.dk/resources/bsgatlas/details.php?id=BSGatlas-transcript-3198","BSGatlas-transcript-3198")</f>
        <v>BSGatlas-transcript-3198</v>
      </c>
      <c r="B3199" s="1" t="s">
        <v>2997</v>
      </c>
      <c r="C3199" s="3">
        <v>2898227</v>
      </c>
      <c r="D3199" s="3">
        <v>2898813</v>
      </c>
      <c r="E3199" s="1" t="s">
        <v>9</v>
      </c>
      <c r="F3199" s="1">
        <v>0</v>
      </c>
      <c r="G3199" s="1" t="s">
        <v>4372</v>
      </c>
      <c r="H3199" s="1" t="s">
        <v>4372</v>
      </c>
      <c r="I3199" s="1" t="s">
        <v>4373</v>
      </c>
      <c r="J3199" s="1" t="s">
        <v>9120</v>
      </c>
      <c r="K3199" s="1" t="s">
        <v>9121</v>
      </c>
    </row>
    <row r="3200" spans="1:11" ht="21" x14ac:dyDescent="0.25">
      <c r="A3200" s="11" t="str">
        <f>HYPERLINK("https://rth.dk/resources/bsgatlas/details.php?id=BSGatlas-transcript-3199","BSGatlas-transcript-3199")</f>
        <v>BSGatlas-transcript-3199</v>
      </c>
      <c r="B3200" s="1" t="s">
        <v>2998</v>
      </c>
      <c r="C3200" s="3">
        <v>2898882</v>
      </c>
      <c r="D3200" s="3">
        <v>2899767</v>
      </c>
      <c r="E3200" s="1" t="s">
        <v>9</v>
      </c>
      <c r="F3200" s="1">
        <v>0</v>
      </c>
      <c r="G3200" s="1" t="s">
        <v>4372</v>
      </c>
      <c r="H3200" s="1" t="s">
        <v>4372</v>
      </c>
      <c r="I3200" s="1" t="s">
        <v>4373</v>
      </c>
      <c r="J3200" s="1" t="s">
        <v>9122</v>
      </c>
      <c r="K3200" s="1" t="s">
        <v>9123</v>
      </c>
    </row>
    <row r="3201" spans="1:11" ht="21" x14ac:dyDescent="0.25">
      <c r="A3201" s="11" t="str">
        <f>HYPERLINK("https://rth.dk/resources/bsgatlas/details.php?id=BSGatlas-transcript-3200","BSGatlas-transcript-3200")</f>
        <v>BSGatlas-transcript-3200</v>
      </c>
      <c r="B3201" s="1" t="s">
        <v>2998</v>
      </c>
      <c r="C3201" s="3">
        <v>2898882</v>
      </c>
      <c r="D3201" s="3">
        <v>2899816</v>
      </c>
      <c r="E3201" s="1" t="s">
        <v>9</v>
      </c>
      <c r="F3201" s="1">
        <v>0</v>
      </c>
      <c r="G3201" s="1" t="s">
        <v>4372</v>
      </c>
      <c r="H3201" s="1" t="s">
        <v>4372</v>
      </c>
      <c r="I3201" s="1" t="s">
        <v>4373</v>
      </c>
      <c r="J3201" s="1" t="s">
        <v>9122</v>
      </c>
      <c r="K3201" s="1" t="s">
        <v>9124</v>
      </c>
    </row>
    <row r="3202" spans="1:11" ht="21" x14ac:dyDescent="0.25">
      <c r="A3202" s="11" t="str">
        <f>HYPERLINK("https://rth.dk/resources/bsgatlas/details.php?id=BSGatlas-transcript-3201","BSGatlas-transcript-3201")</f>
        <v>BSGatlas-transcript-3201</v>
      </c>
      <c r="B3202" s="1" t="s">
        <v>2999</v>
      </c>
      <c r="C3202" s="3">
        <v>2899815</v>
      </c>
      <c r="D3202" s="3">
        <v>2899929</v>
      </c>
      <c r="E3202" s="1" t="s">
        <v>13</v>
      </c>
      <c r="F3202" s="1">
        <v>0</v>
      </c>
      <c r="G3202" s="1" t="s">
        <v>4372</v>
      </c>
      <c r="H3202" s="1" t="s">
        <v>4372</v>
      </c>
      <c r="I3202" s="1" t="s">
        <v>4377</v>
      </c>
      <c r="J3202" s="1" t="s">
        <v>9125</v>
      </c>
      <c r="K3202" s="1" t="s">
        <v>9126</v>
      </c>
    </row>
    <row r="3203" spans="1:11" ht="21" x14ac:dyDescent="0.25">
      <c r="A3203" s="11" t="str">
        <f>HYPERLINK("https://rth.dk/resources/bsgatlas/details.php?id=BSGatlas-transcript-3202","BSGatlas-transcript-3202")</f>
        <v>BSGatlas-transcript-3202</v>
      </c>
      <c r="B3203" s="1" t="s">
        <v>3000</v>
      </c>
      <c r="C3203" s="3">
        <v>2900020</v>
      </c>
      <c r="D3203" s="3">
        <v>2900529</v>
      </c>
      <c r="E3203" s="1" t="s">
        <v>13</v>
      </c>
      <c r="F3203" s="1">
        <v>0</v>
      </c>
      <c r="G3203" s="1" t="s">
        <v>4372</v>
      </c>
      <c r="H3203" s="1" t="s">
        <v>4372</v>
      </c>
      <c r="I3203" s="1" t="s">
        <v>4373</v>
      </c>
      <c r="J3203" s="1" t="s">
        <v>318</v>
      </c>
      <c r="K3203" s="1" t="s">
        <v>9127</v>
      </c>
    </row>
    <row r="3204" spans="1:11" ht="21" x14ac:dyDescent="0.25">
      <c r="A3204" s="11" t="str">
        <f>HYPERLINK("https://rth.dk/resources/bsgatlas/details.php?id=BSGatlas-transcript-3203","BSGatlas-transcript-3203")</f>
        <v>BSGatlas-transcript-3203</v>
      </c>
      <c r="B3204" s="1" t="s">
        <v>9128</v>
      </c>
      <c r="C3204" s="3">
        <v>2900020</v>
      </c>
      <c r="D3204" s="3">
        <v>2901989</v>
      </c>
      <c r="E3204" s="1" t="s">
        <v>13</v>
      </c>
      <c r="F3204" s="1">
        <v>0</v>
      </c>
      <c r="G3204" s="1" t="s">
        <v>4372</v>
      </c>
      <c r="H3204" s="1" t="s">
        <v>4372</v>
      </c>
      <c r="I3204" s="1" t="s">
        <v>4386</v>
      </c>
      <c r="J3204" s="1" t="s">
        <v>9129</v>
      </c>
      <c r="K3204" s="1" t="s">
        <v>9127</v>
      </c>
    </row>
    <row r="3205" spans="1:11" ht="21" x14ac:dyDescent="0.25">
      <c r="A3205" s="11" t="str">
        <f>HYPERLINK("https://rth.dk/resources/bsgatlas/details.php?id=BSGatlas-transcript-3204","BSGatlas-transcript-3204")</f>
        <v>BSGatlas-transcript-3204</v>
      </c>
      <c r="B3205" s="1" t="s">
        <v>3003</v>
      </c>
      <c r="C3205" s="3">
        <v>2901935</v>
      </c>
      <c r="D3205" s="3">
        <v>2903127</v>
      </c>
      <c r="E3205" s="1" t="s">
        <v>13</v>
      </c>
      <c r="F3205" s="1">
        <v>0</v>
      </c>
      <c r="G3205" s="1" t="s">
        <v>4372</v>
      </c>
      <c r="H3205" s="1" t="s">
        <v>4372</v>
      </c>
      <c r="I3205" s="1" t="s">
        <v>4373</v>
      </c>
      <c r="J3205" s="1" t="s">
        <v>9130</v>
      </c>
      <c r="K3205" s="1" t="s">
        <v>9131</v>
      </c>
    </row>
    <row r="3206" spans="1:11" ht="21" x14ac:dyDescent="0.25">
      <c r="A3206" s="11" t="str">
        <f>HYPERLINK("https://rth.dk/resources/bsgatlas/details.php?id=BSGatlas-transcript-3205","BSGatlas-transcript-3205")</f>
        <v>BSGatlas-transcript-3205</v>
      </c>
      <c r="B3206" s="1" t="s">
        <v>3003</v>
      </c>
      <c r="C3206" s="3">
        <v>2902002</v>
      </c>
      <c r="D3206" s="3">
        <v>2903127</v>
      </c>
      <c r="E3206" s="1" t="s">
        <v>13</v>
      </c>
      <c r="F3206" s="1">
        <v>0</v>
      </c>
      <c r="G3206" s="1" t="s">
        <v>4372</v>
      </c>
      <c r="H3206" s="1" t="s">
        <v>4372</v>
      </c>
      <c r="I3206" s="1" t="s">
        <v>4373</v>
      </c>
      <c r="J3206" s="1" t="s">
        <v>9130</v>
      </c>
      <c r="K3206" s="1" t="s">
        <v>9132</v>
      </c>
    </row>
    <row r="3207" spans="1:11" ht="21" x14ac:dyDescent="0.25">
      <c r="A3207" s="11" t="str">
        <f>HYPERLINK("https://rth.dk/resources/bsgatlas/details.php?id=BSGatlas-transcript-3206","BSGatlas-transcript-3206")</f>
        <v>BSGatlas-transcript-3206</v>
      </c>
      <c r="B3207" s="1" t="s">
        <v>9133</v>
      </c>
      <c r="C3207" s="3">
        <v>2903217</v>
      </c>
      <c r="D3207" s="3">
        <v>2904535</v>
      </c>
      <c r="E3207" s="1" t="s">
        <v>13</v>
      </c>
      <c r="F3207" s="1">
        <v>0</v>
      </c>
      <c r="G3207" s="1" t="s">
        <v>4372</v>
      </c>
      <c r="H3207" s="1" t="s">
        <v>4372</v>
      </c>
      <c r="I3207" s="1" t="s">
        <v>4386</v>
      </c>
      <c r="J3207" s="1" t="s">
        <v>9134</v>
      </c>
      <c r="K3207" s="1" t="s">
        <v>9135</v>
      </c>
    </row>
    <row r="3208" spans="1:11" ht="21" x14ac:dyDescent="0.25">
      <c r="A3208" s="11" t="str">
        <f>HYPERLINK("https://rth.dk/resources/bsgatlas/details.php?id=BSGatlas-transcript-3207","BSGatlas-transcript-3207")</f>
        <v>BSGatlas-transcript-3207</v>
      </c>
      <c r="B3208" s="1" t="s">
        <v>3006</v>
      </c>
      <c r="C3208" s="3">
        <v>2904677</v>
      </c>
      <c r="D3208" s="3">
        <v>2905013</v>
      </c>
      <c r="E3208" s="1" t="s">
        <v>13</v>
      </c>
      <c r="F3208" s="1">
        <v>0</v>
      </c>
      <c r="G3208" s="1" t="s">
        <v>4372</v>
      </c>
      <c r="H3208" s="1" t="s">
        <v>4372</v>
      </c>
      <c r="I3208" s="1" t="s">
        <v>4373</v>
      </c>
      <c r="J3208" s="1" t="s">
        <v>9136</v>
      </c>
      <c r="K3208" s="1" t="s">
        <v>9137</v>
      </c>
    </row>
    <row r="3209" spans="1:11" ht="21" x14ac:dyDescent="0.25">
      <c r="A3209" s="11" t="str">
        <f>HYPERLINK("https://rth.dk/resources/bsgatlas/details.php?id=BSGatlas-transcript-3208","BSGatlas-transcript-3208")</f>
        <v>BSGatlas-transcript-3208</v>
      </c>
      <c r="B3209" s="1" t="s">
        <v>9138</v>
      </c>
      <c r="C3209" s="3">
        <v>2905526</v>
      </c>
      <c r="D3209" s="3">
        <v>2908827</v>
      </c>
      <c r="E3209" s="1" t="s">
        <v>13</v>
      </c>
      <c r="F3209" s="1">
        <v>1</v>
      </c>
      <c r="G3209" s="1">
        <v>91</v>
      </c>
      <c r="H3209" s="1">
        <v>46</v>
      </c>
      <c r="I3209" s="1" t="s">
        <v>4373</v>
      </c>
      <c r="J3209" s="1" t="s">
        <v>9139</v>
      </c>
      <c r="K3209" s="1" t="s">
        <v>9140</v>
      </c>
    </row>
    <row r="3210" spans="1:11" ht="21" x14ac:dyDescent="0.25">
      <c r="A3210" s="11" t="str">
        <f>HYPERLINK("https://rth.dk/resources/bsgatlas/details.php?id=BSGatlas-transcript-3209","BSGatlas-transcript-3209")</f>
        <v>BSGatlas-transcript-3209</v>
      </c>
      <c r="B3210" s="1" t="s">
        <v>3010</v>
      </c>
      <c r="C3210" s="3">
        <v>2908529</v>
      </c>
      <c r="D3210" s="3">
        <v>2909521</v>
      </c>
      <c r="E3210" s="1" t="s">
        <v>9</v>
      </c>
      <c r="F3210" s="1">
        <v>0</v>
      </c>
      <c r="G3210" s="1" t="s">
        <v>4372</v>
      </c>
      <c r="H3210" s="1" t="s">
        <v>4372</v>
      </c>
      <c r="I3210" s="1" t="s">
        <v>4373</v>
      </c>
      <c r="J3210" s="1" t="s">
        <v>9141</v>
      </c>
      <c r="K3210" s="1" t="s">
        <v>9142</v>
      </c>
    </row>
    <row r="3211" spans="1:11" ht="21" x14ac:dyDescent="0.25">
      <c r="A3211" s="11" t="str">
        <f>HYPERLINK("https://rth.dk/resources/bsgatlas/details.php?id=BSGatlas-transcript-3210","BSGatlas-transcript-3210")</f>
        <v>BSGatlas-transcript-3210</v>
      </c>
      <c r="B3211" s="1" t="s">
        <v>3010</v>
      </c>
      <c r="C3211" s="3">
        <v>2909002</v>
      </c>
      <c r="D3211" s="3">
        <v>2909521</v>
      </c>
      <c r="E3211" s="1" t="s">
        <v>9</v>
      </c>
      <c r="F3211" s="1">
        <v>0</v>
      </c>
      <c r="G3211" s="1" t="s">
        <v>4372</v>
      </c>
      <c r="H3211" s="1" t="s">
        <v>4372</v>
      </c>
      <c r="I3211" s="1" t="s">
        <v>4373</v>
      </c>
      <c r="J3211" s="1" t="s">
        <v>9143</v>
      </c>
      <c r="K3211" s="1" t="s">
        <v>9142</v>
      </c>
    </row>
    <row r="3212" spans="1:11" ht="21" x14ac:dyDescent="0.25">
      <c r="A3212" s="11" t="str">
        <f>HYPERLINK("https://rth.dk/resources/bsgatlas/details.php?id=BSGatlas-transcript-3211","BSGatlas-transcript-3211")</f>
        <v>BSGatlas-transcript-3211</v>
      </c>
      <c r="B3212" s="1" t="s">
        <v>3010</v>
      </c>
      <c r="C3212" s="3">
        <v>2909030</v>
      </c>
      <c r="D3212" s="3">
        <v>2909521</v>
      </c>
      <c r="E3212" s="1" t="s">
        <v>9</v>
      </c>
      <c r="F3212" s="1">
        <v>0</v>
      </c>
      <c r="G3212" s="1" t="s">
        <v>4372</v>
      </c>
      <c r="H3212" s="1" t="s">
        <v>4372</v>
      </c>
      <c r="I3212" s="1" t="s">
        <v>4373</v>
      </c>
      <c r="J3212" s="1" t="s">
        <v>9144</v>
      </c>
      <c r="K3212" s="1" t="s">
        <v>9142</v>
      </c>
    </row>
    <row r="3213" spans="1:11" ht="21" x14ac:dyDescent="0.25">
      <c r="A3213" s="11" t="str">
        <f>HYPERLINK("https://rth.dk/resources/bsgatlas/details.php?id=BSGatlas-transcript-3212","BSGatlas-transcript-3212")</f>
        <v>BSGatlas-transcript-3212</v>
      </c>
      <c r="B3213" s="1" t="s">
        <v>3012</v>
      </c>
      <c r="C3213" s="3">
        <v>2909469</v>
      </c>
      <c r="D3213" s="3">
        <v>2911077</v>
      </c>
      <c r="E3213" s="1" t="s">
        <v>13</v>
      </c>
      <c r="F3213" s="1">
        <v>0</v>
      </c>
      <c r="G3213" s="1" t="s">
        <v>4372</v>
      </c>
      <c r="H3213" s="1" t="s">
        <v>4372</v>
      </c>
      <c r="I3213" s="1" t="s">
        <v>4377</v>
      </c>
      <c r="J3213" s="1" t="s">
        <v>9145</v>
      </c>
      <c r="K3213" s="1" t="s">
        <v>9146</v>
      </c>
    </row>
    <row r="3214" spans="1:11" ht="21" x14ac:dyDescent="0.25">
      <c r="A3214" s="11" t="str">
        <f>HYPERLINK("https://rth.dk/resources/bsgatlas/details.php?id=BSGatlas-transcript-3213","BSGatlas-transcript-3213")</f>
        <v>BSGatlas-transcript-3213</v>
      </c>
      <c r="B3214" s="1" t="s">
        <v>9147</v>
      </c>
      <c r="C3214" s="3">
        <v>2909469</v>
      </c>
      <c r="D3214" s="3">
        <v>2911077</v>
      </c>
      <c r="E3214" s="1" t="s">
        <v>13</v>
      </c>
      <c r="F3214" s="1">
        <v>0</v>
      </c>
      <c r="G3214" s="1" t="s">
        <v>4372</v>
      </c>
      <c r="H3214" s="1" t="s">
        <v>4372</v>
      </c>
      <c r="I3214" s="1" t="s">
        <v>4373</v>
      </c>
      <c r="J3214" s="1" t="s">
        <v>9145</v>
      </c>
      <c r="K3214" s="1" t="s">
        <v>9146</v>
      </c>
    </row>
    <row r="3215" spans="1:11" ht="21" x14ac:dyDescent="0.25">
      <c r="A3215" s="11" t="str">
        <f>HYPERLINK("https://rth.dk/resources/bsgatlas/details.php?id=BSGatlas-transcript-3214","BSGatlas-transcript-3214")</f>
        <v>BSGatlas-transcript-3214</v>
      </c>
      <c r="B3215" s="1" t="s">
        <v>3013</v>
      </c>
      <c r="C3215" s="3">
        <v>2910801</v>
      </c>
      <c r="D3215" s="3">
        <v>2911051</v>
      </c>
      <c r="E3215" s="1" t="s">
        <v>13</v>
      </c>
      <c r="F3215" s="1">
        <v>0</v>
      </c>
      <c r="G3215" s="1" t="s">
        <v>4372</v>
      </c>
      <c r="H3215" s="1" t="s">
        <v>4372</v>
      </c>
      <c r="I3215" s="1" t="s">
        <v>4377</v>
      </c>
      <c r="J3215" s="1" t="s">
        <v>318</v>
      </c>
      <c r="K3215" s="1" t="s">
        <v>9148</v>
      </c>
    </row>
    <row r="3216" spans="1:11" ht="21" x14ac:dyDescent="0.25">
      <c r="A3216" s="11" t="str">
        <f>HYPERLINK("https://rth.dk/resources/bsgatlas/details.php?id=BSGatlas-transcript-3215","BSGatlas-transcript-3215")</f>
        <v>BSGatlas-transcript-3215</v>
      </c>
      <c r="B3216" s="1" t="s">
        <v>3014</v>
      </c>
      <c r="C3216" s="3">
        <v>2911116</v>
      </c>
      <c r="D3216" s="3">
        <v>2912929</v>
      </c>
      <c r="E3216" s="1" t="s">
        <v>13</v>
      </c>
      <c r="F3216" s="1">
        <v>0</v>
      </c>
      <c r="G3216" s="1" t="s">
        <v>4372</v>
      </c>
      <c r="H3216" s="1" t="s">
        <v>4372</v>
      </c>
      <c r="I3216" s="1" t="s">
        <v>4373</v>
      </c>
      <c r="J3216" s="1" t="s">
        <v>9149</v>
      </c>
      <c r="K3216" s="1" t="s">
        <v>318</v>
      </c>
    </row>
    <row r="3217" spans="1:11" ht="21" x14ac:dyDescent="0.25">
      <c r="A3217" s="11" t="str">
        <f>HYPERLINK("https://rth.dk/resources/bsgatlas/details.php?id=BSGatlas-transcript-3216","BSGatlas-transcript-3216")</f>
        <v>BSGatlas-transcript-3216</v>
      </c>
      <c r="B3217" s="1" t="s">
        <v>3015</v>
      </c>
      <c r="C3217" s="3">
        <v>2912964</v>
      </c>
      <c r="D3217" s="3">
        <v>2913368</v>
      </c>
      <c r="E3217" s="1" t="s">
        <v>13</v>
      </c>
      <c r="F3217" s="1">
        <v>0</v>
      </c>
      <c r="G3217" s="1" t="s">
        <v>4372</v>
      </c>
      <c r="H3217" s="1" t="s">
        <v>4372</v>
      </c>
      <c r="I3217" s="1" t="s">
        <v>4373</v>
      </c>
      <c r="J3217" s="1" t="s">
        <v>9150</v>
      </c>
      <c r="K3217" s="1" t="s">
        <v>9151</v>
      </c>
    </row>
    <row r="3218" spans="1:11" ht="21" x14ac:dyDescent="0.25">
      <c r="A3218" s="11" t="str">
        <f>HYPERLINK("https://rth.dk/resources/bsgatlas/details.php?id=BSGatlas-transcript-3217","BSGatlas-transcript-3217")</f>
        <v>BSGatlas-transcript-3217</v>
      </c>
      <c r="B3218" s="1" t="s">
        <v>4760</v>
      </c>
      <c r="C3218" s="3">
        <v>2913483</v>
      </c>
      <c r="D3218" s="3">
        <v>2913593</v>
      </c>
      <c r="E3218" s="1" t="s">
        <v>13</v>
      </c>
      <c r="F3218" s="1">
        <v>0</v>
      </c>
      <c r="G3218" s="1" t="s">
        <v>4372</v>
      </c>
      <c r="H3218" s="1" t="s">
        <v>4372</v>
      </c>
      <c r="I3218" s="1" t="s">
        <v>4377</v>
      </c>
      <c r="J3218" s="1" t="s">
        <v>9152</v>
      </c>
      <c r="K3218" s="1" t="s">
        <v>318</v>
      </c>
    </row>
    <row r="3219" spans="1:11" ht="21" x14ac:dyDescent="0.25">
      <c r="A3219" s="11" t="str">
        <f>HYPERLINK("https://rth.dk/resources/bsgatlas/details.php?id=BSGatlas-transcript-3218","BSGatlas-transcript-3218")</f>
        <v>BSGatlas-transcript-3218</v>
      </c>
      <c r="B3219" s="1" t="s">
        <v>3016</v>
      </c>
      <c r="C3219" s="3">
        <v>2913611</v>
      </c>
      <c r="D3219" s="3">
        <v>2915247</v>
      </c>
      <c r="E3219" s="1" t="s">
        <v>13</v>
      </c>
      <c r="F3219" s="1">
        <v>0</v>
      </c>
      <c r="G3219" s="1" t="s">
        <v>4372</v>
      </c>
      <c r="H3219" s="1" t="s">
        <v>4372</v>
      </c>
      <c r="I3219" s="1" t="s">
        <v>4373</v>
      </c>
      <c r="J3219" s="1" t="s">
        <v>9153</v>
      </c>
      <c r="K3219" s="1" t="s">
        <v>9154</v>
      </c>
    </row>
    <row r="3220" spans="1:11" ht="21" x14ac:dyDescent="0.25">
      <c r="A3220" s="11" t="str">
        <f>HYPERLINK("https://rth.dk/resources/bsgatlas/details.php?id=BSGatlas-transcript-3219","BSGatlas-transcript-3219")</f>
        <v>BSGatlas-transcript-3219</v>
      </c>
      <c r="B3220" s="1" t="s">
        <v>9155</v>
      </c>
      <c r="C3220" s="3">
        <v>2915322</v>
      </c>
      <c r="D3220" s="3">
        <v>2918585</v>
      </c>
      <c r="E3220" s="1" t="s">
        <v>13</v>
      </c>
      <c r="F3220" s="1">
        <v>1</v>
      </c>
      <c r="G3220" s="1">
        <v>45</v>
      </c>
      <c r="H3220" s="1">
        <v>44</v>
      </c>
      <c r="I3220" s="1" t="s">
        <v>4386</v>
      </c>
      <c r="J3220" s="1" t="s">
        <v>9156</v>
      </c>
      <c r="K3220" s="1" t="s">
        <v>9157</v>
      </c>
    </row>
    <row r="3221" spans="1:11" ht="21" x14ac:dyDescent="0.25">
      <c r="A3221" s="11" t="str">
        <f>HYPERLINK("https://rth.dk/resources/bsgatlas/details.php?id=BSGatlas-transcript-3220","BSGatlas-transcript-3220")</f>
        <v>BSGatlas-transcript-3220</v>
      </c>
      <c r="B3221" s="1" t="s">
        <v>9158</v>
      </c>
      <c r="C3221" s="3">
        <v>2915322</v>
      </c>
      <c r="D3221" s="3">
        <v>2920365</v>
      </c>
      <c r="E3221" s="1" t="s">
        <v>13</v>
      </c>
      <c r="F3221" s="1">
        <v>2</v>
      </c>
      <c r="G3221" s="1">
        <v>38</v>
      </c>
      <c r="H3221" s="1">
        <v>44</v>
      </c>
      <c r="I3221" s="1" t="s">
        <v>4373</v>
      </c>
      <c r="J3221" s="1" t="s">
        <v>9159</v>
      </c>
      <c r="K3221" s="1" t="s">
        <v>9157</v>
      </c>
    </row>
    <row r="3222" spans="1:11" ht="21" x14ac:dyDescent="0.25">
      <c r="A3222" s="11" t="str">
        <f>HYPERLINK("https://rth.dk/resources/bsgatlas/details.php?id=BSGatlas-transcript-3221","BSGatlas-transcript-3221")</f>
        <v>BSGatlas-transcript-3221</v>
      </c>
      <c r="B3222" s="1" t="s">
        <v>3022</v>
      </c>
      <c r="C3222" s="3">
        <v>2920384</v>
      </c>
      <c r="D3222" s="3">
        <v>2920921</v>
      </c>
      <c r="E3222" s="1" t="s">
        <v>13</v>
      </c>
      <c r="F3222" s="1">
        <v>0</v>
      </c>
      <c r="G3222" s="1" t="s">
        <v>4372</v>
      </c>
      <c r="H3222" s="1" t="s">
        <v>4372</v>
      </c>
      <c r="I3222" s="1" t="s">
        <v>4373</v>
      </c>
      <c r="J3222" s="1" t="s">
        <v>318</v>
      </c>
      <c r="K3222" s="1" t="s">
        <v>9160</v>
      </c>
    </row>
    <row r="3223" spans="1:11" ht="21" x14ac:dyDescent="0.25">
      <c r="A3223" s="11" t="str">
        <f>HYPERLINK("https://rth.dk/resources/bsgatlas/details.php?id=BSGatlas-transcript-3222","BSGatlas-transcript-3222")</f>
        <v>BSGatlas-transcript-3222</v>
      </c>
      <c r="B3223" s="1" t="s">
        <v>9161</v>
      </c>
      <c r="C3223" s="3">
        <v>2920384</v>
      </c>
      <c r="D3223" s="3">
        <v>2925940</v>
      </c>
      <c r="E3223" s="1" t="s">
        <v>13</v>
      </c>
      <c r="F3223" s="1">
        <v>2</v>
      </c>
      <c r="G3223" s="1">
        <v>44</v>
      </c>
      <c r="H3223" s="1">
        <v>134</v>
      </c>
      <c r="I3223" s="1" t="s">
        <v>4386</v>
      </c>
      <c r="J3223" s="1" t="s">
        <v>9162</v>
      </c>
      <c r="K3223" s="1" t="s">
        <v>9160</v>
      </c>
    </row>
    <row r="3224" spans="1:11" ht="21" x14ac:dyDescent="0.25">
      <c r="A3224" s="11" t="str">
        <f>HYPERLINK("https://rth.dk/resources/bsgatlas/details.php?id=BSGatlas-transcript-3223","BSGatlas-transcript-3223")</f>
        <v>BSGatlas-transcript-3223</v>
      </c>
      <c r="B3224" s="1" t="s">
        <v>9161</v>
      </c>
      <c r="C3224" s="3">
        <v>2920384</v>
      </c>
      <c r="D3224" s="3">
        <v>2926719</v>
      </c>
      <c r="E3224" s="1" t="s">
        <v>13</v>
      </c>
      <c r="F3224" s="1">
        <v>2</v>
      </c>
      <c r="G3224" s="1">
        <v>823</v>
      </c>
      <c r="H3224" s="1">
        <v>134</v>
      </c>
      <c r="I3224" s="1" t="s">
        <v>4386</v>
      </c>
      <c r="J3224" s="1" t="s">
        <v>9163</v>
      </c>
      <c r="K3224" s="1" t="s">
        <v>9160</v>
      </c>
    </row>
    <row r="3225" spans="1:11" ht="21" x14ac:dyDescent="0.25">
      <c r="A3225" s="11" t="str">
        <f>HYPERLINK("https://rth.dk/resources/bsgatlas/details.php?id=BSGatlas-transcript-3224","BSGatlas-transcript-3224")</f>
        <v>BSGatlas-transcript-3224</v>
      </c>
      <c r="B3225" s="1" t="s">
        <v>3022</v>
      </c>
      <c r="C3225" s="3">
        <v>2920431</v>
      </c>
      <c r="D3225" s="3">
        <v>2920921</v>
      </c>
      <c r="E3225" s="1" t="s">
        <v>13</v>
      </c>
      <c r="F3225" s="1">
        <v>0</v>
      </c>
      <c r="G3225" s="1" t="s">
        <v>4372</v>
      </c>
      <c r="H3225" s="1" t="s">
        <v>4372</v>
      </c>
      <c r="I3225" s="1" t="s">
        <v>4373</v>
      </c>
      <c r="J3225" s="1" t="s">
        <v>318</v>
      </c>
      <c r="K3225" s="1" t="s">
        <v>9164</v>
      </c>
    </row>
    <row r="3226" spans="1:11" ht="21" x14ac:dyDescent="0.25">
      <c r="A3226" s="11" t="str">
        <f>HYPERLINK("https://rth.dk/resources/bsgatlas/details.php?id=BSGatlas-transcript-3225","BSGatlas-transcript-3225")</f>
        <v>BSGatlas-transcript-3225</v>
      </c>
      <c r="B3226" s="1" t="s">
        <v>9161</v>
      </c>
      <c r="C3226" s="3">
        <v>2920431</v>
      </c>
      <c r="D3226" s="3">
        <v>2925940</v>
      </c>
      <c r="E3226" s="1" t="s">
        <v>13</v>
      </c>
      <c r="F3226" s="1">
        <v>2</v>
      </c>
      <c r="G3226" s="1">
        <v>44</v>
      </c>
      <c r="H3226" s="1">
        <v>87</v>
      </c>
      <c r="I3226" s="1" t="s">
        <v>4386</v>
      </c>
      <c r="J3226" s="1" t="s">
        <v>9162</v>
      </c>
      <c r="K3226" s="1" t="s">
        <v>9164</v>
      </c>
    </row>
    <row r="3227" spans="1:11" ht="21" x14ac:dyDescent="0.25">
      <c r="A3227" s="11" t="str">
        <f>HYPERLINK("https://rth.dk/resources/bsgatlas/details.php?id=BSGatlas-transcript-3226","BSGatlas-transcript-3226")</f>
        <v>BSGatlas-transcript-3226</v>
      </c>
      <c r="B3227" s="1" t="s">
        <v>9161</v>
      </c>
      <c r="C3227" s="3">
        <v>2920431</v>
      </c>
      <c r="D3227" s="3">
        <v>2926719</v>
      </c>
      <c r="E3227" s="1" t="s">
        <v>13</v>
      </c>
      <c r="F3227" s="1">
        <v>2</v>
      </c>
      <c r="G3227" s="1">
        <v>823</v>
      </c>
      <c r="H3227" s="1">
        <v>87</v>
      </c>
      <c r="I3227" s="1" t="s">
        <v>4386</v>
      </c>
      <c r="J3227" s="1" t="s">
        <v>9163</v>
      </c>
      <c r="K3227" s="1" t="s">
        <v>9164</v>
      </c>
    </row>
    <row r="3228" spans="1:11" ht="21" x14ac:dyDescent="0.25">
      <c r="A3228" s="11" t="str">
        <f>HYPERLINK("https://rth.dk/resources/bsgatlas/details.php?id=BSGatlas-transcript-3227","BSGatlas-transcript-3227")</f>
        <v>BSGatlas-transcript-3227</v>
      </c>
      <c r="B3228" s="1" t="s">
        <v>3022</v>
      </c>
      <c r="C3228" s="3">
        <v>2920497</v>
      </c>
      <c r="D3228" s="3">
        <v>2920921</v>
      </c>
      <c r="E3228" s="1" t="s">
        <v>13</v>
      </c>
      <c r="F3228" s="1">
        <v>0</v>
      </c>
      <c r="G3228" s="1" t="s">
        <v>4372</v>
      </c>
      <c r="H3228" s="1" t="s">
        <v>4372</v>
      </c>
      <c r="I3228" s="1" t="s">
        <v>4373</v>
      </c>
      <c r="J3228" s="1" t="s">
        <v>318</v>
      </c>
      <c r="K3228" s="1" t="s">
        <v>9165</v>
      </c>
    </row>
    <row r="3229" spans="1:11" ht="21" x14ac:dyDescent="0.25">
      <c r="A3229" s="11" t="str">
        <f>HYPERLINK("https://rth.dk/resources/bsgatlas/details.php?id=BSGatlas-transcript-3228","BSGatlas-transcript-3228")</f>
        <v>BSGatlas-transcript-3228</v>
      </c>
      <c r="B3229" s="1" t="s">
        <v>9161</v>
      </c>
      <c r="C3229" s="3">
        <v>2920497</v>
      </c>
      <c r="D3229" s="3">
        <v>2925940</v>
      </c>
      <c r="E3229" s="1" t="s">
        <v>13</v>
      </c>
      <c r="F3229" s="1">
        <v>2</v>
      </c>
      <c r="G3229" s="1">
        <v>44</v>
      </c>
      <c r="H3229" s="1">
        <v>21</v>
      </c>
      <c r="I3229" s="1" t="s">
        <v>4386</v>
      </c>
      <c r="J3229" s="1" t="s">
        <v>9162</v>
      </c>
      <c r="K3229" s="1" t="s">
        <v>9165</v>
      </c>
    </row>
    <row r="3230" spans="1:11" ht="21" x14ac:dyDescent="0.25">
      <c r="A3230" s="11" t="str">
        <f>HYPERLINK("https://rth.dk/resources/bsgatlas/details.php?id=BSGatlas-transcript-3229","BSGatlas-transcript-3229")</f>
        <v>BSGatlas-transcript-3229</v>
      </c>
      <c r="B3230" s="1" t="s">
        <v>9161</v>
      </c>
      <c r="C3230" s="3">
        <v>2920497</v>
      </c>
      <c r="D3230" s="3">
        <v>2926719</v>
      </c>
      <c r="E3230" s="1" t="s">
        <v>13</v>
      </c>
      <c r="F3230" s="1">
        <v>2</v>
      </c>
      <c r="G3230" s="1">
        <v>823</v>
      </c>
      <c r="H3230" s="1">
        <v>21</v>
      </c>
      <c r="I3230" s="1" t="s">
        <v>4386</v>
      </c>
      <c r="J3230" s="1" t="s">
        <v>9163</v>
      </c>
      <c r="K3230" s="1" t="s">
        <v>9165</v>
      </c>
    </row>
    <row r="3231" spans="1:11" ht="21" x14ac:dyDescent="0.25">
      <c r="A3231" s="11" t="str">
        <f>HYPERLINK("https://rth.dk/resources/bsgatlas/details.php?id=BSGatlas-transcript-3230","BSGatlas-transcript-3230")</f>
        <v>BSGatlas-transcript-3230</v>
      </c>
      <c r="B3231" s="1" t="s">
        <v>3025</v>
      </c>
      <c r="C3231" s="3">
        <v>2925061</v>
      </c>
      <c r="D3231" s="3">
        <v>2925633</v>
      </c>
      <c r="E3231" s="1" t="s">
        <v>13</v>
      </c>
      <c r="F3231" s="1">
        <v>0</v>
      </c>
      <c r="G3231" s="1" t="s">
        <v>4372</v>
      </c>
      <c r="H3231" s="1" t="s">
        <v>4372</v>
      </c>
      <c r="I3231" s="1" t="s">
        <v>4382</v>
      </c>
      <c r="J3231" s="1" t="s">
        <v>318</v>
      </c>
      <c r="K3231" s="1" t="s">
        <v>9166</v>
      </c>
    </row>
    <row r="3232" spans="1:11" ht="21" x14ac:dyDescent="0.25">
      <c r="A3232" s="11" t="str">
        <f>HYPERLINK("https://rth.dk/resources/bsgatlas/details.php?id=BSGatlas-transcript-3231","BSGatlas-transcript-3231")</f>
        <v>BSGatlas-transcript-3231</v>
      </c>
      <c r="B3232" s="1" t="s">
        <v>9167</v>
      </c>
      <c r="C3232" s="3">
        <v>2925061</v>
      </c>
      <c r="D3232" s="3">
        <v>2925940</v>
      </c>
      <c r="E3232" s="1" t="s">
        <v>13</v>
      </c>
      <c r="F3232" s="1">
        <v>0</v>
      </c>
      <c r="G3232" s="1" t="s">
        <v>4372</v>
      </c>
      <c r="H3232" s="1" t="s">
        <v>4372</v>
      </c>
      <c r="I3232" s="1" t="s">
        <v>4377</v>
      </c>
      <c r="J3232" s="1" t="s">
        <v>9162</v>
      </c>
      <c r="K3232" s="1" t="s">
        <v>9166</v>
      </c>
    </row>
    <row r="3233" spans="1:11" ht="21" x14ac:dyDescent="0.25">
      <c r="A3233" s="11" t="str">
        <f>HYPERLINK("https://rth.dk/resources/bsgatlas/details.php?id=BSGatlas-transcript-3232","BSGatlas-transcript-3232")</f>
        <v>BSGatlas-transcript-3232</v>
      </c>
      <c r="B3233" s="1" t="s">
        <v>9167</v>
      </c>
      <c r="C3233" s="3">
        <v>2925061</v>
      </c>
      <c r="D3233" s="3">
        <v>2926719</v>
      </c>
      <c r="E3233" s="1" t="s">
        <v>13</v>
      </c>
      <c r="F3233" s="1">
        <v>0</v>
      </c>
      <c r="G3233" s="1" t="s">
        <v>4372</v>
      </c>
      <c r="H3233" s="1" t="s">
        <v>4372</v>
      </c>
      <c r="I3233" s="1" t="s">
        <v>4377</v>
      </c>
      <c r="J3233" s="1" t="s">
        <v>9163</v>
      </c>
      <c r="K3233" s="1" t="s">
        <v>9166</v>
      </c>
    </row>
    <row r="3234" spans="1:11" ht="21" x14ac:dyDescent="0.25">
      <c r="A3234" s="11" t="str">
        <f>HYPERLINK("https://rth.dk/resources/bsgatlas/details.php?id=BSGatlas-transcript-3233","BSGatlas-transcript-3233")</f>
        <v>BSGatlas-transcript-3233</v>
      </c>
      <c r="B3234" s="1" t="s">
        <v>3027</v>
      </c>
      <c r="C3234" s="3">
        <v>2925987</v>
      </c>
      <c r="D3234" s="3">
        <v>2927015</v>
      </c>
      <c r="E3234" s="1" t="s">
        <v>9</v>
      </c>
      <c r="F3234" s="1">
        <v>0</v>
      </c>
      <c r="G3234" s="1" t="s">
        <v>4372</v>
      </c>
      <c r="H3234" s="1" t="s">
        <v>4372</v>
      </c>
      <c r="I3234" s="1" t="s">
        <v>4373</v>
      </c>
      <c r="J3234" s="1" t="s">
        <v>9168</v>
      </c>
      <c r="K3234" s="1" t="s">
        <v>9169</v>
      </c>
    </row>
    <row r="3235" spans="1:11" ht="21" x14ac:dyDescent="0.25">
      <c r="A3235" s="11" t="str">
        <f>HYPERLINK("https://rth.dk/resources/bsgatlas/details.php?id=BSGatlas-transcript-3234","BSGatlas-transcript-3234")</f>
        <v>BSGatlas-transcript-3234</v>
      </c>
      <c r="B3235" s="1" t="s">
        <v>3028</v>
      </c>
      <c r="C3235" s="3">
        <v>2926964</v>
      </c>
      <c r="D3235" s="3">
        <v>2929422</v>
      </c>
      <c r="E3235" s="1" t="s">
        <v>13</v>
      </c>
      <c r="F3235" s="1">
        <v>0</v>
      </c>
      <c r="G3235" s="1" t="s">
        <v>4372</v>
      </c>
      <c r="H3235" s="1" t="s">
        <v>4372</v>
      </c>
      <c r="I3235" s="1" t="s">
        <v>4382</v>
      </c>
      <c r="J3235" s="1" t="s">
        <v>318</v>
      </c>
      <c r="K3235" s="1" t="s">
        <v>9170</v>
      </c>
    </row>
    <row r="3236" spans="1:11" ht="21" x14ac:dyDescent="0.25">
      <c r="A3236" s="11" t="str">
        <f>HYPERLINK("https://rth.dk/resources/bsgatlas/details.php?id=BSGatlas-transcript-3235","BSGatlas-transcript-3235")</f>
        <v>BSGatlas-transcript-3235</v>
      </c>
      <c r="B3236" s="1" t="s">
        <v>9171</v>
      </c>
      <c r="C3236" s="3">
        <v>2926964</v>
      </c>
      <c r="D3236" s="3">
        <v>2930790</v>
      </c>
      <c r="E3236" s="1" t="s">
        <v>13</v>
      </c>
      <c r="F3236" s="1">
        <v>0</v>
      </c>
      <c r="G3236" s="1" t="s">
        <v>4372</v>
      </c>
      <c r="H3236" s="1" t="s">
        <v>4372</v>
      </c>
      <c r="I3236" s="1" t="s">
        <v>4373</v>
      </c>
      <c r="J3236" s="1" t="s">
        <v>9172</v>
      </c>
      <c r="K3236" s="1" t="s">
        <v>9170</v>
      </c>
    </row>
    <row r="3237" spans="1:11" ht="21" x14ac:dyDescent="0.25">
      <c r="A3237" s="11" t="str">
        <f>HYPERLINK("https://rth.dk/resources/bsgatlas/details.php?id=BSGatlas-transcript-3236","BSGatlas-transcript-3236")</f>
        <v>BSGatlas-transcript-3236</v>
      </c>
      <c r="B3237" s="1" t="s">
        <v>144</v>
      </c>
      <c r="C3237" s="3">
        <v>2930522</v>
      </c>
      <c r="D3237" s="3">
        <v>2930788</v>
      </c>
      <c r="E3237" s="1" t="s">
        <v>13</v>
      </c>
      <c r="F3237" s="1">
        <v>0</v>
      </c>
      <c r="G3237" s="1" t="s">
        <v>4372</v>
      </c>
      <c r="H3237" s="1" t="s">
        <v>4372</v>
      </c>
      <c r="I3237" s="1" t="s">
        <v>4377</v>
      </c>
      <c r="J3237" s="1" t="s">
        <v>318</v>
      </c>
      <c r="K3237" s="1" t="s">
        <v>9173</v>
      </c>
    </row>
    <row r="3238" spans="1:11" ht="21" x14ac:dyDescent="0.25">
      <c r="A3238" s="11" t="str">
        <f>HYPERLINK("https://rth.dk/resources/bsgatlas/details.php?id=BSGatlas-transcript-3237","BSGatlas-transcript-3237")</f>
        <v>BSGatlas-transcript-3237</v>
      </c>
      <c r="B3238" s="1" t="s">
        <v>3030</v>
      </c>
      <c r="C3238" s="3">
        <v>2930783</v>
      </c>
      <c r="D3238" s="3">
        <v>2931047</v>
      </c>
      <c r="E3238" s="1" t="s">
        <v>9</v>
      </c>
      <c r="F3238" s="1">
        <v>0</v>
      </c>
      <c r="G3238" s="1" t="s">
        <v>4372</v>
      </c>
      <c r="H3238" s="1" t="s">
        <v>4372</v>
      </c>
      <c r="I3238" s="1" t="s">
        <v>4377</v>
      </c>
      <c r="J3238" s="1" t="s">
        <v>9174</v>
      </c>
      <c r="K3238" s="1" t="s">
        <v>318</v>
      </c>
    </row>
    <row r="3239" spans="1:11" ht="21" x14ac:dyDescent="0.25">
      <c r="A3239" s="11" t="str">
        <f>HYPERLINK("https://rth.dk/resources/bsgatlas/details.php?id=BSGatlas-transcript-3238","BSGatlas-transcript-3238")</f>
        <v>BSGatlas-transcript-3238</v>
      </c>
      <c r="B3239" s="1" t="s">
        <v>3031</v>
      </c>
      <c r="C3239" s="3">
        <v>2930827</v>
      </c>
      <c r="D3239" s="3">
        <v>2931613</v>
      </c>
      <c r="E3239" s="1" t="s">
        <v>13</v>
      </c>
      <c r="F3239" s="1">
        <v>0</v>
      </c>
      <c r="G3239" s="1" t="s">
        <v>4372</v>
      </c>
      <c r="H3239" s="1" t="s">
        <v>4372</v>
      </c>
      <c r="I3239" s="1" t="s">
        <v>4373</v>
      </c>
      <c r="J3239" s="1" t="s">
        <v>9175</v>
      </c>
      <c r="K3239" s="1" t="s">
        <v>318</v>
      </c>
    </row>
    <row r="3240" spans="1:11" ht="21" x14ac:dyDescent="0.25">
      <c r="A3240" s="11" t="str">
        <f>HYPERLINK("https://rth.dk/resources/bsgatlas/details.php?id=BSGatlas-transcript-3239","BSGatlas-transcript-3239")</f>
        <v>BSGatlas-transcript-3239</v>
      </c>
      <c r="B3240" s="1" t="s">
        <v>3032</v>
      </c>
      <c r="C3240" s="3">
        <v>2931642</v>
      </c>
      <c r="D3240" s="3">
        <v>2931949</v>
      </c>
      <c r="E3240" s="1" t="s">
        <v>9</v>
      </c>
      <c r="F3240" s="1">
        <v>0</v>
      </c>
      <c r="G3240" s="1" t="s">
        <v>4372</v>
      </c>
      <c r="H3240" s="1" t="s">
        <v>4372</v>
      </c>
      <c r="I3240" s="1" t="s">
        <v>4373</v>
      </c>
      <c r="J3240" s="1" t="s">
        <v>9176</v>
      </c>
      <c r="K3240" s="1" t="s">
        <v>9177</v>
      </c>
    </row>
    <row r="3241" spans="1:11" ht="21" x14ac:dyDescent="0.25">
      <c r="A3241" s="11" t="str">
        <f>HYPERLINK("https://rth.dk/resources/bsgatlas/details.php?id=BSGatlas-transcript-3240","BSGatlas-transcript-3240")</f>
        <v>BSGatlas-transcript-3240</v>
      </c>
      <c r="B3241" s="1" t="s">
        <v>3032</v>
      </c>
      <c r="C3241" s="3">
        <v>2931663</v>
      </c>
      <c r="D3241" s="3">
        <v>2931949</v>
      </c>
      <c r="E3241" s="1" t="s">
        <v>9</v>
      </c>
      <c r="F3241" s="1">
        <v>0</v>
      </c>
      <c r="G3241" s="1" t="s">
        <v>4372</v>
      </c>
      <c r="H3241" s="1" t="s">
        <v>4372</v>
      </c>
      <c r="I3241" s="1" t="s">
        <v>4373</v>
      </c>
      <c r="J3241" s="1" t="s">
        <v>9178</v>
      </c>
      <c r="K3241" s="1" t="s">
        <v>9177</v>
      </c>
    </row>
    <row r="3242" spans="1:11" ht="21" x14ac:dyDescent="0.25">
      <c r="A3242" s="11" t="str">
        <f>HYPERLINK("https://rth.dk/resources/bsgatlas/details.php?id=BSGatlas-transcript-3241","BSGatlas-transcript-3241")</f>
        <v>BSGatlas-transcript-3241</v>
      </c>
      <c r="B3242" s="1" t="s">
        <v>3033</v>
      </c>
      <c r="C3242" s="3">
        <v>2931889</v>
      </c>
      <c r="D3242" s="3">
        <v>2933301</v>
      </c>
      <c r="E3242" s="1" t="s">
        <v>13</v>
      </c>
      <c r="F3242" s="1">
        <v>0</v>
      </c>
      <c r="G3242" s="1" t="s">
        <v>4372</v>
      </c>
      <c r="H3242" s="1" t="s">
        <v>4372</v>
      </c>
      <c r="I3242" s="1" t="s">
        <v>4377</v>
      </c>
      <c r="J3242" s="1" t="s">
        <v>9179</v>
      </c>
      <c r="K3242" s="1" t="s">
        <v>318</v>
      </c>
    </row>
    <row r="3243" spans="1:11" ht="21" x14ac:dyDescent="0.25">
      <c r="A3243" s="11" t="str">
        <f>HYPERLINK("https://rth.dk/resources/bsgatlas/details.php?id=BSGatlas-transcript-3242","BSGatlas-transcript-3242")</f>
        <v>BSGatlas-transcript-3242</v>
      </c>
      <c r="B3243" s="1" t="s">
        <v>3034</v>
      </c>
      <c r="C3243" s="3">
        <v>2931949</v>
      </c>
      <c r="D3243" s="3">
        <v>2933082</v>
      </c>
      <c r="E3243" s="1" t="s">
        <v>9</v>
      </c>
      <c r="F3243" s="1">
        <v>0</v>
      </c>
      <c r="G3243" s="1" t="s">
        <v>4372</v>
      </c>
      <c r="H3243" s="1" t="s">
        <v>4372</v>
      </c>
      <c r="I3243" s="1" t="s">
        <v>4386</v>
      </c>
      <c r="J3243" s="1" t="s">
        <v>9180</v>
      </c>
      <c r="K3243" s="1" t="s">
        <v>318</v>
      </c>
    </row>
    <row r="3244" spans="1:11" ht="21" x14ac:dyDescent="0.25">
      <c r="A3244" s="11" t="str">
        <f>HYPERLINK("https://rth.dk/resources/bsgatlas/details.php?id=BSGatlas-transcript-3243","BSGatlas-transcript-3243")</f>
        <v>BSGatlas-transcript-3243</v>
      </c>
      <c r="B3244" s="1" t="s">
        <v>9181</v>
      </c>
      <c r="C3244" s="3">
        <v>2933141</v>
      </c>
      <c r="D3244" s="3">
        <v>2935972</v>
      </c>
      <c r="E3244" s="1" t="s">
        <v>9</v>
      </c>
      <c r="F3244" s="1">
        <v>0</v>
      </c>
      <c r="G3244" s="1" t="s">
        <v>4372</v>
      </c>
      <c r="H3244" s="1" t="s">
        <v>4372</v>
      </c>
      <c r="I3244" s="1" t="s">
        <v>4386</v>
      </c>
      <c r="J3244" s="1" t="s">
        <v>9182</v>
      </c>
      <c r="K3244" s="1" t="s">
        <v>9183</v>
      </c>
    </row>
    <row r="3245" spans="1:11" ht="21" x14ac:dyDescent="0.25">
      <c r="A3245" s="11" t="str">
        <f>HYPERLINK("https://rth.dk/resources/bsgatlas/details.php?id=BSGatlas-transcript-3244","BSGatlas-transcript-3244")</f>
        <v>BSGatlas-transcript-3244</v>
      </c>
      <c r="B3245" s="1" t="s">
        <v>3036</v>
      </c>
      <c r="C3245" s="3">
        <v>2934594</v>
      </c>
      <c r="D3245" s="3">
        <v>2935972</v>
      </c>
      <c r="E3245" s="1" t="s">
        <v>9</v>
      </c>
      <c r="F3245" s="1">
        <v>0</v>
      </c>
      <c r="G3245" s="1" t="s">
        <v>4372</v>
      </c>
      <c r="H3245" s="1" t="s">
        <v>4372</v>
      </c>
      <c r="I3245" s="1" t="s">
        <v>4382</v>
      </c>
      <c r="J3245" s="1" t="s">
        <v>318</v>
      </c>
      <c r="K3245" s="1" t="s">
        <v>9183</v>
      </c>
    </row>
    <row r="3246" spans="1:11" ht="21" x14ac:dyDescent="0.25">
      <c r="A3246" s="11" t="str">
        <f>HYPERLINK("https://rth.dk/resources/bsgatlas/details.php?id=BSGatlas-transcript-3245","BSGatlas-transcript-3245")</f>
        <v>BSGatlas-transcript-3245</v>
      </c>
      <c r="B3246" s="1" t="s">
        <v>3037</v>
      </c>
      <c r="C3246" s="3">
        <v>2935918</v>
      </c>
      <c r="D3246" s="3">
        <v>2936209</v>
      </c>
      <c r="E3246" s="1" t="s">
        <v>13</v>
      </c>
      <c r="F3246" s="1">
        <v>0</v>
      </c>
      <c r="G3246" s="1" t="s">
        <v>4372</v>
      </c>
      <c r="H3246" s="1" t="s">
        <v>4372</v>
      </c>
      <c r="I3246" s="1" t="s">
        <v>4373</v>
      </c>
      <c r="J3246" s="1" t="s">
        <v>318</v>
      </c>
      <c r="K3246" s="1" t="s">
        <v>9184</v>
      </c>
    </row>
    <row r="3247" spans="1:11" ht="21" x14ac:dyDescent="0.25">
      <c r="A3247" s="11" t="str">
        <f>HYPERLINK("https://rth.dk/resources/bsgatlas/details.php?id=BSGatlas-transcript-3246","BSGatlas-transcript-3246")</f>
        <v>BSGatlas-transcript-3246</v>
      </c>
      <c r="B3247" s="1" t="s">
        <v>9185</v>
      </c>
      <c r="C3247" s="3">
        <v>2935918</v>
      </c>
      <c r="D3247" s="3">
        <v>2936502</v>
      </c>
      <c r="E3247" s="1" t="s">
        <v>13</v>
      </c>
      <c r="F3247" s="1">
        <v>1</v>
      </c>
      <c r="G3247" s="1">
        <v>64</v>
      </c>
      <c r="H3247" s="1">
        <v>50</v>
      </c>
      <c r="I3247" s="1" t="s">
        <v>4377</v>
      </c>
      <c r="J3247" s="1" t="s">
        <v>9186</v>
      </c>
      <c r="K3247" s="1" t="s">
        <v>9184</v>
      </c>
    </row>
    <row r="3248" spans="1:11" ht="21" x14ac:dyDescent="0.25">
      <c r="A3248" s="11" t="str">
        <f>HYPERLINK("https://rth.dk/resources/bsgatlas/details.php?id=BSGatlas-transcript-3247","BSGatlas-transcript-3247")</f>
        <v>BSGatlas-transcript-3247</v>
      </c>
      <c r="B3248" s="1" t="s">
        <v>9187</v>
      </c>
      <c r="C3248" s="3">
        <v>2935918</v>
      </c>
      <c r="D3248" s="3">
        <v>2938213</v>
      </c>
      <c r="E3248" s="1" t="s">
        <v>13</v>
      </c>
      <c r="F3248" s="1">
        <v>1</v>
      </c>
      <c r="G3248" s="1">
        <v>36</v>
      </c>
      <c r="H3248" s="1">
        <v>50</v>
      </c>
      <c r="I3248" s="1" t="s">
        <v>4386</v>
      </c>
      <c r="J3248" s="1" t="s">
        <v>9188</v>
      </c>
      <c r="K3248" s="1" t="s">
        <v>9184</v>
      </c>
    </row>
    <row r="3249" spans="1:11" ht="21" x14ac:dyDescent="0.25">
      <c r="A3249" s="11" t="str">
        <f>HYPERLINK("https://rth.dk/resources/bsgatlas/details.php?id=BSGatlas-transcript-3248","BSGatlas-transcript-3248")</f>
        <v>BSGatlas-transcript-3248</v>
      </c>
      <c r="B3249" s="1" t="s">
        <v>3039</v>
      </c>
      <c r="C3249" s="3">
        <v>2938285</v>
      </c>
      <c r="D3249" s="3">
        <v>2939847</v>
      </c>
      <c r="E3249" s="1" t="s">
        <v>13</v>
      </c>
      <c r="F3249" s="1">
        <v>0</v>
      </c>
      <c r="G3249" s="1" t="s">
        <v>4372</v>
      </c>
      <c r="H3249" s="1" t="s">
        <v>4372</v>
      </c>
      <c r="I3249" s="1" t="s">
        <v>4377</v>
      </c>
      <c r="J3249" s="1" t="s">
        <v>9189</v>
      </c>
      <c r="K3249" s="1" t="s">
        <v>9190</v>
      </c>
    </row>
    <row r="3250" spans="1:11" ht="21" x14ac:dyDescent="0.25">
      <c r="A3250" s="11" t="str">
        <f>HYPERLINK("https://rth.dk/resources/bsgatlas/details.php?id=BSGatlas-transcript-3249","BSGatlas-transcript-3249")</f>
        <v>BSGatlas-transcript-3249</v>
      </c>
      <c r="B3250" s="1" t="s">
        <v>9191</v>
      </c>
      <c r="C3250" s="3">
        <v>2938285</v>
      </c>
      <c r="D3250" s="3">
        <v>2948972</v>
      </c>
      <c r="E3250" s="1" t="s">
        <v>13</v>
      </c>
      <c r="F3250" s="1">
        <v>4</v>
      </c>
      <c r="G3250" s="1">
        <v>98</v>
      </c>
      <c r="H3250" s="1">
        <v>46</v>
      </c>
      <c r="I3250" s="1" t="s">
        <v>4373</v>
      </c>
      <c r="J3250" s="1" t="s">
        <v>9192</v>
      </c>
      <c r="K3250" s="1" t="s">
        <v>9190</v>
      </c>
    </row>
    <row r="3251" spans="1:11" ht="21" x14ac:dyDescent="0.25">
      <c r="A3251" s="11" t="str">
        <f>HYPERLINK("https://rth.dk/resources/bsgatlas/details.php?id=BSGatlas-transcript-3250","BSGatlas-transcript-3250")</f>
        <v>BSGatlas-transcript-3250</v>
      </c>
      <c r="B3251" s="1" t="s">
        <v>9193</v>
      </c>
      <c r="C3251" s="3">
        <v>2939681</v>
      </c>
      <c r="D3251" s="3">
        <v>2948972</v>
      </c>
      <c r="E3251" s="1" t="s">
        <v>13</v>
      </c>
      <c r="F3251" s="1">
        <v>3</v>
      </c>
      <c r="G3251" s="1">
        <v>98</v>
      </c>
      <c r="H3251" s="1">
        <v>171</v>
      </c>
      <c r="I3251" s="1" t="s">
        <v>4377</v>
      </c>
      <c r="J3251" s="1" t="s">
        <v>9192</v>
      </c>
      <c r="K3251" s="1" t="s">
        <v>9194</v>
      </c>
    </row>
    <row r="3252" spans="1:11" ht="21" x14ac:dyDescent="0.25">
      <c r="A3252" s="11" t="str">
        <f>HYPERLINK("https://rth.dk/resources/bsgatlas/details.php?id=BSGatlas-transcript-3251","BSGatlas-transcript-3251")</f>
        <v>BSGatlas-transcript-3251</v>
      </c>
      <c r="B3252" s="1" t="s">
        <v>3048</v>
      </c>
      <c r="C3252" s="3">
        <v>2949025</v>
      </c>
      <c r="D3252" s="3">
        <v>2950139</v>
      </c>
      <c r="E3252" s="1" t="s">
        <v>13</v>
      </c>
      <c r="F3252" s="1">
        <v>0</v>
      </c>
      <c r="G3252" s="1" t="s">
        <v>4372</v>
      </c>
      <c r="H3252" s="1" t="s">
        <v>4372</v>
      </c>
      <c r="I3252" s="1" t="s">
        <v>4373</v>
      </c>
      <c r="J3252" s="1" t="s">
        <v>9195</v>
      </c>
      <c r="K3252" s="1" t="s">
        <v>9196</v>
      </c>
    </row>
    <row r="3253" spans="1:11" ht="21" x14ac:dyDescent="0.25">
      <c r="A3253" s="11" t="str">
        <f>HYPERLINK("https://rth.dk/resources/bsgatlas/details.php?id=BSGatlas-transcript-3252","BSGatlas-transcript-3252")</f>
        <v>BSGatlas-transcript-3252</v>
      </c>
      <c r="B3253" s="1" t="s">
        <v>3049</v>
      </c>
      <c r="C3253" s="3">
        <v>2950221</v>
      </c>
      <c r="D3253" s="3">
        <v>2951355</v>
      </c>
      <c r="E3253" s="1" t="s">
        <v>13</v>
      </c>
      <c r="F3253" s="1">
        <v>0</v>
      </c>
      <c r="G3253" s="1" t="s">
        <v>4372</v>
      </c>
      <c r="H3253" s="1" t="s">
        <v>4372</v>
      </c>
      <c r="I3253" s="1" t="s">
        <v>4386</v>
      </c>
      <c r="J3253" s="1" t="s">
        <v>9197</v>
      </c>
      <c r="K3253" s="1" t="s">
        <v>9198</v>
      </c>
    </row>
    <row r="3254" spans="1:11" ht="21" x14ac:dyDescent="0.25">
      <c r="A3254" s="11" t="str">
        <f>HYPERLINK("https://rth.dk/resources/bsgatlas/details.php?id=BSGatlas-transcript-3253","BSGatlas-transcript-3253")</f>
        <v>BSGatlas-transcript-3253</v>
      </c>
      <c r="B3254" s="1" t="s">
        <v>3050</v>
      </c>
      <c r="C3254" s="3">
        <v>2951458</v>
      </c>
      <c r="D3254" s="3">
        <v>2951901</v>
      </c>
      <c r="E3254" s="1" t="s">
        <v>9</v>
      </c>
      <c r="F3254" s="1">
        <v>0</v>
      </c>
      <c r="G3254" s="1" t="s">
        <v>4372</v>
      </c>
      <c r="H3254" s="1" t="s">
        <v>4372</v>
      </c>
      <c r="I3254" s="1" t="s">
        <v>4373</v>
      </c>
      <c r="J3254" s="1" t="s">
        <v>9199</v>
      </c>
      <c r="K3254" s="1" t="s">
        <v>9200</v>
      </c>
    </row>
    <row r="3255" spans="1:11" ht="21" x14ac:dyDescent="0.25">
      <c r="A3255" s="11" t="str">
        <f>HYPERLINK("https://rth.dk/resources/bsgatlas/details.php?id=BSGatlas-transcript-3254","BSGatlas-transcript-3254")</f>
        <v>BSGatlas-transcript-3254</v>
      </c>
      <c r="B3255" s="1" t="s">
        <v>3050</v>
      </c>
      <c r="C3255" s="3">
        <v>2951458</v>
      </c>
      <c r="D3255" s="3">
        <v>2952183</v>
      </c>
      <c r="E3255" s="1" t="s">
        <v>9</v>
      </c>
      <c r="F3255" s="1">
        <v>0</v>
      </c>
      <c r="G3255" s="1" t="s">
        <v>4372</v>
      </c>
      <c r="H3255" s="1" t="s">
        <v>4372</v>
      </c>
      <c r="I3255" s="1" t="s">
        <v>4373</v>
      </c>
      <c r="J3255" s="1" t="s">
        <v>9199</v>
      </c>
      <c r="K3255" s="1" t="s">
        <v>9201</v>
      </c>
    </row>
    <row r="3256" spans="1:11" ht="21" x14ac:dyDescent="0.25">
      <c r="A3256" s="11" t="str">
        <f>HYPERLINK("https://rth.dk/resources/bsgatlas/details.php?id=BSGatlas-transcript-3255","BSGatlas-transcript-3255")</f>
        <v>BSGatlas-transcript-3255</v>
      </c>
      <c r="B3256" s="1" t="s">
        <v>9202</v>
      </c>
      <c r="C3256" s="3">
        <v>2951853</v>
      </c>
      <c r="D3256" s="3">
        <v>2953550</v>
      </c>
      <c r="E3256" s="1" t="s">
        <v>13</v>
      </c>
      <c r="F3256" s="1">
        <v>2</v>
      </c>
      <c r="G3256" s="1">
        <v>202</v>
      </c>
      <c r="H3256" s="1">
        <v>46</v>
      </c>
      <c r="I3256" s="1" t="s">
        <v>4373</v>
      </c>
      <c r="J3256" s="1" t="s">
        <v>9203</v>
      </c>
      <c r="K3256" s="1" t="s">
        <v>9204</v>
      </c>
    </row>
    <row r="3257" spans="1:11" ht="21" x14ac:dyDescent="0.25">
      <c r="A3257" s="11" t="str">
        <f>HYPERLINK("https://rth.dk/resources/bsgatlas/details.php?id=BSGatlas-transcript-3256","BSGatlas-transcript-3256")</f>
        <v>BSGatlas-transcript-3256</v>
      </c>
      <c r="B3257" s="1" t="s">
        <v>9202</v>
      </c>
      <c r="C3257" s="3">
        <v>2951853</v>
      </c>
      <c r="D3257" s="3">
        <v>2953623</v>
      </c>
      <c r="E3257" s="1" t="s">
        <v>13</v>
      </c>
      <c r="F3257" s="1">
        <v>2</v>
      </c>
      <c r="G3257" s="1">
        <v>275</v>
      </c>
      <c r="H3257" s="1">
        <v>46</v>
      </c>
      <c r="I3257" s="1" t="s">
        <v>4373</v>
      </c>
      <c r="J3257" s="1" t="s">
        <v>9205</v>
      </c>
      <c r="K3257" s="1" t="s">
        <v>9204</v>
      </c>
    </row>
    <row r="3258" spans="1:11" ht="21" x14ac:dyDescent="0.25">
      <c r="A3258" s="11" t="str">
        <f>HYPERLINK("https://rth.dk/resources/bsgatlas/details.php?id=BSGatlas-transcript-3257","BSGatlas-transcript-3257")</f>
        <v>BSGatlas-transcript-3257</v>
      </c>
      <c r="B3258" s="1" t="s">
        <v>9206</v>
      </c>
      <c r="C3258" s="3">
        <v>2952061</v>
      </c>
      <c r="D3258" s="3">
        <v>2953550</v>
      </c>
      <c r="E3258" s="1" t="s">
        <v>13</v>
      </c>
      <c r="F3258" s="1">
        <v>1</v>
      </c>
      <c r="G3258" s="1">
        <v>202</v>
      </c>
      <c r="H3258" s="1">
        <v>164</v>
      </c>
      <c r="I3258" s="1" t="s">
        <v>4547</v>
      </c>
      <c r="J3258" s="1" t="s">
        <v>9203</v>
      </c>
      <c r="K3258" s="1" t="s">
        <v>9207</v>
      </c>
    </row>
    <row r="3259" spans="1:11" ht="21" x14ac:dyDescent="0.25">
      <c r="A3259" s="11" t="str">
        <f>HYPERLINK("https://rth.dk/resources/bsgatlas/details.php?id=BSGatlas-transcript-3258","BSGatlas-transcript-3258")</f>
        <v>BSGatlas-transcript-3258</v>
      </c>
      <c r="B3259" s="1" t="s">
        <v>9206</v>
      </c>
      <c r="C3259" s="3">
        <v>2952061</v>
      </c>
      <c r="D3259" s="3">
        <v>2953623</v>
      </c>
      <c r="E3259" s="1" t="s">
        <v>13</v>
      </c>
      <c r="F3259" s="1">
        <v>1</v>
      </c>
      <c r="G3259" s="1">
        <v>275</v>
      </c>
      <c r="H3259" s="1">
        <v>164</v>
      </c>
      <c r="I3259" s="1" t="s">
        <v>4547</v>
      </c>
      <c r="J3259" s="1" t="s">
        <v>9205</v>
      </c>
      <c r="K3259" s="1" t="s">
        <v>9207</v>
      </c>
    </row>
    <row r="3260" spans="1:11" ht="21" x14ac:dyDescent="0.25">
      <c r="A3260" s="11" t="str">
        <f>HYPERLINK("https://rth.dk/resources/bsgatlas/details.php?id=BSGatlas-transcript-3259","BSGatlas-transcript-3259")</f>
        <v>BSGatlas-transcript-3259</v>
      </c>
      <c r="B3260" s="1" t="s">
        <v>9206</v>
      </c>
      <c r="C3260" s="3">
        <v>2952179</v>
      </c>
      <c r="D3260" s="3">
        <v>2953550</v>
      </c>
      <c r="E3260" s="1" t="s">
        <v>13</v>
      </c>
      <c r="F3260" s="1">
        <v>1</v>
      </c>
      <c r="G3260" s="1">
        <v>202</v>
      </c>
      <c r="H3260" s="1">
        <v>46</v>
      </c>
      <c r="I3260" s="1" t="s">
        <v>4547</v>
      </c>
      <c r="J3260" s="1" t="s">
        <v>9203</v>
      </c>
      <c r="K3260" s="1" t="s">
        <v>9208</v>
      </c>
    </row>
    <row r="3261" spans="1:11" ht="21" x14ac:dyDescent="0.25">
      <c r="A3261" s="11" t="str">
        <f>HYPERLINK("https://rth.dk/resources/bsgatlas/details.php?id=BSGatlas-transcript-3260","BSGatlas-transcript-3260")</f>
        <v>BSGatlas-transcript-3260</v>
      </c>
      <c r="B3261" s="1" t="s">
        <v>9206</v>
      </c>
      <c r="C3261" s="3">
        <v>2952179</v>
      </c>
      <c r="D3261" s="3">
        <v>2953623</v>
      </c>
      <c r="E3261" s="1" t="s">
        <v>13</v>
      </c>
      <c r="F3261" s="1">
        <v>1</v>
      </c>
      <c r="G3261" s="1">
        <v>275</v>
      </c>
      <c r="H3261" s="1">
        <v>46</v>
      </c>
      <c r="I3261" s="1" t="s">
        <v>4547</v>
      </c>
      <c r="J3261" s="1" t="s">
        <v>9205</v>
      </c>
      <c r="K3261" s="1" t="s">
        <v>9208</v>
      </c>
    </row>
    <row r="3262" spans="1:11" ht="21" x14ac:dyDescent="0.25">
      <c r="A3262" s="11" t="str">
        <f>HYPERLINK("https://rth.dk/resources/bsgatlas/details.php?id=BSGatlas-transcript-3261","BSGatlas-transcript-3261")</f>
        <v>BSGatlas-transcript-3261</v>
      </c>
      <c r="B3262" s="1" t="s">
        <v>4760</v>
      </c>
      <c r="C3262" s="3">
        <v>2953407</v>
      </c>
      <c r="D3262" s="3">
        <v>2953550</v>
      </c>
      <c r="E3262" s="1" t="s">
        <v>13</v>
      </c>
      <c r="F3262" s="1">
        <v>0</v>
      </c>
      <c r="G3262" s="1" t="s">
        <v>4372</v>
      </c>
      <c r="H3262" s="1" t="s">
        <v>4372</v>
      </c>
      <c r="I3262" s="1" t="s">
        <v>4377</v>
      </c>
      <c r="J3262" s="1" t="s">
        <v>318</v>
      </c>
      <c r="K3262" s="1" t="s">
        <v>9209</v>
      </c>
    </row>
    <row r="3263" spans="1:11" ht="21" x14ac:dyDescent="0.25">
      <c r="A3263" s="11" t="str">
        <f>HYPERLINK("https://rth.dk/resources/bsgatlas/details.php?id=BSGatlas-transcript-3262","BSGatlas-transcript-3262")</f>
        <v>BSGatlas-transcript-3262</v>
      </c>
      <c r="B3263" s="1" t="s">
        <v>3055</v>
      </c>
      <c r="C3263" s="3">
        <v>2953763</v>
      </c>
      <c r="D3263" s="3">
        <v>2954460</v>
      </c>
      <c r="E3263" s="1" t="s">
        <v>9</v>
      </c>
      <c r="F3263" s="1">
        <v>0</v>
      </c>
      <c r="G3263" s="1" t="s">
        <v>4372</v>
      </c>
      <c r="H3263" s="1" t="s">
        <v>4372</v>
      </c>
      <c r="I3263" s="1" t="s">
        <v>4373</v>
      </c>
      <c r="J3263" s="1" t="s">
        <v>9210</v>
      </c>
      <c r="K3263" s="1" t="s">
        <v>9211</v>
      </c>
    </row>
    <row r="3264" spans="1:11" ht="21" x14ac:dyDescent="0.25">
      <c r="A3264" s="11" t="str">
        <f>HYPERLINK("https://rth.dk/resources/bsgatlas/details.php?id=BSGatlas-transcript-3263","BSGatlas-transcript-3263")</f>
        <v>BSGatlas-transcript-3263</v>
      </c>
      <c r="B3264" s="1" t="s">
        <v>3055</v>
      </c>
      <c r="C3264" s="3">
        <v>2953763</v>
      </c>
      <c r="D3264" s="3">
        <v>2954506</v>
      </c>
      <c r="E3264" s="1" t="s">
        <v>9</v>
      </c>
      <c r="F3264" s="1">
        <v>0</v>
      </c>
      <c r="G3264" s="1" t="s">
        <v>4372</v>
      </c>
      <c r="H3264" s="1" t="s">
        <v>4372</v>
      </c>
      <c r="I3264" s="1" t="s">
        <v>4373</v>
      </c>
      <c r="J3264" s="1" t="s">
        <v>9210</v>
      </c>
      <c r="K3264" s="1" t="s">
        <v>9212</v>
      </c>
    </row>
    <row r="3265" spans="1:11" ht="21" x14ac:dyDescent="0.25">
      <c r="A3265" s="11" t="str">
        <f>HYPERLINK("https://rth.dk/resources/bsgatlas/details.php?id=BSGatlas-transcript-3264","BSGatlas-transcript-3264")</f>
        <v>BSGatlas-transcript-3264</v>
      </c>
      <c r="B3265" s="1" t="s">
        <v>3056</v>
      </c>
      <c r="C3265" s="3">
        <v>2954456</v>
      </c>
      <c r="D3265" s="3">
        <v>2955187</v>
      </c>
      <c r="E3265" s="1" t="s">
        <v>13</v>
      </c>
      <c r="F3265" s="1">
        <v>0</v>
      </c>
      <c r="G3265" s="1" t="s">
        <v>4372</v>
      </c>
      <c r="H3265" s="1" t="s">
        <v>4372</v>
      </c>
      <c r="I3265" s="1" t="s">
        <v>4382</v>
      </c>
      <c r="J3265" s="1" t="s">
        <v>318</v>
      </c>
      <c r="K3265" s="1" t="s">
        <v>9213</v>
      </c>
    </row>
    <row r="3266" spans="1:11" ht="21" x14ac:dyDescent="0.25">
      <c r="A3266" s="11" t="str">
        <f>HYPERLINK("https://rth.dk/resources/bsgatlas/details.php?id=BSGatlas-transcript-3265","BSGatlas-transcript-3265")</f>
        <v>BSGatlas-transcript-3265</v>
      </c>
      <c r="B3266" s="1" t="s">
        <v>9214</v>
      </c>
      <c r="C3266" s="3">
        <v>2954456</v>
      </c>
      <c r="D3266" s="3">
        <v>2955690</v>
      </c>
      <c r="E3266" s="1" t="s">
        <v>13</v>
      </c>
      <c r="F3266" s="1">
        <v>1</v>
      </c>
      <c r="G3266" s="1">
        <v>42</v>
      </c>
      <c r="H3266" s="1">
        <v>37</v>
      </c>
      <c r="I3266" s="1" t="s">
        <v>4386</v>
      </c>
      <c r="J3266" s="1" t="s">
        <v>9215</v>
      </c>
      <c r="K3266" s="1" t="s">
        <v>9213</v>
      </c>
    </row>
    <row r="3267" spans="1:11" ht="21" x14ac:dyDescent="0.25">
      <c r="A3267" s="11" t="str">
        <f>HYPERLINK("https://rth.dk/resources/bsgatlas/details.php?id=BSGatlas-transcript-3266","BSGatlas-transcript-3266")</f>
        <v>BSGatlas-transcript-3266</v>
      </c>
      <c r="B3267" s="1" t="s">
        <v>3058</v>
      </c>
      <c r="C3267" s="3">
        <v>2955760</v>
      </c>
      <c r="D3267" s="3">
        <v>2956508</v>
      </c>
      <c r="E3267" s="1" t="s">
        <v>13</v>
      </c>
      <c r="F3267" s="1">
        <v>0</v>
      </c>
      <c r="G3267" s="1" t="s">
        <v>4372</v>
      </c>
      <c r="H3267" s="1" t="s">
        <v>4372</v>
      </c>
      <c r="I3267" s="1" t="s">
        <v>4382</v>
      </c>
      <c r="J3267" s="1" t="s">
        <v>318</v>
      </c>
      <c r="K3267" s="1" t="s">
        <v>9216</v>
      </c>
    </row>
    <row r="3268" spans="1:11" ht="21" x14ac:dyDescent="0.25">
      <c r="A3268" s="11" t="str">
        <f>HYPERLINK("https://rth.dk/resources/bsgatlas/details.php?id=BSGatlas-transcript-3267","BSGatlas-transcript-3267")</f>
        <v>BSGatlas-transcript-3267</v>
      </c>
      <c r="B3268" s="1" t="s">
        <v>9217</v>
      </c>
      <c r="C3268" s="3">
        <v>2955760</v>
      </c>
      <c r="D3268" s="3">
        <v>2958368</v>
      </c>
      <c r="E3268" s="1" t="s">
        <v>13</v>
      </c>
      <c r="F3268" s="1">
        <v>0</v>
      </c>
      <c r="G3268" s="1" t="s">
        <v>4372</v>
      </c>
      <c r="H3268" s="1" t="s">
        <v>4372</v>
      </c>
      <c r="I3268" s="1" t="s">
        <v>4386</v>
      </c>
      <c r="J3268" s="1" t="s">
        <v>9218</v>
      </c>
      <c r="K3268" s="1" t="s">
        <v>9216</v>
      </c>
    </row>
    <row r="3269" spans="1:11" ht="21" x14ac:dyDescent="0.25">
      <c r="A3269" s="11" t="str">
        <f>HYPERLINK("https://rth.dk/resources/bsgatlas/details.php?id=BSGatlas-transcript-3268","BSGatlas-transcript-3268")</f>
        <v>BSGatlas-transcript-3268</v>
      </c>
      <c r="B3269" s="1" t="s">
        <v>3060</v>
      </c>
      <c r="C3269" s="3">
        <v>2958376</v>
      </c>
      <c r="D3269" s="3">
        <v>2959262</v>
      </c>
      <c r="E3269" s="1" t="s">
        <v>9</v>
      </c>
      <c r="F3269" s="1">
        <v>0</v>
      </c>
      <c r="G3269" s="1" t="s">
        <v>4372</v>
      </c>
      <c r="H3269" s="1" t="s">
        <v>4372</v>
      </c>
      <c r="I3269" s="1" t="s">
        <v>4373</v>
      </c>
      <c r="J3269" s="1" t="s">
        <v>9219</v>
      </c>
      <c r="K3269" s="1" t="s">
        <v>9220</v>
      </c>
    </row>
    <row r="3270" spans="1:11" ht="21" x14ac:dyDescent="0.25">
      <c r="A3270" s="11" t="str">
        <f>HYPERLINK("https://rth.dk/resources/bsgatlas/details.php?id=BSGatlas-transcript-3269","BSGatlas-transcript-3269")</f>
        <v>BSGatlas-transcript-3269</v>
      </c>
      <c r="B3270" s="1" t="s">
        <v>3061</v>
      </c>
      <c r="C3270" s="3">
        <v>2959207</v>
      </c>
      <c r="D3270" s="3">
        <v>2961235</v>
      </c>
      <c r="E3270" s="1" t="s">
        <v>13</v>
      </c>
      <c r="F3270" s="1">
        <v>0</v>
      </c>
      <c r="G3270" s="1" t="s">
        <v>4372</v>
      </c>
      <c r="H3270" s="1" t="s">
        <v>4372</v>
      </c>
      <c r="I3270" s="1" t="s">
        <v>4373</v>
      </c>
      <c r="J3270" s="1" t="s">
        <v>9221</v>
      </c>
      <c r="K3270" s="1" t="s">
        <v>9222</v>
      </c>
    </row>
    <row r="3271" spans="1:11" ht="21" x14ac:dyDescent="0.25">
      <c r="A3271" s="11" t="str">
        <f>HYPERLINK("https://rth.dk/resources/bsgatlas/details.php?id=BSGatlas-transcript-3270","BSGatlas-transcript-3270")</f>
        <v>BSGatlas-transcript-3270</v>
      </c>
      <c r="B3271" s="1" t="s">
        <v>3061</v>
      </c>
      <c r="C3271" s="3">
        <v>2959207</v>
      </c>
      <c r="D3271" s="3">
        <v>2961494</v>
      </c>
      <c r="E3271" s="1" t="s">
        <v>13</v>
      </c>
      <c r="F3271" s="1">
        <v>0</v>
      </c>
      <c r="G3271" s="1" t="s">
        <v>4372</v>
      </c>
      <c r="H3271" s="1" t="s">
        <v>4372</v>
      </c>
      <c r="I3271" s="1" t="s">
        <v>4373</v>
      </c>
      <c r="J3271" s="1" t="s">
        <v>9223</v>
      </c>
      <c r="K3271" s="1" t="s">
        <v>9222</v>
      </c>
    </row>
    <row r="3272" spans="1:11" ht="21" x14ac:dyDescent="0.25">
      <c r="A3272" s="11" t="str">
        <f>HYPERLINK("https://rth.dk/resources/bsgatlas/details.php?id=BSGatlas-transcript-3271","BSGatlas-transcript-3271")</f>
        <v>BSGatlas-transcript-3271</v>
      </c>
      <c r="B3272" s="1" t="s">
        <v>9224</v>
      </c>
      <c r="C3272" s="3">
        <v>2959207</v>
      </c>
      <c r="D3272" s="3">
        <v>2962454</v>
      </c>
      <c r="E3272" s="1" t="s">
        <v>13</v>
      </c>
      <c r="F3272" s="1">
        <v>2</v>
      </c>
      <c r="G3272" s="1">
        <v>24</v>
      </c>
      <c r="H3272" s="1">
        <v>51</v>
      </c>
      <c r="I3272" s="1" t="s">
        <v>4377</v>
      </c>
      <c r="J3272" s="1" t="s">
        <v>9225</v>
      </c>
      <c r="K3272" s="1" t="s">
        <v>9222</v>
      </c>
    </row>
    <row r="3273" spans="1:11" ht="21" x14ac:dyDescent="0.25">
      <c r="A3273" s="11" t="str">
        <f>HYPERLINK("https://rth.dk/resources/bsgatlas/details.php?id=BSGatlas-transcript-3272","BSGatlas-transcript-3272")</f>
        <v>BSGatlas-transcript-3272</v>
      </c>
      <c r="B3273" s="1" t="s">
        <v>9226</v>
      </c>
      <c r="C3273" s="3">
        <v>2959207</v>
      </c>
      <c r="D3273" s="3">
        <v>2965603</v>
      </c>
      <c r="E3273" s="1" t="s">
        <v>13</v>
      </c>
      <c r="F3273" s="1">
        <v>5</v>
      </c>
      <c r="G3273" s="1">
        <v>38</v>
      </c>
      <c r="H3273" s="1">
        <v>51</v>
      </c>
      <c r="I3273" s="1" t="s">
        <v>4386</v>
      </c>
      <c r="J3273" s="1" t="s">
        <v>9227</v>
      </c>
      <c r="K3273" s="1" t="s">
        <v>9222</v>
      </c>
    </row>
    <row r="3274" spans="1:11" ht="21" x14ac:dyDescent="0.25">
      <c r="A3274" s="11" t="str">
        <f>HYPERLINK("https://rth.dk/resources/bsgatlas/details.php?id=BSGatlas-transcript-3273","BSGatlas-transcript-3273")</f>
        <v>BSGatlas-transcript-3273</v>
      </c>
      <c r="B3274" s="1" t="s">
        <v>9228</v>
      </c>
      <c r="C3274" s="3">
        <v>2961204</v>
      </c>
      <c r="D3274" s="3">
        <v>2962454</v>
      </c>
      <c r="E3274" s="1" t="s">
        <v>13</v>
      </c>
      <c r="F3274" s="1">
        <v>1</v>
      </c>
      <c r="G3274" s="1">
        <v>24</v>
      </c>
      <c r="H3274" s="1">
        <v>29</v>
      </c>
      <c r="I3274" s="1" t="s">
        <v>4377</v>
      </c>
      <c r="J3274" s="1" t="s">
        <v>9225</v>
      </c>
      <c r="K3274" s="1" t="s">
        <v>9229</v>
      </c>
    </row>
    <row r="3275" spans="1:11" ht="21" x14ac:dyDescent="0.25">
      <c r="A3275" s="11" t="str">
        <f>HYPERLINK("https://rth.dk/resources/bsgatlas/details.php?id=BSGatlas-transcript-3274","BSGatlas-transcript-3274")</f>
        <v>BSGatlas-transcript-3274</v>
      </c>
      <c r="B3275" s="1" t="s">
        <v>9230</v>
      </c>
      <c r="C3275" s="3">
        <v>2961204</v>
      </c>
      <c r="D3275" s="3">
        <v>2965603</v>
      </c>
      <c r="E3275" s="1" t="s">
        <v>13</v>
      </c>
      <c r="F3275" s="1">
        <v>4</v>
      </c>
      <c r="G3275" s="1">
        <v>38</v>
      </c>
      <c r="H3275" s="1">
        <v>29</v>
      </c>
      <c r="I3275" s="1" t="s">
        <v>4377</v>
      </c>
      <c r="J3275" s="1" t="s">
        <v>9227</v>
      </c>
      <c r="K3275" s="1" t="s">
        <v>9229</v>
      </c>
    </row>
    <row r="3276" spans="1:11" ht="21" x14ac:dyDescent="0.25">
      <c r="A3276" s="11" t="str">
        <f>HYPERLINK("https://rth.dk/resources/bsgatlas/details.php?id=BSGatlas-transcript-3275","BSGatlas-transcript-3275")</f>
        <v>BSGatlas-transcript-3275</v>
      </c>
      <c r="B3276" s="1" t="s">
        <v>9228</v>
      </c>
      <c r="C3276" s="3">
        <v>2961232</v>
      </c>
      <c r="D3276" s="3">
        <v>2962454</v>
      </c>
      <c r="E3276" s="1" t="s">
        <v>13</v>
      </c>
      <c r="F3276" s="1">
        <v>1</v>
      </c>
      <c r="G3276" s="1">
        <v>24</v>
      </c>
      <c r="H3276" s="1" t="s">
        <v>4372</v>
      </c>
      <c r="I3276" s="1" t="s">
        <v>4377</v>
      </c>
      <c r="J3276" s="1" t="s">
        <v>9225</v>
      </c>
      <c r="K3276" s="1" t="s">
        <v>9231</v>
      </c>
    </row>
    <row r="3277" spans="1:11" ht="21" x14ac:dyDescent="0.25">
      <c r="A3277" s="11" t="str">
        <f>HYPERLINK("https://rth.dk/resources/bsgatlas/details.php?id=BSGatlas-transcript-3276","BSGatlas-transcript-3276")</f>
        <v>BSGatlas-transcript-3276</v>
      </c>
      <c r="B3277" s="1" t="s">
        <v>9230</v>
      </c>
      <c r="C3277" s="3">
        <v>2961232</v>
      </c>
      <c r="D3277" s="3">
        <v>2965603</v>
      </c>
      <c r="E3277" s="1" t="s">
        <v>13</v>
      </c>
      <c r="F3277" s="1">
        <v>4</v>
      </c>
      <c r="G3277" s="1">
        <v>38</v>
      </c>
      <c r="H3277" s="1" t="s">
        <v>4372</v>
      </c>
      <c r="I3277" s="1" t="s">
        <v>4377</v>
      </c>
      <c r="J3277" s="1" t="s">
        <v>9227</v>
      </c>
      <c r="K3277" s="1" t="s">
        <v>9231</v>
      </c>
    </row>
    <row r="3278" spans="1:11" ht="21" x14ac:dyDescent="0.25">
      <c r="A3278" s="11" t="str">
        <f>HYPERLINK("https://rth.dk/resources/bsgatlas/details.php?id=BSGatlas-transcript-3277","BSGatlas-transcript-3277")</f>
        <v>BSGatlas-transcript-3277</v>
      </c>
      <c r="B3278" s="1" t="s">
        <v>3063</v>
      </c>
      <c r="C3278" s="3">
        <v>2961586</v>
      </c>
      <c r="D3278" s="3">
        <v>2962454</v>
      </c>
      <c r="E3278" s="1" t="s">
        <v>13</v>
      </c>
      <c r="F3278" s="1">
        <v>0</v>
      </c>
      <c r="G3278" s="1" t="s">
        <v>4372</v>
      </c>
      <c r="H3278" s="1" t="s">
        <v>4372</v>
      </c>
      <c r="I3278" s="1" t="s">
        <v>4373</v>
      </c>
      <c r="J3278" s="1" t="s">
        <v>9225</v>
      </c>
      <c r="K3278" s="1" t="s">
        <v>318</v>
      </c>
    </row>
    <row r="3279" spans="1:11" ht="21" x14ac:dyDescent="0.25">
      <c r="A3279" s="11" t="str">
        <f>HYPERLINK("https://rth.dk/resources/bsgatlas/details.php?id=BSGatlas-transcript-3278","BSGatlas-transcript-3278")</f>
        <v>BSGatlas-transcript-3278</v>
      </c>
      <c r="B3279" s="1" t="s">
        <v>3067</v>
      </c>
      <c r="C3279" s="3">
        <v>2965640</v>
      </c>
      <c r="D3279" s="3">
        <v>2966287</v>
      </c>
      <c r="E3279" s="1" t="s">
        <v>13</v>
      </c>
      <c r="F3279" s="1">
        <v>0</v>
      </c>
      <c r="G3279" s="1" t="s">
        <v>4372</v>
      </c>
      <c r="H3279" s="1" t="s">
        <v>4372</v>
      </c>
      <c r="I3279" s="1" t="s">
        <v>4373</v>
      </c>
      <c r="J3279" s="1" t="s">
        <v>9232</v>
      </c>
      <c r="K3279" s="1" t="s">
        <v>9233</v>
      </c>
    </row>
    <row r="3280" spans="1:11" ht="21" x14ac:dyDescent="0.25">
      <c r="A3280" s="11" t="str">
        <f>HYPERLINK("https://rth.dk/resources/bsgatlas/details.php?id=BSGatlas-transcript-3279","BSGatlas-transcript-3279")</f>
        <v>BSGatlas-transcript-3279</v>
      </c>
      <c r="B3280" s="1" t="s">
        <v>3068</v>
      </c>
      <c r="C3280" s="3">
        <v>2966332</v>
      </c>
      <c r="D3280" s="3">
        <v>2966932</v>
      </c>
      <c r="E3280" s="1" t="s">
        <v>13</v>
      </c>
      <c r="F3280" s="1">
        <v>0</v>
      </c>
      <c r="G3280" s="1" t="s">
        <v>4372</v>
      </c>
      <c r="H3280" s="1" t="s">
        <v>4372</v>
      </c>
      <c r="I3280" s="1" t="s">
        <v>4386</v>
      </c>
      <c r="J3280" s="1" t="s">
        <v>9234</v>
      </c>
      <c r="K3280" s="1" t="s">
        <v>9235</v>
      </c>
    </row>
    <row r="3281" spans="1:11" ht="21" x14ac:dyDescent="0.25">
      <c r="A3281" s="11" t="str">
        <f>HYPERLINK("https://rth.dk/resources/bsgatlas/details.php?id=BSGatlas-transcript-3280","BSGatlas-transcript-3280")</f>
        <v>BSGatlas-transcript-3280</v>
      </c>
      <c r="B3281" s="1" t="s">
        <v>3068</v>
      </c>
      <c r="C3281" s="3">
        <v>2966332</v>
      </c>
      <c r="D3281" s="3">
        <v>2967033</v>
      </c>
      <c r="E3281" s="1" t="s">
        <v>13</v>
      </c>
      <c r="F3281" s="1">
        <v>0</v>
      </c>
      <c r="G3281" s="1" t="s">
        <v>4372</v>
      </c>
      <c r="H3281" s="1" t="s">
        <v>4372</v>
      </c>
      <c r="I3281" s="1" t="s">
        <v>4386</v>
      </c>
      <c r="J3281" s="1" t="s">
        <v>9236</v>
      </c>
      <c r="K3281" s="1" t="s">
        <v>9235</v>
      </c>
    </row>
    <row r="3282" spans="1:11" ht="21" x14ac:dyDescent="0.25">
      <c r="A3282" s="11" t="str">
        <f>HYPERLINK("https://rth.dk/resources/bsgatlas/details.php?id=BSGatlas-transcript-3281","BSGatlas-transcript-3281")</f>
        <v>BSGatlas-transcript-3281</v>
      </c>
      <c r="B3282" s="1" t="s">
        <v>9237</v>
      </c>
      <c r="C3282" s="3">
        <v>2966332</v>
      </c>
      <c r="D3282" s="3">
        <v>2968100</v>
      </c>
      <c r="E3282" s="1" t="s">
        <v>13</v>
      </c>
      <c r="F3282" s="1">
        <v>1</v>
      </c>
      <c r="G3282" s="1">
        <v>47</v>
      </c>
      <c r="H3282" s="1">
        <v>82</v>
      </c>
      <c r="I3282" s="1" t="s">
        <v>4373</v>
      </c>
      <c r="J3282" s="1" t="s">
        <v>9238</v>
      </c>
      <c r="K3282" s="1" t="s">
        <v>9235</v>
      </c>
    </row>
    <row r="3283" spans="1:11" ht="21" x14ac:dyDescent="0.25">
      <c r="A3283" s="11" t="str">
        <f>HYPERLINK("https://rth.dk/resources/bsgatlas/details.php?id=BSGatlas-transcript-3282","BSGatlas-transcript-3282")</f>
        <v>BSGatlas-transcript-3282</v>
      </c>
      <c r="B3283" s="1" t="s">
        <v>9237</v>
      </c>
      <c r="C3283" s="3">
        <v>2966332</v>
      </c>
      <c r="D3283" s="3">
        <v>2968129</v>
      </c>
      <c r="E3283" s="1" t="s">
        <v>13</v>
      </c>
      <c r="F3283" s="1">
        <v>1</v>
      </c>
      <c r="G3283" s="1">
        <v>76</v>
      </c>
      <c r="H3283" s="1">
        <v>82</v>
      </c>
      <c r="I3283" s="1" t="s">
        <v>4373</v>
      </c>
      <c r="J3283" s="1" t="s">
        <v>9239</v>
      </c>
      <c r="K3283" s="1" t="s">
        <v>9235</v>
      </c>
    </row>
    <row r="3284" spans="1:11" ht="21" x14ac:dyDescent="0.25">
      <c r="A3284" s="11" t="str">
        <f>HYPERLINK("https://rth.dk/resources/bsgatlas/details.php?id=BSGatlas-transcript-3283","BSGatlas-transcript-3283")</f>
        <v>BSGatlas-transcript-3283</v>
      </c>
      <c r="B3284" s="1" t="s">
        <v>9240</v>
      </c>
      <c r="C3284" s="3">
        <v>2966935</v>
      </c>
      <c r="D3284" s="3">
        <v>2970895</v>
      </c>
      <c r="E3284" s="1" t="s">
        <v>9</v>
      </c>
      <c r="F3284" s="1">
        <v>1</v>
      </c>
      <c r="G3284" s="1">
        <v>1890</v>
      </c>
      <c r="H3284" s="1">
        <v>16</v>
      </c>
      <c r="I3284" s="1" t="s">
        <v>4386</v>
      </c>
      <c r="J3284" s="1" t="s">
        <v>9241</v>
      </c>
      <c r="K3284" s="1" t="s">
        <v>9242</v>
      </c>
    </row>
    <row r="3285" spans="1:11" ht="21" x14ac:dyDescent="0.25">
      <c r="A3285" s="11" t="str">
        <f>HYPERLINK("https://rth.dk/resources/bsgatlas/details.php?id=BSGatlas-transcript-3284","BSGatlas-transcript-3284")</f>
        <v>BSGatlas-transcript-3284</v>
      </c>
      <c r="B3285" s="1" t="s">
        <v>3072</v>
      </c>
      <c r="C3285" s="3">
        <v>2968260</v>
      </c>
      <c r="D3285" s="3">
        <v>2968771</v>
      </c>
      <c r="E3285" s="1" t="s">
        <v>13</v>
      </c>
      <c r="F3285" s="1">
        <v>0</v>
      </c>
      <c r="G3285" s="1" t="s">
        <v>4372</v>
      </c>
      <c r="H3285" s="1" t="s">
        <v>4372</v>
      </c>
      <c r="I3285" s="1" t="s">
        <v>4386</v>
      </c>
      <c r="J3285" s="1" t="s">
        <v>9243</v>
      </c>
      <c r="K3285" s="1" t="s">
        <v>9244</v>
      </c>
    </row>
    <row r="3286" spans="1:11" ht="21" x14ac:dyDescent="0.25">
      <c r="A3286" s="11" t="str">
        <f>HYPERLINK("https://rth.dk/resources/bsgatlas/details.php?id=BSGatlas-transcript-3285","BSGatlas-transcript-3285")</f>
        <v>BSGatlas-transcript-3285</v>
      </c>
      <c r="B3286" s="1" t="s">
        <v>3072</v>
      </c>
      <c r="C3286" s="3">
        <v>2968260</v>
      </c>
      <c r="D3286" s="3">
        <v>2969662</v>
      </c>
      <c r="E3286" s="1" t="s">
        <v>13</v>
      </c>
      <c r="F3286" s="1">
        <v>0</v>
      </c>
      <c r="G3286" s="1" t="s">
        <v>4372</v>
      </c>
      <c r="H3286" s="1" t="s">
        <v>4372</v>
      </c>
      <c r="I3286" s="1" t="s">
        <v>4386</v>
      </c>
      <c r="J3286" s="1" t="s">
        <v>9245</v>
      </c>
      <c r="K3286" s="1" t="s">
        <v>9244</v>
      </c>
    </row>
    <row r="3287" spans="1:11" ht="21" x14ac:dyDescent="0.25">
      <c r="A3287" s="11" t="str">
        <f>HYPERLINK("https://rth.dk/resources/bsgatlas/details.php?id=BSGatlas-transcript-3286","BSGatlas-transcript-3286")</f>
        <v>BSGatlas-transcript-3286</v>
      </c>
      <c r="B3287" s="1" t="s">
        <v>9240</v>
      </c>
      <c r="C3287" s="3">
        <v>2968717</v>
      </c>
      <c r="D3287" s="3">
        <v>2970895</v>
      </c>
      <c r="E3287" s="1" t="s">
        <v>9</v>
      </c>
      <c r="F3287" s="1">
        <v>1</v>
      </c>
      <c r="G3287" s="1">
        <v>108</v>
      </c>
      <c r="H3287" s="1">
        <v>16</v>
      </c>
      <c r="I3287" s="1" t="s">
        <v>4386</v>
      </c>
      <c r="J3287" s="1" t="s">
        <v>9246</v>
      </c>
      <c r="K3287" s="1" t="s">
        <v>9242</v>
      </c>
    </row>
    <row r="3288" spans="1:11" ht="21" x14ac:dyDescent="0.25">
      <c r="A3288" s="11" t="str">
        <f>HYPERLINK("https://rth.dk/resources/bsgatlas/details.php?id=BSGatlas-transcript-3287","BSGatlas-transcript-3287")</f>
        <v>BSGatlas-transcript-3287</v>
      </c>
      <c r="B3288" s="1" t="s">
        <v>3071</v>
      </c>
      <c r="C3288" s="3">
        <v>2970038</v>
      </c>
      <c r="D3288" s="3">
        <v>2970895</v>
      </c>
      <c r="E3288" s="1" t="s">
        <v>9</v>
      </c>
      <c r="F3288" s="1">
        <v>0</v>
      </c>
      <c r="G3288" s="1" t="s">
        <v>4372</v>
      </c>
      <c r="H3288" s="1" t="s">
        <v>4372</v>
      </c>
      <c r="I3288" s="1" t="s">
        <v>4377</v>
      </c>
      <c r="J3288" s="1" t="s">
        <v>9247</v>
      </c>
      <c r="K3288" s="1" t="s">
        <v>9242</v>
      </c>
    </row>
    <row r="3289" spans="1:11" ht="21" x14ac:dyDescent="0.25">
      <c r="A3289" s="11" t="str">
        <f>HYPERLINK("https://rth.dk/resources/bsgatlas/details.php?id=BSGatlas-transcript-3288","BSGatlas-transcript-3288")</f>
        <v>BSGatlas-transcript-3288</v>
      </c>
      <c r="B3289" s="1" t="s">
        <v>3073</v>
      </c>
      <c r="C3289" s="3">
        <v>2970877</v>
      </c>
      <c r="D3289" s="3">
        <v>2971515</v>
      </c>
      <c r="E3289" s="1" t="s">
        <v>13</v>
      </c>
      <c r="F3289" s="1">
        <v>0</v>
      </c>
      <c r="G3289" s="1" t="s">
        <v>4372</v>
      </c>
      <c r="H3289" s="1" t="s">
        <v>4372</v>
      </c>
      <c r="I3289" s="1" t="s">
        <v>4373</v>
      </c>
      <c r="J3289" s="1" t="s">
        <v>318</v>
      </c>
      <c r="K3289" s="1" t="s">
        <v>9248</v>
      </c>
    </row>
    <row r="3290" spans="1:11" ht="21" x14ac:dyDescent="0.25">
      <c r="A3290" s="11" t="str">
        <f>HYPERLINK("https://rth.dk/resources/bsgatlas/details.php?id=BSGatlas-transcript-3289","BSGatlas-transcript-3289")</f>
        <v>BSGatlas-transcript-3289</v>
      </c>
      <c r="B3290" s="1" t="s">
        <v>9249</v>
      </c>
      <c r="C3290" s="3">
        <v>2970877</v>
      </c>
      <c r="D3290" s="3">
        <v>2975888</v>
      </c>
      <c r="E3290" s="1" t="s">
        <v>13</v>
      </c>
      <c r="F3290" s="1">
        <v>2</v>
      </c>
      <c r="G3290" s="1">
        <v>65</v>
      </c>
      <c r="H3290" s="1">
        <v>46</v>
      </c>
      <c r="I3290" s="1" t="s">
        <v>4386</v>
      </c>
      <c r="J3290" s="1" t="s">
        <v>9250</v>
      </c>
      <c r="K3290" s="1" t="s">
        <v>9248</v>
      </c>
    </row>
    <row r="3291" spans="1:11" ht="21" x14ac:dyDescent="0.25">
      <c r="A3291" s="11" t="str">
        <f>HYPERLINK("https://rth.dk/resources/bsgatlas/details.php?id=BSGatlas-transcript-3290","BSGatlas-transcript-3290")</f>
        <v>BSGatlas-transcript-3290</v>
      </c>
      <c r="B3291" s="1" t="s">
        <v>9251</v>
      </c>
      <c r="C3291" s="3">
        <v>2975933</v>
      </c>
      <c r="D3291" s="3">
        <v>2978545</v>
      </c>
      <c r="E3291" s="1" t="s">
        <v>13</v>
      </c>
      <c r="F3291" s="1">
        <v>0</v>
      </c>
      <c r="G3291" s="1" t="s">
        <v>4372</v>
      </c>
      <c r="H3291" s="1" t="s">
        <v>4372</v>
      </c>
      <c r="I3291" s="1" t="s">
        <v>4373</v>
      </c>
      <c r="J3291" s="1" t="s">
        <v>9252</v>
      </c>
      <c r="K3291" s="1" t="s">
        <v>9253</v>
      </c>
    </row>
    <row r="3292" spans="1:11" ht="21" x14ac:dyDescent="0.25">
      <c r="A3292" s="11" t="str">
        <f>HYPERLINK("https://rth.dk/resources/bsgatlas/details.php?id=BSGatlas-transcript-3291","BSGatlas-transcript-3291")</f>
        <v>BSGatlas-transcript-3291</v>
      </c>
      <c r="B3292" s="1" t="s">
        <v>9251</v>
      </c>
      <c r="C3292" s="3">
        <v>2975933</v>
      </c>
      <c r="D3292" s="3">
        <v>2978560</v>
      </c>
      <c r="E3292" s="1" t="s">
        <v>13</v>
      </c>
      <c r="F3292" s="1">
        <v>0</v>
      </c>
      <c r="G3292" s="1" t="s">
        <v>4372</v>
      </c>
      <c r="H3292" s="1" t="s">
        <v>4372</v>
      </c>
      <c r="I3292" s="1" t="s">
        <v>4373</v>
      </c>
      <c r="J3292" s="1" t="s">
        <v>9254</v>
      </c>
      <c r="K3292" s="1" t="s">
        <v>9253</v>
      </c>
    </row>
    <row r="3293" spans="1:11" ht="21" x14ac:dyDescent="0.25">
      <c r="A3293" s="11" t="str">
        <f>HYPERLINK("https://rth.dk/resources/bsgatlas/details.php?id=BSGatlas-transcript-3292","BSGatlas-transcript-3292")</f>
        <v>BSGatlas-transcript-3292</v>
      </c>
      <c r="B3293" s="1" t="s">
        <v>9251</v>
      </c>
      <c r="C3293" s="3">
        <v>2975933</v>
      </c>
      <c r="D3293" s="3">
        <v>2978571</v>
      </c>
      <c r="E3293" s="1" t="s">
        <v>13</v>
      </c>
      <c r="F3293" s="1">
        <v>0</v>
      </c>
      <c r="G3293" s="1" t="s">
        <v>4372</v>
      </c>
      <c r="H3293" s="1" t="s">
        <v>4372</v>
      </c>
      <c r="I3293" s="1" t="s">
        <v>4373</v>
      </c>
      <c r="J3293" s="1" t="s">
        <v>9255</v>
      </c>
      <c r="K3293" s="1" t="s">
        <v>9253</v>
      </c>
    </row>
    <row r="3294" spans="1:11" ht="21" x14ac:dyDescent="0.25">
      <c r="A3294" s="11" t="str">
        <f>HYPERLINK("https://rth.dk/resources/bsgatlas/details.php?id=BSGatlas-transcript-3293","BSGatlas-transcript-3293")</f>
        <v>BSGatlas-transcript-3293</v>
      </c>
      <c r="B3294" s="1" t="s">
        <v>9251</v>
      </c>
      <c r="C3294" s="3">
        <v>2975933</v>
      </c>
      <c r="D3294" s="3">
        <v>2978591</v>
      </c>
      <c r="E3294" s="1" t="s">
        <v>13</v>
      </c>
      <c r="F3294" s="1">
        <v>0</v>
      </c>
      <c r="G3294" s="1" t="s">
        <v>4372</v>
      </c>
      <c r="H3294" s="1" t="s">
        <v>4372</v>
      </c>
      <c r="I3294" s="1" t="s">
        <v>4373</v>
      </c>
      <c r="J3294" s="1" t="s">
        <v>9256</v>
      </c>
      <c r="K3294" s="1" t="s">
        <v>9253</v>
      </c>
    </row>
    <row r="3295" spans="1:11" ht="21" x14ac:dyDescent="0.25">
      <c r="A3295" s="11" t="str">
        <f>HYPERLINK("https://rth.dk/resources/bsgatlas/details.php?id=BSGatlas-transcript-3294","BSGatlas-transcript-3294")</f>
        <v>BSGatlas-transcript-3294</v>
      </c>
      <c r="B3295" s="1" t="s">
        <v>9251</v>
      </c>
      <c r="C3295" s="3">
        <v>2975933</v>
      </c>
      <c r="D3295" s="3">
        <v>2978616</v>
      </c>
      <c r="E3295" s="1" t="s">
        <v>13</v>
      </c>
      <c r="F3295" s="1">
        <v>0</v>
      </c>
      <c r="G3295" s="1" t="s">
        <v>4372</v>
      </c>
      <c r="H3295" s="1" t="s">
        <v>4372</v>
      </c>
      <c r="I3295" s="1" t="s">
        <v>4373</v>
      </c>
      <c r="J3295" s="1" t="s">
        <v>9257</v>
      </c>
      <c r="K3295" s="1" t="s">
        <v>9253</v>
      </c>
    </row>
    <row r="3296" spans="1:11" ht="21" x14ac:dyDescent="0.25">
      <c r="A3296" s="11" t="str">
        <f>HYPERLINK("https://rth.dk/resources/bsgatlas/details.php?id=BSGatlas-transcript-3295","BSGatlas-transcript-3295")</f>
        <v>BSGatlas-transcript-3295</v>
      </c>
      <c r="B3296" s="1" t="s">
        <v>9251</v>
      </c>
      <c r="C3296" s="3">
        <v>2975933</v>
      </c>
      <c r="D3296" s="3">
        <v>2978697</v>
      </c>
      <c r="E3296" s="1" t="s">
        <v>13</v>
      </c>
      <c r="F3296" s="1">
        <v>0</v>
      </c>
      <c r="G3296" s="1" t="s">
        <v>4372</v>
      </c>
      <c r="H3296" s="1" t="s">
        <v>4372</v>
      </c>
      <c r="I3296" s="1" t="s">
        <v>4373</v>
      </c>
      <c r="J3296" s="1" t="s">
        <v>9258</v>
      </c>
      <c r="K3296" s="1" t="s">
        <v>9253</v>
      </c>
    </row>
    <row r="3297" spans="1:11" ht="21" x14ac:dyDescent="0.25">
      <c r="A3297" s="11" t="str">
        <f>HYPERLINK("https://rth.dk/resources/bsgatlas/details.php?id=BSGatlas-transcript-3296","BSGatlas-transcript-3296")</f>
        <v>BSGatlas-transcript-3296</v>
      </c>
      <c r="B3297" s="1" t="s">
        <v>9259</v>
      </c>
      <c r="C3297" s="3">
        <v>2978687</v>
      </c>
      <c r="D3297" s="3">
        <v>2980987</v>
      </c>
      <c r="E3297" s="1" t="s">
        <v>13</v>
      </c>
      <c r="F3297" s="1">
        <v>1</v>
      </c>
      <c r="G3297" s="1" t="s">
        <v>4372</v>
      </c>
      <c r="H3297" s="1">
        <v>48</v>
      </c>
      <c r="I3297" s="1" t="s">
        <v>4386</v>
      </c>
      <c r="J3297" s="1" t="s">
        <v>9260</v>
      </c>
      <c r="K3297" s="1" t="s">
        <v>9261</v>
      </c>
    </row>
    <row r="3298" spans="1:11" ht="21" x14ac:dyDescent="0.25">
      <c r="A3298" s="11" t="str">
        <f>HYPERLINK("https://rth.dk/resources/bsgatlas/details.php?id=BSGatlas-transcript-3297","BSGatlas-transcript-3297")</f>
        <v>BSGatlas-transcript-3297</v>
      </c>
      <c r="B3298" s="1" t="s">
        <v>9259</v>
      </c>
      <c r="C3298" s="3">
        <v>2978687</v>
      </c>
      <c r="D3298" s="3">
        <v>2981069</v>
      </c>
      <c r="E3298" s="1" t="s">
        <v>13</v>
      </c>
      <c r="F3298" s="1">
        <v>1</v>
      </c>
      <c r="G3298" s="1">
        <v>83</v>
      </c>
      <c r="H3298" s="1">
        <v>48</v>
      </c>
      <c r="I3298" s="1" t="s">
        <v>4386</v>
      </c>
      <c r="J3298" s="1" t="s">
        <v>9262</v>
      </c>
      <c r="K3298" s="1" t="s">
        <v>9261</v>
      </c>
    </row>
    <row r="3299" spans="1:11" ht="21" x14ac:dyDescent="0.25">
      <c r="A3299" s="11" t="str">
        <f>HYPERLINK("https://rth.dk/resources/bsgatlas/details.php?id=BSGatlas-transcript-3298","BSGatlas-transcript-3298")</f>
        <v>BSGatlas-transcript-3298</v>
      </c>
      <c r="B3299" s="1" t="s">
        <v>9263</v>
      </c>
      <c r="C3299" s="3">
        <v>2978687</v>
      </c>
      <c r="D3299" s="3">
        <v>2982463</v>
      </c>
      <c r="E3299" s="1" t="s">
        <v>13</v>
      </c>
      <c r="F3299" s="1">
        <v>2</v>
      </c>
      <c r="G3299" s="1">
        <v>195</v>
      </c>
      <c r="H3299" s="1">
        <v>48</v>
      </c>
      <c r="I3299" s="1" t="s">
        <v>4373</v>
      </c>
      <c r="J3299" s="1" t="s">
        <v>9264</v>
      </c>
      <c r="K3299" s="1" t="s">
        <v>9261</v>
      </c>
    </row>
    <row r="3300" spans="1:11" ht="21" x14ac:dyDescent="0.25">
      <c r="A3300" s="11" t="str">
        <f>HYPERLINK("https://rth.dk/resources/bsgatlas/details.php?id=BSGatlas-transcript-3299","BSGatlas-transcript-3299")</f>
        <v>BSGatlas-transcript-3299</v>
      </c>
      <c r="B3300" s="1" t="s">
        <v>9259</v>
      </c>
      <c r="C3300" s="3">
        <v>2978734</v>
      </c>
      <c r="D3300" s="3">
        <v>2980987</v>
      </c>
      <c r="E3300" s="1" t="s">
        <v>13</v>
      </c>
      <c r="F3300" s="1">
        <v>1</v>
      </c>
      <c r="G3300" s="1" t="s">
        <v>4372</v>
      </c>
      <c r="H3300" s="1" t="s">
        <v>4372</v>
      </c>
      <c r="I3300" s="1" t="s">
        <v>4386</v>
      </c>
      <c r="J3300" s="1" t="s">
        <v>9260</v>
      </c>
      <c r="K3300" s="1" t="s">
        <v>9265</v>
      </c>
    </row>
    <row r="3301" spans="1:11" ht="21" x14ac:dyDescent="0.25">
      <c r="A3301" s="11" t="str">
        <f>HYPERLINK("https://rth.dk/resources/bsgatlas/details.php?id=BSGatlas-transcript-3300","BSGatlas-transcript-3300")</f>
        <v>BSGatlas-transcript-3300</v>
      </c>
      <c r="B3301" s="1" t="s">
        <v>9259</v>
      </c>
      <c r="C3301" s="3">
        <v>2978734</v>
      </c>
      <c r="D3301" s="3">
        <v>2981069</v>
      </c>
      <c r="E3301" s="1" t="s">
        <v>13</v>
      </c>
      <c r="F3301" s="1">
        <v>1</v>
      </c>
      <c r="G3301" s="1">
        <v>83</v>
      </c>
      <c r="H3301" s="1" t="s">
        <v>4372</v>
      </c>
      <c r="I3301" s="1" t="s">
        <v>4386</v>
      </c>
      <c r="J3301" s="1" t="s">
        <v>9262</v>
      </c>
      <c r="K3301" s="1" t="s">
        <v>9265</v>
      </c>
    </row>
    <row r="3302" spans="1:11" ht="21" x14ac:dyDescent="0.25">
      <c r="A3302" s="11" t="str">
        <f>HYPERLINK("https://rth.dk/resources/bsgatlas/details.php?id=BSGatlas-transcript-3301","BSGatlas-transcript-3301")</f>
        <v>BSGatlas-transcript-3301</v>
      </c>
      <c r="B3302" s="1" t="s">
        <v>9263</v>
      </c>
      <c r="C3302" s="3">
        <v>2978734</v>
      </c>
      <c r="D3302" s="3">
        <v>2982463</v>
      </c>
      <c r="E3302" s="1" t="s">
        <v>13</v>
      </c>
      <c r="F3302" s="1">
        <v>2</v>
      </c>
      <c r="G3302" s="1">
        <v>195</v>
      </c>
      <c r="H3302" s="1" t="s">
        <v>4372</v>
      </c>
      <c r="I3302" s="1" t="s">
        <v>4373</v>
      </c>
      <c r="J3302" s="1" t="s">
        <v>9264</v>
      </c>
      <c r="K3302" s="1" t="s">
        <v>9265</v>
      </c>
    </row>
    <row r="3303" spans="1:11" ht="21" x14ac:dyDescent="0.25">
      <c r="A3303" s="11" t="str">
        <f>HYPERLINK("https://rth.dk/resources/bsgatlas/details.php?id=BSGatlas-transcript-3302","BSGatlas-transcript-3302")</f>
        <v>BSGatlas-transcript-3302</v>
      </c>
      <c r="B3303" s="1" t="s">
        <v>3082</v>
      </c>
      <c r="C3303" s="3">
        <v>2982119</v>
      </c>
      <c r="D3303" s="3">
        <v>2984279</v>
      </c>
      <c r="E3303" s="1" t="s">
        <v>9</v>
      </c>
      <c r="F3303" s="1">
        <v>0</v>
      </c>
      <c r="G3303" s="1" t="s">
        <v>4372</v>
      </c>
      <c r="H3303" s="1" t="s">
        <v>4372</v>
      </c>
      <c r="I3303" s="1" t="s">
        <v>4373</v>
      </c>
      <c r="J3303" s="1" t="s">
        <v>9266</v>
      </c>
      <c r="K3303" s="1" t="s">
        <v>9267</v>
      </c>
    </row>
    <row r="3304" spans="1:11" ht="21" x14ac:dyDescent="0.25">
      <c r="A3304" s="11" t="str">
        <f>HYPERLINK("https://rth.dk/resources/bsgatlas/details.php?id=BSGatlas-transcript-3303","BSGatlas-transcript-3303")</f>
        <v>BSGatlas-transcript-3303</v>
      </c>
      <c r="B3304" s="1" t="s">
        <v>3082</v>
      </c>
      <c r="C3304" s="3">
        <v>2982119</v>
      </c>
      <c r="D3304" s="3">
        <v>2984322</v>
      </c>
      <c r="E3304" s="1" t="s">
        <v>9</v>
      </c>
      <c r="F3304" s="1">
        <v>0</v>
      </c>
      <c r="G3304" s="1" t="s">
        <v>4372</v>
      </c>
      <c r="H3304" s="1" t="s">
        <v>4372</v>
      </c>
      <c r="I3304" s="1" t="s">
        <v>4373</v>
      </c>
      <c r="J3304" s="1" t="s">
        <v>9266</v>
      </c>
      <c r="K3304" s="1" t="s">
        <v>9268</v>
      </c>
    </row>
    <row r="3305" spans="1:11" ht="21" x14ac:dyDescent="0.25">
      <c r="A3305" s="11" t="str">
        <f>HYPERLINK("https://rth.dk/resources/bsgatlas/details.php?id=BSGatlas-transcript-3304","BSGatlas-transcript-3304")</f>
        <v>BSGatlas-transcript-3304</v>
      </c>
      <c r="B3305" s="1" t="s">
        <v>3082</v>
      </c>
      <c r="C3305" s="3">
        <v>2982455</v>
      </c>
      <c r="D3305" s="3">
        <v>2984279</v>
      </c>
      <c r="E3305" s="1" t="s">
        <v>9</v>
      </c>
      <c r="F3305" s="1">
        <v>0</v>
      </c>
      <c r="G3305" s="1" t="s">
        <v>4372</v>
      </c>
      <c r="H3305" s="1" t="s">
        <v>4372</v>
      </c>
      <c r="I3305" s="1" t="s">
        <v>4373</v>
      </c>
      <c r="J3305" s="1" t="s">
        <v>9269</v>
      </c>
      <c r="K3305" s="1" t="s">
        <v>9267</v>
      </c>
    </row>
    <row r="3306" spans="1:11" ht="21" x14ac:dyDescent="0.25">
      <c r="A3306" s="11" t="str">
        <f>HYPERLINK("https://rth.dk/resources/bsgatlas/details.php?id=BSGatlas-transcript-3305","BSGatlas-transcript-3305")</f>
        <v>BSGatlas-transcript-3305</v>
      </c>
      <c r="B3306" s="1" t="s">
        <v>3082</v>
      </c>
      <c r="C3306" s="3">
        <v>2982455</v>
      </c>
      <c r="D3306" s="3">
        <v>2984322</v>
      </c>
      <c r="E3306" s="1" t="s">
        <v>9</v>
      </c>
      <c r="F3306" s="1">
        <v>0</v>
      </c>
      <c r="G3306" s="1" t="s">
        <v>4372</v>
      </c>
      <c r="H3306" s="1" t="s">
        <v>4372</v>
      </c>
      <c r="I3306" s="1" t="s">
        <v>4373</v>
      </c>
      <c r="J3306" s="1" t="s">
        <v>9269</v>
      </c>
      <c r="K3306" s="1" t="s">
        <v>9268</v>
      </c>
    </row>
    <row r="3307" spans="1:11" ht="21" x14ac:dyDescent="0.25">
      <c r="A3307" s="11" t="str">
        <f>HYPERLINK("https://rth.dk/resources/bsgatlas/details.php?id=BSGatlas-transcript-3306","BSGatlas-transcript-3306")</f>
        <v>BSGatlas-transcript-3306</v>
      </c>
      <c r="B3307" s="1" t="s">
        <v>3083</v>
      </c>
      <c r="C3307" s="3">
        <v>2982566</v>
      </c>
      <c r="D3307" s="3">
        <v>2983094</v>
      </c>
      <c r="E3307" s="1" t="s">
        <v>13</v>
      </c>
      <c r="F3307" s="1">
        <v>0</v>
      </c>
      <c r="G3307" s="1" t="s">
        <v>4372</v>
      </c>
      <c r="H3307" s="1" t="s">
        <v>4372</v>
      </c>
      <c r="I3307" s="1" t="s">
        <v>4373</v>
      </c>
      <c r="J3307" s="1" t="s">
        <v>9270</v>
      </c>
      <c r="K3307" s="1" t="s">
        <v>9271</v>
      </c>
    </row>
    <row r="3308" spans="1:11" ht="21" x14ac:dyDescent="0.25">
      <c r="A3308" s="11" t="str">
        <f>HYPERLINK("https://rth.dk/resources/bsgatlas/details.php?id=BSGatlas-transcript-3307","BSGatlas-transcript-3307")</f>
        <v>BSGatlas-transcript-3307</v>
      </c>
      <c r="B3308" s="1" t="s">
        <v>3082</v>
      </c>
      <c r="C3308" s="3">
        <v>2983126</v>
      </c>
      <c r="D3308" s="3">
        <v>2984279</v>
      </c>
      <c r="E3308" s="1" t="s">
        <v>9</v>
      </c>
      <c r="F3308" s="1">
        <v>0</v>
      </c>
      <c r="G3308" s="1" t="s">
        <v>4372</v>
      </c>
      <c r="H3308" s="1" t="s">
        <v>4372</v>
      </c>
      <c r="I3308" s="1" t="s">
        <v>4373</v>
      </c>
      <c r="J3308" s="1" t="s">
        <v>9272</v>
      </c>
      <c r="K3308" s="1" t="s">
        <v>9267</v>
      </c>
    </row>
    <row r="3309" spans="1:11" ht="21" x14ac:dyDescent="0.25">
      <c r="A3309" s="11" t="str">
        <f>HYPERLINK("https://rth.dk/resources/bsgatlas/details.php?id=BSGatlas-transcript-3308","BSGatlas-transcript-3308")</f>
        <v>BSGatlas-transcript-3308</v>
      </c>
      <c r="B3309" s="1" t="s">
        <v>3082</v>
      </c>
      <c r="C3309" s="3">
        <v>2983126</v>
      </c>
      <c r="D3309" s="3">
        <v>2984322</v>
      </c>
      <c r="E3309" s="1" t="s">
        <v>9</v>
      </c>
      <c r="F3309" s="1">
        <v>0</v>
      </c>
      <c r="G3309" s="1" t="s">
        <v>4372</v>
      </c>
      <c r="H3309" s="1" t="s">
        <v>4372</v>
      </c>
      <c r="I3309" s="1" t="s">
        <v>4373</v>
      </c>
      <c r="J3309" s="1" t="s">
        <v>9272</v>
      </c>
      <c r="K3309" s="1" t="s">
        <v>9268</v>
      </c>
    </row>
    <row r="3310" spans="1:11" ht="21" x14ac:dyDescent="0.25">
      <c r="A3310" s="11" t="str">
        <f>HYPERLINK("https://rth.dk/resources/bsgatlas/details.php?id=BSGatlas-transcript-3309","BSGatlas-transcript-3309")</f>
        <v>BSGatlas-transcript-3309</v>
      </c>
      <c r="B3310" s="1" t="s">
        <v>9273</v>
      </c>
      <c r="C3310" s="3">
        <v>2984267</v>
      </c>
      <c r="D3310" s="3">
        <v>2987649</v>
      </c>
      <c r="E3310" s="1" t="s">
        <v>13</v>
      </c>
      <c r="F3310" s="1">
        <v>2</v>
      </c>
      <c r="G3310" s="1">
        <v>103</v>
      </c>
      <c r="H3310" s="1">
        <v>46</v>
      </c>
      <c r="I3310" s="1" t="s">
        <v>4373</v>
      </c>
      <c r="J3310" s="1" t="s">
        <v>9274</v>
      </c>
      <c r="K3310" s="1" t="s">
        <v>9275</v>
      </c>
    </row>
    <row r="3311" spans="1:11" ht="21" x14ac:dyDescent="0.25">
      <c r="A3311" s="11" t="str">
        <f>HYPERLINK("https://rth.dk/resources/bsgatlas/details.php?id=BSGatlas-transcript-3310","BSGatlas-transcript-3310")</f>
        <v>BSGatlas-transcript-3310</v>
      </c>
      <c r="B3311" s="1" t="s">
        <v>9276</v>
      </c>
      <c r="C3311" s="3">
        <v>2984741</v>
      </c>
      <c r="D3311" s="3">
        <v>2987649</v>
      </c>
      <c r="E3311" s="1" t="s">
        <v>13</v>
      </c>
      <c r="F3311" s="1">
        <v>1</v>
      </c>
      <c r="G3311" s="1">
        <v>103</v>
      </c>
      <c r="H3311" s="1">
        <v>48</v>
      </c>
      <c r="I3311" s="1" t="s">
        <v>4377</v>
      </c>
      <c r="J3311" s="1" t="s">
        <v>9274</v>
      </c>
      <c r="K3311" s="1" t="s">
        <v>9277</v>
      </c>
    </row>
    <row r="3312" spans="1:11" ht="21" x14ac:dyDescent="0.25">
      <c r="A3312" s="11" t="str">
        <f>HYPERLINK("https://rth.dk/resources/bsgatlas/details.php?id=BSGatlas-transcript-3311","BSGatlas-transcript-3311")</f>
        <v>BSGatlas-transcript-3311</v>
      </c>
      <c r="B3312" s="1" t="s">
        <v>3087</v>
      </c>
      <c r="C3312" s="3">
        <v>2987691</v>
      </c>
      <c r="D3312" s="3">
        <v>2988708</v>
      </c>
      <c r="E3312" s="1" t="s">
        <v>13</v>
      </c>
      <c r="F3312" s="1">
        <v>0</v>
      </c>
      <c r="G3312" s="1" t="s">
        <v>4372</v>
      </c>
      <c r="H3312" s="1" t="s">
        <v>4372</v>
      </c>
      <c r="I3312" s="1" t="s">
        <v>4382</v>
      </c>
      <c r="J3312" s="1" t="s">
        <v>318</v>
      </c>
      <c r="K3312" s="1" t="s">
        <v>9278</v>
      </c>
    </row>
    <row r="3313" spans="1:11" ht="21" x14ac:dyDescent="0.25">
      <c r="A3313" s="11" t="str">
        <f>HYPERLINK("https://rth.dk/resources/bsgatlas/details.php?id=BSGatlas-transcript-3312","BSGatlas-transcript-3312")</f>
        <v>BSGatlas-transcript-3312</v>
      </c>
      <c r="B3313" s="1" t="s">
        <v>9279</v>
      </c>
      <c r="C3313" s="3">
        <v>2987691</v>
      </c>
      <c r="D3313" s="3">
        <v>2989649</v>
      </c>
      <c r="E3313" s="1" t="s">
        <v>13</v>
      </c>
      <c r="F3313" s="1">
        <v>0</v>
      </c>
      <c r="G3313" s="1" t="s">
        <v>4372</v>
      </c>
      <c r="H3313" s="1" t="s">
        <v>4372</v>
      </c>
      <c r="I3313" s="1" t="s">
        <v>4397</v>
      </c>
      <c r="J3313" s="1" t="s">
        <v>9280</v>
      </c>
      <c r="K3313" s="1" t="s">
        <v>9278</v>
      </c>
    </row>
    <row r="3314" spans="1:11" ht="21" x14ac:dyDescent="0.25">
      <c r="A3314" s="11" t="str">
        <f>HYPERLINK("https://rth.dk/resources/bsgatlas/details.php?id=BSGatlas-transcript-3313","BSGatlas-transcript-3313")</f>
        <v>BSGatlas-transcript-3313</v>
      </c>
      <c r="B3314" s="1" t="s">
        <v>3087</v>
      </c>
      <c r="C3314" s="3">
        <v>2987731</v>
      </c>
      <c r="D3314" s="3">
        <v>2988708</v>
      </c>
      <c r="E3314" s="1" t="s">
        <v>13</v>
      </c>
      <c r="F3314" s="1">
        <v>0</v>
      </c>
      <c r="G3314" s="1" t="s">
        <v>4372</v>
      </c>
      <c r="H3314" s="1" t="s">
        <v>4372</v>
      </c>
      <c r="I3314" s="1" t="s">
        <v>4382</v>
      </c>
      <c r="J3314" s="1" t="s">
        <v>318</v>
      </c>
      <c r="K3314" s="1" t="s">
        <v>9281</v>
      </c>
    </row>
    <row r="3315" spans="1:11" ht="21" x14ac:dyDescent="0.25">
      <c r="A3315" s="11" t="str">
        <f>HYPERLINK("https://rth.dk/resources/bsgatlas/details.php?id=BSGatlas-transcript-3314","BSGatlas-transcript-3314")</f>
        <v>BSGatlas-transcript-3314</v>
      </c>
      <c r="B3315" s="1" t="s">
        <v>9279</v>
      </c>
      <c r="C3315" s="3">
        <v>2987731</v>
      </c>
      <c r="D3315" s="3">
        <v>2989649</v>
      </c>
      <c r="E3315" s="1" t="s">
        <v>13</v>
      </c>
      <c r="F3315" s="1">
        <v>0</v>
      </c>
      <c r="G3315" s="1" t="s">
        <v>4372</v>
      </c>
      <c r="H3315" s="1" t="s">
        <v>4372</v>
      </c>
      <c r="I3315" s="1" t="s">
        <v>4397</v>
      </c>
      <c r="J3315" s="1" t="s">
        <v>9280</v>
      </c>
      <c r="K3315" s="1" t="s">
        <v>9281</v>
      </c>
    </row>
    <row r="3316" spans="1:11" ht="21" x14ac:dyDescent="0.25">
      <c r="A3316" s="11" t="str">
        <f>HYPERLINK("https://rth.dk/resources/bsgatlas/details.php?id=BSGatlas-transcript-3315","BSGatlas-transcript-3315")</f>
        <v>BSGatlas-transcript-3315</v>
      </c>
      <c r="B3316" s="1" t="s">
        <v>3089</v>
      </c>
      <c r="C3316" s="3">
        <v>2989552</v>
      </c>
      <c r="D3316" s="3">
        <v>2989801</v>
      </c>
      <c r="E3316" s="1" t="s">
        <v>9</v>
      </c>
      <c r="F3316" s="1">
        <v>0</v>
      </c>
      <c r="G3316" s="1" t="s">
        <v>4372</v>
      </c>
      <c r="H3316" s="1" t="s">
        <v>4372</v>
      </c>
      <c r="I3316" s="1" t="s">
        <v>4377</v>
      </c>
      <c r="J3316" s="1" t="s">
        <v>9282</v>
      </c>
      <c r="K3316" s="1" t="s">
        <v>318</v>
      </c>
    </row>
    <row r="3317" spans="1:11" ht="21" x14ac:dyDescent="0.25">
      <c r="A3317" s="11" t="str">
        <f>HYPERLINK("https://rth.dk/resources/bsgatlas/details.php?id=BSGatlas-transcript-3316","BSGatlas-transcript-3316")</f>
        <v>BSGatlas-transcript-3316</v>
      </c>
      <c r="B3317" s="1" t="s">
        <v>3090</v>
      </c>
      <c r="C3317" s="3">
        <v>2989770</v>
      </c>
      <c r="D3317" s="3">
        <v>2991132</v>
      </c>
      <c r="E3317" s="1" t="s">
        <v>13</v>
      </c>
      <c r="F3317" s="1">
        <v>0</v>
      </c>
      <c r="G3317" s="1" t="s">
        <v>4372</v>
      </c>
      <c r="H3317" s="1" t="s">
        <v>4372</v>
      </c>
      <c r="I3317" s="1" t="s">
        <v>4373</v>
      </c>
      <c r="J3317" s="1" t="s">
        <v>318</v>
      </c>
      <c r="K3317" s="1" t="s">
        <v>9283</v>
      </c>
    </row>
    <row r="3318" spans="1:11" ht="21" x14ac:dyDescent="0.25">
      <c r="A3318" s="11" t="str">
        <f>HYPERLINK("https://rth.dk/resources/bsgatlas/details.php?id=BSGatlas-transcript-3317","BSGatlas-transcript-3317")</f>
        <v>BSGatlas-transcript-3317</v>
      </c>
      <c r="B3318" s="1" t="s">
        <v>9284</v>
      </c>
      <c r="C3318" s="3">
        <v>2989770</v>
      </c>
      <c r="D3318" s="3">
        <v>2991239</v>
      </c>
      <c r="E3318" s="1" t="s">
        <v>13</v>
      </c>
      <c r="F3318" s="1">
        <v>1</v>
      </c>
      <c r="G3318" s="1" t="s">
        <v>4372</v>
      </c>
      <c r="H3318" s="1">
        <v>131</v>
      </c>
      <c r="I3318" s="1" t="s">
        <v>4377</v>
      </c>
      <c r="J3318" s="1" t="s">
        <v>9285</v>
      </c>
      <c r="K3318" s="1" t="s">
        <v>9283</v>
      </c>
    </row>
    <row r="3319" spans="1:11" ht="21" x14ac:dyDescent="0.25">
      <c r="A3319" s="11" t="str">
        <f>HYPERLINK("https://rth.dk/resources/bsgatlas/details.php?id=BSGatlas-transcript-3318","BSGatlas-transcript-3318")</f>
        <v>BSGatlas-transcript-3318</v>
      </c>
      <c r="B3319" s="1" t="s">
        <v>9284</v>
      </c>
      <c r="C3319" s="3">
        <v>2989770</v>
      </c>
      <c r="D3319" s="3">
        <v>2992509</v>
      </c>
      <c r="E3319" s="1" t="s">
        <v>13</v>
      </c>
      <c r="F3319" s="1">
        <v>1</v>
      </c>
      <c r="G3319" s="1">
        <v>1271</v>
      </c>
      <c r="H3319" s="1">
        <v>131</v>
      </c>
      <c r="I3319" s="1" t="s">
        <v>4377</v>
      </c>
      <c r="J3319" s="1" t="s">
        <v>9286</v>
      </c>
      <c r="K3319" s="1" t="s">
        <v>9283</v>
      </c>
    </row>
    <row r="3320" spans="1:11" ht="21" x14ac:dyDescent="0.25">
      <c r="A3320" s="11" t="str">
        <f>HYPERLINK("https://rth.dk/resources/bsgatlas/details.php?id=BSGatlas-transcript-3319","BSGatlas-transcript-3319")</f>
        <v>BSGatlas-transcript-3319</v>
      </c>
      <c r="B3320" s="1" t="s">
        <v>9287</v>
      </c>
      <c r="C3320" s="3">
        <v>2989770</v>
      </c>
      <c r="D3320" s="3">
        <v>2994665</v>
      </c>
      <c r="E3320" s="1" t="s">
        <v>13</v>
      </c>
      <c r="F3320" s="1">
        <v>2</v>
      </c>
      <c r="G3320" s="1">
        <v>50</v>
      </c>
      <c r="H3320" s="1">
        <v>131</v>
      </c>
      <c r="I3320" s="1" t="s">
        <v>4386</v>
      </c>
      <c r="J3320" s="1" t="s">
        <v>9288</v>
      </c>
      <c r="K3320" s="1" t="s">
        <v>9283</v>
      </c>
    </row>
    <row r="3321" spans="1:11" ht="21" x14ac:dyDescent="0.25">
      <c r="A3321" s="11" t="str">
        <f>HYPERLINK("https://rth.dk/resources/bsgatlas/details.php?id=BSGatlas-transcript-3320","BSGatlas-transcript-3320")</f>
        <v>BSGatlas-transcript-3320</v>
      </c>
      <c r="B3321" s="1" t="s">
        <v>3092</v>
      </c>
      <c r="C3321" s="3">
        <v>2991269</v>
      </c>
      <c r="D3321" s="3">
        <v>2994665</v>
      </c>
      <c r="E3321" s="1" t="s">
        <v>13</v>
      </c>
      <c r="F3321" s="1">
        <v>0</v>
      </c>
      <c r="G3321" s="1" t="s">
        <v>4372</v>
      </c>
      <c r="H3321" s="1" t="s">
        <v>4372</v>
      </c>
      <c r="I3321" s="1" t="s">
        <v>4382</v>
      </c>
      <c r="J3321" s="1" t="s">
        <v>9288</v>
      </c>
      <c r="K3321" s="1" t="s">
        <v>318</v>
      </c>
    </row>
    <row r="3322" spans="1:11" ht="21" x14ac:dyDescent="0.25">
      <c r="A3322" s="11" t="str">
        <f>HYPERLINK("https://rth.dk/resources/bsgatlas/details.php?id=BSGatlas-transcript-3321","BSGatlas-transcript-3321")</f>
        <v>BSGatlas-transcript-3321</v>
      </c>
      <c r="B3322" s="1" t="s">
        <v>9289</v>
      </c>
      <c r="C3322" s="3">
        <v>2994737</v>
      </c>
      <c r="D3322" s="3">
        <v>2995597</v>
      </c>
      <c r="E3322" s="1" t="s">
        <v>9</v>
      </c>
      <c r="F3322" s="1">
        <v>0</v>
      </c>
      <c r="G3322" s="1" t="s">
        <v>4372</v>
      </c>
      <c r="H3322" s="1" t="s">
        <v>4372</v>
      </c>
      <c r="I3322" s="1" t="s">
        <v>4373</v>
      </c>
      <c r="J3322" s="1" t="s">
        <v>9290</v>
      </c>
      <c r="K3322" s="1" t="s">
        <v>318</v>
      </c>
    </row>
    <row r="3323" spans="1:11" ht="21" x14ac:dyDescent="0.25">
      <c r="A3323" s="11" t="str">
        <f>HYPERLINK("https://rth.dk/resources/bsgatlas/details.php?id=BSGatlas-transcript-3322","BSGatlas-transcript-3322")</f>
        <v>BSGatlas-transcript-3322</v>
      </c>
      <c r="B3323" s="1" t="s">
        <v>3095</v>
      </c>
      <c r="C3323" s="3">
        <v>2995648</v>
      </c>
      <c r="D3323" s="3">
        <v>2995890</v>
      </c>
      <c r="E3323" s="1" t="s">
        <v>9</v>
      </c>
      <c r="F3323" s="1">
        <v>0</v>
      </c>
      <c r="G3323" s="1" t="s">
        <v>4372</v>
      </c>
      <c r="H3323" s="1" t="s">
        <v>4372</v>
      </c>
      <c r="I3323" s="1" t="s">
        <v>4386</v>
      </c>
      <c r="J3323" s="1" t="s">
        <v>9291</v>
      </c>
      <c r="K3323" s="1" t="s">
        <v>9292</v>
      </c>
    </row>
    <row r="3324" spans="1:11" ht="21" x14ac:dyDescent="0.25">
      <c r="A3324" s="11" t="str">
        <f>HYPERLINK("https://rth.dk/resources/bsgatlas/details.php?id=BSGatlas-transcript-3323","BSGatlas-transcript-3323")</f>
        <v>BSGatlas-transcript-3323</v>
      </c>
      <c r="B3324" s="1" t="s">
        <v>3096</v>
      </c>
      <c r="C3324" s="3">
        <v>2995678</v>
      </c>
      <c r="D3324" s="3">
        <v>2996884</v>
      </c>
      <c r="E3324" s="1" t="s">
        <v>13</v>
      </c>
      <c r="F3324" s="1">
        <v>0</v>
      </c>
      <c r="G3324" s="1" t="s">
        <v>4372</v>
      </c>
      <c r="H3324" s="1" t="s">
        <v>4372</v>
      </c>
      <c r="I3324" s="1" t="s">
        <v>4373</v>
      </c>
      <c r="J3324" s="1" t="s">
        <v>9293</v>
      </c>
      <c r="K3324" s="1" t="s">
        <v>9294</v>
      </c>
    </row>
    <row r="3325" spans="1:11" ht="21" x14ac:dyDescent="0.25">
      <c r="A3325" s="11" t="str">
        <f>HYPERLINK("https://rth.dk/resources/bsgatlas/details.php?id=BSGatlas-transcript-3324","BSGatlas-transcript-3324")</f>
        <v>BSGatlas-transcript-3324</v>
      </c>
      <c r="B3325" s="1" t="s">
        <v>3096</v>
      </c>
      <c r="C3325" s="3">
        <v>2995876</v>
      </c>
      <c r="D3325" s="3">
        <v>2996884</v>
      </c>
      <c r="E3325" s="1" t="s">
        <v>13</v>
      </c>
      <c r="F3325" s="1">
        <v>0</v>
      </c>
      <c r="G3325" s="1" t="s">
        <v>4372</v>
      </c>
      <c r="H3325" s="1" t="s">
        <v>4372</v>
      </c>
      <c r="I3325" s="1" t="s">
        <v>4373</v>
      </c>
      <c r="J3325" s="1" t="s">
        <v>9293</v>
      </c>
      <c r="K3325" s="1" t="s">
        <v>9295</v>
      </c>
    </row>
    <row r="3326" spans="1:11" ht="21" x14ac:dyDescent="0.25">
      <c r="A3326" s="11" t="str">
        <f>HYPERLINK("https://rth.dk/resources/bsgatlas/details.php?id=BSGatlas-transcript-3325","BSGatlas-transcript-3325")</f>
        <v>BSGatlas-transcript-3325</v>
      </c>
      <c r="B3326" s="1" t="s">
        <v>3097</v>
      </c>
      <c r="C3326" s="3">
        <v>2996284</v>
      </c>
      <c r="D3326" s="3">
        <v>2999111</v>
      </c>
      <c r="E3326" s="1" t="s">
        <v>9</v>
      </c>
      <c r="F3326" s="1">
        <v>0</v>
      </c>
      <c r="G3326" s="1" t="s">
        <v>4372</v>
      </c>
      <c r="H3326" s="1" t="s">
        <v>4372</v>
      </c>
      <c r="I3326" s="1" t="s">
        <v>4397</v>
      </c>
      <c r="J3326" s="1" t="s">
        <v>9296</v>
      </c>
      <c r="K3326" s="1" t="s">
        <v>9297</v>
      </c>
    </row>
    <row r="3327" spans="1:11" ht="21" x14ac:dyDescent="0.25">
      <c r="A3327" s="11" t="str">
        <f>HYPERLINK("https://rth.dk/resources/bsgatlas/details.php?id=BSGatlas-transcript-3326","BSGatlas-transcript-3326")</f>
        <v>BSGatlas-transcript-3326</v>
      </c>
      <c r="B3327" s="1" t="s">
        <v>3097</v>
      </c>
      <c r="C3327" s="3">
        <v>2996680</v>
      </c>
      <c r="D3327" s="3">
        <v>2999111</v>
      </c>
      <c r="E3327" s="1" t="s">
        <v>9</v>
      </c>
      <c r="F3327" s="1">
        <v>0</v>
      </c>
      <c r="G3327" s="1" t="s">
        <v>4372</v>
      </c>
      <c r="H3327" s="1" t="s">
        <v>4372</v>
      </c>
      <c r="I3327" s="1" t="s">
        <v>4397</v>
      </c>
      <c r="J3327" s="1" t="s">
        <v>9298</v>
      </c>
      <c r="K3327" s="1" t="s">
        <v>9297</v>
      </c>
    </row>
    <row r="3328" spans="1:11" ht="21" x14ac:dyDescent="0.25">
      <c r="A3328" s="11" t="str">
        <f>HYPERLINK("https://rth.dk/resources/bsgatlas/details.php?id=BSGatlas-transcript-3327","BSGatlas-transcript-3327")</f>
        <v>BSGatlas-transcript-3327</v>
      </c>
      <c r="B3328" s="1" t="s">
        <v>3098</v>
      </c>
      <c r="C3328" s="3">
        <v>2997301</v>
      </c>
      <c r="D3328" s="3">
        <v>2998667</v>
      </c>
      <c r="E3328" s="1" t="s">
        <v>13</v>
      </c>
      <c r="F3328" s="1">
        <v>0</v>
      </c>
      <c r="G3328" s="1" t="s">
        <v>4372</v>
      </c>
      <c r="H3328" s="1" t="s">
        <v>4372</v>
      </c>
      <c r="I3328" s="1" t="s">
        <v>4373</v>
      </c>
      <c r="J3328" s="1" t="s">
        <v>9299</v>
      </c>
      <c r="K3328" s="1" t="s">
        <v>318</v>
      </c>
    </row>
    <row r="3329" spans="1:11" ht="21" x14ac:dyDescent="0.25">
      <c r="A3329" s="11" t="str">
        <f>HYPERLINK("https://rth.dk/resources/bsgatlas/details.php?id=BSGatlas-transcript-3328","BSGatlas-transcript-3328")</f>
        <v>BSGatlas-transcript-3328</v>
      </c>
      <c r="B3329" s="1" t="s">
        <v>9300</v>
      </c>
      <c r="C3329" s="3">
        <v>2998690</v>
      </c>
      <c r="D3329" s="3">
        <v>3008841</v>
      </c>
      <c r="E3329" s="1" t="s">
        <v>13</v>
      </c>
      <c r="F3329" s="1">
        <v>5</v>
      </c>
      <c r="G3329" s="1">
        <v>57</v>
      </c>
      <c r="H3329" s="1">
        <v>107</v>
      </c>
      <c r="I3329" s="1" t="s">
        <v>4373</v>
      </c>
      <c r="J3329" s="1" t="s">
        <v>9301</v>
      </c>
      <c r="K3329" s="1" t="s">
        <v>9302</v>
      </c>
    </row>
    <row r="3330" spans="1:11" ht="21" x14ac:dyDescent="0.25">
      <c r="A3330" s="11" t="str">
        <f>HYPERLINK("https://rth.dk/resources/bsgatlas/details.php?id=BSGatlas-transcript-3329","BSGatlas-transcript-3329")</f>
        <v>BSGatlas-transcript-3329</v>
      </c>
      <c r="B3330" s="1" t="s">
        <v>9300</v>
      </c>
      <c r="C3330" s="3">
        <v>2998690</v>
      </c>
      <c r="D3330" s="3">
        <v>3008842</v>
      </c>
      <c r="E3330" s="1" t="s">
        <v>13</v>
      </c>
      <c r="F3330" s="1">
        <v>5</v>
      </c>
      <c r="G3330" s="1">
        <v>58</v>
      </c>
      <c r="H3330" s="1">
        <v>107</v>
      </c>
      <c r="I3330" s="1" t="s">
        <v>4373</v>
      </c>
      <c r="J3330" s="1" t="s">
        <v>9303</v>
      </c>
      <c r="K3330" s="1" t="s">
        <v>9302</v>
      </c>
    </row>
    <row r="3331" spans="1:11" ht="21" x14ac:dyDescent="0.25">
      <c r="A3331" s="11" t="str">
        <f>HYPERLINK("https://rth.dk/resources/bsgatlas/details.php?id=BSGatlas-transcript-3330","BSGatlas-transcript-3330")</f>
        <v>BSGatlas-transcript-3330</v>
      </c>
      <c r="B3331" s="1" t="s">
        <v>3111</v>
      </c>
      <c r="C3331" s="3">
        <v>3008857</v>
      </c>
      <c r="D3331" s="3">
        <v>3011662</v>
      </c>
      <c r="E3331" s="1" t="s">
        <v>9</v>
      </c>
      <c r="F3331" s="1">
        <v>0</v>
      </c>
      <c r="G3331" s="1" t="s">
        <v>4372</v>
      </c>
      <c r="H3331" s="1" t="s">
        <v>4372</v>
      </c>
      <c r="I3331" s="1" t="s">
        <v>4373</v>
      </c>
      <c r="J3331" s="1" t="s">
        <v>9304</v>
      </c>
      <c r="K3331" s="1" t="s">
        <v>9305</v>
      </c>
    </row>
    <row r="3332" spans="1:11" ht="21" x14ac:dyDescent="0.25">
      <c r="A3332" s="11" t="str">
        <f>HYPERLINK("https://rth.dk/resources/bsgatlas/details.php?id=BSGatlas-transcript-3331","BSGatlas-transcript-3331")</f>
        <v>BSGatlas-transcript-3331</v>
      </c>
      <c r="B3332" s="1" t="s">
        <v>3111</v>
      </c>
      <c r="C3332" s="3">
        <v>3008860</v>
      </c>
      <c r="D3332" s="3">
        <v>3011662</v>
      </c>
      <c r="E3332" s="1" t="s">
        <v>9</v>
      </c>
      <c r="F3332" s="1">
        <v>0</v>
      </c>
      <c r="G3332" s="1" t="s">
        <v>4372</v>
      </c>
      <c r="H3332" s="1" t="s">
        <v>4372</v>
      </c>
      <c r="I3332" s="1" t="s">
        <v>4373</v>
      </c>
      <c r="J3332" s="1" t="s">
        <v>9306</v>
      </c>
      <c r="K3332" s="1" t="s">
        <v>9305</v>
      </c>
    </row>
    <row r="3333" spans="1:11" ht="21" x14ac:dyDescent="0.25">
      <c r="A3333" s="11" t="str">
        <f>HYPERLINK("https://rth.dk/resources/bsgatlas/details.php?id=BSGatlas-transcript-3332","BSGatlas-transcript-3332")</f>
        <v>BSGatlas-transcript-3332</v>
      </c>
      <c r="B3333" s="1" t="s">
        <v>3112</v>
      </c>
      <c r="C3333" s="3">
        <v>3009307</v>
      </c>
      <c r="D3333" s="3">
        <v>3010598</v>
      </c>
      <c r="E3333" s="1" t="s">
        <v>13</v>
      </c>
      <c r="F3333" s="1">
        <v>0</v>
      </c>
      <c r="G3333" s="1" t="s">
        <v>4372</v>
      </c>
      <c r="H3333" s="1" t="s">
        <v>4372</v>
      </c>
      <c r="I3333" s="1" t="s">
        <v>4382</v>
      </c>
      <c r="J3333" s="1" t="s">
        <v>318</v>
      </c>
      <c r="K3333" s="1" t="s">
        <v>9307</v>
      </c>
    </row>
    <row r="3334" spans="1:11" ht="21" x14ac:dyDescent="0.25">
      <c r="A3334" s="11" t="str">
        <f>HYPERLINK("https://rth.dk/resources/bsgatlas/details.php?id=BSGatlas-transcript-3333","BSGatlas-transcript-3333")</f>
        <v>BSGatlas-transcript-3333</v>
      </c>
      <c r="B3334" s="1" t="s">
        <v>9308</v>
      </c>
      <c r="C3334" s="3">
        <v>3009307</v>
      </c>
      <c r="D3334" s="3">
        <v>3011495</v>
      </c>
      <c r="E3334" s="1" t="s">
        <v>13</v>
      </c>
      <c r="F3334" s="1">
        <v>1</v>
      </c>
      <c r="G3334" s="1">
        <v>68</v>
      </c>
      <c r="H3334" s="1">
        <v>609</v>
      </c>
      <c r="I3334" s="1" t="s">
        <v>4386</v>
      </c>
      <c r="J3334" s="1" t="s">
        <v>9309</v>
      </c>
      <c r="K3334" s="1" t="s">
        <v>9307</v>
      </c>
    </row>
    <row r="3335" spans="1:11" ht="21" x14ac:dyDescent="0.25">
      <c r="A3335" s="11" t="str">
        <f>HYPERLINK("https://rth.dk/resources/bsgatlas/details.php?id=BSGatlas-transcript-3334","BSGatlas-transcript-3334")</f>
        <v>BSGatlas-transcript-3334</v>
      </c>
      <c r="B3335" s="1" t="s">
        <v>3112</v>
      </c>
      <c r="C3335" s="3">
        <v>3009865</v>
      </c>
      <c r="D3335" s="3">
        <v>3010598</v>
      </c>
      <c r="E3335" s="1" t="s">
        <v>13</v>
      </c>
      <c r="F3335" s="1">
        <v>0</v>
      </c>
      <c r="G3335" s="1" t="s">
        <v>4372</v>
      </c>
      <c r="H3335" s="1" t="s">
        <v>4372</v>
      </c>
      <c r="I3335" s="1" t="s">
        <v>4382</v>
      </c>
      <c r="J3335" s="1" t="s">
        <v>318</v>
      </c>
      <c r="K3335" s="1" t="s">
        <v>9310</v>
      </c>
    </row>
    <row r="3336" spans="1:11" ht="21" x14ac:dyDescent="0.25">
      <c r="A3336" s="11" t="str">
        <f>HYPERLINK("https://rth.dk/resources/bsgatlas/details.php?id=BSGatlas-transcript-3335","BSGatlas-transcript-3335")</f>
        <v>BSGatlas-transcript-3335</v>
      </c>
      <c r="B3336" s="1" t="s">
        <v>9308</v>
      </c>
      <c r="C3336" s="3">
        <v>3009865</v>
      </c>
      <c r="D3336" s="3">
        <v>3011495</v>
      </c>
      <c r="E3336" s="1" t="s">
        <v>13</v>
      </c>
      <c r="F3336" s="1">
        <v>1</v>
      </c>
      <c r="G3336" s="1">
        <v>68</v>
      </c>
      <c r="H3336" s="1">
        <v>51</v>
      </c>
      <c r="I3336" s="1" t="s">
        <v>4386</v>
      </c>
      <c r="J3336" s="1" t="s">
        <v>9309</v>
      </c>
      <c r="K3336" s="1" t="s">
        <v>9310</v>
      </c>
    </row>
    <row r="3337" spans="1:11" ht="21" x14ac:dyDescent="0.25">
      <c r="A3337" s="11" t="str">
        <f>HYPERLINK("https://rth.dk/resources/bsgatlas/details.php?id=BSGatlas-transcript-3336","BSGatlas-transcript-3336")</f>
        <v>BSGatlas-transcript-3336</v>
      </c>
      <c r="B3337" s="1" t="s">
        <v>9311</v>
      </c>
      <c r="C3337" s="3">
        <v>3011638</v>
      </c>
      <c r="D3337" s="3">
        <v>3014421</v>
      </c>
      <c r="E3337" s="1" t="s">
        <v>13</v>
      </c>
      <c r="F3337" s="1">
        <v>0</v>
      </c>
      <c r="G3337" s="1" t="s">
        <v>4372</v>
      </c>
      <c r="H3337" s="1" t="s">
        <v>4372</v>
      </c>
      <c r="I3337" s="1" t="s">
        <v>4386</v>
      </c>
      <c r="J3337" s="1" t="s">
        <v>9312</v>
      </c>
      <c r="K3337" s="1" t="s">
        <v>9313</v>
      </c>
    </row>
    <row r="3338" spans="1:11" ht="21" x14ac:dyDescent="0.25">
      <c r="A3338" s="11" t="str">
        <f>HYPERLINK("https://rth.dk/resources/bsgatlas/details.php?id=BSGatlas-transcript-3337","BSGatlas-transcript-3337")</f>
        <v>BSGatlas-transcript-3337</v>
      </c>
      <c r="B3338" s="1" t="s">
        <v>3116</v>
      </c>
      <c r="C3338" s="3">
        <v>3014457</v>
      </c>
      <c r="D3338" s="3">
        <v>3015060</v>
      </c>
      <c r="E3338" s="1" t="s">
        <v>13</v>
      </c>
      <c r="F3338" s="1">
        <v>0</v>
      </c>
      <c r="G3338" s="1" t="s">
        <v>4372</v>
      </c>
      <c r="H3338" s="1" t="s">
        <v>4372</v>
      </c>
      <c r="I3338" s="1" t="s">
        <v>4373</v>
      </c>
      <c r="J3338" s="1" t="s">
        <v>9314</v>
      </c>
      <c r="K3338" s="1" t="s">
        <v>9315</v>
      </c>
    </row>
    <row r="3339" spans="1:11" ht="21" x14ac:dyDescent="0.25">
      <c r="A3339" s="11" t="str">
        <f>HYPERLINK("https://rth.dk/resources/bsgatlas/details.php?id=BSGatlas-transcript-3338","BSGatlas-transcript-3338")</f>
        <v>BSGatlas-transcript-3338</v>
      </c>
      <c r="B3339" s="1" t="s">
        <v>3116</v>
      </c>
      <c r="C3339" s="3">
        <v>3014514</v>
      </c>
      <c r="D3339" s="3">
        <v>3015060</v>
      </c>
      <c r="E3339" s="1" t="s">
        <v>13</v>
      </c>
      <c r="F3339" s="1">
        <v>0</v>
      </c>
      <c r="G3339" s="1" t="s">
        <v>4372</v>
      </c>
      <c r="H3339" s="1" t="s">
        <v>4372</v>
      </c>
      <c r="I3339" s="1" t="s">
        <v>4373</v>
      </c>
      <c r="J3339" s="1" t="s">
        <v>9314</v>
      </c>
      <c r="K3339" s="1" t="s">
        <v>9316</v>
      </c>
    </row>
    <row r="3340" spans="1:11" ht="21" x14ac:dyDescent="0.25">
      <c r="A3340" s="11" t="str">
        <f>HYPERLINK("https://rth.dk/resources/bsgatlas/details.php?id=BSGatlas-transcript-3339","BSGatlas-transcript-3339")</f>
        <v>BSGatlas-transcript-3339</v>
      </c>
      <c r="B3340" s="1" t="s">
        <v>3117</v>
      </c>
      <c r="C3340" s="3">
        <v>3015065</v>
      </c>
      <c r="D3340" s="3">
        <v>3016390</v>
      </c>
      <c r="E3340" s="1" t="s">
        <v>13</v>
      </c>
      <c r="F3340" s="1">
        <v>0</v>
      </c>
      <c r="G3340" s="1" t="s">
        <v>4372</v>
      </c>
      <c r="H3340" s="1" t="s">
        <v>4372</v>
      </c>
      <c r="I3340" s="1" t="s">
        <v>4373</v>
      </c>
      <c r="J3340" s="1" t="s">
        <v>9317</v>
      </c>
      <c r="K3340" s="1" t="s">
        <v>9318</v>
      </c>
    </row>
    <row r="3341" spans="1:11" ht="21" x14ac:dyDescent="0.25">
      <c r="A3341" s="11" t="str">
        <f>HYPERLINK("https://rth.dk/resources/bsgatlas/details.php?id=BSGatlas-transcript-3340","BSGatlas-transcript-3340")</f>
        <v>BSGatlas-transcript-3340</v>
      </c>
      <c r="B3341" s="1" t="s">
        <v>4760</v>
      </c>
      <c r="C3341" s="3">
        <v>3016471</v>
      </c>
      <c r="D3341" s="3">
        <v>3016674</v>
      </c>
      <c r="E3341" s="1" t="s">
        <v>13</v>
      </c>
      <c r="F3341" s="1">
        <v>0</v>
      </c>
      <c r="G3341" s="1" t="s">
        <v>4372</v>
      </c>
      <c r="H3341" s="1" t="s">
        <v>4372</v>
      </c>
      <c r="I3341" s="1" t="s">
        <v>4377</v>
      </c>
      <c r="J3341" s="1" t="s">
        <v>9319</v>
      </c>
      <c r="K3341" s="1" t="s">
        <v>318</v>
      </c>
    </row>
    <row r="3342" spans="1:11" ht="21" x14ac:dyDescent="0.25">
      <c r="A3342" s="11" t="str">
        <f>HYPERLINK("https://rth.dk/resources/bsgatlas/details.php?id=BSGatlas-transcript-3341","BSGatlas-transcript-3341")</f>
        <v>BSGatlas-transcript-3341</v>
      </c>
      <c r="B3342" s="1" t="s">
        <v>3118</v>
      </c>
      <c r="C3342" s="3">
        <v>3016581</v>
      </c>
      <c r="D3342" s="3">
        <v>3017635</v>
      </c>
      <c r="E3342" s="1" t="s">
        <v>13</v>
      </c>
      <c r="F3342" s="1">
        <v>0</v>
      </c>
      <c r="G3342" s="1" t="s">
        <v>4372</v>
      </c>
      <c r="H3342" s="1" t="s">
        <v>4372</v>
      </c>
      <c r="I3342" s="1" t="s">
        <v>4373</v>
      </c>
      <c r="J3342" s="1" t="s">
        <v>318</v>
      </c>
      <c r="K3342" s="1" t="s">
        <v>9320</v>
      </c>
    </row>
    <row r="3343" spans="1:11" ht="21" x14ac:dyDescent="0.25">
      <c r="A3343" s="11" t="str">
        <f>HYPERLINK("https://rth.dk/resources/bsgatlas/details.php?id=BSGatlas-transcript-3342","BSGatlas-transcript-3342")</f>
        <v>BSGatlas-transcript-3342</v>
      </c>
      <c r="B3343" s="1" t="s">
        <v>9321</v>
      </c>
      <c r="C3343" s="3">
        <v>3016581</v>
      </c>
      <c r="D3343" s="3">
        <v>3018238</v>
      </c>
      <c r="E3343" s="1" t="s">
        <v>13</v>
      </c>
      <c r="F3343" s="1">
        <v>1</v>
      </c>
      <c r="G3343" s="1">
        <v>40</v>
      </c>
      <c r="H3343" s="1">
        <v>66</v>
      </c>
      <c r="I3343" s="1" t="s">
        <v>4386</v>
      </c>
      <c r="J3343" s="1" t="s">
        <v>9322</v>
      </c>
      <c r="K3343" s="1" t="s">
        <v>9320</v>
      </c>
    </row>
    <row r="3344" spans="1:11" ht="21" x14ac:dyDescent="0.25">
      <c r="A3344" s="11" t="str">
        <f>HYPERLINK("https://rth.dk/resources/bsgatlas/details.php?id=BSGatlas-transcript-3343","BSGatlas-transcript-3343")</f>
        <v>BSGatlas-transcript-3343</v>
      </c>
      <c r="B3344" s="1" t="s">
        <v>3118</v>
      </c>
      <c r="C3344" s="3">
        <v>3016646</v>
      </c>
      <c r="D3344" s="3">
        <v>3017635</v>
      </c>
      <c r="E3344" s="1" t="s">
        <v>13</v>
      </c>
      <c r="F3344" s="1">
        <v>0</v>
      </c>
      <c r="G3344" s="1" t="s">
        <v>4372</v>
      </c>
      <c r="H3344" s="1" t="s">
        <v>4372</v>
      </c>
      <c r="I3344" s="1" t="s">
        <v>4373</v>
      </c>
      <c r="J3344" s="1" t="s">
        <v>318</v>
      </c>
      <c r="K3344" s="1" t="s">
        <v>9323</v>
      </c>
    </row>
    <row r="3345" spans="1:11" ht="21" x14ac:dyDescent="0.25">
      <c r="A3345" s="11" t="str">
        <f>HYPERLINK("https://rth.dk/resources/bsgatlas/details.php?id=BSGatlas-transcript-3344","BSGatlas-transcript-3344")</f>
        <v>BSGatlas-transcript-3344</v>
      </c>
      <c r="B3345" s="1" t="s">
        <v>9321</v>
      </c>
      <c r="C3345" s="3">
        <v>3016646</v>
      </c>
      <c r="D3345" s="3">
        <v>3018238</v>
      </c>
      <c r="E3345" s="1" t="s">
        <v>13</v>
      </c>
      <c r="F3345" s="1">
        <v>1</v>
      </c>
      <c r="G3345" s="1">
        <v>40</v>
      </c>
      <c r="H3345" s="1" t="s">
        <v>4372</v>
      </c>
      <c r="I3345" s="1" t="s">
        <v>4386</v>
      </c>
      <c r="J3345" s="1" t="s">
        <v>9322</v>
      </c>
      <c r="K3345" s="1" t="s">
        <v>9323</v>
      </c>
    </row>
    <row r="3346" spans="1:11" ht="21" x14ac:dyDescent="0.25">
      <c r="A3346" s="11" t="str">
        <f>HYPERLINK("https://rth.dk/resources/bsgatlas/details.php?id=BSGatlas-transcript-3345","BSGatlas-transcript-3345")</f>
        <v>BSGatlas-transcript-3345</v>
      </c>
      <c r="B3346" s="1" t="s">
        <v>3119</v>
      </c>
      <c r="C3346" s="3">
        <v>3017648</v>
      </c>
      <c r="D3346" s="3">
        <v>3018238</v>
      </c>
      <c r="E3346" s="1" t="s">
        <v>13</v>
      </c>
      <c r="F3346" s="1">
        <v>0</v>
      </c>
      <c r="G3346" s="1" t="s">
        <v>4372</v>
      </c>
      <c r="H3346" s="1" t="s">
        <v>4372</v>
      </c>
      <c r="I3346" s="1" t="s">
        <v>4373</v>
      </c>
      <c r="J3346" s="1" t="s">
        <v>9322</v>
      </c>
      <c r="K3346" s="1" t="s">
        <v>9324</v>
      </c>
    </row>
    <row r="3347" spans="1:11" ht="21" x14ac:dyDescent="0.25">
      <c r="A3347" s="11" t="str">
        <f>HYPERLINK("https://rth.dk/resources/bsgatlas/details.php?id=BSGatlas-transcript-3346","BSGatlas-transcript-3346")</f>
        <v>BSGatlas-transcript-3346</v>
      </c>
      <c r="B3347" s="1" t="s">
        <v>3120</v>
      </c>
      <c r="C3347" s="3">
        <v>3018263</v>
      </c>
      <c r="D3347" s="3">
        <v>3018870</v>
      </c>
      <c r="E3347" s="1" t="s">
        <v>13</v>
      </c>
      <c r="F3347" s="1">
        <v>0</v>
      </c>
      <c r="G3347" s="1" t="s">
        <v>4372</v>
      </c>
      <c r="H3347" s="1" t="s">
        <v>4372</v>
      </c>
      <c r="I3347" s="1" t="s">
        <v>4377</v>
      </c>
      <c r="J3347" s="1" t="s">
        <v>9325</v>
      </c>
      <c r="K3347" s="1" t="s">
        <v>9326</v>
      </c>
    </row>
    <row r="3348" spans="1:11" ht="21" x14ac:dyDescent="0.25">
      <c r="A3348" s="11" t="str">
        <f>HYPERLINK("https://rth.dk/resources/bsgatlas/details.php?id=BSGatlas-transcript-3347","BSGatlas-transcript-3347")</f>
        <v>BSGatlas-transcript-3347</v>
      </c>
      <c r="B3348" s="1" t="s">
        <v>9327</v>
      </c>
      <c r="C3348" s="3">
        <v>3018263</v>
      </c>
      <c r="D3348" s="3">
        <v>3019474</v>
      </c>
      <c r="E3348" s="1" t="s">
        <v>13</v>
      </c>
      <c r="F3348" s="1">
        <v>0</v>
      </c>
      <c r="G3348" s="1" t="s">
        <v>4372</v>
      </c>
      <c r="H3348" s="1" t="s">
        <v>4372</v>
      </c>
      <c r="I3348" s="1" t="s">
        <v>4373</v>
      </c>
      <c r="J3348" s="1" t="s">
        <v>9328</v>
      </c>
      <c r="K3348" s="1" t="s">
        <v>9326</v>
      </c>
    </row>
    <row r="3349" spans="1:11" ht="21" x14ac:dyDescent="0.25">
      <c r="A3349" s="11" t="str">
        <f>HYPERLINK("https://rth.dk/resources/bsgatlas/details.php?id=BSGatlas-transcript-3348","BSGatlas-transcript-3348")</f>
        <v>BSGatlas-transcript-3348</v>
      </c>
      <c r="B3349" s="1" t="s">
        <v>3120</v>
      </c>
      <c r="C3349" s="3">
        <v>3018309</v>
      </c>
      <c r="D3349" s="3">
        <v>3018870</v>
      </c>
      <c r="E3349" s="1" t="s">
        <v>13</v>
      </c>
      <c r="F3349" s="1">
        <v>0</v>
      </c>
      <c r="G3349" s="1" t="s">
        <v>4372</v>
      </c>
      <c r="H3349" s="1" t="s">
        <v>4372</v>
      </c>
      <c r="I3349" s="1" t="s">
        <v>4377</v>
      </c>
      <c r="J3349" s="1" t="s">
        <v>9325</v>
      </c>
      <c r="K3349" s="1" t="s">
        <v>9329</v>
      </c>
    </row>
    <row r="3350" spans="1:11" ht="21" x14ac:dyDescent="0.25">
      <c r="A3350" s="11" t="str">
        <f>HYPERLINK("https://rth.dk/resources/bsgatlas/details.php?id=BSGatlas-transcript-3349","BSGatlas-transcript-3349")</f>
        <v>BSGatlas-transcript-3349</v>
      </c>
      <c r="B3350" s="1" t="s">
        <v>9327</v>
      </c>
      <c r="C3350" s="3">
        <v>3018309</v>
      </c>
      <c r="D3350" s="3">
        <v>3019474</v>
      </c>
      <c r="E3350" s="1" t="s">
        <v>13</v>
      </c>
      <c r="F3350" s="1">
        <v>0</v>
      </c>
      <c r="G3350" s="1" t="s">
        <v>4372</v>
      </c>
      <c r="H3350" s="1" t="s">
        <v>4372</v>
      </c>
      <c r="I3350" s="1" t="s">
        <v>4373</v>
      </c>
      <c r="J3350" s="1" t="s">
        <v>9328</v>
      </c>
      <c r="K3350" s="1" t="s">
        <v>9329</v>
      </c>
    </row>
    <row r="3351" spans="1:11" ht="21" x14ac:dyDescent="0.25">
      <c r="A3351" s="11" t="str">
        <f>HYPERLINK("https://rth.dk/resources/bsgatlas/details.php?id=BSGatlas-transcript-3350","BSGatlas-transcript-3350")</f>
        <v>BSGatlas-transcript-3350</v>
      </c>
      <c r="B3351" s="1" t="s">
        <v>9330</v>
      </c>
      <c r="C3351" s="3">
        <v>3019174</v>
      </c>
      <c r="D3351" s="3">
        <v>3021074</v>
      </c>
      <c r="E3351" s="1" t="s">
        <v>13</v>
      </c>
      <c r="F3351" s="1">
        <v>0</v>
      </c>
      <c r="G3351" s="1" t="s">
        <v>4372</v>
      </c>
      <c r="H3351" s="1" t="s">
        <v>4372</v>
      </c>
      <c r="I3351" s="1" t="s">
        <v>4373</v>
      </c>
      <c r="J3351" s="1" t="s">
        <v>9331</v>
      </c>
      <c r="K3351" s="1" t="s">
        <v>9332</v>
      </c>
    </row>
    <row r="3352" spans="1:11" ht="21" x14ac:dyDescent="0.25">
      <c r="A3352" s="11" t="str">
        <f>HYPERLINK("https://rth.dk/resources/bsgatlas/details.php?id=BSGatlas-transcript-3351","BSGatlas-transcript-3351")</f>
        <v>BSGatlas-transcript-3351</v>
      </c>
      <c r="B3352" s="1" t="s">
        <v>9330</v>
      </c>
      <c r="C3352" s="3">
        <v>3019174</v>
      </c>
      <c r="D3352" s="3">
        <v>3021169</v>
      </c>
      <c r="E3352" s="1" t="s">
        <v>13</v>
      </c>
      <c r="F3352" s="1">
        <v>0</v>
      </c>
      <c r="G3352" s="1" t="s">
        <v>4372</v>
      </c>
      <c r="H3352" s="1" t="s">
        <v>4372</v>
      </c>
      <c r="I3352" s="1" t="s">
        <v>4373</v>
      </c>
      <c r="J3352" s="1" t="s">
        <v>9333</v>
      </c>
      <c r="K3352" s="1" t="s">
        <v>9332</v>
      </c>
    </row>
    <row r="3353" spans="1:11" ht="21" x14ac:dyDescent="0.25">
      <c r="A3353" s="11" t="str">
        <f>HYPERLINK("https://rth.dk/resources/bsgatlas/details.php?id=BSGatlas-transcript-3352","BSGatlas-transcript-3352")</f>
        <v>BSGatlas-transcript-3352</v>
      </c>
      <c r="B3353" s="1" t="s">
        <v>9330</v>
      </c>
      <c r="C3353" s="3">
        <v>3019493</v>
      </c>
      <c r="D3353" s="3">
        <v>3021074</v>
      </c>
      <c r="E3353" s="1" t="s">
        <v>13</v>
      </c>
      <c r="F3353" s="1">
        <v>0</v>
      </c>
      <c r="G3353" s="1" t="s">
        <v>4372</v>
      </c>
      <c r="H3353" s="1" t="s">
        <v>4372</v>
      </c>
      <c r="I3353" s="1" t="s">
        <v>4373</v>
      </c>
      <c r="J3353" s="1" t="s">
        <v>9331</v>
      </c>
      <c r="K3353" s="1" t="s">
        <v>9334</v>
      </c>
    </row>
    <row r="3354" spans="1:11" ht="21" x14ac:dyDescent="0.25">
      <c r="A3354" s="11" t="str">
        <f>HYPERLINK("https://rth.dk/resources/bsgatlas/details.php?id=BSGatlas-transcript-3353","BSGatlas-transcript-3353")</f>
        <v>BSGatlas-transcript-3353</v>
      </c>
      <c r="B3354" s="1" t="s">
        <v>9330</v>
      </c>
      <c r="C3354" s="3">
        <v>3019493</v>
      </c>
      <c r="D3354" s="3">
        <v>3021169</v>
      </c>
      <c r="E3354" s="1" t="s">
        <v>13</v>
      </c>
      <c r="F3354" s="1">
        <v>0</v>
      </c>
      <c r="G3354" s="1" t="s">
        <v>4372</v>
      </c>
      <c r="H3354" s="1" t="s">
        <v>4372</v>
      </c>
      <c r="I3354" s="1" t="s">
        <v>4373</v>
      </c>
      <c r="J3354" s="1" t="s">
        <v>9333</v>
      </c>
      <c r="K3354" s="1" t="s">
        <v>9334</v>
      </c>
    </row>
    <row r="3355" spans="1:11" ht="21" x14ac:dyDescent="0.25">
      <c r="A3355" s="11" t="str">
        <f>HYPERLINK("https://rth.dk/resources/bsgatlas/details.php?id=BSGatlas-transcript-3354","BSGatlas-transcript-3354")</f>
        <v>BSGatlas-transcript-3354</v>
      </c>
      <c r="B3355" s="1" t="s">
        <v>3124</v>
      </c>
      <c r="C3355" s="3">
        <v>3021157</v>
      </c>
      <c r="D3355" s="3">
        <v>3022036</v>
      </c>
      <c r="E3355" s="1" t="s">
        <v>9</v>
      </c>
      <c r="F3355" s="1">
        <v>0</v>
      </c>
      <c r="G3355" s="1" t="s">
        <v>4372</v>
      </c>
      <c r="H3355" s="1" t="s">
        <v>4372</v>
      </c>
      <c r="I3355" s="1" t="s">
        <v>4397</v>
      </c>
      <c r="J3355" s="1" t="s">
        <v>9335</v>
      </c>
      <c r="K3355" s="1" t="s">
        <v>9336</v>
      </c>
    </row>
    <row r="3356" spans="1:11" ht="21" x14ac:dyDescent="0.25">
      <c r="A3356" s="11" t="str">
        <f>HYPERLINK("https://rth.dk/resources/bsgatlas/details.php?id=BSGatlas-transcript-3355","BSGatlas-transcript-3355")</f>
        <v>BSGatlas-transcript-3355</v>
      </c>
      <c r="B3356" s="1" t="s">
        <v>3124</v>
      </c>
      <c r="C3356" s="3">
        <v>3021157</v>
      </c>
      <c r="D3356" s="3">
        <v>3022036</v>
      </c>
      <c r="E3356" s="1" t="s">
        <v>9</v>
      </c>
      <c r="F3356" s="1">
        <v>0</v>
      </c>
      <c r="G3356" s="1" t="s">
        <v>4372</v>
      </c>
      <c r="H3356" s="1" t="s">
        <v>4372</v>
      </c>
      <c r="I3356" s="1" t="s">
        <v>4397</v>
      </c>
      <c r="J3356" s="1" t="s">
        <v>9335</v>
      </c>
      <c r="K3356" s="1" t="s">
        <v>9337</v>
      </c>
    </row>
    <row r="3357" spans="1:11" ht="21" x14ac:dyDescent="0.25">
      <c r="A3357" s="11" t="str">
        <f>HYPERLINK("https://rth.dk/resources/bsgatlas/details.php?id=BSGatlas-transcript-3356","BSGatlas-transcript-3356")</f>
        <v>BSGatlas-transcript-3356</v>
      </c>
      <c r="B3357" s="1" t="s">
        <v>3125</v>
      </c>
      <c r="C3357" s="3">
        <v>3022031</v>
      </c>
      <c r="D3357" s="3">
        <v>3023657</v>
      </c>
      <c r="E3357" s="1" t="s">
        <v>13</v>
      </c>
      <c r="F3357" s="1">
        <v>0</v>
      </c>
      <c r="G3357" s="1" t="s">
        <v>4372</v>
      </c>
      <c r="H3357" s="1" t="s">
        <v>4372</v>
      </c>
      <c r="I3357" s="1" t="s">
        <v>4382</v>
      </c>
      <c r="J3357" s="1" t="s">
        <v>318</v>
      </c>
      <c r="K3357" s="1" t="s">
        <v>9338</v>
      </c>
    </row>
    <row r="3358" spans="1:11" ht="21" x14ac:dyDescent="0.25">
      <c r="A3358" s="11" t="str">
        <f>HYPERLINK("https://rth.dk/resources/bsgatlas/details.php?id=BSGatlas-transcript-3357","BSGatlas-transcript-3357")</f>
        <v>BSGatlas-transcript-3357</v>
      </c>
      <c r="B3358" s="1" t="s">
        <v>9339</v>
      </c>
      <c r="C3358" s="3">
        <v>3022031</v>
      </c>
      <c r="D3358" s="3">
        <v>3025317</v>
      </c>
      <c r="E3358" s="1" t="s">
        <v>13</v>
      </c>
      <c r="F3358" s="1">
        <v>1</v>
      </c>
      <c r="G3358" s="1">
        <v>52</v>
      </c>
      <c r="H3358" s="1">
        <v>38</v>
      </c>
      <c r="I3358" s="1" t="s">
        <v>4386</v>
      </c>
      <c r="J3358" s="1" t="s">
        <v>9340</v>
      </c>
      <c r="K3358" s="1" t="s">
        <v>9338</v>
      </c>
    </row>
    <row r="3359" spans="1:11" ht="21" x14ac:dyDescent="0.25">
      <c r="A3359" s="11" t="str">
        <f>HYPERLINK("https://rth.dk/resources/bsgatlas/details.php?id=BSGatlas-transcript-3358","BSGatlas-transcript-3358")</f>
        <v>BSGatlas-transcript-3358</v>
      </c>
      <c r="B3359" s="1" t="s">
        <v>3127</v>
      </c>
      <c r="C3359" s="3">
        <v>3025385</v>
      </c>
      <c r="D3359" s="3">
        <v>3025671</v>
      </c>
      <c r="E3359" s="1" t="s">
        <v>13</v>
      </c>
      <c r="F3359" s="1">
        <v>0</v>
      </c>
      <c r="G3359" s="1" t="s">
        <v>4372</v>
      </c>
      <c r="H3359" s="1" t="s">
        <v>4372</v>
      </c>
      <c r="I3359" s="1" t="s">
        <v>4373</v>
      </c>
      <c r="J3359" s="1" t="s">
        <v>9341</v>
      </c>
      <c r="K3359" s="1" t="s">
        <v>9342</v>
      </c>
    </row>
    <row r="3360" spans="1:11" ht="21" x14ac:dyDescent="0.25">
      <c r="A3360" s="11" t="str">
        <f>HYPERLINK("https://rth.dk/resources/bsgatlas/details.php?id=BSGatlas-transcript-3359","BSGatlas-transcript-3359")</f>
        <v>BSGatlas-transcript-3359</v>
      </c>
      <c r="B3360" s="1" t="s">
        <v>9343</v>
      </c>
      <c r="C3360" s="3">
        <v>3025385</v>
      </c>
      <c r="D3360" s="3">
        <v>3029246</v>
      </c>
      <c r="E3360" s="1" t="s">
        <v>13</v>
      </c>
      <c r="F3360" s="1">
        <v>1</v>
      </c>
      <c r="G3360" s="1">
        <v>1145</v>
      </c>
      <c r="H3360" s="1">
        <v>61</v>
      </c>
      <c r="I3360" s="1" t="s">
        <v>4386</v>
      </c>
      <c r="J3360" s="1" t="s">
        <v>9344</v>
      </c>
      <c r="K3360" s="1" t="s">
        <v>9342</v>
      </c>
    </row>
    <row r="3361" spans="1:11" ht="21" x14ac:dyDescent="0.25">
      <c r="A3361" s="11" t="str">
        <f>HYPERLINK("https://rth.dk/resources/bsgatlas/details.php?id=BSGatlas-transcript-3360","BSGatlas-transcript-3360")</f>
        <v>BSGatlas-transcript-3360</v>
      </c>
      <c r="B3361" s="1" t="s">
        <v>3130</v>
      </c>
      <c r="C3361" s="3">
        <v>3028207</v>
      </c>
      <c r="D3361" s="3">
        <v>3029634</v>
      </c>
      <c r="E3361" s="1" t="s">
        <v>9</v>
      </c>
      <c r="F3361" s="1">
        <v>0</v>
      </c>
      <c r="G3361" s="1" t="s">
        <v>4372</v>
      </c>
      <c r="H3361" s="1" t="s">
        <v>4372</v>
      </c>
      <c r="I3361" s="1" t="s">
        <v>4373</v>
      </c>
      <c r="J3361" s="1" t="s">
        <v>9345</v>
      </c>
      <c r="K3361" s="1" t="s">
        <v>9346</v>
      </c>
    </row>
    <row r="3362" spans="1:11" ht="21" x14ac:dyDescent="0.25">
      <c r="A3362" s="11" t="str">
        <f>HYPERLINK("https://rth.dk/resources/bsgatlas/details.php?id=BSGatlas-transcript-3361","BSGatlas-transcript-3361")</f>
        <v>BSGatlas-transcript-3361</v>
      </c>
      <c r="B3362" s="1" t="s">
        <v>3130</v>
      </c>
      <c r="C3362" s="3">
        <v>3028207</v>
      </c>
      <c r="D3362" s="3">
        <v>3029681</v>
      </c>
      <c r="E3362" s="1" t="s">
        <v>9</v>
      </c>
      <c r="F3362" s="1">
        <v>0</v>
      </c>
      <c r="G3362" s="1" t="s">
        <v>4372</v>
      </c>
      <c r="H3362" s="1" t="s">
        <v>4372</v>
      </c>
      <c r="I3362" s="1" t="s">
        <v>4373</v>
      </c>
      <c r="J3362" s="1" t="s">
        <v>9345</v>
      </c>
      <c r="K3362" s="1" t="s">
        <v>9347</v>
      </c>
    </row>
    <row r="3363" spans="1:11" ht="21" x14ac:dyDescent="0.25">
      <c r="A3363" s="11" t="str">
        <f>HYPERLINK("https://rth.dk/resources/bsgatlas/details.php?id=BSGatlas-transcript-3362","BSGatlas-transcript-3362")</f>
        <v>BSGatlas-transcript-3362</v>
      </c>
      <c r="B3363" s="1" t="s">
        <v>3131</v>
      </c>
      <c r="C3363" s="3">
        <v>3029668</v>
      </c>
      <c r="D3363" s="3">
        <v>3031488</v>
      </c>
      <c r="E3363" s="1" t="s">
        <v>13</v>
      </c>
      <c r="F3363" s="1">
        <v>0</v>
      </c>
      <c r="G3363" s="1" t="s">
        <v>4372</v>
      </c>
      <c r="H3363" s="1" t="s">
        <v>4372</v>
      </c>
      <c r="I3363" s="1" t="s">
        <v>4373</v>
      </c>
      <c r="J3363" s="1" t="s">
        <v>9348</v>
      </c>
      <c r="K3363" s="1" t="s">
        <v>9349</v>
      </c>
    </row>
    <row r="3364" spans="1:11" ht="21" x14ac:dyDescent="0.25">
      <c r="A3364" s="11" t="str">
        <f>HYPERLINK("https://rth.dk/resources/bsgatlas/details.php?id=BSGatlas-transcript-3363","BSGatlas-transcript-3363")</f>
        <v>BSGatlas-transcript-3363</v>
      </c>
      <c r="B3364" s="1" t="s">
        <v>3131</v>
      </c>
      <c r="C3364" s="3">
        <v>3029668</v>
      </c>
      <c r="D3364" s="3">
        <v>3031513</v>
      </c>
      <c r="E3364" s="1" t="s">
        <v>13</v>
      </c>
      <c r="F3364" s="1">
        <v>0</v>
      </c>
      <c r="G3364" s="1" t="s">
        <v>4372</v>
      </c>
      <c r="H3364" s="1" t="s">
        <v>4372</v>
      </c>
      <c r="I3364" s="1" t="s">
        <v>4373</v>
      </c>
      <c r="J3364" s="1" t="s">
        <v>9350</v>
      </c>
      <c r="K3364" s="1" t="s">
        <v>9349</v>
      </c>
    </row>
    <row r="3365" spans="1:11" ht="21" x14ac:dyDescent="0.25">
      <c r="A3365" s="11" t="str">
        <f>HYPERLINK("https://rth.dk/resources/bsgatlas/details.php?id=BSGatlas-transcript-3364","BSGatlas-transcript-3364")</f>
        <v>BSGatlas-transcript-3364</v>
      </c>
      <c r="B3365" s="1" t="s">
        <v>3131</v>
      </c>
      <c r="C3365" s="3">
        <v>3029668</v>
      </c>
      <c r="D3365" s="3">
        <v>3032101</v>
      </c>
      <c r="E3365" s="1" t="s">
        <v>13</v>
      </c>
      <c r="F3365" s="1">
        <v>0</v>
      </c>
      <c r="G3365" s="1" t="s">
        <v>4372</v>
      </c>
      <c r="H3365" s="1" t="s">
        <v>4372</v>
      </c>
      <c r="I3365" s="1" t="s">
        <v>4373</v>
      </c>
      <c r="J3365" s="1" t="s">
        <v>9351</v>
      </c>
      <c r="K3365" s="1" t="s">
        <v>9349</v>
      </c>
    </row>
    <row r="3366" spans="1:11" ht="21" x14ac:dyDescent="0.25">
      <c r="A3366" s="11" t="str">
        <f>HYPERLINK("https://rth.dk/resources/bsgatlas/details.php?id=BSGatlas-transcript-3365","BSGatlas-transcript-3365")</f>
        <v>BSGatlas-transcript-3365</v>
      </c>
      <c r="B3366" s="1" t="s">
        <v>3132</v>
      </c>
      <c r="C3366" s="3">
        <v>3031523</v>
      </c>
      <c r="D3366" s="3">
        <v>3032420</v>
      </c>
      <c r="E3366" s="1" t="s">
        <v>9</v>
      </c>
      <c r="F3366" s="1">
        <v>0</v>
      </c>
      <c r="G3366" s="1" t="s">
        <v>4372</v>
      </c>
      <c r="H3366" s="1" t="s">
        <v>4372</v>
      </c>
      <c r="I3366" s="1" t="s">
        <v>4547</v>
      </c>
      <c r="J3366" s="1" t="s">
        <v>9352</v>
      </c>
      <c r="K3366" s="1" t="s">
        <v>318</v>
      </c>
    </row>
    <row r="3367" spans="1:11" ht="21" x14ac:dyDescent="0.25">
      <c r="A3367" s="11" t="str">
        <f>HYPERLINK("https://rth.dk/resources/bsgatlas/details.php?id=BSGatlas-transcript-3366","BSGatlas-transcript-3366")</f>
        <v>BSGatlas-transcript-3366</v>
      </c>
      <c r="B3367" s="1" t="s">
        <v>9353</v>
      </c>
      <c r="C3367" s="3">
        <v>3031523</v>
      </c>
      <c r="D3367" s="3">
        <v>3033658</v>
      </c>
      <c r="E3367" s="1" t="s">
        <v>9</v>
      </c>
      <c r="F3367" s="1">
        <v>1</v>
      </c>
      <c r="G3367" s="1">
        <v>92</v>
      </c>
      <c r="H3367" s="1" t="s">
        <v>4372</v>
      </c>
      <c r="I3367" s="1" t="s">
        <v>4386</v>
      </c>
      <c r="J3367" s="1" t="s">
        <v>9352</v>
      </c>
      <c r="K3367" s="1" t="s">
        <v>9354</v>
      </c>
    </row>
    <row r="3368" spans="1:11" ht="21" x14ac:dyDescent="0.25">
      <c r="A3368" s="11" t="str">
        <f>HYPERLINK("https://rth.dk/resources/bsgatlas/details.php?id=BSGatlas-transcript-3367","BSGatlas-transcript-3367")</f>
        <v>BSGatlas-transcript-3367</v>
      </c>
      <c r="B3368" s="1" t="s">
        <v>9353</v>
      </c>
      <c r="C3368" s="3">
        <v>3031523</v>
      </c>
      <c r="D3368" s="3">
        <v>3033705</v>
      </c>
      <c r="E3368" s="1" t="s">
        <v>9</v>
      </c>
      <c r="F3368" s="1">
        <v>1</v>
      </c>
      <c r="G3368" s="1">
        <v>92</v>
      </c>
      <c r="H3368" s="1">
        <v>48</v>
      </c>
      <c r="I3368" s="1" t="s">
        <v>4386</v>
      </c>
      <c r="J3368" s="1" t="s">
        <v>9352</v>
      </c>
      <c r="K3368" s="1" t="s">
        <v>9355</v>
      </c>
    </row>
    <row r="3369" spans="1:11" ht="21" x14ac:dyDescent="0.25">
      <c r="A3369" s="11" t="str">
        <f>HYPERLINK("https://rth.dk/resources/bsgatlas/details.php?id=BSGatlas-transcript-3368","BSGatlas-transcript-3368")</f>
        <v>BSGatlas-transcript-3368</v>
      </c>
      <c r="B3369" s="1" t="s">
        <v>3134</v>
      </c>
      <c r="C3369" s="3">
        <v>3032324</v>
      </c>
      <c r="D3369" s="3">
        <v>3033074</v>
      </c>
      <c r="E3369" s="1" t="s">
        <v>13</v>
      </c>
      <c r="F3369" s="1">
        <v>0</v>
      </c>
      <c r="G3369" s="1" t="s">
        <v>4372</v>
      </c>
      <c r="H3369" s="1" t="s">
        <v>4372</v>
      </c>
      <c r="I3369" s="1" t="s">
        <v>4373</v>
      </c>
      <c r="J3369" s="1" t="s">
        <v>9356</v>
      </c>
      <c r="K3369" s="1" t="s">
        <v>9357</v>
      </c>
    </row>
    <row r="3370" spans="1:11" ht="21" x14ac:dyDescent="0.25">
      <c r="A3370" s="11" t="str">
        <f>HYPERLINK("https://rth.dk/resources/bsgatlas/details.php?id=BSGatlas-transcript-3369","BSGatlas-transcript-3369")</f>
        <v>BSGatlas-transcript-3369</v>
      </c>
      <c r="B3370" s="1" t="s">
        <v>3133</v>
      </c>
      <c r="C3370" s="3">
        <v>3032765</v>
      </c>
      <c r="D3370" s="3">
        <v>3033658</v>
      </c>
      <c r="E3370" s="1" t="s">
        <v>9</v>
      </c>
      <c r="F3370" s="1">
        <v>0</v>
      </c>
      <c r="G3370" s="1" t="s">
        <v>4372</v>
      </c>
      <c r="H3370" s="1" t="s">
        <v>4372</v>
      </c>
      <c r="I3370" s="1" t="s">
        <v>4373</v>
      </c>
      <c r="J3370" s="1" t="s">
        <v>9358</v>
      </c>
      <c r="K3370" s="1" t="s">
        <v>9354</v>
      </c>
    </row>
    <row r="3371" spans="1:11" ht="21" x14ac:dyDescent="0.25">
      <c r="A3371" s="11" t="str">
        <f>HYPERLINK("https://rth.dk/resources/bsgatlas/details.php?id=BSGatlas-transcript-3370","BSGatlas-transcript-3370")</f>
        <v>BSGatlas-transcript-3370</v>
      </c>
      <c r="B3371" s="1" t="s">
        <v>3133</v>
      </c>
      <c r="C3371" s="3">
        <v>3032765</v>
      </c>
      <c r="D3371" s="3">
        <v>3033705</v>
      </c>
      <c r="E3371" s="1" t="s">
        <v>9</v>
      </c>
      <c r="F3371" s="1">
        <v>0</v>
      </c>
      <c r="G3371" s="1" t="s">
        <v>4372</v>
      </c>
      <c r="H3371" s="1" t="s">
        <v>4372</v>
      </c>
      <c r="I3371" s="1" t="s">
        <v>4373</v>
      </c>
      <c r="J3371" s="1" t="s">
        <v>9358</v>
      </c>
      <c r="K3371" s="1" t="s">
        <v>9355</v>
      </c>
    </row>
    <row r="3372" spans="1:11" ht="21" x14ac:dyDescent="0.25">
      <c r="A3372" s="11" t="str">
        <f>HYPERLINK("https://rth.dk/resources/bsgatlas/details.php?id=BSGatlas-transcript-3371","BSGatlas-transcript-3371")</f>
        <v>BSGatlas-transcript-3371</v>
      </c>
      <c r="B3372" s="1" t="s">
        <v>3133</v>
      </c>
      <c r="C3372" s="3">
        <v>3032910</v>
      </c>
      <c r="D3372" s="3">
        <v>3033658</v>
      </c>
      <c r="E3372" s="1" t="s">
        <v>9</v>
      </c>
      <c r="F3372" s="1">
        <v>0</v>
      </c>
      <c r="G3372" s="1" t="s">
        <v>4372</v>
      </c>
      <c r="H3372" s="1" t="s">
        <v>4372</v>
      </c>
      <c r="I3372" s="1" t="s">
        <v>4373</v>
      </c>
      <c r="J3372" s="1" t="s">
        <v>9359</v>
      </c>
      <c r="K3372" s="1" t="s">
        <v>9354</v>
      </c>
    </row>
    <row r="3373" spans="1:11" ht="21" x14ac:dyDescent="0.25">
      <c r="A3373" s="11" t="str">
        <f>HYPERLINK("https://rth.dk/resources/bsgatlas/details.php?id=BSGatlas-transcript-3372","BSGatlas-transcript-3372")</f>
        <v>BSGatlas-transcript-3372</v>
      </c>
      <c r="B3373" s="1" t="s">
        <v>3133</v>
      </c>
      <c r="C3373" s="3">
        <v>3032910</v>
      </c>
      <c r="D3373" s="3">
        <v>3033705</v>
      </c>
      <c r="E3373" s="1" t="s">
        <v>9</v>
      </c>
      <c r="F3373" s="1">
        <v>0</v>
      </c>
      <c r="G3373" s="1" t="s">
        <v>4372</v>
      </c>
      <c r="H3373" s="1" t="s">
        <v>4372</v>
      </c>
      <c r="I3373" s="1" t="s">
        <v>4373</v>
      </c>
      <c r="J3373" s="1" t="s">
        <v>9359</v>
      </c>
      <c r="K3373" s="1" t="s">
        <v>9355</v>
      </c>
    </row>
    <row r="3374" spans="1:11" ht="21" x14ac:dyDescent="0.25">
      <c r="A3374" s="11" t="str">
        <f>HYPERLINK("https://rth.dk/resources/bsgatlas/details.php?id=BSGatlas-transcript-3373","BSGatlas-transcript-3373")</f>
        <v>BSGatlas-transcript-3373</v>
      </c>
      <c r="B3374" s="1" t="s">
        <v>3133</v>
      </c>
      <c r="C3374" s="3">
        <v>3033042</v>
      </c>
      <c r="D3374" s="3">
        <v>3033658</v>
      </c>
      <c r="E3374" s="1" t="s">
        <v>9</v>
      </c>
      <c r="F3374" s="1">
        <v>0</v>
      </c>
      <c r="G3374" s="1" t="s">
        <v>4372</v>
      </c>
      <c r="H3374" s="1" t="s">
        <v>4372</v>
      </c>
      <c r="I3374" s="1" t="s">
        <v>4373</v>
      </c>
      <c r="J3374" s="1" t="s">
        <v>9360</v>
      </c>
      <c r="K3374" s="1" t="s">
        <v>9354</v>
      </c>
    </row>
    <row r="3375" spans="1:11" ht="21" x14ac:dyDescent="0.25">
      <c r="A3375" s="11" t="str">
        <f>HYPERLINK("https://rth.dk/resources/bsgatlas/details.php?id=BSGatlas-transcript-3374","BSGatlas-transcript-3374")</f>
        <v>BSGatlas-transcript-3374</v>
      </c>
      <c r="B3375" s="1" t="s">
        <v>3133</v>
      </c>
      <c r="C3375" s="3">
        <v>3033042</v>
      </c>
      <c r="D3375" s="3">
        <v>3033705</v>
      </c>
      <c r="E3375" s="1" t="s">
        <v>9</v>
      </c>
      <c r="F3375" s="1">
        <v>0</v>
      </c>
      <c r="G3375" s="1" t="s">
        <v>4372</v>
      </c>
      <c r="H3375" s="1" t="s">
        <v>4372</v>
      </c>
      <c r="I3375" s="1" t="s">
        <v>4373</v>
      </c>
      <c r="J3375" s="1" t="s">
        <v>9360</v>
      </c>
      <c r="K3375" s="1" t="s">
        <v>9355</v>
      </c>
    </row>
    <row r="3376" spans="1:11" ht="21" x14ac:dyDescent="0.25">
      <c r="A3376" s="11" t="str">
        <f>HYPERLINK("https://rth.dk/resources/bsgatlas/details.php?id=BSGatlas-transcript-3375","BSGatlas-transcript-3375")</f>
        <v>BSGatlas-transcript-3375</v>
      </c>
      <c r="B3376" s="1" t="s">
        <v>3135</v>
      </c>
      <c r="C3376" s="3">
        <v>3033651</v>
      </c>
      <c r="D3376" s="3">
        <v>3035473</v>
      </c>
      <c r="E3376" s="1" t="s">
        <v>13</v>
      </c>
      <c r="F3376" s="1">
        <v>0</v>
      </c>
      <c r="G3376" s="1" t="s">
        <v>4372</v>
      </c>
      <c r="H3376" s="1" t="s">
        <v>4372</v>
      </c>
      <c r="I3376" s="1" t="s">
        <v>4373</v>
      </c>
      <c r="J3376" s="1" t="s">
        <v>9361</v>
      </c>
      <c r="K3376" s="1" t="s">
        <v>9362</v>
      </c>
    </row>
    <row r="3377" spans="1:11" ht="21" x14ac:dyDescent="0.25">
      <c r="A3377" s="11" t="str">
        <f>HYPERLINK("https://rth.dk/resources/bsgatlas/details.php?id=BSGatlas-transcript-3376","BSGatlas-transcript-3376")</f>
        <v>BSGatlas-transcript-3376</v>
      </c>
      <c r="B3377" s="1" t="s">
        <v>3136</v>
      </c>
      <c r="C3377" s="3">
        <v>3034933</v>
      </c>
      <c r="D3377" s="3">
        <v>3036332</v>
      </c>
      <c r="E3377" s="1" t="s">
        <v>9</v>
      </c>
      <c r="F3377" s="1">
        <v>0</v>
      </c>
      <c r="G3377" s="1" t="s">
        <v>4372</v>
      </c>
      <c r="H3377" s="1" t="s">
        <v>4372</v>
      </c>
      <c r="I3377" s="1" t="s">
        <v>4373</v>
      </c>
      <c r="J3377" s="1" t="s">
        <v>9363</v>
      </c>
      <c r="K3377" s="1" t="s">
        <v>9364</v>
      </c>
    </row>
    <row r="3378" spans="1:11" ht="21" x14ac:dyDescent="0.25">
      <c r="A3378" s="11" t="str">
        <f>HYPERLINK("https://rth.dk/resources/bsgatlas/details.php?id=BSGatlas-transcript-3377","BSGatlas-transcript-3377")</f>
        <v>BSGatlas-transcript-3377</v>
      </c>
      <c r="B3378" s="1" t="s">
        <v>3136</v>
      </c>
      <c r="C3378" s="3">
        <v>3034933</v>
      </c>
      <c r="D3378" s="3">
        <v>3036382</v>
      </c>
      <c r="E3378" s="1" t="s">
        <v>9</v>
      </c>
      <c r="F3378" s="1">
        <v>0</v>
      </c>
      <c r="G3378" s="1" t="s">
        <v>4372</v>
      </c>
      <c r="H3378" s="1" t="s">
        <v>4372</v>
      </c>
      <c r="I3378" s="1" t="s">
        <v>4373</v>
      </c>
      <c r="J3378" s="1" t="s">
        <v>9363</v>
      </c>
      <c r="K3378" s="1" t="s">
        <v>9365</v>
      </c>
    </row>
    <row r="3379" spans="1:11" ht="21" x14ac:dyDescent="0.25">
      <c r="A3379" s="11" t="str">
        <f>HYPERLINK("https://rth.dk/resources/bsgatlas/details.php?id=BSGatlas-transcript-3378","BSGatlas-transcript-3378")</f>
        <v>BSGatlas-transcript-3378</v>
      </c>
      <c r="B3379" s="1" t="s">
        <v>3137</v>
      </c>
      <c r="C3379" s="3">
        <v>3035442</v>
      </c>
      <c r="D3379" s="3">
        <v>3036527</v>
      </c>
      <c r="E3379" s="1" t="s">
        <v>13</v>
      </c>
      <c r="F3379" s="1">
        <v>0</v>
      </c>
      <c r="G3379" s="1" t="s">
        <v>4372</v>
      </c>
      <c r="H3379" s="1" t="s">
        <v>4372</v>
      </c>
      <c r="I3379" s="1" t="s">
        <v>4386</v>
      </c>
      <c r="J3379" s="1" t="s">
        <v>9366</v>
      </c>
      <c r="K3379" s="1" t="s">
        <v>9367</v>
      </c>
    </row>
    <row r="3380" spans="1:11" ht="21" x14ac:dyDescent="0.25">
      <c r="A3380" s="11" t="str">
        <f>HYPERLINK("https://rth.dk/resources/bsgatlas/details.php?id=BSGatlas-transcript-3379","BSGatlas-transcript-3379")</f>
        <v>BSGatlas-transcript-3379</v>
      </c>
      <c r="B3380" s="1" t="s">
        <v>3136</v>
      </c>
      <c r="C3380" s="3">
        <v>3035548</v>
      </c>
      <c r="D3380" s="3">
        <v>3036332</v>
      </c>
      <c r="E3380" s="1" t="s">
        <v>9</v>
      </c>
      <c r="F3380" s="1">
        <v>0</v>
      </c>
      <c r="G3380" s="1" t="s">
        <v>4372</v>
      </c>
      <c r="H3380" s="1" t="s">
        <v>4372</v>
      </c>
      <c r="I3380" s="1" t="s">
        <v>4373</v>
      </c>
      <c r="J3380" s="1" t="s">
        <v>9368</v>
      </c>
      <c r="K3380" s="1" t="s">
        <v>9364</v>
      </c>
    </row>
    <row r="3381" spans="1:11" ht="21" x14ac:dyDescent="0.25">
      <c r="A3381" s="11" t="str">
        <f>HYPERLINK("https://rth.dk/resources/bsgatlas/details.php?id=BSGatlas-transcript-3380","BSGatlas-transcript-3380")</f>
        <v>BSGatlas-transcript-3380</v>
      </c>
      <c r="B3381" s="1" t="s">
        <v>3136</v>
      </c>
      <c r="C3381" s="3">
        <v>3035548</v>
      </c>
      <c r="D3381" s="3">
        <v>3036382</v>
      </c>
      <c r="E3381" s="1" t="s">
        <v>9</v>
      </c>
      <c r="F3381" s="1">
        <v>0</v>
      </c>
      <c r="G3381" s="1" t="s">
        <v>4372</v>
      </c>
      <c r="H3381" s="1" t="s">
        <v>4372</v>
      </c>
      <c r="I3381" s="1" t="s">
        <v>4373</v>
      </c>
      <c r="J3381" s="1" t="s">
        <v>9368</v>
      </c>
      <c r="K3381" s="1" t="s">
        <v>9365</v>
      </c>
    </row>
    <row r="3382" spans="1:11" ht="21" x14ac:dyDescent="0.25">
      <c r="A3382" s="11" t="str">
        <f>HYPERLINK("https://rth.dk/resources/bsgatlas/details.php?id=BSGatlas-transcript-3381","BSGatlas-transcript-3381")</f>
        <v>BSGatlas-transcript-3381</v>
      </c>
      <c r="B3382" s="1" t="s">
        <v>3137</v>
      </c>
      <c r="C3382" s="3">
        <v>3036340</v>
      </c>
      <c r="D3382" s="3">
        <v>3036527</v>
      </c>
      <c r="E3382" s="1" t="s">
        <v>13</v>
      </c>
      <c r="F3382" s="1">
        <v>0</v>
      </c>
      <c r="G3382" s="1" t="s">
        <v>4372</v>
      </c>
      <c r="H3382" s="1" t="s">
        <v>4372</v>
      </c>
      <c r="I3382" s="1" t="s">
        <v>4386</v>
      </c>
      <c r="J3382" s="1" t="s">
        <v>9366</v>
      </c>
      <c r="K3382" s="1" t="s">
        <v>9369</v>
      </c>
    </row>
    <row r="3383" spans="1:11" ht="21" x14ac:dyDescent="0.25">
      <c r="A3383" s="11" t="str">
        <f>HYPERLINK("https://rth.dk/resources/bsgatlas/details.php?id=BSGatlas-transcript-3382","BSGatlas-transcript-3382")</f>
        <v>BSGatlas-transcript-3382</v>
      </c>
      <c r="B3383" s="1" t="s">
        <v>3138</v>
      </c>
      <c r="C3383" s="3">
        <v>3036396</v>
      </c>
      <c r="D3383" s="3">
        <v>3036570</v>
      </c>
      <c r="E3383" s="1" t="s">
        <v>9</v>
      </c>
      <c r="F3383" s="1">
        <v>0</v>
      </c>
      <c r="G3383" s="1" t="s">
        <v>4372</v>
      </c>
      <c r="H3383" s="1" t="s">
        <v>4372</v>
      </c>
      <c r="I3383" s="1" t="s">
        <v>4377</v>
      </c>
      <c r="J3383" s="1" t="s">
        <v>318</v>
      </c>
      <c r="K3383" s="1" t="s">
        <v>9370</v>
      </c>
    </row>
    <row r="3384" spans="1:11" ht="21" x14ac:dyDescent="0.25">
      <c r="A3384" s="11" t="str">
        <f>HYPERLINK("https://rth.dk/resources/bsgatlas/details.php?id=BSGatlas-transcript-3383","BSGatlas-transcript-3383")</f>
        <v>BSGatlas-transcript-3383</v>
      </c>
      <c r="B3384" s="1" t="s">
        <v>3139</v>
      </c>
      <c r="C3384" s="3">
        <v>3036554</v>
      </c>
      <c r="D3384" s="3">
        <v>3038168</v>
      </c>
      <c r="E3384" s="1" t="s">
        <v>13</v>
      </c>
      <c r="F3384" s="1">
        <v>0</v>
      </c>
      <c r="G3384" s="1" t="s">
        <v>4372</v>
      </c>
      <c r="H3384" s="1" t="s">
        <v>4372</v>
      </c>
      <c r="I3384" s="1" t="s">
        <v>4373</v>
      </c>
      <c r="J3384" s="1" t="s">
        <v>9371</v>
      </c>
      <c r="K3384" s="1" t="s">
        <v>9372</v>
      </c>
    </row>
    <row r="3385" spans="1:11" ht="21" x14ac:dyDescent="0.25">
      <c r="A3385" s="11" t="str">
        <f>HYPERLINK("https://rth.dk/resources/bsgatlas/details.php?id=BSGatlas-transcript-3384","BSGatlas-transcript-3384")</f>
        <v>BSGatlas-transcript-3384</v>
      </c>
      <c r="B3385" s="1" t="s">
        <v>9373</v>
      </c>
      <c r="C3385" s="3">
        <v>3036554</v>
      </c>
      <c r="D3385" s="3">
        <v>3038203</v>
      </c>
      <c r="E3385" s="1" t="s">
        <v>13</v>
      </c>
      <c r="F3385" s="1">
        <v>1</v>
      </c>
      <c r="G3385" s="1" t="s">
        <v>4372</v>
      </c>
      <c r="H3385" s="1">
        <v>50</v>
      </c>
      <c r="I3385" s="1" t="s">
        <v>4386</v>
      </c>
      <c r="J3385" s="1" t="s">
        <v>318</v>
      </c>
      <c r="K3385" s="1" t="s">
        <v>9372</v>
      </c>
    </row>
    <row r="3386" spans="1:11" ht="21" x14ac:dyDescent="0.25">
      <c r="A3386" s="11" t="str">
        <f>HYPERLINK("https://rth.dk/resources/bsgatlas/details.php?id=BSGatlas-transcript-3385","BSGatlas-transcript-3385")</f>
        <v>BSGatlas-transcript-3385</v>
      </c>
      <c r="B3386" s="1" t="s">
        <v>9374</v>
      </c>
      <c r="C3386" s="3">
        <v>3036554</v>
      </c>
      <c r="D3386" s="3">
        <v>3039961</v>
      </c>
      <c r="E3386" s="1" t="s">
        <v>13</v>
      </c>
      <c r="F3386" s="1">
        <v>1</v>
      </c>
      <c r="G3386" s="1">
        <v>31</v>
      </c>
      <c r="H3386" s="1">
        <v>50</v>
      </c>
      <c r="I3386" s="1" t="s">
        <v>4386</v>
      </c>
      <c r="J3386" s="1" t="s">
        <v>9375</v>
      </c>
      <c r="K3386" s="1" t="s">
        <v>9372</v>
      </c>
    </row>
    <row r="3387" spans="1:11" ht="21" x14ac:dyDescent="0.25">
      <c r="A3387" s="11" t="str">
        <f>HYPERLINK("https://rth.dk/resources/bsgatlas/details.php?id=BSGatlas-transcript-3386","BSGatlas-transcript-3386")</f>
        <v>BSGatlas-transcript-3386</v>
      </c>
      <c r="B3387" s="1" t="s">
        <v>3139</v>
      </c>
      <c r="C3387" s="3">
        <v>3036603</v>
      </c>
      <c r="D3387" s="3">
        <v>3038168</v>
      </c>
      <c r="E3387" s="1" t="s">
        <v>13</v>
      </c>
      <c r="F3387" s="1">
        <v>0</v>
      </c>
      <c r="G3387" s="1" t="s">
        <v>4372</v>
      </c>
      <c r="H3387" s="1" t="s">
        <v>4372</v>
      </c>
      <c r="I3387" s="1" t="s">
        <v>4373</v>
      </c>
      <c r="J3387" s="1" t="s">
        <v>9371</v>
      </c>
      <c r="K3387" s="1" t="s">
        <v>9376</v>
      </c>
    </row>
    <row r="3388" spans="1:11" ht="21" x14ac:dyDescent="0.25">
      <c r="A3388" s="11" t="str">
        <f>HYPERLINK("https://rth.dk/resources/bsgatlas/details.php?id=BSGatlas-transcript-3387","BSGatlas-transcript-3387")</f>
        <v>BSGatlas-transcript-3387</v>
      </c>
      <c r="B3388" s="1" t="s">
        <v>9373</v>
      </c>
      <c r="C3388" s="3">
        <v>3036603</v>
      </c>
      <c r="D3388" s="3">
        <v>3038203</v>
      </c>
      <c r="E3388" s="1" t="s">
        <v>13</v>
      </c>
      <c r="F3388" s="1">
        <v>1</v>
      </c>
      <c r="G3388" s="1" t="s">
        <v>4372</v>
      </c>
      <c r="H3388" s="1" t="s">
        <v>4372</v>
      </c>
      <c r="I3388" s="1" t="s">
        <v>4386</v>
      </c>
      <c r="J3388" s="1" t="s">
        <v>318</v>
      </c>
      <c r="K3388" s="1" t="s">
        <v>9376</v>
      </c>
    </row>
    <row r="3389" spans="1:11" ht="21" x14ac:dyDescent="0.25">
      <c r="A3389" s="11" t="str">
        <f>HYPERLINK("https://rth.dk/resources/bsgatlas/details.php?id=BSGatlas-transcript-3388","BSGatlas-transcript-3388")</f>
        <v>BSGatlas-transcript-3388</v>
      </c>
      <c r="B3389" s="1" t="s">
        <v>9374</v>
      </c>
      <c r="C3389" s="3">
        <v>3036603</v>
      </c>
      <c r="D3389" s="3">
        <v>3039961</v>
      </c>
      <c r="E3389" s="1" t="s">
        <v>13</v>
      </c>
      <c r="F3389" s="1">
        <v>1</v>
      </c>
      <c r="G3389" s="1">
        <v>31</v>
      </c>
      <c r="H3389" s="1" t="s">
        <v>4372</v>
      </c>
      <c r="I3389" s="1" t="s">
        <v>4386</v>
      </c>
      <c r="J3389" s="1" t="s">
        <v>9375</v>
      </c>
      <c r="K3389" s="1" t="s">
        <v>9376</v>
      </c>
    </row>
    <row r="3390" spans="1:11" ht="21" x14ac:dyDescent="0.25">
      <c r="A3390" s="11" t="str">
        <f>HYPERLINK("https://rth.dk/resources/bsgatlas/details.php?id=BSGatlas-transcript-3389","BSGatlas-transcript-3389")</f>
        <v>BSGatlas-transcript-3389</v>
      </c>
      <c r="B3390" s="1" t="s">
        <v>9377</v>
      </c>
      <c r="C3390" s="3">
        <v>3037895</v>
      </c>
      <c r="D3390" s="3">
        <v>3039961</v>
      </c>
      <c r="E3390" s="1" t="s">
        <v>13</v>
      </c>
      <c r="F3390" s="1">
        <v>0</v>
      </c>
      <c r="G3390" s="1" t="s">
        <v>4372</v>
      </c>
      <c r="H3390" s="1" t="s">
        <v>4372</v>
      </c>
      <c r="I3390" s="1" t="s">
        <v>4377</v>
      </c>
      <c r="J3390" s="1" t="s">
        <v>9375</v>
      </c>
      <c r="K3390" s="1" t="s">
        <v>9378</v>
      </c>
    </row>
    <row r="3391" spans="1:11" ht="21" x14ac:dyDescent="0.25">
      <c r="A3391" s="11" t="str">
        <f>HYPERLINK("https://rth.dk/resources/bsgatlas/details.php?id=BSGatlas-transcript-3390","BSGatlas-transcript-3390")</f>
        <v>BSGatlas-transcript-3390</v>
      </c>
      <c r="B3391" s="1" t="s">
        <v>9379</v>
      </c>
      <c r="C3391" s="3">
        <v>3038060</v>
      </c>
      <c r="D3391" s="3">
        <v>3039961</v>
      </c>
      <c r="E3391" s="1" t="s">
        <v>13</v>
      </c>
      <c r="F3391" s="1">
        <v>0</v>
      </c>
      <c r="G3391" s="1" t="s">
        <v>4372</v>
      </c>
      <c r="H3391" s="1" t="s">
        <v>4372</v>
      </c>
      <c r="I3391" s="1" t="s">
        <v>4386</v>
      </c>
      <c r="J3391" s="1" t="s">
        <v>9375</v>
      </c>
      <c r="K3391" s="1" t="s">
        <v>318</v>
      </c>
    </row>
    <row r="3392" spans="1:11" ht="21" x14ac:dyDescent="0.25">
      <c r="A3392" s="11" t="str">
        <f>HYPERLINK("https://rth.dk/resources/bsgatlas/details.php?id=BSGatlas-transcript-3391","BSGatlas-transcript-3391")</f>
        <v>BSGatlas-transcript-3391</v>
      </c>
      <c r="B3392" s="1" t="s">
        <v>3142</v>
      </c>
      <c r="C3392" s="3">
        <v>3038213</v>
      </c>
      <c r="D3392" s="3">
        <v>3039961</v>
      </c>
      <c r="E3392" s="1" t="s">
        <v>13</v>
      </c>
      <c r="F3392" s="1">
        <v>0</v>
      </c>
      <c r="G3392" s="1" t="s">
        <v>4372</v>
      </c>
      <c r="H3392" s="1" t="s">
        <v>4372</v>
      </c>
      <c r="I3392" s="1" t="s">
        <v>4382</v>
      </c>
      <c r="J3392" s="1" t="s">
        <v>9375</v>
      </c>
      <c r="K3392" s="1" t="s">
        <v>318</v>
      </c>
    </row>
    <row r="3393" spans="1:11" ht="21" x14ac:dyDescent="0.25">
      <c r="A3393" s="11" t="str">
        <f>HYPERLINK("https://rth.dk/resources/bsgatlas/details.php?id=BSGatlas-transcript-3392","BSGatlas-transcript-3392")</f>
        <v>BSGatlas-transcript-3392</v>
      </c>
      <c r="B3393" s="1" t="s">
        <v>9380</v>
      </c>
      <c r="C3393" s="3">
        <v>3039973</v>
      </c>
      <c r="D3393" s="3">
        <v>3042594</v>
      </c>
      <c r="E3393" s="1" t="s">
        <v>9</v>
      </c>
      <c r="F3393" s="1">
        <v>1</v>
      </c>
      <c r="G3393" s="1">
        <v>120</v>
      </c>
      <c r="H3393" s="1">
        <v>40</v>
      </c>
      <c r="I3393" s="1" t="s">
        <v>4373</v>
      </c>
      <c r="J3393" s="1" t="s">
        <v>9381</v>
      </c>
      <c r="K3393" s="1" t="s">
        <v>9382</v>
      </c>
    </row>
    <row r="3394" spans="1:11" ht="21" x14ac:dyDescent="0.25">
      <c r="A3394" s="11" t="str">
        <f>HYPERLINK("https://rth.dk/resources/bsgatlas/details.php?id=BSGatlas-transcript-3393","BSGatlas-transcript-3393")</f>
        <v>BSGatlas-transcript-3393</v>
      </c>
      <c r="B3394" s="1" t="s">
        <v>9380</v>
      </c>
      <c r="C3394" s="3">
        <v>3040051</v>
      </c>
      <c r="D3394" s="3">
        <v>3042594</v>
      </c>
      <c r="E3394" s="1" t="s">
        <v>9</v>
      </c>
      <c r="F3394" s="1">
        <v>1</v>
      </c>
      <c r="G3394" s="1">
        <v>42</v>
      </c>
      <c r="H3394" s="1">
        <v>40</v>
      </c>
      <c r="I3394" s="1" t="s">
        <v>4373</v>
      </c>
      <c r="J3394" s="1" t="s">
        <v>9383</v>
      </c>
      <c r="K3394" s="1" t="s">
        <v>9382</v>
      </c>
    </row>
    <row r="3395" spans="1:11" ht="21" x14ac:dyDescent="0.25">
      <c r="A3395" s="11" t="str">
        <f>HYPERLINK("https://rth.dk/resources/bsgatlas/details.php?id=BSGatlas-transcript-3394","BSGatlas-transcript-3394")</f>
        <v>BSGatlas-transcript-3394</v>
      </c>
      <c r="B3395" s="1" t="s">
        <v>9380</v>
      </c>
      <c r="C3395" s="3">
        <v>3040092</v>
      </c>
      <c r="D3395" s="3">
        <v>3042594</v>
      </c>
      <c r="E3395" s="1" t="s">
        <v>9</v>
      </c>
      <c r="F3395" s="1">
        <v>1</v>
      </c>
      <c r="G3395" s="1" t="s">
        <v>4372</v>
      </c>
      <c r="H3395" s="1">
        <v>40</v>
      </c>
      <c r="I3395" s="1" t="s">
        <v>4373</v>
      </c>
      <c r="J3395" s="1" t="s">
        <v>9384</v>
      </c>
      <c r="K3395" s="1" t="s">
        <v>9382</v>
      </c>
    </row>
    <row r="3396" spans="1:11" ht="21" x14ac:dyDescent="0.25">
      <c r="A3396" s="11" t="str">
        <f>HYPERLINK("https://rth.dk/resources/bsgatlas/details.php?id=BSGatlas-transcript-3395","BSGatlas-transcript-3395")</f>
        <v>BSGatlas-transcript-3395</v>
      </c>
      <c r="B3396" s="1" t="s">
        <v>9385</v>
      </c>
      <c r="C3396" s="3">
        <v>3042545</v>
      </c>
      <c r="D3396" s="3">
        <v>3045219</v>
      </c>
      <c r="E3396" s="1" t="s">
        <v>13</v>
      </c>
      <c r="F3396" s="1">
        <v>1</v>
      </c>
      <c r="G3396" s="1">
        <v>51</v>
      </c>
      <c r="H3396" s="1">
        <v>22</v>
      </c>
      <c r="I3396" s="1" t="s">
        <v>4373</v>
      </c>
      <c r="J3396" s="1" t="s">
        <v>9386</v>
      </c>
      <c r="K3396" s="1" t="s">
        <v>9387</v>
      </c>
    </row>
    <row r="3397" spans="1:11" ht="21" x14ac:dyDescent="0.25">
      <c r="A3397" s="11" t="str">
        <f>HYPERLINK("https://rth.dk/resources/bsgatlas/details.php?id=BSGatlas-transcript-3396","BSGatlas-transcript-3396")</f>
        <v>BSGatlas-transcript-3396</v>
      </c>
      <c r="B3397" s="1" t="s">
        <v>9385</v>
      </c>
      <c r="C3397" s="3">
        <v>3042545</v>
      </c>
      <c r="D3397" s="3">
        <v>3045329</v>
      </c>
      <c r="E3397" s="1" t="s">
        <v>13</v>
      </c>
      <c r="F3397" s="1">
        <v>1</v>
      </c>
      <c r="G3397" s="1">
        <v>161</v>
      </c>
      <c r="H3397" s="1">
        <v>22</v>
      </c>
      <c r="I3397" s="1" t="s">
        <v>4373</v>
      </c>
      <c r="J3397" s="1" t="s">
        <v>9388</v>
      </c>
      <c r="K3397" s="1" t="s">
        <v>9387</v>
      </c>
    </row>
    <row r="3398" spans="1:11" ht="21" x14ac:dyDescent="0.25">
      <c r="A3398" s="11" t="str">
        <f>HYPERLINK("https://rth.dk/resources/bsgatlas/details.php?id=BSGatlas-transcript-3397","BSGatlas-transcript-3397")</f>
        <v>BSGatlas-transcript-3397</v>
      </c>
      <c r="B3398" s="1" t="s">
        <v>3148</v>
      </c>
      <c r="C3398" s="3">
        <v>3044115</v>
      </c>
      <c r="D3398" s="3">
        <v>3045219</v>
      </c>
      <c r="E3398" s="1" t="s">
        <v>13</v>
      </c>
      <c r="F3398" s="1">
        <v>0</v>
      </c>
      <c r="G3398" s="1" t="s">
        <v>4372</v>
      </c>
      <c r="H3398" s="1" t="s">
        <v>4372</v>
      </c>
      <c r="I3398" s="1" t="s">
        <v>4377</v>
      </c>
      <c r="J3398" s="1" t="s">
        <v>9386</v>
      </c>
      <c r="K3398" s="1" t="s">
        <v>9389</v>
      </c>
    </row>
    <row r="3399" spans="1:11" ht="21" x14ac:dyDescent="0.25">
      <c r="A3399" s="11" t="str">
        <f>HYPERLINK("https://rth.dk/resources/bsgatlas/details.php?id=BSGatlas-transcript-3398","BSGatlas-transcript-3398")</f>
        <v>BSGatlas-transcript-3398</v>
      </c>
      <c r="B3399" s="1" t="s">
        <v>3148</v>
      </c>
      <c r="C3399" s="3">
        <v>3044115</v>
      </c>
      <c r="D3399" s="3">
        <v>3045329</v>
      </c>
      <c r="E3399" s="1" t="s">
        <v>13</v>
      </c>
      <c r="F3399" s="1">
        <v>0</v>
      </c>
      <c r="G3399" s="1" t="s">
        <v>4372</v>
      </c>
      <c r="H3399" s="1" t="s">
        <v>4372</v>
      </c>
      <c r="I3399" s="1" t="s">
        <v>4377</v>
      </c>
      <c r="J3399" s="1" t="s">
        <v>9388</v>
      </c>
      <c r="K3399" s="1" t="s">
        <v>9389</v>
      </c>
    </row>
    <row r="3400" spans="1:11" ht="21" x14ac:dyDescent="0.25">
      <c r="A3400" s="11" t="str">
        <f>HYPERLINK("https://rth.dk/resources/bsgatlas/details.php?id=BSGatlas-transcript-3399","BSGatlas-transcript-3399")</f>
        <v>BSGatlas-transcript-3399</v>
      </c>
      <c r="B3400" s="1" t="s">
        <v>3148</v>
      </c>
      <c r="C3400" s="3">
        <v>3044165</v>
      </c>
      <c r="D3400" s="3">
        <v>3045219</v>
      </c>
      <c r="E3400" s="1" t="s">
        <v>13</v>
      </c>
      <c r="F3400" s="1">
        <v>0</v>
      </c>
      <c r="G3400" s="1" t="s">
        <v>4372</v>
      </c>
      <c r="H3400" s="1" t="s">
        <v>4372</v>
      </c>
      <c r="I3400" s="1" t="s">
        <v>4377</v>
      </c>
      <c r="J3400" s="1" t="s">
        <v>9386</v>
      </c>
      <c r="K3400" s="1" t="s">
        <v>9390</v>
      </c>
    </row>
    <row r="3401" spans="1:11" ht="21" x14ac:dyDescent="0.25">
      <c r="A3401" s="11" t="str">
        <f>HYPERLINK("https://rth.dk/resources/bsgatlas/details.php?id=BSGatlas-transcript-3400","BSGatlas-transcript-3400")</f>
        <v>BSGatlas-transcript-3400</v>
      </c>
      <c r="B3401" s="1" t="s">
        <v>3148</v>
      </c>
      <c r="C3401" s="3">
        <v>3044165</v>
      </c>
      <c r="D3401" s="3">
        <v>3045329</v>
      </c>
      <c r="E3401" s="1" t="s">
        <v>13</v>
      </c>
      <c r="F3401" s="1">
        <v>0</v>
      </c>
      <c r="G3401" s="1" t="s">
        <v>4372</v>
      </c>
      <c r="H3401" s="1" t="s">
        <v>4372</v>
      </c>
      <c r="I3401" s="1" t="s">
        <v>4377</v>
      </c>
      <c r="J3401" s="1" t="s">
        <v>9388</v>
      </c>
      <c r="K3401" s="1" t="s">
        <v>9390</v>
      </c>
    </row>
    <row r="3402" spans="1:11" ht="21" x14ac:dyDescent="0.25">
      <c r="A3402" s="11" t="str">
        <f>HYPERLINK("https://rth.dk/resources/bsgatlas/details.php?id=BSGatlas-transcript-3401","BSGatlas-transcript-3401")</f>
        <v>BSGatlas-transcript-3401</v>
      </c>
      <c r="B3402" s="1" t="s">
        <v>3149</v>
      </c>
      <c r="C3402" s="3">
        <v>3045414</v>
      </c>
      <c r="D3402" s="3">
        <v>3046582</v>
      </c>
      <c r="E3402" s="1" t="s">
        <v>13</v>
      </c>
      <c r="F3402" s="1">
        <v>0</v>
      </c>
      <c r="G3402" s="1" t="s">
        <v>4372</v>
      </c>
      <c r="H3402" s="1" t="s">
        <v>4372</v>
      </c>
      <c r="I3402" s="1" t="s">
        <v>4397</v>
      </c>
      <c r="J3402" s="1" t="s">
        <v>9391</v>
      </c>
      <c r="K3402" s="1" t="s">
        <v>9392</v>
      </c>
    </row>
    <row r="3403" spans="1:11" ht="21" x14ac:dyDescent="0.25">
      <c r="A3403" s="11" t="str">
        <f>HYPERLINK("https://rth.dk/resources/bsgatlas/details.php?id=BSGatlas-transcript-3402","BSGatlas-transcript-3402")</f>
        <v>BSGatlas-transcript-3402</v>
      </c>
      <c r="B3403" s="1" t="s">
        <v>3149</v>
      </c>
      <c r="C3403" s="3">
        <v>3045414</v>
      </c>
      <c r="D3403" s="3">
        <v>3046684</v>
      </c>
      <c r="E3403" s="1" t="s">
        <v>13</v>
      </c>
      <c r="F3403" s="1">
        <v>0</v>
      </c>
      <c r="G3403" s="1" t="s">
        <v>4372</v>
      </c>
      <c r="H3403" s="1" t="s">
        <v>4372</v>
      </c>
      <c r="I3403" s="1" t="s">
        <v>4397</v>
      </c>
      <c r="J3403" s="1" t="s">
        <v>9393</v>
      </c>
      <c r="K3403" s="1" t="s">
        <v>9392</v>
      </c>
    </row>
    <row r="3404" spans="1:11" ht="21" x14ac:dyDescent="0.25">
      <c r="A3404" s="11" t="str">
        <f>HYPERLINK("https://rth.dk/resources/bsgatlas/details.php?id=BSGatlas-transcript-3403","BSGatlas-transcript-3403")</f>
        <v>BSGatlas-transcript-3403</v>
      </c>
      <c r="B3404" s="1" t="s">
        <v>9394</v>
      </c>
      <c r="C3404" s="3">
        <v>3046714</v>
      </c>
      <c r="D3404" s="3">
        <v>3048041</v>
      </c>
      <c r="E3404" s="1" t="s">
        <v>13</v>
      </c>
      <c r="F3404" s="1">
        <v>2</v>
      </c>
      <c r="G3404" s="1">
        <v>27</v>
      </c>
      <c r="H3404" s="1">
        <v>44</v>
      </c>
      <c r="I3404" s="1" t="s">
        <v>4373</v>
      </c>
      <c r="J3404" s="1" t="s">
        <v>9395</v>
      </c>
      <c r="K3404" s="1" t="s">
        <v>9396</v>
      </c>
    </row>
    <row r="3405" spans="1:11" ht="21" x14ac:dyDescent="0.25">
      <c r="A3405" s="11" t="str">
        <f>HYPERLINK("https://rth.dk/resources/bsgatlas/details.php?id=BSGatlas-transcript-3404","BSGatlas-transcript-3404")</f>
        <v>BSGatlas-transcript-3404</v>
      </c>
      <c r="B3405" s="1" t="s">
        <v>9394</v>
      </c>
      <c r="C3405" s="3">
        <v>3046714</v>
      </c>
      <c r="D3405" s="3">
        <v>3048090</v>
      </c>
      <c r="E3405" s="1" t="s">
        <v>13</v>
      </c>
      <c r="F3405" s="1">
        <v>2</v>
      </c>
      <c r="G3405" s="1">
        <v>76</v>
      </c>
      <c r="H3405" s="1">
        <v>44</v>
      </c>
      <c r="I3405" s="1" t="s">
        <v>4373</v>
      </c>
      <c r="J3405" s="1" t="s">
        <v>9397</v>
      </c>
      <c r="K3405" s="1" t="s">
        <v>9396</v>
      </c>
    </row>
    <row r="3406" spans="1:11" ht="21" x14ac:dyDescent="0.25">
      <c r="A3406" s="11" t="str">
        <f>HYPERLINK("https://rth.dk/resources/bsgatlas/details.php?id=BSGatlas-transcript-3405","BSGatlas-transcript-3405")</f>
        <v>BSGatlas-transcript-3405</v>
      </c>
      <c r="B3406" s="1" t="s">
        <v>3153</v>
      </c>
      <c r="C3406" s="3">
        <v>3048140</v>
      </c>
      <c r="D3406" s="3">
        <v>3049501</v>
      </c>
      <c r="E3406" s="1" t="s">
        <v>13</v>
      </c>
      <c r="F3406" s="1">
        <v>0</v>
      </c>
      <c r="G3406" s="1" t="s">
        <v>4372</v>
      </c>
      <c r="H3406" s="1" t="s">
        <v>4372</v>
      </c>
      <c r="I3406" s="1" t="s">
        <v>4373</v>
      </c>
      <c r="J3406" s="1" t="s">
        <v>9398</v>
      </c>
      <c r="K3406" s="1" t="s">
        <v>9399</v>
      </c>
    </row>
    <row r="3407" spans="1:11" ht="21" x14ac:dyDescent="0.25">
      <c r="A3407" s="11" t="str">
        <f>HYPERLINK("https://rth.dk/resources/bsgatlas/details.php?id=BSGatlas-transcript-3406","BSGatlas-transcript-3406")</f>
        <v>BSGatlas-transcript-3406</v>
      </c>
      <c r="B3407" s="1" t="s">
        <v>3153</v>
      </c>
      <c r="C3407" s="3">
        <v>3048140</v>
      </c>
      <c r="D3407" s="3">
        <v>3049699</v>
      </c>
      <c r="E3407" s="1" t="s">
        <v>13</v>
      </c>
      <c r="F3407" s="1">
        <v>0</v>
      </c>
      <c r="G3407" s="1" t="s">
        <v>4372</v>
      </c>
      <c r="H3407" s="1" t="s">
        <v>4372</v>
      </c>
      <c r="I3407" s="1" t="s">
        <v>4373</v>
      </c>
      <c r="J3407" s="1" t="s">
        <v>9400</v>
      </c>
      <c r="K3407" s="1" t="s">
        <v>9399</v>
      </c>
    </row>
    <row r="3408" spans="1:11" ht="21" x14ac:dyDescent="0.25">
      <c r="A3408" s="11" t="str">
        <f>HYPERLINK("https://rth.dk/resources/bsgatlas/details.php?id=BSGatlas-transcript-3407","BSGatlas-transcript-3407")</f>
        <v>BSGatlas-transcript-3407</v>
      </c>
      <c r="B3408" s="1" t="s">
        <v>9401</v>
      </c>
      <c r="C3408" s="3">
        <v>3048140</v>
      </c>
      <c r="D3408" s="3">
        <v>3052627</v>
      </c>
      <c r="E3408" s="1" t="s">
        <v>13</v>
      </c>
      <c r="F3408" s="1">
        <v>1</v>
      </c>
      <c r="G3408" s="1">
        <v>45</v>
      </c>
      <c r="H3408" s="1">
        <v>38</v>
      </c>
      <c r="I3408" s="1" t="s">
        <v>4386</v>
      </c>
      <c r="J3408" s="1" t="s">
        <v>9402</v>
      </c>
      <c r="K3408" s="1" t="s">
        <v>9399</v>
      </c>
    </row>
    <row r="3409" spans="1:11" ht="21" x14ac:dyDescent="0.25">
      <c r="A3409" s="11" t="str">
        <f>HYPERLINK("https://rth.dk/resources/bsgatlas/details.php?id=BSGatlas-transcript-3408","BSGatlas-transcript-3408")</f>
        <v>BSGatlas-transcript-3408</v>
      </c>
      <c r="B3409" s="1" t="s">
        <v>9403</v>
      </c>
      <c r="C3409" s="3">
        <v>3052704</v>
      </c>
      <c r="D3409" s="3">
        <v>3054567</v>
      </c>
      <c r="E3409" s="1" t="s">
        <v>13</v>
      </c>
      <c r="F3409" s="1">
        <v>0</v>
      </c>
      <c r="G3409" s="1" t="s">
        <v>4372</v>
      </c>
      <c r="H3409" s="1" t="s">
        <v>4372</v>
      </c>
      <c r="I3409" s="1" t="s">
        <v>4397</v>
      </c>
      <c r="J3409" s="1" t="s">
        <v>9404</v>
      </c>
      <c r="K3409" s="1" t="s">
        <v>9405</v>
      </c>
    </row>
    <row r="3410" spans="1:11" ht="21" x14ac:dyDescent="0.25">
      <c r="A3410" s="11" t="str">
        <f>HYPERLINK("https://rth.dk/resources/bsgatlas/details.php?id=BSGatlas-transcript-3409","BSGatlas-transcript-3409")</f>
        <v>BSGatlas-transcript-3409</v>
      </c>
      <c r="B3410" s="1" t="s">
        <v>4760</v>
      </c>
      <c r="C3410" s="3">
        <v>3054550</v>
      </c>
      <c r="D3410" s="3">
        <v>3054666</v>
      </c>
      <c r="E3410" s="1" t="s">
        <v>13</v>
      </c>
      <c r="F3410" s="1">
        <v>0</v>
      </c>
      <c r="G3410" s="1" t="s">
        <v>4372</v>
      </c>
      <c r="H3410" s="1" t="s">
        <v>4372</v>
      </c>
      <c r="I3410" s="1" t="s">
        <v>4377</v>
      </c>
      <c r="J3410" s="1" t="s">
        <v>9406</v>
      </c>
      <c r="K3410" s="1" t="s">
        <v>318</v>
      </c>
    </row>
    <row r="3411" spans="1:11" ht="21" x14ac:dyDescent="0.25">
      <c r="A3411" s="11" t="str">
        <f>HYPERLINK("https://rth.dk/resources/bsgatlas/details.php?id=BSGatlas-transcript-3410","BSGatlas-transcript-3410")</f>
        <v>BSGatlas-transcript-3410</v>
      </c>
      <c r="B3411" s="1" t="s">
        <v>3158</v>
      </c>
      <c r="C3411" s="3">
        <v>3054685</v>
      </c>
      <c r="D3411" s="3">
        <v>3055954</v>
      </c>
      <c r="E3411" s="1" t="s">
        <v>9</v>
      </c>
      <c r="F3411" s="1">
        <v>0</v>
      </c>
      <c r="G3411" s="1" t="s">
        <v>4372</v>
      </c>
      <c r="H3411" s="1" t="s">
        <v>4372</v>
      </c>
      <c r="I3411" s="1" t="s">
        <v>4397</v>
      </c>
      <c r="J3411" s="1" t="s">
        <v>9407</v>
      </c>
      <c r="K3411" s="1" t="s">
        <v>9408</v>
      </c>
    </row>
    <row r="3412" spans="1:11" ht="21" x14ac:dyDescent="0.25">
      <c r="A3412" s="11" t="str">
        <f>HYPERLINK("https://rth.dk/resources/bsgatlas/details.php?id=BSGatlas-transcript-3411","BSGatlas-transcript-3411")</f>
        <v>BSGatlas-transcript-3411</v>
      </c>
      <c r="B3412" s="1" t="s">
        <v>3159</v>
      </c>
      <c r="C3412" s="3">
        <v>3055247</v>
      </c>
      <c r="D3412" s="3">
        <v>3056346</v>
      </c>
      <c r="E3412" s="1" t="s">
        <v>13</v>
      </c>
      <c r="F3412" s="1">
        <v>0</v>
      </c>
      <c r="G3412" s="1" t="s">
        <v>4372</v>
      </c>
      <c r="H3412" s="1" t="s">
        <v>4372</v>
      </c>
      <c r="I3412" s="1" t="s">
        <v>4397</v>
      </c>
      <c r="J3412" s="1" t="s">
        <v>9409</v>
      </c>
      <c r="K3412" s="1" t="s">
        <v>9410</v>
      </c>
    </row>
    <row r="3413" spans="1:11" ht="21" x14ac:dyDescent="0.25">
      <c r="A3413" s="11" t="str">
        <f>HYPERLINK("https://rth.dk/resources/bsgatlas/details.php?id=BSGatlas-transcript-3412","BSGatlas-transcript-3412")</f>
        <v>BSGatlas-transcript-3412</v>
      </c>
      <c r="B3413" s="1" t="s">
        <v>3160</v>
      </c>
      <c r="C3413" s="3">
        <v>3056440</v>
      </c>
      <c r="D3413" s="3">
        <v>3056818</v>
      </c>
      <c r="E3413" s="1" t="s">
        <v>9</v>
      </c>
      <c r="F3413" s="1">
        <v>0</v>
      </c>
      <c r="G3413" s="1" t="s">
        <v>4372</v>
      </c>
      <c r="H3413" s="1" t="s">
        <v>4372</v>
      </c>
      <c r="I3413" s="1" t="s">
        <v>4397</v>
      </c>
      <c r="J3413" s="1" t="s">
        <v>9411</v>
      </c>
      <c r="K3413" s="1" t="s">
        <v>9412</v>
      </c>
    </row>
    <row r="3414" spans="1:11" ht="21" x14ac:dyDescent="0.25">
      <c r="A3414" s="11" t="str">
        <f>HYPERLINK("https://rth.dk/resources/bsgatlas/details.php?id=BSGatlas-transcript-3413","BSGatlas-transcript-3413")</f>
        <v>BSGatlas-transcript-3413</v>
      </c>
      <c r="B3414" s="1" t="s">
        <v>3161</v>
      </c>
      <c r="C3414" s="3">
        <v>3056805</v>
      </c>
      <c r="D3414" s="3">
        <v>3058588</v>
      </c>
      <c r="E3414" s="1" t="s">
        <v>13</v>
      </c>
      <c r="F3414" s="1">
        <v>0</v>
      </c>
      <c r="G3414" s="1" t="s">
        <v>4372</v>
      </c>
      <c r="H3414" s="1" t="s">
        <v>4372</v>
      </c>
      <c r="I3414" s="1" t="s">
        <v>4373</v>
      </c>
      <c r="J3414" s="1" t="s">
        <v>9413</v>
      </c>
      <c r="K3414" s="1" t="s">
        <v>9414</v>
      </c>
    </row>
    <row r="3415" spans="1:11" ht="21" x14ac:dyDescent="0.25">
      <c r="A3415" s="11" t="str">
        <f>HYPERLINK("https://rth.dk/resources/bsgatlas/details.php?id=BSGatlas-transcript-3414","BSGatlas-transcript-3414")</f>
        <v>BSGatlas-transcript-3414</v>
      </c>
      <c r="B3415" s="1" t="s">
        <v>9415</v>
      </c>
      <c r="C3415" s="3">
        <v>3056805</v>
      </c>
      <c r="D3415" s="3">
        <v>3059490</v>
      </c>
      <c r="E3415" s="1" t="s">
        <v>13</v>
      </c>
      <c r="F3415" s="1">
        <v>1</v>
      </c>
      <c r="G3415" s="1">
        <v>90</v>
      </c>
      <c r="H3415" s="1">
        <v>45</v>
      </c>
      <c r="I3415" s="1" t="s">
        <v>4386</v>
      </c>
      <c r="J3415" s="1" t="s">
        <v>9416</v>
      </c>
      <c r="K3415" s="1" t="s">
        <v>9414</v>
      </c>
    </row>
    <row r="3416" spans="1:11" ht="21" x14ac:dyDescent="0.25">
      <c r="A3416" s="11" t="str">
        <f>HYPERLINK("https://rth.dk/resources/bsgatlas/details.php?id=BSGatlas-transcript-3415","BSGatlas-transcript-3415")</f>
        <v>BSGatlas-transcript-3415</v>
      </c>
      <c r="B3416" s="1" t="s">
        <v>3161</v>
      </c>
      <c r="C3416" s="3">
        <v>3056849</v>
      </c>
      <c r="D3416" s="3">
        <v>3058588</v>
      </c>
      <c r="E3416" s="1" t="s">
        <v>13</v>
      </c>
      <c r="F3416" s="1">
        <v>0</v>
      </c>
      <c r="G3416" s="1" t="s">
        <v>4372</v>
      </c>
      <c r="H3416" s="1" t="s">
        <v>4372</v>
      </c>
      <c r="I3416" s="1" t="s">
        <v>4373</v>
      </c>
      <c r="J3416" s="1" t="s">
        <v>9413</v>
      </c>
      <c r="K3416" s="1" t="s">
        <v>9417</v>
      </c>
    </row>
    <row r="3417" spans="1:11" ht="21" x14ac:dyDescent="0.25">
      <c r="A3417" s="11" t="str">
        <f>HYPERLINK("https://rth.dk/resources/bsgatlas/details.php?id=BSGatlas-transcript-3416","BSGatlas-transcript-3416")</f>
        <v>BSGatlas-transcript-3416</v>
      </c>
      <c r="B3417" s="1" t="s">
        <v>9415</v>
      </c>
      <c r="C3417" s="3">
        <v>3056849</v>
      </c>
      <c r="D3417" s="3">
        <v>3059490</v>
      </c>
      <c r="E3417" s="1" t="s">
        <v>13</v>
      </c>
      <c r="F3417" s="1">
        <v>1</v>
      </c>
      <c r="G3417" s="1">
        <v>90</v>
      </c>
      <c r="H3417" s="1" t="s">
        <v>4372</v>
      </c>
      <c r="I3417" s="1" t="s">
        <v>4386</v>
      </c>
      <c r="J3417" s="1" t="s">
        <v>9416</v>
      </c>
      <c r="K3417" s="1" t="s">
        <v>9417</v>
      </c>
    </row>
    <row r="3418" spans="1:11" ht="21" x14ac:dyDescent="0.25">
      <c r="A3418" s="11" t="str">
        <f>HYPERLINK("https://rth.dk/resources/bsgatlas/details.php?id=BSGatlas-transcript-3417","BSGatlas-transcript-3417")</f>
        <v>BSGatlas-transcript-3417</v>
      </c>
      <c r="B3418" s="1" t="s">
        <v>3163</v>
      </c>
      <c r="C3418" s="3">
        <v>3059509</v>
      </c>
      <c r="D3418" s="3">
        <v>3060223</v>
      </c>
      <c r="E3418" s="1" t="s">
        <v>13</v>
      </c>
      <c r="F3418" s="1">
        <v>0</v>
      </c>
      <c r="G3418" s="1" t="s">
        <v>4372</v>
      </c>
      <c r="H3418" s="1" t="s">
        <v>4372</v>
      </c>
      <c r="I3418" s="1" t="s">
        <v>4373</v>
      </c>
      <c r="J3418" s="1" t="s">
        <v>9418</v>
      </c>
      <c r="K3418" s="1" t="s">
        <v>9419</v>
      </c>
    </row>
    <row r="3419" spans="1:11" ht="21" x14ac:dyDescent="0.25">
      <c r="A3419" s="11" t="str">
        <f>HYPERLINK("https://rth.dk/resources/bsgatlas/details.php?id=BSGatlas-transcript-3418","BSGatlas-transcript-3418")</f>
        <v>BSGatlas-transcript-3418</v>
      </c>
      <c r="B3419" s="1" t="s">
        <v>3163</v>
      </c>
      <c r="C3419" s="3">
        <v>3059547</v>
      </c>
      <c r="D3419" s="3">
        <v>3060223</v>
      </c>
      <c r="E3419" s="1" t="s">
        <v>13</v>
      </c>
      <c r="F3419" s="1">
        <v>0</v>
      </c>
      <c r="G3419" s="1" t="s">
        <v>4372</v>
      </c>
      <c r="H3419" s="1" t="s">
        <v>4372</v>
      </c>
      <c r="I3419" s="1" t="s">
        <v>4373</v>
      </c>
      <c r="J3419" s="1" t="s">
        <v>9418</v>
      </c>
      <c r="K3419" s="1" t="s">
        <v>9420</v>
      </c>
    </row>
    <row r="3420" spans="1:11" ht="21" x14ac:dyDescent="0.25">
      <c r="A3420" s="11" t="str">
        <f>HYPERLINK("https://rth.dk/resources/bsgatlas/details.php?id=BSGatlas-transcript-3419","BSGatlas-transcript-3419")</f>
        <v>BSGatlas-transcript-3419</v>
      </c>
      <c r="B3420" s="1" t="s">
        <v>3164</v>
      </c>
      <c r="C3420" s="3">
        <v>3060360</v>
      </c>
      <c r="D3420" s="3">
        <v>3060844</v>
      </c>
      <c r="E3420" s="1" t="s">
        <v>9</v>
      </c>
      <c r="F3420" s="1">
        <v>0</v>
      </c>
      <c r="G3420" s="1" t="s">
        <v>4372</v>
      </c>
      <c r="H3420" s="1" t="s">
        <v>4372</v>
      </c>
      <c r="I3420" s="1" t="s">
        <v>4397</v>
      </c>
      <c r="J3420" s="1" t="s">
        <v>9421</v>
      </c>
      <c r="K3420" s="1" t="s">
        <v>9422</v>
      </c>
    </row>
    <row r="3421" spans="1:11" ht="21" x14ac:dyDescent="0.25">
      <c r="A3421" s="11" t="str">
        <f>HYPERLINK("https://rth.dk/resources/bsgatlas/details.php?id=BSGatlas-transcript-3420","BSGatlas-transcript-3420")</f>
        <v>BSGatlas-transcript-3420</v>
      </c>
      <c r="B3421" s="1" t="s">
        <v>3165</v>
      </c>
      <c r="C3421" s="3">
        <v>3060674</v>
      </c>
      <c r="D3421" s="3">
        <v>3061624</v>
      </c>
      <c r="E3421" s="1" t="s">
        <v>13</v>
      </c>
      <c r="F3421" s="1">
        <v>0</v>
      </c>
      <c r="G3421" s="1" t="s">
        <v>4372</v>
      </c>
      <c r="H3421" s="1" t="s">
        <v>4372</v>
      </c>
      <c r="I3421" s="1" t="s">
        <v>4386</v>
      </c>
      <c r="J3421" s="1" t="s">
        <v>9423</v>
      </c>
      <c r="K3421" s="1" t="s">
        <v>318</v>
      </c>
    </row>
    <row r="3422" spans="1:11" ht="21" x14ac:dyDescent="0.25">
      <c r="A3422" s="11" t="str">
        <f>HYPERLINK("https://rth.dk/resources/bsgatlas/details.php?id=BSGatlas-transcript-3421","BSGatlas-transcript-3421")</f>
        <v>BSGatlas-transcript-3421</v>
      </c>
      <c r="B3422" s="1" t="s">
        <v>3166</v>
      </c>
      <c r="C3422" s="3">
        <v>3061564</v>
      </c>
      <c r="D3422" s="3">
        <v>3063807</v>
      </c>
      <c r="E3422" s="1" t="s">
        <v>13</v>
      </c>
      <c r="F3422" s="1">
        <v>0</v>
      </c>
      <c r="G3422" s="1" t="s">
        <v>4372</v>
      </c>
      <c r="H3422" s="1" t="s">
        <v>4372</v>
      </c>
      <c r="I3422" s="1" t="s">
        <v>4373</v>
      </c>
      <c r="J3422" s="1" t="s">
        <v>318</v>
      </c>
      <c r="K3422" s="1" t="s">
        <v>9424</v>
      </c>
    </row>
    <row r="3423" spans="1:11" ht="21" x14ac:dyDescent="0.25">
      <c r="A3423" s="11" t="str">
        <f>HYPERLINK("https://rth.dk/resources/bsgatlas/details.php?id=BSGatlas-transcript-3422","BSGatlas-transcript-3422")</f>
        <v>BSGatlas-transcript-3422</v>
      </c>
      <c r="B3423" s="1" t="s">
        <v>9425</v>
      </c>
      <c r="C3423" s="3">
        <v>3061564</v>
      </c>
      <c r="D3423" s="3">
        <v>3065725</v>
      </c>
      <c r="E3423" s="1" t="s">
        <v>13</v>
      </c>
      <c r="F3423" s="1">
        <v>2</v>
      </c>
      <c r="G3423" s="1" t="s">
        <v>4372</v>
      </c>
      <c r="H3423" s="1">
        <v>88</v>
      </c>
      <c r="I3423" s="1" t="s">
        <v>4377</v>
      </c>
      <c r="J3423" s="1" t="s">
        <v>9426</v>
      </c>
      <c r="K3423" s="1" t="s">
        <v>9424</v>
      </c>
    </row>
    <row r="3424" spans="1:11" ht="21" x14ac:dyDescent="0.25">
      <c r="A3424" s="11" t="str">
        <f>HYPERLINK("https://rth.dk/resources/bsgatlas/details.php?id=BSGatlas-transcript-3423","BSGatlas-transcript-3423")</f>
        <v>BSGatlas-transcript-3423</v>
      </c>
      <c r="B3424" s="1" t="s">
        <v>9427</v>
      </c>
      <c r="C3424" s="3">
        <v>3061564</v>
      </c>
      <c r="D3424" s="3">
        <v>3066337</v>
      </c>
      <c r="E3424" s="1" t="s">
        <v>13</v>
      </c>
      <c r="F3424" s="1">
        <v>3</v>
      </c>
      <c r="G3424" s="1">
        <v>36</v>
      </c>
      <c r="H3424" s="1">
        <v>88</v>
      </c>
      <c r="I3424" s="1" t="s">
        <v>4386</v>
      </c>
      <c r="J3424" s="1" t="s">
        <v>9428</v>
      </c>
      <c r="K3424" s="1" t="s">
        <v>9424</v>
      </c>
    </row>
    <row r="3425" spans="1:11" ht="21" x14ac:dyDescent="0.25">
      <c r="A3425" s="11" t="str">
        <f>HYPERLINK("https://rth.dk/resources/bsgatlas/details.php?id=BSGatlas-transcript-3424","BSGatlas-transcript-3424")</f>
        <v>BSGatlas-transcript-3424</v>
      </c>
      <c r="B3425" s="1" t="s">
        <v>9427</v>
      </c>
      <c r="C3425" s="3">
        <v>3061564</v>
      </c>
      <c r="D3425" s="3">
        <v>3066420</v>
      </c>
      <c r="E3425" s="1" t="s">
        <v>13</v>
      </c>
      <c r="F3425" s="1">
        <v>3</v>
      </c>
      <c r="G3425" s="1">
        <v>119</v>
      </c>
      <c r="H3425" s="1">
        <v>88</v>
      </c>
      <c r="I3425" s="1" t="s">
        <v>4386</v>
      </c>
      <c r="J3425" s="1" t="s">
        <v>9429</v>
      </c>
      <c r="K3425" s="1" t="s">
        <v>9424</v>
      </c>
    </row>
    <row r="3426" spans="1:11" ht="21" x14ac:dyDescent="0.25">
      <c r="A3426" s="11" t="str">
        <f>HYPERLINK("https://rth.dk/resources/bsgatlas/details.php?id=BSGatlas-transcript-3425","BSGatlas-transcript-3425")</f>
        <v>BSGatlas-transcript-3425</v>
      </c>
      <c r="B3426" s="1" t="s">
        <v>3170</v>
      </c>
      <c r="C3426" s="3">
        <v>3066168</v>
      </c>
      <c r="D3426" s="3">
        <v>3067386</v>
      </c>
      <c r="E3426" s="1" t="s">
        <v>9</v>
      </c>
      <c r="F3426" s="1">
        <v>0</v>
      </c>
      <c r="G3426" s="1" t="s">
        <v>4372</v>
      </c>
      <c r="H3426" s="1" t="s">
        <v>4372</v>
      </c>
      <c r="I3426" s="1" t="s">
        <v>4397</v>
      </c>
      <c r="J3426" s="1" t="s">
        <v>9430</v>
      </c>
      <c r="K3426" s="1" t="s">
        <v>9431</v>
      </c>
    </row>
    <row r="3427" spans="1:11" ht="21" x14ac:dyDescent="0.25">
      <c r="A3427" s="11" t="str">
        <f>HYPERLINK("https://rth.dk/resources/bsgatlas/details.php?id=BSGatlas-transcript-3426","BSGatlas-transcript-3426")</f>
        <v>BSGatlas-transcript-3426</v>
      </c>
      <c r="B3427" s="1" t="s">
        <v>3170</v>
      </c>
      <c r="C3427" s="3">
        <v>3066410</v>
      </c>
      <c r="D3427" s="3">
        <v>3067386</v>
      </c>
      <c r="E3427" s="1" t="s">
        <v>9</v>
      </c>
      <c r="F3427" s="1">
        <v>0</v>
      </c>
      <c r="G3427" s="1" t="s">
        <v>4372</v>
      </c>
      <c r="H3427" s="1" t="s">
        <v>4372</v>
      </c>
      <c r="I3427" s="1" t="s">
        <v>4397</v>
      </c>
      <c r="J3427" s="1" t="s">
        <v>9432</v>
      </c>
      <c r="K3427" s="1" t="s">
        <v>9431</v>
      </c>
    </row>
    <row r="3428" spans="1:11" ht="21" x14ac:dyDescent="0.25">
      <c r="A3428" s="11" t="str">
        <f>HYPERLINK("https://rth.dk/resources/bsgatlas/details.php?id=BSGatlas-transcript-3427","BSGatlas-transcript-3427")</f>
        <v>BSGatlas-transcript-3427</v>
      </c>
      <c r="B3428" s="1" t="s">
        <v>3171</v>
      </c>
      <c r="C3428" s="3">
        <v>3067377</v>
      </c>
      <c r="D3428" s="3">
        <v>3069252</v>
      </c>
      <c r="E3428" s="1" t="s">
        <v>13</v>
      </c>
      <c r="F3428" s="1">
        <v>0</v>
      </c>
      <c r="G3428" s="1" t="s">
        <v>4372</v>
      </c>
      <c r="H3428" s="1" t="s">
        <v>4372</v>
      </c>
      <c r="I3428" s="1" t="s">
        <v>4373</v>
      </c>
      <c r="J3428" s="1" t="s">
        <v>9433</v>
      </c>
      <c r="K3428" s="1" t="s">
        <v>9434</v>
      </c>
    </row>
    <row r="3429" spans="1:11" ht="21" x14ac:dyDescent="0.25">
      <c r="A3429" s="11" t="str">
        <f>HYPERLINK("https://rth.dk/resources/bsgatlas/details.php?id=BSGatlas-transcript-3428","BSGatlas-transcript-3428")</f>
        <v>BSGatlas-transcript-3428</v>
      </c>
      <c r="B3429" s="1" t="s">
        <v>3172</v>
      </c>
      <c r="C3429" s="3">
        <v>3068870</v>
      </c>
      <c r="D3429" s="3">
        <v>3070206</v>
      </c>
      <c r="E3429" s="1" t="s">
        <v>9</v>
      </c>
      <c r="F3429" s="1">
        <v>0</v>
      </c>
      <c r="G3429" s="1" t="s">
        <v>4372</v>
      </c>
      <c r="H3429" s="1" t="s">
        <v>4372</v>
      </c>
      <c r="I3429" s="1" t="s">
        <v>4373</v>
      </c>
      <c r="J3429" s="1" t="s">
        <v>9435</v>
      </c>
      <c r="K3429" s="1" t="s">
        <v>9436</v>
      </c>
    </row>
    <row r="3430" spans="1:11" ht="21" x14ac:dyDescent="0.25">
      <c r="A3430" s="11" t="str">
        <f>HYPERLINK("https://rth.dk/resources/bsgatlas/details.php?id=BSGatlas-transcript-3429","BSGatlas-transcript-3429")</f>
        <v>BSGatlas-transcript-3429</v>
      </c>
      <c r="B3430" s="1" t="s">
        <v>3172</v>
      </c>
      <c r="C3430" s="3">
        <v>3068870</v>
      </c>
      <c r="D3430" s="3">
        <v>3070256</v>
      </c>
      <c r="E3430" s="1" t="s">
        <v>9</v>
      </c>
      <c r="F3430" s="1">
        <v>0</v>
      </c>
      <c r="G3430" s="1" t="s">
        <v>4372</v>
      </c>
      <c r="H3430" s="1" t="s">
        <v>4372</v>
      </c>
      <c r="I3430" s="1" t="s">
        <v>4373</v>
      </c>
      <c r="J3430" s="1" t="s">
        <v>9435</v>
      </c>
      <c r="K3430" s="1" t="s">
        <v>9437</v>
      </c>
    </row>
    <row r="3431" spans="1:11" ht="21" x14ac:dyDescent="0.25">
      <c r="A3431" s="11" t="str">
        <f>HYPERLINK("https://rth.dk/resources/bsgatlas/details.php?id=BSGatlas-transcript-3430","BSGatlas-transcript-3430")</f>
        <v>BSGatlas-transcript-3430</v>
      </c>
      <c r="B3431" s="1" t="s">
        <v>9438</v>
      </c>
      <c r="C3431" s="3">
        <v>3070221</v>
      </c>
      <c r="D3431" s="3">
        <v>3072141</v>
      </c>
      <c r="E3431" s="1" t="s">
        <v>13</v>
      </c>
      <c r="F3431" s="1">
        <v>0</v>
      </c>
      <c r="G3431" s="1" t="s">
        <v>4372</v>
      </c>
      <c r="H3431" s="1" t="s">
        <v>4372</v>
      </c>
      <c r="I3431" s="1" t="s">
        <v>4373</v>
      </c>
      <c r="J3431" s="1" t="s">
        <v>9439</v>
      </c>
      <c r="K3431" s="1" t="s">
        <v>9440</v>
      </c>
    </row>
    <row r="3432" spans="1:11" ht="21" x14ac:dyDescent="0.25">
      <c r="A3432" s="11" t="str">
        <f>HYPERLINK("https://rth.dk/resources/bsgatlas/details.php?id=BSGatlas-transcript-3431","BSGatlas-transcript-3431")</f>
        <v>BSGatlas-transcript-3431</v>
      </c>
      <c r="B3432" s="1" t="s">
        <v>9438</v>
      </c>
      <c r="C3432" s="3">
        <v>3070246</v>
      </c>
      <c r="D3432" s="3">
        <v>3072141</v>
      </c>
      <c r="E3432" s="1" t="s">
        <v>13</v>
      </c>
      <c r="F3432" s="1">
        <v>0</v>
      </c>
      <c r="G3432" s="1" t="s">
        <v>4372</v>
      </c>
      <c r="H3432" s="1" t="s">
        <v>4372</v>
      </c>
      <c r="I3432" s="1" t="s">
        <v>4373</v>
      </c>
      <c r="J3432" s="1" t="s">
        <v>9439</v>
      </c>
      <c r="K3432" s="1" t="s">
        <v>9441</v>
      </c>
    </row>
    <row r="3433" spans="1:11" ht="21" x14ac:dyDescent="0.25">
      <c r="A3433" s="11" t="str">
        <f>HYPERLINK("https://rth.dk/resources/bsgatlas/details.php?id=BSGatlas-transcript-3432","BSGatlas-transcript-3432")</f>
        <v>BSGatlas-transcript-3432</v>
      </c>
      <c r="B3433" s="1" t="s">
        <v>3175</v>
      </c>
      <c r="C3433" s="3">
        <v>3070547</v>
      </c>
      <c r="D3433" s="3">
        <v>3072361</v>
      </c>
      <c r="E3433" s="1" t="s">
        <v>9</v>
      </c>
      <c r="F3433" s="1">
        <v>0</v>
      </c>
      <c r="G3433" s="1" t="s">
        <v>4372</v>
      </c>
      <c r="H3433" s="1" t="s">
        <v>4372</v>
      </c>
      <c r="I3433" s="1" t="s">
        <v>4377</v>
      </c>
      <c r="J3433" s="1" t="s">
        <v>9442</v>
      </c>
      <c r="K3433" s="1" t="s">
        <v>318</v>
      </c>
    </row>
    <row r="3434" spans="1:11" ht="21" x14ac:dyDescent="0.25">
      <c r="A3434" s="11" t="str">
        <f>HYPERLINK("https://rth.dk/resources/bsgatlas/details.php?id=BSGatlas-transcript-3433","BSGatlas-transcript-3433")</f>
        <v>BSGatlas-transcript-3433</v>
      </c>
      <c r="B3434" s="1" t="s">
        <v>3175</v>
      </c>
      <c r="C3434" s="3">
        <v>3072180</v>
      </c>
      <c r="D3434" s="3">
        <v>3072361</v>
      </c>
      <c r="E3434" s="1" t="s">
        <v>9</v>
      </c>
      <c r="F3434" s="1">
        <v>0</v>
      </c>
      <c r="G3434" s="1" t="s">
        <v>4372</v>
      </c>
      <c r="H3434" s="1" t="s">
        <v>4372</v>
      </c>
      <c r="I3434" s="1" t="s">
        <v>4377</v>
      </c>
      <c r="J3434" s="1" t="s">
        <v>9443</v>
      </c>
      <c r="K3434" s="1" t="s">
        <v>318</v>
      </c>
    </row>
    <row r="3435" spans="1:11" ht="21" x14ac:dyDescent="0.25">
      <c r="A3435" s="11" t="str">
        <f>HYPERLINK("https://rth.dk/resources/bsgatlas/details.php?id=BSGatlas-transcript-3434","BSGatlas-transcript-3434")</f>
        <v>BSGatlas-transcript-3434</v>
      </c>
      <c r="B3435" s="1" t="s">
        <v>3175</v>
      </c>
      <c r="C3435" s="3">
        <v>3072289</v>
      </c>
      <c r="D3435" s="3">
        <v>3072361</v>
      </c>
      <c r="E3435" s="1" t="s">
        <v>9</v>
      </c>
      <c r="F3435" s="1">
        <v>0</v>
      </c>
      <c r="G3435" s="1" t="s">
        <v>4372</v>
      </c>
      <c r="H3435" s="1" t="s">
        <v>4372</v>
      </c>
      <c r="I3435" s="1" t="s">
        <v>4377</v>
      </c>
      <c r="J3435" s="1" t="s">
        <v>9444</v>
      </c>
      <c r="K3435" s="1" t="s">
        <v>318</v>
      </c>
    </row>
    <row r="3436" spans="1:11" ht="21" x14ac:dyDescent="0.25">
      <c r="A3436" s="11" t="str">
        <f>HYPERLINK("https://rth.dk/resources/bsgatlas/details.php?id=BSGatlas-transcript-3435","BSGatlas-transcript-3435")</f>
        <v>BSGatlas-transcript-3435</v>
      </c>
      <c r="B3436" s="1" t="s">
        <v>3176</v>
      </c>
      <c r="C3436" s="3">
        <v>3072401</v>
      </c>
      <c r="D3436" s="3">
        <v>3072622</v>
      </c>
      <c r="E3436" s="1" t="s">
        <v>9</v>
      </c>
      <c r="F3436" s="1">
        <v>0</v>
      </c>
      <c r="G3436" s="1" t="s">
        <v>4372</v>
      </c>
      <c r="H3436" s="1" t="s">
        <v>4372</v>
      </c>
      <c r="I3436" s="1" t="s">
        <v>4547</v>
      </c>
      <c r="J3436" s="1" t="s">
        <v>318</v>
      </c>
      <c r="K3436" s="1" t="s">
        <v>9445</v>
      </c>
    </row>
    <row r="3437" spans="1:11" ht="21" x14ac:dyDescent="0.25">
      <c r="A3437" s="11" t="str">
        <f>HYPERLINK("https://rth.dk/resources/bsgatlas/details.php?id=BSGatlas-transcript-3436","BSGatlas-transcript-3436")</f>
        <v>BSGatlas-transcript-3436</v>
      </c>
      <c r="B3437" s="1" t="s">
        <v>3176</v>
      </c>
      <c r="C3437" s="3">
        <v>3072401</v>
      </c>
      <c r="D3437" s="3">
        <v>3072696</v>
      </c>
      <c r="E3437" s="1" t="s">
        <v>9</v>
      </c>
      <c r="F3437" s="1">
        <v>0</v>
      </c>
      <c r="G3437" s="1" t="s">
        <v>4372</v>
      </c>
      <c r="H3437" s="1" t="s">
        <v>4372</v>
      </c>
      <c r="I3437" s="1" t="s">
        <v>4547</v>
      </c>
      <c r="J3437" s="1" t="s">
        <v>318</v>
      </c>
      <c r="K3437" s="1" t="s">
        <v>9446</v>
      </c>
    </row>
    <row r="3438" spans="1:11" ht="21" x14ac:dyDescent="0.25">
      <c r="A3438" s="11" t="str">
        <f>HYPERLINK("https://rth.dk/resources/bsgatlas/details.php?id=BSGatlas-transcript-3437","BSGatlas-transcript-3437")</f>
        <v>BSGatlas-transcript-3437</v>
      </c>
      <c r="B3438" s="1" t="s">
        <v>9447</v>
      </c>
      <c r="C3438" s="3">
        <v>3072743</v>
      </c>
      <c r="D3438" s="3">
        <v>3075213</v>
      </c>
      <c r="E3438" s="1" t="s">
        <v>13</v>
      </c>
      <c r="F3438" s="1">
        <v>1</v>
      </c>
      <c r="G3438" s="1">
        <v>49</v>
      </c>
      <c r="H3438" s="1" t="s">
        <v>4372</v>
      </c>
      <c r="I3438" s="1" t="s">
        <v>4386</v>
      </c>
      <c r="J3438" s="1" t="s">
        <v>9448</v>
      </c>
      <c r="K3438" s="1" t="s">
        <v>9449</v>
      </c>
    </row>
    <row r="3439" spans="1:11" ht="21" x14ac:dyDescent="0.25">
      <c r="A3439" s="11" t="str">
        <f>HYPERLINK("https://rth.dk/resources/bsgatlas/details.php?id=BSGatlas-transcript-3438","BSGatlas-transcript-3438")</f>
        <v>BSGatlas-transcript-3438</v>
      </c>
      <c r="B3439" s="1" t="s">
        <v>3178</v>
      </c>
      <c r="C3439" s="3">
        <v>3073506</v>
      </c>
      <c r="D3439" s="3">
        <v>3075213</v>
      </c>
      <c r="E3439" s="1" t="s">
        <v>13</v>
      </c>
      <c r="F3439" s="1">
        <v>0</v>
      </c>
      <c r="G3439" s="1" t="s">
        <v>4372</v>
      </c>
      <c r="H3439" s="1" t="s">
        <v>4372</v>
      </c>
      <c r="I3439" s="1" t="s">
        <v>4377</v>
      </c>
      <c r="J3439" s="1" t="s">
        <v>9448</v>
      </c>
      <c r="K3439" s="1" t="s">
        <v>9450</v>
      </c>
    </row>
    <row r="3440" spans="1:11" ht="21" x14ac:dyDescent="0.25">
      <c r="A3440" s="11" t="str">
        <f>HYPERLINK("https://rth.dk/resources/bsgatlas/details.php?id=BSGatlas-transcript-3439","BSGatlas-transcript-3439")</f>
        <v>BSGatlas-transcript-3439</v>
      </c>
      <c r="B3440" s="1" t="s">
        <v>9451</v>
      </c>
      <c r="C3440" s="3">
        <v>3075321</v>
      </c>
      <c r="D3440" s="3">
        <v>3078356</v>
      </c>
      <c r="E3440" s="1" t="s">
        <v>9</v>
      </c>
      <c r="F3440" s="1">
        <v>1</v>
      </c>
      <c r="G3440" s="1">
        <v>47</v>
      </c>
      <c r="H3440" s="1" t="s">
        <v>4372</v>
      </c>
      <c r="I3440" s="1" t="s">
        <v>4386</v>
      </c>
      <c r="J3440" s="1" t="s">
        <v>9452</v>
      </c>
      <c r="K3440" s="1" t="s">
        <v>9453</v>
      </c>
    </row>
    <row r="3441" spans="1:11" ht="21" x14ac:dyDescent="0.25">
      <c r="A3441" s="11" t="str">
        <f>HYPERLINK("https://rth.dk/resources/bsgatlas/details.php?id=BSGatlas-transcript-3440","BSGatlas-transcript-3440")</f>
        <v>BSGatlas-transcript-3440</v>
      </c>
      <c r="B3441" s="1" t="s">
        <v>9451</v>
      </c>
      <c r="C3441" s="3">
        <v>3075321</v>
      </c>
      <c r="D3441" s="3">
        <v>3078404</v>
      </c>
      <c r="E3441" s="1" t="s">
        <v>9</v>
      </c>
      <c r="F3441" s="1">
        <v>1</v>
      </c>
      <c r="G3441" s="1">
        <v>47</v>
      </c>
      <c r="H3441" s="1">
        <v>49</v>
      </c>
      <c r="I3441" s="1" t="s">
        <v>4386</v>
      </c>
      <c r="J3441" s="1" t="s">
        <v>9452</v>
      </c>
      <c r="K3441" s="1" t="s">
        <v>9454</v>
      </c>
    </row>
    <row r="3442" spans="1:11" ht="21" x14ac:dyDescent="0.25">
      <c r="A3442" s="11" t="str">
        <f>HYPERLINK("https://rth.dk/resources/bsgatlas/details.php?id=BSGatlas-transcript-3441","BSGatlas-transcript-3441")</f>
        <v>BSGatlas-transcript-3441</v>
      </c>
      <c r="B3442" s="1" t="s">
        <v>3180</v>
      </c>
      <c r="C3442" s="3">
        <v>3076730</v>
      </c>
      <c r="D3442" s="3">
        <v>3078356</v>
      </c>
      <c r="E3442" s="1" t="s">
        <v>9</v>
      </c>
      <c r="F3442" s="1">
        <v>0</v>
      </c>
      <c r="G3442" s="1" t="s">
        <v>4372</v>
      </c>
      <c r="H3442" s="1" t="s">
        <v>4372</v>
      </c>
      <c r="I3442" s="1" t="s">
        <v>4382</v>
      </c>
      <c r="J3442" s="1" t="s">
        <v>9455</v>
      </c>
      <c r="K3442" s="1" t="s">
        <v>9453</v>
      </c>
    </row>
    <row r="3443" spans="1:11" ht="21" x14ac:dyDescent="0.25">
      <c r="A3443" s="11" t="str">
        <f>HYPERLINK("https://rth.dk/resources/bsgatlas/details.php?id=BSGatlas-transcript-3442","BSGatlas-transcript-3442")</f>
        <v>BSGatlas-transcript-3442</v>
      </c>
      <c r="B3443" s="1" t="s">
        <v>3180</v>
      </c>
      <c r="C3443" s="3">
        <v>3076730</v>
      </c>
      <c r="D3443" s="3">
        <v>3078404</v>
      </c>
      <c r="E3443" s="1" t="s">
        <v>9</v>
      </c>
      <c r="F3443" s="1">
        <v>0</v>
      </c>
      <c r="G3443" s="1" t="s">
        <v>4372</v>
      </c>
      <c r="H3443" s="1" t="s">
        <v>4372</v>
      </c>
      <c r="I3443" s="1" t="s">
        <v>4382</v>
      </c>
      <c r="J3443" s="1" t="s">
        <v>9455</v>
      </c>
      <c r="K3443" s="1" t="s">
        <v>9454</v>
      </c>
    </row>
    <row r="3444" spans="1:11" ht="21" x14ac:dyDescent="0.25">
      <c r="A3444" s="11" t="str">
        <f>HYPERLINK("https://rth.dk/resources/bsgatlas/details.php?id=BSGatlas-transcript-3443","BSGatlas-transcript-3443")</f>
        <v>BSGatlas-transcript-3443</v>
      </c>
      <c r="B3444" s="1" t="s">
        <v>3181</v>
      </c>
      <c r="C3444" s="3">
        <v>3078349</v>
      </c>
      <c r="D3444" s="3">
        <v>3078595</v>
      </c>
      <c r="E3444" s="1" t="s">
        <v>13</v>
      </c>
      <c r="F3444" s="1">
        <v>0</v>
      </c>
      <c r="G3444" s="1" t="s">
        <v>4372</v>
      </c>
      <c r="H3444" s="1" t="s">
        <v>4372</v>
      </c>
      <c r="I3444" s="1" t="s">
        <v>4373</v>
      </c>
      <c r="J3444" s="1" t="s">
        <v>9456</v>
      </c>
      <c r="K3444" s="1" t="s">
        <v>9457</v>
      </c>
    </row>
    <row r="3445" spans="1:11" ht="21" x14ac:dyDescent="0.25">
      <c r="A3445" s="11" t="str">
        <f>HYPERLINK("https://rth.dk/resources/bsgatlas/details.php?id=BSGatlas-transcript-3444","BSGatlas-transcript-3444")</f>
        <v>BSGatlas-transcript-3444</v>
      </c>
      <c r="B3445" s="1" t="s">
        <v>9458</v>
      </c>
      <c r="C3445" s="3">
        <v>3078349</v>
      </c>
      <c r="D3445" s="3">
        <v>3083251</v>
      </c>
      <c r="E3445" s="1" t="s">
        <v>13</v>
      </c>
      <c r="F3445" s="1">
        <v>2</v>
      </c>
      <c r="G3445" s="1">
        <v>27</v>
      </c>
      <c r="H3445" s="1">
        <v>45</v>
      </c>
      <c r="I3445" s="1" t="s">
        <v>4386</v>
      </c>
      <c r="J3445" s="1" t="s">
        <v>9459</v>
      </c>
      <c r="K3445" s="1" t="s">
        <v>9457</v>
      </c>
    </row>
    <row r="3446" spans="1:11" ht="21" x14ac:dyDescent="0.25">
      <c r="A3446" s="11" t="str">
        <f>HYPERLINK("https://rth.dk/resources/bsgatlas/details.php?id=BSGatlas-transcript-3445","BSGatlas-transcript-3445")</f>
        <v>BSGatlas-transcript-3445</v>
      </c>
      <c r="B3446" s="1" t="s">
        <v>3187</v>
      </c>
      <c r="C3446" s="3">
        <v>3083401</v>
      </c>
      <c r="D3446" s="3">
        <v>3085759</v>
      </c>
      <c r="E3446" s="1" t="s">
        <v>9</v>
      </c>
      <c r="F3446" s="1">
        <v>0</v>
      </c>
      <c r="G3446" s="1" t="s">
        <v>4372</v>
      </c>
      <c r="H3446" s="1" t="s">
        <v>4372</v>
      </c>
      <c r="I3446" s="1" t="s">
        <v>4397</v>
      </c>
      <c r="J3446" s="1" t="s">
        <v>9460</v>
      </c>
      <c r="K3446" s="1" t="s">
        <v>9461</v>
      </c>
    </row>
    <row r="3447" spans="1:11" ht="21" x14ac:dyDescent="0.25">
      <c r="A3447" s="11" t="str">
        <f>HYPERLINK("https://rth.dk/resources/bsgatlas/details.php?id=BSGatlas-transcript-3446","BSGatlas-transcript-3446")</f>
        <v>BSGatlas-transcript-3446</v>
      </c>
      <c r="B3447" s="1" t="s">
        <v>3188</v>
      </c>
      <c r="C3447" s="3">
        <v>3085756</v>
      </c>
      <c r="D3447" s="3">
        <v>3087296</v>
      </c>
      <c r="E3447" s="1" t="s">
        <v>13</v>
      </c>
      <c r="F3447" s="1">
        <v>0</v>
      </c>
      <c r="G3447" s="1" t="s">
        <v>4372</v>
      </c>
      <c r="H3447" s="1" t="s">
        <v>4372</v>
      </c>
      <c r="I3447" s="1" t="s">
        <v>4382</v>
      </c>
      <c r="J3447" s="1" t="s">
        <v>318</v>
      </c>
      <c r="K3447" s="1" t="s">
        <v>9462</v>
      </c>
    </row>
    <row r="3448" spans="1:11" ht="21" x14ac:dyDescent="0.25">
      <c r="A3448" s="11" t="str">
        <f>HYPERLINK("https://rth.dk/resources/bsgatlas/details.php?id=BSGatlas-transcript-3447","BSGatlas-transcript-3447")</f>
        <v>BSGatlas-transcript-3447</v>
      </c>
      <c r="B3448" s="1" t="s">
        <v>9463</v>
      </c>
      <c r="C3448" s="3">
        <v>3085756</v>
      </c>
      <c r="D3448" s="3">
        <v>3088266</v>
      </c>
      <c r="E3448" s="1" t="s">
        <v>13</v>
      </c>
      <c r="F3448" s="1">
        <v>1</v>
      </c>
      <c r="G3448" s="1">
        <v>86</v>
      </c>
      <c r="H3448" s="1">
        <v>45</v>
      </c>
      <c r="I3448" s="1" t="s">
        <v>4386</v>
      </c>
      <c r="J3448" s="1" t="s">
        <v>9464</v>
      </c>
      <c r="K3448" s="1" t="s">
        <v>9462</v>
      </c>
    </row>
    <row r="3449" spans="1:11" ht="21" x14ac:dyDescent="0.25">
      <c r="A3449" s="11" t="str">
        <f>HYPERLINK("https://rth.dk/resources/bsgatlas/details.php?id=BSGatlas-transcript-3448","BSGatlas-transcript-3448")</f>
        <v>BSGatlas-transcript-3448</v>
      </c>
      <c r="B3449" s="1" t="s">
        <v>9465</v>
      </c>
      <c r="C3449" s="3">
        <v>3088352</v>
      </c>
      <c r="D3449" s="3">
        <v>3095548</v>
      </c>
      <c r="E3449" s="1" t="s">
        <v>13</v>
      </c>
      <c r="F3449" s="1">
        <v>2</v>
      </c>
      <c r="G3449" s="1">
        <v>94</v>
      </c>
      <c r="H3449" s="1">
        <v>37</v>
      </c>
      <c r="I3449" s="1" t="s">
        <v>4373</v>
      </c>
      <c r="J3449" s="1" t="s">
        <v>9466</v>
      </c>
      <c r="K3449" s="1" t="s">
        <v>9467</v>
      </c>
    </row>
    <row r="3450" spans="1:11" ht="21" x14ac:dyDescent="0.25">
      <c r="A3450" s="11" t="str">
        <f>HYPERLINK("https://rth.dk/resources/bsgatlas/details.php?id=BSGatlas-transcript-3449","BSGatlas-transcript-3449")</f>
        <v>BSGatlas-transcript-3449</v>
      </c>
      <c r="B3450" s="1" t="s">
        <v>9468</v>
      </c>
      <c r="C3450" s="3">
        <v>3090431</v>
      </c>
      <c r="D3450" s="3">
        <v>3095548</v>
      </c>
      <c r="E3450" s="1" t="s">
        <v>13</v>
      </c>
      <c r="F3450" s="1">
        <v>0</v>
      </c>
      <c r="G3450" s="1" t="s">
        <v>4372</v>
      </c>
      <c r="H3450" s="1" t="s">
        <v>4372</v>
      </c>
      <c r="I3450" s="1" t="s">
        <v>4377</v>
      </c>
      <c r="J3450" s="1" t="s">
        <v>9466</v>
      </c>
      <c r="K3450" s="1" t="s">
        <v>9469</v>
      </c>
    </row>
    <row r="3451" spans="1:11" ht="21" x14ac:dyDescent="0.25">
      <c r="A3451" s="11" t="str">
        <f>HYPERLINK("https://rth.dk/resources/bsgatlas/details.php?id=BSGatlas-transcript-3450","BSGatlas-transcript-3450")</f>
        <v>BSGatlas-transcript-3450</v>
      </c>
      <c r="B3451" s="1" t="s">
        <v>3197</v>
      </c>
      <c r="C3451" s="3">
        <v>3095606</v>
      </c>
      <c r="D3451" s="3">
        <v>3096604</v>
      </c>
      <c r="E3451" s="1" t="s">
        <v>13</v>
      </c>
      <c r="F3451" s="1">
        <v>0</v>
      </c>
      <c r="G3451" s="1" t="s">
        <v>4372</v>
      </c>
      <c r="H3451" s="1" t="s">
        <v>4372</v>
      </c>
      <c r="I3451" s="1" t="s">
        <v>4373</v>
      </c>
      <c r="J3451" s="1" t="s">
        <v>9470</v>
      </c>
      <c r="K3451" s="1" t="s">
        <v>9471</v>
      </c>
    </row>
    <row r="3452" spans="1:11" ht="21" x14ac:dyDescent="0.25">
      <c r="A3452" s="11" t="str">
        <f>HYPERLINK("https://rth.dk/resources/bsgatlas/details.php?id=BSGatlas-transcript-3451","BSGatlas-transcript-3451")</f>
        <v>BSGatlas-transcript-3451</v>
      </c>
      <c r="B3452" s="1" t="s">
        <v>9472</v>
      </c>
      <c r="C3452" s="3">
        <v>3096723</v>
      </c>
      <c r="D3452" s="3">
        <v>3102219</v>
      </c>
      <c r="E3452" s="1" t="s">
        <v>9</v>
      </c>
      <c r="F3452" s="1">
        <v>2</v>
      </c>
      <c r="G3452" s="1">
        <v>60</v>
      </c>
      <c r="H3452" s="1">
        <v>41</v>
      </c>
      <c r="I3452" s="1" t="s">
        <v>4386</v>
      </c>
      <c r="J3452" s="1" t="s">
        <v>9473</v>
      </c>
      <c r="K3452" s="1" t="s">
        <v>9474</v>
      </c>
    </row>
    <row r="3453" spans="1:11" ht="21" x14ac:dyDescent="0.25">
      <c r="A3453" s="11" t="str">
        <f>HYPERLINK("https://rth.dk/resources/bsgatlas/details.php?id=BSGatlas-transcript-3452","BSGatlas-transcript-3452")</f>
        <v>BSGatlas-transcript-3452</v>
      </c>
      <c r="B3453" s="1" t="s">
        <v>9472</v>
      </c>
      <c r="C3453" s="3">
        <v>3096723</v>
      </c>
      <c r="D3453" s="3">
        <v>3102600</v>
      </c>
      <c r="E3453" s="1" t="s">
        <v>9</v>
      </c>
      <c r="F3453" s="1">
        <v>2</v>
      </c>
      <c r="G3453" s="1">
        <v>60</v>
      </c>
      <c r="H3453" s="1">
        <v>422</v>
      </c>
      <c r="I3453" s="1" t="s">
        <v>4386</v>
      </c>
      <c r="J3453" s="1" t="s">
        <v>9473</v>
      </c>
      <c r="K3453" s="1" t="s">
        <v>9475</v>
      </c>
    </row>
    <row r="3454" spans="1:11" ht="21" x14ac:dyDescent="0.25">
      <c r="A3454" s="11" t="str">
        <f>HYPERLINK("https://rth.dk/resources/bsgatlas/details.php?id=BSGatlas-transcript-3453","BSGatlas-transcript-3453")</f>
        <v>BSGatlas-transcript-3453</v>
      </c>
      <c r="B3454" s="1" t="s">
        <v>9476</v>
      </c>
      <c r="C3454" s="3">
        <v>3097804</v>
      </c>
      <c r="D3454" s="3">
        <v>3102219</v>
      </c>
      <c r="E3454" s="1" t="s">
        <v>9</v>
      </c>
      <c r="F3454" s="1">
        <v>1</v>
      </c>
      <c r="G3454" s="1">
        <v>47</v>
      </c>
      <c r="H3454" s="1">
        <v>41</v>
      </c>
      <c r="I3454" s="1" t="s">
        <v>4377</v>
      </c>
      <c r="J3454" s="1" t="s">
        <v>9477</v>
      </c>
      <c r="K3454" s="1" t="s">
        <v>9474</v>
      </c>
    </row>
    <row r="3455" spans="1:11" ht="21" x14ac:dyDescent="0.25">
      <c r="A3455" s="11" t="str">
        <f>HYPERLINK("https://rth.dk/resources/bsgatlas/details.php?id=BSGatlas-transcript-3454","BSGatlas-transcript-3454")</f>
        <v>BSGatlas-transcript-3454</v>
      </c>
      <c r="B3455" s="1" t="s">
        <v>9476</v>
      </c>
      <c r="C3455" s="3">
        <v>3097804</v>
      </c>
      <c r="D3455" s="3">
        <v>3102600</v>
      </c>
      <c r="E3455" s="1" t="s">
        <v>9</v>
      </c>
      <c r="F3455" s="1">
        <v>1</v>
      </c>
      <c r="G3455" s="1">
        <v>47</v>
      </c>
      <c r="H3455" s="1">
        <v>422</v>
      </c>
      <c r="I3455" s="1" t="s">
        <v>4377</v>
      </c>
      <c r="J3455" s="1" t="s">
        <v>9477</v>
      </c>
      <c r="K3455" s="1" t="s">
        <v>9475</v>
      </c>
    </row>
    <row r="3456" spans="1:11" ht="21" x14ac:dyDescent="0.25">
      <c r="A3456" s="11" t="str">
        <f>HYPERLINK("https://rth.dk/resources/bsgatlas/details.php?id=BSGatlas-transcript-3455","BSGatlas-transcript-3455")</f>
        <v>BSGatlas-transcript-3455</v>
      </c>
      <c r="B3456" s="1" t="s">
        <v>3202</v>
      </c>
      <c r="C3456" s="3">
        <v>3100862</v>
      </c>
      <c r="D3456" s="3">
        <v>3102219</v>
      </c>
      <c r="E3456" s="1" t="s">
        <v>9</v>
      </c>
      <c r="F3456" s="1">
        <v>0</v>
      </c>
      <c r="G3456" s="1" t="s">
        <v>4372</v>
      </c>
      <c r="H3456" s="1" t="s">
        <v>4372</v>
      </c>
      <c r="I3456" s="1" t="s">
        <v>4373</v>
      </c>
      <c r="J3456" s="1" t="s">
        <v>9478</v>
      </c>
      <c r="K3456" s="1" t="s">
        <v>9474</v>
      </c>
    </row>
    <row r="3457" spans="1:11" ht="21" x14ac:dyDescent="0.25">
      <c r="A3457" s="11" t="str">
        <f>HYPERLINK("https://rth.dk/resources/bsgatlas/details.php?id=BSGatlas-transcript-3456","BSGatlas-transcript-3456")</f>
        <v>BSGatlas-transcript-3456</v>
      </c>
      <c r="B3457" s="1" t="s">
        <v>3202</v>
      </c>
      <c r="C3457" s="3">
        <v>3100862</v>
      </c>
      <c r="D3457" s="3">
        <v>3102600</v>
      </c>
      <c r="E3457" s="1" t="s">
        <v>9</v>
      </c>
      <c r="F3457" s="1">
        <v>0</v>
      </c>
      <c r="G3457" s="1" t="s">
        <v>4372</v>
      </c>
      <c r="H3457" s="1" t="s">
        <v>4372</v>
      </c>
      <c r="I3457" s="1" t="s">
        <v>4373</v>
      </c>
      <c r="J3457" s="1" t="s">
        <v>9478</v>
      </c>
      <c r="K3457" s="1" t="s">
        <v>9475</v>
      </c>
    </row>
    <row r="3458" spans="1:11" ht="21" x14ac:dyDescent="0.25">
      <c r="A3458" s="11" t="str">
        <f>HYPERLINK("https://rth.dk/resources/bsgatlas/details.php?id=BSGatlas-transcript-3457","BSGatlas-transcript-3457")</f>
        <v>BSGatlas-transcript-3457</v>
      </c>
      <c r="B3458" s="1" t="s">
        <v>3203</v>
      </c>
      <c r="C3458" s="3">
        <v>3102201</v>
      </c>
      <c r="D3458" s="3">
        <v>3102544</v>
      </c>
      <c r="E3458" s="1" t="s">
        <v>13</v>
      </c>
      <c r="F3458" s="1">
        <v>0</v>
      </c>
      <c r="G3458" s="1" t="s">
        <v>4372</v>
      </c>
      <c r="H3458" s="1" t="s">
        <v>4372</v>
      </c>
      <c r="I3458" s="1" t="s">
        <v>4386</v>
      </c>
      <c r="J3458" s="1" t="s">
        <v>9479</v>
      </c>
      <c r="K3458" s="1" t="s">
        <v>9480</v>
      </c>
    </row>
    <row r="3459" spans="1:11" ht="21" x14ac:dyDescent="0.25">
      <c r="A3459" s="11" t="str">
        <f>HYPERLINK("https://rth.dk/resources/bsgatlas/details.php?id=BSGatlas-transcript-3458","BSGatlas-transcript-3458")</f>
        <v>BSGatlas-transcript-3458</v>
      </c>
      <c r="B3459" s="1" t="s">
        <v>3204</v>
      </c>
      <c r="C3459" s="3">
        <v>3102582</v>
      </c>
      <c r="D3459" s="3">
        <v>3105400</v>
      </c>
      <c r="E3459" s="1" t="s">
        <v>13</v>
      </c>
      <c r="F3459" s="1">
        <v>0</v>
      </c>
      <c r="G3459" s="1" t="s">
        <v>4372</v>
      </c>
      <c r="H3459" s="1" t="s">
        <v>4372</v>
      </c>
      <c r="I3459" s="1" t="s">
        <v>4373</v>
      </c>
      <c r="J3459" s="1" t="s">
        <v>9481</v>
      </c>
      <c r="K3459" s="1" t="s">
        <v>9482</v>
      </c>
    </row>
    <row r="3460" spans="1:11" ht="21" x14ac:dyDescent="0.25">
      <c r="A3460" s="11" t="str">
        <f>HYPERLINK("https://rth.dk/resources/bsgatlas/details.php?id=BSGatlas-transcript-3459","BSGatlas-transcript-3459")</f>
        <v>BSGatlas-transcript-3459</v>
      </c>
      <c r="B3460" s="1" t="s">
        <v>3205</v>
      </c>
      <c r="C3460" s="3">
        <v>3105125</v>
      </c>
      <c r="D3460" s="3">
        <v>3105367</v>
      </c>
      <c r="E3460" s="1" t="s">
        <v>13</v>
      </c>
      <c r="F3460" s="1">
        <v>0</v>
      </c>
      <c r="G3460" s="1" t="s">
        <v>4372</v>
      </c>
      <c r="H3460" s="1" t="s">
        <v>4372</v>
      </c>
      <c r="I3460" s="1" t="s">
        <v>4377</v>
      </c>
      <c r="J3460" s="1" t="s">
        <v>318</v>
      </c>
      <c r="K3460" s="1" t="s">
        <v>9483</v>
      </c>
    </row>
    <row r="3461" spans="1:11" ht="21" x14ac:dyDescent="0.25">
      <c r="A3461" s="11" t="str">
        <f>HYPERLINK("https://rth.dk/resources/bsgatlas/details.php?id=BSGatlas-transcript-3460","BSGatlas-transcript-3460")</f>
        <v>BSGatlas-transcript-3460</v>
      </c>
      <c r="B3461" s="1" t="s">
        <v>3206</v>
      </c>
      <c r="C3461" s="3">
        <v>3105438</v>
      </c>
      <c r="D3461" s="3">
        <v>3105878</v>
      </c>
      <c r="E3461" s="1" t="s">
        <v>9</v>
      </c>
      <c r="F3461" s="1">
        <v>0</v>
      </c>
      <c r="G3461" s="1" t="s">
        <v>4372</v>
      </c>
      <c r="H3461" s="1" t="s">
        <v>4372</v>
      </c>
      <c r="I3461" s="1" t="s">
        <v>4377</v>
      </c>
      <c r="J3461" s="1" t="s">
        <v>9484</v>
      </c>
      <c r="K3461" s="1" t="s">
        <v>318</v>
      </c>
    </row>
    <row r="3462" spans="1:11" ht="21" x14ac:dyDescent="0.25">
      <c r="A3462" s="11" t="str">
        <f>HYPERLINK("https://rth.dk/resources/bsgatlas/details.php?id=BSGatlas-transcript-3461","BSGatlas-transcript-3461")</f>
        <v>BSGatlas-transcript-3461</v>
      </c>
      <c r="B3462" s="1" t="s">
        <v>3207</v>
      </c>
      <c r="C3462" s="3">
        <v>3105470</v>
      </c>
      <c r="D3462" s="3">
        <v>3106064</v>
      </c>
      <c r="E3462" s="1" t="s">
        <v>13</v>
      </c>
      <c r="F3462" s="1">
        <v>0</v>
      </c>
      <c r="G3462" s="1" t="s">
        <v>4372</v>
      </c>
      <c r="H3462" s="1" t="s">
        <v>4372</v>
      </c>
      <c r="I3462" s="1" t="s">
        <v>4386</v>
      </c>
      <c r="J3462" s="1" t="s">
        <v>9485</v>
      </c>
      <c r="K3462" s="1" t="s">
        <v>318</v>
      </c>
    </row>
    <row r="3463" spans="1:11" ht="21" x14ac:dyDescent="0.25">
      <c r="A3463" s="11" t="str">
        <f>HYPERLINK("https://rth.dk/resources/bsgatlas/details.php?id=BSGatlas-transcript-3462","BSGatlas-transcript-3462")</f>
        <v>BSGatlas-transcript-3462</v>
      </c>
      <c r="B3463" s="1" t="s">
        <v>3208</v>
      </c>
      <c r="C3463" s="3">
        <v>3106140</v>
      </c>
      <c r="D3463" s="3">
        <v>3107080</v>
      </c>
      <c r="E3463" s="1" t="s">
        <v>9</v>
      </c>
      <c r="F3463" s="1">
        <v>0</v>
      </c>
      <c r="G3463" s="1" t="s">
        <v>4372</v>
      </c>
      <c r="H3463" s="1" t="s">
        <v>4372</v>
      </c>
      <c r="I3463" s="1" t="s">
        <v>4397</v>
      </c>
      <c r="J3463" s="1" t="s">
        <v>9486</v>
      </c>
      <c r="K3463" s="1" t="s">
        <v>9487</v>
      </c>
    </row>
    <row r="3464" spans="1:11" ht="21" x14ac:dyDescent="0.25">
      <c r="A3464" s="11" t="str">
        <f>HYPERLINK("https://rth.dk/resources/bsgatlas/details.php?id=BSGatlas-transcript-3463","BSGatlas-transcript-3463")</f>
        <v>BSGatlas-transcript-3463</v>
      </c>
      <c r="B3464" s="1" t="s">
        <v>3209</v>
      </c>
      <c r="C3464" s="3">
        <v>3107189</v>
      </c>
      <c r="D3464" s="3">
        <v>3108524</v>
      </c>
      <c r="E3464" s="1" t="s">
        <v>13</v>
      </c>
      <c r="F3464" s="1">
        <v>0</v>
      </c>
      <c r="G3464" s="1" t="s">
        <v>4372</v>
      </c>
      <c r="H3464" s="1" t="s">
        <v>4372</v>
      </c>
      <c r="I3464" s="1" t="s">
        <v>4373</v>
      </c>
      <c r="J3464" s="1" t="s">
        <v>9488</v>
      </c>
      <c r="K3464" s="1" t="s">
        <v>9489</v>
      </c>
    </row>
    <row r="3465" spans="1:11" ht="21" x14ac:dyDescent="0.25">
      <c r="A3465" s="11" t="str">
        <f>HYPERLINK("https://rth.dk/resources/bsgatlas/details.php?id=BSGatlas-transcript-3464","BSGatlas-transcript-3464")</f>
        <v>BSGatlas-transcript-3464</v>
      </c>
      <c r="B3465" s="1" t="s">
        <v>3210</v>
      </c>
      <c r="C3465" s="3">
        <v>3108584</v>
      </c>
      <c r="D3465" s="3">
        <v>3109360</v>
      </c>
      <c r="E3465" s="1" t="s">
        <v>9</v>
      </c>
      <c r="F3465" s="1">
        <v>0</v>
      </c>
      <c r="G3465" s="1" t="s">
        <v>4372</v>
      </c>
      <c r="H3465" s="1" t="s">
        <v>4372</v>
      </c>
      <c r="I3465" s="1" t="s">
        <v>4373</v>
      </c>
      <c r="J3465" s="1" t="s">
        <v>9490</v>
      </c>
      <c r="K3465" s="1" t="s">
        <v>9491</v>
      </c>
    </row>
    <row r="3466" spans="1:11" ht="21" x14ac:dyDescent="0.25">
      <c r="A3466" s="11" t="str">
        <f>HYPERLINK("https://rth.dk/resources/bsgatlas/details.php?id=BSGatlas-transcript-3465","BSGatlas-transcript-3465")</f>
        <v>BSGatlas-transcript-3465</v>
      </c>
      <c r="B3466" s="1" t="s">
        <v>3210</v>
      </c>
      <c r="C3466" s="3">
        <v>3108584</v>
      </c>
      <c r="D3466" s="3">
        <v>3109401</v>
      </c>
      <c r="E3466" s="1" t="s">
        <v>9</v>
      </c>
      <c r="F3466" s="1">
        <v>0</v>
      </c>
      <c r="G3466" s="1" t="s">
        <v>4372</v>
      </c>
      <c r="H3466" s="1" t="s">
        <v>4372</v>
      </c>
      <c r="I3466" s="1" t="s">
        <v>4373</v>
      </c>
      <c r="J3466" s="1" t="s">
        <v>9490</v>
      </c>
      <c r="K3466" s="1" t="s">
        <v>9492</v>
      </c>
    </row>
    <row r="3467" spans="1:11" ht="21" x14ac:dyDescent="0.25">
      <c r="A3467" s="11" t="str">
        <f>HYPERLINK("https://rth.dk/resources/bsgatlas/details.php?id=BSGatlas-transcript-3466","BSGatlas-transcript-3466")</f>
        <v>BSGatlas-transcript-3466</v>
      </c>
      <c r="B3467" s="1" t="s">
        <v>3211</v>
      </c>
      <c r="C3467" s="3">
        <v>3109353</v>
      </c>
      <c r="D3467" s="3">
        <v>3111337</v>
      </c>
      <c r="E3467" s="1" t="s">
        <v>13</v>
      </c>
      <c r="F3467" s="1">
        <v>0</v>
      </c>
      <c r="G3467" s="1" t="s">
        <v>4372</v>
      </c>
      <c r="H3467" s="1" t="s">
        <v>4372</v>
      </c>
      <c r="I3467" s="1" t="s">
        <v>4382</v>
      </c>
      <c r="J3467" s="1" t="s">
        <v>318</v>
      </c>
      <c r="K3467" s="1" t="s">
        <v>9493</v>
      </c>
    </row>
    <row r="3468" spans="1:11" ht="21" x14ac:dyDescent="0.25">
      <c r="A3468" s="11" t="str">
        <f>HYPERLINK("https://rth.dk/resources/bsgatlas/details.php?id=BSGatlas-transcript-3467","BSGatlas-transcript-3467")</f>
        <v>BSGatlas-transcript-3467</v>
      </c>
      <c r="B3468" s="1" t="s">
        <v>9494</v>
      </c>
      <c r="C3468" s="3">
        <v>3109353</v>
      </c>
      <c r="D3468" s="3">
        <v>3112114</v>
      </c>
      <c r="E3468" s="1" t="s">
        <v>13</v>
      </c>
      <c r="F3468" s="1">
        <v>0</v>
      </c>
      <c r="G3468" s="1" t="s">
        <v>4372</v>
      </c>
      <c r="H3468" s="1" t="s">
        <v>4372</v>
      </c>
      <c r="I3468" s="1" t="s">
        <v>4373</v>
      </c>
      <c r="J3468" s="1" t="s">
        <v>9495</v>
      </c>
      <c r="K3468" s="1" t="s">
        <v>9493</v>
      </c>
    </row>
    <row r="3469" spans="1:11" ht="21" x14ac:dyDescent="0.25">
      <c r="A3469" s="11" t="str">
        <f>HYPERLINK("https://rth.dk/resources/bsgatlas/details.php?id=BSGatlas-transcript-3468","BSGatlas-transcript-3468")</f>
        <v>BSGatlas-transcript-3468</v>
      </c>
      <c r="B3469" s="1" t="s">
        <v>9496</v>
      </c>
      <c r="C3469" s="3">
        <v>3112159</v>
      </c>
      <c r="D3469" s="3">
        <v>3113918</v>
      </c>
      <c r="E3469" s="1" t="s">
        <v>13</v>
      </c>
      <c r="F3469" s="1">
        <v>0</v>
      </c>
      <c r="G3469" s="1" t="s">
        <v>4372</v>
      </c>
      <c r="H3469" s="1" t="s">
        <v>4372</v>
      </c>
      <c r="I3469" s="1" t="s">
        <v>4397</v>
      </c>
      <c r="J3469" s="1" t="s">
        <v>9497</v>
      </c>
      <c r="K3469" s="1" t="s">
        <v>9498</v>
      </c>
    </row>
    <row r="3470" spans="1:11" ht="21" x14ac:dyDescent="0.25">
      <c r="A3470" s="11" t="str">
        <f>HYPERLINK("https://rth.dk/resources/bsgatlas/details.php?id=BSGatlas-transcript-3469","BSGatlas-transcript-3469")</f>
        <v>BSGatlas-transcript-3469</v>
      </c>
      <c r="B3470" s="1" t="s">
        <v>9499</v>
      </c>
      <c r="C3470" s="3">
        <v>3113936</v>
      </c>
      <c r="D3470" s="3">
        <v>3119239</v>
      </c>
      <c r="E3470" s="1" t="s">
        <v>13</v>
      </c>
      <c r="F3470" s="1">
        <v>1</v>
      </c>
      <c r="G3470" s="1" t="s">
        <v>4372</v>
      </c>
      <c r="H3470" s="1">
        <v>44</v>
      </c>
      <c r="I3470" s="1" t="s">
        <v>7186</v>
      </c>
      <c r="J3470" s="1" t="s">
        <v>318</v>
      </c>
      <c r="K3470" s="1" t="s">
        <v>9500</v>
      </c>
    </row>
    <row r="3471" spans="1:11" ht="21" x14ac:dyDescent="0.25">
      <c r="A3471" s="11" t="str">
        <f>HYPERLINK("https://rth.dk/resources/bsgatlas/details.php?id=BSGatlas-transcript-3470","BSGatlas-transcript-3470")</f>
        <v>BSGatlas-transcript-3470</v>
      </c>
      <c r="B3471" s="1" t="s">
        <v>9501</v>
      </c>
      <c r="C3471" s="3">
        <v>3113936</v>
      </c>
      <c r="D3471" s="3">
        <v>3119483</v>
      </c>
      <c r="E3471" s="1" t="s">
        <v>13</v>
      </c>
      <c r="F3471" s="1">
        <v>2</v>
      </c>
      <c r="G3471" s="1">
        <v>74</v>
      </c>
      <c r="H3471" s="1">
        <v>44</v>
      </c>
      <c r="I3471" s="1" t="s">
        <v>4547</v>
      </c>
      <c r="J3471" s="1" t="s">
        <v>9502</v>
      </c>
      <c r="K3471" s="1" t="s">
        <v>9500</v>
      </c>
    </row>
    <row r="3472" spans="1:11" ht="21" x14ac:dyDescent="0.25">
      <c r="A3472" s="11" t="str">
        <f>HYPERLINK("https://rth.dk/resources/bsgatlas/details.php?id=BSGatlas-transcript-3471","BSGatlas-transcript-3471")</f>
        <v>BSGatlas-transcript-3471</v>
      </c>
      <c r="B3472" s="1" t="s">
        <v>9499</v>
      </c>
      <c r="C3472" s="3">
        <v>3113979</v>
      </c>
      <c r="D3472" s="3">
        <v>3119239</v>
      </c>
      <c r="E3472" s="1" t="s">
        <v>13</v>
      </c>
      <c r="F3472" s="1">
        <v>1</v>
      </c>
      <c r="G3472" s="1" t="s">
        <v>4372</v>
      </c>
      <c r="H3472" s="1" t="s">
        <v>4372</v>
      </c>
      <c r="I3472" s="1" t="s">
        <v>7186</v>
      </c>
      <c r="J3472" s="1" t="s">
        <v>318</v>
      </c>
      <c r="K3472" s="1" t="s">
        <v>9503</v>
      </c>
    </row>
    <row r="3473" spans="1:11" ht="21" x14ac:dyDescent="0.25">
      <c r="A3473" s="11" t="str">
        <f>HYPERLINK("https://rth.dk/resources/bsgatlas/details.php?id=BSGatlas-transcript-3472","BSGatlas-transcript-3472")</f>
        <v>BSGatlas-transcript-3472</v>
      </c>
      <c r="B3473" s="1" t="s">
        <v>9501</v>
      </c>
      <c r="C3473" s="3">
        <v>3113979</v>
      </c>
      <c r="D3473" s="3">
        <v>3119483</v>
      </c>
      <c r="E3473" s="1" t="s">
        <v>13</v>
      </c>
      <c r="F3473" s="1">
        <v>2</v>
      </c>
      <c r="G3473" s="1">
        <v>74</v>
      </c>
      <c r="H3473" s="1" t="s">
        <v>4372</v>
      </c>
      <c r="I3473" s="1" t="s">
        <v>4547</v>
      </c>
      <c r="J3473" s="1" t="s">
        <v>9502</v>
      </c>
      <c r="K3473" s="1" t="s">
        <v>9503</v>
      </c>
    </row>
    <row r="3474" spans="1:11" ht="21" x14ac:dyDescent="0.25">
      <c r="A3474" s="11" t="str">
        <f>HYPERLINK("https://rth.dk/resources/bsgatlas/details.php?id=BSGatlas-transcript-3473","BSGatlas-transcript-3473")</f>
        <v>BSGatlas-transcript-3473</v>
      </c>
      <c r="B3474" s="1" t="s">
        <v>3221</v>
      </c>
      <c r="C3474" s="3">
        <v>3119550</v>
      </c>
      <c r="D3474" s="3">
        <v>3119881</v>
      </c>
      <c r="E3474" s="1" t="s">
        <v>13</v>
      </c>
      <c r="F3474" s="1">
        <v>0</v>
      </c>
      <c r="G3474" s="1" t="s">
        <v>4372</v>
      </c>
      <c r="H3474" s="1" t="s">
        <v>4372</v>
      </c>
      <c r="I3474" s="1" t="s">
        <v>4386</v>
      </c>
      <c r="J3474" s="1" t="s">
        <v>9504</v>
      </c>
      <c r="K3474" s="1" t="s">
        <v>9505</v>
      </c>
    </row>
    <row r="3475" spans="1:11" ht="21" x14ac:dyDescent="0.25">
      <c r="A3475" s="11" t="str">
        <f>HYPERLINK("https://rth.dk/resources/bsgatlas/details.php?id=BSGatlas-transcript-3474","BSGatlas-transcript-3474")</f>
        <v>BSGatlas-transcript-3474</v>
      </c>
      <c r="B3475" s="1" t="s">
        <v>9506</v>
      </c>
      <c r="C3475" s="3">
        <v>3119892</v>
      </c>
      <c r="D3475" s="3">
        <v>3121548</v>
      </c>
      <c r="E3475" s="1" t="s">
        <v>9</v>
      </c>
      <c r="F3475" s="1">
        <v>0</v>
      </c>
      <c r="G3475" s="1" t="s">
        <v>4372</v>
      </c>
      <c r="H3475" s="1" t="s">
        <v>4372</v>
      </c>
      <c r="I3475" s="1" t="s">
        <v>4386</v>
      </c>
      <c r="J3475" s="1" t="s">
        <v>9507</v>
      </c>
      <c r="K3475" s="1" t="s">
        <v>9508</v>
      </c>
    </row>
    <row r="3476" spans="1:11" ht="21" x14ac:dyDescent="0.25">
      <c r="A3476" s="11" t="str">
        <f>HYPERLINK("https://rth.dk/resources/bsgatlas/details.php?id=BSGatlas-transcript-3475","BSGatlas-transcript-3475")</f>
        <v>BSGatlas-transcript-3475</v>
      </c>
      <c r="B3476" s="1" t="s">
        <v>9506</v>
      </c>
      <c r="C3476" s="3">
        <v>3119958</v>
      </c>
      <c r="D3476" s="3">
        <v>3121548</v>
      </c>
      <c r="E3476" s="1" t="s">
        <v>9</v>
      </c>
      <c r="F3476" s="1">
        <v>0</v>
      </c>
      <c r="G3476" s="1" t="s">
        <v>4372</v>
      </c>
      <c r="H3476" s="1" t="s">
        <v>4372</v>
      </c>
      <c r="I3476" s="1" t="s">
        <v>4386</v>
      </c>
      <c r="J3476" s="1" t="s">
        <v>9509</v>
      </c>
      <c r="K3476" s="1" t="s">
        <v>9508</v>
      </c>
    </row>
    <row r="3477" spans="1:11" ht="21" x14ac:dyDescent="0.25">
      <c r="A3477" s="11" t="str">
        <f>HYPERLINK("https://rth.dk/resources/bsgatlas/details.php?id=BSGatlas-transcript-3476","BSGatlas-transcript-3476")</f>
        <v>BSGatlas-transcript-3476</v>
      </c>
      <c r="B3477" s="1" t="s">
        <v>3224</v>
      </c>
      <c r="C3477" s="3">
        <v>3121516</v>
      </c>
      <c r="D3477" s="3">
        <v>3122641</v>
      </c>
      <c r="E3477" s="1" t="s">
        <v>13</v>
      </c>
      <c r="F3477" s="1">
        <v>0</v>
      </c>
      <c r="G3477" s="1" t="s">
        <v>4372</v>
      </c>
      <c r="H3477" s="1" t="s">
        <v>4372</v>
      </c>
      <c r="I3477" s="1" t="s">
        <v>4373</v>
      </c>
      <c r="J3477" s="1" t="s">
        <v>318</v>
      </c>
      <c r="K3477" s="1" t="s">
        <v>9510</v>
      </c>
    </row>
    <row r="3478" spans="1:11" ht="21" x14ac:dyDescent="0.25">
      <c r="A3478" s="11" t="str">
        <f>HYPERLINK("https://rth.dk/resources/bsgatlas/details.php?id=BSGatlas-transcript-3477","BSGatlas-transcript-3477")</f>
        <v>BSGatlas-transcript-3477</v>
      </c>
      <c r="B3478" s="1" t="s">
        <v>9511</v>
      </c>
      <c r="C3478" s="3">
        <v>3121516</v>
      </c>
      <c r="D3478" s="3">
        <v>3124021</v>
      </c>
      <c r="E3478" s="1" t="s">
        <v>13</v>
      </c>
      <c r="F3478" s="1">
        <v>1</v>
      </c>
      <c r="G3478" s="1">
        <v>581</v>
      </c>
      <c r="H3478" s="1">
        <v>23</v>
      </c>
      <c r="I3478" s="1" t="s">
        <v>4386</v>
      </c>
      <c r="J3478" s="1" t="s">
        <v>9512</v>
      </c>
      <c r="K3478" s="1" t="s">
        <v>9510</v>
      </c>
    </row>
    <row r="3479" spans="1:11" ht="21" x14ac:dyDescent="0.25">
      <c r="A3479" s="11" t="str">
        <f>HYPERLINK("https://rth.dk/resources/bsgatlas/details.php?id=BSGatlas-transcript-3478","BSGatlas-transcript-3478")</f>
        <v>BSGatlas-transcript-3478</v>
      </c>
      <c r="B3479" s="1" t="s">
        <v>9511</v>
      </c>
      <c r="C3479" s="3">
        <v>3121516</v>
      </c>
      <c r="D3479" s="3">
        <v>3124157</v>
      </c>
      <c r="E3479" s="1" t="s">
        <v>13</v>
      </c>
      <c r="F3479" s="1">
        <v>1</v>
      </c>
      <c r="G3479" s="1">
        <v>717</v>
      </c>
      <c r="H3479" s="1">
        <v>23</v>
      </c>
      <c r="I3479" s="1" t="s">
        <v>4386</v>
      </c>
      <c r="J3479" s="1" t="s">
        <v>9513</v>
      </c>
      <c r="K3479" s="1" t="s">
        <v>9510</v>
      </c>
    </row>
    <row r="3480" spans="1:11" ht="21" x14ac:dyDescent="0.25">
      <c r="A3480" s="11" t="str">
        <f>HYPERLINK("https://rth.dk/resources/bsgatlas/details.php?id=BSGatlas-transcript-3479","BSGatlas-transcript-3479")</f>
        <v>BSGatlas-transcript-3479</v>
      </c>
      <c r="B3480" s="1" t="s">
        <v>3226</v>
      </c>
      <c r="C3480" s="3">
        <v>3123123</v>
      </c>
      <c r="D3480" s="3">
        <v>3124005</v>
      </c>
      <c r="E3480" s="1" t="s">
        <v>9</v>
      </c>
      <c r="F3480" s="1">
        <v>0</v>
      </c>
      <c r="G3480" s="1" t="s">
        <v>4372</v>
      </c>
      <c r="H3480" s="1" t="s">
        <v>4372</v>
      </c>
      <c r="I3480" s="1" t="s">
        <v>4397</v>
      </c>
      <c r="J3480" s="1" t="s">
        <v>9514</v>
      </c>
      <c r="K3480" s="1" t="s">
        <v>318</v>
      </c>
    </row>
    <row r="3481" spans="1:11" ht="21" x14ac:dyDescent="0.25">
      <c r="A3481" s="11" t="str">
        <f>HYPERLINK("https://rth.dk/resources/bsgatlas/details.php?id=BSGatlas-transcript-3480","BSGatlas-transcript-3480")</f>
        <v>BSGatlas-transcript-3480</v>
      </c>
      <c r="B3481" s="1" t="s">
        <v>9515</v>
      </c>
      <c r="C3481" s="3">
        <v>3124212</v>
      </c>
      <c r="D3481" s="3">
        <v>3127675</v>
      </c>
      <c r="E3481" s="1" t="s">
        <v>13</v>
      </c>
      <c r="F3481" s="1">
        <v>1</v>
      </c>
      <c r="G3481" s="1" t="s">
        <v>4372</v>
      </c>
      <c r="H3481" s="1">
        <v>39</v>
      </c>
      <c r="I3481" s="1" t="s">
        <v>4373</v>
      </c>
      <c r="J3481" s="1" t="s">
        <v>318</v>
      </c>
      <c r="K3481" s="1" t="s">
        <v>9516</v>
      </c>
    </row>
    <row r="3482" spans="1:11" ht="21" x14ac:dyDescent="0.25">
      <c r="A3482" s="11" t="str">
        <f>HYPERLINK("https://rth.dk/resources/bsgatlas/details.php?id=BSGatlas-transcript-3481","BSGatlas-transcript-3481")</f>
        <v>BSGatlas-transcript-3481</v>
      </c>
      <c r="B3482" s="1" t="s">
        <v>3229</v>
      </c>
      <c r="C3482" s="3">
        <v>3127782</v>
      </c>
      <c r="D3482" s="3">
        <v>3129076</v>
      </c>
      <c r="E3482" s="1" t="s">
        <v>13</v>
      </c>
      <c r="F3482" s="1">
        <v>0</v>
      </c>
      <c r="G3482" s="1" t="s">
        <v>4372</v>
      </c>
      <c r="H3482" s="1" t="s">
        <v>4372</v>
      </c>
      <c r="I3482" s="1" t="s">
        <v>4373</v>
      </c>
      <c r="J3482" s="1" t="s">
        <v>9517</v>
      </c>
      <c r="K3482" s="1" t="s">
        <v>9518</v>
      </c>
    </row>
    <row r="3483" spans="1:11" ht="21" x14ac:dyDescent="0.25">
      <c r="A3483" s="11" t="str">
        <f>HYPERLINK("https://rth.dk/resources/bsgatlas/details.php?id=BSGatlas-transcript-3482","BSGatlas-transcript-3482")</f>
        <v>BSGatlas-transcript-3482</v>
      </c>
      <c r="B3483" s="1" t="s">
        <v>3229</v>
      </c>
      <c r="C3483" s="3">
        <v>3127782</v>
      </c>
      <c r="D3483" s="3">
        <v>3129357</v>
      </c>
      <c r="E3483" s="1" t="s">
        <v>13</v>
      </c>
      <c r="F3483" s="1">
        <v>0</v>
      </c>
      <c r="G3483" s="1" t="s">
        <v>4372</v>
      </c>
      <c r="H3483" s="1" t="s">
        <v>4372</v>
      </c>
      <c r="I3483" s="1" t="s">
        <v>4373</v>
      </c>
      <c r="J3483" s="1" t="s">
        <v>9519</v>
      </c>
      <c r="K3483" s="1" t="s">
        <v>9518</v>
      </c>
    </row>
    <row r="3484" spans="1:11" ht="21" x14ac:dyDescent="0.25">
      <c r="A3484" s="11" t="str">
        <f>HYPERLINK("https://rth.dk/resources/bsgatlas/details.php?id=BSGatlas-transcript-3483","BSGatlas-transcript-3483")</f>
        <v>BSGatlas-transcript-3483</v>
      </c>
      <c r="B3484" s="1" t="s">
        <v>3230</v>
      </c>
      <c r="C3484" s="3">
        <v>3129491</v>
      </c>
      <c r="D3484" s="3">
        <v>3131161</v>
      </c>
      <c r="E3484" s="1" t="s">
        <v>9</v>
      </c>
      <c r="F3484" s="1">
        <v>0</v>
      </c>
      <c r="G3484" s="1" t="s">
        <v>4372</v>
      </c>
      <c r="H3484" s="1" t="s">
        <v>4372</v>
      </c>
      <c r="I3484" s="1" t="s">
        <v>4373</v>
      </c>
      <c r="J3484" s="1" t="s">
        <v>9520</v>
      </c>
      <c r="K3484" s="1" t="s">
        <v>9521</v>
      </c>
    </row>
    <row r="3485" spans="1:11" ht="21" x14ac:dyDescent="0.25">
      <c r="A3485" s="11" t="str">
        <f>HYPERLINK("https://rth.dk/resources/bsgatlas/details.php?id=BSGatlas-transcript-3484","BSGatlas-transcript-3484")</f>
        <v>BSGatlas-transcript-3484</v>
      </c>
      <c r="B3485" s="1" t="s">
        <v>3231</v>
      </c>
      <c r="C3485" s="3">
        <v>3131108</v>
      </c>
      <c r="D3485" s="3">
        <v>3131394</v>
      </c>
      <c r="E3485" s="1" t="s">
        <v>13</v>
      </c>
      <c r="F3485" s="1">
        <v>0</v>
      </c>
      <c r="G3485" s="1" t="s">
        <v>4372</v>
      </c>
      <c r="H3485" s="1" t="s">
        <v>4372</v>
      </c>
      <c r="I3485" s="1" t="s">
        <v>4373</v>
      </c>
      <c r="J3485" s="1" t="s">
        <v>318</v>
      </c>
      <c r="K3485" s="1" t="s">
        <v>9522</v>
      </c>
    </row>
    <row r="3486" spans="1:11" ht="21" x14ac:dyDescent="0.25">
      <c r="A3486" s="11" t="str">
        <f>HYPERLINK("https://rth.dk/resources/bsgatlas/details.php?id=BSGatlas-transcript-3485","BSGatlas-transcript-3485")</f>
        <v>BSGatlas-transcript-3485</v>
      </c>
      <c r="B3486" s="1" t="s">
        <v>3232</v>
      </c>
      <c r="C3486" s="3">
        <v>3131446</v>
      </c>
      <c r="D3486" s="3">
        <v>3132312</v>
      </c>
      <c r="E3486" s="1" t="s">
        <v>13</v>
      </c>
      <c r="F3486" s="1">
        <v>0</v>
      </c>
      <c r="G3486" s="1" t="s">
        <v>4372</v>
      </c>
      <c r="H3486" s="1" t="s">
        <v>4372</v>
      </c>
      <c r="I3486" s="1" t="s">
        <v>4377</v>
      </c>
      <c r="J3486" s="1" t="s">
        <v>9523</v>
      </c>
      <c r="K3486" s="1" t="s">
        <v>318</v>
      </c>
    </row>
    <row r="3487" spans="1:11" ht="21" x14ac:dyDescent="0.25">
      <c r="A3487" s="11" t="str">
        <f>HYPERLINK("https://rth.dk/resources/bsgatlas/details.php?id=BSGatlas-transcript-3486","BSGatlas-transcript-3486")</f>
        <v>BSGatlas-transcript-3486</v>
      </c>
      <c r="B3487" s="1" t="s">
        <v>9524</v>
      </c>
      <c r="C3487" s="3">
        <v>3132322</v>
      </c>
      <c r="D3487" s="3">
        <v>3134993</v>
      </c>
      <c r="E3487" s="1" t="s">
        <v>9</v>
      </c>
      <c r="F3487" s="1">
        <v>0</v>
      </c>
      <c r="G3487" s="1" t="s">
        <v>4372</v>
      </c>
      <c r="H3487" s="1" t="s">
        <v>4372</v>
      </c>
      <c r="I3487" s="1" t="s">
        <v>4373</v>
      </c>
      <c r="J3487" s="1" t="s">
        <v>9525</v>
      </c>
      <c r="K3487" s="1" t="s">
        <v>9526</v>
      </c>
    </row>
    <row r="3488" spans="1:11" ht="21" x14ac:dyDescent="0.25">
      <c r="A3488" s="11" t="str">
        <f>HYPERLINK("https://rth.dk/resources/bsgatlas/details.php?id=BSGatlas-transcript-3487","BSGatlas-transcript-3487")</f>
        <v>BSGatlas-transcript-3487</v>
      </c>
      <c r="B3488" s="1" t="s">
        <v>3236</v>
      </c>
      <c r="C3488" s="3">
        <v>3133358</v>
      </c>
      <c r="D3488" s="3">
        <v>3135491</v>
      </c>
      <c r="E3488" s="1" t="s">
        <v>13</v>
      </c>
      <c r="F3488" s="1">
        <v>0</v>
      </c>
      <c r="G3488" s="1" t="s">
        <v>4372</v>
      </c>
      <c r="H3488" s="1" t="s">
        <v>4372</v>
      </c>
      <c r="I3488" s="1" t="s">
        <v>4373</v>
      </c>
      <c r="J3488" s="1" t="s">
        <v>9527</v>
      </c>
      <c r="K3488" s="1" t="s">
        <v>9528</v>
      </c>
    </row>
    <row r="3489" spans="1:11" ht="21" x14ac:dyDescent="0.25">
      <c r="A3489" s="11" t="str">
        <f>HYPERLINK("https://rth.dk/resources/bsgatlas/details.php?id=BSGatlas-transcript-3488","BSGatlas-transcript-3488")</f>
        <v>BSGatlas-transcript-3488</v>
      </c>
      <c r="B3489" s="1" t="s">
        <v>3236</v>
      </c>
      <c r="C3489" s="3">
        <v>3133358</v>
      </c>
      <c r="D3489" s="3">
        <v>3135540</v>
      </c>
      <c r="E3489" s="1" t="s">
        <v>13</v>
      </c>
      <c r="F3489" s="1">
        <v>0</v>
      </c>
      <c r="G3489" s="1" t="s">
        <v>4372</v>
      </c>
      <c r="H3489" s="1" t="s">
        <v>4372</v>
      </c>
      <c r="I3489" s="1" t="s">
        <v>4373</v>
      </c>
      <c r="J3489" s="1" t="s">
        <v>9529</v>
      </c>
      <c r="K3489" s="1" t="s">
        <v>9528</v>
      </c>
    </row>
    <row r="3490" spans="1:11" ht="21" x14ac:dyDescent="0.25">
      <c r="A3490" s="11" t="str">
        <f>HYPERLINK("https://rth.dk/resources/bsgatlas/details.php?id=BSGatlas-transcript-3489","BSGatlas-transcript-3489")</f>
        <v>BSGatlas-transcript-3489</v>
      </c>
      <c r="B3490" s="1" t="s">
        <v>3236</v>
      </c>
      <c r="C3490" s="3">
        <v>3133358</v>
      </c>
      <c r="D3490" s="3">
        <v>3135638</v>
      </c>
      <c r="E3490" s="1" t="s">
        <v>13</v>
      </c>
      <c r="F3490" s="1">
        <v>0</v>
      </c>
      <c r="G3490" s="1" t="s">
        <v>4372</v>
      </c>
      <c r="H3490" s="1" t="s">
        <v>4372</v>
      </c>
      <c r="I3490" s="1" t="s">
        <v>4373</v>
      </c>
      <c r="J3490" s="1" t="s">
        <v>9530</v>
      </c>
      <c r="K3490" s="1" t="s">
        <v>9528</v>
      </c>
    </row>
    <row r="3491" spans="1:11" ht="21" x14ac:dyDescent="0.25">
      <c r="A3491" s="11" t="str">
        <f>HYPERLINK("https://rth.dk/resources/bsgatlas/details.php?id=BSGatlas-transcript-3490","BSGatlas-transcript-3490")</f>
        <v>BSGatlas-transcript-3490</v>
      </c>
      <c r="B3491" s="1" t="s">
        <v>3236</v>
      </c>
      <c r="C3491" s="3">
        <v>3134946</v>
      </c>
      <c r="D3491" s="3">
        <v>3135491</v>
      </c>
      <c r="E3491" s="1" t="s">
        <v>13</v>
      </c>
      <c r="F3491" s="1">
        <v>0</v>
      </c>
      <c r="G3491" s="1" t="s">
        <v>4372</v>
      </c>
      <c r="H3491" s="1" t="s">
        <v>4372</v>
      </c>
      <c r="I3491" s="1" t="s">
        <v>4373</v>
      </c>
      <c r="J3491" s="1" t="s">
        <v>9527</v>
      </c>
      <c r="K3491" s="1" t="s">
        <v>9531</v>
      </c>
    </row>
    <row r="3492" spans="1:11" ht="21" x14ac:dyDescent="0.25">
      <c r="A3492" s="11" t="str">
        <f>HYPERLINK("https://rth.dk/resources/bsgatlas/details.php?id=BSGatlas-transcript-3491","BSGatlas-transcript-3491")</f>
        <v>BSGatlas-transcript-3491</v>
      </c>
      <c r="B3492" s="1" t="s">
        <v>3236</v>
      </c>
      <c r="C3492" s="3">
        <v>3134946</v>
      </c>
      <c r="D3492" s="3">
        <v>3135540</v>
      </c>
      <c r="E3492" s="1" t="s">
        <v>13</v>
      </c>
      <c r="F3492" s="1">
        <v>0</v>
      </c>
      <c r="G3492" s="1" t="s">
        <v>4372</v>
      </c>
      <c r="H3492" s="1" t="s">
        <v>4372</v>
      </c>
      <c r="I3492" s="1" t="s">
        <v>4373</v>
      </c>
      <c r="J3492" s="1" t="s">
        <v>9529</v>
      </c>
      <c r="K3492" s="1" t="s">
        <v>9531</v>
      </c>
    </row>
    <row r="3493" spans="1:11" ht="21" x14ac:dyDescent="0.25">
      <c r="A3493" s="11" t="str">
        <f>HYPERLINK("https://rth.dk/resources/bsgatlas/details.php?id=BSGatlas-transcript-3492","BSGatlas-transcript-3492")</f>
        <v>BSGatlas-transcript-3492</v>
      </c>
      <c r="B3493" s="1" t="s">
        <v>3236</v>
      </c>
      <c r="C3493" s="3">
        <v>3134946</v>
      </c>
      <c r="D3493" s="3">
        <v>3135638</v>
      </c>
      <c r="E3493" s="1" t="s">
        <v>13</v>
      </c>
      <c r="F3493" s="1">
        <v>0</v>
      </c>
      <c r="G3493" s="1" t="s">
        <v>4372</v>
      </c>
      <c r="H3493" s="1" t="s">
        <v>4372</v>
      </c>
      <c r="I3493" s="1" t="s">
        <v>4373</v>
      </c>
      <c r="J3493" s="1" t="s">
        <v>9530</v>
      </c>
      <c r="K3493" s="1" t="s">
        <v>9531</v>
      </c>
    </row>
    <row r="3494" spans="1:11" ht="21" x14ac:dyDescent="0.25">
      <c r="A3494" s="11" t="str">
        <f>HYPERLINK("https://rth.dk/resources/bsgatlas/details.php?id=BSGatlas-transcript-3493","BSGatlas-transcript-3493")</f>
        <v>BSGatlas-transcript-3493</v>
      </c>
      <c r="B3494" s="1" t="s">
        <v>3237</v>
      </c>
      <c r="C3494" s="3">
        <v>3135668</v>
      </c>
      <c r="D3494" s="3">
        <v>3136117</v>
      </c>
      <c r="E3494" s="1" t="s">
        <v>13</v>
      </c>
      <c r="F3494" s="1">
        <v>0</v>
      </c>
      <c r="G3494" s="1" t="s">
        <v>4372</v>
      </c>
      <c r="H3494" s="1" t="s">
        <v>4372</v>
      </c>
      <c r="I3494" s="1" t="s">
        <v>4386</v>
      </c>
      <c r="J3494" s="1" t="s">
        <v>9532</v>
      </c>
      <c r="K3494" s="1" t="s">
        <v>318</v>
      </c>
    </row>
    <row r="3495" spans="1:11" ht="21" x14ac:dyDescent="0.25">
      <c r="A3495" s="11" t="str">
        <f>HYPERLINK("https://rth.dk/resources/bsgatlas/details.php?id=BSGatlas-transcript-3494","BSGatlas-transcript-3494")</f>
        <v>BSGatlas-transcript-3494</v>
      </c>
      <c r="B3495" s="1" t="s">
        <v>3238</v>
      </c>
      <c r="C3495" s="3">
        <v>3136179</v>
      </c>
      <c r="D3495" s="3">
        <v>3136694</v>
      </c>
      <c r="E3495" s="1" t="s">
        <v>13</v>
      </c>
      <c r="F3495" s="1">
        <v>0</v>
      </c>
      <c r="G3495" s="1" t="s">
        <v>4372</v>
      </c>
      <c r="H3495" s="1" t="s">
        <v>4372</v>
      </c>
      <c r="I3495" s="1" t="s">
        <v>4373</v>
      </c>
      <c r="J3495" s="1" t="s">
        <v>9533</v>
      </c>
      <c r="K3495" s="1" t="s">
        <v>9534</v>
      </c>
    </row>
    <row r="3496" spans="1:11" ht="21" x14ac:dyDescent="0.25">
      <c r="A3496" s="11" t="str">
        <f>HYPERLINK("https://rth.dk/resources/bsgatlas/details.php?id=BSGatlas-transcript-3495","BSGatlas-transcript-3495")</f>
        <v>BSGatlas-transcript-3495</v>
      </c>
      <c r="B3496" s="1" t="s">
        <v>3238</v>
      </c>
      <c r="C3496" s="3">
        <v>3136179</v>
      </c>
      <c r="D3496" s="3">
        <v>3136707</v>
      </c>
      <c r="E3496" s="1" t="s">
        <v>13</v>
      </c>
      <c r="F3496" s="1">
        <v>0</v>
      </c>
      <c r="G3496" s="1" t="s">
        <v>4372</v>
      </c>
      <c r="H3496" s="1" t="s">
        <v>4372</v>
      </c>
      <c r="I3496" s="1" t="s">
        <v>4373</v>
      </c>
      <c r="J3496" s="1" t="s">
        <v>9535</v>
      </c>
      <c r="K3496" s="1" t="s">
        <v>9534</v>
      </c>
    </row>
    <row r="3497" spans="1:11" ht="21" x14ac:dyDescent="0.25">
      <c r="A3497" s="11" t="str">
        <f>HYPERLINK("https://rth.dk/resources/bsgatlas/details.php?id=BSGatlas-transcript-3496","BSGatlas-transcript-3496")</f>
        <v>BSGatlas-transcript-3496</v>
      </c>
      <c r="B3497" s="1" t="s">
        <v>9536</v>
      </c>
      <c r="C3497" s="3">
        <v>3136179</v>
      </c>
      <c r="D3497" s="3">
        <v>3137415</v>
      </c>
      <c r="E3497" s="1" t="s">
        <v>13</v>
      </c>
      <c r="F3497" s="1">
        <v>1</v>
      </c>
      <c r="G3497" s="1">
        <v>41</v>
      </c>
      <c r="H3497" s="1">
        <v>60</v>
      </c>
      <c r="I3497" s="1" t="s">
        <v>4386</v>
      </c>
      <c r="J3497" s="1" t="s">
        <v>9537</v>
      </c>
      <c r="K3497" s="1" t="s">
        <v>9534</v>
      </c>
    </row>
    <row r="3498" spans="1:11" ht="21" x14ac:dyDescent="0.25">
      <c r="A3498" s="11" t="str">
        <f>HYPERLINK("https://rth.dk/resources/bsgatlas/details.php?id=BSGatlas-transcript-3497","BSGatlas-transcript-3497")</f>
        <v>BSGatlas-transcript-3497</v>
      </c>
      <c r="B3498" s="1" t="s">
        <v>3238</v>
      </c>
      <c r="C3498" s="3">
        <v>3136238</v>
      </c>
      <c r="D3498" s="3">
        <v>3136694</v>
      </c>
      <c r="E3498" s="1" t="s">
        <v>13</v>
      </c>
      <c r="F3498" s="1">
        <v>0</v>
      </c>
      <c r="G3498" s="1" t="s">
        <v>4372</v>
      </c>
      <c r="H3498" s="1" t="s">
        <v>4372</v>
      </c>
      <c r="I3498" s="1" t="s">
        <v>4373</v>
      </c>
      <c r="J3498" s="1" t="s">
        <v>9533</v>
      </c>
      <c r="K3498" s="1" t="s">
        <v>9538</v>
      </c>
    </row>
    <row r="3499" spans="1:11" ht="21" x14ac:dyDescent="0.25">
      <c r="A3499" s="11" t="str">
        <f>HYPERLINK("https://rth.dk/resources/bsgatlas/details.php?id=BSGatlas-transcript-3498","BSGatlas-transcript-3498")</f>
        <v>BSGatlas-transcript-3498</v>
      </c>
      <c r="B3499" s="1" t="s">
        <v>3238</v>
      </c>
      <c r="C3499" s="3">
        <v>3136238</v>
      </c>
      <c r="D3499" s="3">
        <v>3136707</v>
      </c>
      <c r="E3499" s="1" t="s">
        <v>13</v>
      </c>
      <c r="F3499" s="1">
        <v>0</v>
      </c>
      <c r="G3499" s="1" t="s">
        <v>4372</v>
      </c>
      <c r="H3499" s="1" t="s">
        <v>4372</v>
      </c>
      <c r="I3499" s="1" t="s">
        <v>4373</v>
      </c>
      <c r="J3499" s="1" t="s">
        <v>9535</v>
      </c>
      <c r="K3499" s="1" t="s">
        <v>9538</v>
      </c>
    </row>
    <row r="3500" spans="1:11" ht="21" x14ac:dyDescent="0.25">
      <c r="A3500" s="11" t="str">
        <f>HYPERLINK("https://rth.dk/resources/bsgatlas/details.php?id=BSGatlas-transcript-3499","BSGatlas-transcript-3499")</f>
        <v>BSGatlas-transcript-3499</v>
      </c>
      <c r="B3500" s="1" t="s">
        <v>9536</v>
      </c>
      <c r="C3500" s="3">
        <v>3136238</v>
      </c>
      <c r="D3500" s="3">
        <v>3137415</v>
      </c>
      <c r="E3500" s="1" t="s">
        <v>13</v>
      </c>
      <c r="F3500" s="1">
        <v>1</v>
      </c>
      <c r="G3500" s="1">
        <v>41</v>
      </c>
      <c r="H3500" s="1" t="s">
        <v>4372</v>
      </c>
      <c r="I3500" s="1" t="s">
        <v>4386</v>
      </c>
      <c r="J3500" s="1" t="s">
        <v>9537</v>
      </c>
      <c r="K3500" s="1" t="s">
        <v>9538</v>
      </c>
    </row>
    <row r="3501" spans="1:11" ht="21" x14ac:dyDescent="0.25">
      <c r="A3501" s="11" t="str">
        <f>HYPERLINK("https://rth.dk/resources/bsgatlas/details.php?id=BSGatlas-transcript-3500","BSGatlas-transcript-3500")</f>
        <v>BSGatlas-transcript-3500</v>
      </c>
      <c r="B3501" s="1" t="s">
        <v>3240</v>
      </c>
      <c r="C3501" s="3">
        <v>3136768</v>
      </c>
      <c r="D3501" s="3">
        <v>3136986</v>
      </c>
      <c r="E3501" s="1" t="s">
        <v>9</v>
      </c>
      <c r="F3501" s="1">
        <v>0</v>
      </c>
      <c r="G3501" s="1" t="s">
        <v>4372</v>
      </c>
      <c r="H3501" s="1" t="s">
        <v>4372</v>
      </c>
      <c r="I3501" s="1" t="s">
        <v>4397</v>
      </c>
      <c r="J3501" s="1" t="s">
        <v>9539</v>
      </c>
      <c r="K3501" s="1" t="s">
        <v>9540</v>
      </c>
    </row>
    <row r="3502" spans="1:11" ht="21" x14ac:dyDescent="0.25">
      <c r="A3502" s="11" t="str">
        <f>HYPERLINK("https://rth.dk/resources/bsgatlas/details.php?id=BSGatlas-transcript-3501","BSGatlas-transcript-3501")</f>
        <v>BSGatlas-transcript-3501</v>
      </c>
      <c r="B3502" s="1" t="s">
        <v>3241</v>
      </c>
      <c r="C3502" s="3">
        <v>3137443</v>
      </c>
      <c r="D3502" s="3">
        <v>3137968</v>
      </c>
      <c r="E3502" s="1" t="s">
        <v>13</v>
      </c>
      <c r="F3502" s="1">
        <v>0</v>
      </c>
      <c r="G3502" s="1" t="s">
        <v>4372</v>
      </c>
      <c r="H3502" s="1" t="s">
        <v>4372</v>
      </c>
      <c r="I3502" s="1" t="s">
        <v>4373</v>
      </c>
      <c r="J3502" s="1" t="s">
        <v>318</v>
      </c>
      <c r="K3502" s="1" t="s">
        <v>9541</v>
      </c>
    </row>
    <row r="3503" spans="1:11" ht="21" x14ac:dyDescent="0.25">
      <c r="A3503" s="11" t="str">
        <f>HYPERLINK("https://rth.dk/resources/bsgatlas/details.php?id=BSGatlas-transcript-3502","BSGatlas-transcript-3502")</f>
        <v>BSGatlas-transcript-3502</v>
      </c>
      <c r="B3503" s="1" t="s">
        <v>9542</v>
      </c>
      <c r="C3503" s="3">
        <v>3137443</v>
      </c>
      <c r="D3503" s="3">
        <v>3138924</v>
      </c>
      <c r="E3503" s="1" t="s">
        <v>13</v>
      </c>
      <c r="F3503" s="1">
        <v>1</v>
      </c>
      <c r="G3503" s="1">
        <v>41</v>
      </c>
      <c r="H3503" s="1">
        <v>53</v>
      </c>
      <c r="I3503" s="1" t="s">
        <v>4386</v>
      </c>
      <c r="J3503" s="1" t="s">
        <v>9543</v>
      </c>
      <c r="K3503" s="1" t="s">
        <v>9541</v>
      </c>
    </row>
    <row r="3504" spans="1:11" ht="21" x14ac:dyDescent="0.25">
      <c r="A3504" s="11" t="str">
        <f>HYPERLINK("https://rth.dk/resources/bsgatlas/details.php?id=BSGatlas-transcript-3503","BSGatlas-transcript-3503")</f>
        <v>BSGatlas-transcript-3503</v>
      </c>
      <c r="B3504" s="1" t="s">
        <v>3241</v>
      </c>
      <c r="C3504" s="3">
        <v>3137495</v>
      </c>
      <c r="D3504" s="3">
        <v>3137968</v>
      </c>
      <c r="E3504" s="1" t="s">
        <v>13</v>
      </c>
      <c r="F3504" s="1">
        <v>0</v>
      </c>
      <c r="G3504" s="1" t="s">
        <v>4372</v>
      </c>
      <c r="H3504" s="1" t="s">
        <v>4372</v>
      </c>
      <c r="I3504" s="1" t="s">
        <v>4373</v>
      </c>
      <c r="J3504" s="1" t="s">
        <v>318</v>
      </c>
      <c r="K3504" s="1" t="s">
        <v>9544</v>
      </c>
    </row>
    <row r="3505" spans="1:11" ht="21" x14ac:dyDescent="0.25">
      <c r="A3505" s="11" t="str">
        <f>HYPERLINK("https://rth.dk/resources/bsgatlas/details.php?id=BSGatlas-transcript-3504","BSGatlas-transcript-3504")</f>
        <v>BSGatlas-transcript-3504</v>
      </c>
      <c r="B3505" s="1" t="s">
        <v>9542</v>
      </c>
      <c r="C3505" s="3">
        <v>3137495</v>
      </c>
      <c r="D3505" s="3">
        <v>3138924</v>
      </c>
      <c r="E3505" s="1" t="s">
        <v>13</v>
      </c>
      <c r="F3505" s="1">
        <v>1</v>
      </c>
      <c r="G3505" s="1">
        <v>41</v>
      </c>
      <c r="H3505" s="1" t="s">
        <v>4372</v>
      </c>
      <c r="I3505" s="1" t="s">
        <v>4386</v>
      </c>
      <c r="J3505" s="1" t="s">
        <v>9543</v>
      </c>
      <c r="K3505" s="1" t="s">
        <v>9544</v>
      </c>
    </row>
    <row r="3506" spans="1:11" ht="21" x14ac:dyDescent="0.25">
      <c r="A3506" s="11" t="str">
        <f>HYPERLINK("https://rth.dk/resources/bsgatlas/details.php?id=BSGatlas-transcript-3505","BSGatlas-transcript-3505")</f>
        <v>BSGatlas-transcript-3505</v>
      </c>
      <c r="B3506" s="1" t="s">
        <v>3243</v>
      </c>
      <c r="C3506" s="3">
        <v>3138065</v>
      </c>
      <c r="D3506" s="3">
        <v>3138324</v>
      </c>
      <c r="E3506" s="1" t="s">
        <v>9</v>
      </c>
      <c r="F3506" s="1">
        <v>0</v>
      </c>
      <c r="G3506" s="1" t="s">
        <v>4372</v>
      </c>
      <c r="H3506" s="1" t="s">
        <v>4372</v>
      </c>
      <c r="I3506" s="1" t="s">
        <v>4547</v>
      </c>
      <c r="J3506" s="1" t="s">
        <v>9545</v>
      </c>
      <c r="K3506" s="1" t="s">
        <v>318</v>
      </c>
    </row>
    <row r="3507" spans="1:11" ht="21" x14ac:dyDescent="0.25">
      <c r="A3507" s="11" t="str">
        <f>HYPERLINK("https://rth.dk/resources/bsgatlas/details.php?id=BSGatlas-transcript-3506","BSGatlas-transcript-3506")</f>
        <v>BSGatlas-transcript-3506</v>
      </c>
      <c r="B3507" s="1" t="s">
        <v>3244</v>
      </c>
      <c r="C3507" s="3">
        <v>3138978</v>
      </c>
      <c r="D3507" s="3">
        <v>3139258</v>
      </c>
      <c r="E3507" s="1" t="s">
        <v>13</v>
      </c>
      <c r="F3507" s="1">
        <v>0</v>
      </c>
      <c r="G3507" s="1" t="s">
        <v>4372</v>
      </c>
      <c r="H3507" s="1" t="s">
        <v>4372</v>
      </c>
      <c r="I3507" s="1" t="s">
        <v>4397</v>
      </c>
      <c r="J3507" s="1" t="s">
        <v>9546</v>
      </c>
      <c r="K3507" s="1" t="s">
        <v>9547</v>
      </c>
    </row>
    <row r="3508" spans="1:11" ht="21" x14ac:dyDescent="0.25">
      <c r="A3508" s="11" t="str">
        <f>HYPERLINK("https://rth.dk/resources/bsgatlas/details.php?id=BSGatlas-transcript-3507","BSGatlas-transcript-3507")</f>
        <v>BSGatlas-transcript-3507</v>
      </c>
      <c r="B3508" s="1" t="s">
        <v>3244</v>
      </c>
      <c r="C3508" s="3">
        <v>3138978</v>
      </c>
      <c r="D3508" s="3">
        <v>3139297</v>
      </c>
      <c r="E3508" s="1" t="s">
        <v>13</v>
      </c>
      <c r="F3508" s="1">
        <v>0</v>
      </c>
      <c r="G3508" s="1" t="s">
        <v>4372</v>
      </c>
      <c r="H3508" s="1" t="s">
        <v>4372</v>
      </c>
      <c r="I3508" s="1" t="s">
        <v>4397</v>
      </c>
      <c r="J3508" s="1" t="s">
        <v>9548</v>
      </c>
      <c r="K3508" s="1" t="s">
        <v>9547</v>
      </c>
    </row>
    <row r="3509" spans="1:11" ht="21" x14ac:dyDescent="0.25">
      <c r="A3509" s="11" t="str">
        <f>HYPERLINK("https://rth.dk/resources/bsgatlas/details.php?id=BSGatlas-transcript-3508","BSGatlas-transcript-3508")</f>
        <v>BSGatlas-transcript-3508</v>
      </c>
      <c r="B3509" s="1" t="s">
        <v>9549</v>
      </c>
      <c r="C3509" s="3">
        <v>3139385</v>
      </c>
      <c r="D3509" s="3">
        <v>3142102</v>
      </c>
      <c r="E3509" s="1" t="s">
        <v>9</v>
      </c>
      <c r="F3509" s="1">
        <v>2</v>
      </c>
      <c r="G3509" s="1">
        <v>47</v>
      </c>
      <c r="H3509" s="1">
        <v>45</v>
      </c>
      <c r="I3509" s="1" t="s">
        <v>4386</v>
      </c>
      <c r="J3509" s="1" t="s">
        <v>9550</v>
      </c>
      <c r="K3509" s="1" t="s">
        <v>9551</v>
      </c>
    </row>
    <row r="3510" spans="1:11" ht="21" x14ac:dyDescent="0.25">
      <c r="A3510" s="11" t="str">
        <f>HYPERLINK("https://rth.dk/resources/bsgatlas/details.php?id=BSGatlas-transcript-3509","BSGatlas-transcript-3509")</f>
        <v>BSGatlas-transcript-3509</v>
      </c>
      <c r="B3510" s="1" t="s">
        <v>3247</v>
      </c>
      <c r="C3510" s="3">
        <v>3141871</v>
      </c>
      <c r="D3510" s="3">
        <v>3142102</v>
      </c>
      <c r="E3510" s="1" t="s">
        <v>9</v>
      </c>
      <c r="F3510" s="1">
        <v>0</v>
      </c>
      <c r="G3510" s="1" t="s">
        <v>4372</v>
      </c>
      <c r="H3510" s="1" t="s">
        <v>4372</v>
      </c>
      <c r="I3510" s="1" t="s">
        <v>7186</v>
      </c>
      <c r="J3510" s="1" t="s">
        <v>9552</v>
      </c>
      <c r="K3510" s="1" t="s">
        <v>9551</v>
      </c>
    </row>
    <row r="3511" spans="1:11" ht="21" x14ac:dyDescent="0.25">
      <c r="A3511" s="11" t="str">
        <f>HYPERLINK("https://rth.dk/resources/bsgatlas/details.php?id=BSGatlas-transcript-3510","BSGatlas-transcript-3510")</f>
        <v>BSGatlas-transcript-3510</v>
      </c>
      <c r="B3511" s="1" t="s">
        <v>9553</v>
      </c>
      <c r="C3511" s="3">
        <v>3142054</v>
      </c>
      <c r="D3511" s="3">
        <v>3145995</v>
      </c>
      <c r="E3511" s="1" t="s">
        <v>13</v>
      </c>
      <c r="F3511" s="1">
        <v>1</v>
      </c>
      <c r="G3511" s="1">
        <v>38</v>
      </c>
      <c r="H3511" s="1">
        <v>24</v>
      </c>
      <c r="I3511" s="1" t="s">
        <v>4373</v>
      </c>
      <c r="J3511" s="1" t="s">
        <v>9554</v>
      </c>
      <c r="K3511" s="1" t="s">
        <v>9555</v>
      </c>
    </row>
    <row r="3512" spans="1:11" ht="21" x14ac:dyDescent="0.25">
      <c r="A3512" s="11" t="str">
        <f>HYPERLINK("https://rth.dk/resources/bsgatlas/details.php?id=BSGatlas-transcript-3511","BSGatlas-transcript-3511")</f>
        <v>BSGatlas-transcript-3511</v>
      </c>
      <c r="B3512" s="1" t="s">
        <v>9553</v>
      </c>
      <c r="C3512" s="3">
        <v>3142054</v>
      </c>
      <c r="D3512" s="3">
        <v>3146088</v>
      </c>
      <c r="E3512" s="1" t="s">
        <v>13</v>
      </c>
      <c r="F3512" s="1">
        <v>1</v>
      </c>
      <c r="G3512" s="1">
        <v>131</v>
      </c>
      <c r="H3512" s="1">
        <v>24</v>
      </c>
      <c r="I3512" s="1" t="s">
        <v>4373</v>
      </c>
      <c r="J3512" s="1" t="s">
        <v>9556</v>
      </c>
      <c r="K3512" s="1" t="s">
        <v>9555</v>
      </c>
    </row>
    <row r="3513" spans="1:11" ht="21" x14ac:dyDescent="0.25">
      <c r="A3513" s="11" t="str">
        <f>HYPERLINK("https://rth.dk/resources/bsgatlas/details.php?id=BSGatlas-transcript-3512","BSGatlas-transcript-3512")</f>
        <v>BSGatlas-transcript-3512</v>
      </c>
      <c r="B3513" s="1" t="s">
        <v>3252</v>
      </c>
      <c r="C3513" s="3">
        <v>3146126</v>
      </c>
      <c r="D3513" s="3">
        <v>3146183</v>
      </c>
      <c r="E3513" s="1" t="s">
        <v>13</v>
      </c>
      <c r="F3513" s="1">
        <v>0</v>
      </c>
      <c r="G3513" s="1" t="s">
        <v>4372</v>
      </c>
      <c r="H3513" s="1" t="s">
        <v>4372</v>
      </c>
      <c r="I3513" s="1" t="s">
        <v>4377</v>
      </c>
      <c r="J3513" s="1" t="s">
        <v>9557</v>
      </c>
      <c r="K3513" s="1" t="s">
        <v>9558</v>
      </c>
    </row>
    <row r="3514" spans="1:11" ht="21" x14ac:dyDescent="0.25">
      <c r="A3514" s="11" t="str">
        <f>HYPERLINK("https://rth.dk/resources/bsgatlas/details.php?id=BSGatlas-transcript-3513","BSGatlas-transcript-3513")</f>
        <v>BSGatlas-transcript-3513</v>
      </c>
      <c r="B3514" s="1" t="s">
        <v>9559</v>
      </c>
      <c r="C3514" s="3">
        <v>3146205</v>
      </c>
      <c r="D3514" s="3">
        <v>3148810</v>
      </c>
      <c r="E3514" s="1" t="s">
        <v>13</v>
      </c>
      <c r="F3514" s="1">
        <v>0</v>
      </c>
      <c r="G3514" s="1" t="s">
        <v>4372</v>
      </c>
      <c r="H3514" s="1" t="s">
        <v>4372</v>
      </c>
      <c r="I3514" s="1" t="s">
        <v>4386</v>
      </c>
      <c r="J3514" s="1" t="s">
        <v>9560</v>
      </c>
      <c r="K3514" s="1" t="s">
        <v>9561</v>
      </c>
    </row>
    <row r="3515" spans="1:11" ht="21" x14ac:dyDescent="0.25">
      <c r="A3515" s="11" t="str">
        <f>HYPERLINK("https://rth.dk/resources/bsgatlas/details.php?id=BSGatlas-transcript-3514","BSGatlas-transcript-3514")</f>
        <v>BSGatlas-transcript-3514</v>
      </c>
      <c r="B3515" s="1" t="s">
        <v>9559</v>
      </c>
      <c r="C3515" s="3">
        <v>3146205</v>
      </c>
      <c r="D3515" s="3">
        <v>3148810</v>
      </c>
      <c r="E3515" s="1" t="s">
        <v>13</v>
      </c>
      <c r="F3515" s="1">
        <v>0</v>
      </c>
      <c r="G3515" s="1" t="s">
        <v>4372</v>
      </c>
      <c r="H3515" s="1" t="s">
        <v>4372</v>
      </c>
      <c r="I3515" s="1" t="s">
        <v>4386</v>
      </c>
      <c r="J3515" s="1" t="s">
        <v>9562</v>
      </c>
      <c r="K3515" s="1" t="s">
        <v>9561</v>
      </c>
    </row>
    <row r="3516" spans="1:11" ht="21" x14ac:dyDescent="0.25">
      <c r="A3516" s="11" t="str">
        <f>HYPERLINK("https://rth.dk/resources/bsgatlas/details.php?id=BSGatlas-transcript-3515","BSGatlas-transcript-3515")</f>
        <v>BSGatlas-transcript-3515</v>
      </c>
      <c r="B3516" s="1" t="s">
        <v>9563</v>
      </c>
      <c r="C3516" s="3">
        <v>3146205</v>
      </c>
      <c r="D3516" s="3">
        <v>3149716</v>
      </c>
      <c r="E3516" s="1" t="s">
        <v>13</v>
      </c>
      <c r="F3516" s="1">
        <v>1</v>
      </c>
      <c r="G3516" s="1" t="s">
        <v>4372</v>
      </c>
      <c r="H3516" s="1">
        <v>34</v>
      </c>
      <c r="I3516" s="1" t="s">
        <v>4386</v>
      </c>
      <c r="J3516" s="1" t="s">
        <v>9564</v>
      </c>
      <c r="K3516" s="1" t="s">
        <v>9561</v>
      </c>
    </row>
    <row r="3517" spans="1:11" ht="21" x14ac:dyDescent="0.25">
      <c r="A3517" s="11" t="str">
        <f>HYPERLINK("https://rth.dk/resources/bsgatlas/details.php?id=BSGatlas-transcript-3516","BSGatlas-transcript-3516")</f>
        <v>BSGatlas-transcript-3516</v>
      </c>
      <c r="B3517" s="1" t="s">
        <v>9563</v>
      </c>
      <c r="C3517" s="3">
        <v>3146205</v>
      </c>
      <c r="D3517" s="3">
        <v>3149833</v>
      </c>
      <c r="E3517" s="1" t="s">
        <v>13</v>
      </c>
      <c r="F3517" s="1">
        <v>1</v>
      </c>
      <c r="G3517" s="1">
        <v>118</v>
      </c>
      <c r="H3517" s="1">
        <v>34</v>
      </c>
      <c r="I3517" s="1" t="s">
        <v>4386</v>
      </c>
      <c r="J3517" s="1" t="s">
        <v>9565</v>
      </c>
      <c r="K3517" s="1" t="s">
        <v>9561</v>
      </c>
    </row>
    <row r="3518" spans="1:11" ht="21" x14ac:dyDescent="0.25">
      <c r="A3518" s="11" t="str">
        <f>HYPERLINK("https://rth.dk/resources/bsgatlas/details.php?id=BSGatlas-transcript-3517","BSGatlas-transcript-3517")</f>
        <v>BSGatlas-transcript-3517</v>
      </c>
      <c r="B3518" s="1" t="s">
        <v>9563</v>
      </c>
      <c r="C3518" s="3">
        <v>3146205</v>
      </c>
      <c r="D3518" s="3">
        <v>3149999</v>
      </c>
      <c r="E3518" s="1" t="s">
        <v>13</v>
      </c>
      <c r="F3518" s="1">
        <v>1</v>
      </c>
      <c r="G3518" s="1">
        <v>284</v>
      </c>
      <c r="H3518" s="1">
        <v>34</v>
      </c>
      <c r="I3518" s="1" t="s">
        <v>4386</v>
      </c>
      <c r="J3518" s="1" t="s">
        <v>9566</v>
      </c>
      <c r="K3518" s="1" t="s">
        <v>9561</v>
      </c>
    </row>
    <row r="3519" spans="1:11" ht="21" x14ac:dyDescent="0.25">
      <c r="A3519" s="11" t="str">
        <f>HYPERLINK("https://rth.dk/resources/bsgatlas/details.php?id=BSGatlas-transcript-3518","BSGatlas-transcript-3518")</f>
        <v>BSGatlas-transcript-3518</v>
      </c>
      <c r="B3519" s="1" t="s">
        <v>9567</v>
      </c>
      <c r="C3519" s="3">
        <v>3146205</v>
      </c>
      <c r="D3519" s="3">
        <v>3153830</v>
      </c>
      <c r="E3519" s="1" t="s">
        <v>13</v>
      </c>
      <c r="F3519" s="1">
        <v>2</v>
      </c>
      <c r="G3519" s="1">
        <v>114</v>
      </c>
      <c r="H3519" s="1">
        <v>34</v>
      </c>
      <c r="I3519" s="1" t="s">
        <v>4373</v>
      </c>
      <c r="J3519" s="1" t="s">
        <v>9568</v>
      </c>
      <c r="K3519" s="1" t="s">
        <v>9561</v>
      </c>
    </row>
    <row r="3520" spans="1:11" ht="21" x14ac:dyDescent="0.25">
      <c r="A3520" s="11" t="str">
        <f>HYPERLINK("https://rth.dk/resources/bsgatlas/details.php?id=BSGatlas-transcript-3519","BSGatlas-transcript-3519")</f>
        <v>BSGatlas-transcript-3519</v>
      </c>
      <c r="B3520" s="1" t="s">
        <v>9567</v>
      </c>
      <c r="C3520" s="3">
        <v>3146205</v>
      </c>
      <c r="D3520" s="3">
        <v>3153982</v>
      </c>
      <c r="E3520" s="1" t="s">
        <v>13</v>
      </c>
      <c r="F3520" s="1">
        <v>2</v>
      </c>
      <c r="G3520" s="1">
        <v>266</v>
      </c>
      <c r="H3520" s="1">
        <v>34</v>
      </c>
      <c r="I3520" s="1" t="s">
        <v>4373</v>
      </c>
      <c r="J3520" s="1" t="s">
        <v>9569</v>
      </c>
      <c r="K3520" s="1" t="s">
        <v>9561</v>
      </c>
    </row>
    <row r="3521" spans="1:11" ht="21" x14ac:dyDescent="0.25">
      <c r="A3521" s="11" t="str">
        <f>HYPERLINK("https://rth.dk/resources/bsgatlas/details.php?id=BSGatlas-transcript-3520","BSGatlas-transcript-3520")</f>
        <v>BSGatlas-transcript-3520</v>
      </c>
      <c r="B3521" s="1" t="s">
        <v>9559</v>
      </c>
      <c r="C3521" s="3">
        <v>3146238</v>
      </c>
      <c r="D3521" s="3">
        <v>3148810</v>
      </c>
      <c r="E3521" s="1" t="s">
        <v>13</v>
      </c>
      <c r="F3521" s="1">
        <v>0</v>
      </c>
      <c r="G3521" s="1" t="s">
        <v>4372</v>
      </c>
      <c r="H3521" s="1" t="s">
        <v>4372</v>
      </c>
      <c r="I3521" s="1" t="s">
        <v>4386</v>
      </c>
      <c r="J3521" s="1" t="s">
        <v>9560</v>
      </c>
      <c r="K3521" s="1" t="s">
        <v>9570</v>
      </c>
    </row>
    <row r="3522" spans="1:11" ht="21" x14ac:dyDescent="0.25">
      <c r="A3522" s="11" t="str">
        <f>HYPERLINK("https://rth.dk/resources/bsgatlas/details.php?id=BSGatlas-transcript-3521","BSGatlas-transcript-3521")</f>
        <v>BSGatlas-transcript-3521</v>
      </c>
      <c r="B3522" s="1" t="s">
        <v>9559</v>
      </c>
      <c r="C3522" s="3">
        <v>3146238</v>
      </c>
      <c r="D3522" s="3">
        <v>3148810</v>
      </c>
      <c r="E3522" s="1" t="s">
        <v>13</v>
      </c>
      <c r="F3522" s="1">
        <v>0</v>
      </c>
      <c r="G3522" s="1" t="s">
        <v>4372</v>
      </c>
      <c r="H3522" s="1" t="s">
        <v>4372</v>
      </c>
      <c r="I3522" s="1" t="s">
        <v>4386</v>
      </c>
      <c r="J3522" s="1" t="s">
        <v>9562</v>
      </c>
      <c r="K3522" s="1" t="s">
        <v>9570</v>
      </c>
    </row>
    <row r="3523" spans="1:11" ht="21" x14ac:dyDescent="0.25">
      <c r="A3523" s="11" t="str">
        <f>HYPERLINK("https://rth.dk/resources/bsgatlas/details.php?id=BSGatlas-transcript-3522","BSGatlas-transcript-3522")</f>
        <v>BSGatlas-transcript-3522</v>
      </c>
      <c r="B3523" s="1" t="s">
        <v>9563</v>
      </c>
      <c r="C3523" s="3">
        <v>3146238</v>
      </c>
      <c r="D3523" s="3">
        <v>3149716</v>
      </c>
      <c r="E3523" s="1" t="s">
        <v>13</v>
      </c>
      <c r="F3523" s="1">
        <v>1</v>
      </c>
      <c r="G3523" s="1" t="s">
        <v>4372</v>
      </c>
      <c r="H3523" s="1" t="s">
        <v>4372</v>
      </c>
      <c r="I3523" s="1" t="s">
        <v>4386</v>
      </c>
      <c r="J3523" s="1" t="s">
        <v>9564</v>
      </c>
      <c r="K3523" s="1" t="s">
        <v>9570</v>
      </c>
    </row>
    <row r="3524" spans="1:11" ht="21" x14ac:dyDescent="0.25">
      <c r="A3524" s="11" t="str">
        <f>HYPERLINK("https://rth.dk/resources/bsgatlas/details.php?id=BSGatlas-transcript-3523","BSGatlas-transcript-3523")</f>
        <v>BSGatlas-transcript-3523</v>
      </c>
      <c r="B3524" s="1" t="s">
        <v>9563</v>
      </c>
      <c r="C3524" s="3">
        <v>3146238</v>
      </c>
      <c r="D3524" s="3">
        <v>3149833</v>
      </c>
      <c r="E3524" s="1" t="s">
        <v>13</v>
      </c>
      <c r="F3524" s="1">
        <v>1</v>
      </c>
      <c r="G3524" s="1">
        <v>118</v>
      </c>
      <c r="H3524" s="1" t="s">
        <v>4372</v>
      </c>
      <c r="I3524" s="1" t="s">
        <v>4386</v>
      </c>
      <c r="J3524" s="1" t="s">
        <v>9565</v>
      </c>
      <c r="K3524" s="1" t="s">
        <v>9570</v>
      </c>
    </row>
    <row r="3525" spans="1:11" ht="21" x14ac:dyDescent="0.25">
      <c r="A3525" s="11" t="str">
        <f>HYPERLINK("https://rth.dk/resources/bsgatlas/details.php?id=BSGatlas-transcript-3524","BSGatlas-transcript-3524")</f>
        <v>BSGatlas-transcript-3524</v>
      </c>
      <c r="B3525" s="1" t="s">
        <v>9563</v>
      </c>
      <c r="C3525" s="3">
        <v>3146238</v>
      </c>
      <c r="D3525" s="3">
        <v>3149999</v>
      </c>
      <c r="E3525" s="1" t="s">
        <v>13</v>
      </c>
      <c r="F3525" s="1">
        <v>1</v>
      </c>
      <c r="G3525" s="1">
        <v>284</v>
      </c>
      <c r="H3525" s="1" t="s">
        <v>4372</v>
      </c>
      <c r="I3525" s="1" t="s">
        <v>4386</v>
      </c>
      <c r="J3525" s="1" t="s">
        <v>9566</v>
      </c>
      <c r="K3525" s="1" t="s">
        <v>9570</v>
      </c>
    </row>
    <row r="3526" spans="1:11" ht="21" x14ac:dyDescent="0.25">
      <c r="A3526" s="11" t="str">
        <f>HYPERLINK("https://rth.dk/resources/bsgatlas/details.php?id=BSGatlas-transcript-3525","BSGatlas-transcript-3525")</f>
        <v>BSGatlas-transcript-3525</v>
      </c>
      <c r="B3526" s="1" t="s">
        <v>9567</v>
      </c>
      <c r="C3526" s="3">
        <v>3146238</v>
      </c>
      <c r="D3526" s="3">
        <v>3153830</v>
      </c>
      <c r="E3526" s="1" t="s">
        <v>13</v>
      </c>
      <c r="F3526" s="1">
        <v>2</v>
      </c>
      <c r="G3526" s="1">
        <v>114</v>
      </c>
      <c r="H3526" s="1" t="s">
        <v>4372</v>
      </c>
      <c r="I3526" s="1" t="s">
        <v>4373</v>
      </c>
      <c r="J3526" s="1" t="s">
        <v>9568</v>
      </c>
      <c r="K3526" s="1" t="s">
        <v>9570</v>
      </c>
    </row>
    <row r="3527" spans="1:11" ht="21" x14ac:dyDescent="0.25">
      <c r="A3527" s="11" t="str">
        <f>HYPERLINK("https://rth.dk/resources/bsgatlas/details.php?id=BSGatlas-transcript-3526","BSGatlas-transcript-3526")</f>
        <v>BSGatlas-transcript-3526</v>
      </c>
      <c r="B3527" s="1" t="s">
        <v>9567</v>
      </c>
      <c r="C3527" s="3">
        <v>3146238</v>
      </c>
      <c r="D3527" s="3">
        <v>3153982</v>
      </c>
      <c r="E3527" s="1" t="s">
        <v>13</v>
      </c>
      <c r="F3527" s="1">
        <v>2</v>
      </c>
      <c r="G3527" s="1">
        <v>266</v>
      </c>
      <c r="H3527" s="1" t="s">
        <v>4372</v>
      </c>
      <c r="I3527" s="1" t="s">
        <v>4373</v>
      </c>
      <c r="J3527" s="1" t="s">
        <v>9569</v>
      </c>
      <c r="K3527" s="1" t="s">
        <v>9570</v>
      </c>
    </row>
    <row r="3528" spans="1:11" ht="21" x14ac:dyDescent="0.25">
      <c r="A3528" s="11" t="str">
        <f>HYPERLINK("https://rth.dk/resources/bsgatlas/details.php?id=BSGatlas-transcript-3527","BSGatlas-transcript-3527")</f>
        <v>BSGatlas-transcript-3527</v>
      </c>
      <c r="B3528" s="1" t="s">
        <v>3255</v>
      </c>
      <c r="C3528" s="3">
        <v>3148837</v>
      </c>
      <c r="D3528" s="3">
        <v>3149716</v>
      </c>
      <c r="E3528" s="1" t="s">
        <v>13</v>
      </c>
      <c r="F3528" s="1">
        <v>0</v>
      </c>
      <c r="G3528" s="1" t="s">
        <v>4372</v>
      </c>
      <c r="H3528" s="1" t="s">
        <v>4372</v>
      </c>
      <c r="I3528" s="1" t="s">
        <v>4377</v>
      </c>
      <c r="J3528" s="1" t="s">
        <v>9564</v>
      </c>
      <c r="K3528" s="1" t="s">
        <v>9571</v>
      </c>
    </row>
    <row r="3529" spans="1:11" ht="21" x14ac:dyDescent="0.25">
      <c r="A3529" s="11" t="str">
        <f>HYPERLINK("https://rth.dk/resources/bsgatlas/details.php?id=BSGatlas-transcript-3528","BSGatlas-transcript-3528")</f>
        <v>BSGatlas-transcript-3528</v>
      </c>
      <c r="B3529" s="1" t="s">
        <v>3255</v>
      </c>
      <c r="C3529" s="3">
        <v>3148837</v>
      </c>
      <c r="D3529" s="3">
        <v>3149833</v>
      </c>
      <c r="E3529" s="1" t="s">
        <v>13</v>
      </c>
      <c r="F3529" s="1">
        <v>0</v>
      </c>
      <c r="G3529" s="1" t="s">
        <v>4372</v>
      </c>
      <c r="H3529" s="1" t="s">
        <v>4372</v>
      </c>
      <c r="I3529" s="1" t="s">
        <v>4377</v>
      </c>
      <c r="J3529" s="1" t="s">
        <v>9565</v>
      </c>
      <c r="K3529" s="1" t="s">
        <v>9571</v>
      </c>
    </row>
    <row r="3530" spans="1:11" ht="21" x14ac:dyDescent="0.25">
      <c r="A3530" s="11" t="str">
        <f>HYPERLINK("https://rth.dk/resources/bsgatlas/details.php?id=BSGatlas-transcript-3529","BSGatlas-transcript-3529")</f>
        <v>BSGatlas-transcript-3529</v>
      </c>
      <c r="B3530" s="1" t="s">
        <v>3255</v>
      </c>
      <c r="C3530" s="3">
        <v>3148837</v>
      </c>
      <c r="D3530" s="3">
        <v>3149999</v>
      </c>
      <c r="E3530" s="1" t="s">
        <v>13</v>
      </c>
      <c r="F3530" s="1">
        <v>0</v>
      </c>
      <c r="G3530" s="1" t="s">
        <v>4372</v>
      </c>
      <c r="H3530" s="1" t="s">
        <v>4372</v>
      </c>
      <c r="I3530" s="1" t="s">
        <v>4377</v>
      </c>
      <c r="J3530" s="1" t="s">
        <v>9566</v>
      </c>
      <c r="K3530" s="1" t="s">
        <v>9571</v>
      </c>
    </row>
    <row r="3531" spans="1:11" ht="21" x14ac:dyDescent="0.25">
      <c r="A3531" s="11" t="str">
        <f>HYPERLINK("https://rth.dk/resources/bsgatlas/details.php?id=BSGatlas-transcript-3530","BSGatlas-transcript-3530")</f>
        <v>BSGatlas-transcript-3530</v>
      </c>
      <c r="B3531" s="1" t="s">
        <v>9572</v>
      </c>
      <c r="C3531" s="3">
        <v>3148837</v>
      </c>
      <c r="D3531" s="3">
        <v>3153830</v>
      </c>
      <c r="E3531" s="1" t="s">
        <v>13</v>
      </c>
      <c r="F3531" s="1">
        <v>1</v>
      </c>
      <c r="G3531" s="1">
        <v>114</v>
      </c>
      <c r="H3531" s="1">
        <v>65</v>
      </c>
      <c r="I3531" s="1" t="s">
        <v>4377</v>
      </c>
      <c r="J3531" s="1" t="s">
        <v>9568</v>
      </c>
      <c r="K3531" s="1" t="s">
        <v>9571</v>
      </c>
    </row>
    <row r="3532" spans="1:11" ht="21" x14ac:dyDescent="0.25">
      <c r="A3532" s="11" t="str">
        <f>HYPERLINK("https://rth.dk/resources/bsgatlas/details.php?id=BSGatlas-transcript-3531","BSGatlas-transcript-3531")</f>
        <v>BSGatlas-transcript-3531</v>
      </c>
      <c r="B3532" s="1" t="s">
        <v>9572</v>
      </c>
      <c r="C3532" s="3">
        <v>3148837</v>
      </c>
      <c r="D3532" s="3">
        <v>3153982</v>
      </c>
      <c r="E3532" s="1" t="s">
        <v>13</v>
      </c>
      <c r="F3532" s="1">
        <v>1</v>
      </c>
      <c r="G3532" s="1">
        <v>266</v>
      </c>
      <c r="H3532" s="1">
        <v>65</v>
      </c>
      <c r="I3532" s="1" t="s">
        <v>4377</v>
      </c>
      <c r="J3532" s="1" t="s">
        <v>9569</v>
      </c>
      <c r="K3532" s="1" t="s">
        <v>9571</v>
      </c>
    </row>
    <row r="3533" spans="1:11" ht="21" x14ac:dyDescent="0.25">
      <c r="A3533" s="11" t="str">
        <f>HYPERLINK("https://rth.dk/resources/bsgatlas/details.php?id=BSGatlas-transcript-3532","BSGatlas-transcript-3532")</f>
        <v>BSGatlas-transcript-3532</v>
      </c>
      <c r="B3533" s="1" t="s">
        <v>3259</v>
      </c>
      <c r="C3533" s="3">
        <v>3153978</v>
      </c>
      <c r="D3533" s="3">
        <v>3154759</v>
      </c>
      <c r="E3533" s="1" t="s">
        <v>9</v>
      </c>
      <c r="F3533" s="1">
        <v>0</v>
      </c>
      <c r="G3533" s="1" t="s">
        <v>4372</v>
      </c>
      <c r="H3533" s="1" t="s">
        <v>4372</v>
      </c>
      <c r="I3533" s="1" t="s">
        <v>4373</v>
      </c>
      <c r="J3533" s="1" t="s">
        <v>9573</v>
      </c>
      <c r="K3533" s="1" t="s">
        <v>9574</v>
      </c>
    </row>
    <row r="3534" spans="1:11" ht="21" x14ac:dyDescent="0.25">
      <c r="A3534" s="11" t="str">
        <f>HYPERLINK("https://rth.dk/resources/bsgatlas/details.php?id=BSGatlas-transcript-3533","BSGatlas-transcript-3533")</f>
        <v>BSGatlas-transcript-3533</v>
      </c>
      <c r="B3534" s="1" t="s">
        <v>3260</v>
      </c>
      <c r="C3534" s="3">
        <v>3154044</v>
      </c>
      <c r="D3534" s="3">
        <v>3155588</v>
      </c>
      <c r="E3534" s="1" t="s">
        <v>13</v>
      </c>
      <c r="F3534" s="1">
        <v>0</v>
      </c>
      <c r="G3534" s="1" t="s">
        <v>4372</v>
      </c>
      <c r="H3534" s="1" t="s">
        <v>4372</v>
      </c>
      <c r="I3534" s="1" t="s">
        <v>4397</v>
      </c>
      <c r="J3534" s="1" t="s">
        <v>9575</v>
      </c>
      <c r="K3534" s="1" t="s">
        <v>9576</v>
      </c>
    </row>
    <row r="3535" spans="1:11" ht="21" x14ac:dyDescent="0.25">
      <c r="A3535" s="11" t="str">
        <f>HYPERLINK("https://rth.dk/resources/bsgatlas/details.php?id=BSGatlas-transcript-3534","BSGatlas-transcript-3534")</f>
        <v>BSGatlas-transcript-3534</v>
      </c>
      <c r="B3535" s="1" t="s">
        <v>9577</v>
      </c>
      <c r="C3535" s="3">
        <v>3155676</v>
      </c>
      <c r="D3535" s="3">
        <v>3159229</v>
      </c>
      <c r="E3535" s="1" t="s">
        <v>9</v>
      </c>
      <c r="F3535" s="1">
        <v>0</v>
      </c>
      <c r="G3535" s="1" t="s">
        <v>4372</v>
      </c>
      <c r="H3535" s="1" t="s">
        <v>4372</v>
      </c>
      <c r="I3535" s="1" t="s">
        <v>4386</v>
      </c>
      <c r="J3535" s="1" t="s">
        <v>9578</v>
      </c>
      <c r="K3535" s="1" t="s">
        <v>9579</v>
      </c>
    </row>
    <row r="3536" spans="1:11" ht="21" x14ac:dyDescent="0.25">
      <c r="A3536" s="11" t="str">
        <f>HYPERLINK("https://rth.dk/resources/bsgatlas/details.php?id=BSGatlas-transcript-3535","BSGatlas-transcript-3535")</f>
        <v>BSGatlas-transcript-3535</v>
      </c>
      <c r="B3536" s="1" t="s">
        <v>9577</v>
      </c>
      <c r="C3536" s="3">
        <v>3155676</v>
      </c>
      <c r="D3536" s="3">
        <v>3159785</v>
      </c>
      <c r="E3536" s="1" t="s">
        <v>9</v>
      </c>
      <c r="F3536" s="1">
        <v>0</v>
      </c>
      <c r="G3536" s="1" t="s">
        <v>4372</v>
      </c>
      <c r="H3536" s="1" t="s">
        <v>4372</v>
      </c>
      <c r="I3536" s="1" t="s">
        <v>4386</v>
      </c>
      <c r="J3536" s="1" t="s">
        <v>9578</v>
      </c>
      <c r="K3536" s="1" t="s">
        <v>9580</v>
      </c>
    </row>
    <row r="3537" spans="1:11" ht="21" x14ac:dyDescent="0.25">
      <c r="A3537" s="11" t="str">
        <f>HYPERLINK("https://rth.dk/resources/bsgatlas/details.php?id=BSGatlas-transcript-3536","BSGatlas-transcript-3536")</f>
        <v>BSGatlas-transcript-3536</v>
      </c>
      <c r="B3537" s="1" t="s">
        <v>3263</v>
      </c>
      <c r="C3537" s="3">
        <v>3157961</v>
      </c>
      <c r="D3537" s="3">
        <v>3159229</v>
      </c>
      <c r="E3537" s="1" t="s">
        <v>9</v>
      </c>
      <c r="F3537" s="1">
        <v>0</v>
      </c>
      <c r="G3537" s="1" t="s">
        <v>4372</v>
      </c>
      <c r="H3537" s="1" t="s">
        <v>4372</v>
      </c>
      <c r="I3537" s="1" t="s">
        <v>4382</v>
      </c>
      <c r="J3537" s="1" t="s">
        <v>318</v>
      </c>
      <c r="K3537" s="1" t="s">
        <v>9579</v>
      </c>
    </row>
    <row r="3538" spans="1:11" ht="21" x14ac:dyDescent="0.25">
      <c r="A3538" s="11" t="str">
        <f>HYPERLINK("https://rth.dk/resources/bsgatlas/details.php?id=BSGatlas-transcript-3537","BSGatlas-transcript-3537")</f>
        <v>BSGatlas-transcript-3537</v>
      </c>
      <c r="B3538" s="1" t="s">
        <v>3263</v>
      </c>
      <c r="C3538" s="3">
        <v>3157961</v>
      </c>
      <c r="D3538" s="3">
        <v>3159785</v>
      </c>
      <c r="E3538" s="1" t="s">
        <v>9</v>
      </c>
      <c r="F3538" s="1">
        <v>0</v>
      </c>
      <c r="G3538" s="1" t="s">
        <v>4372</v>
      </c>
      <c r="H3538" s="1" t="s">
        <v>4372</v>
      </c>
      <c r="I3538" s="1" t="s">
        <v>4382</v>
      </c>
      <c r="J3538" s="1" t="s">
        <v>318</v>
      </c>
      <c r="K3538" s="1" t="s">
        <v>9580</v>
      </c>
    </row>
    <row r="3539" spans="1:11" ht="21" x14ac:dyDescent="0.25">
      <c r="A3539" s="11" t="str">
        <f>HYPERLINK("https://rth.dk/resources/bsgatlas/details.php?id=BSGatlas-transcript-3538","BSGatlas-transcript-3538")</f>
        <v>BSGatlas-transcript-3538</v>
      </c>
      <c r="B3539" s="1" t="s">
        <v>9581</v>
      </c>
      <c r="C3539" s="3">
        <v>3159086</v>
      </c>
      <c r="D3539" s="3">
        <v>3161930</v>
      </c>
      <c r="E3539" s="1" t="s">
        <v>13</v>
      </c>
      <c r="F3539" s="1">
        <v>0</v>
      </c>
      <c r="G3539" s="1" t="s">
        <v>4372</v>
      </c>
      <c r="H3539" s="1" t="s">
        <v>4372</v>
      </c>
      <c r="I3539" s="1" t="s">
        <v>4373</v>
      </c>
      <c r="J3539" s="1" t="s">
        <v>9582</v>
      </c>
      <c r="K3539" s="1" t="s">
        <v>9583</v>
      </c>
    </row>
    <row r="3540" spans="1:11" ht="21" x14ac:dyDescent="0.25">
      <c r="A3540" s="11" t="str">
        <f>HYPERLINK("https://rth.dk/resources/bsgatlas/details.php?id=BSGatlas-transcript-3539","BSGatlas-transcript-3539")</f>
        <v>BSGatlas-transcript-3539</v>
      </c>
      <c r="B3540" s="1" t="s">
        <v>9581</v>
      </c>
      <c r="C3540" s="3">
        <v>3159228</v>
      </c>
      <c r="D3540" s="3">
        <v>3161930</v>
      </c>
      <c r="E3540" s="1" t="s">
        <v>13</v>
      </c>
      <c r="F3540" s="1">
        <v>0</v>
      </c>
      <c r="G3540" s="1" t="s">
        <v>4372</v>
      </c>
      <c r="H3540" s="1" t="s">
        <v>4372</v>
      </c>
      <c r="I3540" s="1" t="s">
        <v>4373</v>
      </c>
      <c r="J3540" s="1" t="s">
        <v>9582</v>
      </c>
      <c r="K3540" s="1" t="s">
        <v>9584</v>
      </c>
    </row>
    <row r="3541" spans="1:11" ht="21" x14ac:dyDescent="0.25">
      <c r="A3541" s="11" t="str">
        <f>HYPERLINK("https://rth.dk/resources/bsgatlas/details.php?id=BSGatlas-transcript-3540","BSGatlas-transcript-3540")</f>
        <v>BSGatlas-transcript-3540</v>
      </c>
      <c r="B3541" s="1" t="s">
        <v>3267</v>
      </c>
      <c r="C3541" s="3">
        <v>3162057</v>
      </c>
      <c r="D3541" s="3">
        <v>3163157</v>
      </c>
      <c r="E3541" s="1" t="s">
        <v>9</v>
      </c>
      <c r="F3541" s="1">
        <v>0</v>
      </c>
      <c r="G3541" s="1" t="s">
        <v>4372</v>
      </c>
      <c r="H3541" s="1" t="s">
        <v>4372</v>
      </c>
      <c r="I3541" s="1" t="s">
        <v>4373</v>
      </c>
      <c r="J3541" s="1" t="s">
        <v>9585</v>
      </c>
      <c r="K3541" s="1" t="s">
        <v>9586</v>
      </c>
    </row>
    <row r="3542" spans="1:11" ht="21" x14ac:dyDescent="0.25">
      <c r="A3542" s="11" t="str">
        <f>HYPERLINK("https://rth.dk/resources/bsgatlas/details.php?id=BSGatlas-transcript-3541","BSGatlas-transcript-3541")</f>
        <v>BSGatlas-transcript-3541</v>
      </c>
      <c r="B3542" s="1" t="s">
        <v>3267</v>
      </c>
      <c r="C3542" s="3">
        <v>3162084</v>
      </c>
      <c r="D3542" s="3">
        <v>3163157</v>
      </c>
      <c r="E3542" s="1" t="s">
        <v>9</v>
      </c>
      <c r="F3542" s="1">
        <v>0</v>
      </c>
      <c r="G3542" s="1" t="s">
        <v>4372</v>
      </c>
      <c r="H3542" s="1" t="s">
        <v>4372</v>
      </c>
      <c r="I3542" s="1" t="s">
        <v>4373</v>
      </c>
      <c r="J3542" s="1" t="s">
        <v>9587</v>
      </c>
      <c r="K3542" s="1" t="s">
        <v>9586</v>
      </c>
    </row>
    <row r="3543" spans="1:11" ht="21" x14ac:dyDescent="0.25">
      <c r="A3543" s="11" t="str">
        <f>HYPERLINK("https://rth.dk/resources/bsgatlas/details.php?id=BSGatlas-transcript-3542","BSGatlas-transcript-3542")</f>
        <v>BSGatlas-transcript-3542</v>
      </c>
      <c r="B3543" s="1" t="s">
        <v>3268</v>
      </c>
      <c r="C3543" s="3">
        <v>3163205</v>
      </c>
      <c r="D3543" s="3">
        <v>3163704</v>
      </c>
      <c r="E3543" s="1" t="s">
        <v>9</v>
      </c>
      <c r="F3543" s="1">
        <v>0</v>
      </c>
      <c r="G3543" s="1" t="s">
        <v>4372</v>
      </c>
      <c r="H3543" s="1" t="s">
        <v>4372</v>
      </c>
      <c r="I3543" s="1" t="s">
        <v>4373</v>
      </c>
      <c r="J3543" s="1" t="s">
        <v>9588</v>
      </c>
      <c r="K3543" s="1" t="s">
        <v>9589</v>
      </c>
    </row>
    <row r="3544" spans="1:11" ht="21" x14ac:dyDescent="0.25">
      <c r="A3544" s="11" t="str">
        <f>HYPERLINK("https://rth.dk/resources/bsgatlas/details.php?id=BSGatlas-transcript-3543","BSGatlas-transcript-3543")</f>
        <v>BSGatlas-transcript-3543</v>
      </c>
      <c r="B3544" s="1" t="s">
        <v>3268</v>
      </c>
      <c r="C3544" s="3">
        <v>3163205</v>
      </c>
      <c r="D3544" s="3">
        <v>3163745</v>
      </c>
      <c r="E3544" s="1" t="s">
        <v>9</v>
      </c>
      <c r="F3544" s="1">
        <v>0</v>
      </c>
      <c r="G3544" s="1" t="s">
        <v>4372</v>
      </c>
      <c r="H3544" s="1" t="s">
        <v>4372</v>
      </c>
      <c r="I3544" s="1" t="s">
        <v>4373</v>
      </c>
      <c r="J3544" s="1" t="s">
        <v>9588</v>
      </c>
      <c r="K3544" s="1" t="s">
        <v>9590</v>
      </c>
    </row>
    <row r="3545" spans="1:11" ht="21" x14ac:dyDescent="0.25">
      <c r="A3545" s="11" t="str">
        <f>HYPERLINK("https://rth.dk/resources/bsgatlas/details.php?id=BSGatlas-transcript-3544","BSGatlas-transcript-3544")</f>
        <v>BSGatlas-transcript-3544</v>
      </c>
      <c r="B3545" s="1" t="s">
        <v>9591</v>
      </c>
      <c r="C3545" s="3">
        <v>3163699</v>
      </c>
      <c r="D3545" s="3">
        <v>3171646</v>
      </c>
      <c r="E3545" s="1" t="s">
        <v>13</v>
      </c>
      <c r="F3545" s="1">
        <v>1</v>
      </c>
      <c r="G3545" s="1" t="s">
        <v>4372</v>
      </c>
      <c r="H3545" s="1">
        <v>37</v>
      </c>
      <c r="I3545" s="1" t="s">
        <v>4373</v>
      </c>
      <c r="J3545" s="1" t="s">
        <v>9592</v>
      </c>
      <c r="K3545" s="1" t="s">
        <v>9593</v>
      </c>
    </row>
    <row r="3546" spans="1:11" ht="21" x14ac:dyDescent="0.25">
      <c r="A3546" s="11" t="str">
        <f>HYPERLINK("https://rth.dk/resources/bsgatlas/details.php?id=BSGatlas-transcript-3545","BSGatlas-transcript-3545")</f>
        <v>BSGatlas-transcript-3545</v>
      </c>
      <c r="B3546" s="1" t="s">
        <v>9591</v>
      </c>
      <c r="C3546" s="3">
        <v>3163699</v>
      </c>
      <c r="D3546" s="3">
        <v>3171691</v>
      </c>
      <c r="E3546" s="1" t="s">
        <v>13</v>
      </c>
      <c r="F3546" s="1">
        <v>1</v>
      </c>
      <c r="G3546" s="1">
        <v>46</v>
      </c>
      <c r="H3546" s="1">
        <v>37</v>
      </c>
      <c r="I3546" s="1" t="s">
        <v>4373</v>
      </c>
      <c r="J3546" s="1" t="s">
        <v>9594</v>
      </c>
      <c r="K3546" s="1" t="s">
        <v>9593</v>
      </c>
    </row>
    <row r="3547" spans="1:11" ht="21" x14ac:dyDescent="0.25">
      <c r="A3547" s="11" t="str">
        <f>HYPERLINK("https://rth.dk/resources/bsgatlas/details.php?id=BSGatlas-transcript-3546","BSGatlas-transcript-3546")</f>
        <v>BSGatlas-transcript-3546</v>
      </c>
      <c r="B3547" s="1" t="s">
        <v>9595</v>
      </c>
      <c r="C3547" s="3">
        <v>3171694</v>
      </c>
      <c r="D3547" s="3">
        <v>3178818</v>
      </c>
      <c r="E3547" s="1" t="s">
        <v>13</v>
      </c>
      <c r="F3547" s="1">
        <v>9</v>
      </c>
      <c r="G3547" s="1">
        <v>179</v>
      </c>
      <c r="H3547" s="1">
        <v>185</v>
      </c>
      <c r="I3547" s="1" t="s">
        <v>4382</v>
      </c>
      <c r="J3547" s="1" t="s">
        <v>9596</v>
      </c>
      <c r="K3547" s="1" t="s">
        <v>9597</v>
      </c>
    </row>
    <row r="3548" spans="1:11" ht="21" x14ac:dyDescent="0.25">
      <c r="A3548" s="11" t="str">
        <f>HYPERLINK("https://rth.dk/resources/bsgatlas/details.php?id=BSGatlas-transcript-3547","BSGatlas-transcript-3547")</f>
        <v>BSGatlas-transcript-3547</v>
      </c>
      <c r="B3548" s="1" t="s">
        <v>9595</v>
      </c>
      <c r="C3548" s="3">
        <v>3171694</v>
      </c>
      <c r="D3548" s="3">
        <v>3178908</v>
      </c>
      <c r="E3548" s="1" t="s">
        <v>13</v>
      </c>
      <c r="F3548" s="1">
        <v>9</v>
      </c>
      <c r="G3548" s="1">
        <v>269</v>
      </c>
      <c r="H3548" s="1">
        <v>185</v>
      </c>
      <c r="I3548" s="1" t="s">
        <v>4382</v>
      </c>
      <c r="J3548" s="1" t="s">
        <v>9598</v>
      </c>
      <c r="K3548" s="1" t="s">
        <v>9597</v>
      </c>
    </row>
    <row r="3549" spans="1:11" ht="21" x14ac:dyDescent="0.25">
      <c r="A3549" s="11" t="str">
        <f>HYPERLINK("https://rth.dk/resources/bsgatlas/details.php?id=BSGatlas-transcript-3548","BSGatlas-transcript-3548")</f>
        <v>BSGatlas-transcript-3548</v>
      </c>
      <c r="B3549" s="1" t="s">
        <v>9595</v>
      </c>
      <c r="C3549" s="3">
        <v>3171736</v>
      </c>
      <c r="D3549" s="3">
        <v>3178818</v>
      </c>
      <c r="E3549" s="1" t="s">
        <v>13</v>
      </c>
      <c r="F3549" s="1">
        <v>9</v>
      </c>
      <c r="G3549" s="1">
        <v>179</v>
      </c>
      <c r="H3549" s="1">
        <v>143</v>
      </c>
      <c r="I3549" s="1" t="s">
        <v>4382</v>
      </c>
      <c r="J3549" s="1" t="s">
        <v>9596</v>
      </c>
      <c r="K3549" s="1" t="s">
        <v>9599</v>
      </c>
    </row>
    <row r="3550" spans="1:11" ht="21" x14ac:dyDescent="0.25">
      <c r="A3550" s="11" t="str">
        <f>HYPERLINK("https://rth.dk/resources/bsgatlas/details.php?id=BSGatlas-transcript-3549","BSGatlas-transcript-3549")</f>
        <v>BSGatlas-transcript-3549</v>
      </c>
      <c r="B3550" s="1" t="s">
        <v>9595</v>
      </c>
      <c r="C3550" s="3">
        <v>3171736</v>
      </c>
      <c r="D3550" s="3">
        <v>3178908</v>
      </c>
      <c r="E3550" s="1" t="s">
        <v>13</v>
      </c>
      <c r="F3550" s="1">
        <v>9</v>
      </c>
      <c r="G3550" s="1">
        <v>269</v>
      </c>
      <c r="H3550" s="1">
        <v>143</v>
      </c>
      <c r="I3550" s="1" t="s">
        <v>4382</v>
      </c>
      <c r="J3550" s="1" t="s">
        <v>9598</v>
      </c>
      <c r="K3550" s="1" t="s">
        <v>9599</v>
      </c>
    </row>
    <row r="3551" spans="1:11" ht="21" x14ac:dyDescent="0.25">
      <c r="A3551" s="11" t="str">
        <f>HYPERLINK("https://rth.dk/resources/bsgatlas/details.php?id=BSGatlas-transcript-3550","BSGatlas-transcript-3550")</f>
        <v>BSGatlas-transcript-3550</v>
      </c>
      <c r="B3551" s="1" t="s">
        <v>9595</v>
      </c>
      <c r="C3551" s="3">
        <v>3171837</v>
      </c>
      <c r="D3551" s="3">
        <v>3178818</v>
      </c>
      <c r="E3551" s="1" t="s">
        <v>13</v>
      </c>
      <c r="F3551" s="1">
        <v>9</v>
      </c>
      <c r="G3551" s="1">
        <v>179</v>
      </c>
      <c r="H3551" s="1">
        <v>42</v>
      </c>
      <c r="I3551" s="1" t="s">
        <v>4382</v>
      </c>
      <c r="J3551" s="1" t="s">
        <v>9596</v>
      </c>
      <c r="K3551" s="1" t="s">
        <v>9600</v>
      </c>
    </row>
    <row r="3552" spans="1:11" ht="21" x14ac:dyDescent="0.25">
      <c r="A3552" s="11" t="str">
        <f>HYPERLINK("https://rth.dk/resources/bsgatlas/details.php?id=BSGatlas-transcript-3551","BSGatlas-transcript-3551")</f>
        <v>BSGatlas-transcript-3551</v>
      </c>
      <c r="B3552" s="1" t="s">
        <v>9595</v>
      </c>
      <c r="C3552" s="3">
        <v>3171837</v>
      </c>
      <c r="D3552" s="3">
        <v>3178908</v>
      </c>
      <c r="E3552" s="1" t="s">
        <v>13</v>
      </c>
      <c r="F3552" s="1">
        <v>9</v>
      </c>
      <c r="G3552" s="1">
        <v>269</v>
      </c>
      <c r="H3552" s="1">
        <v>42</v>
      </c>
      <c r="I3552" s="1" t="s">
        <v>4382</v>
      </c>
      <c r="J3552" s="1" t="s">
        <v>9598</v>
      </c>
      <c r="K3552" s="1" t="s">
        <v>9600</v>
      </c>
    </row>
    <row r="3553" spans="1:11" ht="21" x14ac:dyDescent="0.25">
      <c r="A3553" s="11" t="str">
        <f>HYPERLINK("https://rth.dk/resources/bsgatlas/details.php?id=BSGatlas-transcript-3552","BSGatlas-transcript-3552")</f>
        <v>BSGatlas-transcript-3552</v>
      </c>
      <c r="B3553" s="1" t="s">
        <v>54</v>
      </c>
      <c r="C3553" s="3">
        <v>3178634</v>
      </c>
      <c r="D3553" s="3">
        <v>3178906</v>
      </c>
      <c r="E3553" s="1" t="s">
        <v>9</v>
      </c>
      <c r="F3553" s="1">
        <v>0</v>
      </c>
      <c r="G3553" s="1" t="s">
        <v>4372</v>
      </c>
      <c r="H3553" s="1" t="s">
        <v>4372</v>
      </c>
      <c r="I3553" s="1" t="s">
        <v>4377</v>
      </c>
      <c r="J3553" s="1" t="s">
        <v>318</v>
      </c>
      <c r="K3553" s="1" t="s">
        <v>9601</v>
      </c>
    </row>
    <row r="3554" spans="1:11" ht="21" x14ac:dyDescent="0.25">
      <c r="A3554" s="11" t="str">
        <f>HYPERLINK("https://rth.dk/resources/bsgatlas/details.php?id=BSGatlas-transcript-3553","BSGatlas-transcript-3553")</f>
        <v>BSGatlas-transcript-3553</v>
      </c>
      <c r="B3554" s="1" t="s">
        <v>3298</v>
      </c>
      <c r="C3554" s="3">
        <v>3178774</v>
      </c>
      <c r="D3554" s="3">
        <v>3179884</v>
      </c>
      <c r="E3554" s="1" t="s">
        <v>9</v>
      </c>
      <c r="F3554" s="1">
        <v>0</v>
      </c>
      <c r="G3554" s="1" t="s">
        <v>4372</v>
      </c>
      <c r="H3554" s="1" t="s">
        <v>4372</v>
      </c>
      <c r="I3554" s="1" t="s">
        <v>4386</v>
      </c>
      <c r="J3554" s="1" t="s">
        <v>9602</v>
      </c>
      <c r="K3554" s="1" t="s">
        <v>9603</v>
      </c>
    </row>
    <row r="3555" spans="1:11" ht="21" x14ac:dyDescent="0.25">
      <c r="A3555" s="11" t="str">
        <f>HYPERLINK("https://rth.dk/resources/bsgatlas/details.php?id=BSGatlas-transcript-3554","BSGatlas-transcript-3554")</f>
        <v>BSGatlas-transcript-3554</v>
      </c>
      <c r="B3555" s="1" t="s">
        <v>3298</v>
      </c>
      <c r="C3555" s="3">
        <v>3179072</v>
      </c>
      <c r="D3555" s="3">
        <v>3179884</v>
      </c>
      <c r="E3555" s="1" t="s">
        <v>9</v>
      </c>
      <c r="F3555" s="1">
        <v>0</v>
      </c>
      <c r="G3555" s="1" t="s">
        <v>4372</v>
      </c>
      <c r="H3555" s="1" t="s">
        <v>4372</v>
      </c>
      <c r="I3555" s="1" t="s">
        <v>4386</v>
      </c>
      <c r="J3555" s="1" t="s">
        <v>9604</v>
      </c>
      <c r="K3555" s="1" t="s">
        <v>9603</v>
      </c>
    </row>
    <row r="3556" spans="1:11" ht="21" x14ac:dyDescent="0.25">
      <c r="A3556" s="11" t="str">
        <f>HYPERLINK("https://rth.dk/resources/bsgatlas/details.php?id=BSGatlas-transcript-3555","BSGatlas-transcript-3555")</f>
        <v>BSGatlas-transcript-3555</v>
      </c>
      <c r="B3556" s="1" t="s">
        <v>3299</v>
      </c>
      <c r="C3556" s="3">
        <v>3179104</v>
      </c>
      <c r="D3556" s="3">
        <v>3179227</v>
      </c>
      <c r="E3556" s="1" t="s">
        <v>9</v>
      </c>
      <c r="F3556" s="1">
        <v>0</v>
      </c>
      <c r="G3556" s="1" t="s">
        <v>4372</v>
      </c>
      <c r="H3556" s="1" t="s">
        <v>4372</v>
      </c>
      <c r="I3556" s="1" t="s">
        <v>4377</v>
      </c>
      <c r="J3556" s="1" t="s">
        <v>318</v>
      </c>
      <c r="K3556" s="1" t="s">
        <v>9605</v>
      </c>
    </row>
    <row r="3557" spans="1:11" ht="21" x14ac:dyDescent="0.25">
      <c r="A3557" s="11" t="str">
        <f>HYPERLINK("https://rth.dk/resources/bsgatlas/details.php?id=BSGatlas-transcript-3556","BSGatlas-transcript-3556")</f>
        <v>BSGatlas-transcript-3556</v>
      </c>
      <c r="B3557" s="1" t="s">
        <v>9606</v>
      </c>
      <c r="C3557" s="3">
        <v>3179879</v>
      </c>
      <c r="D3557" s="3">
        <v>3182585</v>
      </c>
      <c r="E3557" s="1" t="s">
        <v>13</v>
      </c>
      <c r="F3557" s="1">
        <v>2</v>
      </c>
      <c r="G3557" s="1">
        <v>47</v>
      </c>
      <c r="H3557" s="1">
        <v>48</v>
      </c>
      <c r="I3557" s="1" t="s">
        <v>4373</v>
      </c>
      <c r="J3557" s="1" t="s">
        <v>9607</v>
      </c>
      <c r="K3557" s="1" t="s">
        <v>9608</v>
      </c>
    </row>
    <row r="3558" spans="1:11" ht="21" x14ac:dyDescent="0.25">
      <c r="A3558" s="11" t="str">
        <f>HYPERLINK("https://rth.dk/resources/bsgatlas/details.php?id=BSGatlas-transcript-3557","BSGatlas-transcript-3557")</f>
        <v>BSGatlas-transcript-3557</v>
      </c>
      <c r="B3558" s="1" t="s">
        <v>9606</v>
      </c>
      <c r="C3558" s="3">
        <v>3179879</v>
      </c>
      <c r="D3558" s="3">
        <v>3182678</v>
      </c>
      <c r="E3558" s="1" t="s">
        <v>13</v>
      </c>
      <c r="F3558" s="1">
        <v>2</v>
      </c>
      <c r="G3558" s="1">
        <v>140</v>
      </c>
      <c r="H3558" s="1">
        <v>48</v>
      </c>
      <c r="I3558" s="1" t="s">
        <v>4373</v>
      </c>
      <c r="J3558" s="1" t="s">
        <v>9609</v>
      </c>
      <c r="K3558" s="1" t="s">
        <v>9608</v>
      </c>
    </row>
    <row r="3559" spans="1:11" ht="21" x14ac:dyDescent="0.25">
      <c r="A3559" s="11" t="str">
        <f>HYPERLINK("https://rth.dk/resources/bsgatlas/details.php?id=BSGatlas-transcript-3558","BSGatlas-transcript-3558")</f>
        <v>BSGatlas-transcript-3558</v>
      </c>
      <c r="B3559" s="1" t="s">
        <v>9606</v>
      </c>
      <c r="C3559" s="3">
        <v>3179926</v>
      </c>
      <c r="D3559" s="3">
        <v>3182585</v>
      </c>
      <c r="E3559" s="1" t="s">
        <v>13</v>
      </c>
      <c r="F3559" s="1">
        <v>2</v>
      </c>
      <c r="G3559" s="1">
        <v>47</v>
      </c>
      <c r="H3559" s="1" t="s">
        <v>4372</v>
      </c>
      <c r="I3559" s="1" t="s">
        <v>4373</v>
      </c>
      <c r="J3559" s="1" t="s">
        <v>9607</v>
      </c>
      <c r="K3559" s="1" t="s">
        <v>9610</v>
      </c>
    </row>
    <row r="3560" spans="1:11" ht="21" x14ac:dyDescent="0.25">
      <c r="A3560" s="11" t="str">
        <f>HYPERLINK("https://rth.dk/resources/bsgatlas/details.php?id=BSGatlas-transcript-3559","BSGatlas-transcript-3559")</f>
        <v>BSGatlas-transcript-3559</v>
      </c>
      <c r="B3560" s="1" t="s">
        <v>9606</v>
      </c>
      <c r="C3560" s="3">
        <v>3179926</v>
      </c>
      <c r="D3560" s="3">
        <v>3182678</v>
      </c>
      <c r="E3560" s="1" t="s">
        <v>13</v>
      </c>
      <c r="F3560" s="1">
        <v>2</v>
      </c>
      <c r="G3560" s="1">
        <v>140</v>
      </c>
      <c r="H3560" s="1" t="s">
        <v>4372</v>
      </c>
      <c r="I3560" s="1" t="s">
        <v>4373</v>
      </c>
      <c r="J3560" s="1" t="s">
        <v>9609</v>
      </c>
      <c r="K3560" s="1" t="s">
        <v>9610</v>
      </c>
    </row>
    <row r="3561" spans="1:11" ht="21" x14ac:dyDescent="0.25">
      <c r="A3561" s="11" t="str">
        <f>HYPERLINK("https://rth.dk/resources/bsgatlas/details.php?id=BSGatlas-transcript-3560","BSGatlas-transcript-3560")</f>
        <v>BSGatlas-transcript-3560</v>
      </c>
      <c r="B3561" s="1" t="s">
        <v>3303</v>
      </c>
      <c r="C3561" s="3">
        <v>3182673</v>
      </c>
      <c r="D3561" s="3">
        <v>3183195</v>
      </c>
      <c r="E3561" s="1" t="s">
        <v>9</v>
      </c>
      <c r="F3561" s="1">
        <v>0</v>
      </c>
      <c r="G3561" s="1" t="s">
        <v>4372</v>
      </c>
      <c r="H3561" s="1" t="s">
        <v>4372</v>
      </c>
      <c r="I3561" s="1" t="s">
        <v>4397</v>
      </c>
      <c r="J3561" s="1" t="s">
        <v>9611</v>
      </c>
      <c r="K3561" s="1" t="s">
        <v>9612</v>
      </c>
    </row>
    <row r="3562" spans="1:11" ht="21" x14ac:dyDescent="0.25">
      <c r="A3562" s="11" t="str">
        <f>HYPERLINK("https://rth.dk/resources/bsgatlas/details.php?id=BSGatlas-transcript-3561","BSGatlas-transcript-3561")</f>
        <v>BSGatlas-transcript-3561</v>
      </c>
      <c r="B3562" s="1" t="s">
        <v>3303</v>
      </c>
      <c r="C3562" s="3">
        <v>3182673</v>
      </c>
      <c r="D3562" s="3">
        <v>3183641</v>
      </c>
      <c r="E3562" s="1" t="s">
        <v>9</v>
      </c>
      <c r="F3562" s="1">
        <v>0</v>
      </c>
      <c r="G3562" s="1" t="s">
        <v>4372</v>
      </c>
      <c r="H3562" s="1" t="s">
        <v>4372</v>
      </c>
      <c r="I3562" s="1" t="s">
        <v>4397</v>
      </c>
      <c r="J3562" s="1" t="s">
        <v>9611</v>
      </c>
      <c r="K3562" s="1" t="s">
        <v>9613</v>
      </c>
    </row>
    <row r="3563" spans="1:11" ht="21" x14ac:dyDescent="0.25">
      <c r="A3563" s="11" t="str">
        <f>HYPERLINK("https://rth.dk/resources/bsgatlas/details.php?id=BSGatlas-transcript-3562","BSGatlas-transcript-3562")</f>
        <v>BSGatlas-transcript-3562</v>
      </c>
      <c r="B3563" s="1" t="s">
        <v>3304</v>
      </c>
      <c r="C3563" s="3">
        <v>3183201</v>
      </c>
      <c r="D3563" s="3">
        <v>3183822</v>
      </c>
      <c r="E3563" s="1" t="s">
        <v>13</v>
      </c>
      <c r="F3563" s="1">
        <v>0</v>
      </c>
      <c r="G3563" s="1" t="s">
        <v>4372</v>
      </c>
      <c r="H3563" s="1" t="s">
        <v>4372</v>
      </c>
      <c r="I3563" s="1" t="s">
        <v>4386</v>
      </c>
      <c r="J3563" s="1" t="s">
        <v>9614</v>
      </c>
      <c r="K3563" s="1" t="s">
        <v>9615</v>
      </c>
    </row>
    <row r="3564" spans="1:11" ht="21" x14ac:dyDescent="0.25">
      <c r="A3564" s="11" t="str">
        <f>HYPERLINK("https://rth.dk/resources/bsgatlas/details.php?id=BSGatlas-transcript-3563","BSGatlas-transcript-3563")</f>
        <v>BSGatlas-transcript-3563</v>
      </c>
      <c r="B3564" s="1" t="s">
        <v>3305</v>
      </c>
      <c r="C3564" s="3">
        <v>3183867</v>
      </c>
      <c r="D3564" s="3">
        <v>3185075</v>
      </c>
      <c r="E3564" s="1" t="s">
        <v>13</v>
      </c>
      <c r="F3564" s="1">
        <v>0</v>
      </c>
      <c r="G3564" s="1" t="s">
        <v>4372</v>
      </c>
      <c r="H3564" s="1" t="s">
        <v>4372</v>
      </c>
      <c r="I3564" s="1" t="s">
        <v>4377</v>
      </c>
      <c r="J3564" s="1" t="s">
        <v>9616</v>
      </c>
      <c r="K3564" s="1" t="s">
        <v>9617</v>
      </c>
    </row>
    <row r="3565" spans="1:11" ht="21" x14ac:dyDescent="0.25">
      <c r="A3565" s="11" t="str">
        <f>HYPERLINK("https://rth.dk/resources/bsgatlas/details.php?id=BSGatlas-transcript-3564","BSGatlas-transcript-3564")</f>
        <v>BSGatlas-transcript-3564</v>
      </c>
      <c r="B3565" s="1" t="s">
        <v>9618</v>
      </c>
      <c r="C3565" s="3">
        <v>3183867</v>
      </c>
      <c r="D3565" s="3">
        <v>3186616</v>
      </c>
      <c r="E3565" s="1" t="s">
        <v>13</v>
      </c>
      <c r="F3565" s="1">
        <v>1</v>
      </c>
      <c r="G3565" s="1">
        <v>53</v>
      </c>
      <c r="H3565" s="1" t="s">
        <v>4372</v>
      </c>
      <c r="I3565" s="1" t="s">
        <v>4386</v>
      </c>
      <c r="J3565" s="1" t="s">
        <v>9619</v>
      </c>
      <c r="K3565" s="1" t="s">
        <v>9617</v>
      </c>
    </row>
    <row r="3566" spans="1:11" ht="21" x14ac:dyDescent="0.25">
      <c r="A3566" s="11" t="str">
        <f>HYPERLINK("https://rth.dk/resources/bsgatlas/details.php?id=BSGatlas-transcript-3565","BSGatlas-transcript-3565")</f>
        <v>BSGatlas-transcript-3565</v>
      </c>
      <c r="B3566" s="1" t="s">
        <v>3307</v>
      </c>
      <c r="C3566" s="3">
        <v>3186711</v>
      </c>
      <c r="D3566" s="3">
        <v>3187305</v>
      </c>
      <c r="E3566" s="1" t="s">
        <v>9</v>
      </c>
      <c r="F3566" s="1">
        <v>0</v>
      </c>
      <c r="G3566" s="1" t="s">
        <v>4372</v>
      </c>
      <c r="H3566" s="1" t="s">
        <v>4372</v>
      </c>
      <c r="I3566" s="1" t="s">
        <v>4386</v>
      </c>
      <c r="J3566" s="1" t="s">
        <v>9620</v>
      </c>
      <c r="K3566" s="1" t="s">
        <v>9621</v>
      </c>
    </row>
    <row r="3567" spans="1:11" ht="21" x14ac:dyDescent="0.25">
      <c r="A3567" s="11" t="str">
        <f>HYPERLINK("https://rth.dk/resources/bsgatlas/details.php?id=BSGatlas-transcript-3566","BSGatlas-transcript-3566")</f>
        <v>BSGatlas-transcript-3566</v>
      </c>
      <c r="B3567" s="1" t="s">
        <v>3308</v>
      </c>
      <c r="C3567" s="3">
        <v>3187402</v>
      </c>
      <c r="D3567" s="3">
        <v>3188048</v>
      </c>
      <c r="E3567" s="1" t="s">
        <v>9</v>
      </c>
      <c r="F3567" s="1">
        <v>0</v>
      </c>
      <c r="G3567" s="1" t="s">
        <v>4372</v>
      </c>
      <c r="H3567" s="1" t="s">
        <v>4372</v>
      </c>
      <c r="I3567" s="1" t="s">
        <v>4386</v>
      </c>
      <c r="J3567" s="1" t="s">
        <v>9622</v>
      </c>
      <c r="K3567" s="1" t="s">
        <v>9623</v>
      </c>
    </row>
    <row r="3568" spans="1:11" ht="21" x14ac:dyDescent="0.25">
      <c r="A3568" s="11" t="str">
        <f>HYPERLINK("https://rth.dk/resources/bsgatlas/details.php?id=BSGatlas-transcript-3567","BSGatlas-transcript-3567")</f>
        <v>BSGatlas-transcript-3567</v>
      </c>
      <c r="B3568" s="1" t="s">
        <v>9624</v>
      </c>
      <c r="C3568" s="3">
        <v>3188168</v>
      </c>
      <c r="D3568" s="3">
        <v>3190426</v>
      </c>
      <c r="E3568" s="1" t="s">
        <v>9</v>
      </c>
      <c r="F3568" s="1">
        <v>0</v>
      </c>
      <c r="G3568" s="1" t="s">
        <v>4372</v>
      </c>
      <c r="H3568" s="1" t="s">
        <v>4372</v>
      </c>
      <c r="I3568" s="1" t="s">
        <v>4386</v>
      </c>
      <c r="J3568" s="1" t="s">
        <v>9625</v>
      </c>
      <c r="K3568" s="1" t="s">
        <v>9626</v>
      </c>
    </row>
    <row r="3569" spans="1:11" ht="21" x14ac:dyDescent="0.25">
      <c r="A3569" s="11" t="str">
        <f>HYPERLINK("https://rth.dk/resources/bsgatlas/details.php?id=BSGatlas-transcript-3568","BSGatlas-transcript-3568")</f>
        <v>BSGatlas-transcript-3568</v>
      </c>
      <c r="B3569" s="1" t="s">
        <v>3311</v>
      </c>
      <c r="C3569" s="3">
        <v>3188173</v>
      </c>
      <c r="D3569" s="3">
        <v>3188341</v>
      </c>
      <c r="E3569" s="1" t="s">
        <v>9</v>
      </c>
      <c r="F3569" s="1">
        <v>0</v>
      </c>
      <c r="G3569" s="1" t="s">
        <v>4372</v>
      </c>
      <c r="H3569" s="1" t="s">
        <v>4372</v>
      </c>
      <c r="I3569" s="1" t="s">
        <v>4377</v>
      </c>
      <c r="J3569" s="1" t="s">
        <v>318</v>
      </c>
      <c r="K3569" s="1" t="s">
        <v>9627</v>
      </c>
    </row>
    <row r="3570" spans="1:11" ht="21" x14ac:dyDescent="0.25">
      <c r="A3570" s="11" t="str">
        <f>HYPERLINK("https://rth.dk/resources/bsgatlas/details.php?id=BSGatlas-transcript-3569","BSGatlas-transcript-3569")</f>
        <v>BSGatlas-transcript-3569</v>
      </c>
      <c r="B3570" s="1" t="s">
        <v>3312</v>
      </c>
      <c r="C3570" s="3">
        <v>3190462</v>
      </c>
      <c r="D3570" s="3">
        <v>3190767</v>
      </c>
      <c r="E3570" s="1" t="s">
        <v>13</v>
      </c>
      <c r="F3570" s="1">
        <v>0</v>
      </c>
      <c r="G3570" s="1" t="s">
        <v>4372</v>
      </c>
      <c r="H3570" s="1" t="s">
        <v>4372</v>
      </c>
      <c r="I3570" s="1" t="s">
        <v>4386</v>
      </c>
      <c r="J3570" s="1" t="s">
        <v>9628</v>
      </c>
      <c r="K3570" s="1" t="s">
        <v>9629</v>
      </c>
    </row>
    <row r="3571" spans="1:11" ht="21" x14ac:dyDescent="0.25">
      <c r="A3571" s="11" t="str">
        <f>HYPERLINK("https://rth.dk/resources/bsgatlas/details.php?id=BSGatlas-transcript-3570","BSGatlas-transcript-3570")</f>
        <v>BSGatlas-transcript-3570</v>
      </c>
      <c r="B3571" s="1" t="s">
        <v>9630</v>
      </c>
      <c r="C3571" s="3">
        <v>3190462</v>
      </c>
      <c r="D3571" s="3">
        <v>3191737</v>
      </c>
      <c r="E3571" s="1" t="s">
        <v>13</v>
      </c>
      <c r="F3571" s="1">
        <v>1</v>
      </c>
      <c r="G3571" s="1">
        <v>56</v>
      </c>
      <c r="H3571" s="1" t="s">
        <v>4372</v>
      </c>
      <c r="I3571" s="1" t="s">
        <v>4386</v>
      </c>
      <c r="J3571" s="1" t="s">
        <v>9631</v>
      </c>
      <c r="K3571" s="1" t="s">
        <v>9629</v>
      </c>
    </row>
    <row r="3572" spans="1:11" ht="21" x14ac:dyDescent="0.25">
      <c r="A3572" s="11" t="str">
        <f>HYPERLINK("https://rth.dk/resources/bsgatlas/details.php?id=BSGatlas-transcript-3571","BSGatlas-transcript-3571")</f>
        <v>BSGatlas-transcript-3571</v>
      </c>
      <c r="B3572" s="1" t="s">
        <v>3314</v>
      </c>
      <c r="C3572" s="3">
        <v>3191843</v>
      </c>
      <c r="D3572" s="3">
        <v>3193546</v>
      </c>
      <c r="E3572" s="1" t="s">
        <v>13</v>
      </c>
      <c r="F3572" s="1">
        <v>0</v>
      </c>
      <c r="G3572" s="1" t="s">
        <v>4372</v>
      </c>
      <c r="H3572" s="1" t="s">
        <v>4372</v>
      </c>
      <c r="I3572" s="1" t="s">
        <v>4377</v>
      </c>
      <c r="J3572" s="1" t="s">
        <v>9632</v>
      </c>
      <c r="K3572" s="1" t="s">
        <v>9633</v>
      </c>
    </row>
    <row r="3573" spans="1:11" ht="21" x14ac:dyDescent="0.25">
      <c r="A3573" s="11" t="str">
        <f>HYPERLINK("https://rth.dk/resources/bsgatlas/details.php?id=BSGatlas-transcript-3572","BSGatlas-transcript-3572")</f>
        <v>BSGatlas-transcript-3572</v>
      </c>
      <c r="B3573" s="1" t="s">
        <v>3315</v>
      </c>
      <c r="C3573" s="3">
        <v>3193096</v>
      </c>
      <c r="D3573" s="3">
        <v>3194614</v>
      </c>
      <c r="E3573" s="1" t="s">
        <v>9</v>
      </c>
      <c r="F3573" s="1">
        <v>0</v>
      </c>
      <c r="G3573" s="1" t="s">
        <v>4372</v>
      </c>
      <c r="H3573" s="1" t="s">
        <v>4372</v>
      </c>
      <c r="I3573" s="1" t="s">
        <v>4397</v>
      </c>
      <c r="J3573" s="1" t="s">
        <v>9634</v>
      </c>
      <c r="K3573" s="1" t="s">
        <v>9635</v>
      </c>
    </row>
    <row r="3574" spans="1:11" ht="21" x14ac:dyDescent="0.25">
      <c r="A3574" s="11" t="str">
        <f>HYPERLINK("https://rth.dk/resources/bsgatlas/details.php?id=BSGatlas-transcript-3573","BSGatlas-transcript-3573")</f>
        <v>BSGatlas-transcript-3573</v>
      </c>
      <c r="B3574" s="1" t="s">
        <v>3315</v>
      </c>
      <c r="C3574" s="3">
        <v>3193811</v>
      </c>
      <c r="D3574" s="3">
        <v>3194614</v>
      </c>
      <c r="E3574" s="1" t="s">
        <v>9</v>
      </c>
      <c r="F3574" s="1">
        <v>0</v>
      </c>
      <c r="G3574" s="1" t="s">
        <v>4372</v>
      </c>
      <c r="H3574" s="1" t="s">
        <v>4372</v>
      </c>
      <c r="I3574" s="1" t="s">
        <v>4397</v>
      </c>
      <c r="J3574" s="1" t="s">
        <v>9636</v>
      </c>
      <c r="K3574" s="1" t="s">
        <v>9635</v>
      </c>
    </row>
    <row r="3575" spans="1:11" ht="21" x14ac:dyDescent="0.25">
      <c r="A3575" s="11" t="str">
        <f>HYPERLINK("https://rth.dk/resources/bsgatlas/details.php?id=BSGatlas-transcript-3574","BSGatlas-transcript-3574")</f>
        <v>BSGatlas-transcript-3574</v>
      </c>
      <c r="B3575" s="1" t="s">
        <v>9637</v>
      </c>
      <c r="C3575" s="3">
        <v>3194448</v>
      </c>
      <c r="D3575" s="3">
        <v>3196767</v>
      </c>
      <c r="E3575" s="1" t="s">
        <v>13</v>
      </c>
      <c r="F3575" s="1">
        <v>1</v>
      </c>
      <c r="G3575" s="1">
        <v>44</v>
      </c>
      <c r="H3575" s="1">
        <v>188</v>
      </c>
      <c r="I3575" s="1" t="s">
        <v>4386</v>
      </c>
      <c r="J3575" s="1" t="s">
        <v>9638</v>
      </c>
      <c r="K3575" s="1" t="s">
        <v>9639</v>
      </c>
    </row>
    <row r="3576" spans="1:11" ht="21" x14ac:dyDescent="0.25">
      <c r="A3576" s="11" t="str">
        <f>HYPERLINK("https://rth.dk/resources/bsgatlas/details.php?id=BSGatlas-transcript-3575","BSGatlas-transcript-3575")</f>
        <v>BSGatlas-transcript-3575</v>
      </c>
      <c r="B3576" s="1" t="s">
        <v>3318</v>
      </c>
      <c r="C3576" s="3">
        <v>3194454</v>
      </c>
      <c r="D3576" s="3">
        <v>3194558</v>
      </c>
      <c r="E3576" s="1" t="s">
        <v>13</v>
      </c>
      <c r="F3576" s="1">
        <v>0</v>
      </c>
      <c r="G3576" s="1" t="s">
        <v>4372</v>
      </c>
      <c r="H3576" s="1" t="s">
        <v>4372</v>
      </c>
      <c r="I3576" s="1" t="s">
        <v>4377</v>
      </c>
      <c r="J3576" s="1" t="s">
        <v>9640</v>
      </c>
      <c r="K3576" s="1" t="s">
        <v>318</v>
      </c>
    </row>
    <row r="3577" spans="1:11" ht="21" x14ac:dyDescent="0.25">
      <c r="A3577" s="11" t="str">
        <f>HYPERLINK("https://rth.dk/resources/bsgatlas/details.php?id=BSGatlas-transcript-3576","BSGatlas-transcript-3576")</f>
        <v>BSGatlas-transcript-3576</v>
      </c>
      <c r="B3577" s="1" t="s">
        <v>9637</v>
      </c>
      <c r="C3577" s="3">
        <v>3194635</v>
      </c>
      <c r="D3577" s="3">
        <v>3196767</v>
      </c>
      <c r="E3577" s="1" t="s">
        <v>13</v>
      </c>
      <c r="F3577" s="1">
        <v>1</v>
      </c>
      <c r="G3577" s="1">
        <v>44</v>
      </c>
      <c r="H3577" s="1" t="s">
        <v>4372</v>
      </c>
      <c r="I3577" s="1" t="s">
        <v>4386</v>
      </c>
      <c r="J3577" s="1" t="s">
        <v>9638</v>
      </c>
      <c r="K3577" s="1" t="s">
        <v>9641</v>
      </c>
    </row>
    <row r="3578" spans="1:11" ht="21" x14ac:dyDescent="0.25">
      <c r="A3578" s="11" t="str">
        <f>HYPERLINK("https://rth.dk/resources/bsgatlas/details.php?id=BSGatlas-transcript-3577","BSGatlas-transcript-3577")</f>
        <v>BSGatlas-transcript-3577</v>
      </c>
      <c r="B3578" s="1" t="s">
        <v>3319</v>
      </c>
      <c r="C3578" s="3">
        <v>3196748</v>
      </c>
      <c r="D3578" s="3">
        <v>3197892</v>
      </c>
      <c r="E3578" s="1" t="s">
        <v>9</v>
      </c>
      <c r="F3578" s="1">
        <v>0</v>
      </c>
      <c r="G3578" s="1" t="s">
        <v>4372</v>
      </c>
      <c r="H3578" s="1" t="s">
        <v>4372</v>
      </c>
      <c r="I3578" s="1" t="s">
        <v>4373</v>
      </c>
      <c r="J3578" s="1" t="s">
        <v>9642</v>
      </c>
      <c r="K3578" s="1" t="s">
        <v>9643</v>
      </c>
    </row>
    <row r="3579" spans="1:11" ht="21" x14ac:dyDescent="0.25">
      <c r="A3579" s="11" t="str">
        <f>HYPERLINK("https://rth.dk/resources/bsgatlas/details.php?id=BSGatlas-transcript-3578","BSGatlas-transcript-3578")</f>
        <v>BSGatlas-transcript-3578</v>
      </c>
      <c r="B3579" s="1" t="s">
        <v>3319</v>
      </c>
      <c r="C3579" s="3">
        <v>3196748</v>
      </c>
      <c r="D3579" s="3">
        <v>3197940</v>
      </c>
      <c r="E3579" s="1" t="s">
        <v>9</v>
      </c>
      <c r="F3579" s="1">
        <v>0</v>
      </c>
      <c r="G3579" s="1" t="s">
        <v>4372</v>
      </c>
      <c r="H3579" s="1" t="s">
        <v>4372</v>
      </c>
      <c r="I3579" s="1" t="s">
        <v>4373</v>
      </c>
      <c r="J3579" s="1" t="s">
        <v>9642</v>
      </c>
      <c r="K3579" s="1" t="s">
        <v>9644</v>
      </c>
    </row>
    <row r="3580" spans="1:11" ht="21" x14ac:dyDescent="0.25">
      <c r="A3580" s="11" t="str">
        <f>HYPERLINK("https://rth.dk/resources/bsgatlas/details.php?id=BSGatlas-transcript-3579","BSGatlas-transcript-3579")</f>
        <v>BSGatlas-transcript-3579</v>
      </c>
      <c r="B3580" s="1" t="s">
        <v>3319</v>
      </c>
      <c r="C3580" s="3">
        <v>3196859</v>
      </c>
      <c r="D3580" s="3">
        <v>3197892</v>
      </c>
      <c r="E3580" s="1" t="s">
        <v>9</v>
      </c>
      <c r="F3580" s="1">
        <v>0</v>
      </c>
      <c r="G3580" s="1" t="s">
        <v>4372</v>
      </c>
      <c r="H3580" s="1" t="s">
        <v>4372</v>
      </c>
      <c r="I3580" s="1" t="s">
        <v>4373</v>
      </c>
      <c r="J3580" s="1" t="s">
        <v>9645</v>
      </c>
      <c r="K3580" s="1" t="s">
        <v>9643</v>
      </c>
    </row>
    <row r="3581" spans="1:11" ht="21" x14ac:dyDescent="0.25">
      <c r="A3581" s="11" t="str">
        <f>HYPERLINK("https://rth.dk/resources/bsgatlas/details.php?id=BSGatlas-transcript-3580","BSGatlas-transcript-3580")</f>
        <v>BSGatlas-transcript-3580</v>
      </c>
      <c r="B3581" s="1" t="s">
        <v>3319</v>
      </c>
      <c r="C3581" s="3">
        <v>3196859</v>
      </c>
      <c r="D3581" s="3">
        <v>3197940</v>
      </c>
      <c r="E3581" s="1" t="s">
        <v>9</v>
      </c>
      <c r="F3581" s="1">
        <v>0</v>
      </c>
      <c r="G3581" s="1" t="s">
        <v>4372</v>
      </c>
      <c r="H3581" s="1" t="s">
        <v>4372</v>
      </c>
      <c r="I3581" s="1" t="s">
        <v>4373</v>
      </c>
      <c r="J3581" s="1" t="s">
        <v>9645</v>
      </c>
      <c r="K3581" s="1" t="s">
        <v>9644</v>
      </c>
    </row>
    <row r="3582" spans="1:11" ht="21" x14ac:dyDescent="0.25">
      <c r="A3582" s="11" t="str">
        <f>HYPERLINK("https://rth.dk/resources/bsgatlas/details.php?id=BSGatlas-transcript-3581","BSGatlas-transcript-3581")</f>
        <v>BSGatlas-transcript-3581</v>
      </c>
      <c r="B3582" s="1" t="s">
        <v>9646</v>
      </c>
      <c r="C3582" s="3">
        <v>3197933</v>
      </c>
      <c r="D3582" s="3">
        <v>3201853</v>
      </c>
      <c r="E3582" s="1" t="s">
        <v>13</v>
      </c>
      <c r="F3582" s="1">
        <v>2</v>
      </c>
      <c r="G3582" s="1">
        <v>51</v>
      </c>
      <c r="H3582" s="1" t="s">
        <v>4372</v>
      </c>
      <c r="I3582" s="1" t="s">
        <v>4386</v>
      </c>
      <c r="J3582" s="1" t="s">
        <v>9647</v>
      </c>
      <c r="K3582" s="1" t="s">
        <v>9648</v>
      </c>
    </row>
    <row r="3583" spans="1:11" ht="21" x14ac:dyDescent="0.25">
      <c r="A3583" s="11" t="str">
        <f>HYPERLINK("https://rth.dk/resources/bsgatlas/details.php?id=BSGatlas-transcript-3582","BSGatlas-transcript-3582")</f>
        <v>BSGatlas-transcript-3582</v>
      </c>
      <c r="B3583" s="1" t="s">
        <v>9649</v>
      </c>
      <c r="C3583" s="3">
        <v>3197933</v>
      </c>
      <c r="D3583" s="3">
        <v>3203965</v>
      </c>
      <c r="E3583" s="1" t="s">
        <v>13</v>
      </c>
      <c r="F3583" s="1">
        <v>3</v>
      </c>
      <c r="G3583" s="1">
        <v>37</v>
      </c>
      <c r="H3583" s="1" t="s">
        <v>4372</v>
      </c>
      <c r="I3583" s="1" t="s">
        <v>4397</v>
      </c>
      <c r="J3583" s="1" t="s">
        <v>9650</v>
      </c>
      <c r="K3583" s="1" t="s">
        <v>9648</v>
      </c>
    </row>
    <row r="3584" spans="1:11" ht="21" x14ac:dyDescent="0.25">
      <c r="A3584" s="11" t="str">
        <f>HYPERLINK("https://rth.dk/resources/bsgatlas/details.php?id=BSGatlas-transcript-3583","BSGatlas-transcript-3583")</f>
        <v>BSGatlas-transcript-3583</v>
      </c>
      <c r="B3584" s="1" t="s">
        <v>3325</v>
      </c>
      <c r="C3584" s="3">
        <v>3204024</v>
      </c>
      <c r="D3584" s="3">
        <v>3206089</v>
      </c>
      <c r="E3584" s="1" t="s">
        <v>13</v>
      </c>
      <c r="F3584" s="1">
        <v>0</v>
      </c>
      <c r="G3584" s="1" t="s">
        <v>4372</v>
      </c>
      <c r="H3584" s="1" t="s">
        <v>4372</v>
      </c>
      <c r="I3584" s="1" t="s">
        <v>4373</v>
      </c>
      <c r="J3584" s="1" t="s">
        <v>9651</v>
      </c>
      <c r="K3584" s="1" t="s">
        <v>9652</v>
      </c>
    </row>
    <row r="3585" spans="1:11" ht="21" x14ac:dyDescent="0.25">
      <c r="A3585" s="11" t="str">
        <f>HYPERLINK("https://rth.dk/resources/bsgatlas/details.php?id=BSGatlas-transcript-3584","BSGatlas-transcript-3584")</f>
        <v>BSGatlas-transcript-3584</v>
      </c>
      <c r="B3585" s="1" t="s">
        <v>3325</v>
      </c>
      <c r="C3585" s="3">
        <v>3204067</v>
      </c>
      <c r="D3585" s="3">
        <v>3206089</v>
      </c>
      <c r="E3585" s="1" t="s">
        <v>13</v>
      </c>
      <c r="F3585" s="1">
        <v>0</v>
      </c>
      <c r="G3585" s="1" t="s">
        <v>4372</v>
      </c>
      <c r="H3585" s="1" t="s">
        <v>4372</v>
      </c>
      <c r="I3585" s="1" t="s">
        <v>4373</v>
      </c>
      <c r="J3585" s="1" t="s">
        <v>9651</v>
      </c>
      <c r="K3585" s="1" t="s">
        <v>9653</v>
      </c>
    </row>
    <row r="3586" spans="1:11" ht="21" x14ac:dyDescent="0.25">
      <c r="A3586" s="11" t="str">
        <f>HYPERLINK("https://rth.dk/resources/bsgatlas/details.php?id=BSGatlas-transcript-3585","BSGatlas-transcript-3585")</f>
        <v>BSGatlas-transcript-3585</v>
      </c>
      <c r="B3586" s="1" t="s">
        <v>3326</v>
      </c>
      <c r="C3586" s="3">
        <v>3206119</v>
      </c>
      <c r="D3586" s="3">
        <v>3208190</v>
      </c>
      <c r="E3586" s="1" t="s">
        <v>13</v>
      </c>
      <c r="F3586" s="1">
        <v>0</v>
      </c>
      <c r="G3586" s="1" t="s">
        <v>4372</v>
      </c>
      <c r="H3586" s="1" t="s">
        <v>4372</v>
      </c>
      <c r="I3586" s="1" t="s">
        <v>4377</v>
      </c>
      <c r="J3586" s="1" t="s">
        <v>9654</v>
      </c>
      <c r="K3586" s="1" t="s">
        <v>9655</v>
      </c>
    </row>
    <row r="3587" spans="1:11" ht="21" x14ac:dyDescent="0.25">
      <c r="A3587" s="11" t="str">
        <f>HYPERLINK("https://rth.dk/resources/bsgatlas/details.php?id=BSGatlas-transcript-3586","BSGatlas-transcript-3586")</f>
        <v>BSGatlas-transcript-3586</v>
      </c>
      <c r="B3587" s="1" t="s">
        <v>9656</v>
      </c>
      <c r="C3587" s="3">
        <v>3206119</v>
      </c>
      <c r="D3587" s="3">
        <v>3210308</v>
      </c>
      <c r="E3587" s="1" t="s">
        <v>13</v>
      </c>
      <c r="F3587" s="1">
        <v>1</v>
      </c>
      <c r="G3587" s="1">
        <v>41</v>
      </c>
      <c r="H3587" s="1">
        <v>51</v>
      </c>
      <c r="I3587" s="1" t="s">
        <v>4373</v>
      </c>
      <c r="J3587" s="1" t="s">
        <v>9657</v>
      </c>
      <c r="K3587" s="1" t="s">
        <v>9655</v>
      </c>
    </row>
    <row r="3588" spans="1:11" ht="21" x14ac:dyDescent="0.25">
      <c r="A3588" s="11" t="str">
        <f>HYPERLINK("https://rth.dk/resources/bsgatlas/details.php?id=BSGatlas-transcript-3587","BSGatlas-transcript-3587")</f>
        <v>BSGatlas-transcript-3587</v>
      </c>
      <c r="B3588" s="1" t="s">
        <v>3328</v>
      </c>
      <c r="C3588" s="3">
        <v>3210400</v>
      </c>
      <c r="D3588" s="3">
        <v>3212475</v>
      </c>
      <c r="E3588" s="1" t="s">
        <v>13</v>
      </c>
      <c r="F3588" s="1">
        <v>0</v>
      </c>
      <c r="G3588" s="1" t="s">
        <v>4372</v>
      </c>
      <c r="H3588" s="1" t="s">
        <v>4372</v>
      </c>
      <c r="I3588" s="1" t="s">
        <v>4373</v>
      </c>
      <c r="J3588" s="1" t="s">
        <v>9658</v>
      </c>
      <c r="K3588" s="1" t="s">
        <v>9659</v>
      </c>
    </row>
    <row r="3589" spans="1:11" ht="21" x14ac:dyDescent="0.25">
      <c r="A3589" s="11" t="str">
        <f>HYPERLINK("https://rth.dk/resources/bsgatlas/details.php?id=BSGatlas-transcript-3588","BSGatlas-transcript-3588")</f>
        <v>BSGatlas-transcript-3588</v>
      </c>
      <c r="B3589" s="1" t="s">
        <v>3328</v>
      </c>
      <c r="C3589" s="3">
        <v>3210400</v>
      </c>
      <c r="D3589" s="3">
        <v>3212624</v>
      </c>
      <c r="E3589" s="1" t="s">
        <v>13</v>
      </c>
      <c r="F3589" s="1">
        <v>0</v>
      </c>
      <c r="G3589" s="1" t="s">
        <v>4372</v>
      </c>
      <c r="H3589" s="1" t="s">
        <v>4372</v>
      </c>
      <c r="I3589" s="1" t="s">
        <v>4373</v>
      </c>
      <c r="J3589" s="1" t="s">
        <v>9660</v>
      </c>
      <c r="K3589" s="1" t="s">
        <v>9659</v>
      </c>
    </row>
    <row r="3590" spans="1:11" ht="21" x14ac:dyDescent="0.25">
      <c r="A3590" s="11" t="str">
        <f>HYPERLINK("https://rth.dk/resources/bsgatlas/details.php?id=BSGatlas-transcript-3589","BSGatlas-transcript-3589")</f>
        <v>BSGatlas-transcript-3589</v>
      </c>
      <c r="B3590" s="1" t="s">
        <v>3328</v>
      </c>
      <c r="C3590" s="3">
        <v>3210445</v>
      </c>
      <c r="D3590" s="3">
        <v>3212475</v>
      </c>
      <c r="E3590" s="1" t="s">
        <v>13</v>
      </c>
      <c r="F3590" s="1">
        <v>0</v>
      </c>
      <c r="G3590" s="1" t="s">
        <v>4372</v>
      </c>
      <c r="H3590" s="1" t="s">
        <v>4372</v>
      </c>
      <c r="I3590" s="1" t="s">
        <v>4373</v>
      </c>
      <c r="J3590" s="1" t="s">
        <v>9658</v>
      </c>
      <c r="K3590" s="1" t="s">
        <v>9661</v>
      </c>
    </row>
    <row r="3591" spans="1:11" ht="21" x14ac:dyDescent="0.25">
      <c r="A3591" s="11" t="str">
        <f>HYPERLINK("https://rth.dk/resources/bsgatlas/details.php?id=BSGatlas-transcript-3590","BSGatlas-transcript-3590")</f>
        <v>BSGatlas-transcript-3590</v>
      </c>
      <c r="B3591" s="1" t="s">
        <v>3328</v>
      </c>
      <c r="C3591" s="3">
        <v>3210445</v>
      </c>
      <c r="D3591" s="3">
        <v>3212624</v>
      </c>
      <c r="E3591" s="1" t="s">
        <v>13</v>
      </c>
      <c r="F3591" s="1">
        <v>0</v>
      </c>
      <c r="G3591" s="1" t="s">
        <v>4372</v>
      </c>
      <c r="H3591" s="1" t="s">
        <v>4372</v>
      </c>
      <c r="I3591" s="1" t="s">
        <v>4373</v>
      </c>
      <c r="J3591" s="1" t="s">
        <v>9660</v>
      </c>
      <c r="K3591" s="1" t="s">
        <v>9661</v>
      </c>
    </row>
    <row r="3592" spans="1:11" ht="21" x14ac:dyDescent="0.25">
      <c r="A3592" s="11" t="str">
        <f>HYPERLINK("https://rth.dk/resources/bsgatlas/details.php?id=BSGatlas-transcript-3591","BSGatlas-transcript-3591")</f>
        <v>BSGatlas-transcript-3591</v>
      </c>
      <c r="B3592" s="1" t="s">
        <v>3329</v>
      </c>
      <c r="C3592" s="3">
        <v>3212570</v>
      </c>
      <c r="D3592" s="3">
        <v>3213377</v>
      </c>
      <c r="E3592" s="1" t="s">
        <v>9</v>
      </c>
      <c r="F3592" s="1">
        <v>0</v>
      </c>
      <c r="G3592" s="1" t="s">
        <v>4372</v>
      </c>
      <c r="H3592" s="1" t="s">
        <v>4372</v>
      </c>
      <c r="I3592" s="1" t="s">
        <v>4373</v>
      </c>
      <c r="J3592" s="1" t="s">
        <v>9662</v>
      </c>
      <c r="K3592" s="1" t="s">
        <v>9663</v>
      </c>
    </row>
    <row r="3593" spans="1:11" ht="21" x14ac:dyDescent="0.25">
      <c r="A3593" s="11" t="str">
        <f>HYPERLINK("https://rth.dk/resources/bsgatlas/details.php?id=BSGatlas-transcript-3592","BSGatlas-transcript-3592")</f>
        <v>BSGatlas-transcript-3592</v>
      </c>
      <c r="B3593" s="1" t="s">
        <v>9664</v>
      </c>
      <c r="C3593" s="3">
        <v>3213342</v>
      </c>
      <c r="D3593" s="3">
        <v>3214252</v>
      </c>
      <c r="E3593" s="1" t="s">
        <v>13</v>
      </c>
      <c r="F3593" s="1">
        <v>1</v>
      </c>
      <c r="G3593" s="1" t="s">
        <v>4372</v>
      </c>
      <c r="H3593" s="1" t="s">
        <v>4372</v>
      </c>
      <c r="I3593" s="1" t="s">
        <v>4386</v>
      </c>
      <c r="J3593" s="1" t="s">
        <v>318</v>
      </c>
      <c r="K3593" s="1" t="s">
        <v>9665</v>
      </c>
    </row>
    <row r="3594" spans="1:11" ht="21" x14ac:dyDescent="0.25">
      <c r="A3594" s="11" t="str">
        <f>HYPERLINK("https://rth.dk/resources/bsgatlas/details.php?id=BSGatlas-transcript-3593","BSGatlas-transcript-3593")</f>
        <v>BSGatlas-transcript-3593</v>
      </c>
      <c r="B3594" s="1" t="s">
        <v>4760</v>
      </c>
      <c r="C3594" s="3">
        <v>3214212</v>
      </c>
      <c r="D3594" s="3">
        <v>3214346</v>
      </c>
      <c r="E3594" s="1" t="s">
        <v>13</v>
      </c>
      <c r="F3594" s="1">
        <v>0</v>
      </c>
      <c r="G3594" s="1" t="s">
        <v>4372</v>
      </c>
      <c r="H3594" s="1" t="s">
        <v>4372</v>
      </c>
      <c r="I3594" s="1" t="s">
        <v>4377</v>
      </c>
      <c r="J3594" s="1" t="s">
        <v>9666</v>
      </c>
      <c r="K3594" s="1" t="s">
        <v>318</v>
      </c>
    </row>
    <row r="3595" spans="1:11" ht="21" x14ac:dyDescent="0.25">
      <c r="A3595" s="11" t="str">
        <f>HYPERLINK("https://rth.dk/resources/bsgatlas/details.php?id=BSGatlas-transcript-3594","BSGatlas-transcript-3594")</f>
        <v>BSGatlas-transcript-3594</v>
      </c>
      <c r="B3595" s="1" t="s">
        <v>3332</v>
      </c>
      <c r="C3595" s="3">
        <v>3214337</v>
      </c>
      <c r="D3595" s="3">
        <v>3216036</v>
      </c>
      <c r="E3595" s="1" t="s">
        <v>13</v>
      </c>
      <c r="F3595" s="1">
        <v>0</v>
      </c>
      <c r="G3595" s="1" t="s">
        <v>4372</v>
      </c>
      <c r="H3595" s="1" t="s">
        <v>4372</v>
      </c>
      <c r="I3595" s="1" t="s">
        <v>4373</v>
      </c>
      <c r="J3595" s="1" t="s">
        <v>9667</v>
      </c>
      <c r="K3595" s="1" t="s">
        <v>9668</v>
      </c>
    </row>
    <row r="3596" spans="1:11" ht="21" x14ac:dyDescent="0.25">
      <c r="A3596" s="11" t="str">
        <f>HYPERLINK("https://rth.dk/resources/bsgatlas/details.php?id=BSGatlas-transcript-3595","BSGatlas-transcript-3595")</f>
        <v>BSGatlas-transcript-3595</v>
      </c>
      <c r="B3596" s="1" t="s">
        <v>3332</v>
      </c>
      <c r="C3596" s="3">
        <v>3214337</v>
      </c>
      <c r="D3596" s="3">
        <v>3216078</v>
      </c>
      <c r="E3596" s="1" t="s">
        <v>13</v>
      </c>
      <c r="F3596" s="1">
        <v>0</v>
      </c>
      <c r="G3596" s="1" t="s">
        <v>4372</v>
      </c>
      <c r="H3596" s="1" t="s">
        <v>4372</v>
      </c>
      <c r="I3596" s="1" t="s">
        <v>4373</v>
      </c>
      <c r="J3596" s="1" t="s">
        <v>9669</v>
      </c>
      <c r="K3596" s="1" t="s">
        <v>9668</v>
      </c>
    </row>
    <row r="3597" spans="1:11" ht="21" x14ac:dyDescent="0.25">
      <c r="A3597" s="11" t="str">
        <f>HYPERLINK("https://rth.dk/resources/bsgatlas/details.php?id=BSGatlas-transcript-3596","BSGatlas-transcript-3596")</f>
        <v>BSGatlas-transcript-3596</v>
      </c>
      <c r="B3597" s="1" t="s">
        <v>3333</v>
      </c>
      <c r="C3597" s="3">
        <v>3216120</v>
      </c>
      <c r="D3597" s="3">
        <v>3217452</v>
      </c>
      <c r="E3597" s="1" t="s">
        <v>13</v>
      </c>
      <c r="F3597" s="1">
        <v>0</v>
      </c>
      <c r="G3597" s="1" t="s">
        <v>4372</v>
      </c>
      <c r="H3597" s="1" t="s">
        <v>4372</v>
      </c>
      <c r="I3597" s="1" t="s">
        <v>4373</v>
      </c>
      <c r="J3597" s="1" t="s">
        <v>318</v>
      </c>
      <c r="K3597" s="1" t="s">
        <v>9670</v>
      </c>
    </row>
    <row r="3598" spans="1:11" ht="21" x14ac:dyDescent="0.25">
      <c r="A3598" s="11" t="str">
        <f>HYPERLINK("https://rth.dk/resources/bsgatlas/details.php?id=BSGatlas-transcript-3597","BSGatlas-transcript-3597")</f>
        <v>BSGatlas-transcript-3597</v>
      </c>
      <c r="B3598" s="1" t="s">
        <v>3334</v>
      </c>
      <c r="C3598" s="3">
        <v>3217011</v>
      </c>
      <c r="D3598" s="3">
        <v>3217663</v>
      </c>
      <c r="E3598" s="1" t="s">
        <v>9</v>
      </c>
      <c r="F3598" s="1">
        <v>0</v>
      </c>
      <c r="G3598" s="1" t="s">
        <v>4372</v>
      </c>
      <c r="H3598" s="1" t="s">
        <v>4372</v>
      </c>
      <c r="I3598" s="1" t="s">
        <v>4377</v>
      </c>
      <c r="J3598" s="1" t="s">
        <v>9671</v>
      </c>
      <c r="K3598" s="1" t="s">
        <v>318</v>
      </c>
    </row>
    <row r="3599" spans="1:11" ht="21" x14ac:dyDescent="0.25">
      <c r="A3599" s="11" t="str">
        <f>HYPERLINK("https://rth.dk/resources/bsgatlas/details.php?id=BSGatlas-transcript-3598","BSGatlas-transcript-3598")</f>
        <v>BSGatlas-transcript-3598</v>
      </c>
      <c r="B3599" s="1" t="s">
        <v>3335</v>
      </c>
      <c r="C3599" s="3">
        <v>3217496</v>
      </c>
      <c r="D3599" s="3">
        <v>3218229</v>
      </c>
      <c r="E3599" s="1" t="s">
        <v>13</v>
      </c>
      <c r="F3599" s="1">
        <v>0</v>
      </c>
      <c r="G3599" s="1" t="s">
        <v>4372</v>
      </c>
      <c r="H3599" s="1" t="s">
        <v>4372</v>
      </c>
      <c r="I3599" s="1" t="s">
        <v>4386</v>
      </c>
      <c r="J3599" s="1" t="s">
        <v>9672</v>
      </c>
      <c r="K3599" s="1" t="s">
        <v>9673</v>
      </c>
    </row>
    <row r="3600" spans="1:11" ht="21" x14ac:dyDescent="0.25">
      <c r="A3600" s="11" t="str">
        <f>HYPERLINK("https://rth.dk/resources/bsgatlas/details.php?id=BSGatlas-transcript-3599","BSGatlas-transcript-3599")</f>
        <v>BSGatlas-transcript-3599</v>
      </c>
      <c r="B3600" s="1" t="s">
        <v>9674</v>
      </c>
      <c r="C3600" s="3">
        <v>3217496</v>
      </c>
      <c r="D3600" s="3">
        <v>3218504</v>
      </c>
      <c r="E3600" s="1" t="s">
        <v>13</v>
      </c>
      <c r="F3600" s="1">
        <v>1</v>
      </c>
      <c r="G3600" s="1">
        <v>27</v>
      </c>
      <c r="H3600" s="1" t="s">
        <v>4372</v>
      </c>
      <c r="I3600" s="1" t="s">
        <v>4386</v>
      </c>
      <c r="J3600" s="1" t="s">
        <v>9675</v>
      </c>
      <c r="K3600" s="1" t="s">
        <v>9673</v>
      </c>
    </row>
    <row r="3601" spans="1:11" ht="21" x14ac:dyDescent="0.25">
      <c r="A3601" s="11" t="str">
        <f>HYPERLINK("https://rth.dk/resources/bsgatlas/details.php?id=BSGatlas-transcript-3600","BSGatlas-transcript-3600")</f>
        <v>BSGatlas-transcript-3600</v>
      </c>
      <c r="B3601" s="1" t="s">
        <v>9676</v>
      </c>
      <c r="C3601" s="3">
        <v>3218525</v>
      </c>
      <c r="D3601" s="3">
        <v>3219840</v>
      </c>
      <c r="E3601" s="1" t="s">
        <v>9</v>
      </c>
      <c r="F3601" s="1">
        <v>0</v>
      </c>
      <c r="G3601" s="1" t="s">
        <v>4372</v>
      </c>
      <c r="H3601" s="1" t="s">
        <v>4372</v>
      </c>
      <c r="I3601" s="1" t="s">
        <v>4397</v>
      </c>
      <c r="J3601" s="1" t="s">
        <v>9677</v>
      </c>
      <c r="K3601" s="1" t="s">
        <v>318</v>
      </c>
    </row>
    <row r="3602" spans="1:11" ht="21" x14ac:dyDescent="0.25">
      <c r="A3602" s="11" t="str">
        <f>HYPERLINK("https://rth.dk/resources/bsgatlas/details.php?id=BSGatlas-transcript-3601","BSGatlas-transcript-3601")</f>
        <v>BSGatlas-transcript-3601</v>
      </c>
      <c r="B3602" s="1" t="s">
        <v>9678</v>
      </c>
      <c r="C3602" s="3">
        <v>3219756</v>
      </c>
      <c r="D3602" s="3">
        <v>3220915</v>
      </c>
      <c r="E3602" s="1" t="s">
        <v>13</v>
      </c>
      <c r="F3602" s="1">
        <v>1</v>
      </c>
      <c r="G3602" s="1">
        <v>244</v>
      </c>
      <c r="H3602" s="1">
        <v>82</v>
      </c>
      <c r="I3602" s="1" t="s">
        <v>4377</v>
      </c>
      <c r="J3602" s="1" t="s">
        <v>9679</v>
      </c>
      <c r="K3602" s="1" t="s">
        <v>9680</v>
      </c>
    </row>
    <row r="3603" spans="1:11" ht="21" x14ac:dyDescent="0.25">
      <c r="A3603" s="11" t="str">
        <f>HYPERLINK("https://rth.dk/resources/bsgatlas/details.php?id=BSGatlas-transcript-3602","BSGatlas-transcript-3602")</f>
        <v>BSGatlas-transcript-3602</v>
      </c>
      <c r="B3603" s="1" t="s">
        <v>9681</v>
      </c>
      <c r="C3603" s="3">
        <v>3219756</v>
      </c>
      <c r="D3603" s="3">
        <v>3222083</v>
      </c>
      <c r="E3603" s="1" t="s">
        <v>13</v>
      </c>
      <c r="F3603" s="1">
        <v>2</v>
      </c>
      <c r="G3603" s="1" t="s">
        <v>4372</v>
      </c>
      <c r="H3603" s="1">
        <v>82</v>
      </c>
      <c r="I3603" s="1" t="s">
        <v>4373</v>
      </c>
      <c r="J3603" s="1" t="s">
        <v>9682</v>
      </c>
      <c r="K3603" s="1" t="s">
        <v>9680</v>
      </c>
    </row>
    <row r="3604" spans="1:11" ht="21" x14ac:dyDescent="0.25">
      <c r="A3604" s="11" t="str">
        <f>HYPERLINK("https://rth.dk/resources/bsgatlas/details.php?id=BSGatlas-transcript-3603","BSGatlas-transcript-3603")</f>
        <v>BSGatlas-transcript-3603</v>
      </c>
      <c r="B3604" s="1" t="s">
        <v>9681</v>
      </c>
      <c r="C3604" s="3">
        <v>3219756</v>
      </c>
      <c r="D3604" s="3">
        <v>3222121</v>
      </c>
      <c r="E3604" s="1" t="s">
        <v>13</v>
      </c>
      <c r="F3604" s="1">
        <v>2</v>
      </c>
      <c r="G3604" s="1">
        <v>39</v>
      </c>
      <c r="H3604" s="1">
        <v>82</v>
      </c>
      <c r="I3604" s="1" t="s">
        <v>4373</v>
      </c>
      <c r="J3604" s="1" t="s">
        <v>9683</v>
      </c>
      <c r="K3604" s="1" t="s">
        <v>9680</v>
      </c>
    </row>
    <row r="3605" spans="1:11" ht="21" x14ac:dyDescent="0.25">
      <c r="A3605" s="11" t="str">
        <f>HYPERLINK("https://rth.dk/resources/bsgatlas/details.php?id=BSGatlas-transcript-3604","BSGatlas-transcript-3604")</f>
        <v>BSGatlas-transcript-3604</v>
      </c>
      <c r="B3605" s="1" t="s">
        <v>3341</v>
      </c>
      <c r="C3605" s="3">
        <v>3220683</v>
      </c>
      <c r="D3605" s="3">
        <v>3222083</v>
      </c>
      <c r="E3605" s="1" t="s">
        <v>13</v>
      </c>
      <c r="F3605" s="1">
        <v>0</v>
      </c>
      <c r="G3605" s="1" t="s">
        <v>4372</v>
      </c>
      <c r="H3605" s="1" t="s">
        <v>4372</v>
      </c>
      <c r="I3605" s="1" t="s">
        <v>4377</v>
      </c>
      <c r="J3605" s="1" t="s">
        <v>9682</v>
      </c>
      <c r="K3605" s="1" t="s">
        <v>9684</v>
      </c>
    </row>
    <row r="3606" spans="1:11" ht="21" x14ac:dyDescent="0.25">
      <c r="A3606" s="11" t="str">
        <f>HYPERLINK("https://rth.dk/resources/bsgatlas/details.php?id=BSGatlas-transcript-3605","BSGatlas-transcript-3605")</f>
        <v>BSGatlas-transcript-3605</v>
      </c>
      <c r="B3606" s="1" t="s">
        <v>3341</v>
      </c>
      <c r="C3606" s="3">
        <v>3220683</v>
      </c>
      <c r="D3606" s="3">
        <v>3222121</v>
      </c>
      <c r="E3606" s="1" t="s">
        <v>13</v>
      </c>
      <c r="F3606" s="1">
        <v>0</v>
      </c>
      <c r="G3606" s="1" t="s">
        <v>4372</v>
      </c>
      <c r="H3606" s="1" t="s">
        <v>4372</v>
      </c>
      <c r="I3606" s="1" t="s">
        <v>4377</v>
      </c>
      <c r="J3606" s="1" t="s">
        <v>9683</v>
      </c>
      <c r="K3606" s="1" t="s">
        <v>9684</v>
      </c>
    </row>
    <row r="3607" spans="1:11" ht="21" x14ac:dyDescent="0.25">
      <c r="A3607" s="11" t="str">
        <f>HYPERLINK("https://rth.dk/resources/bsgatlas/details.php?id=BSGatlas-transcript-3606","BSGatlas-transcript-3606")</f>
        <v>BSGatlas-transcript-3606</v>
      </c>
      <c r="B3607" s="1" t="s">
        <v>3342</v>
      </c>
      <c r="C3607" s="3">
        <v>3222149</v>
      </c>
      <c r="D3607" s="3">
        <v>3223413</v>
      </c>
      <c r="E3607" s="1" t="s">
        <v>13</v>
      </c>
      <c r="F3607" s="1">
        <v>0</v>
      </c>
      <c r="G3607" s="1" t="s">
        <v>4372</v>
      </c>
      <c r="H3607" s="1" t="s">
        <v>4372</v>
      </c>
      <c r="I3607" s="1" t="s">
        <v>4373</v>
      </c>
      <c r="J3607" s="1" t="s">
        <v>9685</v>
      </c>
      <c r="K3607" s="1" t="s">
        <v>9686</v>
      </c>
    </row>
    <row r="3608" spans="1:11" ht="21" x14ac:dyDescent="0.25">
      <c r="A3608" s="11" t="str">
        <f>HYPERLINK("https://rth.dk/resources/bsgatlas/details.php?id=BSGatlas-transcript-3607","BSGatlas-transcript-3607")</f>
        <v>BSGatlas-transcript-3607</v>
      </c>
      <c r="B3608" s="1" t="s">
        <v>3343</v>
      </c>
      <c r="C3608" s="3">
        <v>3223424</v>
      </c>
      <c r="D3608" s="3">
        <v>3224667</v>
      </c>
      <c r="E3608" s="1" t="s">
        <v>13</v>
      </c>
      <c r="F3608" s="1">
        <v>0</v>
      </c>
      <c r="G3608" s="1" t="s">
        <v>4372</v>
      </c>
      <c r="H3608" s="1" t="s">
        <v>4372</v>
      </c>
      <c r="I3608" s="1" t="s">
        <v>4373</v>
      </c>
      <c r="J3608" s="1" t="s">
        <v>9687</v>
      </c>
      <c r="K3608" s="1" t="s">
        <v>9688</v>
      </c>
    </row>
    <row r="3609" spans="1:11" ht="21" x14ac:dyDescent="0.25">
      <c r="A3609" s="11" t="str">
        <f>HYPERLINK("https://rth.dk/resources/bsgatlas/details.php?id=BSGatlas-transcript-3608","BSGatlas-transcript-3608")</f>
        <v>BSGatlas-transcript-3608</v>
      </c>
      <c r="B3609" s="1" t="s">
        <v>3343</v>
      </c>
      <c r="C3609" s="3">
        <v>3223424</v>
      </c>
      <c r="D3609" s="3">
        <v>3224824</v>
      </c>
      <c r="E3609" s="1" t="s">
        <v>13</v>
      </c>
      <c r="F3609" s="1">
        <v>0</v>
      </c>
      <c r="G3609" s="1" t="s">
        <v>4372</v>
      </c>
      <c r="H3609" s="1" t="s">
        <v>4372</v>
      </c>
      <c r="I3609" s="1" t="s">
        <v>4373</v>
      </c>
      <c r="J3609" s="1" t="s">
        <v>9689</v>
      </c>
      <c r="K3609" s="1" t="s">
        <v>9688</v>
      </c>
    </row>
    <row r="3610" spans="1:11" ht="21" x14ac:dyDescent="0.25">
      <c r="A3610" s="11" t="str">
        <f>HYPERLINK("https://rth.dk/resources/bsgatlas/details.php?id=BSGatlas-transcript-3609","BSGatlas-transcript-3609")</f>
        <v>BSGatlas-transcript-3609</v>
      </c>
      <c r="B3610" s="1" t="s">
        <v>3344</v>
      </c>
      <c r="C3610" s="3">
        <v>3224751</v>
      </c>
      <c r="D3610" s="3">
        <v>3225100</v>
      </c>
      <c r="E3610" s="1" t="s">
        <v>9</v>
      </c>
      <c r="F3610" s="1">
        <v>0</v>
      </c>
      <c r="G3610" s="1" t="s">
        <v>4372</v>
      </c>
      <c r="H3610" s="1" t="s">
        <v>4372</v>
      </c>
      <c r="I3610" s="1" t="s">
        <v>4373</v>
      </c>
      <c r="J3610" s="1" t="s">
        <v>9690</v>
      </c>
      <c r="K3610" s="1" t="s">
        <v>9691</v>
      </c>
    </row>
    <row r="3611" spans="1:11" ht="21" x14ac:dyDescent="0.25">
      <c r="A3611" s="11" t="str">
        <f>HYPERLINK("https://rth.dk/resources/bsgatlas/details.php?id=BSGatlas-transcript-3610","BSGatlas-transcript-3610")</f>
        <v>BSGatlas-transcript-3610</v>
      </c>
      <c r="B3611" s="1" t="s">
        <v>3344</v>
      </c>
      <c r="C3611" s="3">
        <v>3224751</v>
      </c>
      <c r="D3611" s="3">
        <v>3225181</v>
      </c>
      <c r="E3611" s="1" t="s">
        <v>9</v>
      </c>
      <c r="F3611" s="1">
        <v>0</v>
      </c>
      <c r="G3611" s="1" t="s">
        <v>4372</v>
      </c>
      <c r="H3611" s="1" t="s">
        <v>4372</v>
      </c>
      <c r="I3611" s="1" t="s">
        <v>4373</v>
      </c>
      <c r="J3611" s="1" t="s">
        <v>9690</v>
      </c>
      <c r="K3611" s="1" t="s">
        <v>9692</v>
      </c>
    </row>
    <row r="3612" spans="1:11" ht="21" x14ac:dyDescent="0.25">
      <c r="A3612" s="11" t="str">
        <f>HYPERLINK("https://rth.dk/resources/bsgatlas/details.php?id=BSGatlas-transcript-3611","BSGatlas-transcript-3611")</f>
        <v>BSGatlas-transcript-3611</v>
      </c>
      <c r="B3612" s="1" t="s">
        <v>3344</v>
      </c>
      <c r="C3612" s="3">
        <v>3224832</v>
      </c>
      <c r="D3612" s="3">
        <v>3225100</v>
      </c>
      <c r="E3612" s="1" t="s">
        <v>9</v>
      </c>
      <c r="F3612" s="1">
        <v>0</v>
      </c>
      <c r="G3612" s="1" t="s">
        <v>4372</v>
      </c>
      <c r="H3612" s="1" t="s">
        <v>4372</v>
      </c>
      <c r="I3612" s="1" t="s">
        <v>4373</v>
      </c>
      <c r="J3612" s="1" t="s">
        <v>9693</v>
      </c>
      <c r="K3612" s="1" t="s">
        <v>9691</v>
      </c>
    </row>
    <row r="3613" spans="1:11" ht="21" x14ac:dyDescent="0.25">
      <c r="A3613" s="11" t="str">
        <f>HYPERLINK("https://rth.dk/resources/bsgatlas/details.php?id=BSGatlas-transcript-3612","BSGatlas-transcript-3612")</f>
        <v>BSGatlas-transcript-3612</v>
      </c>
      <c r="B3613" s="1" t="s">
        <v>3344</v>
      </c>
      <c r="C3613" s="3">
        <v>3224832</v>
      </c>
      <c r="D3613" s="3">
        <v>3225181</v>
      </c>
      <c r="E3613" s="1" t="s">
        <v>9</v>
      </c>
      <c r="F3613" s="1">
        <v>0</v>
      </c>
      <c r="G3613" s="1" t="s">
        <v>4372</v>
      </c>
      <c r="H3613" s="1" t="s">
        <v>4372</v>
      </c>
      <c r="I3613" s="1" t="s">
        <v>4373</v>
      </c>
      <c r="J3613" s="1" t="s">
        <v>9693</v>
      </c>
      <c r="K3613" s="1" t="s">
        <v>9692</v>
      </c>
    </row>
    <row r="3614" spans="1:11" ht="21" x14ac:dyDescent="0.25">
      <c r="A3614" s="11" t="str">
        <f>HYPERLINK("https://rth.dk/resources/bsgatlas/details.php?id=BSGatlas-transcript-3613","BSGatlas-transcript-3613")</f>
        <v>BSGatlas-transcript-3613</v>
      </c>
      <c r="B3614" s="1" t="s">
        <v>3345</v>
      </c>
      <c r="C3614" s="3">
        <v>3225128</v>
      </c>
      <c r="D3614" s="3">
        <v>3225619</v>
      </c>
      <c r="E3614" s="1" t="s">
        <v>13</v>
      </c>
      <c r="F3614" s="1">
        <v>0</v>
      </c>
      <c r="G3614" s="1" t="s">
        <v>4372</v>
      </c>
      <c r="H3614" s="1" t="s">
        <v>4372</v>
      </c>
      <c r="I3614" s="1" t="s">
        <v>4373</v>
      </c>
      <c r="J3614" s="1" t="s">
        <v>9694</v>
      </c>
      <c r="K3614" s="1" t="s">
        <v>9695</v>
      </c>
    </row>
    <row r="3615" spans="1:11" ht="21" x14ac:dyDescent="0.25">
      <c r="A3615" s="11" t="str">
        <f>HYPERLINK("https://rth.dk/resources/bsgatlas/details.php?id=BSGatlas-transcript-3614","BSGatlas-transcript-3614")</f>
        <v>BSGatlas-transcript-3614</v>
      </c>
      <c r="B3615" s="1" t="s">
        <v>3346</v>
      </c>
      <c r="C3615" s="3">
        <v>3225697</v>
      </c>
      <c r="D3615" s="3">
        <v>3225824</v>
      </c>
      <c r="E3615" s="1" t="s">
        <v>9</v>
      </c>
      <c r="F3615" s="1">
        <v>0</v>
      </c>
      <c r="G3615" s="1" t="s">
        <v>4372</v>
      </c>
      <c r="H3615" s="1" t="s">
        <v>4372</v>
      </c>
      <c r="I3615" s="1" t="s">
        <v>4377</v>
      </c>
      <c r="J3615" s="1" t="s">
        <v>9696</v>
      </c>
      <c r="K3615" s="1" t="s">
        <v>318</v>
      </c>
    </row>
    <row r="3616" spans="1:11" ht="21" x14ac:dyDescent="0.25">
      <c r="A3616" s="11" t="str">
        <f>HYPERLINK("https://rth.dk/resources/bsgatlas/details.php?id=BSGatlas-transcript-3615","BSGatlas-transcript-3615")</f>
        <v>BSGatlas-transcript-3615</v>
      </c>
      <c r="B3616" s="1" t="s">
        <v>9697</v>
      </c>
      <c r="C3616" s="3">
        <v>3225772</v>
      </c>
      <c r="D3616" s="3">
        <v>3227484</v>
      </c>
      <c r="E3616" s="1" t="s">
        <v>13</v>
      </c>
      <c r="F3616" s="1">
        <v>0</v>
      </c>
      <c r="G3616" s="1" t="s">
        <v>4372</v>
      </c>
      <c r="H3616" s="1" t="s">
        <v>4372</v>
      </c>
      <c r="I3616" s="1" t="s">
        <v>4386</v>
      </c>
      <c r="J3616" s="1" t="s">
        <v>9698</v>
      </c>
      <c r="K3616" s="1" t="s">
        <v>318</v>
      </c>
    </row>
    <row r="3617" spans="1:11" ht="21" x14ac:dyDescent="0.25">
      <c r="A3617" s="11" t="str">
        <f>HYPERLINK("https://rth.dk/resources/bsgatlas/details.php?id=BSGatlas-transcript-3616","BSGatlas-transcript-3616")</f>
        <v>BSGatlas-transcript-3616</v>
      </c>
      <c r="B3617" s="1" t="s">
        <v>3349</v>
      </c>
      <c r="C3617" s="3">
        <v>3226842</v>
      </c>
      <c r="D3617" s="3">
        <v>3228402</v>
      </c>
      <c r="E3617" s="1" t="s">
        <v>9</v>
      </c>
      <c r="F3617" s="1">
        <v>0</v>
      </c>
      <c r="G3617" s="1" t="s">
        <v>4372</v>
      </c>
      <c r="H3617" s="1" t="s">
        <v>4372</v>
      </c>
      <c r="I3617" s="1" t="s">
        <v>4373</v>
      </c>
      <c r="J3617" s="1" t="s">
        <v>9699</v>
      </c>
      <c r="K3617" s="1" t="s">
        <v>9700</v>
      </c>
    </row>
    <row r="3618" spans="1:11" ht="21" x14ac:dyDescent="0.25">
      <c r="A3618" s="11" t="str">
        <f>HYPERLINK("https://rth.dk/resources/bsgatlas/details.php?id=BSGatlas-transcript-3617","BSGatlas-transcript-3617")</f>
        <v>BSGatlas-transcript-3617</v>
      </c>
      <c r="B3618" s="1" t="s">
        <v>3349</v>
      </c>
      <c r="C3618" s="3">
        <v>3226842</v>
      </c>
      <c r="D3618" s="3">
        <v>3228440</v>
      </c>
      <c r="E3618" s="1" t="s">
        <v>9</v>
      </c>
      <c r="F3618" s="1">
        <v>0</v>
      </c>
      <c r="G3618" s="1" t="s">
        <v>4372</v>
      </c>
      <c r="H3618" s="1" t="s">
        <v>4372</v>
      </c>
      <c r="I3618" s="1" t="s">
        <v>4373</v>
      </c>
      <c r="J3618" s="1" t="s">
        <v>9699</v>
      </c>
      <c r="K3618" s="1" t="s">
        <v>9701</v>
      </c>
    </row>
    <row r="3619" spans="1:11" ht="21" x14ac:dyDescent="0.25">
      <c r="A3619" s="11" t="str">
        <f>HYPERLINK("https://rth.dk/resources/bsgatlas/details.php?id=BSGatlas-transcript-3618","BSGatlas-transcript-3618")</f>
        <v>BSGatlas-transcript-3618</v>
      </c>
      <c r="B3619" s="1" t="s">
        <v>3349</v>
      </c>
      <c r="C3619" s="3">
        <v>3227490</v>
      </c>
      <c r="D3619" s="3">
        <v>3228402</v>
      </c>
      <c r="E3619" s="1" t="s">
        <v>9</v>
      </c>
      <c r="F3619" s="1">
        <v>0</v>
      </c>
      <c r="G3619" s="1" t="s">
        <v>4372</v>
      </c>
      <c r="H3619" s="1" t="s">
        <v>4372</v>
      </c>
      <c r="I3619" s="1" t="s">
        <v>4373</v>
      </c>
      <c r="J3619" s="1" t="s">
        <v>9702</v>
      </c>
      <c r="K3619" s="1" t="s">
        <v>9700</v>
      </c>
    </row>
    <row r="3620" spans="1:11" ht="21" x14ac:dyDescent="0.25">
      <c r="A3620" s="11" t="str">
        <f>HYPERLINK("https://rth.dk/resources/bsgatlas/details.php?id=BSGatlas-transcript-3619","BSGatlas-transcript-3619")</f>
        <v>BSGatlas-transcript-3619</v>
      </c>
      <c r="B3620" s="1" t="s">
        <v>3349</v>
      </c>
      <c r="C3620" s="3">
        <v>3227490</v>
      </c>
      <c r="D3620" s="3">
        <v>3228440</v>
      </c>
      <c r="E3620" s="1" t="s">
        <v>9</v>
      </c>
      <c r="F3620" s="1">
        <v>0</v>
      </c>
      <c r="G3620" s="1" t="s">
        <v>4372</v>
      </c>
      <c r="H3620" s="1" t="s">
        <v>4372</v>
      </c>
      <c r="I3620" s="1" t="s">
        <v>4373</v>
      </c>
      <c r="J3620" s="1" t="s">
        <v>9702</v>
      </c>
      <c r="K3620" s="1" t="s">
        <v>9701</v>
      </c>
    </row>
    <row r="3621" spans="1:11" ht="21" x14ac:dyDescent="0.25">
      <c r="A3621" s="11" t="str">
        <f>HYPERLINK("https://rth.dk/resources/bsgatlas/details.php?id=BSGatlas-transcript-3620","BSGatlas-transcript-3620")</f>
        <v>BSGatlas-transcript-3620</v>
      </c>
      <c r="B3621" s="1" t="s">
        <v>3350</v>
      </c>
      <c r="C3621" s="3">
        <v>3228396</v>
      </c>
      <c r="D3621" s="3">
        <v>3228722</v>
      </c>
      <c r="E3621" s="1" t="s">
        <v>13</v>
      </c>
      <c r="F3621" s="1">
        <v>0</v>
      </c>
      <c r="G3621" s="1" t="s">
        <v>4372</v>
      </c>
      <c r="H3621" s="1" t="s">
        <v>4372</v>
      </c>
      <c r="I3621" s="1" t="s">
        <v>4373</v>
      </c>
      <c r="J3621" s="1" t="s">
        <v>9703</v>
      </c>
      <c r="K3621" s="1" t="s">
        <v>9704</v>
      </c>
    </row>
    <row r="3622" spans="1:11" ht="21" x14ac:dyDescent="0.25">
      <c r="A3622" s="11" t="str">
        <f>HYPERLINK("https://rth.dk/resources/bsgatlas/details.php?id=BSGatlas-transcript-3621","BSGatlas-transcript-3621")</f>
        <v>BSGatlas-transcript-3621</v>
      </c>
      <c r="B3622" s="1" t="s">
        <v>3351</v>
      </c>
      <c r="C3622" s="3">
        <v>3228711</v>
      </c>
      <c r="D3622" s="3">
        <v>3229997</v>
      </c>
      <c r="E3622" s="1" t="s">
        <v>9</v>
      </c>
      <c r="F3622" s="1">
        <v>0</v>
      </c>
      <c r="G3622" s="1" t="s">
        <v>4372</v>
      </c>
      <c r="H3622" s="1" t="s">
        <v>4372</v>
      </c>
      <c r="I3622" s="1" t="s">
        <v>4373</v>
      </c>
      <c r="J3622" s="1" t="s">
        <v>9705</v>
      </c>
      <c r="K3622" s="1" t="s">
        <v>9706</v>
      </c>
    </row>
    <row r="3623" spans="1:11" ht="21" x14ac:dyDescent="0.25">
      <c r="A3623" s="11" t="str">
        <f>HYPERLINK("https://rth.dk/resources/bsgatlas/details.php?id=BSGatlas-transcript-3622","BSGatlas-transcript-3622")</f>
        <v>BSGatlas-transcript-3622</v>
      </c>
      <c r="B3623" s="1" t="s">
        <v>9707</v>
      </c>
      <c r="C3623" s="3">
        <v>3230039</v>
      </c>
      <c r="D3623" s="3">
        <v>3231822</v>
      </c>
      <c r="E3623" s="1" t="s">
        <v>9</v>
      </c>
      <c r="F3623" s="1">
        <v>1</v>
      </c>
      <c r="G3623" s="1">
        <v>29</v>
      </c>
      <c r="H3623" s="1">
        <v>38</v>
      </c>
      <c r="I3623" s="1" t="s">
        <v>4373</v>
      </c>
      <c r="J3623" s="1" t="s">
        <v>9708</v>
      </c>
      <c r="K3623" s="1" t="s">
        <v>9709</v>
      </c>
    </row>
    <row r="3624" spans="1:11" ht="21" x14ac:dyDescent="0.25">
      <c r="A3624" s="11" t="str">
        <f>HYPERLINK("https://rth.dk/resources/bsgatlas/details.php?id=BSGatlas-transcript-3623","BSGatlas-transcript-3623")</f>
        <v>BSGatlas-transcript-3623</v>
      </c>
      <c r="B3624" s="1" t="s">
        <v>3354</v>
      </c>
      <c r="C3624" s="3">
        <v>3231036</v>
      </c>
      <c r="D3624" s="3">
        <v>3232481</v>
      </c>
      <c r="E3624" s="1" t="s">
        <v>13</v>
      </c>
      <c r="F3624" s="1">
        <v>0</v>
      </c>
      <c r="G3624" s="1" t="s">
        <v>4372</v>
      </c>
      <c r="H3624" s="1" t="s">
        <v>4372</v>
      </c>
      <c r="I3624" s="1" t="s">
        <v>4547</v>
      </c>
      <c r="J3624" s="1" t="s">
        <v>9710</v>
      </c>
      <c r="K3624" s="1" t="s">
        <v>9711</v>
      </c>
    </row>
    <row r="3625" spans="1:11" ht="21" x14ac:dyDescent="0.25">
      <c r="A3625" s="11" t="str">
        <f>HYPERLINK("https://rth.dk/resources/bsgatlas/details.php?id=BSGatlas-transcript-3624","BSGatlas-transcript-3624")</f>
        <v>BSGatlas-transcript-3624</v>
      </c>
      <c r="B3625" s="1" t="s">
        <v>3353</v>
      </c>
      <c r="C3625" s="3">
        <v>3231370</v>
      </c>
      <c r="D3625" s="3">
        <v>3231822</v>
      </c>
      <c r="E3625" s="1" t="s">
        <v>9</v>
      </c>
      <c r="F3625" s="1">
        <v>0</v>
      </c>
      <c r="G3625" s="1" t="s">
        <v>4372</v>
      </c>
      <c r="H3625" s="1" t="s">
        <v>4372</v>
      </c>
      <c r="I3625" s="1" t="s">
        <v>4377</v>
      </c>
      <c r="J3625" s="1" t="s">
        <v>9712</v>
      </c>
      <c r="K3625" s="1" t="s">
        <v>9709</v>
      </c>
    </row>
    <row r="3626" spans="1:11" ht="21" x14ac:dyDescent="0.25">
      <c r="A3626" s="11" t="str">
        <f>HYPERLINK("https://rth.dk/resources/bsgatlas/details.php?id=BSGatlas-transcript-3625","BSGatlas-transcript-3625")</f>
        <v>BSGatlas-transcript-3625</v>
      </c>
      <c r="B3626" s="1" t="s">
        <v>3355</v>
      </c>
      <c r="C3626" s="3">
        <v>3232574</v>
      </c>
      <c r="D3626" s="3">
        <v>3233818</v>
      </c>
      <c r="E3626" s="1" t="s">
        <v>9</v>
      </c>
      <c r="F3626" s="1">
        <v>0</v>
      </c>
      <c r="G3626" s="1" t="s">
        <v>4372</v>
      </c>
      <c r="H3626" s="1" t="s">
        <v>4372</v>
      </c>
      <c r="I3626" s="1" t="s">
        <v>4386</v>
      </c>
      <c r="J3626" s="1" t="s">
        <v>9713</v>
      </c>
      <c r="K3626" s="1" t="s">
        <v>318</v>
      </c>
    </row>
    <row r="3627" spans="1:11" ht="21" x14ac:dyDescent="0.25">
      <c r="A3627" s="11" t="str">
        <f>HYPERLINK("https://rth.dk/resources/bsgatlas/details.php?id=BSGatlas-transcript-3626","BSGatlas-transcript-3626")</f>
        <v>BSGatlas-transcript-3626</v>
      </c>
      <c r="B3627" s="1" t="s">
        <v>9714</v>
      </c>
      <c r="C3627" s="3">
        <v>3233891</v>
      </c>
      <c r="D3627" s="3">
        <v>3236219</v>
      </c>
      <c r="E3627" s="1" t="s">
        <v>9</v>
      </c>
      <c r="F3627" s="1">
        <v>1</v>
      </c>
      <c r="G3627" s="1">
        <v>21</v>
      </c>
      <c r="H3627" s="1" t="s">
        <v>4372</v>
      </c>
      <c r="I3627" s="1" t="s">
        <v>4373</v>
      </c>
      <c r="J3627" s="1" t="s">
        <v>9715</v>
      </c>
      <c r="K3627" s="1" t="s">
        <v>9716</v>
      </c>
    </row>
    <row r="3628" spans="1:11" ht="21" x14ac:dyDescent="0.25">
      <c r="A3628" s="11" t="str">
        <f>HYPERLINK("https://rth.dk/resources/bsgatlas/details.php?id=BSGatlas-transcript-3627","BSGatlas-transcript-3627")</f>
        <v>BSGatlas-transcript-3627</v>
      </c>
      <c r="B3628" s="1" t="s">
        <v>9714</v>
      </c>
      <c r="C3628" s="3">
        <v>3233891</v>
      </c>
      <c r="D3628" s="3">
        <v>3236303</v>
      </c>
      <c r="E3628" s="1" t="s">
        <v>9</v>
      </c>
      <c r="F3628" s="1">
        <v>1</v>
      </c>
      <c r="G3628" s="1">
        <v>21</v>
      </c>
      <c r="H3628" s="1">
        <v>85</v>
      </c>
      <c r="I3628" s="1" t="s">
        <v>4373</v>
      </c>
      <c r="J3628" s="1" t="s">
        <v>9715</v>
      </c>
      <c r="K3628" s="1" t="s">
        <v>9717</v>
      </c>
    </row>
    <row r="3629" spans="1:11" ht="21" x14ac:dyDescent="0.25">
      <c r="A3629" s="11" t="str">
        <f>HYPERLINK("https://rth.dk/resources/bsgatlas/details.php?id=BSGatlas-transcript-3628","BSGatlas-transcript-3628")</f>
        <v>BSGatlas-transcript-3628</v>
      </c>
      <c r="B3629" s="1" t="s">
        <v>3358</v>
      </c>
      <c r="C3629" s="3">
        <v>3236422</v>
      </c>
      <c r="D3629" s="3">
        <v>3237013</v>
      </c>
      <c r="E3629" s="1" t="s">
        <v>13</v>
      </c>
      <c r="F3629" s="1">
        <v>0</v>
      </c>
      <c r="G3629" s="1" t="s">
        <v>4372</v>
      </c>
      <c r="H3629" s="1" t="s">
        <v>4372</v>
      </c>
      <c r="I3629" s="1" t="s">
        <v>4397</v>
      </c>
      <c r="J3629" s="1" t="s">
        <v>9718</v>
      </c>
      <c r="K3629" s="1" t="s">
        <v>9719</v>
      </c>
    </row>
    <row r="3630" spans="1:11" ht="21" x14ac:dyDescent="0.25">
      <c r="A3630" s="11" t="str">
        <f>HYPERLINK("https://rth.dk/resources/bsgatlas/details.php?id=BSGatlas-transcript-3629","BSGatlas-transcript-3629")</f>
        <v>BSGatlas-transcript-3629</v>
      </c>
      <c r="B3630" s="1" t="s">
        <v>9720</v>
      </c>
      <c r="C3630" s="3">
        <v>3236453</v>
      </c>
      <c r="D3630" s="3">
        <v>3239503</v>
      </c>
      <c r="E3630" s="1" t="s">
        <v>9</v>
      </c>
      <c r="F3630" s="1">
        <v>0</v>
      </c>
      <c r="G3630" s="1" t="s">
        <v>4372</v>
      </c>
      <c r="H3630" s="1" t="s">
        <v>4372</v>
      </c>
      <c r="I3630" s="1" t="s">
        <v>4397</v>
      </c>
      <c r="J3630" s="1" t="s">
        <v>9721</v>
      </c>
      <c r="K3630" s="1" t="s">
        <v>9722</v>
      </c>
    </row>
    <row r="3631" spans="1:11" ht="21" x14ac:dyDescent="0.25">
      <c r="A3631" s="11" t="str">
        <f>HYPERLINK("https://rth.dk/resources/bsgatlas/details.php?id=BSGatlas-transcript-3630","BSGatlas-transcript-3630")</f>
        <v>BSGatlas-transcript-3630</v>
      </c>
      <c r="B3631" s="1" t="s">
        <v>3360</v>
      </c>
      <c r="C3631" s="3">
        <v>3238751</v>
      </c>
      <c r="D3631" s="3">
        <v>3239503</v>
      </c>
      <c r="E3631" s="1" t="s">
        <v>9</v>
      </c>
      <c r="F3631" s="1">
        <v>0</v>
      </c>
      <c r="G3631" s="1" t="s">
        <v>4372</v>
      </c>
      <c r="H3631" s="1" t="s">
        <v>4372</v>
      </c>
      <c r="I3631" s="1" t="s">
        <v>7186</v>
      </c>
      <c r="J3631" s="1" t="s">
        <v>318</v>
      </c>
      <c r="K3631" s="1" t="s">
        <v>9722</v>
      </c>
    </row>
    <row r="3632" spans="1:11" ht="21" x14ac:dyDescent="0.25">
      <c r="A3632" s="11" t="str">
        <f>HYPERLINK("https://rth.dk/resources/bsgatlas/details.php?id=BSGatlas-transcript-3631","BSGatlas-transcript-3631")</f>
        <v>BSGatlas-transcript-3631</v>
      </c>
      <c r="B3632" s="1" t="s">
        <v>3361</v>
      </c>
      <c r="C3632" s="3">
        <v>3239640</v>
      </c>
      <c r="D3632" s="3">
        <v>3241062</v>
      </c>
      <c r="E3632" s="1" t="s">
        <v>9</v>
      </c>
      <c r="F3632" s="1">
        <v>0</v>
      </c>
      <c r="G3632" s="1" t="s">
        <v>4372</v>
      </c>
      <c r="H3632" s="1" t="s">
        <v>4372</v>
      </c>
      <c r="I3632" s="1" t="s">
        <v>4382</v>
      </c>
      <c r="J3632" s="1" t="s">
        <v>9723</v>
      </c>
      <c r="K3632" s="1" t="s">
        <v>9724</v>
      </c>
    </row>
    <row r="3633" spans="1:11" ht="21" x14ac:dyDescent="0.25">
      <c r="A3633" s="11" t="str">
        <f>HYPERLINK("https://rth.dk/resources/bsgatlas/details.php?id=BSGatlas-transcript-3632","BSGatlas-transcript-3632")</f>
        <v>BSGatlas-transcript-3632</v>
      </c>
      <c r="B3633" s="1" t="s">
        <v>9725</v>
      </c>
      <c r="C3633" s="3">
        <v>3239640</v>
      </c>
      <c r="D3633" s="3">
        <v>3244616</v>
      </c>
      <c r="E3633" s="1" t="s">
        <v>9</v>
      </c>
      <c r="F3633" s="1">
        <v>1</v>
      </c>
      <c r="G3633" s="1">
        <v>291</v>
      </c>
      <c r="H3633" s="1" t="s">
        <v>4372</v>
      </c>
      <c r="I3633" s="1" t="s">
        <v>4397</v>
      </c>
      <c r="J3633" s="1" t="s">
        <v>9723</v>
      </c>
      <c r="K3633" s="1" t="s">
        <v>318</v>
      </c>
    </row>
    <row r="3634" spans="1:11" ht="21" x14ac:dyDescent="0.25">
      <c r="A3634" s="11" t="str">
        <f>HYPERLINK("https://rth.dk/resources/bsgatlas/details.php?id=BSGatlas-transcript-3633","BSGatlas-transcript-3633")</f>
        <v>BSGatlas-transcript-3633</v>
      </c>
      <c r="B3634" s="1" t="s">
        <v>3365</v>
      </c>
      <c r="C3634" s="3">
        <v>3244743</v>
      </c>
      <c r="D3634" s="3">
        <v>3246161</v>
      </c>
      <c r="E3634" s="1" t="s">
        <v>9</v>
      </c>
      <c r="F3634" s="1">
        <v>0</v>
      </c>
      <c r="G3634" s="1" t="s">
        <v>4372</v>
      </c>
      <c r="H3634" s="1" t="s">
        <v>4372</v>
      </c>
      <c r="I3634" s="1" t="s">
        <v>4373</v>
      </c>
      <c r="J3634" s="1" t="s">
        <v>9726</v>
      </c>
      <c r="K3634" s="1" t="s">
        <v>9727</v>
      </c>
    </row>
    <row r="3635" spans="1:11" ht="21" x14ac:dyDescent="0.25">
      <c r="A3635" s="11" t="str">
        <f>HYPERLINK("https://rth.dk/resources/bsgatlas/details.php?id=BSGatlas-transcript-3634","BSGatlas-transcript-3634")</f>
        <v>BSGatlas-transcript-3634</v>
      </c>
      <c r="B3635" s="1" t="s">
        <v>3366</v>
      </c>
      <c r="C3635" s="3">
        <v>3246152</v>
      </c>
      <c r="D3635" s="3">
        <v>3246385</v>
      </c>
      <c r="E3635" s="1" t="s">
        <v>13</v>
      </c>
      <c r="F3635" s="1">
        <v>0</v>
      </c>
      <c r="G3635" s="1" t="s">
        <v>4372</v>
      </c>
      <c r="H3635" s="1" t="s">
        <v>4372</v>
      </c>
      <c r="I3635" s="1" t="s">
        <v>4397</v>
      </c>
      <c r="J3635" s="1" t="s">
        <v>9728</v>
      </c>
      <c r="K3635" s="1" t="s">
        <v>318</v>
      </c>
    </row>
    <row r="3636" spans="1:11" ht="21" x14ac:dyDescent="0.25">
      <c r="A3636" s="11" t="str">
        <f>HYPERLINK("https://rth.dk/resources/bsgatlas/details.php?id=BSGatlas-transcript-3635","BSGatlas-transcript-3635")</f>
        <v>BSGatlas-transcript-3635</v>
      </c>
      <c r="B3636" s="1" t="s">
        <v>9729</v>
      </c>
      <c r="C3636" s="3">
        <v>3246331</v>
      </c>
      <c r="D3636" s="3">
        <v>3252366</v>
      </c>
      <c r="E3636" s="1" t="s">
        <v>9</v>
      </c>
      <c r="F3636" s="1">
        <v>0</v>
      </c>
      <c r="G3636" s="1" t="s">
        <v>4372</v>
      </c>
      <c r="H3636" s="1" t="s">
        <v>4372</v>
      </c>
      <c r="I3636" s="1" t="s">
        <v>4373</v>
      </c>
      <c r="J3636" s="1" t="s">
        <v>9730</v>
      </c>
      <c r="K3636" s="1" t="s">
        <v>9731</v>
      </c>
    </row>
    <row r="3637" spans="1:11" ht="21" x14ac:dyDescent="0.25">
      <c r="A3637" s="11" t="str">
        <f>HYPERLINK("https://rth.dk/resources/bsgatlas/details.php?id=BSGatlas-transcript-3636","BSGatlas-transcript-3636")</f>
        <v>BSGatlas-transcript-3636</v>
      </c>
      <c r="B3637" s="1" t="s">
        <v>9729</v>
      </c>
      <c r="C3637" s="3">
        <v>3246331</v>
      </c>
      <c r="D3637" s="3">
        <v>3252414</v>
      </c>
      <c r="E3637" s="1" t="s">
        <v>9</v>
      </c>
      <c r="F3637" s="1">
        <v>0</v>
      </c>
      <c r="G3637" s="1" t="s">
        <v>4372</v>
      </c>
      <c r="H3637" s="1" t="s">
        <v>4372</v>
      </c>
      <c r="I3637" s="1" t="s">
        <v>4373</v>
      </c>
      <c r="J3637" s="1" t="s">
        <v>9730</v>
      </c>
      <c r="K3637" s="1" t="s">
        <v>9732</v>
      </c>
    </row>
    <row r="3638" spans="1:11" ht="21" x14ac:dyDescent="0.25">
      <c r="A3638" s="11" t="str">
        <f>HYPERLINK("https://rth.dk/resources/bsgatlas/details.php?id=BSGatlas-transcript-3637","BSGatlas-transcript-3637")</f>
        <v>BSGatlas-transcript-3637</v>
      </c>
      <c r="B3638" s="1" t="s">
        <v>9729</v>
      </c>
      <c r="C3638" s="3">
        <v>3246432</v>
      </c>
      <c r="D3638" s="3">
        <v>3252366</v>
      </c>
      <c r="E3638" s="1" t="s">
        <v>9</v>
      </c>
      <c r="F3638" s="1">
        <v>0</v>
      </c>
      <c r="G3638" s="1" t="s">
        <v>4372</v>
      </c>
      <c r="H3638" s="1" t="s">
        <v>4372</v>
      </c>
      <c r="I3638" s="1" t="s">
        <v>4373</v>
      </c>
      <c r="J3638" s="1" t="s">
        <v>9733</v>
      </c>
      <c r="K3638" s="1" t="s">
        <v>9731</v>
      </c>
    </row>
    <row r="3639" spans="1:11" ht="21" x14ac:dyDescent="0.25">
      <c r="A3639" s="11" t="str">
        <f>HYPERLINK("https://rth.dk/resources/bsgatlas/details.php?id=BSGatlas-transcript-3638","BSGatlas-transcript-3638")</f>
        <v>BSGatlas-transcript-3638</v>
      </c>
      <c r="B3639" s="1" t="s">
        <v>9729</v>
      </c>
      <c r="C3639" s="3">
        <v>3246432</v>
      </c>
      <c r="D3639" s="3">
        <v>3252414</v>
      </c>
      <c r="E3639" s="1" t="s">
        <v>9</v>
      </c>
      <c r="F3639" s="1">
        <v>0</v>
      </c>
      <c r="G3639" s="1" t="s">
        <v>4372</v>
      </c>
      <c r="H3639" s="1" t="s">
        <v>4372</v>
      </c>
      <c r="I3639" s="1" t="s">
        <v>4373</v>
      </c>
      <c r="J3639" s="1" t="s">
        <v>9733</v>
      </c>
      <c r="K3639" s="1" t="s">
        <v>9732</v>
      </c>
    </row>
    <row r="3640" spans="1:11" ht="21" x14ac:dyDescent="0.25">
      <c r="A3640" s="11" t="str">
        <f>HYPERLINK("https://rth.dk/resources/bsgatlas/details.php?id=BSGatlas-transcript-3639","BSGatlas-transcript-3639")</f>
        <v>BSGatlas-transcript-3639</v>
      </c>
      <c r="B3640" s="1" t="s">
        <v>9729</v>
      </c>
      <c r="C3640" s="3">
        <v>3246529</v>
      </c>
      <c r="D3640" s="3">
        <v>3252366</v>
      </c>
      <c r="E3640" s="1" t="s">
        <v>9</v>
      </c>
      <c r="F3640" s="1">
        <v>0</v>
      </c>
      <c r="G3640" s="1" t="s">
        <v>4372</v>
      </c>
      <c r="H3640" s="1" t="s">
        <v>4372</v>
      </c>
      <c r="I3640" s="1" t="s">
        <v>4373</v>
      </c>
      <c r="J3640" s="1" t="s">
        <v>9734</v>
      </c>
      <c r="K3640" s="1" t="s">
        <v>9731</v>
      </c>
    </row>
    <row r="3641" spans="1:11" ht="21" x14ac:dyDescent="0.25">
      <c r="A3641" s="11" t="str">
        <f>HYPERLINK("https://rth.dk/resources/bsgatlas/details.php?id=BSGatlas-transcript-3640","BSGatlas-transcript-3640")</f>
        <v>BSGatlas-transcript-3640</v>
      </c>
      <c r="B3641" s="1" t="s">
        <v>9729</v>
      </c>
      <c r="C3641" s="3">
        <v>3246529</v>
      </c>
      <c r="D3641" s="3">
        <v>3252414</v>
      </c>
      <c r="E3641" s="1" t="s">
        <v>9</v>
      </c>
      <c r="F3641" s="1">
        <v>0</v>
      </c>
      <c r="G3641" s="1" t="s">
        <v>4372</v>
      </c>
      <c r="H3641" s="1" t="s">
        <v>4372</v>
      </c>
      <c r="I3641" s="1" t="s">
        <v>4373</v>
      </c>
      <c r="J3641" s="1" t="s">
        <v>9734</v>
      </c>
      <c r="K3641" s="1" t="s">
        <v>9732</v>
      </c>
    </row>
    <row r="3642" spans="1:11" ht="21" x14ac:dyDescent="0.25">
      <c r="A3642" s="11" t="str">
        <f>HYPERLINK("https://rth.dk/resources/bsgatlas/details.php?id=BSGatlas-transcript-3641","BSGatlas-transcript-3641")</f>
        <v>BSGatlas-transcript-3641</v>
      </c>
      <c r="B3642" s="1" t="s">
        <v>9735</v>
      </c>
      <c r="C3642" s="3">
        <v>3249719</v>
      </c>
      <c r="D3642" s="3">
        <v>3252366</v>
      </c>
      <c r="E3642" s="1" t="s">
        <v>9</v>
      </c>
      <c r="F3642" s="1">
        <v>0</v>
      </c>
      <c r="G3642" s="1" t="s">
        <v>4372</v>
      </c>
      <c r="H3642" s="1" t="s">
        <v>4372</v>
      </c>
      <c r="I3642" s="1" t="s">
        <v>4377</v>
      </c>
      <c r="J3642" s="1" t="s">
        <v>9736</v>
      </c>
      <c r="K3642" s="1" t="s">
        <v>9731</v>
      </c>
    </row>
    <row r="3643" spans="1:11" ht="21" x14ac:dyDescent="0.25">
      <c r="A3643" s="11" t="str">
        <f>HYPERLINK("https://rth.dk/resources/bsgatlas/details.php?id=BSGatlas-transcript-3642","BSGatlas-transcript-3642")</f>
        <v>BSGatlas-transcript-3642</v>
      </c>
      <c r="B3643" s="1" t="s">
        <v>9735</v>
      </c>
      <c r="C3643" s="3">
        <v>3249719</v>
      </c>
      <c r="D3643" s="3">
        <v>3252414</v>
      </c>
      <c r="E3643" s="1" t="s">
        <v>9</v>
      </c>
      <c r="F3643" s="1">
        <v>0</v>
      </c>
      <c r="G3643" s="1" t="s">
        <v>4372</v>
      </c>
      <c r="H3643" s="1" t="s">
        <v>4372</v>
      </c>
      <c r="I3643" s="1" t="s">
        <v>4377</v>
      </c>
      <c r="J3643" s="1" t="s">
        <v>9736</v>
      </c>
      <c r="K3643" s="1" t="s">
        <v>9732</v>
      </c>
    </row>
    <row r="3644" spans="1:11" ht="21" x14ac:dyDescent="0.25">
      <c r="A3644" s="11" t="str">
        <f>HYPERLINK("https://rth.dk/resources/bsgatlas/details.php?id=BSGatlas-transcript-3643","BSGatlas-transcript-3643")</f>
        <v>BSGatlas-transcript-3643</v>
      </c>
      <c r="B3644" s="1" t="s">
        <v>9737</v>
      </c>
      <c r="C3644" s="3">
        <v>3250461</v>
      </c>
      <c r="D3644" s="3">
        <v>3253474</v>
      </c>
      <c r="E3644" s="1" t="s">
        <v>13</v>
      </c>
      <c r="F3644" s="1">
        <v>1</v>
      </c>
      <c r="G3644" s="1">
        <v>27</v>
      </c>
      <c r="H3644" s="1">
        <v>1945</v>
      </c>
      <c r="I3644" s="1" t="s">
        <v>4382</v>
      </c>
      <c r="J3644" s="1" t="s">
        <v>9738</v>
      </c>
      <c r="K3644" s="1" t="s">
        <v>9739</v>
      </c>
    </row>
    <row r="3645" spans="1:11" ht="21" x14ac:dyDescent="0.25">
      <c r="A3645" s="11" t="str">
        <f>HYPERLINK("https://rth.dk/resources/bsgatlas/details.php?id=BSGatlas-transcript-3644","BSGatlas-transcript-3644")</f>
        <v>BSGatlas-transcript-3644</v>
      </c>
      <c r="B3645" s="1" t="s">
        <v>9740</v>
      </c>
      <c r="C3645" s="3">
        <v>3250461</v>
      </c>
      <c r="D3645" s="3">
        <v>3256967</v>
      </c>
      <c r="E3645" s="1" t="s">
        <v>13</v>
      </c>
      <c r="F3645" s="1">
        <v>2</v>
      </c>
      <c r="G3645" s="1">
        <v>61</v>
      </c>
      <c r="H3645" s="1">
        <v>1945</v>
      </c>
      <c r="I3645" s="1" t="s">
        <v>4386</v>
      </c>
      <c r="J3645" s="1" t="s">
        <v>9741</v>
      </c>
      <c r="K3645" s="1" t="s">
        <v>9739</v>
      </c>
    </row>
    <row r="3646" spans="1:11" ht="21" x14ac:dyDescent="0.25">
      <c r="A3646" s="11" t="str">
        <f>HYPERLINK("https://rth.dk/resources/bsgatlas/details.php?id=BSGatlas-transcript-3645","BSGatlas-transcript-3645")</f>
        <v>BSGatlas-transcript-3645</v>
      </c>
      <c r="B3646" s="1" t="s">
        <v>9740</v>
      </c>
      <c r="C3646" s="3">
        <v>3250461</v>
      </c>
      <c r="D3646" s="3">
        <v>3257021</v>
      </c>
      <c r="E3646" s="1" t="s">
        <v>13</v>
      </c>
      <c r="F3646" s="1">
        <v>2</v>
      </c>
      <c r="G3646" s="1">
        <v>115</v>
      </c>
      <c r="H3646" s="1">
        <v>1945</v>
      </c>
      <c r="I3646" s="1" t="s">
        <v>4386</v>
      </c>
      <c r="J3646" s="1" t="s">
        <v>9742</v>
      </c>
      <c r="K3646" s="1" t="s">
        <v>9739</v>
      </c>
    </row>
    <row r="3647" spans="1:11" ht="21" x14ac:dyDescent="0.25">
      <c r="A3647" s="11" t="str">
        <f>HYPERLINK("https://rth.dk/resources/bsgatlas/details.php?id=BSGatlas-transcript-3646","BSGatlas-transcript-3646")</f>
        <v>BSGatlas-transcript-3646</v>
      </c>
      <c r="B3647" s="1" t="s">
        <v>9737</v>
      </c>
      <c r="C3647" s="3">
        <v>3252358</v>
      </c>
      <c r="D3647" s="3">
        <v>3253474</v>
      </c>
      <c r="E3647" s="1" t="s">
        <v>13</v>
      </c>
      <c r="F3647" s="1">
        <v>1</v>
      </c>
      <c r="G3647" s="1">
        <v>27</v>
      </c>
      <c r="H3647" s="1">
        <v>48</v>
      </c>
      <c r="I3647" s="1" t="s">
        <v>4382</v>
      </c>
      <c r="J3647" s="1" t="s">
        <v>9738</v>
      </c>
      <c r="K3647" s="1" t="s">
        <v>9743</v>
      </c>
    </row>
    <row r="3648" spans="1:11" ht="21" x14ac:dyDescent="0.25">
      <c r="A3648" s="11" t="str">
        <f>HYPERLINK("https://rth.dk/resources/bsgatlas/details.php?id=BSGatlas-transcript-3647","BSGatlas-transcript-3647")</f>
        <v>BSGatlas-transcript-3647</v>
      </c>
      <c r="B3648" s="1" t="s">
        <v>9740</v>
      </c>
      <c r="C3648" s="3">
        <v>3252358</v>
      </c>
      <c r="D3648" s="3">
        <v>3256967</v>
      </c>
      <c r="E3648" s="1" t="s">
        <v>13</v>
      </c>
      <c r="F3648" s="1">
        <v>2</v>
      </c>
      <c r="G3648" s="1">
        <v>61</v>
      </c>
      <c r="H3648" s="1">
        <v>48</v>
      </c>
      <c r="I3648" s="1" t="s">
        <v>4386</v>
      </c>
      <c r="J3648" s="1" t="s">
        <v>9741</v>
      </c>
      <c r="K3648" s="1" t="s">
        <v>9743</v>
      </c>
    </row>
    <row r="3649" spans="1:11" ht="21" x14ac:dyDescent="0.25">
      <c r="A3649" s="11" t="str">
        <f>HYPERLINK("https://rth.dk/resources/bsgatlas/details.php?id=BSGatlas-transcript-3648","BSGatlas-transcript-3648")</f>
        <v>BSGatlas-transcript-3648</v>
      </c>
      <c r="B3649" s="1" t="s">
        <v>9740</v>
      </c>
      <c r="C3649" s="3">
        <v>3252358</v>
      </c>
      <c r="D3649" s="3">
        <v>3257021</v>
      </c>
      <c r="E3649" s="1" t="s">
        <v>13</v>
      </c>
      <c r="F3649" s="1">
        <v>2</v>
      </c>
      <c r="G3649" s="1">
        <v>115</v>
      </c>
      <c r="H3649" s="1">
        <v>48</v>
      </c>
      <c r="I3649" s="1" t="s">
        <v>4386</v>
      </c>
      <c r="J3649" s="1" t="s">
        <v>9742</v>
      </c>
      <c r="K3649" s="1" t="s">
        <v>9743</v>
      </c>
    </row>
    <row r="3650" spans="1:11" ht="21" x14ac:dyDescent="0.25">
      <c r="A3650" s="11" t="str">
        <f>HYPERLINK("https://rth.dk/resources/bsgatlas/details.php?id=BSGatlas-transcript-3649","BSGatlas-transcript-3649")</f>
        <v>BSGatlas-transcript-3649</v>
      </c>
      <c r="B3650" s="1" t="s">
        <v>3376</v>
      </c>
      <c r="C3650" s="3">
        <v>3253476</v>
      </c>
      <c r="D3650" s="3">
        <v>3255838</v>
      </c>
      <c r="E3650" s="1" t="s">
        <v>13</v>
      </c>
      <c r="F3650" s="1">
        <v>0</v>
      </c>
      <c r="G3650" s="1" t="s">
        <v>4372</v>
      </c>
      <c r="H3650" s="1" t="s">
        <v>4372</v>
      </c>
      <c r="I3650" s="1" t="s">
        <v>4382</v>
      </c>
      <c r="J3650" s="1" t="s">
        <v>318</v>
      </c>
      <c r="K3650" s="1" t="s">
        <v>9744</v>
      </c>
    </row>
    <row r="3651" spans="1:11" ht="21" x14ac:dyDescent="0.25">
      <c r="A3651" s="11" t="str">
        <f>HYPERLINK("https://rth.dk/resources/bsgatlas/details.php?id=BSGatlas-transcript-3650","BSGatlas-transcript-3650")</f>
        <v>BSGatlas-transcript-3650</v>
      </c>
      <c r="B3651" s="1" t="s">
        <v>9745</v>
      </c>
      <c r="C3651" s="3">
        <v>3253476</v>
      </c>
      <c r="D3651" s="3">
        <v>3256967</v>
      </c>
      <c r="E3651" s="1" t="s">
        <v>13</v>
      </c>
      <c r="F3651" s="1">
        <v>0</v>
      </c>
      <c r="G3651" s="1" t="s">
        <v>4372</v>
      </c>
      <c r="H3651" s="1" t="s">
        <v>4372</v>
      </c>
      <c r="I3651" s="1" t="s">
        <v>4377</v>
      </c>
      <c r="J3651" s="1" t="s">
        <v>9741</v>
      </c>
      <c r="K3651" s="1" t="s">
        <v>9744</v>
      </c>
    </row>
    <row r="3652" spans="1:11" ht="21" x14ac:dyDescent="0.25">
      <c r="A3652" s="11" t="str">
        <f>HYPERLINK("https://rth.dk/resources/bsgatlas/details.php?id=BSGatlas-transcript-3651","BSGatlas-transcript-3651")</f>
        <v>BSGatlas-transcript-3651</v>
      </c>
      <c r="B3652" s="1" t="s">
        <v>9745</v>
      </c>
      <c r="C3652" s="3">
        <v>3253476</v>
      </c>
      <c r="D3652" s="3">
        <v>3257021</v>
      </c>
      <c r="E3652" s="1" t="s">
        <v>13</v>
      </c>
      <c r="F3652" s="1">
        <v>0</v>
      </c>
      <c r="G3652" s="1" t="s">
        <v>4372</v>
      </c>
      <c r="H3652" s="1" t="s">
        <v>4372</v>
      </c>
      <c r="I3652" s="1" t="s">
        <v>4377</v>
      </c>
      <c r="J3652" s="1" t="s">
        <v>9742</v>
      </c>
      <c r="K3652" s="1" t="s">
        <v>9744</v>
      </c>
    </row>
    <row r="3653" spans="1:11" ht="21" x14ac:dyDescent="0.25">
      <c r="A3653" s="11" t="str">
        <f>HYPERLINK("https://rth.dk/resources/bsgatlas/details.php?id=BSGatlas-transcript-3652","BSGatlas-transcript-3652")</f>
        <v>BSGatlas-transcript-3652</v>
      </c>
      <c r="B3653" s="1" t="s">
        <v>3379</v>
      </c>
      <c r="C3653" s="3">
        <v>3254559</v>
      </c>
      <c r="D3653" s="3">
        <v>3256404</v>
      </c>
      <c r="E3653" s="1" t="s">
        <v>9</v>
      </c>
      <c r="F3653" s="1">
        <v>0</v>
      </c>
      <c r="G3653" s="1" t="s">
        <v>4372</v>
      </c>
      <c r="H3653" s="1" t="s">
        <v>4372</v>
      </c>
      <c r="I3653" s="1" t="s">
        <v>4377</v>
      </c>
      <c r="J3653" s="1" t="s">
        <v>9746</v>
      </c>
      <c r="K3653" s="1" t="s">
        <v>318</v>
      </c>
    </row>
    <row r="3654" spans="1:11" ht="21" x14ac:dyDescent="0.25">
      <c r="A3654" s="11" t="str">
        <f>HYPERLINK("https://rth.dk/resources/bsgatlas/details.php?id=BSGatlas-transcript-3653","BSGatlas-transcript-3653")</f>
        <v>BSGatlas-transcript-3653</v>
      </c>
      <c r="B3654" s="1" t="s">
        <v>3379</v>
      </c>
      <c r="C3654" s="3">
        <v>3255432</v>
      </c>
      <c r="D3654" s="3">
        <v>3256404</v>
      </c>
      <c r="E3654" s="1" t="s">
        <v>9</v>
      </c>
      <c r="F3654" s="1">
        <v>0</v>
      </c>
      <c r="G3654" s="1" t="s">
        <v>4372</v>
      </c>
      <c r="H3654" s="1" t="s">
        <v>4372</v>
      </c>
      <c r="I3654" s="1" t="s">
        <v>4377</v>
      </c>
      <c r="J3654" s="1" t="s">
        <v>9747</v>
      </c>
      <c r="K3654" s="1" t="s">
        <v>318</v>
      </c>
    </row>
    <row r="3655" spans="1:11" ht="21" x14ac:dyDescent="0.25">
      <c r="A3655" s="11" t="str">
        <f>HYPERLINK("https://rth.dk/resources/bsgatlas/details.php?id=BSGatlas-transcript-3654","BSGatlas-transcript-3654")</f>
        <v>BSGatlas-transcript-3654</v>
      </c>
      <c r="B3655" s="1" t="s">
        <v>9748</v>
      </c>
      <c r="C3655" s="3">
        <v>3255853</v>
      </c>
      <c r="D3655" s="3">
        <v>3256967</v>
      </c>
      <c r="E3655" s="1" t="s">
        <v>13</v>
      </c>
      <c r="F3655" s="1">
        <v>0</v>
      </c>
      <c r="G3655" s="1" t="s">
        <v>4372</v>
      </c>
      <c r="H3655" s="1" t="s">
        <v>4372</v>
      </c>
      <c r="I3655" s="1" t="s">
        <v>4382</v>
      </c>
      <c r="J3655" s="1" t="s">
        <v>9741</v>
      </c>
      <c r="K3655" s="1" t="s">
        <v>9749</v>
      </c>
    </row>
    <row r="3656" spans="1:11" ht="21" x14ac:dyDescent="0.25">
      <c r="A3656" s="11" t="str">
        <f>HYPERLINK("https://rth.dk/resources/bsgatlas/details.php?id=BSGatlas-transcript-3655","BSGatlas-transcript-3655")</f>
        <v>BSGatlas-transcript-3655</v>
      </c>
      <c r="B3656" s="1" t="s">
        <v>9748</v>
      </c>
      <c r="C3656" s="3">
        <v>3255853</v>
      </c>
      <c r="D3656" s="3">
        <v>3257021</v>
      </c>
      <c r="E3656" s="1" t="s">
        <v>13</v>
      </c>
      <c r="F3656" s="1">
        <v>0</v>
      </c>
      <c r="G3656" s="1" t="s">
        <v>4372</v>
      </c>
      <c r="H3656" s="1" t="s">
        <v>4372</v>
      </c>
      <c r="I3656" s="1" t="s">
        <v>4382</v>
      </c>
      <c r="J3656" s="1" t="s">
        <v>9742</v>
      </c>
      <c r="K3656" s="1" t="s">
        <v>9749</v>
      </c>
    </row>
    <row r="3657" spans="1:11" ht="21" x14ac:dyDescent="0.25">
      <c r="A3657" s="11" t="str">
        <f>HYPERLINK("https://rth.dk/resources/bsgatlas/details.php?id=BSGatlas-transcript-3656","BSGatlas-transcript-3656")</f>
        <v>BSGatlas-transcript-3656</v>
      </c>
      <c r="B3657" s="1" t="s">
        <v>3380</v>
      </c>
      <c r="C3657" s="3">
        <v>3257057</v>
      </c>
      <c r="D3657" s="3">
        <v>3257307</v>
      </c>
      <c r="E3657" s="1" t="s">
        <v>13</v>
      </c>
      <c r="F3657" s="1">
        <v>0</v>
      </c>
      <c r="G3657" s="1" t="s">
        <v>4372</v>
      </c>
      <c r="H3657" s="1" t="s">
        <v>4372</v>
      </c>
      <c r="I3657" s="1" t="s">
        <v>4373</v>
      </c>
      <c r="J3657" s="1" t="s">
        <v>9750</v>
      </c>
      <c r="K3657" s="1" t="s">
        <v>9751</v>
      </c>
    </row>
    <row r="3658" spans="1:11" ht="21" x14ac:dyDescent="0.25">
      <c r="A3658" s="11" t="str">
        <f>HYPERLINK("https://rth.dk/resources/bsgatlas/details.php?id=BSGatlas-transcript-3657","BSGatlas-transcript-3657")</f>
        <v>BSGatlas-transcript-3657</v>
      </c>
      <c r="B3658" s="1" t="s">
        <v>3380</v>
      </c>
      <c r="C3658" s="3">
        <v>3257057</v>
      </c>
      <c r="D3658" s="3">
        <v>3257429</v>
      </c>
      <c r="E3658" s="1" t="s">
        <v>13</v>
      </c>
      <c r="F3658" s="1">
        <v>0</v>
      </c>
      <c r="G3658" s="1" t="s">
        <v>4372</v>
      </c>
      <c r="H3658" s="1" t="s">
        <v>4372</v>
      </c>
      <c r="I3658" s="1" t="s">
        <v>4373</v>
      </c>
      <c r="J3658" s="1" t="s">
        <v>9752</v>
      </c>
      <c r="K3658" s="1" t="s">
        <v>9751</v>
      </c>
    </row>
    <row r="3659" spans="1:11" ht="21" x14ac:dyDescent="0.25">
      <c r="A3659" s="11" t="str">
        <f>HYPERLINK("https://rth.dk/resources/bsgatlas/details.php?id=BSGatlas-transcript-3658","BSGatlas-transcript-3658")</f>
        <v>BSGatlas-transcript-3658</v>
      </c>
      <c r="B3659" s="1" t="s">
        <v>3380</v>
      </c>
      <c r="C3659" s="3">
        <v>3257092</v>
      </c>
      <c r="D3659" s="3">
        <v>3257307</v>
      </c>
      <c r="E3659" s="1" t="s">
        <v>13</v>
      </c>
      <c r="F3659" s="1">
        <v>0</v>
      </c>
      <c r="G3659" s="1" t="s">
        <v>4372</v>
      </c>
      <c r="H3659" s="1" t="s">
        <v>4372</v>
      </c>
      <c r="I3659" s="1" t="s">
        <v>4373</v>
      </c>
      <c r="J3659" s="1" t="s">
        <v>9750</v>
      </c>
      <c r="K3659" s="1" t="s">
        <v>9753</v>
      </c>
    </row>
    <row r="3660" spans="1:11" ht="21" x14ac:dyDescent="0.25">
      <c r="A3660" s="11" t="str">
        <f>HYPERLINK("https://rth.dk/resources/bsgatlas/details.php?id=BSGatlas-transcript-3659","BSGatlas-transcript-3659")</f>
        <v>BSGatlas-transcript-3659</v>
      </c>
      <c r="B3660" s="1" t="s">
        <v>3380</v>
      </c>
      <c r="C3660" s="3">
        <v>3257092</v>
      </c>
      <c r="D3660" s="3">
        <v>3257429</v>
      </c>
      <c r="E3660" s="1" t="s">
        <v>13</v>
      </c>
      <c r="F3660" s="1">
        <v>0</v>
      </c>
      <c r="G3660" s="1" t="s">
        <v>4372</v>
      </c>
      <c r="H3660" s="1" t="s">
        <v>4372</v>
      </c>
      <c r="I3660" s="1" t="s">
        <v>4373</v>
      </c>
      <c r="J3660" s="1" t="s">
        <v>9752</v>
      </c>
      <c r="K3660" s="1" t="s">
        <v>9753</v>
      </c>
    </row>
    <row r="3661" spans="1:11" ht="21" x14ac:dyDescent="0.25">
      <c r="A3661" s="11" t="str">
        <f>HYPERLINK("https://rth.dk/resources/bsgatlas/details.php?id=BSGatlas-transcript-3660","BSGatlas-transcript-3660")</f>
        <v>BSGatlas-transcript-3660</v>
      </c>
      <c r="B3661" s="1" t="s">
        <v>3381</v>
      </c>
      <c r="C3661" s="3">
        <v>3257583</v>
      </c>
      <c r="D3661" s="3">
        <v>3259299</v>
      </c>
      <c r="E3661" s="1" t="s">
        <v>13</v>
      </c>
      <c r="F3661" s="1">
        <v>0</v>
      </c>
      <c r="G3661" s="1" t="s">
        <v>4372</v>
      </c>
      <c r="H3661" s="1" t="s">
        <v>4372</v>
      </c>
      <c r="I3661" s="1" t="s">
        <v>4373</v>
      </c>
      <c r="J3661" s="1" t="s">
        <v>9754</v>
      </c>
      <c r="K3661" s="1" t="s">
        <v>9755</v>
      </c>
    </row>
    <row r="3662" spans="1:11" ht="21" x14ac:dyDescent="0.25">
      <c r="A3662" s="11" t="str">
        <f>HYPERLINK("https://rth.dk/resources/bsgatlas/details.php?id=BSGatlas-transcript-3661","BSGatlas-transcript-3661")</f>
        <v>BSGatlas-transcript-3661</v>
      </c>
      <c r="B3662" s="1" t="s">
        <v>3382</v>
      </c>
      <c r="C3662" s="3">
        <v>3257666</v>
      </c>
      <c r="D3662" s="3">
        <v>3259355</v>
      </c>
      <c r="E3662" s="1" t="s">
        <v>9</v>
      </c>
      <c r="F3662" s="1">
        <v>0</v>
      </c>
      <c r="G3662" s="1" t="s">
        <v>4372</v>
      </c>
      <c r="H3662" s="1" t="s">
        <v>4372</v>
      </c>
      <c r="I3662" s="1" t="s">
        <v>4373</v>
      </c>
      <c r="J3662" s="1" t="s">
        <v>9756</v>
      </c>
      <c r="K3662" s="1" t="s">
        <v>9757</v>
      </c>
    </row>
    <row r="3663" spans="1:11" ht="21" x14ac:dyDescent="0.25">
      <c r="A3663" s="11" t="str">
        <f>HYPERLINK("https://rth.dk/resources/bsgatlas/details.php?id=BSGatlas-transcript-3662","BSGatlas-transcript-3662")</f>
        <v>BSGatlas-transcript-3662</v>
      </c>
      <c r="B3663" s="1" t="s">
        <v>3383</v>
      </c>
      <c r="C3663" s="3">
        <v>3259355</v>
      </c>
      <c r="D3663" s="3">
        <v>3260875</v>
      </c>
      <c r="E3663" s="1" t="s">
        <v>13</v>
      </c>
      <c r="F3663" s="1">
        <v>0</v>
      </c>
      <c r="G3663" s="1" t="s">
        <v>4372</v>
      </c>
      <c r="H3663" s="1" t="s">
        <v>4372</v>
      </c>
      <c r="I3663" s="1" t="s">
        <v>4382</v>
      </c>
      <c r="J3663" s="1" t="s">
        <v>318</v>
      </c>
      <c r="K3663" s="1" t="s">
        <v>9758</v>
      </c>
    </row>
    <row r="3664" spans="1:11" ht="21" x14ac:dyDescent="0.25">
      <c r="A3664" s="11" t="str">
        <f>HYPERLINK("https://rth.dk/resources/bsgatlas/details.php?id=BSGatlas-transcript-3663","BSGatlas-transcript-3663")</f>
        <v>BSGatlas-transcript-3663</v>
      </c>
      <c r="B3664" s="1" t="s">
        <v>9759</v>
      </c>
      <c r="C3664" s="3">
        <v>3259355</v>
      </c>
      <c r="D3664" s="3">
        <v>3261477</v>
      </c>
      <c r="E3664" s="1" t="s">
        <v>13</v>
      </c>
      <c r="F3664" s="1">
        <v>0</v>
      </c>
      <c r="G3664" s="1" t="s">
        <v>4372</v>
      </c>
      <c r="H3664" s="1" t="s">
        <v>4372</v>
      </c>
      <c r="I3664" s="1" t="s">
        <v>4386</v>
      </c>
      <c r="J3664" s="1" t="s">
        <v>9760</v>
      </c>
      <c r="K3664" s="1" t="s">
        <v>9758</v>
      </c>
    </row>
    <row r="3665" spans="1:11" ht="21" x14ac:dyDescent="0.25">
      <c r="A3665" s="11" t="str">
        <f>HYPERLINK("https://rth.dk/resources/bsgatlas/details.php?id=BSGatlas-transcript-3664","BSGatlas-transcript-3664")</f>
        <v>BSGatlas-transcript-3664</v>
      </c>
      <c r="B3665" s="1" t="s">
        <v>9761</v>
      </c>
      <c r="C3665" s="3">
        <v>3259355</v>
      </c>
      <c r="D3665" s="3">
        <v>3262291</v>
      </c>
      <c r="E3665" s="1" t="s">
        <v>13</v>
      </c>
      <c r="F3665" s="1">
        <v>2</v>
      </c>
      <c r="G3665" s="1">
        <v>35</v>
      </c>
      <c r="H3665" s="1">
        <v>49</v>
      </c>
      <c r="I3665" s="1" t="s">
        <v>4386</v>
      </c>
      <c r="J3665" s="1" t="s">
        <v>9762</v>
      </c>
      <c r="K3665" s="1" t="s">
        <v>9758</v>
      </c>
    </row>
    <row r="3666" spans="1:11" ht="21" x14ac:dyDescent="0.25">
      <c r="A3666" s="11" t="str">
        <f>HYPERLINK("https://rth.dk/resources/bsgatlas/details.php?id=BSGatlas-transcript-3665","BSGatlas-transcript-3665")</f>
        <v>BSGatlas-transcript-3665</v>
      </c>
      <c r="B3666" s="1" t="s">
        <v>3387</v>
      </c>
      <c r="C3666" s="3">
        <v>3262330</v>
      </c>
      <c r="D3666" s="3">
        <v>3262575</v>
      </c>
      <c r="E3666" s="1" t="s">
        <v>13</v>
      </c>
      <c r="F3666" s="1">
        <v>0</v>
      </c>
      <c r="G3666" s="1" t="s">
        <v>4372</v>
      </c>
      <c r="H3666" s="1" t="s">
        <v>4372</v>
      </c>
      <c r="I3666" s="1" t="s">
        <v>4386</v>
      </c>
      <c r="J3666" s="1" t="s">
        <v>9763</v>
      </c>
      <c r="K3666" s="1" t="s">
        <v>9764</v>
      </c>
    </row>
    <row r="3667" spans="1:11" ht="21" x14ac:dyDescent="0.25">
      <c r="A3667" s="11" t="str">
        <f>HYPERLINK("https://rth.dk/resources/bsgatlas/details.php?id=BSGatlas-transcript-3666","BSGatlas-transcript-3666")</f>
        <v>BSGatlas-transcript-3666</v>
      </c>
      <c r="B3667" s="1" t="s">
        <v>3388</v>
      </c>
      <c r="C3667" s="3">
        <v>3262611</v>
      </c>
      <c r="D3667" s="3">
        <v>3263784</v>
      </c>
      <c r="E3667" s="1" t="s">
        <v>13</v>
      </c>
      <c r="F3667" s="1">
        <v>0</v>
      </c>
      <c r="G3667" s="1" t="s">
        <v>4372</v>
      </c>
      <c r="H3667" s="1" t="s">
        <v>4372</v>
      </c>
      <c r="I3667" s="1" t="s">
        <v>4377</v>
      </c>
      <c r="J3667" s="1" t="s">
        <v>9765</v>
      </c>
      <c r="K3667" s="1" t="s">
        <v>318</v>
      </c>
    </row>
    <row r="3668" spans="1:11" ht="21" x14ac:dyDescent="0.25">
      <c r="A3668" s="11" t="str">
        <f>HYPERLINK("https://rth.dk/resources/bsgatlas/details.php?id=BSGatlas-transcript-3667","BSGatlas-transcript-3667")</f>
        <v>BSGatlas-transcript-3667</v>
      </c>
      <c r="B3668" s="1" t="s">
        <v>3389</v>
      </c>
      <c r="C3668" s="3">
        <v>3263403</v>
      </c>
      <c r="D3668" s="3">
        <v>3264224</v>
      </c>
      <c r="E3668" s="1" t="s">
        <v>9</v>
      </c>
      <c r="F3668" s="1">
        <v>0</v>
      </c>
      <c r="G3668" s="1" t="s">
        <v>4372</v>
      </c>
      <c r="H3668" s="1" t="s">
        <v>4372</v>
      </c>
      <c r="I3668" s="1" t="s">
        <v>4547</v>
      </c>
      <c r="J3668" s="1" t="s">
        <v>9766</v>
      </c>
      <c r="K3668" s="1" t="s">
        <v>318</v>
      </c>
    </row>
    <row r="3669" spans="1:11" ht="21" x14ac:dyDescent="0.25">
      <c r="A3669" s="11" t="str">
        <f>HYPERLINK("https://rth.dk/resources/bsgatlas/details.php?id=BSGatlas-transcript-3668","BSGatlas-transcript-3668")</f>
        <v>BSGatlas-transcript-3668</v>
      </c>
      <c r="B3669" s="1" t="s">
        <v>3389</v>
      </c>
      <c r="C3669" s="3">
        <v>3263799</v>
      </c>
      <c r="D3669" s="3">
        <v>3264224</v>
      </c>
      <c r="E3669" s="1" t="s">
        <v>9</v>
      </c>
      <c r="F3669" s="1">
        <v>0</v>
      </c>
      <c r="G3669" s="1" t="s">
        <v>4372</v>
      </c>
      <c r="H3669" s="1" t="s">
        <v>4372</v>
      </c>
      <c r="I3669" s="1" t="s">
        <v>4547</v>
      </c>
      <c r="J3669" s="1" t="s">
        <v>9767</v>
      </c>
      <c r="K3669" s="1" t="s">
        <v>318</v>
      </c>
    </row>
    <row r="3670" spans="1:11" ht="21" x14ac:dyDescent="0.25">
      <c r="A3670" s="11" t="str">
        <f>HYPERLINK("https://rth.dk/resources/bsgatlas/details.php?id=BSGatlas-transcript-3669","BSGatlas-transcript-3669")</f>
        <v>BSGatlas-transcript-3669</v>
      </c>
      <c r="B3670" s="1" t="s">
        <v>3390</v>
      </c>
      <c r="C3670" s="3">
        <v>3264249</v>
      </c>
      <c r="D3670" s="3">
        <v>3264535</v>
      </c>
      <c r="E3670" s="1" t="s">
        <v>13</v>
      </c>
      <c r="F3670" s="1">
        <v>0</v>
      </c>
      <c r="G3670" s="1" t="s">
        <v>4372</v>
      </c>
      <c r="H3670" s="1" t="s">
        <v>4372</v>
      </c>
      <c r="I3670" s="1" t="s">
        <v>4386</v>
      </c>
      <c r="J3670" s="1" t="s">
        <v>9768</v>
      </c>
      <c r="K3670" s="1" t="s">
        <v>9769</v>
      </c>
    </row>
    <row r="3671" spans="1:11" ht="21" x14ac:dyDescent="0.25">
      <c r="A3671" s="11" t="str">
        <f>HYPERLINK("https://rth.dk/resources/bsgatlas/details.php?id=BSGatlas-transcript-3670","BSGatlas-transcript-3670")</f>
        <v>BSGatlas-transcript-3670</v>
      </c>
      <c r="B3671" s="1" t="s">
        <v>3391</v>
      </c>
      <c r="C3671" s="3">
        <v>3264678</v>
      </c>
      <c r="D3671" s="3">
        <v>3265239</v>
      </c>
      <c r="E3671" s="1" t="s">
        <v>13</v>
      </c>
      <c r="F3671" s="1">
        <v>0</v>
      </c>
      <c r="G3671" s="1" t="s">
        <v>4372</v>
      </c>
      <c r="H3671" s="1" t="s">
        <v>4372</v>
      </c>
      <c r="I3671" s="1" t="s">
        <v>4386</v>
      </c>
      <c r="J3671" s="1" t="s">
        <v>9770</v>
      </c>
      <c r="K3671" s="1" t="s">
        <v>318</v>
      </c>
    </row>
    <row r="3672" spans="1:11" ht="21" x14ac:dyDescent="0.25">
      <c r="A3672" s="11" t="str">
        <f>HYPERLINK("https://rth.dk/resources/bsgatlas/details.php?id=BSGatlas-transcript-3671","BSGatlas-transcript-3671")</f>
        <v>BSGatlas-transcript-3671</v>
      </c>
      <c r="B3672" s="1" t="s">
        <v>3391</v>
      </c>
      <c r="C3672" s="3">
        <v>3264678</v>
      </c>
      <c r="D3672" s="3">
        <v>3265329</v>
      </c>
      <c r="E3672" s="1" t="s">
        <v>13</v>
      </c>
      <c r="F3672" s="1">
        <v>0</v>
      </c>
      <c r="G3672" s="1" t="s">
        <v>4372</v>
      </c>
      <c r="H3672" s="1" t="s">
        <v>4372</v>
      </c>
      <c r="I3672" s="1" t="s">
        <v>4386</v>
      </c>
      <c r="J3672" s="1" t="s">
        <v>9771</v>
      </c>
      <c r="K3672" s="1" t="s">
        <v>318</v>
      </c>
    </row>
    <row r="3673" spans="1:11" ht="21" x14ac:dyDescent="0.25">
      <c r="A3673" s="11" t="str">
        <f>HYPERLINK("https://rth.dk/resources/bsgatlas/details.php?id=BSGatlas-transcript-3672","BSGatlas-transcript-3672")</f>
        <v>BSGatlas-transcript-3672</v>
      </c>
      <c r="B3673" s="1" t="s">
        <v>3392</v>
      </c>
      <c r="C3673" s="3">
        <v>3265406</v>
      </c>
      <c r="D3673" s="3">
        <v>3266163</v>
      </c>
      <c r="E3673" s="1" t="s">
        <v>13</v>
      </c>
      <c r="F3673" s="1">
        <v>0</v>
      </c>
      <c r="G3673" s="1" t="s">
        <v>4372</v>
      </c>
      <c r="H3673" s="1" t="s">
        <v>4372</v>
      </c>
      <c r="I3673" s="1" t="s">
        <v>4386</v>
      </c>
      <c r="J3673" s="1" t="s">
        <v>9772</v>
      </c>
      <c r="K3673" s="1" t="s">
        <v>9773</v>
      </c>
    </row>
    <row r="3674" spans="1:11" ht="21" x14ac:dyDescent="0.25">
      <c r="A3674" s="11" t="str">
        <f>HYPERLINK("https://rth.dk/resources/bsgatlas/details.php?id=BSGatlas-transcript-3673","BSGatlas-transcript-3673")</f>
        <v>BSGatlas-transcript-3673</v>
      </c>
      <c r="B3674" s="1" t="s">
        <v>9774</v>
      </c>
      <c r="C3674" s="3">
        <v>3265406</v>
      </c>
      <c r="D3674" s="3">
        <v>3276513</v>
      </c>
      <c r="E3674" s="1" t="s">
        <v>13</v>
      </c>
      <c r="F3674" s="1">
        <v>4</v>
      </c>
      <c r="G3674" s="1">
        <v>80</v>
      </c>
      <c r="H3674" s="1" t="s">
        <v>4372</v>
      </c>
      <c r="I3674" s="1" t="s">
        <v>4386</v>
      </c>
      <c r="J3674" s="1" t="s">
        <v>9775</v>
      </c>
      <c r="K3674" s="1" t="s">
        <v>9773</v>
      </c>
    </row>
    <row r="3675" spans="1:11" ht="21" x14ac:dyDescent="0.25">
      <c r="A3675" s="11" t="str">
        <f>HYPERLINK("https://rth.dk/resources/bsgatlas/details.php?id=BSGatlas-transcript-3674","BSGatlas-transcript-3674")</f>
        <v>BSGatlas-transcript-3674</v>
      </c>
      <c r="B3675" s="1" t="s">
        <v>9774</v>
      </c>
      <c r="C3675" s="3">
        <v>3265406</v>
      </c>
      <c r="D3675" s="3">
        <v>3276944</v>
      </c>
      <c r="E3675" s="1" t="s">
        <v>13</v>
      </c>
      <c r="F3675" s="1">
        <v>4</v>
      </c>
      <c r="G3675" s="1">
        <v>511</v>
      </c>
      <c r="H3675" s="1" t="s">
        <v>4372</v>
      </c>
      <c r="I3675" s="1" t="s">
        <v>4386</v>
      </c>
      <c r="J3675" s="1" t="s">
        <v>9776</v>
      </c>
      <c r="K3675" s="1" t="s">
        <v>9773</v>
      </c>
    </row>
    <row r="3676" spans="1:11" ht="21" x14ac:dyDescent="0.25">
      <c r="A3676" s="11" t="str">
        <f>HYPERLINK("https://rth.dk/resources/bsgatlas/details.php?id=BSGatlas-transcript-3675","BSGatlas-transcript-3675")</f>
        <v>BSGatlas-transcript-3675</v>
      </c>
      <c r="B3676" s="1" t="s">
        <v>9777</v>
      </c>
      <c r="C3676" s="3">
        <v>3266200</v>
      </c>
      <c r="D3676" s="3">
        <v>3276513</v>
      </c>
      <c r="E3676" s="1" t="s">
        <v>13</v>
      </c>
      <c r="F3676" s="1">
        <v>3</v>
      </c>
      <c r="G3676" s="1">
        <v>80</v>
      </c>
      <c r="H3676" s="1" t="s">
        <v>4372</v>
      </c>
      <c r="I3676" s="1" t="s">
        <v>4547</v>
      </c>
      <c r="J3676" s="1" t="s">
        <v>9775</v>
      </c>
      <c r="K3676" s="1" t="s">
        <v>318</v>
      </c>
    </row>
    <row r="3677" spans="1:11" ht="21" x14ac:dyDescent="0.25">
      <c r="A3677" s="11" t="str">
        <f>HYPERLINK("https://rth.dk/resources/bsgatlas/details.php?id=BSGatlas-transcript-3676","BSGatlas-transcript-3676")</f>
        <v>BSGatlas-transcript-3676</v>
      </c>
      <c r="B3677" s="1" t="s">
        <v>9777</v>
      </c>
      <c r="C3677" s="3">
        <v>3266200</v>
      </c>
      <c r="D3677" s="3">
        <v>3276944</v>
      </c>
      <c r="E3677" s="1" t="s">
        <v>13</v>
      </c>
      <c r="F3677" s="1">
        <v>3</v>
      </c>
      <c r="G3677" s="1">
        <v>511</v>
      </c>
      <c r="H3677" s="1" t="s">
        <v>4372</v>
      </c>
      <c r="I3677" s="1" t="s">
        <v>4547</v>
      </c>
      <c r="J3677" s="1" t="s">
        <v>9776</v>
      </c>
      <c r="K3677" s="1" t="s">
        <v>318</v>
      </c>
    </row>
    <row r="3678" spans="1:11" ht="21" x14ac:dyDescent="0.25">
      <c r="A3678" s="11" t="str">
        <f>HYPERLINK("https://rth.dk/resources/bsgatlas/details.php?id=BSGatlas-transcript-3677","BSGatlas-transcript-3677")</f>
        <v>BSGatlas-transcript-3677</v>
      </c>
      <c r="B3678" s="1" t="s">
        <v>3399</v>
      </c>
      <c r="C3678" s="3">
        <v>3266637</v>
      </c>
      <c r="D3678" s="3">
        <v>3269004</v>
      </c>
      <c r="E3678" s="1" t="s">
        <v>9</v>
      </c>
      <c r="F3678" s="1">
        <v>0</v>
      </c>
      <c r="G3678" s="1" t="s">
        <v>4372</v>
      </c>
      <c r="H3678" s="1" t="s">
        <v>4372</v>
      </c>
      <c r="I3678" s="1" t="s">
        <v>4377</v>
      </c>
      <c r="J3678" s="1" t="s">
        <v>9778</v>
      </c>
      <c r="K3678" s="1" t="s">
        <v>318</v>
      </c>
    </row>
    <row r="3679" spans="1:11" ht="21" x14ac:dyDescent="0.25">
      <c r="A3679" s="11" t="str">
        <f>HYPERLINK("https://rth.dk/resources/bsgatlas/details.php?id=BSGatlas-transcript-3678","BSGatlas-transcript-3678")</f>
        <v>BSGatlas-transcript-3678</v>
      </c>
      <c r="B3679" s="1" t="s">
        <v>3400</v>
      </c>
      <c r="C3679" s="3">
        <v>3273703</v>
      </c>
      <c r="D3679" s="3">
        <v>3276450</v>
      </c>
      <c r="E3679" s="1" t="s">
        <v>9</v>
      </c>
      <c r="F3679" s="1">
        <v>0</v>
      </c>
      <c r="G3679" s="1" t="s">
        <v>4372</v>
      </c>
      <c r="H3679" s="1" t="s">
        <v>4372</v>
      </c>
      <c r="I3679" s="1" t="s">
        <v>4377</v>
      </c>
      <c r="J3679" s="1" t="s">
        <v>9779</v>
      </c>
      <c r="K3679" s="1" t="s">
        <v>9780</v>
      </c>
    </row>
    <row r="3680" spans="1:11" ht="21" x14ac:dyDescent="0.25">
      <c r="A3680" s="11" t="str">
        <f>HYPERLINK("https://rth.dk/resources/bsgatlas/details.php?id=BSGatlas-transcript-3679","BSGatlas-transcript-3679")</f>
        <v>BSGatlas-transcript-3679</v>
      </c>
      <c r="B3680" s="1" t="s">
        <v>9781</v>
      </c>
      <c r="C3680" s="3">
        <v>3274462</v>
      </c>
      <c r="D3680" s="3">
        <v>3276513</v>
      </c>
      <c r="E3680" s="1" t="s">
        <v>13</v>
      </c>
      <c r="F3680" s="1">
        <v>1</v>
      </c>
      <c r="G3680" s="1">
        <v>80</v>
      </c>
      <c r="H3680" s="1" t="s">
        <v>4372</v>
      </c>
      <c r="I3680" s="1" t="s">
        <v>4377</v>
      </c>
      <c r="J3680" s="1" t="s">
        <v>9775</v>
      </c>
      <c r="K3680" s="1" t="s">
        <v>9782</v>
      </c>
    </row>
    <row r="3681" spans="1:11" ht="21" x14ac:dyDescent="0.25">
      <c r="A3681" s="11" t="str">
        <f>HYPERLINK("https://rth.dk/resources/bsgatlas/details.php?id=BSGatlas-transcript-3680","BSGatlas-transcript-3680")</f>
        <v>BSGatlas-transcript-3680</v>
      </c>
      <c r="B3681" s="1" t="s">
        <v>9781</v>
      </c>
      <c r="C3681" s="3">
        <v>3274462</v>
      </c>
      <c r="D3681" s="3">
        <v>3276944</v>
      </c>
      <c r="E3681" s="1" t="s">
        <v>13</v>
      </c>
      <c r="F3681" s="1">
        <v>1</v>
      </c>
      <c r="G3681" s="1">
        <v>511</v>
      </c>
      <c r="H3681" s="1" t="s">
        <v>4372</v>
      </c>
      <c r="I3681" s="1" t="s">
        <v>4377</v>
      </c>
      <c r="J3681" s="1" t="s">
        <v>9776</v>
      </c>
      <c r="K3681" s="1" t="s">
        <v>9782</v>
      </c>
    </row>
    <row r="3682" spans="1:11" ht="21" x14ac:dyDescent="0.25">
      <c r="A3682" s="11" t="str">
        <f>HYPERLINK("https://rth.dk/resources/bsgatlas/details.php?id=BSGatlas-transcript-3681","BSGatlas-transcript-3681")</f>
        <v>BSGatlas-transcript-3681</v>
      </c>
      <c r="B3682" s="1" t="s">
        <v>3398</v>
      </c>
      <c r="C3682" s="3">
        <v>3276141</v>
      </c>
      <c r="D3682" s="3">
        <v>3276513</v>
      </c>
      <c r="E3682" s="1" t="s">
        <v>13</v>
      </c>
      <c r="F3682" s="1">
        <v>0</v>
      </c>
      <c r="G3682" s="1" t="s">
        <v>4372</v>
      </c>
      <c r="H3682" s="1" t="s">
        <v>4372</v>
      </c>
      <c r="I3682" s="1" t="s">
        <v>4386</v>
      </c>
      <c r="J3682" s="1" t="s">
        <v>9775</v>
      </c>
      <c r="K3682" s="1" t="s">
        <v>9783</v>
      </c>
    </row>
    <row r="3683" spans="1:11" ht="21" x14ac:dyDescent="0.25">
      <c r="A3683" s="11" t="str">
        <f>HYPERLINK("https://rth.dk/resources/bsgatlas/details.php?id=BSGatlas-transcript-3682","BSGatlas-transcript-3682")</f>
        <v>BSGatlas-transcript-3682</v>
      </c>
      <c r="B3683" s="1" t="s">
        <v>3398</v>
      </c>
      <c r="C3683" s="3">
        <v>3276141</v>
      </c>
      <c r="D3683" s="3">
        <v>3276944</v>
      </c>
      <c r="E3683" s="1" t="s">
        <v>13</v>
      </c>
      <c r="F3683" s="1">
        <v>0</v>
      </c>
      <c r="G3683" s="1" t="s">
        <v>4372</v>
      </c>
      <c r="H3683" s="1" t="s">
        <v>4372</v>
      </c>
      <c r="I3683" s="1" t="s">
        <v>4386</v>
      </c>
      <c r="J3683" s="1" t="s">
        <v>9776</v>
      </c>
      <c r="K3683" s="1" t="s">
        <v>9783</v>
      </c>
    </row>
    <row r="3684" spans="1:11" ht="21" x14ac:dyDescent="0.25">
      <c r="A3684" s="11" t="str">
        <f>HYPERLINK("https://rth.dk/resources/bsgatlas/details.php?id=BSGatlas-transcript-3683","BSGatlas-transcript-3683")</f>
        <v>BSGatlas-transcript-3683</v>
      </c>
      <c r="B3684" s="1" t="s">
        <v>3401</v>
      </c>
      <c r="C3684" s="3">
        <v>3276494</v>
      </c>
      <c r="D3684" s="3">
        <v>3276710</v>
      </c>
      <c r="E3684" s="1" t="s">
        <v>9</v>
      </c>
      <c r="F3684" s="1">
        <v>0</v>
      </c>
      <c r="G3684" s="1" t="s">
        <v>4372</v>
      </c>
      <c r="H3684" s="1" t="s">
        <v>4372</v>
      </c>
      <c r="I3684" s="1" t="s">
        <v>4377</v>
      </c>
      <c r="J3684" s="1" t="s">
        <v>9784</v>
      </c>
      <c r="K3684" s="1" t="s">
        <v>318</v>
      </c>
    </row>
    <row r="3685" spans="1:11" ht="21" x14ac:dyDescent="0.25">
      <c r="A3685" s="11" t="str">
        <f>HYPERLINK("https://rth.dk/resources/bsgatlas/details.php?id=BSGatlas-transcript-3684","BSGatlas-transcript-3684")</f>
        <v>BSGatlas-transcript-3684</v>
      </c>
      <c r="B3685" s="1" t="s">
        <v>3401</v>
      </c>
      <c r="C3685" s="3">
        <v>3276604</v>
      </c>
      <c r="D3685" s="3">
        <v>3276710</v>
      </c>
      <c r="E3685" s="1" t="s">
        <v>9</v>
      </c>
      <c r="F3685" s="1">
        <v>0</v>
      </c>
      <c r="G3685" s="1" t="s">
        <v>4372</v>
      </c>
      <c r="H3685" s="1" t="s">
        <v>4372</v>
      </c>
      <c r="I3685" s="1" t="s">
        <v>4377</v>
      </c>
      <c r="J3685" s="1" t="s">
        <v>9785</v>
      </c>
      <c r="K3685" s="1" t="s">
        <v>318</v>
      </c>
    </row>
    <row r="3686" spans="1:11" ht="21" x14ac:dyDescent="0.25">
      <c r="A3686" s="11" t="str">
        <f>HYPERLINK("https://rth.dk/resources/bsgatlas/details.php?id=BSGatlas-transcript-3685","BSGatlas-transcript-3685")</f>
        <v>BSGatlas-transcript-3685</v>
      </c>
      <c r="B3686" s="1" t="s">
        <v>3402</v>
      </c>
      <c r="C3686" s="3">
        <v>3276802</v>
      </c>
      <c r="D3686" s="3">
        <v>3278223</v>
      </c>
      <c r="E3686" s="1" t="s">
        <v>9</v>
      </c>
      <c r="F3686" s="1">
        <v>0</v>
      </c>
      <c r="G3686" s="1" t="s">
        <v>4372</v>
      </c>
      <c r="H3686" s="1" t="s">
        <v>4372</v>
      </c>
      <c r="I3686" s="1" t="s">
        <v>4373</v>
      </c>
      <c r="J3686" s="1" t="s">
        <v>9786</v>
      </c>
      <c r="K3686" s="1" t="s">
        <v>318</v>
      </c>
    </row>
    <row r="3687" spans="1:11" ht="21" x14ac:dyDescent="0.25">
      <c r="A3687" s="11" t="str">
        <f>HYPERLINK("https://rth.dk/resources/bsgatlas/details.php?id=BSGatlas-transcript-3686","BSGatlas-transcript-3686")</f>
        <v>BSGatlas-transcript-3686</v>
      </c>
      <c r="B3687" s="1" t="s">
        <v>3402</v>
      </c>
      <c r="C3687" s="3">
        <v>3276919</v>
      </c>
      <c r="D3687" s="3">
        <v>3278223</v>
      </c>
      <c r="E3687" s="1" t="s">
        <v>9</v>
      </c>
      <c r="F3687" s="1">
        <v>0</v>
      </c>
      <c r="G3687" s="1" t="s">
        <v>4372</v>
      </c>
      <c r="H3687" s="1" t="s">
        <v>4372</v>
      </c>
      <c r="I3687" s="1" t="s">
        <v>4373</v>
      </c>
      <c r="J3687" s="1" t="s">
        <v>9787</v>
      </c>
      <c r="K3687" s="1" t="s">
        <v>318</v>
      </c>
    </row>
    <row r="3688" spans="1:11" ht="21" x14ac:dyDescent="0.25">
      <c r="A3688" s="11" t="str">
        <f>HYPERLINK("https://rth.dk/resources/bsgatlas/details.php?id=BSGatlas-transcript-3687","BSGatlas-transcript-3687")</f>
        <v>BSGatlas-transcript-3687</v>
      </c>
      <c r="B3688" s="1" t="s">
        <v>3403</v>
      </c>
      <c r="C3688" s="3">
        <v>3278300</v>
      </c>
      <c r="D3688" s="3">
        <v>3279495</v>
      </c>
      <c r="E3688" s="1" t="s">
        <v>9</v>
      </c>
      <c r="F3688" s="1">
        <v>0</v>
      </c>
      <c r="G3688" s="1" t="s">
        <v>4372</v>
      </c>
      <c r="H3688" s="1" t="s">
        <v>4372</v>
      </c>
      <c r="I3688" s="1" t="s">
        <v>4373</v>
      </c>
      <c r="J3688" s="1" t="s">
        <v>9788</v>
      </c>
      <c r="K3688" s="1" t="s">
        <v>9789</v>
      </c>
    </row>
    <row r="3689" spans="1:11" ht="21" x14ac:dyDescent="0.25">
      <c r="A3689" s="11" t="str">
        <f>HYPERLINK("https://rth.dk/resources/bsgatlas/details.php?id=BSGatlas-transcript-3688","BSGatlas-transcript-3688")</f>
        <v>BSGatlas-transcript-3688</v>
      </c>
      <c r="B3689" s="1" t="s">
        <v>9790</v>
      </c>
      <c r="C3689" s="3">
        <v>3278300</v>
      </c>
      <c r="D3689" s="3">
        <v>3280250</v>
      </c>
      <c r="E3689" s="1" t="s">
        <v>9</v>
      </c>
      <c r="F3689" s="1">
        <v>1</v>
      </c>
      <c r="G3689" s="1">
        <v>26</v>
      </c>
      <c r="H3689" s="1" t="s">
        <v>4372</v>
      </c>
      <c r="I3689" s="1" t="s">
        <v>4386</v>
      </c>
      <c r="J3689" s="1" t="s">
        <v>9788</v>
      </c>
      <c r="K3689" s="1" t="s">
        <v>9791</v>
      </c>
    </row>
    <row r="3690" spans="1:11" ht="21" x14ac:dyDescent="0.25">
      <c r="A3690" s="11" t="str">
        <f>HYPERLINK("https://rth.dk/resources/bsgatlas/details.php?id=BSGatlas-transcript-3689","BSGatlas-transcript-3689")</f>
        <v>BSGatlas-transcript-3689</v>
      </c>
      <c r="B3690" s="1" t="s">
        <v>3404</v>
      </c>
      <c r="C3690" s="3">
        <v>3279528</v>
      </c>
      <c r="D3690" s="3">
        <v>3280250</v>
      </c>
      <c r="E3690" s="1" t="s">
        <v>9</v>
      </c>
      <c r="F3690" s="1">
        <v>0</v>
      </c>
      <c r="G3690" s="1" t="s">
        <v>4372</v>
      </c>
      <c r="H3690" s="1" t="s">
        <v>4372</v>
      </c>
      <c r="I3690" s="1" t="s">
        <v>4386</v>
      </c>
      <c r="J3690" s="1" t="s">
        <v>9792</v>
      </c>
      <c r="K3690" s="1" t="s">
        <v>9791</v>
      </c>
    </row>
    <row r="3691" spans="1:11" ht="21" x14ac:dyDescent="0.25">
      <c r="A3691" s="11" t="str">
        <f>HYPERLINK("https://rth.dk/resources/bsgatlas/details.php?id=BSGatlas-transcript-3690","BSGatlas-transcript-3690")</f>
        <v>BSGatlas-transcript-3690</v>
      </c>
      <c r="B3691" s="1" t="s">
        <v>9793</v>
      </c>
      <c r="C3691" s="3">
        <v>3280246</v>
      </c>
      <c r="D3691" s="3">
        <v>3292405</v>
      </c>
      <c r="E3691" s="1" t="s">
        <v>13</v>
      </c>
      <c r="F3691" s="1">
        <v>4</v>
      </c>
      <c r="G3691" s="1">
        <v>110</v>
      </c>
      <c r="H3691" s="1">
        <v>49</v>
      </c>
      <c r="I3691" s="1" t="s">
        <v>4386</v>
      </c>
      <c r="J3691" s="1" t="s">
        <v>9794</v>
      </c>
      <c r="K3691" s="1" t="s">
        <v>9795</v>
      </c>
    </row>
    <row r="3692" spans="1:11" ht="21" x14ac:dyDescent="0.25">
      <c r="A3692" s="11" t="str">
        <f>HYPERLINK("https://rth.dk/resources/bsgatlas/details.php?id=BSGatlas-transcript-3691","BSGatlas-transcript-3691")</f>
        <v>BSGatlas-transcript-3691</v>
      </c>
      <c r="B3692" s="1" t="s">
        <v>9796</v>
      </c>
      <c r="C3692" s="3">
        <v>3280519</v>
      </c>
      <c r="D3692" s="3">
        <v>3292405</v>
      </c>
      <c r="E3692" s="1" t="s">
        <v>13</v>
      </c>
      <c r="F3692" s="1">
        <v>4</v>
      </c>
      <c r="G3692" s="1">
        <v>110</v>
      </c>
      <c r="H3692" s="1" t="s">
        <v>4372</v>
      </c>
      <c r="I3692" s="1" t="s">
        <v>4382</v>
      </c>
      <c r="J3692" s="1" t="s">
        <v>9794</v>
      </c>
      <c r="K3692" s="1" t="s">
        <v>318</v>
      </c>
    </row>
    <row r="3693" spans="1:11" ht="21" x14ac:dyDescent="0.25">
      <c r="A3693" s="11" t="str">
        <f>HYPERLINK("https://rth.dk/resources/bsgatlas/details.php?id=BSGatlas-transcript-3692","BSGatlas-transcript-3692")</f>
        <v>BSGatlas-transcript-3692</v>
      </c>
      <c r="B3693" s="1" t="s">
        <v>3411</v>
      </c>
      <c r="C3693" s="3">
        <v>3292395</v>
      </c>
      <c r="D3693" s="3">
        <v>3293440</v>
      </c>
      <c r="E3693" s="1" t="s">
        <v>13</v>
      </c>
      <c r="F3693" s="1">
        <v>0</v>
      </c>
      <c r="G3693" s="1" t="s">
        <v>4372</v>
      </c>
      <c r="H3693" s="1" t="s">
        <v>4372</v>
      </c>
      <c r="I3693" s="1" t="s">
        <v>4373</v>
      </c>
      <c r="J3693" s="1" t="s">
        <v>9797</v>
      </c>
      <c r="K3693" s="1" t="s">
        <v>9798</v>
      </c>
    </row>
    <row r="3694" spans="1:11" ht="21" x14ac:dyDescent="0.25">
      <c r="A3694" s="11" t="str">
        <f>HYPERLINK("https://rth.dk/resources/bsgatlas/details.php?id=BSGatlas-transcript-3693","BSGatlas-transcript-3693")</f>
        <v>BSGatlas-transcript-3693</v>
      </c>
      <c r="B3694" s="1" t="s">
        <v>3412</v>
      </c>
      <c r="C3694" s="3">
        <v>3293573</v>
      </c>
      <c r="D3694" s="3">
        <v>3294254</v>
      </c>
      <c r="E3694" s="1" t="s">
        <v>13</v>
      </c>
      <c r="F3694" s="1">
        <v>0</v>
      </c>
      <c r="G3694" s="1" t="s">
        <v>4372</v>
      </c>
      <c r="H3694" s="1" t="s">
        <v>4372</v>
      </c>
      <c r="I3694" s="1" t="s">
        <v>4377</v>
      </c>
      <c r="J3694" s="1" t="s">
        <v>9799</v>
      </c>
      <c r="K3694" s="1" t="s">
        <v>318</v>
      </c>
    </row>
    <row r="3695" spans="1:11" ht="21" x14ac:dyDescent="0.25">
      <c r="A3695" s="11" t="str">
        <f>HYPERLINK("https://rth.dk/resources/bsgatlas/details.php?id=BSGatlas-transcript-3694","BSGatlas-transcript-3694")</f>
        <v>BSGatlas-transcript-3694</v>
      </c>
      <c r="B3695" s="1" t="s">
        <v>3413</v>
      </c>
      <c r="C3695" s="3">
        <v>3294222</v>
      </c>
      <c r="D3695" s="3">
        <v>3294872</v>
      </c>
      <c r="E3695" s="1" t="s">
        <v>9</v>
      </c>
      <c r="F3695" s="1">
        <v>0</v>
      </c>
      <c r="G3695" s="1" t="s">
        <v>4372</v>
      </c>
      <c r="H3695" s="1" t="s">
        <v>4372</v>
      </c>
      <c r="I3695" s="1" t="s">
        <v>4397</v>
      </c>
      <c r="J3695" s="1" t="s">
        <v>9800</v>
      </c>
      <c r="K3695" s="1" t="s">
        <v>9801</v>
      </c>
    </row>
    <row r="3696" spans="1:11" ht="21" x14ac:dyDescent="0.25">
      <c r="A3696" s="11" t="str">
        <f>HYPERLINK("https://rth.dk/resources/bsgatlas/details.php?id=BSGatlas-transcript-3695","BSGatlas-transcript-3695")</f>
        <v>BSGatlas-transcript-3695</v>
      </c>
      <c r="B3696" s="1" t="s">
        <v>3414</v>
      </c>
      <c r="C3696" s="3">
        <v>3294942</v>
      </c>
      <c r="D3696" s="3">
        <v>3296327</v>
      </c>
      <c r="E3696" s="1" t="s">
        <v>13</v>
      </c>
      <c r="F3696" s="1">
        <v>0</v>
      </c>
      <c r="G3696" s="1" t="s">
        <v>4372</v>
      </c>
      <c r="H3696" s="1" t="s">
        <v>4372</v>
      </c>
      <c r="I3696" s="1" t="s">
        <v>4386</v>
      </c>
      <c r="J3696" s="1" t="s">
        <v>9802</v>
      </c>
      <c r="K3696" s="1" t="s">
        <v>9803</v>
      </c>
    </row>
    <row r="3697" spans="1:11" ht="21" x14ac:dyDescent="0.25">
      <c r="A3697" s="11" t="str">
        <f>HYPERLINK("https://rth.dk/resources/bsgatlas/details.php?id=BSGatlas-transcript-3696","BSGatlas-transcript-3696")</f>
        <v>BSGatlas-transcript-3696</v>
      </c>
      <c r="B3697" s="1" t="s">
        <v>3415</v>
      </c>
      <c r="C3697" s="3">
        <v>3296417</v>
      </c>
      <c r="D3697" s="3">
        <v>3297999</v>
      </c>
      <c r="E3697" s="1" t="s">
        <v>13</v>
      </c>
      <c r="F3697" s="1">
        <v>0</v>
      </c>
      <c r="G3697" s="1" t="s">
        <v>4372</v>
      </c>
      <c r="H3697" s="1" t="s">
        <v>4372</v>
      </c>
      <c r="I3697" s="1" t="s">
        <v>4386</v>
      </c>
      <c r="J3697" s="1" t="s">
        <v>9804</v>
      </c>
      <c r="K3697" s="1" t="s">
        <v>9805</v>
      </c>
    </row>
    <row r="3698" spans="1:11" ht="21" x14ac:dyDescent="0.25">
      <c r="A3698" s="11" t="str">
        <f>HYPERLINK("https://rth.dk/resources/bsgatlas/details.php?id=BSGatlas-transcript-3697","BSGatlas-transcript-3697")</f>
        <v>BSGatlas-transcript-3697</v>
      </c>
      <c r="B3698" s="1" t="s">
        <v>3416</v>
      </c>
      <c r="C3698" s="3">
        <v>3297500</v>
      </c>
      <c r="D3698" s="3">
        <v>3298553</v>
      </c>
      <c r="E3698" s="1" t="s">
        <v>9</v>
      </c>
      <c r="F3698" s="1">
        <v>0</v>
      </c>
      <c r="G3698" s="1" t="s">
        <v>4372</v>
      </c>
      <c r="H3698" s="1" t="s">
        <v>4372</v>
      </c>
      <c r="I3698" s="1" t="s">
        <v>4397</v>
      </c>
      <c r="J3698" s="1" t="s">
        <v>9806</v>
      </c>
      <c r="K3698" s="1" t="s">
        <v>9807</v>
      </c>
    </row>
    <row r="3699" spans="1:11" ht="21" x14ac:dyDescent="0.25">
      <c r="A3699" s="11" t="str">
        <f>HYPERLINK("https://rth.dk/resources/bsgatlas/details.php?id=BSGatlas-transcript-3698","BSGatlas-transcript-3698")</f>
        <v>BSGatlas-transcript-3698</v>
      </c>
      <c r="B3699" s="1" t="s">
        <v>3416</v>
      </c>
      <c r="C3699" s="3">
        <v>3297962</v>
      </c>
      <c r="D3699" s="3">
        <v>3298553</v>
      </c>
      <c r="E3699" s="1" t="s">
        <v>9</v>
      </c>
      <c r="F3699" s="1">
        <v>0</v>
      </c>
      <c r="G3699" s="1" t="s">
        <v>4372</v>
      </c>
      <c r="H3699" s="1" t="s">
        <v>4372</v>
      </c>
      <c r="I3699" s="1" t="s">
        <v>4397</v>
      </c>
      <c r="J3699" s="1" t="s">
        <v>9808</v>
      </c>
      <c r="K3699" s="1" t="s">
        <v>9807</v>
      </c>
    </row>
    <row r="3700" spans="1:11" ht="21" x14ac:dyDescent="0.25">
      <c r="A3700" s="11" t="str">
        <f>HYPERLINK("https://rth.dk/resources/bsgatlas/details.php?id=BSGatlas-transcript-3699","BSGatlas-transcript-3699")</f>
        <v>BSGatlas-transcript-3699</v>
      </c>
      <c r="B3700" s="1" t="s">
        <v>3417</v>
      </c>
      <c r="C3700" s="3">
        <v>3298545</v>
      </c>
      <c r="D3700" s="3">
        <v>3299240</v>
      </c>
      <c r="E3700" s="1" t="s">
        <v>13</v>
      </c>
      <c r="F3700" s="1">
        <v>0</v>
      </c>
      <c r="G3700" s="1" t="s">
        <v>4372</v>
      </c>
      <c r="H3700" s="1" t="s">
        <v>4372</v>
      </c>
      <c r="I3700" s="1" t="s">
        <v>4373</v>
      </c>
      <c r="J3700" s="1" t="s">
        <v>9809</v>
      </c>
      <c r="K3700" s="1" t="s">
        <v>9810</v>
      </c>
    </row>
    <row r="3701" spans="1:11" ht="21" x14ac:dyDescent="0.25">
      <c r="A3701" s="11" t="str">
        <f>HYPERLINK("https://rth.dk/resources/bsgatlas/details.php?id=BSGatlas-transcript-3700","BSGatlas-transcript-3700")</f>
        <v>BSGatlas-transcript-3700</v>
      </c>
      <c r="B3701" s="1" t="s">
        <v>3418</v>
      </c>
      <c r="C3701" s="3">
        <v>3298930</v>
      </c>
      <c r="D3701" s="3">
        <v>3299376</v>
      </c>
      <c r="E3701" s="1" t="s">
        <v>9</v>
      </c>
      <c r="F3701" s="1">
        <v>0</v>
      </c>
      <c r="G3701" s="1" t="s">
        <v>4372</v>
      </c>
      <c r="H3701" s="1" t="s">
        <v>4372</v>
      </c>
      <c r="I3701" s="1" t="s">
        <v>4377</v>
      </c>
      <c r="J3701" s="1" t="s">
        <v>9811</v>
      </c>
      <c r="K3701" s="1" t="s">
        <v>9812</v>
      </c>
    </row>
    <row r="3702" spans="1:11" ht="21" x14ac:dyDescent="0.25">
      <c r="A3702" s="11" t="str">
        <f>HYPERLINK("https://rth.dk/resources/bsgatlas/details.php?id=BSGatlas-transcript-3701","BSGatlas-transcript-3701")</f>
        <v>BSGatlas-transcript-3701</v>
      </c>
      <c r="B3702" s="1" t="s">
        <v>3419</v>
      </c>
      <c r="C3702" s="3">
        <v>3299344</v>
      </c>
      <c r="D3702" s="3">
        <v>3299688</v>
      </c>
      <c r="E3702" s="1" t="s">
        <v>13</v>
      </c>
      <c r="F3702" s="1">
        <v>0</v>
      </c>
      <c r="G3702" s="1" t="s">
        <v>4372</v>
      </c>
      <c r="H3702" s="1" t="s">
        <v>4372</v>
      </c>
      <c r="I3702" s="1" t="s">
        <v>4377</v>
      </c>
      <c r="J3702" s="1" t="s">
        <v>9813</v>
      </c>
      <c r="K3702" s="1" t="s">
        <v>9814</v>
      </c>
    </row>
    <row r="3703" spans="1:11" ht="21" x14ac:dyDescent="0.25">
      <c r="A3703" s="11" t="str">
        <f>HYPERLINK("https://rth.dk/resources/bsgatlas/details.php?id=BSGatlas-transcript-3702","BSGatlas-transcript-3702")</f>
        <v>BSGatlas-transcript-3702</v>
      </c>
      <c r="B3703" s="1" t="s">
        <v>9815</v>
      </c>
      <c r="C3703" s="3">
        <v>3299344</v>
      </c>
      <c r="D3703" s="3">
        <v>3299906</v>
      </c>
      <c r="E3703" s="1" t="s">
        <v>13</v>
      </c>
      <c r="F3703" s="1">
        <v>1</v>
      </c>
      <c r="G3703" s="1">
        <v>46</v>
      </c>
      <c r="H3703" s="1" t="s">
        <v>4372</v>
      </c>
      <c r="I3703" s="1" t="s">
        <v>4386</v>
      </c>
      <c r="J3703" s="1" t="s">
        <v>9816</v>
      </c>
      <c r="K3703" s="1" t="s">
        <v>9814</v>
      </c>
    </row>
    <row r="3704" spans="1:11" ht="21" x14ac:dyDescent="0.25">
      <c r="A3704" s="11" t="str">
        <f>HYPERLINK("https://rth.dk/resources/bsgatlas/details.php?id=BSGatlas-transcript-3703","BSGatlas-transcript-3703")</f>
        <v>BSGatlas-transcript-3703</v>
      </c>
      <c r="B3704" s="1" t="s">
        <v>3421</v>
      </c>
      <c r="C3704" s="3">
        <v>3299590</v>
      </c>
      <c r="D3704" s="3">
        <v>3299699</v>
      </c>
      <c r="E3704" s="1" t="s">
        <v>9</v>
      </c>
      <c r="F3704" s="1">
        <v>0</v>
      </c>
      <c r="G3704" s="1" t="s">
        <v>4372</v>
      </c>
      <c r="H3704" s="1" t="s">
        <v>4372</v>
      </c>
      <c r="I3704" s="1" t="s">
        <v>4377</v>
      </c>
      <c r="J3704" s="1" t="s">
        <v>9817</v>
      </c>
      <c r="K3704" s="1" t="s">
        <v>9818</v>
      </c>
    </row>
    <row r="3705" spans="1:11" ht="21" x14ac:dyDescent="0.25">
      <c r="A3705" s="11" t="str">
        <f>HYPERLINK("https://rth.dk/resources/bsgatlas/details.php?id=BSGatlas-transcript-3704","BSGatlas-transcript-3704")</f>
        <v>BSGatlas-transcript-3704</v>
      </c>
      <c r="B3705" s="1" t="s">
        <v>3421</v>
      </c>
      <c r="C3705" s="3">
        <v>3299590</v>
      </c>
      <c r="D3705" s="3">
        <v>3300285</v>
      </c>
      <c r="E3705" s="1" t="s">
        <v>9</v>
      </c>
      <c r="F3705" s="1">
        <v>0</v>
      </c>
      <c r="G3705" s="1" t="s">
        <v>4372</v>
      </c>
      <c r="H3705" s="1" t="s">
        <v>4372</v>
      </c>
      <c r="I3705" s="1" t="s">
        <v>4377</v>
      </c>
      <c r="J3705" s="1" t="s">
        <v>9817</v>
      </c>
      <c r="K3705" s="1" t="s">
        <v>9819</v>
      </c>
    </row>
    <row r="3706" spans="1:11" ht="21" x14ac:dyDescent="0.25">
      <c r="A3706" s="11" t="str">
        <f>HYPERLINK("https://rth.dk/resources/bsgatlas/details.php?id=BSGatlas-transcript-3705","BSGatlas-transcript-3705")</f>
        <v>BSGatlas-transcript-3705</v>
      </c>
      <c r="B3706" s="1" t="s">
        <v>3422</v>
      </c>
      <c r="C3706" s="3">
        <v>3300034</v>
      </c>
      <c r="D3706" s="3">
        <v>3301382</v>
      </c>
      <c r="E3706" s="1" t="s">
        <v>13</v>
      </c>
      <c r="F3706" s="1">
        <v>0</v>
      </c>
      <c r="G3706" s="1" t="s">
        <v>4372</v>
      </c>
      <c r="H3706" s="1" t="s">
        <v>4372</v>
      </c>
      <c r="I3706" s="1" t="s">
        <v>4386</v>
      </c>
      <c r="J3706" s="1" t="s">
        <v>9820</v>
      </c>
      <c r="K3706" s="1" t="s">
        <v>9821</v>
      </c>
    </row>
    <row r="3707" spans="1:11" ht="21" x14ac:dyDescent="0.25">
      <c r="A3707" s="11" t="str">
        <f>HYPERLINK("https://rth.dk/resources/bsgatlas/details.php?id=BSGatlas-transcript-3706","BSGatlas-transcript-3706")</f>
        <v>BSGatlas-transcript-3706</v>
      </c>
      <c r="B3707" s="1" t="s">
        <v>3422</v>
      </c>
      <c r="C3707" s="3">
        <v>3300034</v>
      </c>
      <c r="D3707" s="3">
        <v>3301447</v>
      </c>
      <c r="E3707" s="1" t="s">
        <v>13</v>
      </c>
      <c r="F3707" s="1">
        <v>0</v>
      </c>
      <c r="G3707" s="1" t="s">
        <v>4372</v>
      </c>
      <c r="H3707" s="1" t="s">
        <v>4372</v>
      </c>
      <c r="I3707" s="1" t="s">
        <v>4386</v>
      </c>
      <c r="J3707" s="1" t="s">
        <v>9822</v>
      </c>
      <c r="K3707" s="1" t="s">
        <v>9821</v>
      </c>
    </row>
    <row r="3708" spans="1:11" ht="21" x14ac:dyDescent="0.25">
      <c r="A3708" s="11" t="str">
        <f>HYPERLINK("https://rth.dk/resources/bsgatlas/details.php?id=BSGatlas-transcript-3707","BSGatlas-transcript-3707")</f>
        <v>BSGatlas-transcript-3707</v>
      </c>
      <c r="B3708" s="1" t="s">
        <v>3422</v>
      </c>
      <c r="C3708" s="3">
        <v>3300034</v>
      </c>
      <c r="D3708" s="3">
        <v>3301624</v>
      </c>
      <c r="E3708" s="1" t="s">
        <v>13</v>
      </c>
      <c r="F3708" s="1">
        <v>0</v>
      </c>
      <c r="G3708" s="1" t="s">
        <v>4372</v>
      </c>
      <c r="H3708" s="1" t="s">
        <v>4372</v>
      </c>
      <c r="I3708" s="1" t="s">
        <v>4386</v>
      </c>
      <c r="J3708" s="1" t="s">
        <v>9823</v>
      </c>
      <c r="K3708" s="1" t="s">
        <v>9821</v>
      </c>
    </row>
    <row r="3709" spans="1:11" ht="21" x14ac:dyDescent="0.25">
      <c r="A3709" s="11" t="str">
        <f>HYPERLINK("https://rth.dk/resources/bsgatlas/details.php?id=BSGatlas-transcript-3708","BSGatlas-transcript-3708")</f>
        <v>BSGatlas-transcript-3708</v>
      </c>
      <c r="B3709" s="1" t="s">
        <v>3423</v>
      </c>
      <c r="C3709" s="3">
        <v>3301541</v>
      </c>
      <c r="D3709" s="3">
        <v>3302584</v>
      </c>
      <c r="E3709" s="1" t="s">
        <v>9</v>
      </c>
      <c r="F3709" s="1">
        <v>0</v>
      </c>
      <c r="G3709" s="1" t="s">
        <v>4372</v>
      </c>
      <c r="H3709" s="1" t="s">
        <v>4372</v>
      </c>
      <c r="I3709" s="1" t="s">
        <v>4397</v>
      </c>
      <c r="J3709" s="1" t="s">
        <v>9824</v>
      </c>
      <c r="K3709" s="1" t="s">
        <v>9825</v>
      </c>
    </row>
    <row r="3710" spans="1:11" ht="21" x14ac:dyDescent="0.25">
      <c r="A3710" s="11" t="str">
        <f>HYPERLINK("https://rth.dk/resources/bsgatlas/details.php?id=BSGatlas-transcript-3709","BSGatlas-transcript-3709")</f>
        <v>BSGatlas-transcript-3709</v>
      </c>
      <c r="B3710" s="1" t="s">
        <v>3424</v>
      </c>
      <c r="C3710" s="3">
        <v>3302623</v>
      </c>
      <c r="D3710" s="3">
        <v>3302893</v>
      </c>
      <c r="E3710" s="1" t="s">
        <v>13</v>
      </c>
      <c r="F3710" s="1">
        <v>0</v>
      </c>
      <c r="G3710" s="1" t="s">
        <v>4372</v>
      </c>
      <c r="H3710" s="1" t="s">
        <v>4372</v>
      </c>
      <c r="I3710" s="1" t="s">
        <v>4397</v>
      </c>
      <c r="J3710" s="1" t="s">
        <v>9826</v>
      </c>
      <c r="K3710" s="1" t="s">
        <v>9827</v>
      </c>
    </row>
    <row r="3711" spans="1:11" ht="21" x14ac:dyDescent="0.25">
      <c r="A3711" s="11" t="str">
        <f>HYPERLINK("https://rth.dk/resources/bsgatlas/details.php?id=BSGatlas-transcript-3710","BSGatlas-transcript-3710")</f>
        <v>BSGatlas-transcript-3710</v>
      </c>
      <c r="B3711" s="1" t="s">
        <v>3424</v>
      </c>
      <c r="C3711" s="3">
        <v>3302623</v>
      </c>
      <c r="D3711" s="3">
        <v>3303143</v>
      </c>
      <c r="E3711" s="1" t="s">
        <v>13</v>
      </c>
      <c r="F3711" s="1">
        <v>0</v>
      </c>
      <c r="G3711" s="1" t="s">
        <v>4372</v>
      </c>
      <c r="H3711" s="1" t="s">
        <v>4372</v>
      </c>
      <c r="I3711" s="1" t="s">
        <v>4397</v>
      </c>
      <c r="J3711" s="1" t="s">
        <v>9828</v>
      </c>
      <c r="K3711" s="1" t="s">
        <v>9827</v>
      </c>
    </row>
    <row r="3712" spans="1:11" ht="21" x14ac:dyDescent="0.25">
      <c r="A3712" s="11" t="str">
        <f>HYPERLINK("https://rth.dk/resources/bsgatlas/details.php?id=BSGatlas-transcript-3711","BSGatlas-transcript-3711")</f>
        <v>BSGatlas-transcript-3711</v>
      </c>
      <c r="B3712" s="1" t="s">
        <v>3425</v>
      </c>
      <c r="C3712" s="3">
        <v>3302979</v>
      </c>
      <c r="D3712" s="3">
        <v>3304022</v>
      </c>
      <c r="E3712" s="1" t="s">
        <v>9</v>
      </c>
      <c r="F3712" s="1">
        <v>0</v>
      </c>
      <c r="G3712" s="1" t="s">
        <v>4372</v>
      </c>
      <c r="H3712" s="1" t="s">
        <v>4372</v>
      </c>
      <c r="I3712" s="1" t="s">
        <v>4373</v>
      </c>
      <c r="J3712" s="1" t="s">
        <v>9829</v>
      </c>
      <c r="K3712" s="1" t="s">
        <v>9830</v>
      </c>
    </row>
    <row r="3713" spans="1:11" ht="21" x14ac:dyDescent="0.25">
      <c r="A3713" s="11" t="str">
        <f>HYPERLINK("https://rth.dk/resources/bsgatlas/details.php?id=BSGatlas-transcript-3712","BSGatlas-transcript-3712")</f>
        <v>BSGatlas-transcript-3712</v>
      </c>
      <c r="B3713" s="1" t="s">
        <v>3425</v>
      </c>
      <c r="C3713" s="3">
        <v>3302979</v>
      </c>
      <c r="D3713" s="3">
        <v>3304081</v>
      </c>
      <c r="E3713" s="1" t="s">
        <v>9</v>
      </c>
      <c r="F3713" s="1">
        <v>0</v>
      </c>
      <c r="G3713" s="1" t="s">
        <v>4372</v>
      </c>
      <c r="H3713" s="1" t="s">
        <v>4372</v>
      </c>
      <c r="I3713" s="1" t="s">
        <v>4373</v>
      </c>
      <c r="J3713" s="1" t="s">
        <v>9829</v>
      </c>
      <c r="K3713" s="1" t="s">
        <v>9831</v>
      </c>
    </row>
    <row r="3714" spans="1:11" ht="21" x14ac:dyDescent="0.25">
      <c r="A3714" s="11" t="str">
        <f>HYPERLINK("https://rth.dk/resources/bsgatlas/details.php?id=BSGatlas-transcript-3713","BSGatlas-transcript-3713")</f>
        <v>BSGatlas-transcript-3713</v>
      </c>
      <c r="B3714" s="1" t="s">
        <v>9832</v>
      </c>
      <c r="C3714" s="3">
        <v>3304073</v>
      </c>
      <c r="D3714" s="3">
        <v>3305320</v>
      </c>
      <c r="E3714" s="1" t="s">
        <v>13</v>
      </c>
      <c r="F3714" s="1">
        <v>1</v>
      </c>
      <c r="G3714" s="1">
        <v>60</v>
      </c>
      <c r="H3714" s="1">
        <v>24</v>
      </c>
      <c r="I3714" s="1" t="s">
        <v>4386</v>
      </c>
      <c r="J3714" s="1" t="s">
        <v>9833</v>
      </c>
      <c r="K3714" s="1" t="s">
        <v>9834</v>
      </c>
    </row>
    <row r="3715" spans="1:11" ht="21" x14ac:dyDescent="0.25">
      <c r="A3715" s="11" t="str">
        <f>HYPERLINK("https://rth.dk/resources/bsgatlas/details.php?id=BSGatlas-transcript-3714","BSGatlas-transcript-3714")</f>
        <v>BSGatlas-transcript-3714</v>
      </c>
      <c r="B3715" s="1" t="s">
        <v>9832</v>
      </c>
      <c r="C3715" s="3">
        <v>3304073</v>
      </c>
      <c r="D3715" s="3">
        <v>3305428</v>
      </c>
      <c r="E3715" s="1" t="s">
        <v>13</v>
      </c>
      <c r="F3715" s="1">
        <v>1</v>
      </c>
      <c r="G3715" s="1">
        <v>168</v>
      </c>
      <c r="H3715" s="1">
        <v>24</v>
      </c>
      <c r="I3715" s="1" t="s">
        <v>4386</v>
      </c>
      <c r="J3715" s="1" t="s">
        <v>9835</v>
      </c>
      <c r="K3715" s="1" t="s">
        <v>9834</v>
      </c>
    </row>
    <row r="3716" spans="1:11" ht="21" x14ac:dyDescent="0.25">
      <c r="A3716" s="11" t="str">
        <f>HYPERLINK("https://rth.dk/resources/bsgatlas/details.php?id=BSGatlas-transcript-3715","BSGatlas-transcript-3715")</f>
        <v>BSGatlas-transcript-3715</v>
      </c>
      <c r="B3716" s="1" t="s">
        <v>3428</v>
      </c>
      <c r="C3716" s="3">
        <v>3305562</v>
      </c>
      <c r="D3716" s="3">
        <v>3306002</v>
      </c>
      <c r="E3716" s="1" t="s">
        <v>13</v>
      </c>
      <c r="F3716" s="1">
        <v>0</v>
      </c>
      <c r="G3716" s="1" t="s">
        <v>4372</v>
      </c>
      <c r="H3716" s="1" t="s">
        <v>4372</v>
      </c>
      <c r="I3716" s="1" t="s">
        <v>4386</v>
      </c>
      <c r="J3716" s="1" t="s">
        <v>9836</v>
      </c>
      <c r="K3716" s="1" t="s">
        <v>9837</v>
      </c>
    </row>
    <row r="3717" spans="1:11" ht="21" x14ac:dyDescent="0.25">
      <c r="A3717" s="11" t="str">
        <f>HYPERLINK("https://rth.dk/resources/bsgatlas/details.php?id=BSGatlas-transcript-3716","BSGatlas-transcript-3716")</f>
        <v>BSGatlas-transcript-3716</v>
      </c>
      <c r="B3717" s="1" t="s">
        <v>9838</v>
      </c>
      <c r="C3717" s="3">
        <v>3305562</v>
      </c>
      <c r="D3717" s="3">
        <v>3306894</v>
      </c>
      <c r="E3717" s="1" t="s">
        <v>13</v>
      </c>
      <c r="F3717" s="1">
        <v>1</v>
      </c>
      <c r="G3717" s="1" t="s">
        <v>4372</v>
      </c>
      <c r="H3717" s="1">
        <v>38</v>
      </c>
      <c r="I3717" s="1" t="s">
        <v>4386</v>
      </c>
      <c r="J3717" s="1" t="s">
        <v>9839</v>
      </c>
      <c r="K3717" s="1" t="s">
        <v>9837</v>
      </c>
    </row>
    <row r="3718" spans="1:11" ht="21" x14ac:dyDescent="0.25">
      <c r="A3718" s="11" t="str">
        <f>HYPERLINK("https://rth.dk/resources/bsgatlas/details.php?id=BSGatlas-transcript-3717","BSGatlas-transcript-3717")</f>
        <v>BSGatlas-transcript-3717</v>
      </c>
      <c r="B3718" s="1" t="s">
        <v>9838</v>
      </c>
      <c r="C3718" s="3">
        <v>3305562</v>
      </c>
      <c r="D3718" s="3">
        <v>3306930</v>
      </c>
      <c r="E3718" s="1" t="s">
        <v>13</v>
      </c>
      <c r="F3718" s="1">
        <v>1</v>
      </c>
      <c r="G3718" s="1">
        <v>37</v>
      </c>
      <c r="H3718" s="1">
        <v>38</v>
      </c>
      <c r="I3718" s="1" t="s">
        <v>4386</v>
      </c>
      <c r="J3718" s="1" t="s">
        <v>9840</v>
      </c>
      <c r="K3718" s="1" t="s">
        <v>9837</v>
      </c>
    </row>
    <row r="3719" spans="1:11" ht="21" x14ac:dyDescent="0.25">
      <c r="A3719" s="11" t="str">
        <f>HYPERLINK("https://rth.dk/resources/bsgatlas/details.php?id=BSGatlas-transcript-3718","BSGatlas-transcript-3718")</f>
        <v>BSGatlas-transcript-3718</v>
      </c>
      <c r="B3719" s="1" t="s">
        <v>3430</v>
      </c>
      <c r="C3719" s="3">
        <v>3307017</v>
      </c>
      <c r="D3719" s="3">
        <v>3308273</v>
      </c>
      <c r="E3719" s="1" t="s">
        <v>13</v>
      </c>
      <c r="F3719" s="1">
        <v>0</v>
      </c>
      <c r="G3719" s="1" t="s">
        <v>4372</v>
      </c>
      <c r="H3719" s="1" t="s">
        <v>4372</v>
      </c>
      <c r="I3719" s="1" t="s">
        <v>4386</v>
      </c>
      <c r="J3719" s="1" t="s">
        <v>9841</v>
      </c>
      <c r="K3719" s="1" t="s">
        <v>318</v>
      </c>
    </row>
    <row r="3720" spans="1:11" ht="21" x14ac:dyDescent="0.25">
      <c r="A3720" s="11" t="str">
        <f>HYPERLINK("https://rth.dk/resources/bsgatlas/details.php?id=BSGatlas-transcript-3719","BSGatlas-transcript-3719")</f>
        <v>BSGatlas-transcript-3719</v>
      </c>
      <c r="B3720" s="1" t="s">
        <v>3431</v>
      </c>
      <c r="C3720" s="3">
        <v>3307598</v>
      </c>
      <c r="D3720" s="3">
        <v>3308367</v>
      </c>
      <c r="E3720" s="1" t="s">
        <v>9</v>
      </c>
      <c r="F3720" s="1">
        <v>0</v>
      </c>
      <c r="G3720" s="1" t="s">
        <v>4372</v>
      </c>
      <c r="H3720" s="1" t="s">
        <v>4372</v>
      </c>
      <c r="I3720" s="1" t="s">
        <v>4377</v>
      </c>
      <c r="J3720" s="1" t="s">
        <v>9842</v>
      </c>
      <c r="K3720" s="1" t="s">
        <v>9843</v>
      </c>
    </row>
    <row r="3721" spans="1:11" ht="21" x14ac:dyDescent="0.25">
      <c r="A3721" s="11" t="str">
        <f>HYPERLINK("https://rth.dk/resources/bsgatlas/details.php?id=BSGatlas-transcript-3720","BSGatlas-transcript-3720")</f>
        <v>BSGatlas-transcript-3720</v>
      </c>
      <c r="B3721" s="1" t="s">
        <v>3432</v>
      </c>
      <c r="C3721" s="3">
        <v>3308368</v>
      </c>
      <c r="D3721" s="3">
        <v>3308604</v>
      </c>
      <c r="E3721" s="1" t="s">
        <v>13</v>
      </c>
      <c r="F3721" s="1">
        <v>0</v>
      </c>
      <c r="G3721" s="1" t="s">
        <v>4372</v>
      </c>
      <c r="H3721" s="1" t="s">
        <v>4372</v>
      </c>
      <c r="I3721" s="1" t="s">
        <v>4386</v>
      </c>
      <c r="J3721" s="1" t="s">
        <v>9844</v>
      </c>
      <c r="K3721" s="1" t="s">
        <v>9845</v>
      </c>
    </row>
    <row r="3722" spans="1:11" ht="21" x14ac:dyDescent="0.25">
      <c r="A3722" s="11" t="str">
        <f>HYPERLINK("https://rth.dk/resources/bsgatlas/details.php?id=BSGatlas-transcript-3721","BSGatlas-transcript-3721")</f>
        <v>BSGatlas-transcript-3721</v>
      </c>
      <c r="B3722" s="1" t="s">
        <v>3432</v>
      </c>
      <c r="C3722" s="3">
        <v>3308368</v>
      </c>
      <c r="D3722" s="3">
        <v>3308620</v>
      </c>
      <c r="E3722" s="1" t="s">
        <v>13</v>
      </c>
      <c r="F3722" s="1">
        <v>0</v>
      </c>
      <c r="G3722" s="1" t="s">
        <v>4372</v>
      </c>
      <c r="H3722" s="1" t="s">
        <v>4372</v>
      </c>
      <c r="I3722" s="1" t="s">
        <v>4386</v>
      </c>
      <c r="J3722" s="1" t="s">
        <v>9846</v>
      </c>
      <c r="K3722" s="1" t="s">
        <v>9845</v>
      </c>
    </row>
    <row r="3723" spans="1:11" ht="21" x14ac:dyDescent="0.25">
      <c r="A3723" s="11" t="str">
        <f>HYPERLINK("https://rth.dk/resources/bsgatlas/details.php?id=BSGatlas-transcript-3722","BSGatlas-transcript-3722")</f>
        <v>BSGatlas-transcript-3722</v>
      </c>
      <c r="B3723" s="1" t="s">
        <v>3433</v>
      </c>
      <c r="C3723" s="3">
        <v>3308787</v>
      </c>
      <c r="D3723" s="3">
        <v>3309934</v>
      </c>
      <c r="E3723" s="1" t="s">
        <v>9</v>
      </c>
      <c r="F3723" s="1">
        <v>0</v>
      </c>
      <c r="G3723" s="1" t="s">
        <v>4372</v>
      </c>
      <c r="H3723" s="1" t="s">
        <v>4372</v>
      </c>
      <c r="I3723" s="1" t="s">
        <v>4397</v>
      </c>
      <c r="J3723" s="1" t="s">
        <v>9847</v>
      </c>
      <c r="K3723" s="1" t="s">
        <v>9848</v>
      </c>
    </row>
    <row r="3724" spans="1:11" ht="21" x14ac:dyDescent="0.25">
      <c r="A3724" s="11" t="str">
        <f>HYPERLINK("https://rth.dk/resources/bsgatlas/details.php?id=BSGatlas-transcript-3723","BSGatlas-transcript-3723")</f>
        <v>BSGatlas-transcript-3723</v>
      </c>
      <c r="B3724" s="1" t="s">
        <v>3434</v>
      </c>
      <c r="C3724" s="3">
        <v>3309960</v>
      </c>
      <c r="D3724" s="3">
        <v>3310335</v>
      </c>
      <c r="E3724" s="1" t="s">
        <v>13</v>
      </c>
      <c r="F3724" s="1">
        <v>0</v>
      </c>
      <c r="G3724" s="1" t="s">
        <v>4372</v>
      </c>
      <c r="H3724" s="1" t="s">
        <v>4372</v>
      </c>
      <c r="I3724" s="1" t="s">
        <v>4397</v>
      </c>
      <c r="J3724" s="1" t="s">
        <v>9849</v>
      </c>
      <c r="K3724" s="1" t="s">
        <v>9850</v>
      </c>
    </row>
    <row r="3725" spans="1:11" ht="21" x14ac:dyDescent="0.25">
      <c r="A3725" s="11" t="str">
        <f>HYPERLINK("https://rth.dk/resources/bsgatlas/details.php?id=BSGatlas-transcript-3724","BSGatlas-transcript-3724")</f>
        <v>BSGatlas-transcript-3724</v>
      </c>
      <c r="B3725" s="1" t="s">
        <v>3435</v>
      </c>
      <c r="C3725" s="3">
        <v>3310386</v>
      </c>
      <c r="D3725" s="3">
        <v>3310721</v>
      </c>
      <c r="E3725" s="1" t="s">
        <v>9</v>
      </c>
      <c r="F3725" s="1">
        <v>0</v>
      </c>
      <c r="G3725" s="1" t="s">
        <v>4372</v>
      </c>
      <c r="H3725" s="1" t="s">
        <v>4372</v>
      </c>
      <c r="I3725" s="1" t="s">
        <v>4397</v>
      </c>
      <c r="J3725" s="1" t="s">
        <v>9851</v>
      </c>
      <c r="K3725" s="1" t="s">
        <v>9852</v>
      </c>
    </row>
    <row r="3726" spans="1:11" ht="21" x14ac:dyDescent="0.25">
      <c r="A3726" s="11" t="str">
        <f>HYPERLINK("https://rth.dk/resources/bsgatlas/details.php?id=BSGatlas-transcript-3725","BSGatlas-transcript-3725")</f>
        <v>BSGatlas-transcript-3725</v>
      </c>
      <c r="B3726" s="1" t="s">
        <v>3436</v>
      </c>
      <c r="C3726" s="3">
        <v>3310489</v>
      </c>
      <c r="D3726" s="3">
        <v>3312774</v>
      </c>
      <c r="E3726" s="1" t="s">
        <v>13</v>
      </c>
      <c r="F3726" s="1">
        <v>0</v>
      </c>
      <c r="G3726" s="1" t="s">
        <v>4372</v>
      </c>
      <c r="H3726" s="1" t="s">
        <v>4372</v>
      </c>
      <c r="I3726" s="1" t="s">
        <v>4386</v>
      </c>
      <c r="J3726" s="1" t="s">
        <v>9853</v>
      </c>
      <c r="K3726" s="1" t="s">
        <v>9854</v>
      </c>
    </row>
    <row r="3727" spans="1:11" ht="21" x14ac:dyDescent="0.25">
      <c r="A3727" s="11" t="str">
        <f>HYPERLINK("https://rth.dk/resources/bsgatlas/details.php?id=BSGatlas-transcript-3726","BSGatlas-transcript-3726")</f>
        <v>BSGatlas-transcript-3726</v>
      </c>
      <c r="B3727" s="1" t="s">
        <v>3436</v>
      </c>
      <c r="C3727" s="3">
        <v>3310763</v>
      </c>
      <c r="D3727" s="3">
        <v>3312774</v>
      </c>
      <c r="E3727" s="1" t="s">
        <v>13</v>
      </c>
      <c r="F3727" s="1">
        <v>0</v>
      </c>
      <c r="G3727" s="1" t="s">
        <v>4372</v>
      </c>
      <c r="H3727" s="1" t="s">
        <v>4372</v>
      </c>
      <c r="I3727" s="1" t="s">
        <v>4386</v>
      </c>
      <c r="J3727" s="1" t="s">
        <v>9853</v>
      </c>
      <c r="K3727" s="1" t="s">
        <v>9855</v>
      </c>
    </row>
    <row r="3728" spans="1:11" ht="21" x14ac:dyDescent="0.25">
      <c r="A3728" s="11" t="str">
        <f>HYPERLINK("https://rth.dk/resources/bsgatlas/details.php?id=BSGatlas-transcript-3727","BSGatlas-transcript-3727")</f>
        <v>BSGatlas-transcript-3727</v>
      </c>
      <c r="B3728" s="1" t="s">
        <v>9856</v>
      </c>
      <c r="C3728" s="3">
        <v>3312844</v>
      </c>
      <c r="D3728" s="3">
        <v>3316211</v>
      </c>
      <c r="E3728" s="1" t="s">
        <v>13</v>
      </c>
      <c r="F3728" s="1">
        <v>0</v>
      </c>
      <c r="G3728" s="1" t="s">
        <v>4372</v>
      </c>
      <c r="H3728" s="1" t="s">
        <v>4372</v>
      </c>
      <c r="I3728" s="1" t="s">
        <v>4397</v>
      </c>
      <c r="J3728" s="1" t="s">
        <v>9857</v>
      </c>
      <c r="K3728" s="1" t="s">
        <v>9858</v>
      </c>
    </row>
    <row r="3729" spans="1:11" ht="21" x14ac:dyDescent="0.25">
      <c r="A3729" s="11" t="str">
        <f>HYPERLINK("https://rth.dk/resources/bsgatlas/details.php?id=BSGatlas-transcript-3728","BSGatlas-transcript-3728")</f>
        <v>BSGatlas-transcript-3728</v>
      </c>
      <c r="B3729" s="1" t="s">
        <v>9859</v>
      </c>
      <c r="C3729" s="3">
        <v>3312844</v>
      </c>
      <c r="D3729" s="3">
        <v>3317379</v>
      </c>
      <c r="E3729" s="1" t="s">
        <v>13</v>
      </c>
      <c r="F3729" s="1">
        <v>1</v>
      </c>
      <c r="G3729" s="1">
        <v>31</v>
      </c>
      <c r="H3729" s="1" t="s">
        <v>4372</v>
      </c>
      <c r="I3729" s="1" t="s">
        <v>4386</v>
      </c>
      <c r="J3729" s="1" t="s">
        <v>9860</v>
      </c>
      <c r="K3729" s="1" t="s">
        <v>9858</v>
      </c>
    </row>
    <row r="3730" spans="1:11" ht="21" x14ac:dyDescent="0.25">
      <c r="A3730" s="11" t="str">
        <f>HYPERLINK("https://rth.dk/resources/bsgatlas/details.php?id=BSGatlas-transcript-3729","BSGatlas-transcript-3729")</f>
        <v>BSGatlas-transcript-3729</v>
      </c>
      <c r="B3730" s="1" t="s">
        <v>3441</v>
      </c>
      <c r="C3730" s="3">
        <v>3316045</v>
      </c>
      <c r="D3730" s="3">
        <v>3318002</v>
      </c>
      <c r="E3730" s="1" t="s">
        <v>9</v>
      </c>
      <c r="F3730" s="1">
        <v>0</v>
      </c>
      <c r="G3730" s="1" t="s">
        <v>4372</v>
      </c>
      <c r="H3730" s="1" t="s">
        <v>4372</v>
      </c>
      <c r="I3730" s="1" t="s">
        <v>4397</v>
      </c>
      <c r="J3730" s="1" t="s">
        <v>9861</v>
      </c>
      <c r="K3730" s="1" t="s">
        <v>318</v>
      </c>
    </row>
    <row r="3731" spans="1:11" ht="21" x14ac:dyDescent="0.25">
      <c r="A3731" s="11" t="str">
        <f>HYPERLINK("https://rth.dk/resources/bsgatlas/details.php?id=BSGatlas-transcript-3730","BSGatlas-transcript-3730")</f>
        <v>BSGatlas-transcript-3730</v>
      </c>
      <c r="B3731" s="1" t="s">
        <v>3441</v>
      </c>
      <c r="C3731" s="3">
        <v>3317182</v>
      </c>
      <c r="D3731" s="3">
        <v>3318002</v>
      </c>
      <c r="E3731" s="1" t="s">
        <v>9</v>
      </c>
      <c r="F3731" s="1">
        <v>0</v>
      </c>
      <c r="G3731" s="1" t="s">
        <v>4372</v>
      </c>
      <c r="H3731" s="1" t="s">
        <v>4372</v>
      </c>
      <c r="I3731" s="1" t="s">
        <v>4397</v>
      </c>
      <c r="J3731" s="1" t="s">
        <v>9862</v>
      </c>
      <c r="K3731" s="1" t="s">
        <v>318</v>
      </c>
    </row>
    <row r="3732" spans="1:11" ht="21" x14ac:dyDescent="0.25">
      <c r="A3732" s="11" t="str">
        <f>HYPERLINK("https://rth.dk/resources/bsgatlas/details.php?id=BSGatlas-transcript-3731","BSGatlas-transcript-3731")</f>
        <v>BSGatlas-transcript-3731</v>
      </c>
      <c r="B3732" s="1" t="s">
        <v>3441</v>
      </c>
      <c r="C3732" s="3">
        <v>3317409</v>
      </c>
      <c r="D3732" s="3">
        <v>3318002</v>
      </c>
      <c r="E3732" s="1" t="s">
        <v>9</v>
      </c>
      <c r="F3732" s="1">
        <v>0</v>
      </c>
      <c r="G3732" s="1" t="s">
        <v>4372</v>
      </c>
      <c r="H3732" s="1" t="s">
        <v>4372</v>
      </c>
      <c r="I3732" s="1" t="s">
        <v>4397</v>
      </c>
      <c r="J3732" s="1" t="s">
        <v>9863</v>
      </c>
      <c r="K3732" s="1" t="s">
        <v>318</v>
      </c>
    </row>
    <row r="3733" spans="1:11" ht="21" x14ac:dyDescent="0.25">
      <c r="A3733" s="11" t="str">
        <f>HYPERLINK("https://rth.dk/resources/bsgatlas/details.php?id=BSGatlas-transcript-3732","BSGatlas-transcript-3732")</f>
        <v>BSGatlas-transcript-3732</v>
      </c>
      <c r="B3733" s="1" t="s">
        <v>3441</v>
      </c>
      <c r="C3733" s="3">
        <v>3317475</v>
      </c>
      <c r="D3733" s="3">
        <v>3318002</v>
      </c>
      <c r="E3733" s="1" t="s">
        <v>9</v>
      </c>
      <c r="F3733" s="1">
        <v>0</v>
      </c>
      <c r="G3733" s="1" t="s">
        <v>4372</v>
      </c>
      <c r="H3733" s="1" t="s">
        <v>4372</v>
      </c>
      <c r="I3733" s="1" t="s">
        <v>4397</v>
      </c>
      <c r="J3733" s="1" t="s">
        <v>9864</v>
      </c>
      <c r="K3733" s="1" t="s">
        <v>318</v>
      </c>
    </row>
    <row r="3734" spans="1:11" ht="21" x14ac:dyDescent="0.25">
      <c r="A3734" s="11" t="str">
        <f>HYPERLINK("https://rth.dk/resources/bsgatlas/details.php?id=BSGatlas-transcript-3733","BSGatlas-transcript-3733")</f>
        <v>BSGatlas-transcript-3733</v>
      </c>
      <c r="B3734" s="1" t="s">
        <v>9865</v>
      </c>
      <c r="C3734" s="3">
        <v>3318029</v>
      </c>
      <c r="D3734" s="3">
        <v>3319606</v>
      </c>
      <c r="E3734" s="1" t="s">
        <v>13</v>
      </c>
      <c r="F3734" s="1">
        <v>2</v>
      </c>
      <c r="G3734" s="1">
        <v>46</v>
      </c>
      <c r="H3734" s="1" t="s">
        <v>4372</v>
      </c>
      <c r="I3734" s="1" t="s">
        <v>4397</v>
      </c>
      <c r="J3734" s="1" t="s">
        <v>9866</v>
      </c>
      <c r="K3734" s="1" t="s">
        <v>9867</v>
      </c>
    </row>
    <row r="3735" spans="1:11" ht="21" x14ac:dyDescent="0.25">
      <c r="A3735" s="11" t="str">
        <f>HYPERLINK("https://rth.dk/resources/bsgatlas/details.php?id=BSGatlas-transcript-3734","BSGatlas-transcript-3734")</f>
        <v>BSGatlas-transcript-3734</v>
      </c>
      <c r="B3735" s="1" t="s">
        <v>3445</v>
      </c>
      <c r="C3735" s="3">
        <v>3319653</v>
      </c>
      <c r="D3735" s="3">
        <v>3320308</v>
      </c>
      <c r="E3735" s="1" t="s">
        <v>9</v>
      </c>
      <c r="F3735" s="1">
        <v>0</v>
      </c>
      <c r="G3735" s="1" t="s">
        <v>4372</v>
      </c>
      <c r="H3735" s="1" t="s">
        <v>4372</v>
      </c>
      <c r="I3735" s="1" t="s">
        <v>4397</v>
      </c>
      <c r="J3735" s="1" t="s">
        <v>9868</v>
      </c>
      <c r="K3735" s="1" t="s">
        <v>9869</v>
      </c>
    </row>
    <row r="3736" spans="1:11" ht="21" x14ac:dyDescent="0.25">
      <c r="A3736" s="11" t="str">
        <f>HYPERLINK("https://rth.dk/resources/bsgatlas/details.php?id=BSGatlas-transcript-3735","BSGatlas-transcript-3735")</f>
        <v>BSGatlas-transcript-3735</v>
      </c>
      <c r="B3736" s="1" t="s">
        <v>3446</v>
      </c>
      <c r="C3736" s="3">
        <v>3320324</v>
      </c>
      <c r="D3736" s="3">
        <v>3321355</v>
      </c>
      <c r="E3736" s="1" t="s">
        <v>13</v>
      </c>
      <c r="F3736" s="1">
        <v>0</v>
      </c>
      <c r="G3736" s="1" t="s">
        <v>4372</v>
      </c>
      <c r="H3736" s="1" t="s">
        <v>4372</v>
      </c>
      <c r="I3736" s="1" t="s">
        <v>4397</v>
      </c>
      <c r="J3736" s="1" t="s">
        <v>9870</v>
      </c>
      <c r="K3736" s="1" t="s">
        <v>9871</v>
      </c>
    </row>
    <row r="3737" spans="1:11" ht="21" x14ac:dyDescent="0.25">
      <c r="A3737" s="11" t="str">
        <f>HYPERLINK("https://rth.dk/resources/bsgatlas/details.php?id=BSGatlas-transcript-3736","BSGatlas-transcript-3736")</f>
        <v>BSGatlas-transcript-3736</v>
      </c>
      <c r="B3737" s="1" t="s">
        <v>3446</v>
      </c>
      <c r="C3737" s="3">
        <v>3320324</v>
      </c>
      <c r="D3737" s="3">
        <v>3321533</v>
      </c>
      <c r="E3737" s="1" t="s">
        <v>13</v>
      </c>
      <c r="F3737" s="1">
        <v>0</v>
      </c>
      <c r="G3737" s="1" t="s">
        <v>4372</v>
      </c>
      <c r="H3737" s="1" t="s">
        <v>4372</v>
      </c>
      <c r="I3737" s="1" t="s">
        <v>4397</v>
      </c>
      <c r="J3737" s="1" t="s">
        <v>9872</v>
      </c>
      <c r="K3737" s="1" t="s">
        <v>9871</v>
      </c>
    </row>
    <row r="3738" spans="1:11" ht="21" x14ac:dyDescent="0.25">
      <c r="A3738" s="11" t="str">
        <f>HYPERLINK("https://rth.dk/resources/bsgatlas/details.php?id=BSGatlas-transcript-3737","BSGatlas-transcript-3737")</f>
        <v>BSGatlas-transcript-3737</v>
      </c>
      <c r="B3738" s="1" t="s">
        <v>3447</v>
      </c>
      <c r="C3738" s="3">
        <v>3321427</v>
      </c>
      <c r="D3738" s="3">
        <v>3322435</v>
      </c>
      <c r="E3738" s="1" t="s">
        <v>9</v>
      </c>
      <c r="F3738" s="1">
        <v>0</v>
      </c>
      <c r="G3738" s="1" t="s">
        <v>4372</v>
      </c>
      <c r="H3738" s="1" t="s">
        <v>4372</v>
      </c>
      <c r="I3738" s="1" t="s">
        <v>4397</v>
      </c>
      <c r="J3738" s="1" t="s">
        <v>9873</v>
      </c>
      <c r="K3738" s="1" t="s">
        <v>9874</v>
      </c>
    </row>
    <row r="3739" spans="1:11" ht="21" x14ac:dyDescent="0.25">
      <c r="A3739" s="11" t="str">
        <f>HYPERLINK("https://rth.dk/resources/bsgatlas/details.php?id=BSGatlas-transcript-3738","BSGatlas-transcript-3738")</f>
        <v>BSGatlas-transcript-3738</v>
      </c>
      <c r="B3739" s="1" t="s">
        <v>3448</v>
      </c>
      <c r="C3739" s="3">
        <v>3322427</v>
      </c>
      <c r="D3739" s="3">
        <v>3323245</v>
      </c>
      <c r="E3739" s="1" t="s">
        <v>13</v>
      </c>
      <c r="F3739" s="1">
        <v>0</v>
      </c>
      <c r="G3739" s="1" t="s">
        <v>4372</v>
      </c>
      <c r="H3739" s="1" t="s">
        <v>4372</v>
      </c>
      <c r="I3739" s="1" t="s">
        <v>4373</v>
      </c>
      <c r="J3739" s="1" t="s">
        <v>9875</v>
      </c>
      <c r="K3739" s="1" t="s">
        <v>9876</v>
      </c>
    </row>
    <row r="3740" spans="1:11" ht="21" x14ac:dyDescent="0.25">
      <c r="A3740" s="11" t="str">
        <f>HYPERLINK("https://rth.dk/resources/bsgatlas/details.php?id=BSGatlas-transcript-3739","BSGatlas-transcript-3739")</f>
        <v>BSGatlas-transcript-3739</v>
      </c>
      <c r="B3740" s="1" t="s">
        <v>3449</v>
      </c>
      <c r="C3740" s="3">
        <v>3323300</v>
      </c>
      <c r="D3740" s="3">
        <v>3323642</v>
      </c>
      <c r="E3740" s="1" t="s">
        <v>13</v>
      </c>
      <c r="F3740" s="1">
        <v>0</v>
      </c>
      <c r="G3740" s="1" t="s">
        <v>4372</v>
      </c>
      <c r="H3740" s="1" t="s">
        <v>4372</v>
      </c>
      <c r="I3740" s="1" t="s">
        <v>4386</v>
      </c>
      <c r="J3740" s="1" t="s">
        <v>9877</v>
      </c>
      <c r="K3740" s="1" t="s">
        <v>9878</v>
      </c>
    </row>
    <row r="3741" spans="1:11" ht="21" x14ac:dyDescent="0.25">
      <c r="A3741" s="11" t="str">
        <f>HYPERLINK("https://rth.dk/resources/bsgatlas/details.php?id=BSGatlas-transcript-3740","BSGatlas-transcript-3740")</f>
        <v>BSGatlas-transcript-3740</v>
      </c>
      <c r="B3741" s="1" t="s">
        <v>9879</v>
      </c>
      <c r="C3741" s="3">
        <v>3323300</v>
      </c>
      <c r="D3741" s="3">
        <v>3326791</v>
      </c>
      <c r="E3741" s="1" t="s">
        <v>13</v>
      </c>
      <c r="F3741" s="1">
        <v>3</v>
      </c>
      <c r="G3741" s="1">
        <v>27</v>
      </c>
      <c r="H3741" s="1" t="s">
        <v>4372</v>
      </c>
      <c r="I3741" s="1" t="s">
        <v>4386</v>
      </c>
      <c r="J3741" s="1" t="s">
        <v>9880</v>
      </c>
      <c r="K3741" s="1" t="s">
        <v>9878</v>
      </c>
    </row>
    <row r="3742" spans="1:11" ht="21" x14ac:dyDescent="0.25">
      <c r="A3742" s="11" t="str">
        <f>HYPERLINK("https://rth.dk/resources/bsgatlas/details.php?id=BSGatlas-transcript-3741","BSGatlas-transcript-3741")</f>
        <v>BSGatlas-transcript-3741</v>
      </c>
      <c r="B3742" s="1" t="s">
        <v>9881</v>
      </c>
      <c r="C3742" s="3">
        <v>3323300</v>
      </c>
      <c r="D3742" s="3">
        <v>3327182</v>
      </c>
      <c r="E3742" s="1" t="s">
        <v>13</v>
      </c>
      <c r="F3742" s="1">
        <v>4</v>
      </c>
      <c r="G3742" s="1">
        <v>33</v>
      </c>
      <c r="H3742" s="1" t="s">
        <v>4372</v>
      </c>
      <c r="I3742" s="1" t="s">
        <v>4386</v>
      </c>
      <c r="J3742" s="1" t="s">
        <v>9882</v>
      </c>
      <c r="K3742" s="1" t="s">
        <v>9878</v>
      </c>
    </row>
    <row r="3743" spans="1:11" ht="21" x14ac:dyDescent="0.25">
      <c r="A3743" s="11" t="str">
        <f>HYPERLINK("https://rth.dk/resources/bsgatlas/details.php?id=BSGatlas-transcript-3742","BSGatlas-transcript-3742")</f>
        <v>BSGatlas-transcript-3742</v>
      </c>
      <c r="B3743" s="1" t="s">
        <v>3454</v>
      </c>
      <c r="C3743" s="3">
        <v>3327209</v>
      </c>
      <c r="D3743" s="3">
        <v>3328654</v>
      </c>
      <c r="E3743" s="1" t="s">
        <v>13</v>
      </c>
      <c r="F3743" s="1">
        <v>0</v>
      </c>
      <c r="G3743" s="1" t="s">
        <v>4372</v>
      </c>
      <c r="H3743" s="1" t="s">
        <v>4372</v>
      </c>
      <c r="I3743" s="1" t="s">
        <v>4373</v>
      </c>
      <c r="J3743" s="1" t="s">
        <v>9883</v>
      </c>
      <c r="K3743" s="1" t="s">
        <v>9884</v>
      </c>
    </row>
    <row r="3744" spans="1:11" ht="21" x14ac:dyDescent="0.25">
      <c r="A3744" s="11" t="str">
        <f>HYPERLINK("https://rth.dk/resources/bsgatlas/details.php?id=BSGatlas-transcript-3743","BSGatlas-transcript-3743")</f>
        <v>BSGatlas-transcript-3743</v>
      </c>
      <c r="B3744" s="1" t="s">
        <v>3454</v>
      </c>
      <c r="C3744" s="3">
        <v>3327209</v>
      </c>
      <c r="D3744" s="3">
        <v>3328683</v>
      </c>
      <c r="E3744" s="1" t="s">
        <v>13</v>
      </c>
      <c r="F3744" s="1">
        <v>0</v>
      </c>
      <c r="G3744" s="1" t="s">
        <v>4372</v>
      </c>
      <c r="H3744" s="1" t="s">
        <v>4372</v>
      </c>
      <c r="I3744" s="1" t="s">
        <v>4373</v>
      </c>
      <c r="J3744" s="1" t="s">
        <v>9885</v>
      </c>
      <c r="K3744" s="1" t="s">
        <v>9884</v>
      </c>
    </row>
    <row r="3745" spans="1:11" ht="21" x14ac:dyDescent="0.25">
      <c r="A3745" s="11" t="str">
        <f>HYPERLINK("https://rth.dk/resources/bsgatlas/details.php?id=BSGatlas-transcript-3744","BSGatlas-transcript-3744")</f>
        <v>BSGatlas-transcript-3744</v>
      </c>
      <c r="B3745" s="1" t="s">
        <v>3454</v>
      </c>
      <c r="C3745" s="3">
        <v>3327247</v>
      </c>
      <c r="D3745" s="3">
        <v>3328654</v>
      </c>
      <c r="E3745" s="1" t="s">
        <v>13</v>
      </c>
      <c r="F3745" s="1">
        <v>0</v>
      </c>
      <c r="G3745" s="1" t="s">
        <v>4372</v>
      </c>
      <c r="H3745" s="1" t="s">
        <v>4372</v>
      </c>
      <c r="I3745" s="1" t="s">
        <v>4373</v>
      </c>
      <c r="J3745" s="1" t="s">
        <v>9883</v>
      </c>
      <c r="K3745" s="1" t="s">
        <v>9886</v>
      </c>
    </row>
    <row r="3746" spans="1:11" ht="21" x14ac:dyDescent="0.25">
      <c r="A3746" s="11" t="str">
        <f>HYPERLINK("https://rth.dk/resources/bsgatlas/details.php?id=BSGatlas-transcript-3745","BSGatlas-transcript-3745")</f>
        <v>BSGatlas-transcript-3745</v>
      </c>
      <c r="B3746" s="1" t="s">
        <v>3454</v>
      </c>
      <c r="C3746" s="3">
        <v>3327247</v>
      </c>
      <c r="D3746" s="3">
        <v>3328654</v>
      </c>
      <c r="E3746" s="1" t="s">
        <v>13</v>
      </c>
      <c r="F3746" s="1">
        <v>0</v>
      </c>
      <c r="G3746" s="1" t="s">
        <v>4372</v>
      </c>
      <c r="H3746" s="1" t="s">
        <v>4372</v>
      </c>
      <c r="I3746" s="1" t="s">
        <v>4373</v>
      </c>
      <c r="J3746" s="1" t="s">
        <v>9883</v>
      </c>
      <c r="K3746" s="1" t="s">
        <v>9887</v>
      </c>
    </row>
    <row r="3747" spans="1:11" ht="21" x14ac:dyDescent="0.25">
      <c r="A3747" s="11" t="str">
        <f>HYPERLINK("https://rth.dk/resources/bsgatlas/details.php?id=BSGatlas-transcript-3746","BSGatlas-transcript-3746")</f>
        <v>BSGatlas-transcript-3746</v>
      </c>
      <c r="B3747" s="1" t="s">
        <v>3454</v>
      </c>
      <c r="C3747" s="3">
        <v>3327247</v>
      </c>
      <c r="D3747" s="3">
        <v>3328683</v>
      </c>
      <c r="E3747" s="1" t="s">
        <v>13</v>
      </c>
      <c r="F3747" s="1">
        <v>0</v>
      </c>
      <c r="G3747" s="1" t="s">
        <v>4372</v>
      </c>
      <c r="H3747" s="1" t="s">
        <v>4372</v>
      </c>
      <c r="I3747" s="1" t="s">
        <v>4373</v>
      </c>
      <c r="J3747" s="1" t="s">
        <v>9885</v>
      </c>
      <c r="K3747" s="1" t="s">
        <v>9886</v>
      </c>
    </row>
    <row r="3748" spans="1:11" ht="21" x14ac:dyDescent="0.25">
      <c r="A3748" s="11" t="str">
        <f>HYPERLINK("https://rth.dk/resources/bsgatlas/details.php?id=BSGatlas-transcript-3747","BSGatlas-transcript-3747")</f>
        <v>BSGatlas-transcript-3747</v>
      </c>
      <c r="B3748" s="1" t="s">
        <v>3454</v>
      </c>
      <c r="C3748" s="3">
        <v>3327247</v>
      </c>
      <c r="D3748" s="3">
        <v>3328683</v>
      </c>
      <c r="E3748" s="1" t="s">
        <v>13</v>
      </c>
      <c r="F3748" s="1">
        <v>0</v>
      </c>
      <c r="G3748" s="1" t="s">
        <v>4372</v>
      </c>
      <c r="H3748" s="1" t="s">
        <v>4372</v>
      </c>
      <c r="I3748" s="1" t="s">
        <v>4373</v>
      </c>
      <c r="J3748" s="1" t="s">
        <v>9885</v>
      </c>
      <c r="K3748" s="1" t="s">
        <v>9887</v>
      </c>
    </row>
    <row r="3749" spans="1:11" ht="21" x14ac:dyDescent="0.25">
      <c r="A3749" s="11" t="str">
        <f>HYPERLINK("https://rth.dk/resources/bsgatlas/details.php?id=BSGatlas-transcript-3748","BSGatlas-transcript-3748")</f>
        <v>BSGatlas-transcript-3748</v>
      </c>
      <c r="B3749" s="1" t="s">
        <v>9888</v>
      </c>
      <c r="C3749" s="3">
        <v>3328672</v>
      </c>
      <c r="D3749" s="3">
        <v>3334990</v>
      </c>
      <c r="E3749" s="1" t="s">
        <v>9</v>
      </c>
      <c r="F3749" s="1">
        <v>1</v>
      </c>
      <c r="G3749" s="1">
        <v>91</v>
      </c>
      <c r="H3749" s="1" t="s">
        <v>4372</v>
      </c>
      <c r="I3749" s="1" t="s">
        <v>4373</v>
      </c>
      <c r="J3749" s="1" t="s">
        <v>9889</v>
      </c>
      <c r="K3749" s="1" t="s">
        <v>9890</v>
      </c>
    </row>
    <row r="3750" spans="1:11" ht="21" x14ac:dyDescent="0.25">
      <c r="A3750" s="11" t="str">
        <f>HYPERLINK("https://rth.dk/resources/bsgatlas/details.php?id=BSGatlas-transcript-3749","BSGatlas-transcript-3749")</f>
        <v>BSGatlas-transcript-3749</v>
      </c>
      <c r="B3750" s="1" t="s">
        <v>9888</v>
      </c>
      <c r="C3750" s="3">
        <v>3328672</v>
      </c>
      <c r="D3750" s="3">
        <v>3335031</v>
      </c>
      <c r="E3750" s="1" t="s">
        <v>9</v>
      </c>
      <c r="F3750" s="1">
        <v>1</v>
      </c>
      <c r="G3750" s="1">
        <v>91</v>
      </c>
      <c r="H3750" s="1">
        <v>42</v>
      </c>
      <c r="I3750" s="1" t="s">
        <v>4373</v>
      </c>
      <c r="J3750" s="1" t="s">
        <v>9889</v>
      </c>
      <c r="K3750" s="1" t="s">
        <v>9891</v>
      </c>
    </row>
    <row r="3751" spans="1:11" ht="21" x14ac:dyDescent="0.25">
      <c r="A3751" s="11" t="str">
        <f>HYPERLINK("https://rth.dk/resources/bsgatlas/details.php?id=BSGatlas-transcript-3750","BSGatlas-transcript-3750")</f>
        <v>BSGatlas-transcript-3750</v>
      </c>
      <c r="B3751" s="1" t="s">
        <v>9892</v>
      </c>
      <c r="C3751" s="3">
        <v>3330475</v>
      </c>
      <c r="D3751" s="3">
        <v>3334990</v>
      </c>
      <c r="E3751" s="1" t="s">
        <v>9</v>
      </c>
      <c r="F3751" s="1">
        <v>0</v>
      </c>
      <c r="G3751" s="1" t="s">
        <v>4372</v>
      </c>
      <c r="H3751" s="1" t="s">
        <v>4372</v>
      </c>
      <c r="I3751" s="1" t="s">
        <v>4386</v>
      </c>
      <c r="J3751" s="1" t="s">
        <v>9893</v>
      </c>
      <c r="K3751" s="1" t="s">
        <v>9890</v>
      </c>
    </row>
    <row r="3752" spans="1:11" ht="21" x14ac:dyDescent="0.25">
      <c r="A3752" s="11" t="str">
        <f>HYPERLINK("https://rth.dk/resources/bsgatlas/details.php?id=BSGatlas-transcript-3751","BSGatlas-transcript-3751")</f>
        <v>BSGatlas-transcript-3751</v>
      </c>
      <c r="B3752" s="1" t="s">
        <v>9892</v>
      </c>
      <c r="C3752" s="3">
        <v>3330475</v>
      </c>
      <c r="D3752" s="3">
        <v>3335031</v>
      </c>
      <c r="E3752" s="1" t="s">
        <v>9</v>
      </c>
      <c r="F3752" s="1">
        <v>0</v>
      </c>
      <c r="G3752" s="1" t="s">
        <v>4372</v>
      </c>
      <c r="H3752" s="1" t="s">
        <v>4372</v>
      </c>
      <c r="I3752" s="1" t="s">
        <v>4386</v>
      </c>
      <c r="J3752" s="1" t="s">
        <v>9893</v>
      </c>
      <c r="K3752" s="1" t="s">
        <v>9891</v>
      </c>
    </row>
    <row r="3753" spans="1:11" ht="21" x14ac:dyDescent="0.25">
      <c r="A3753" s="11" t="str">
        <f>HYPERLINK("https://rth.dk/resources/bsgatlas/details.php?id=BSGatlas-transcript-3752","BSGatlas-transcript-3752")</f>
        <v>BSGatlas-transcript-3752</v>
      </c>
      <c r="B3753" s="1" t="s">
        <v>3459</v>
      </c>
      <c r="C3753" s="3">
        <v>3334646</v>
      </c>
      <c r="D3753" s="3">
        <v>3334990</v>
      </c>
      <c r="E3753" s="1" t="s">
        <v>9</v>
      </c>
      <c r="F3753" s="1">
        <v>0</v>
      </c>
      <c r="G3753" s="1" t="s">
        <v>4372</v>
      </c>
      <c r="H3753" s="1" t="s">
        <v>4372</v>
      </c>
      <c r="I3753" s="1" t="s">
        <v>4377</v>
      </c>
      <c r="J3753" s="1" t="s">
        <v>9894</v>
      </c>
      <c r="K3753" s="1" t="s">
        <v>9890</v>
      </c>
    </row>
    <row r="3754" spans="1:11" ht="21" x14ac:dyDescent="0.25">
      <c r="A3754" s="11" t="str">
        <f>HYPERLINK("https://rth.dk/resources/bsgatlas/details.php?id=BSGatlas-transcript-3753","BSGatlas-transcript-3753")</f>
        <v>BSGatlas-transcript-3753</v>
      </c>
      <c r="B3754" s="1" t="s">
        <v>3459</v>
      </c>
      <c r="C3754" s="3">
        <v>3334646</v>
      </c>
      <c r="D3754" s="3">
        <v>3335031</v>
      </c>
      <c r="E3754" s="1" t="s">
        <v>9</v>
      </c>
      <c r="F3754" s="1">
        <v>0</v>
      </c>
      <c r="G3754" s="1" t="s">
        <v>4372</v>
      </c>
      <c r="H3754" s="1" t="s">
        <v>4372</v>
      </c>
      <c r="I3754" s="1" t="s">
        <v>4377</v>
      </c>
      <c r="J3754" s="1" t="s">
        <v>9894</v>
      </c>
      <c r="K3754" s="1" t="s">
        <v>9891</v>
      </c>
    </row>
    <row r="3755" spans="1:11" ht="21" x14ac:dyDescent="0.25">
      <c r="A3755" s="11" t="str">
        <f>HYPERLINK("https://rth.dk/resources/bsgatlas/details.php?id=BSGatlas-transcript-3754","BSGatlas-transcript-3754")</f>
        <v>BSGatlas-transcript-3754</v>
      </c>
      <c r="B3755" s="1" t="s">
        <v>3460</v>
      </c>
      <c r="C3755" s="3">
        <v>3335378</v>
      </c>
      <c r="D3755" s="3">
        <v>3335603</v>
      </c>
      <c r="E3755" s="1" t="s">
        <v>9</v>
      </c>
      <c r="F3755" s="1">
        <v>0</v>
      </c>
      <c r="G3755" s="1" t="s">
        <v>4372</v>
      </c>
      <c r="H3755" s="1" t="s">
        <v>4372</v>
      </c>
      <c r="I3755" s="1" t="s">
        <v>4386</v>
      </c>
      <c r="J3755" s="1" t="s">
        <v>9895</v>
      </c>
      <c r="K3755" s="1" t="s">
        <v>9896</v>
      </c>
    </row>
    <row r="3756" spans="1:11" ht="21" x14ac:dyDescent="0.25">
      <c r="A3756" s="11" t="str">
        <f>HYPERLINK("https://rth.dk/resources/bsgatlas/details.php?id=BSGatlas-transcript-3755","BSGatlas-transcript-3755")</f>
        <v>BSGatlas-transcript-3755</v>
      </c>
      <c r="B3756" s="1" t="s">
        <v>9897</v>
      </c>
      <c r="C3756" s="3">
        <v>3335727</v>
      </c>
      <c r="D3756" s="3">
        <v>3341024</v>
      </c>
      <c r="E3756" s="1" t="s">
        <v>13</v>
      </c>
      <c r="F3756" s="1">
        <v>0</v>
      </c>
      <c r="G3756" s="1" t="s">
        <v>4372</v>
      </c>
      <c r="H3756" s="1" t="s">
        <v>4372</v>
      </c>
      <c r="I3756" s="1" t="s">
        <v>4373</v>
      </c>
      <c r="J3756" s="1" t="s">
        <v>9898</v>
      </c>
      <c r="K3756" s="1" t="s">
        <v>9899</v>
      </c>
    </row>
    <row r="3757" spans="1:11" ht="21" x14ac:dyDescent="0.25">
      <c r="A3757" s="11" t="str">
        <f>HYPERLINK("https://rth.dk/resources/bsgatlas/details.php?id=BSGatlas-transcript-3756","BSGatlas-transcript-3756")</f>
        <v>BSGatlas-transcript-3756</v>
      </c>
      <c r="B3757" s="1" t="s">
        <v>9897</v>
      </c>
      <c r="C3757" s="3">
        <v>3335727</v>
      </c>
      <c r="D3757" s="3">
        <v>3341058</v>
      </c>
      <c r="E3757" s="1" t="s">
        <v>13</v>
      </c>
      <c r="F3757" s="1">
        <v>0</v>
      </c>
      <c r="G3757" s="1" t="s">
        <v>4372</v>
      </c>
      <c r="H3757" s="1" t="s">
        <v>4372</v>
      </c>
      <c r="I3757" s="1" t="s">
        <v>4373</v>
      </c>
      <c r="J3757" s="1" t="s">
        <v>9900</v>
      </c>
      <c r="K3757" s="1" t="s">
        <v>9899</v>
      </c>
    </row>
    <row r="3758" spans="1:11" ht="21" x14ac:dyDescent="0.25">
      <c r="A3758" s="11" t="str">
        <f>HYPERLINK("https://rth.dk/resources/bsgatlas/details.php?id=BSGatlas-transcript-3757","BSGatlas-transcript-3757")</f>
        <v>BSGatlas-transcript-3757</v>
      </c>
      <c r="B3758" s="1" t="s">
        <v>9901</v>
      </c>
      <c r="C3758" s="3">
        <v>3339331</v>
      </c>
      <c r="D3758" s="3">
        <v>3341024</v>
      </c>
      <c r="E3758" s="1" t="s">
        <v>13</v>
      </c>
      <c r="F3758" s="1">
        <v>0</v>
      </c>
      <c r="G3758" s="1" t="s">
        <v>4372</v>
      </c>
      <c r="H3758" s="1" t="s">
        <v>4372</v>
      </c>
      <c r="I3758" s="1" t="s">
        <v>4377</v>
      </c>
      <c r="J3758" s="1" t="s">
        <v>9898</v>
      </c>
      <c r="K3758" s="1" t="s">
        <v>9902</v>
      </c>
    </row>
    <row r="3759" spans="1:11" ht="21" x14ac:dyDescent="0.25">
      <c r="A3759" s="11" t="str">
        <f>HYPERLINK("https://rth.dk/resources/bsgatlas/details.php?id=BSGatlas-transcript-3758","BSGatlas-transcript-3758")</f>
        <v>BSGatlas-transcript-3758</v>
      </c>
      <c r="B3759" s="1" t="s">
        <v>9901</v>
      </c>
      <c r="C3759" s="3">
        <v>3339331</v>
      </c>
      <c r="D3759" s="3">
        <v>3341058</v>
      </c>
      <c r="E3759" s="1" t="s">
        <v>13</v>
      </c>
      <c r="F3759" s="1">
        <v>0</v>
      </c>
      <c r="G3759" s="1" t="s">
        <v>4372</v>
      </c>
      <c r="H3759" s="1" t="s">
        <v>4372</v>
      </c>
      <c r="I3759" s="1" t="s">
        <v>4377</v>
      </c>
      <c r="J3759" s="1" t="s">
        <v>9900</v>
      </c>
      <c r="K3759" s="1" t="s">
        <v>9902</v>
      </c>
    </row>
    <row r="3760" spans="1:11" ht="21" x14ac:dyDescent="0.25">
      <c r="A3760" s="11" t="str">
        <f>HYPERLINK("https://rth.dk/resources/bsgatlas/details.php?id=BSGatlas-transcript-3759","BSGatlas-transcript-3759")</f>
        <v>BSGatlas-transcript-3759</v>
      </c>
      <c r="B3760" s="1" t="s">
        <v>9903</v>
      </c>
      <c r="C3760" s="3">
        <v>3341125</v>
      </c>
      <c r="D3760" s="3">
        <v>3343697</v>
      </c>
      <c r="E3760" s="1" t="s">
        <v>13</v>
      </c>
      <c r="F3760" s="1">
        <v>1</v>
      </c>
      <c r="G3760" s="1">
        <v>27</v>
      </c>
      <c r="H3760" s="1">
        <v>42</v>
      </c>
      <c r="I3760" s="1" t="s">
        <v>4373</v>
      </c>
      <c r="J3760" s="1" t="s">
        <v>9904</v>
      </c>
      <c r="K3760" s="1" t="s">
        <v>9905</v>
      </c>
    </row>
    <row r="3761" spans="1:11" ht="21" x14ac:dyDescent="0.25">
      <c r="A3761" s="11" t="str">
        <f>HYPERLINK("https://rth.dk/resources/bsgatlas/details.php?id=BSGatlas-transcript-3760","BSGatlas-transcript-3760")</f>
        <v>BSGatlas-transcript-3760</v>
      </c>
      <c r="B3761" s="1" t="s">
        <v>3468</v>
      </c>
      <c r="C3761" s="3">
        <v>3344072</v>
      </c>
      <c r="D3761" s="3">
        <v>3345022</v>
      </c>
      <c r="E3761" s="1" t="s">
        <v>9</v>
      </c>
      <c r="F3761" s="1">
        <v>0</v>
      </c>
      <c r="G3761" s="1" t="s">
        <v>4372</v>
      </c>
      <c r="H3761" s="1" t="s">
        <v>4372</v>
      </c>
      <c r="I3761" s="1" t="s">
        <v>4373</v>
      </c>
      <c r="J3761" s="1" t="s">
        <v>9906</v>
      </c>
      <c r="K3761" s="1" t="s">
        <v>9907</v>
      </c>
    </row>
    <row r="3762" spans="1:11" ht="21" x14ac:dyDescent="0.25">
      <c r="A3762" s="11" t="str">
        <f>HYPERLINK("https://rth.dk/resources/bsgatlas/details.php?id=BSGatlas-transcript-3761","BSGatlas-transcript-3761")</f>
        <v>BSGatlas-transcript-3761</v>
      </c>
      <c r="B3762" s="1" t="s">
        <v>3469</v>
      </c>
      <c r="C3762" s="3">
        <v>3345013</v>
      </c>
      <c r="D3762" s="3">
        <v>3346116</v>
      </c>
      <c r="E3762" s="1" t="s">
        <v>13</v>
      </c>
      <c r="F3762" s="1">
        <v>0</v>
      </c>
      <c r="G3762" s="1" t="s">
        <v>4372</v>
      </c>
      <c r="H3762" s="1" t="s">
        <v>4372</v>
      </c>
      <c r="I3762" s="1" t="s">
        <v>4397</v>
      </c>
      <c r="J3762" s="1" t="s">
        <v>318</v>
      </c>
      <c r="K3762" s="1" t="s">
        <v>9908</v>
      </c>
    </row>
    <row r="3763" spans="1:11" ht="21" x14ac:dyDescent="0.25">
      <c r="A3763" s="11" t="str">
        <f>HYPERLINK("https://rth.dk/resources/bsgatlas/details.php?id=BSGatlas-transcript-3762","BSGatlas-transcript-3762")</f>
        <v>BSGatlas-transcript-3762</v>
      </c>
      <c r="B3763" s="1" t="s">
        <v>9909</v>
      </c>
      <c r="C3763" s="3">
        <v>3345013</v>
      </c>
      <c r="D3763" s="3">
        <v>3347905</v>
      </c>
      <c r="E3763" s="1" t="s">
        <v>13</v>
      </c>
      <c r="F3763" s="1">
        <v>1</v>
      </c>
      <c r="G3763" s="1" t="s">
        <v>4372</v>
      </c>
      <c r="H3763" s="1" t="s">
        <v>4372</v>
      </c>
      <c r="I3763" s="1" t="s">
        <v>4377</v>
      </c>
      <c r="J3763" s="1" t="s">
        <v>9910</v>
      </c>
      <c r="K3763" s="1" t="s">
        <v>9908</v>
      </c>
    </row>
    <row r="3764" spans="1:11" ht="21" x14ac:dyDescent="0.25">
      <c r="A3764" s="11" t="str">
        <f>HYPERLINK("https://rth.dk/resources/bsgatlas/details.php?id=BSGatlas-transcript-3763","BSGatlas-transcript-3763")</f>
        <v>BSGatlas-transcript-3763</v>
      </c>
      <c r="B3764" s="1" t="s">
        <v>9909</v>
      </c>
      <c r="C3764" s="3">
        <v>3345013</v>
      </c>
      <c r="D3764" s="3">
        <v>3347905</v>
      </c>
      <c r="E3764" s="1" t="s">
        <v>13</v>
      </c>
      <c r="F3764" s="1">
        <v>1</v>
      </c>
      <c r="G3764" s="1" t="s">
        <v>4372</v>
      </c>
      <c r="H3764" s="1" t="s">
        <v>4372</v>
      </c>
      <c r="I3764" s="1" t="s">
        <v>4377</v>
      </c>
      <c r="J3764" s="1" t="s">
        <v>9911</v>
      </c>
      <c r="K3764" s="1" t="s">
        <v>9908</v>
      </c>
    </row>
    <row r="3765" spans="1:11" ht="21" x14ac:dyDescent="0.25">
      <c r="A3765" s="11" t="str">
        <f>HYPERLINK("https://rth.dk/resources/bsgatlas/details.php?id=BSGatlas-transcript-3764","BSGatlas-transcript-3764")</f>
        <v>BSGatlas-transcript-3764</v>
      </c>
      <c r="B3765" s="1" t="s">
        <v>9912</v>
      </c>
      <c r="C3765" s="3">
        <v>3345013</v>
      </c>
      <c r="D3765" s="3">
        <v>3352143</v>
      </c>
      <c r="E3765" s="1" t="s">
        <v>13</v>
      </c>
      <c r="F3765" s="1">
        <v>3</v>
      </c>
      <c r="G3765" s="1">
        <v>48</v>
      </c>
      <c r="H3765" s="1" t="s">
        <v>4372</v>
      </c>
      <c r="I3765" s="1" t="s">
        <v>4386</v>
      </c>
      <c r="J3765" s="1" t="s">
        <v>9913</v>
      </c>
      <c r="K3765" s="1" t="s">
        <v>9908</v>
      </c>
    </row>
    <row r="3766" spans="1:11" ht="21" x14ac:dyDescent="0.25">
      <c r="A3766" s="11" t="str">
        <f>HYPERLINK("https://rth.dk/resources/bsgatlas/details.php?id=BSGatlas-transcript-3765","BSGatlas-transcript-3765")</f>
        <v>BSGatlas-transcript-3765</v>
      </c>
      <c r="B3766" s="1" t="s">
        <v>9914</v>
      </c>
      <c r="C3766" s="3">
        <v>3345013</v>
      </c>
      <c r="D3766" s="3">
        <v>3352750</v>
      </c>
      <c r="E3766" s="1" t="s">
        <v>13</v>
      </c>
      <c r="F3766" s="1">
        <v>4</v>
      </c>
      <c r="G3766" s="1">
        <v>65</v>
      </c>
      <c r="H3766" s="1" t="s">
        <v>4372</v>
      </c>
      <c r="I3766" s="1" t="s">
        <v>4377</v>
      </c>
      <c r="J3766" s="1" t="s">
        <v>9915</v>
      </c>
      <c r="K3766" s="1" t="s">
        <v>9908</v>
      </c>
    </row>
    <row r="3767" spans="1:11" ht="21" x14ac:dyDescent="0.25">
      <c r="A3767" s="11" t="str">
        <f>HYPERLINK("https://rth.dk/resources/bsgatlas/details.php?id=BSGatlas-transcript-3766","BSGatlas-transcript-3766")</f>
        <v>BSGatlas-transcript-3766</v>
      </c>
      <c r="B3767" s="1" t="s">
        <v>9916</v>
      </c>
      <c r="C3767" s="3">
        <v>3345013</v>
      </c>
      <c r="D3767" s="3">
        <v>3353938</v>
      </c>
      <c r="E3767" s="1" t="s">
        <v>13</v>
      </c>
      <c r="F3767" s="1">
        <v>5</v>
      </c>
      <c r="G3767" s="1">
        <v>32</v>
      </c>
      <c r="H3767" s="1" t="s">
        <v>4372</v>
      </c>
      <c r="I3767" s="1" t="s">
        <v>4377</v>
      </c>
      <c r="J3767" s="1" t="s">
        <v>9917</v>
      </c>
      <c r="K3767" s="1" t="s">
        <v>9908</v>
      </c>
    </row>
    <row r="3768" spans="1:11" ht="21" x14ac:dyDescent="0.25">
      <c r="A3768" s="11" t="str">
        <f>HYPERLINK("https://rth.dk/resources/bsgatlas/details.php?id=BSGatlas-transcript-3767","BSGatlas-transcript-3767")</f>
        <v>BSGatlas-transcript-3767</v>
      </c>
      <c r="B3768" s="1" t="s">
        <v>9916</v>
      </c>
      <c r="C3768" s="3">
        <v>3345013</v>
      </c>
      <c r="D3768" s="3">
        <v>3354048</v>
      </c>
      <c r="E3768" s="1" t="s">
        <v>13</v>
      </c>
      <c r="F3768" s="1">
        <v>5</v>
      </c>
      <c r="G3768" s="1">
        <v>142</v>
      </c>
      <c r="H3768" s="1" t="s">
        <v>4372</v>
      </c>
      <c r="I3768" s="1" t="s">
        <v>4377</v>
      </c>
      <c r="J3768" s="1" t="s">
        <v>9918</v>
      </c>
      <c r="K3768" s="1" t="s">
        <v>9908</v>
      </c>
    </row>
    <row r="3769" spans="1:11" ht="21" x14ac:dyDescent="0.25">
      <c r="A3769" s="11" t="str">
        <f>HYPERLINK("https://rth.dk/resources/bsgatlas/details.php?id=BSGatlas-transcript-3768","BSGatlas-transcript-3768")</f>
        <v>BSGatlas-transcript-3768</v>
      </c>
      <c r="B3769" s="1" t="s">
        <v>9916</v>
      </c>
      <c r="C3769" s="3">
        <v>3345013</v>
      </c>
      <c r="D3769" s="3">
        <v>3354356</v>
      </c>
      <c r="E3769" s="1" t="s">
        <v>13</v>
      </c>
      <c r="F3769" s="1">
        <v>5</v>
      </c>
      <c r="G3769" s="1">
        <v>450</v>
      </c>
      <c r="H3769" s="1" t="s">
        <v>4372</v>
      </c>
      <c r="I3769" s="1" t="s">
        <v>4377</v>
      </c>
      <c r="J3769" s="1" t="s">
        <v>9919</v>
      </c>
      <c r="K3769" s="1" t="s">
        <v>9908</v>
      </c>
    </row>
    <row r="3770" spans="1:11" ht="21" x14ac:dyDescent="0.25">
      <c r="A3770" s="11" t="str">
        <f>HYPERLINK("https://rth.dk/resources/bsgatlas/details.php?id=BSGatlas-transcript-3769","BSGatlas-transcript-3769")</f>
        <v>BSGatlas-transcript-3769</v>
      </c>
      <c r="B3770" s="1" t="s">
        <v>3477</v>
      </c>
      <c r="C3770" s="3">
        <v>3346185</v>
      </c>
      <c r="D3770" s="3">
        <v>3347026</v>
      </c>
      <c r="E3770" s="1" t="s">
        <v>9</v>
      </c>
      <c r="F3770" s="1">
        <v>0</v>
      </c>
      <c r="G3770" s="1" t="s">
        <v>4372</v>
      </c>
      <c r="H3770" s="1" t="s">
        <v>4372</v>
      </c>
      <c r="I3770" s="1" t="s">
        <v>4547</v>
      </c>
      <c r="J3770" s="1" t="s">
        <v>9920</v>
      </c>
      <c r="K3770" s="1" t="s">
        <v>318</v>
      </c>
    </row>
    <row r="3771" spans="1:11" ht="21" x14ac:dyDescent="0.25">
      <c r="A3771" s="11" t="str">
        <f>HYPERLINK("https://rth.dk/resources/bsgatlas/details.php?id=BSGatlas-transcript-3770","BSGatlas-transcript-3770")</f>
        <v>BSGatlas-transcript-3770</v>
      </c>
      <c r="B3771" s="1" t="s">
        <v>3477</v>
      </c>
      <c r="C3771" s="3">
        <v>3346253</v>
      </c>
      <c r="D3771" s="3">
        <v>3347026</v>
      </c>
      <c r="E3771" s="1" t="s">
        <v>9</v>
      </c>
      <c r="F3771" s="1">
        <v>0</v>
      </c>
      <c r="G3771" s="1" t="s">
        <v>4372</v>
      </c>
      <c r="H3771" s="1" t="s">
        <v>4372</v>
      </c>
      <c r="I3771" s="1" t="s">
        <v>4547</v>
      </c>
      <c r="J3771" s="1" t="s">
        <v>9921</v>
      </c>
      <c r="K3771" s="1" t="s">
        <v>318</v>
      </c>
    </row>
    <row r="3772" spans="1:11" ht="21" x14ac:dyDescent="0.25">
      <c r="A3772" s="11" t="str">
        <f>HYPERLINK("https://rth.dk/resources/bsgatlas/details.php?id=BSGatlas-transcript-3771","BSGatlas-transcript-3771")</f>
        <v>BSGatlas-transcript-3771</v>
      </c>
      <c r="B3772" s="1" t="s">
        <v>3470</v>
      </c>
      <c r="C3772" s="3">
        <v>3347025</v>
      </c>
      <c r="D3772" s="3">
        <v>3347905</v>
      </c>
      <c r="E3772" s="1" t="s">
        <v>13</v>
      </c>
      <c r="F3772" s="1">
        <v>0</v>
      </c>
      <c r="G3772" s="1" t="s">
        <v>4372</v>
      </c>
      <c r="H3772" s="1" t="s">
        <v>4372</v>
      </c>
      <c r="I3772" s="1" t="s">
        <v>4377</v>
      </c>
      <c r="J3772" s="1" t="s">
        <v>9910</v>
      </c>
      <c r="K3772" s="1" t="s">
        <v>9922</v>
      </c>
    </row>
    <row r="3773" spans="1:11" ht="21" x14ac:dyDescent="0.25">
      <c r="A3773" s="11" t="str">
        <f>HYPERLINK("https://rth.dk/resources/bsgatlas/details.php?id=BSGatlas-transcript-3772","BSGatlas-transcript-3772")</f>
        <v>BSGatlas-transcript-3772</v>
      </c>
      <c r="B3773" s="1" t="s">
        <v>3470</v>
      </c>
      <c r="C3773" s="3">
        <v>3347025</v>
      </c>
      <c r="D3773" s="3">
        <v>3347905</v>
      </c>
      <c r="E3773" s="1" t="s">
        <v>13</v>
      </c>
      <c r="F3773" s="1">
        <v>0</v>
      </c>
      <c r="G3773" s="1" t="s">
        <v>4372</v>
      </c>
      <c r="H3773" s="1" t="s">
        <v>4372</v>
      </c>
      <c r="I3773" s="1" t="s">
        <v>4377</v>
      </c>
      <c r="J3773" s="1" t="s">
        <v>9911</v>
      </c>
      <c r="K3773" s="1" t="s">
        <v>9922</v>
      </c>
    </row>
    <row r="3774" spans="1:11" ht="21" x14ac:dyDescent="0.25">
      <c r="A3774" s="11" t="str">
        <f>HYPERLINK("https://rth.dk/resources/bsgatlas/details.php?id=BSGatlas-transcript-3773","BSGatlas-transcript-3773")</f>
        <v>BSGatlas-transcript-3773</v>
      </c>
      <c r="B3774" s="1" t="s">
        <v>9923</v>
      </c>
      <c r="C3774" s="3">
        <v>3347025</v>
      </c>
      <c r="D3774" s="3">
        <v>3352143</v>
      </c>
      <c r="E3774" s="1" t="s">
        <v>13</v>
      </c>
      <c r="F3774" s="1">
        <v>2</v>
      </c>
      <c r="G3774" s="1">
        <v>48</v>
      </c>
      <c r="H3774" s="1">
        <v>27</v>
      </c>
      <c r="I3774" s="1" t="s">
        <v>4547</v>
      </c>
      <c r="J3774" s="1" t="s">
        <v>9913</v>
      </c>
      <c r="K3774" s="1" t="s">
        <v>9922</v>
      </c>
    </row>
    <row r="3775" spans="1:11" ht="21" x14ac:dyDescent="0.25">
      <c r="A3775" s="11" t="str">
        <f>HYPERLINK("https://rth.dk/resources/bsgatlas/details.php?id=BSGatlas-transcript-3774","BSGatlas-transcript-3774")</f>
        <v>BSGatlas-transcript-3774</v>
      </c>
      <c r="B3775" s="1" t="s">
        <v>9924</v>
      </c>
      <c r="C3775" s="3">
        <v>3347025</v>
      </c>
      <c r="D3775" s="3">
        <v>3352750</v>
      </c>
      <c r="E3775" s="1" t="s">
        <v>13</v>
      </c>
      <c r="F3775" s="1">
        <v>3</v>
      </c>
      <c r="G3775" s="1">
        <v>65</v>
      </c>
      <c r="H3775" s="1">
        <v>27</v>
      </c>
      <c r="I3775" s="1" t="s">
        <v>4377</v>
      </c>
      <c r="J3775" s="1" t="s">
        <v>9915</v>
      </c>
      <c r="K3775" s="1" t="s">
        <v>9922</v>
      </c>
    </row>
    <row r="3776" spans="1:11" ht="21" x14ac:dyDescent="0.25">
      <c r="A3776" s="11" t="str">
        <f>HYPERLINK("https://rth.dk/resources/bsgatlas/details.php?id=BSGatlas-transcript-3775","BSGatlas-transcript-3775")</f>
        <v>BSGatlas-transcript-3775</v>
      </c>
      <c r="B3776" s="1" t="s">
        <v>9925</v>
      </c>
      <c r="C3776" s="3">
        <v>3347025</v>
      </c>
      <c r="D3776" s="3">
        <v>3353938</v>
      </c>
      <c r="E3776" s="1" t="s">
        <v>13</v>
      </c>
      <c r="F3776" s="1">
        <v>4</v>
      </c>
      <c r="G3776" s="1">
        <v>32</v>
      </c>
      <c r="H3776" s="1">
        <v>27</v>
      </c>
      <c r="I3776" s="1" t="s">
        <v>4382</v>
      </c>
      <c r="J3776" s="1" t="s">
        <v>9917</v>
      </c>
      <c r="K3776" s="1" t="s">
        <v>9922</v>
      </c>
    </row>
    <row r="3777" spans="1:11" ht="21" x14ac:dyDescent="0.25">
      <c r="A3777" s="11" t="str">
        <f>HYPERLINK("https://rth.dk/resources/bsgatlas/details.php?id=BSGatlas-transcript-3776","BSGatlas-transcript-3776")</f>
        <v>BSGatlas-transcript-3776</v>
      </c>
      <c r="B3777" s="1" t="s">
        <v>9925</v>
      </c>
      <c r="C3777" s="3">
        <v>3347025</v>
      </c>
      <c r="D3777" s="3">
        <v>3354048</v>
      </c>
      <c r="E3777" s="1" t="s">
        <v>13</v>
      </c>
      <c r="F3777" s="1">
        <v>4</v>
      </c>
      <c r="G3777" s="1">
        <v>142</v>
      </c>
      <c r="H3777" s="1">
        <v>27</v>
      </c>
      <c r="I3777" s="1" t="s">
        <v>4382</v>
      </c>
      <c r="J3777" s="1" t="s">
        <v>9918</v>
      </c>
      <c r="K3777" s="1" t="s">
        <v>9922</v>
      </c>
    </row>
    <row r="3778" spans="1:11" ht="21" x14ac:dyDescent="0.25">
      <c r="A3778" s="11" t="str">
        <f>HYPERLINK("https://rth.dk/resources/bsgatlas/details.php?id=BSGatlas-transcript-3777","BSGatlas-transcript-3777")</f>
        <v>BSGatlas-transcript-3777</v>
      </c>
      <c r="B3778" s="1" t="s">
        <v>9925</v>
      </c>
      <c r="C3778" s="3">
        <v>3347025</v>
      </c>
      <c r="D3778" s="3">
        <v>3354356</v>
      </c>
      <c r="E3778" s="1" t="s">
        <v>13</v>
      </c>
      <c r="F3778" s="1">
        <v>4</v>
      </c>
      <c r="G3778" s="1">
        <v>450</v>
      </c>
      <c r="H3778" s="1">
        <v>27</v>
      </c>
      <c r="I3778" s="1" t="s">
        <v>4382</v>
      </c>
      <c r="J3778" s="1" t="s">
        <v>9919</v>
      </c>
      <c r="K3778" s="1" t="s">
        <v>9922</v>
      </c>
    </row>
    <row r="3779" spans="1:11" ht="21" x14ac:dyDescent="0.25">
      <c r="A3779" s="11" t="str">
        <f>HYPERLINK("https://rth.dk/resources/bsgatlas/details.php?id=BSGatlas-transcript-3778","BSGatlas-transcript-3778")</f>
        <v>BSGatlas-transcript-3778</v>
      </c>
      <c r="B3779" s="1" t="s">
        <v>3474</v>
      </c>
      <c r="C3779" s="3">
        <v>3351049</v>
      </c>
      <c r="D3779" s="3">
        <v>3352143</v>
      </c>
      <c r="E3779" s="1" t="s">
        <v>13</v>
      </c>
      <c r="F3779" s="1">
        <v>0</v>
      </c>
      <c r="G3779" s="1" t="s">
        <v>4372</v>
      </c>
      <c r="H3779" s="1" t="s">
        <v>4372</v>
      </c>
      <c r="I3779" s="1" t="s">
        <v>4386</v>
      </c>
      <c r="J3779" s="1" t="s">
        <v>9913</v>
      </c>
      <c r="K3779" s="1" t="s">
        <v>9926</v>
      </c>
    </row>
    <row r="3780" spans="1:11" ht="21" x14ac:dyDescent="0.25">
      <c r="A3780" s="11" t="str">
        <f>HYPERLINK("https://rth.dk/resources/bsgatlas/details.php?id=BSGatlas-transcript-3779","BSGatlas-transcript-3779")</f>
        <v>BSGatlas-transcript-3779</v>
      </c>
      <c r="B3780" s="1" t="s">
        <v>9927</v>
      </c>
      <c r="C3780" s="3">
        <v>3351049</v>
      </c>
      <c r="D3780" s="3">
        <v>3352750</v>
      </c>
      <c r="E3780" s="1" t="s">
        <v>13</v>
      </c>
      <c r="F3780" s="1">
        <v>1</v>
      </c>
      <c r="G3780" s="1">
        <v>65</v>
      </c>
      <c r="H3780" s="1">
        <v>62</v>
      </c>
      <c r="I3780" s="1" t="s">
        <v>4377</v>
      </c>
      <c r="J3780" s="1" t="s">
        <v>9915</v>
      </c>
      <c r="K3780" s="1" t="s">
        <v>9926</v>
      </c>
    </row>
    <row r="3781" spans="1:11" ht="21" x14ac:dyDescent="0.25">
      <c r="A3781" s="11" t="str">
        <f>HYPERLINK("https://rth.dk/resources/bsgatlas/details.php?id=BSGatlas-transcript-3780","BSGatlas-transcript-3780")</f>
        <v>BSGatlas-transcript-3780</v>
      </c>
      <c r="B3781" s="1" t="s">
        <v>9928</v>
      </c>
      <c r="C3781" s="3">
        <v>3351049</v>
      </c>
      <c r="D3781" s="3">
        <v>3353938</v>
      </c>
      <c r="E3781" s="1" t="s">
        <v>13</v>
      </c>
      <c r="F3781" s="1">
        <v>2</v>
      </c>
      <c r="G3781" s="1">
        <v>32</v>
      </c>
      <c r="H3781" s="1">
        <v>62</v>
      </c>
      <c r="I3781" s="1" t="s">
        <v>4377</v>
      </c>
      <c r="J3781" s="1" t="s">
        <v>9917</v>
      </c>
      <c r="K3781" s="1" t="s">
        <v>9926</v>
      </c>
    </row>
    <row r="3782" spans="1:11" ht="21" x14ac:dyDescent="0.25">
      <c r="A3782" s="11" t="str">
        <f>HYPERLINK("https://rth.dk/resources/bsgatlas/details.php?id=BSGatlas-transcript-3781","BSGatlas-transcript-3781")</f>
        <v>BSGatlas-transcript-3781</v>
      </c>
      <c r="B3782" s="1" t="s">
        <v>9928</v>
      </c>
      <c r="C3782" s="3">
        <v>3351049</v>
      </c>
      <c r="D3782" s="3">
        <v>3354048</v>
      </c>
      <c r="E3782" s="1" t="s">
        <v>13</v>
      </c>
      <c r="F3782" s="1">
        <v>2</v>
      </c>
      <c r="G3782" s="1">
        <v>142</v>
      </c>
      <c r="H3782" s="1">
        <v>62</v>
      </c>
      <c r="I3782" s="1" t="s">
        <v>4377</v>
      </c>
      <c r="J3782" s="1" t="s">
        <v>9918</v>
      </c>
      <c r="K3782" s="1" t="s">
        <v>9926</v>
      </c>
    </row>
    <row r="3783" spans="1:11" ht="21" x14ac:dyDescent="0.25">
      <c r="A3783" s="11" t="str">
        <f>HYPERLINK("https://rth.dk/resources/bsgatlas/details.php?id=BSGatlas-transcript-3782","BSGatlas-transcript-3782")</f>
        <v>BSGatlas-transcript-3782</v>
      </c>
      <c r="B3783" s="1" t="s">
        <v>9928</v>
      </c>
      <c r="C3783" s="3">
        <v>3351049</v>
      </c>
      <c r="D3783" s="3">
        <v>3354356</v>
      </c>
      <c r="E3783" s="1" t="s">
        <v>13</v>
      </c>
      <c r="F3783" s="1">
        <v>2</v>
      </c>
      <c r="G3783" s="1">
        <v>450</v>
      </c>
      <c r="H3783" s="1">
        <v>62</v>
      </c>
      <c r="I3783" s="1" t="s">
        <v>4377</v>
      </c>
      <c r="J3783" s="1" t="s">
        <v>9919</v>
      </c>
      <c r="K3783" s="1" t="s">
        <v>9926</v>
      </c>
    </row>
    <row r="3784" spans="1:11" ht="21" x14ac:dyDescent="0.25">
      <c r="A3784" s="11" t="str">
        <f>HYPERLINK("https://rth.dk/resources/bsgatlas/details.php?id=BSGatlas-transcript-3783","BSGatlas-transcript-3783")</f>
        <v>BSGatlas-transcript-3783</v>
      </c>
      <c r="B3784" s="1" t="s">
        <v>3475</v>
      </c>
      <c r="C3784" s="3">
        <v>3352288</v>
      </c>
      <c r="D3784" s="3">
        <v>3352750</v>
      </c>
      <c r="E3784" s="1" t="s">
        <v>13</v>
      </c>
      <c r="F3784" s="1">
        <v>0</v>
      </c>
      <c r="G3784" s="1" t="s">
        <v>4372</v>
      </c>
      <c r="H3784" s="1" t="s">
        <v>4372</v>
      </c>
      <c r="I3784" s="1" t="s">
        <v>4377</v>
      </c>
      <c r="J3784" s="1" t="s">
        <v>9915</v>
      </c>
      <c r="K3784" s="1" t="s">
        <v>9929</v>
      </c>
    </row>
    <row r="3785" spans="1:11" ht="21" x14ac:dyDescent="0.25">
      <c r="A3785" s="11" t="str">
        <f>HYPERLINK("https://rth.dk/resources/bsgatlas/details.php?id=BSGatlas-transcript-3784","BSGatlas-transcript-3784")</f>
        <v>BSGatlas-transcript-3784</v>
      </c>
      <c r="B3785" s="1" t="s">
        <v>9930</v>
      </c>
      <c r="C3785" s="3">
        <v>3352288</v>
      </c>
      <c r="D3785" s="3">
        <v>3353938</v>
      </c>
      <c r="E3785" s="1" t="s">
        <v>13</v>
      </c>
      <c r="F3785" s="1">
        <v>1</v>
      </c>
      <c r="G3785" s="1">
        <v>32</v>
      </c>
      <c r="H3785" s="1">
        <v>25</v>
      </c>
      <c r="I3785" s="1" t="s">
        <v>4386</v>
      </c>
      <c r="J3785" s="1" t="s">
        <v>9917</v>
      </c>
      <c r="K3785" s="1" t="s">
        <v>9929</v>
      </c>
    </row>
    <row r="3786" spans="1:11" ht="21" x14ac:dyDescent="0.25">
      <c r="A3786" s="11" t="str">
        <f>HYPERLINK("https://rth.dk/resources/bsgatlas/details.php?id=BSGatlas-transcript-3785","BSGatlas-transcript-3785")</f>
        <v>BSGatlas-transcript-3785</v>
      </c>
      <c r="B3786" s="1" t="s">
        <v>9930</v>
      </c>
      <c r="C3786" s="3">
        <v>3352288</v>
      </c>
      <c r="D3786" s="3">
        <v>3354048</v>
      </c>
      <c r="E3786" s="1" t="s">
        <v>13</v>
      </c>
      <c r="F3786" s="1">
        <v>1</v>
      </c>
      <c r="G3786" s="1">
        <v>142</v>
      </c>
      <c r="H3786" s="1">
        <v>25</v>
      </c>
      <c r="I3786" s="1" t="s">
        <v>4386</v>
      </c>
      <c r="J3786" s="1" t="s">
        <v>9918</v>
      </c>
      <c r="K3786" s="1" t="s">
        <v>9929</v>
      </c>
    </row>
    <row r="3787" spans="1:11" ht="21" x14ac:dyDescent="0.25">
      <c r="A3787" s="11" t="str">
        <f>HYPERLINK("https://rth.dk/resources/bsgatlas/details.php?id=BSGatlas-transcript-3786","BSGatlas-transcript-3786")</f>
        <v>BSGatlas-transcript-3786</v>
      </c>
      <c r="B3787" s="1" t="s">
        <v>9930</v>
      </c>
      <c r="C3787" s="3">
        <v>3352288</v>
      </c>
      <c r="D3787" s="3">
        <v>3354356</v>
      </c>
      <c r="E3787" s="1" t="s">
        <v>13</v>
      </c>
      <c r="F3787" s="1">
        <v>1</v>
      </c>
      <c r="G3787" s="1">
        <v>450</v>
      </c>
      <c r="H3787" s="1">
        <v>25</v>
      </c>
      <c r="I3787" s="1" t="s">
        <v>4386</v>
      </c>
      <c r="J3787" s="1" t="s">
        <v>9919</v>
      </c>
      <c r="K3787" s="1" t="s">
        <v>9929</v>
      </c>
    </row>
    <row r="3788" spans="1:11" ht="21" x14ac:dyDescent="0.25">
      <c r="A3788" s="11" t="str">
        <f>HYPERLINK("https://rth.dk/resources/bsgatlas/details.php?id=BSGatlas-transcript-3787","BSGatlas-transcript-3787")</f>
        <v>BSGatlas-transcript-3787</v>
      </c>
      <c r="B3788" s="1" t="s">
        <v>3478</v>
      </c>
      <c r="C3788" s="3">
        <v>3354043</v>
      </c>
      <c r="D3788" s="3">
        <v>3354212</v>
      </c>
      <c r="E3788" s="1" t="s">
        <v>9</v>
      </c>
      <c r="F3788" s="1">
        <v>0</v>
      </c>
      <c r="G3788" s="1" t="s">
        <v>4372</v>
      </c>
      <c r="H3788" s="1" t="s">
        <v>4372</v>
      </c>
      <c r="I3788" s="1" t="s">
        <v>4386</v>
      </c>
      <c r="J3788" s="1" t="s">
        <v>9931</v>
      </c>
      <c r="K3788" s="1" t="s">
        <v>318</v>
      </c>
    </row>
    <row r="3789" spans="1:11" ht="21" x14ac:dyDescent="0.25">
      <c r="A3789" s="11" t="str">
        <f>HYPERLINK("https://rth.dk/resources/bsgatlas/details.php?id=BSGatlas-transcript-3788","BSGatlas-transcript-3788")</f>
        <v>BSGatlas-transcript-3788</v>
      </c>
      <c r="B3789" s="1" t="s">
        <v>9932</v>
      </c>
      <c r="C3789" s="3">
        <v>3354043</v>
      </c>
      <c r="D3789" s="3">
        <v>3354527</v>
      </c>
      <c r="E3789" s="1" t="s">
        <v>9</v>
      </c>
      <c r="F3789" s="1">
        <v>0</v>
      </c>
      <c r="G3789" s="1" t="s">
        <v>4372</v>
      </c>
      <c r="H3789" s="1" t="s">
        <v>4372</v>
      </c>
      <c r="I3789" s="1" t="s">
        <v>4373</v>
      </c>
      <c r="J3789" s="1" t="s">
        <v>9931</v>
      </c>
      <c r="K3789" s="1" t="s">
        <v>9933</v>
      </c>
    </row>
    <row r="3790" spans="1:11" ht="21" x14ac:dyDescent="0.25">
      <c r="A3790" s="11" t="str">
        <f>HYPERLINK("https://rth.dk/resources/bsgatlas/details.php?id=BSGatlas-transcript-3789","BSGatlas-transcript-3789")</f>
        <v>BSGatlas-transcript-3789</v>
      </c>
      <c r="B3790" s="1" t="s">
        <v>9934</v>
      </c>
      <c r="C3790" s="3">
        <v>3354551</v>
      </c>
      <c r="D3790" s="3">
        <v>3355345</v>
      </c>
      <c r="E3790" s="1" t="s">
        <v>13</v>
      </c>
      <c r="F3790" s="1">
        <v>1</v>
      </c>
      <c r="G3790" s="1">
        <v>23</v>
      </c>
      <c r="H3790" s="1" t="s">
        <v>4372</v>
      </c>
      <c r="I3790" s="1" t="s">
        <v>4386</v>
      </c>
      <c r="J3790" s="1" t="s">
        <v>9935</v>
      </c>
      <c r="K3790" s="1" t="s">
        <v>318</v>
      </c>
    </row>
    <row r="3791" spans="1:11" ht="21" x14ac:dyDescent="0.25">
      <c r="A3791" s="11" t="str">
        <f>HYPERLINK("https://rth.dk/resources/bsgatlas/details.php?id=BSGatlas-transcript-3790","BSGatlas-transcript-3790")</f>
        <v>BSGatlas-transcript-3790</v>
      </c>
      <c r="B3791" s="1" t="s">
        <v>9936</v>
      </c>
      <c r="C3791" s="3">
        <v>3355507</v>
      </c>
      <c r="D3791" s="3">
        <v>3360825</v>
      </c>
      <c r="E3791" s="1" t="s">
        <v>13</v>
      </c>
      <c r="F3791" s="1">
        <v>2</v>
      </c>
      <c r="G3791" s="1">
        <v>46</v>
      </c>
      <c r="H3791" s="1">
        <v>87</v>
      </c>
      <c r="I3791" s="1" t="s">
        <v>4386</v>
      </c>
      <c r="J3791" s="1" t="s">
        <v>9937</v>
      </c>
      <c r="K3791" s="1" t="s">
        <v>9938</v>
      </c>
    </row>
    <row r="3792" spans="1:11" ht="21" x14ac:dyDescent="0.25">
      <c r="A3792" s="11" t="str">
        <f>HYPERLINK("https://rth.dk/resources/bsgatlas/details.php?id=BSGatlas-transcript-3791","BSGatlas-transcript-3791")</f>
        <v>BSGatlas-transcript-3791</v>
      </c>
      <c r="B3792" s="1" t="s">
        <v>9936</v>
      </c>
      <c r="C3792" s="3">
        <v>3355507</v>
      </c>
      <c r="D3792" s="3">
        <v>3360890</v>
      </c>
      <c r="E3792" s="1" t="s">
        <v>13</v>
      </c>
      <c r="F3792" s="1">
        <v>2</v>
      </c>
      <c r="G3792" s="1">
        <v>111</v>
      </c>
      <c r="H3792" s="1">
        <v>87</v>
      </c>
      <c r="I3792" s="1" t="s">
        <v>4386</v>
      </c>
      <c r="J3792" s="1" t="s">
        <v>9939</v>
      </c>
      <c r="K3792" s="1" t="s">
        <v>9938</v>
      </c>
    </row>
    <row r="3793" spans="1:11" ht="21" x14ac:dyDescent="0.25">
      <c r="A3793" s="11" t="str">
        <f>HYPERLINK("https://rth.dk/resources/bsgatlas/details.php?id=BSGatlas-transcript-3792","BSGatlas-transcript-3792")</f>
        <v>BSGatlas-transcript-3792</v>
      </c>
      <c r="B3793" s="1" t="s">
        <v>9940</v>
      </c>
      <c r="C3793" s="3">
        <v>3360937</v>
      </c>
      <c r="D3793" s="3">
        <v>3361184</v>
      </c>
      <c r="E3793" s="1" t="s">
        <v>13</v>
      </c>
      <c r="F3793" s="1">
        <v>0</v>
      </c>
      <c r="G3793" s="1" t="s">
        <v>4372</v>
      </c>
      <c r="H3793" s="1" t="s">
        <v>4372</v>
      </c>
      <c r="I3793" s="1" t="s">
        <v>4386</v>
      </c>
      <c r="J3793" s="1" t="s">
        <v>318</v>
      </c>
      <c r="K3793" s="1" t="s">
        <v>318</v>
      </c>
    </row>
    <row r="3794" spans="1:11" ht="21" x14ac:dyDescent="0.25">
      <c r="A3794" s="11" t="str">
        <f>HYPERLINK("https://rth.dk/resources/bsgatlas/details.php?id=BSGatlas-transcript-3793","BSGatlas-transcript-3793")</f>
        <v>BSGatlas-transcript-3793</v>
      </c>
      <c r="B3794" s="1" t="s">
        <v>9941</v>
      </c>
      <c r="C3794" s="3">
        <v>3360974</v>
      </c>
      <c r="D3794" s="3">
        <v>3361705</v>
      </c>
      <c r="E3794" s="1" t="s">
        <v>13</v>
      </c>
      <c r="F3794" s="1">
        <v>1</v>
      </c>
      <c r="G3794" s="1">
        <v>24</v>
      </c>
      <c r="H3794" s="1" t="s">
        <v>4372</v>
      </c>
      <c r="I3794" s="1" t="s">
        <v>4386</v>
      </c>
      <c r="J3794" s="1" t="s">
        <v>9942</v>
      </c>
      <c r="K3794" s="1" t="s">
        <v>318</v>
      </c>
    </row>
    <row r="3795" spans="1:11" ht="21" x14ac:dyDescent="0.25">
      <c r="A3795" s="11" t="str">
        <f>HYPERLINK("https://rth.dk/resources/bsgatlas/details.php?id=BSGatlas-transcript-3794","BSGatlas-transcript-3794")</f>
        <v>BSGatlas-transcript-3794</v>
      </c>
      <c r="B3795" s="1" t="s">
        <v>9943</v>
      </c>
      <c r="C3795" s="3">
        <v>3361767</v>
      </c>
      <c r="D3795" s="3">
        <v>3364542</v>
      </c>
      <c r="E3795" s="1" t="s">
        <v>13</v>
      </c>
      <c r="F3795" s="1">
        <v>0</v>
      </c>
      <c r="G3795" s="1" t="s">
        <v>4372</v>
      </c>
      <c r="H3795" s="1" t="s">
        <v>4372</v>
      </c>
      <c r="I3795" s="1" t="s">
        <v>4386</v>
      </c>
      <c r="J3795" s="1" t="s">
        <v>9944</v>
      </c>
      <c r="K3795" s="1" t="s">
        <v>9945</v>
      </c>
    </row>
    <row r="3796" spans="1:11" ht="21" x14ac:dyDescent="0.25">
      <c r="A3796" s="11" t="str">
        <f>HYPERLINK("https://rth.dk/resources/bsgatlas/details.php?id=BSGatlas-transcript-3795","BSGatlas-transcript-3795")</f>
        <v>BSGatlas-transcript-3795</v>
      </c>
      <c r="B3796" s="1" t="s">
        <v>9943</v>
      </c>
      <c r="C3796" s="3">
        <v>3361767</v>
      </c>
      <c r="D3796" s="3">
        <v>3364542</v>
      </c>
      <c r="E3796" s="1" t="s">
        <v>13</v>
      </c>
      <c r="F3796" s="1">
        <v>0</v>
      </c>
      <c r="G3796" s="1" t="s">
        <v>4372</v>
      </c>
      <c r="H3796" s="1" t="s">
        <v>4372</v>
      </c>
      <c r="I3796" s="1" t="s">
        <v>4386</v>
      </c>
      <c r="J3796" s="1" t="s">
        <v>9944</v>
      </c>
      <c r="K3796" s="1" t="s">
        <v>9946</v>
      </c>
    </row>
    <row r="3797" spans="1:11" ht="21" x14ac:dyDescent="0.25">
      <c r="A3797" s="11" t="str">
        <f>HYPERLINK("https://rth.dk/resources/bsgatlas/details.php?id=BSGatlas-transcript-3796","BSGatlas-transcript-3796")</f>
        <v>BSGatlas-transcript-3796</v>
      </c>
      <c r="B3797" s="1" t="s">
        <v>3493</v>
      </c>
      <c r="C3797" s="3">
        <v>3364351</v>
      </c>
      <c r="D3797" s="3">
        <v>3364503</v>
      </c>
      <c r="E3797" s="1" t="s">
        <v>13</v>
      </c>
      <c r="F3797" s="1">
        <v>0</v>
      </c>
      <c r="G3797" s="1" t="s">
        <v>4372</v>
      </c>
      <c r="H3797" s="1" t="s">
        <v>4372</v>
      </c>
      <c r="I3797" s="1" t="s">
        <v>4377</v>
      </c>
      <c r="J3797" s="1" t="s">
        <v>318</v>
      </c>
      <c r="K3797" s="1" t="s">
        <v>9947</v>
      </c>
    </row>
    <row r="3798" spans="1:11" ht="21" x14ac:dyDescent="0.25">
      <c r="A3798" s="11" t="str">
        <f>HYPERLINK("https://rth.dk/resources/bsgatlas/details.php?id=BSGatlas-transcript-3797","BSGatlas-transcript-3797")</f>
        <v>BSGatlas-transcript-3797</v>
      </c>
      <c r="B3798" s="1" t="s">
        <v>9948</v>
      </c>
      <c r="C3798" s="3">
        <v>3364618</v>
      </c>
      <c r="D3798" s="3">
        <v>3365389</v>
      </c>
      <c r="E3798" s="1" t="s">
        <v>13</v>
      </c>
      <c r="F3798" s="1">
        <v>1</v>
      </c>
      <c r="G3798" s="1" t="s">
        <v>4372</v>
      </c>
      <c r="H3798" s="1" t="s">
        <v>4372</v>
      </c>
      <c r="I3798" s="1" t="s">
        <v>4397</v>
      </c>
      <c r="J3798" s="1" t="s">
        <v>318</v>
      </c>
      <c r="K3798" s="1" t="s">
        <v>318</v>
      </c>
    </row>
    <row r="3799" spans="1:11" ht="21" x14ac:dyDescent="0.25">
      <c r="A3799" s="11" t="str">
        <f>HYPERLINK("https://rth.dk/resources/bsgatlas/details.php?id=BSGatlas-transcript-3798","BSGatlas-transcript-3798")</f>
        <v>BSGatlas-transcript-3798</v>
      </c>
      <c r="B3799" s="1" t="s">
        <v>3496</v>
      </c>
      <c r="C3799" s="3">
        <v>3365831</v>
      </c>
      <c r="D3799" s="3">
        <v>3366082</v>
      </c>
      <c r="E3799" s="1" t="s">
        <v>13</v>
      </c>
      <c r="F3799" s="1">
        <v>0</v>
      </c>
      <c r="G3799" s="1" t="s">
        <v>4372</v>
      </c>
      <c r="H3799" s="1" t="s">
        <v>4372</v>
      </c>
      <c r="I3799" s="1" t="s">
        <v>4386</v>
      </c>
      <c r="J3799" s="1" t="s">
        <v>9949</v>
      </c>
      <c r="K3799" s="1" t="s">
        <v>9950</v>
      </c>
    </row>
    <row r="3800" spans="1:11" ht="21" x14ac:dyDescent="0.25">
      <c r="A3800" s="11" t="str">
        <f>HYPERLINK("https://rth.dk/resources/bsgatlas/details.php?id=BSGatlas-transcript-3799","BSGatlas-transcript-3799")</f>
        <v>BSGatlas-transcript-3799</v>
      </c>
      <c r="B3800" s="1" t="s">
        <v>9951</v>
      </c>
      <c r="C3800" s="3">
        <v>3365831</v>
      </c>
      <c r="D3800" s="3">
        <v>3366544</v>
      </c>
      <c r="E3800" s="1" t="s">
        <v>13</v>
      </c>
      <c r="F3800" s="1">
        <v>1</v>
      </c>
      <c r="G3800" s="1">
        <v>39</v>
      </c>
      <c r="H3800" s="1" t="s">
        <v>4372</v>
      </c>
      <c r="I3800" s="1" t="s">
        <v>4386</v>
      </c>
      <c r="J3800" s="1" t="s">
        <v>9952</v>
      </c>
      <c r="K3800" s="1" t="s">
        <v>9950</v>
      </c>
    </row>
    <row r="3801" spans="1:11" ht="21" x14ac:dyDescent="0.25">
      <c r="A3801" s="11" t="str">
        <f>HYPERLINK("https://rth.dk/resources/bsgatlas/details.php?id=BSGatlas-transcript-3800","BSGatlas-transcript-3800")</f>
        <v>BSGatlas-transcript-3800</v>
      </c>
      <c r="B3801" s="1" t="s">
        <v>9953</v>
      </c>
      <c r="C3801" s="3">
        <v>3365831</v>
      </c>
      <c r="D3801" s="3">
        <v>3366962</v>
      </c>
      <c r="E3801" s="1" t="s">
        <v>13</v>
      </c>
      <c r="F3801" s="1">
        <v>2</v>
      </c>
      <c r="G3801" s="1">
        <v>34</v>
      </c>
      <c r="H3801" s="1" t="s">
        <v>4372</v>
      </c>
      <c r="I3801" s="1" t="s">
        <v>4386</v>
      </c>
      <c r="J3801" s="1" t="s">
        <v>9954</v>
      </c>
      <c r="K3801" s="1" t="s">
        <v>9950</v>
      </c>
    </row>
    <row r="3802" spans="1:11" ht="21" x14ac:dyDescent="0.25">
      <c r="A3802" s="11" t="str">
        <f>HYPERLINK("https://rth.dk/resources/bsgatlas/details.php?id=BSGatlas-transcript-3801","BSGatlas-transcript-3801")</f>
        <v>BSGatlas-transcript-3801</v>
      </c>
      <c r="B3802" s="1" t="s">
        <v>9955</v>
      </c>
      <c r="C3802" s="3">
        <v>3366995</v>
      </c>
      <c r="D3802" s="3">
        <v>3372465</v>
      </c>
      <c r="E3802" s="1" t="s">
        <v>13</v>
      </c>
      <c r="F3802" s="1">
        <v>0</v>
      </c>
      <c r="G3802" s="1" t="s">
        <v>4372</v>
      </c>
      <c r="H3802" s="1" t="s">
        <v>4372</v>
      </c>
      <c r="I3802" s="1" t="s">
        <v>4386</v>
      </c>
      <c r="J3802" s="1" t="s">
        <v>9956</v>
      </c>
      <c r="K3802" s="1" t="s">
        <v>9957</v>
      </c>
    </row>
    <row r="3803" spans="1:11" ht="21" x14ac:dyDescent="0.25">
      <c r="A3803" s="11" t="str">
        <f>HYPERLINK("https://rth.dk/resources/bsgatlas/details.php?id=BSGatlas-transcript-3802","BSGatlas-transcript-3802")</f>
        <v>BSGatlas-transcript-3802</v>
      </c>
      <c r="B3803" s="1" t="s">
        <v>9958</v>
      </c>
      <c r="C3803" s="3">
        <v>3366995</v>
      </c>
      <c r="D3803" s="3">
        <v>3374171</v>
      </c>
      <c r="E3803" s="1" t="s">
        <v>13</v>
      </c>
      <c r="F3803" s="1">
        <v>1</v>
      </c>
      <c r="G3803" s="1">
        <v>524</v>
      </c>
      <c r="H3803" s="1">
        <v>46</v>
      </c>
      <c r="I3803" s="1" t="s">
        <v>4373</v>
      </c>
      <c r="J3803" s="1" t="s">
        <v>9959</v>
      </c>
      <c r="K3803" s="1" t="s">
        <v>9957</v>
      </c>
    </row>
    <row r="3804" spans="1:11" ht="21" x14ac:dyDescent="0.25">
      <c r="A3804" s="11" t="str">
        <f>HYPERLINK("https://rth.dk/resources/bsgatlas/details.php?id=BSGatlas-transcript-3803","BSGatlas-transcript-3803")</f>
        <v>BSGatlas-transcript-3803</v>
      </c>
      <c r="B3804" s="1" t="s">
        <v>3503</v>
      </c>
      <c r="C3804" s="3">
        <v>3371836</v>
      </c>
      <c r="D3804" s="3">
        <v>3372715</v>
      </c>
      <c r="E3804" s="1" t="s">
        <v>9</v>
      </c>
      <c r="F3804" s="1">
        <v>0</v>
      </c>
      <c r="G3804" s="1" t="s">
        <v>4372</v>
      </c>
      <c r="H3804" s="1" t="s">
        <v>4372</v>
      </c>
      <c r="I3804" s="1" t="s">
        <v>4397</v>
      </c>
      <c r="J3804" s="1" t="s">
        <v>9960</v>
      </c>
      <c r="K3804" s="1" t="s">
        <v>318</v>
      </c>
    </row>
    <row r="3805" spans="1:11" ht="21" x14ac:dyDescent="0.25">
      <c r="A3805" s="11" t="str">
        <f>HYPERLINK("https://rth.dk/resources/bsgatlas/details.php?id=BSGatlas-transcript-3804","BSGatlas-transcript-3804")</f>
        <v>BSGatlas-transcript-3804</v>
      </c>
      <c r="B3805" s="1" t="s">
        <v>3503</v>
      </c>
      <c r="C3805" s="3">
        <v>3372569</v>
      </c>
      <c r="D3805" s="3">
        <v>3372715</v>
      </c>
      <c r="E3805" s="1" t="s">
        <v>9</v>
      </c>
      <c r="F3805" s="1">
        <v>0</v>
      </c>
      <c r="G3805" s="1" t="s">
        <v>4372</v>
      </c>
      <c r="H3805" s="1" t="s">
        <v>4372</v>
      </c>
      <c r="I3805" s="1" t="s">
        <v>4397</v>
      </c>
      <c r="J3805" s="1" t="s">
        <v>9961</v>
      </c>
      <c r="K3805" s="1" t="s">
        <v>318</v>
      </c>
    </row>
    <row r="3806" spans="1:11" ht="21" x14ac:dyDescent="0.25">
      <c r="A3806" s="11" t="str">
        <f>HYPERLINK("https://rth.dk/resources/bsgatlas/details.php?id=BSGatlas-transcript-3805","BSGatlas-transcript-3805")</f>
        <v>BSGatlas-transcript-3805</v>
      </c>
      <c r="B3806" s="1" t="s">
        <v>9962</v>
      </c>
      <c r="C3806" s="3">
        <v>3373743</v>
      </c>
      <c r="D3806" s="3">
        <v>3374333</v>
      </c>
      <c r="E3806" s="1" t="s">
        <v>9</v>
      </c>
      <c r="F3806" s="1">
        <v>0</v>
      </c>
      <c r="G3806" s="1" t="s">
        <v>4372</v>
      </c>
      <c r="H3806" s="1" t="s">
        <v>4372</v>
      </c>
      <c r="I3806" s="1" t="s">
        <v>4386</v>
      </c>
      <c r="J3806" s="1" t="s">
        <v>318</v>
      </c>
      <c r="K3806" s="1" t="s">
        <v>9963</v>
      </c>
    </row>
    <row r="3807" spans="1:11" ht="21" x14ac:dyDescent="0.25">
      <c r="A3807" s="11" t="str">
        <f>HYPERLINK("https://rth.dk/resources/bsgatlas/details.php?id=BSGatlas-transcript-3806","BSGatlas-transcript-3806")</f>
        <v>BSGatlas-transcript-3806</v>
      </c>
      <c r="B3807" s="1" t="s">
        <v>9964</v>
      </c>
      <c r="C3807" s="3">
        <v>3374426</v>
      </c>
      <c r="D3807" s="3">
        <v>3376581</v>
      </c>
      <c r="E3807" s="1" t="s">
        <v>9</v>
      </c>
      <c r="F3807" s="1">
        <v>0</v>
      </c>
      <c r="G3807" s="1" t="s">
        <v>4372</v>
      </c>
      <c r="H3807" s="1" t="s">
        <v>4372</v>
      </c>
      <c r="I3807" s="1" t="s">
        <v>4386</v>
      </c>
      <c r="J3807" s="1" t="s">
        <v>9965</v>
      </c>
      <c r="K3807" s="1" t="s">
        <v>9966</v>
      </c>
    </row>
    <row r="3808" spans="1:11" ht="21" x14ac:dyDescent="0.25">
      <c r="A3808" s="11" t="str">
        <f>HYPERLINK("https://rth.dk/resources/bsgatlas/details.php?id=BSGatlas-transcript-3807","BSGatlas-transcript-3807")</f>
        <v>BSGatlas-transcript-3807</v>
      </c>
      <c r="B3808" s="1" t="s">
        <v>9967</v>
      </c>
      <c r="C3808" s="3">
        <v>3376617</v>
      </c>
      <c r="D3808" s="3">
        <v>3377808</v>
      </c>
      <c r="E3808" s="1" t="s">
        <v>13</v>
      </c>
      <c r="F3808" s="1">
        <v>2</v>
      </c>
      <c r="G3808" s="1">
        <v>50</v>
      </c>
      <c r="H3808" s="1" t="s">
        <v>4372</v>
      </c>
      <c r="I3808" s="1" t="s">
        <v>4386</v>
      </c>
      <c r="J3808" s="1" t="s">
        <v>9968</v>
      </c>
      <c r="K3808" s="1" t="s">
        <v>318</v>
      </c>
    </row>
    <row r="3809" spans="1:11" ht="21" x14ac:dyDescent="0.25">
      <c r="A3809" s="11" t="str">
        <f>HYPERLINK("https://rth.dk/resources/bsgatlas/details.php?id=BSGatlas-transcript-3808","BSGatlas-transcript-3808")</f>
        <v>BSGatlas-transcript-3808</v>
      </c>
      <c r="B3809" s="1" t="s">
        <v>3511</v>
      </c>
      <c r="C3809" s="3">
        <v>3377833</v>
      </c>
      <c r="D3809" s="3">
        <v>3378780</v>
      </c>
      <c r="E3809" s="1" t="s">
        <v>9</v>
      </c>
      <c r="F3809" s="1">
        <v>0</v>
      </c>
      <c r="G3809" s="1" t="s">
        <v>4372</v>
      </c>
      <c r="H3809" s="1" t="s">
        <v>4372</v>
      </c>
      <c r="I3809" s="1" t="s">
        <v>4397</v>
      </c>
      <c r="J3809" s="1" t="s">
        <v>9969</v>
      </c>
      <c r="K3809" s="1" t="s">
        <v>318</v>
      </c>
    </row>
    <row r="3810" spans="1:11" ht="21" x14ac:dyDescent="0.25">
      <c r="A3810" s="11" t="str">
        <f>HYPERLINK("https://rth.dk/resources/bsgatlas/details.php?id=BSGatlas-transcript-3809","BSGatlas-transcript-3809")</f>
        <v>BSGatlas-transcript-3809</v>
      </c>
      <c r="B3810" s="1" t="s">
        <v>9970</v>
      </c>
      <c r="C3810" s="3">
        <v>3378800</v>
      </c>
      <c r="D3810" s="3">
        <v>3380077</v>
      </c>
      <c r="E3810" s="1" t="s">
        <v>13</v>
      </c>
      <c r="F3810" s="1">
        <v>1</v>
      </c>
      <c r="G3810" s="1">
        <v>139</v>
      </c>
      <c r="H3810" s="1" t="s">
        <v>4372</v>
      </c>
      <c r="I3810" s="1" t="s">
        <v>4386</v>
      </c>
      <c r="J3810" s="1" t="s">
        <v>9971</v>
      </c>
      <c r="K3810" s="1" t="s">
        <v>9972</v>
      </c>
    </row>
    <row r="3811" spans="1:11" ht="21" x14ac:dyDescent="0.25">
      <c r="A3811" s="11" t="str">
        <f>HYPERLINK("https://rth.dk/resources/bsgatlas/details.php?id=BSGatlas-transcript-3810","BSGatlas-transcript-3810")</f>
        <v>BSGatlas-transcript-3810</v>
      </c>
      <c r="B3811" s="1" t="s">
        <v>3513</v>
      </c>
      <c r="C3811" s="3">
        <v>3379054</v>
      </c>
      <c r="D3811" s="3">
        <v>3380077</v>
      </c>
      <c r="E3811" s="1" t="s">
        <v>13</v>
      </c>
      <c r="F3811" s="1">
        <v>0</v>
      </c>
      <c r="G3811" s="1" t="s">
        <v>4372</v>
      </c>
      <c r="H3811" s="1" t="s">
        <v>4372</v>
      </c>
      <c r="I3811" s="1" t="s">
        <v>4382</v>
      </c>
      <c r="J3811" s="1" t="s">
        <v>9971</v>
      </c>
      <c r="K3811" s="1" t="s">
        <v>9973</v>
      </c>
    </row>
    <row r="3812" spans="1:11" ht="21" x14ac:dyDescent="0.25">
      <c r="A3812" s="11" t="str">
        <f>HYPERLINK("https://rth.dk/resources/bsgatlas/details.php?id=BSGatlas-transcript-3811","BSGatlas-transcript-3811")</f>
        <v>BSGatlas-transcript-3811</v>
      </c>
      <c r="B3812" s="1" t="s">
        <v>3514</v>
      </c>
      <c r="C3812" s="3">
        <v>3380157</v>
      </c>
      <c r="D3812" s="3">
        <v>3380624</v>
      </c>
      <c r="E3812" s="1" t="s">
        <v>13</v>
      </c>
      <c r="F3812" s="1">
        <v>0</v>
      </c>
      <c r="G3812" s="1" t="s">
        <v>4372</v>
      </c>
      <c r="H3812" s="1" t="s">
        <v>4372</v>
      </c>
      <c r="I3812" s="1" t="s">
        <v>4386</v>
      </c>
      <c r="J3812" s="1" t="s">
        <v>9974</v>
      </c>
      <c r="K3812" s="1" t="s">
        <v>318</v>
      </c>
    </row>
    <row r="3813" spans="1:11" ht="21" x14ac:dyDescent="0.25">
      <c r="A3813" s="11" t="str">
        <f>HYPERLINK("https://rth.dk/resources/bsgatlas/details.php?id=BSGatlas-transcript-3812","BSGatlas-transcript-3812")</f>
        <v>BSGatlas-transcript-3812</v>
      </c>
      <c r="B3813" s="1" t="s">
        <v>9975</v>
      </c>
      <c r="C3813" s="3">
        <v>3380704</v>
      </c>
      <c r="D3813" s="3">
        <v>3382538</v>
      </c>
      <c r="E3813" s="1" t="s">
        <v>13</v>
      </c>
      <c r="F3813" s="1">
        <v>0</v>
      </c>
      <c r="G3813" s="1" t="s">
        <v>4372</v>
      </c>
      <c r="H3813" s="1" t="s">
        <v>4372</v>
      </c>
      <c r="I3813" s="1" t="s">
        <v>4386</v>
      </c>
      <c r="J3813" s="1" t="s">
        <v>9976</v>
      </c>
      <c r="K3813" s="1" t="s">
        <v>9977</v>
      </c>
    </row>
    <row r="3814" spans="1:11" ht="21" x14ac:dyDescent="0.25">
      <c r="A3814" s="11" t="str">
        <f>HYPERLINK("https://rth.dk/resources/bsgatlas/details.php?id=BSGatlas-transcript-3813","BSGatlas-transcript-3813")</f>
        <v>BSGatlas-transcript-3813</v>
      </c>
      <c r="B3814" s="1" t="s">
        <v>9978</v>
      </c>
      <c r="C3814" s="3">
        <v>3382593</v>
      </c>
      <c r="D3814" s="3">
        <v>3384026</v>
      </c>
      <c r="E3814" s="1" t="s">
        <v>9</v>
      </c>
      <c r="F3814" s="1">
        <v>1</v>
      </c>
      <c r="G3814" s="1">
        <v>41</v>
      </c>
      <c r="H3814" s="1" t="s">
        <v>4372</v>
      </c>
      <c r="I3814" s="1" t="s">
        <v>4386</v>
      </c>
      <c r="J3814" s="1" t="s">
        <v>9979</v>
      </c>
      <c r="K3814" s="1" t="s">
        <v>9980</v>
      </c>
    </row>
    <row r="3815" spans="1:11" ht="21" x14ac:dyDescent="0.25">
      <c r="A3815" s="11" t="str">
        <f>HYPERLINK("https://rth.dk/resources/bsgatlas/details.php?id=BSGatlas-transcript-3814","BSGatlas-transcript-3814")</f>
        <v>BSGatlas-transcript-3814</v>
      </c>
      <c r="B3815" s="1" t="s">
        <v>9978</v>
      </c>
      <c r="C3815" s="3">
        <v>3382593</v>
      </c>
      <c r="D3815" s="3">
        <v>3384071</v>
      </c>
      <c r="E3815" s="1" t="s">
        <v>9</v>
      </c>
      <c r="F3815" s="1">
        <v>1</v>
      </c>
      <c r="G3815" s="1">
        <v>41</v>
      </c>
      <c r="H3815" s="1">
        <v>46</v>
      </c>
      <c r="I3815" s="1" t="s">
        <v>4386</v>
      </c>
      <c r="J3815" s="1" t="s">
        <v>9979</v>
      </c>
      <c r="K3815" s="1" t="s">
        <v>9981</v>
      </c>
    </row>
    <row r="3816" spans="1:11" ht="21" x14ac:dyDescent="0.25">
      <c r="A3816" s="11" t="str">
        <f>HYPERLINK("https://rth.dk/resources/bsgatlas/details.php?id=BSGatlas-transcript-3815","BSGatlas-transcript-3815")</f>
        <v>BSGatlas-transcript-3815</v>
      </c>
      <c r="B3816" s="1" t="s">
        <v>9978</v>
      </c>
      <c r="C3816" s="3">
        <v>3382633</v>
      </c>
      <c r="D3816" s="3">
        <v>3384026</v>
      </c>
      <c r="E3816" s="1" t="s">
        <v>9</v>
      </c>
      <c r="F3816" s="1">
        <v>1</v>
      </c>
      <c r="G3816" s="1" t="s">
        <v>4372</v>
      </c>
      <c r="H3816" s="1" t="s">
        <v>4372</v>
      </c>
      <c r="I3816" s="1" t="s">
        <v>4386</v>
      </c>
      <c r="J3816" s="1" t="s">
        <v>9982</v>
      </c>
      <c r="K3816" s="1" t="s">
        <v>9980</v>
      </c>
    </row>
    <row r="3817" spans="1:11" ht="21" x14ac:dyDescent="0.25">
      <c r="A3817" s="11" t="str">
        <f>HYPERLINK("https://rth.dk/resources/bsgatlas/details.php?id=BSGatlas-transcript-3816","BSGatlas-transcript-3816")</f>
        <v>BSGatlas-transcript-3816</v>
      </c>
      <c r="B3817" s="1" t="s">
        <v>9978</v>
      </c>
      <c r="C3817" s="3">
        <v>3382633</v>
      </c>
      <c r="D3817" s="3">
        <v>3384071</v>
      </c>
      <c r="E3817" s="1" t="s">
        <v>9</v>
      </c>
      <c r="F3817" s="1">
        <v>1</v>
      </c>
      <c r="G3817" s="1" t="s">
        <v>4372</v>
      </c>
      <c r="H3817" s="1">
        <v>46</v>
      </c>
      <c r="I3817" s="1" t="s">
        <v>4386</v>
      </c>
      <c r="J3817" s="1" t="s">
        <v>9982</v>
      </c>
      <c r="K3817" s="1" t="s">
        <v>9981</v>
      </c>
    </row>
    <row r="3818" spans="1:11" ht="21" x14ac:dyDescent="0.25">
      <c r="A3818" s="11" t="str">
        <f>HYPERLINK("https://rth.dk/resources/bsgatlas/details.php?id=BSGatlas-transcript-3817","BSGatlas-transcript-3817")</f>
        <v>BSGatlas-transcript-3817</v>
      </c>
      <c r="B3818" s="1" t="s">
        <v>3518</v>
      </c>
      <c r="C3818" s="3">
        <v>3383537</v>
      </c>
      <c r="D3818" s="3">
        <v>3384026</v>
      </c>
      <c r="E3818" s="1" t="s">
        <v>9</v>
      </c>
      <c r="F3818" s="1">
        <v>0</v>
      </c>
      <c r="G3818" s="1" t="s">
        <v>4372</v>
      </c>
      <c r="H3818" s="1" t="s">
        <v>4372</v>
      </c>
      <c r="I3818" s="1" t="s">
        <v>4373</v>
      </c>
      <c r="J3818" s="1" t="s">
        <v>9983</v>
      </c>
      <c r="K3818" s="1" t="s">
        <v>9980</v>
      </c>
    </row>
    <row r="3819" spans="1:11" ht="21" x14ac:dyDescent="0.25">
      <c r="A3819" s="11" t="str">
        <f>HYPERLINK("https://rth.dk/resources/bsgatlas/details.php?id=BSGatlas-transcript-3818","BSGatlas-transcript-3818")</f>
        <v>BSGatlas-transcript-3818</v>
      </c>
      <c r="B3819" s="1" t="s">
        <v>3518</v>
      </c>
      <c r="C3819" s="3">
        <v>3383537</v>
      </c>
      <c r="D3819" s="3">
        <v>3384071</v>
      </c>
      <c r="E3819" s="1" t="s">
        <v>9</v>
      </c>
      <c r="F3819" s="1">
        <v>0</v>
      </c>
      <c r="G3819" s="1" t="s">
        <v>4372</v>
      </c>
      <c r="H3819" s="1" t="s">
        <v>4372</v>
      </c>
      <c r="I3819" s="1" t="s">
        <v>4373</v>
      </c>
      <c r="J3819" s="1" t="s">
        <v>9983</v>
      </c>
      <c r="K3819" s="1" t="s">
        <v>9981</v>
      </c>
    </row>
    <row r="3820" spans="1:11" ht="21" x14ac:dyDescent="0.25">
      <c r="A3820" s="11" t="str">
        <f>HYPERLINK("https://rth.dk/resources/bsgatlas/details.php?id=BSGatlas-transcript-3819","BSGatlas-transcript-3819")</f>
        <v>BSGatlas-transcript-3819</v>
      </c>
      <c r="B3820" s="1" t="s">
        <v>3519</v>
      </c>
      <c r="C3820" s="3">
        <v>3384019</v>
      </c>
      <c r="D3820" s="3">
        <v>3385618</v>
      </c>
      <c r="E3820" s="1" t="s">
        <v>13</v>
      </c>
      <c r="F3820" s="1">
        <v>0</v>
      </c>
      <c r="G3820" s="1" t="s">
        <v>4372</v>
      </c>
      <c r="H3820" s="1" t="s">
        <v>4372</v>
      </c>
      <c r="I3820" s="1" t="s">
        <v>4373</v>
      </c>
      <c r="J3820" s="1" t="s">
        <v>9984</v>
      </c>
      <c r="K3820" s="1" t="s">
        <v>9985</v>
      </c>
    </row>
    <row r="3821" spans="1:11" ht="21" x14ac:dyDescent="0.25">
      <c r="A3821" s="11" t="str">
        <f>HYPERLINK("https://rth.dk/resources/bsgatlas/details.php?id=BSGatlas-transcript-3820","BSGatlas-transcript-3820")</f>
        <v>BSGatlas-transcript-3820</v>
      </c>
      <c r="B3821" s="1" t="s">
        <v>3519</v>
      </c>
      <c r="C3821" s="3">
        <v>3384019</v>
      </c>
      <c r="D3821" s="3">
        <v>3385697</v>
      </c>
      <c r="E3821" s="1" t="s">
        <v>13</v>
      </c>
      <c r="F3821" s="1">
        <v>0</v>
      </c>
      <c r="G3821" s="1" t="s">
        <v>4372</v>
      </c>
      <c r="H3821" s="1" t="s">
        <v>4372</v>
      </c>
      <c r="I3821" s="1" t="s">
        <v>4373</v>
      </c>
      <c r="J3821" s="1" t="s">
        <v>9986</v>
      </c>
      <c r="K3821" s="1" t="s">
        <v>9985</v>
      </c>
    </row>
    <row r="3822" spans="1:11" ht="21" x14ac:dyDescent="0.25">
      <c r="A3822" s="11" t="str">
        <f>HYPERLINK("https://rth.dk/resources/bsgatlas/details.php?id=BSGatlas-transcript-3821","BSGatlas-transcript-3821")</f>
        <v>BSGatlas-transcript-3821</v>
      </c>
      <c r="B3822" s="1" t="s">
        <v>9987</v>
      </c>
      <c r="C3822" s="3">
        <v>3385625</v>
      </c>
      <c r="D3822" s="3">
        <v>3387753</v>
      </c>
      <c r="E3822" s="1" t="s">
        <v>9</v>
      </c>
      <c r="F3822" s="1">
        <v>0</v>
      </c>
      <c r="G3822" s="1" t="s">
        <v>4372</v>
      </c>
      <c r="H3822" s="1" t="s">
        <v>4372</v>
      </c>
      <c r="I3822" s="1" t="s">
        <v>4373</v>
      </c>
      <c r="J3822" s="1" t="s">
        <v>9988</v>
      </c>
      <c r="K3822" s="1" t="s">
        <v>9989</v>
      </c>
    </row>
    <row r="3823" spans="1:11" ht="21" x14ac:dyDescent="0.25">
      <c r="A3823" s="11" t="str">
        <f>HYPERLINK("https://rth.dk/resources/bsgatlas/details.php?id=BSGatlas-transcript-3822","BSGatlas-transcript-3822")</f>
        <v>BSGatlas-transcript-3822</v>
      </c>
      <c r="B3823" s="1" t="s">
        <v>9987</v>
      </c>
      <c r="C3823" s="3">
        <v>3385625</v>
      </c>
      <c r="D3823" s="3">
        <v>3387790</v>
      </c>
      <c r="E3823" s="1" t="s">
        <v>9</v>
      </c>
      <c r="F3823" s="1">
        <v>0</v>
      </c>
      <c r="G3823" s="1" t="s">
        <v>4372</v>
      </c>
      <c r="H3823" s="1" t="s">
        <v>4372</v>
      </c>
      <c r="I3823" s="1" t="s">
        <v>4373</v>
      </c>
      <c r="J3823" s="1" t="s">
        <v>9988</v>
      </c>
      <c r="K3823" s="1" t="s">
        <v>9990</v>
      </c>
    </row>
    <row r="3824" spans="1:11" ht="21" x14ac:dyDescent="0.25">
      <c r="A3824" s="11" t="str">
        <f>HYPERLINK("https://rth.dk/resources/bsgatlas/details.php?id=BSGatlas-transcript-3823","BSGatlas-transcript-3823")</f>
        <v>BSGatlas-transcript-3823</v>
      </c>
      <c r="B3824" s="1" t="s">
        <v>9987</v>
      </c>
      <c r="C3824" s="3">
        <v>3385706</v>
      </c>
      <c r="D3824" s="3">
        <v>3387753</v>
      </c>
      <c r="E3824" s="1" t="s">
        <v>9</v>
      </c>
      <c r="F3824" s="1">
        <v>0</v>
      </c>
      <c r="G3824" s="1" t="s">
        <v>4372</v>
      </c>
      <c r="H3824" s="1" t="s">
        <v>4372</v>
      </c>
      <c r="I3824" s="1" t="s">
        <v>4373</v>
      </c>
      <c r="J3824" s="1" t="s">
        <v>9991</v>
      </c>
      <c r="K3824" s="1" t="s">
        <v>9989</v>
      </c>
    </row>
    <row r="3825" spans="1:11" ht="21" x14ac:dyDescent="0.25">
      <c r="A3825" s="11" t="str">
        <f>HYPERLINK("https://rth.dk/resources/bsgatlas/details.php?id=BSGatlas-transcript-3824","BSGatlas-transcript-3824")</f>
        <v>BSGatlas-transcript-3824</v>
      </c>
      <c r="B3825" s="1" t="s">
        <v>9987</v>
      </c>
      <c r="C3825" s="3">
        <v>3385706</v>
      </c>
      <c r="D3825" s="3">
        <v>3387790</v>
      </c>
      <c r="E3825" s="1" t="s">
        <v>9</v>
      </c>
      <c r="F3825" s="1">
        <v>0</v>
      </c>
      <c r="G3825" s="1" t="s">
        <v>4372</v>
      </c>
      <c r="H3825" s="1" t="s">
        <v>4372</v>
      </c>
      <c r="I3825" s="1" t="s">
        <v>4373</v>
      </c>
      <c r="J3825" s="1" t="s">
        <v>9991</v>
      </c>
      <c r="K3825" s="1" t="s">
        <v>9990</v>
      </c>
    </row>
    <row r="3826" spans="1:11" ht="21" x14ac:dyDescent="0.25">
      <c r="A3826" s="11" t="str">
        <f>HYPERLINK("https://rth.dk/resources/bsgatlas/details.php?id=BSGatlas-transcript-3825","BSGatlas-transcript-3825")</f>
        <v>BSGatlas-transcript-3825</v>
      </c>
      <c r="B3826" s="1" t="s">
        <v>3522</v>
      </c>
      <c r="C3826" s="3">
        <v>3386819</v>
      </c>
      <c r="D3826" s="3">
        <v>3388007</v>
      </c>
      <c r="E3826" s="1" t="s">
        <v>13</v>
      </c>
      <c r="F3826" s="1">
        <v>0</v>
      </c>
      <c r="G3826" s="1" t="s">
        <v>4372</v>
      </c>
      <c r="H3826" s="1" t="s">
        <v>4372</v>
      </c>
      <c r="I3826" s="1" t="s">
        <v>4397</v>
      </c>
      <c r="J3826" s="1" t="s">
        <v>9992</v>
      </c>
      <c r="K3826" s="1" t="s">
        <v>9993</v>
      </c>
    </row>
    <row r="3827" spans="1:11" ht="21" x14ac:dyDescent="0.25">
      <c r="A3827" s="11" t="str">
        <f>HYPERLINK("https://rth.dk/resources/bsgatlas/details.php?id=BSGatlas-transcript-3826","BSGatlas-transcript-3826")</f>
        <v>BSGatlas-transcript-3826</v>
      </c>
      <c r="B3827" s="1" t="s">
        <v>3522</v>
      </c>
      <c r="C3827" s="3">
        <v>3386819</v>
      </c>
      <c r="D3827" s="3">
        <v>3388287</v>
      </c>
      <c r="E3827" s="1" t="s">
        <v>13</v>
      </c>
      <c r="F3827" s="1">
        <v>0</v>
      </c>
      <c r="G3827" s="1" t="s">
        <v>4372</v>
      </c>
      <c r="H3827" s="1" t="s">
        <v>4372</v>
      </c>
      <c r="I3827" s="1" t="s">
        <v>4397</v>
      </c>
      <c r="J3827" s="1" t="s">
        <v>9994</v>
      </c>
      <c r="K3827" s="1" t="s">
        <v>9993</v>
      </c>
    </row>
    <row r="3828" spans="1:11" ht="21" x14ac:dyDescent="0.25">
      <c r="A3828" s="11" t="str">
        <f>HYPERLINK("https://rth.dk/resources/bsgatlas/details.php?id=BSGatlas-transcript-3827","BSGatlas-transcript-3827")</f>
        <v>BSGatlas-transcript-3827</v>
      </c>
      <c r="B3828" s="1" t="s">
        <v>3522</v>
      </c>
      <c r="C3828" s="3">
        <v>3386819</v>
      </c>
      <c r="D3828" s="3">
        <v>3388830</v>
      </c>
      <c r="E3828" s="1" t="s">
        <v>13</v>
      </c>
      <c r="F3828" s="1">
        <v>0</v>
      </c>
      <c r="G3828" s="1" t="s">
        <v>4372</v>
      </c>
      <c r="H3828" s="1" t="s">
        <v>4372</v>
      </c>
      <c r="I3828" s="1" t="s">
        <v>4397</v>
      </c>
      <c r="J3828" s="1" t="s">
        <v>9995</v>
      </c>
      <c r="K3828" s="1" t="s">
        <v>9993</v>
      </c>
    </row>
    <row r="3829" spans="1:11" ht="21" x14ac:dyDescent="0.25">
      <c r="A3829" s="11" t="str">
        <f>HYPERLINK("https://rth.dk/resources/bsgatlas/details.php?id=BSGatlas-transcript-3828","BSGatlas-transcript-3828")</f>
        <v>BSGatlas-transcript-3828</v>
      </c>
      <c r="B3829" s="1" t="s">
        <v>3523</v>
      </c>
      <c r="C3829" s="3">
        <v>3388000</v>
      </c>
      <c r="D3829" s="3">
        <v>3388988</v>
      </c>
      <c r="E3829" s="1" t="s">
        <v>9</v>
      </c>
      <c r="F3829" s="1">
        <v>0</v>
      </c>
      <c r="G3829" s="1" t="s">
        <v>4372</v>
      </c>
      <c r="H3829" s="1" t="s">
        <v>4372</v>
      </c>
      <c r="I3829" s="1" t="s">
        <v>4397</v>
      </c>
      <c r="J3829" s="1" t="s">
        <v>9996</v>
      </c>
      <c r="K3829" s="1" t="s">
        <v>9997</v>
      </c>
    </row>
    <row r="3830" spans="1:11" ht="21" x14ac:dyDescent="0.25">
      <c r="A3830" s="11" t="str">
        <f>HYPERLINK("https://rth.dk/resources/bsgatlas/details.php?id=BSGatlas-transcript-3829","BSGatlas-transcript-3829")</f>
        <v>BSGatlas-transcript-3829</v>
      </c>
      <c r="B3830" s="1" t="s">
        <v>3523</v>
      </c>
      <c r="C3830" s="3">
        <v>3388000</v>
      </c>
      <c r="D3830" s="3">
        <v>3390690</v>
      </c>
      <c r="E3830" s="1" t="s">
        <v>9</v>
      </c>
      <c r="F3830" s="1">
        <v>0</v>
      </c>
      <c r="G3830" s="1" t="s">
        <v>4372</v>
      </c>
      <c r="H3830" s="1" t="s">
        <v>4372</v>
      </c>
      <c r="I3830" s="1" t="s">
        <v>4397</v>
      </c>
      <c r="J3830" s="1" t="s">
        <v>9996</v>
      </c>
      <c r="K3830" s="1" t="s">
        <v>9998</v>
      </c>
    </row>
    <row r="3831" spans="1:11" ht="21" x14ac:dyDescent="0.25">
      <c r="A3831" s="11" t="str">
        <f>HYPERLINK("https://rth.dk/resources/bsgatlas/details.php?id=BSGatlas-transcript-3830","BSGatlas-transcript-3830")</f>
        <v>BSGatlas-transcript-3830</v>
      </c>
      <c r="B3831" s="1" t="s">
        <v>3524</v>
      </c>
      <c r="C3831" s="3">
        <v>3388979</v>
      </c>
      <c r="D3831" s="3">
        <v>3390443</v>
      </c>
      <c r="E3831" s="1" t="s">
        <v>13</v>
      </c>
      <c r="F3831" s="1">
        <v>0</v>
      </c>
      <c r="G3831" s="1" t="s">
        <v>4372</v>
      </c>
      <c r="H3831" s="1" t="s">
        <v>4372</v>
      </c>
      <c r="I3831" s="1" t="s">
        <v>4373</v>
      </c>
      <c r="J3831" s="1" t="s">
        <v>9999</v>
      </c>
      <c r="K3831" s="1" t="s">
        <v>10000</v>
      </c>
    </row>
    <row r="3832" spans="1:11" ht="21" x14ac:dyDescent="0.25">
      <c r="A3832" s="11" t="str">
        <f>HYPERLINK("https://rth.dk/resources/bsgatlas/details.php?id=BSGatlas-transcript-3831","BSGatlas-transcript-3831")</f>
        <v>BSGatlas-transcript-3831</v>
      </c>
      <c r="B3832" s="1" t="s">
        <v>10001</v>
      </c>
      <c r="C3832" s="3">
        <v>3388979</v>
      </c>
      <c r="D3832" s="3">
        <v>3390698</v>
      </c>
      <c r="E3832" s="1" t="s">
        <v>13</v>
      </c>
      <c r="F3832" s="1">
        <v>1</v>
      </c>
      <c r="G3832" s="1">
        <v>35</v>
      </c>
      <c r="H3832" s="1">
        <v>46</v>
      </c>
      <c r="I3832" s="1" t="s">
        <v>4397</v>
      </c>
      <c r="J3832" s="1" t="s">
        <v>10002</v>
      </c>
      <c r="K3832" s="1" t="s">
        <v>10000</v>
      </c>
    </row>
    <row r="3833" spans="1:11" ht="21" x14ac:dyDescent="0.25">
      <c r="A3833" s="11" t="str">
        <f>HYPERLINK("https://rth.dk/resources/bsgatlas/details.php?id=BSGatlas-transcript-3832","BSGatlas-transcript-3832")</f>
        <v>BSGatlas-transcript-3832</v>
      </c>
      <c r="B3833" s="1" t="s">
        <v>10001</v>
      </c>
      <c r="C3833" s="3">
        <v>3388979</v>
      </c>
      <c r="D3833" s="3">
        <v>3390712</v>
      </c>
      <c r="E3833" s="1" t="s">
        <v>13</v>
      </c>
      <c r="F3833" s="1">
        <v>1</v>
      </c>
      <c r="G3833" s="1">
        <v>49</v>
      </c>
      <c r="H3833" s="1">
        <v>46</v>
      </c>
      <c r="I3833" s="1" t="s">
        <v>4397</v>
      </c>
      <c r="J3833" s="1" t="s">
        <v>10003</v>
      </c>
      <c r="K3833" s="1" t="s">
        <v>10000</v>
      </c>
    </row>
    <row r="3834" spans="1:11" ht="21" x14ac:dyDescent="0.25">
      <c r="A3834" s="11" t="str">
        <f>HYPERLINK("https://rth.dk/resources/bsgatlas/details.php?id=BSGatlas-transcript-3833","BSGatlas-transcript-3833")</f>
        <v>BSGatlas-transcript-3833</v>
      </c>
      <c r="B3834" s="1" t="s">
        <v>10004</v>
      </c>
      <c r="C3834" s="3">
        <v>3390753</v>
      </c>
      <c r="D3834" s="3">
        <v>3394414</v>
      </c>
      <c r="E3834" s="1" t="s">
        <v>9</v>
      </c>
      <c r="F3834" s="1">
        <v>0</v>
      </c>
      <c r="G3834" s="1" t="s">
        <v>4372</v>
      </c>
      <c r="H3834" s="1" t="s">
        <v>4372</v>
      </c>
      <c r="I3834" s="1" t="s">
        <v>4373</v>
      </c>
      <c r="J3834" s="1" t="s">
        <v>10005</v>
      </c>
      <c r="K3834" s="1" t="s">
        <v>318</v>
      </c>
    </row>
    <row r="3835" spans="1:11" ht="21" x14ac:dyDescent="0.25">
      <c r="A3835" s="11" t="str">
        <f>HYPERLINK("https://rth.dk/resources/bsgatlas/details.php?id=BSGatlas-transcript-3834","BSGatlas-transcript-3834")</f>
        <v>BSGatlas-transcript-3834</v>
      </c>
      <c r="B3835" s="1" t="s">
        <v>10006</v>
      </c>
      <c r="C3835" s="3">
        <v>3394397</v>
      </c>
      <c r="D3835" s="3">
        <v>3397765</v>
      </c>
      <c r="E3835" s="1" t="s">
        <v>13</v>
      </c>
      <c r="F3835" s="1">
        <v>1</v>
      </c>
      <c r="G3835" s="1">
        <v>21</v>
      </c>
      <c r="H3835" s="1">
        <v>26</v>
      </c>
      <c r="I3835" s="1" t="s">
        <v>4386</v>
      </c>
      <c r="J3835" s="1" t="s">
        <v>10007</v>
      </c>
      <c r="K3835" s="1" t="s">
        <v>10008</v>
      </c>
    </row>
    <row r="3836" spans="1:11" ht="21" x14ac:dyDescent="0.25">
      <c r="A3836" s="11" t="str">
        <f>HYPERLINK("https://rth.dk/resources/bsgatlas/details.php?id=BSGatlas-transcript-3835","BSGatlas-transcript-3835")</f>
        <v>BSGatlas-transcript-3835</v>
      </c>
      <c r="B3836" s="1" t="s">
        <v>10009</v>
      </c>
      <c r="C3836" s="3">
        <v>3394397</v>
      </c>
      <c r="D3836" s="3">
        <v>3398956</v>
      </c>
      <c r="E3836" s="1" t="s">
        <v>13</v>
      </c>
      <c r="F3836" s="1">
        <v>3</v>
      </c>
      <c r="G3836" s="1">
        <v>27</v>
      </c>
      <c r="H3836" s="1">
        <v>26</v>
      </c>
      <c r="I3836" s="1" t="s">
        <v>4373</v>
      </c>
      <c r="J3836" s="1" t="s">
        <v>10010</v>
      </c>
      <c r="K3836" s="1" t="s">
        <v>10008</v>
      </c>
    </row>
    <row r="3837" spans="1:11" ht="21" x14ac:dyDescent="0.25">
      <c r="A3837" s="11" t="str">
        <f>HYPERLINK("https://rth.dk/resources/bsgatlas/details.php?id=BSGatlas-transcript-3836","BSGatlas-transcript-3836")</f>
        <v>BSGatlas-transcript-3836</v>
      </c>
      <c r="B3837" s="1" t="s">
        <v>10011</v>
      </c>
      <c r="C3837" s="3">
        <v>3397771</v>
      </c>
      <c r="D3837" s="3">
        <v>3398956</v>
      </c>
      <c r="E3837" s="1" t="s">
        <v>13</v>
      </c>
      <c r="F3837" s="1">
        <v>1</v>
      </c>
      <c r="G3837" s="1">
        <v>27</v>
      </c>
      <c r="H3837" s="1">
        <v>76</v>
      </c>
      <c r="I3837" s="1" t="s">
        <v>4397</v>
      </c>
      <c r="J3837" s="1" t="s">
        <v>10010</v>
      </c>
      <c r="K3837" s="1" t="s">
        <v>10012</v>
      </c>
    </row>
    <row r="3838" spans="1:11" ht="21" x14ac:dyDescent="0.25">
      <c r="A3838" s="11" t="str">
        <f>HYPERLINK("https://rth.dk/resources/bsgatlas/details.php?id=BSGatlas-transcript-3837","BSGatlas-transcript-3837")</f>
        <v>BSGatlas-transcript-3837</v>
      </c>
      <c r="B3838" s="1" t="s">
        <v>3535</v>
      </c>
      <c r="C3838" s="3">
        <v>3399092</v>
      </c>
      <c r="D3838" s="3">
        <v>3400405</v>
      </c>
      <c r="E3838" s="1" t="s">
        <v>13</v>
      </c>
      <c r="F3838" s="1">
        <v>0</v>
      </c>
      <c r="G3838" s="1" t="s">
        <v>4372</v>
      </c>
      <c r="H3838" s="1" t="s">
        <v>4372</v>
      </c>
      <c r="I3838" s="1" t="s">
        <v>4386</v>
      </c>
      <c r="J3838" s="1" t="s">
        <v>10013</v>
      </c>
      <c r="K3838" s="1" t="s">
        <v>10014</v>
      </c>
    </row>
    <row r="3839" spans="1:11" ht="21" x14ac:dyDescent="0.25">
      <c r="A3839" s="11" t="str">
        <f>HYPERLINK("https://rth.dk/resources/bsgatlas/details.php?id=BSGatlas-transcript-3838","BSGatlas-transcript-3838")</f>
        <v>BSGatlas-transcript-3838</v>
      </c>
      <c r="B3839" s="1" t="s">
        <v>10015</v>
      </c>
      <c r="C3839" s="3">
        <v>3400509</v>
      </c>
      <c r="D3839" s="3">
        <v>3404707</v>
      </c>
      <c r="E3839" s="1" t="s">
        <v>13</v>
      </c>
      <c r="F3839" s="1">
        <v>1</v>
      </c>
      <c r="G3839" s="1">
        <v>271</v>
      </c>
      <c r="H3839" s="1">
        <v>29</v>
      </c>
      <c r="I3839" s="1" t="s">
        <v>4386</v>
      </c>
      <c r="J3839" s="1" t="s">
        <v>10016</v>
      </c>
      <c r="K3839" s="1" t="s">
        <v>10017</v>
      </c>
    </row>
    <row r="3840" spans="1:11" ht="21" x14ac:dyDescent="0.25">
      <c r="A3840" s="11" t="str">
        <f>HYPERLINK("https://rth.dk/resources/bsgatlas/details.php?id=BSGatlas-transcript-3839","BSGatlas-transcript-3839")</f>
        <v>BSGatlas-transcript-3839</v>
      </c>
      <c r="B3840" s="1" t="s">
        <v>3540</v>
      </c>
      <c r="C3840" s="3">
        <v>3404795</v>
      </c>
      <c r="D3840" s="3">
        <v>3405626</v>
      </c>
      <c r="E3840" s="1" t="s">
        <v>9</v>
      </c>
      <c r="F3840" s="1">
        <v>0</v>
      </c>
      <c r="G3840" s="1" t="s">
        <v>4372</v>
      </c>
      <c r="H3840" s="1" t="s">
        <v>4372</v>
      </c>
      <c r="I3840" s="1" t="s">
        <v>4397</v>
      </c>
      <c r="J3840" s="1" t="s">
        <v>10018</v>
      </c>
      <c r="K3840" s="1" t="s">
        <v>10019</v>
      </c>
    </row>
    <row r="3841" spans="1:11" ht="21" x14ac:dyDescent="0.25">
      <c r="A3841" s="11" t="str">
        <f>HYPERLINK("https://rth.dk/resources/bsgatlas/details.php?id=BSGatlas-transcript-3840","BSGatlas-transcript-3840")</f>
        <v>BSGatlas-transcript-3840</v>
      </c>
      <c r="B3841" s="1" t="s">
        <v>3540</v>
      </c>
      <c r="C3841" s="3">
        <v>3404795</v>
      </c>
      <c r="D3841" s="3">
        <v>3405626</v>
      </c>
      <c r="E3841" s="1" t="s">
        <v>9</v>
      </c>
      <c r="F3841" s="1">
        <v>0</v>
      </c>
      <c r="G3841" s="1" t="s">
        <v>4372</v>
      </c>
      <c r="H3841" s="1" t="s">
        <v>4372</v>
      </c>
      <c r="I3841" s="1" t="s">
        <v>4397</v>
      </c>
      <c r="J3841" s="1" t="s">
        <v>10018</v>
      </c>
      <c r="K3841" s="1" t="s">
        <v>10020</v>
      </c>
    </row>
    <row r="3842" spans="1:11" ht="21" x14ac:dyDescent="0.25">
      <c r="A3842" s="11" t="str">
        <f>HYPERLINK("https://rth.dk/resources/bsgatlas/details.php?id=BSGatlas-transcript-3841","BSGatlas-transcript-3841")</f>
        <v>BSGatlas-transcript-3841</v>
      </c>
      <c r="B3842" s="1" t="s">
        <v>3541</v>
      </c>
      <c r="C3842" s="3">
        <v>3405622</v>
      </c>
      <c r="D3842" s="3">
        <v>3406585</v>
      </c>
      <c r="E3842" s="1" t="s">
        <v>13</v>
      </c>
      <c r="F3842" s="1">
        <v>0</v>
      </c>
      <c r="G3842" s="1" t="s">
        <v>4372</v>
      </c>
      <c r="H3842" s="1" t="s">
        <v>4372</v>
      </c>
      <c r="I3842" s="1" t="s">
        <v>4373</v>
      </c>
      <c r="J3842" s="1" t="s">
        <v>10021</v>
      </c>
      <c r="K3842" s="1" t="s">
        <v>10022</v>
      </c>
    </row>
    <row r="3843" spans="1:11" ht="21" x14ac:dyDescent="0.25">
      <c r="A3843" s="11" t="str">
        <f>HYPERLINK("https://rth.dk/resources/bsgatlas/details.php?id=BSGatlas-transcript-3842","BSGatlas-transcript-3842")</f>
        <v>BSGatlas-transcript-3842</v>
      </c>
      <c r="B3843" s="1" t="s">
        <v>10023</v>
      </c>
      <c r="C3843" s="3">
        <v>3405622</v>
      </c>
      <c r="D3843" s="3">
        <v>3409115</v>
      </c>
      <c r="E3843" s="1" t="s">
        <v>13</v>
      </c>
      <c r="F3843" s="1">
        <v>1</v>
      </c>
      <c r="G3843" s="1">
        <v>50</v>
      </c>
      <c r="H3843" s="1">
        <v>43</v>
      </c>
      <c r="I3843" s="1" t="s">
        <v>4386</v>
      </c>
      <c r="J3843" s="1" t="s">
        <v>10024</v>
      </c>
      <c r="K3843" s="1" t="s">
        <v>10022</v>
      </c>
    </row>
    <row r="3844" spans="1:11" ht="21" x14ac:dyDescent="0.25">
      <c r="A3844" s="11" t="str">
        <f>HYPERLINK("https://rth.dk/resources/bsgatlas/details.php?id=BSGatlas-transcript-3843","BSGatlas-transcript-3843")</f>
        <v>BSGatlas-transcript-3843</v>
      </c>
      <c r="B3844" s="1" t="s">
        <v>10025</v>
      </c>
      <c r="C3844" s="3">
        <v>3405622</v>
      </c>
      <c r="D3844" s="3">
        <v>3409458</v>
      </c>
      <c r="E3844" s="1" t="s">
        <v>13</v>
      </c>
      <c r="F3844" s="1">
        <v>2</v>
      </c>
      <c r="G3844" s="1" t="s">
        <v>4372</v>
      </c>
      <c r="H3844" s="1">
        <v>43</v>
      </c>
      <c r="I3844" s="1" t="s">
        <v>4377</v>
      </c>
      <c r="J3844" s="1" t="s">
        <v>10026</v>
      </c>
      <c r="K3844" s="1" t="s">
        <v>10022</v>
      </c>
    </row>
    <row r="3845" spans="1:11" ht="21" x14ac:dyDescent="0.25">
      <c r="A3845" s="11" t="str">
        <f>HYPERLINK("https://rth.dk/resources/bsgatlas/details.php?id=BSGatlas-transcript-3844","BSGatlas-transcript-3844")</f>
        <v>BSGatlas-transcript-3844</v>
      </c>
      <c r="B3845" s="1" t="s">
        <v>10027</v>
      </c>
      <c r="C3845" s="3">
        <v>3405622</v>
      </c>
      <c r="D3845" s="3">
        <v>3409992</v>
      </c>
      <c r="E3845" s="1" t="s">
        <v>13</v>
      </c>
      <c r="F3845" s="1">
        <v>2</v>
      </c>
      <c r="G3845" s="1" t="s">
        <v>4372</v>
      </c>
      <c r="H3845" s="1">
        <v>43</v>
      </c>
      <c r="I3845" s="1" t="s">
        <v>4377</v>
      </c>
      <c r="J3845" s="1" t="s">
        <v>10028</v>
      </c>
      <c r="K3845" s="1" t="s">
        <v>10022</v>
      </c>
    </row>
    <row r="3846" spans="1:11" ht="21" x14ac:dyDescent="0.25">
      <c r="A3846" s="11" t="str">
        <f>HYPERLINK("https://rth.dk/resources/bsgatlas/details.php?id=BSGatlas-transcript-3845","BSGatlas-transcript-3845")</f>
        <v>BSGatlas-transcript-3845</v>
      </c>
      <c r="B3846" s="1" t="s">
        <v>10027</v>
      </c>
      <c r="C3846" s="3">
        <v>3405622</v>
      </c>
      <c r="D3846" s="3">
        <v>3410048</v>
      </c>
      <c r="E3846" s="1" t="s">
        <v>13</v>
      </c>
      <c r="F3846" s="1">
        <v>2</v>
      </c>
      <c r="G3846" s="1">
        <v>57</v>
      </c>
      <c r="H3846" s="1">
        <v>43</v>
      </c>
      <c r="I3846" s="1" t="s">
        <v>4377</v>
      </c>
      <c r="J3846" s="1" t="s">
        <v>10029</v>
      </c>
      <c r="K3846" s="1" t="s">
        <v>10022</v>
      </c>
    </row>
    <row r="3847" spans="1:11" ht="21" x14ac:dyDescent="0.25">
      <c r="A3847" s="11" t="str">
        <f>HYPERLINK("https://rth.dk/resources/bsgatlas/details.php?id=BSGatlas-transcript-3846","BSGatlas-transcript-3846")</f>
        <v>BSGatlas-transcript-3846</v>
      </c>
      <c r="B3847" s="1" t="s">
        <v>10030</v>
      </c>
      <c r="C3847" s="3">
        <v>3408353</v>
      </c>
      <c r="D3847" s="3">
        <v>3409992</v>
      </c>
      <c r="E3847" s="1" t="s">
        <v>13</v>
      </c>
      <c r="F3847" s="1">
        <v>1</v>
      </c>
      <c r="G3847" s="1" t="s">
        <v>4372</v>
      </c>
      <c r="H3847" s="1" t="s">
        <v>4372</v>
      </c>
      <c r="I3847" s="1" t="s">
        <v>4684</v>
      </c>
      <c r="J3847" s="1" t="s">
        <v>10028</v>
      </c>
      <c r="K3847" s="1" t="s">
        <v>318</v>
      </c>
    </row>
    <row r="3848" spans="1:11" ht="21" x14ac:dyDescent="0.25">
      <c r="A3848" s="11" t="str">
        <f>HYPERLINK("https://rth.dk/resources/bsgatlas/details.php?id=BSGatlas-transcript-3847","BSGatlas-transcript-3847")</f>
        <v>BSGatlas-transcript-3847</v>
      </c>
      <c r="B3848" s="1" t="s">
        <v>10030</v>
      </c>
      <c r="C3848" s="3">
        <v>3408353</v>
      </c>
      <c r="D3848" s="3">
        <v>3410048</v>
      </c>
      <c r="E3848" s="1" t="s">
        <v>13</v>
      </c>
      <c r="F3848" s="1">
        <v>1</v>
      </c>
      <c r="G3848" s="1">
        <v>57</v>
      </c>
      <c r="H3848" s="1" t="s">
        <v>4372</v>
      </c>
      <c r="I3848" s="1" t="s">
        <v>4684</v>
      </c>
      <c r="J3848" s="1" t="s">
        <v>10029</v>
      </c>
      <c r="K3848" s="1" t="s">
        <v>318</v>
      </c>
    </row>
    <row r="3849" spans="1:11" ht="21" x14ac:dyDescent="0.25">
      <c r="A3849" s="11" t="str">
        <f>HYPERLINK("https://rth.dk/resources/bsgatlas/details.php?id=BSGatlas-transcript-3848","BSGatlas-transcript-3848")</f>
        <v>BSGatlas-transcript-3848</v>
      </c>
      <c r="B3849" s="1" t="s">
        <v>3544</v>
      </c>
      <c r="C3849" s="3">
        <v>3409204</v>
      </c>
      <c r="D3849" s="3">
        <v>3409458</v>
      </c>
      <c r="E3849" s="1" t="s">
        <v>13</v>
      </c>
      <c r="F3849" s="1">
        <v>0</v>
      </c>
      <c r="G3849" s="1" t="s">
        <v>4372</v>
      </c>
      <c r="H3849" s="1" t="s">
        <v>4372</v>
      </c>
      <c r="I3849" s="1" t="s">
        <v>4377</v>
      </c>
      <c r="J3849" s="1" t="s">
        <v>10026</v>
      </c>
      <c r="K3849" s="1" t="s">
        <v>10031</v>
      </c>
    </row>
    <row r="3850" spans="1:11" ht="21" x14ac:dyDescent="0.25">
      <c r="A3850" s="11" t="str">
        <f>HYPERLINK("https://rth.dk/resources/bsgatlas/details.php?id=BSGatlas-transcript-3849","BSGatlas-transcript-3849")</f>
        <v>BSGatlas-transcript-3849</v>
      </c>
      <c r="B3850" s="1" t="s">
        <v>10032</v>
      </c>
      <c r="C3850" s="3">
        <v>3409204</v>
      </c>
      <c r="D3850" s="3">
        <v>3409992</v>
      </c>
      <c r="E3850" s="1" t="s">
        <v>13</v>
      </c>
      <c r="F3850" s="1">
        <v>0</v>
      </c>
      <c r="G3850" s="1" t="s">
        <v>4372</v>
      </c>
      <c r="H3850" s="1" t="s">
        <v>4372</v>
      </c>
      <c r="I3850" s="1" t="s">
        <v>4397</v>
      </c>
      <c r="J3850" s="1" t="s">
        <v>10028</v>
      </c>
      <c r="K3850" s="1" t="s">
        <v>10031</v>
      </c>
    </row>
    <row r="3851" spans="1:11" ht="21" x14ac:dyDescent="0.25">
      <c r="A3851" s="11" t="str">
        <f>HYPERLINK("https://rth.dk/resources/bsgatlas/details.php?id=BSGatlas-transcript-3850","BSGatlas-transcript-3850")</f>
        <v>BSGatlas-transcript-3850</v>
      </c>
      <c r="B3851" s="1" t="s">
        <v>10032</v>
      </c>
      <c r="C3851" s="3">
        <v>3409204</v>
      </c>
      <c r="D3851" s="3">
        <v>3410048</v>
      </c>
      <c r="E3851" s="1" t="s">
        <v>13</v>
      </c>
      <c r="F3851" s="1">
        <v>0</v>
      </c>
      <c r="G3851" s="1" t="s">
        <v>4372</v>
      </c>
      <c r="H3851" s="1" t="s">
        <v>4372</v>
      </c>
      <c r="I3851" s="1" t="s">
        <v>4397</v>
      </c>
      <c r="J3851" s="1" t="s">
        <v>10029</v>
      </c>
      <c r="K3851" s="1" t="s">
        <v>10031</v>
      </c>
    </row>
    <row r="3852" spans="1:11" ht="21" x14ac:dyDescent="0.25">
      <c r="A3852" s="11" t="str">
        <f>HYPERLINK("https://rth.dk/resources/bsgatlas/details.php?id=BSGatlas-transcript-3851","BSGatlas-transcript-3851")</f>
        <v>BSGatlas-transcript-3851</v>
      </c>
      <c r="B3852" s="1" t="s">
        <v>3546</v>
      </c>
      <c r="C3852" s="3">
        <v>3410007</v>
      </c>
      <c r="D3852" s="3">
        <v>3410345</v>
      </c>
      <c r="E3852" s="1" t="s">
        <v>9</v>
      </c>
      <c r="F3852" s="1">
        <v>0</v>
      </c>
      <c r="G3852" s="1" t="s">
        <v>4372</v>
      </c>
      <c r="H3852" s="1" t="s">
        <v>4372</v>
      </c>
      <c r="I3852" s="1" t="s">
        <v>4397</v>
      </c>
      <c r="J3852" s="1" t="s">
        <v>10033</v>
      </c>
      <c r="K3852" s="1" t="s">
        <v>318</v>
      </c>
    </row>
    <row r="3853" spans="1:11" ht="21" x14ac:dyDescent="0.25">
      <c r="A3853" s="11" t="str">
        <f>HYPERLINK("https://rth.dk/resources/bsgatlas/details.php?id=BSGatlas-transcript-3852","BSGatlas-transcript-3852")</f>
        <v>BSGatlas-transcript-3852</v>
      </c>
      <c r="B3853" s="1" t="s">
        <v>3547</v>
      </c>
      <c r="C3853" s="3">
        <v>3410395</v>
      </c>
      <c r="D3853" s="3">
        <v>3411623</v>
      </c>
      <c r="E3853" s="1" t="s">
        <v>9</v>
      </c>
      <c r="F3853" s="1">
        <v>0</v>
      </c>
      <c r="G3853" s="1" t="s">
        <v>4372</v>
      </c>
      <c r="H3853" s="1" t="s">
        <v>4372</v>
      </c>
      <c r="I3853" s="1" t="s">
        <v>4377</v>
      </c>
      <c r="J3853" s="1" t="s">
        <v>10034</v>
      </c>
      <c r="K3853" s="1" t="s">
        <v>10035</v>
      </c>
    </row>
    <row r="3854" spans="1:11" ht="21" x14ac:dyDescent="0.25">
      <c r="A3854" s="11" t="str">
        <f>HYPERLINK("https://rth.dk/resources/bsgatlas/details.php?id=BSGatlas-transcript-3853","BSGatlas-transcript-3853")</f>
        <v>BSGatlas-transcript-3853</v>
      </c>
      <c r="B3854" s="1" t="s">
        <v>10036</v>
      </c>
      <c r="C3854" s="3">
        <v>3410395</v>
      </c>
      <c r="D3854" s="3">
        <v>3412115</v>
      </c>
      <c r="E3854" s="1" t="s">
        <v>9</v>
      </c>
      <c r="F3854" s="1">
        <v>1</v>
      </c>
      <c r="G3854" s="1">
        <v>72</v>
      </c>
      <c r="H3854" s="1">
        <v>22</v>
      </c>
      <c r="I3854" s="1" t="s">
        <v>4397</v>
      </c>
      <c r="J3854" s="1" t="s">
        <v>10034</v>
      </c>
      <c r="K3854" s="1" t="s">
        <v>10037</v>
      </c>
    </row>
    <row r="3855" spans="1:11" ht="21" x14ac:dyDescent="0.25">
      <c r="A3855" s="11" t="str">
        <f>HYPERLINK("https://rth.dk/resources/bsgatlas/details.php?id=BSGatlas-transcript-3854","BSGatlas-transcript-3854")</f>
        <v>BSGatlas-transcript-3854</v>
      </c>
      <c r="B3855" s="1" t="s">
        <v>10038</v>
      </c>
      <c r="C3855" s="3">
        <v>3412085</v>
      </c>
      <c r="D3855" s="3">
        <v>3415273</v>
      </c>
      <c r="E3855" s="1" t="s">
        <v>13</v>
      </c>
      <c r="F3855" s="1">
        <v>0</v>
      </c>
      <c r="G3855" s="1" t="s">
        <v>4372</v>
      </c>
      <c r="H3855" s="1" t="s">
        <v>4372</v>
      </c>
      <c r="I3855" s="1" t="s">
        <v>4373</v>
      </c>
      <c r="J3855" s="1" t="s">
        <v>10039</v>
      </c>
      <c r="K3855" s="1" t="s">
        <v>10040</v>
      </c>
    </row>
    <row r="3856" spans="1:11" ht="21" x14ac:dyDescent="0.25">
      <c r="A3856" s="11" t="str">
        <f>HYPERLINK("https://rth.dk/resources/bsgatlas/details.php?id=BSGatlas-transcript-3855","BSGatlas-transcript-3855")</f>
        <v>BSGatlas-transcript-3855</v>
      </c>
      <c r="B3856" s="1" t="s">
        <v>10041</v>
      </c>
      <c r="C3856" s="3">
        <v>3415387</v>
      </c>
      <c r="D3856" s="3">
        <v>3418376</v>
      </c>
      <c r="E3856" s="1" t="s">
        <v>13</v>
      </c>
      <c r="F3856" s="1">
        <v>0</v>
      </c>
      <c r="G3856" s="1" t="s">
        <v>4372</v>
      </c>
      <c r="H3856" s="1" t="s">
        <v>4372</v>
      </c>
      <c r="I3856" s="1" t="s">
        <v>4386</v>
      </c>
      <c r="J3856" s="1" t="s">
        <v>10042</v>
      </c>
      <c r="K3856" s="1" t="s">
        <v>10043</v>
      </c>
    </row>
    <row r="3857" spans="1:11" ht="21" x14ac:dyDescent="0.25">
      <c r="A3857" s="11" t="str">
        <f>HYPERLINK("https://rth.dk/resources/bsgatlas/details.php?id=BSGatlas-transcript-3856","BSGatlas-transcript-3856")</f>
        <v>BSGatlas-transcript-3856</v>
      </c>
      <c r="B3857" s="1" t="s">
        <v>3555</v>
      </c>
      <c r="C3857" s="3">
        <v>3418419</v>
      </c>
      <c r="D3857" s="3">
        <v>3419462</v>
      </c>
      <c r="E3857" s="1" t="s">
        <v>9</v>
      </c>
      <c r="F3857" s="1">
        <v>0</v>
      </c>
      <c r="G3857" s="1" t="s">
        <v>4372</v>
      </c>
      <c r="H3857" s="1" t="s">
        <v>4372</v>
      </c>
      <c r="I3857" s="1" t="s">
        <v>4373</v>
      </c>
      <c r="J3857" s="1" t="s">
        <v>10044</v>
      </c>
      <c r="K3857" s="1" t="s">
        <v>10045</v>
      </c>
    </row>
    <row r="3858" spans="1:11" ht="21" x14ac:dyDescent="0.25">
      <c r="A3858" s="11" t="str">
        <f>HYPERLINK("https://rth.dk/resources/bsgatlas/details.php?id=BSGatlas-transcript-3857","BSGatlas-transcript-3857")</f>
        <v>BSGatlas-transcript-3857</v>
      </c>
      <c r="B3858" s="1" t="s">
        <v>3555</v>
      </c>
      <c r="C3858" s="3">
        <v>3418419</v>
      </c>
      <c r="D3858" s="3">
        <v>3419617</v>
      </c>
      <c r="E3858" s="1" t="s">
        <v>9</v>
      </c>
      <c r="F3858" s="1">
        <v>0</v>
      </c>
      <c r="G3858" s="1" t="s">
        <v>4372</v>
      </c>
      <c r="H3858" s="1" t="s">
        <v>4372</v>
      </c>
      <c r="I3858" s="1" t="s">
        <v>4373</v>
      </c>
      <c r="J3858" s="1" t="s">
        <v>10044</v>
      </c>
      <c r="K3858" s="1" t="s">
        <v>10046</v>
      </c>
    </row>
    <row r="3859" spans="1:11" ht="21" x14ac:dyDescent="0.25">
      <c r="A3859" s="11" t="str">
        <f>HYPERLINK("https://rth.dk/resources/bsgatlas/details.php?id=BSGatlas-transcript-3858","BSGatlas-transcript-3858")</f>
        <v>BSGatlas-transcript-3858</v>
      </c>
      <c r="B3859" s="1" t="s">
        <v>3556</v>
      </c>
      <c r="C3859" s="3">
        <v>3419656</v>
      </c>
      <c r="D3859" s="3">
        <v>3421389</v>
      </c>
      <c r="E3859" s="1" t="s">
        <v>13</v>
      </c>
      <c r="F3859" s="1">
        <v>0</v>
      </c>
      <c r="G3859" s="1" t="s">
        <v>4372</v>
      </c>
      <c r="H3859" s="1" t="s">
        <v>4372</v>
      </c>
      <c r="I3859" s="1" t="s">
        <v>4386</v>
      </c>
      <c r="J3859" s="1" t="s">
        <v>10047</v>
      </c>
      <c r="K3859" s="1" t="s">
        <v>10048</v>
      </c>
    </row>
    <row r="3860" spans="1:11" ht="21" x14ac:dyDescent="0.25">
      <c r="A3860" s="11" t="str">
        <f>HYPERLINK("https://rth.dk/resources/bsgatlas/details.php?id=BSGatlas-transcript-3859","BSGatlas-transcript-3859")</f>
        <v>BSGatlas-transcript-3859</v>
      </c>
      <c r="B3860" s="1" t="s">
        <v>3557</v>
      </c>
      <c r="C3860" s="3">
        <v>3420519</v>
      </c>
      <c r="D3860" s="3">
        <v>3421486</v>
      </c>
      <c r="E3860" s="1" t="s">
        <v>9</v>
      </c>
      <c r="F3860" s="1">
        <v>0</v>
      </c>
      <c r="G3860" s="1" t="s">
        <v>4372</v>
      </c>
      <c r="H3860" s="1" t="s">
        <v>4372</v>
      </c>
      <c r="I3860" s="1" t="s">
        <v>4377</v>
      </c>
      <c r="J3860" s="1" t="s">
        <v>10049</v>
      </c>
      <c r="K3860" s="1" t="s">
        <v>10050</v>
      </c>
    </row>
    <row r="3861" spans="1:11" ht="21" x14ac:dyDescent="0.25">
      <c r="A3861" s="11" t="str">
        <f>HYPERLINK("https://rth.dk/resources/bsgatlas/details.php?id=BSGatlas-transcript-3860","BSGatlas-transcript-3860")</f>
        <v>BSGatlas-transcript-3860</v>
      </c>
      <c r="B3861" s="1" t="s">
        <v>3558</v>
      </c>
      <c r="C3861" s="3">
        <v>3421145</v>
      </c>
      <c r="D3861" s="3">
        <v>3421348</v>
      </c>
      <c r="E3861" s="1" t="s">
        <v>13</v>
      </c>
      <c r="F3861" s="1">
        <v>0</v>
      </c>
      <c r="G3861" s="1" t="s">
        <v>4372</v>
      </c>
      <c r="H3861" s="1" t="s">
        <v>4372</v>
      </c>
      <c r="I3861" s="1" t="s">
        <v>4377</v>
      </c>
      <c r="J3861" s="1" t="s">
        <v>318</v>
      </c>
      <c r="K3861" s="1" t="s">
        <v>10051</v>
      </c>
    </row>
    <row r="3862" spans="1:11" ht="21" x14ac:dyDescent="0.25">
      <c r="A3862" s="11" t="str">
        <f>HYPERLINK("https://rth.dk/resources/bsgatlas/details.php?id=BSGatlas-transcript-3861","BSGatlas-transcript-3861")</f>
        <v>BSGatlas-transcript-3861</v>
      </c>
      <c r="B3862" s="1" t="s">
        <v>3559</v>
      </c>
      <c r="C3862" s="3">
        <v>3421465</v>
      </c>
      <c r="D3862" s="3">
        <v>3421634</v>
      </c>
      <c r="E3862" s="1" t="s">
        <v>13</v>
      </c>
      <c r="F3862" s="1">
        <v>0</v>
      </c>
      <c r="G3862" s="1" t="s">
        <v>4372</v>
      </c>
      <c r="H3862" s="1" t="s">
        <v>4372</v>
      </c>
      <c r="I3862" s="1" t="s">
        <v>4373</v>
      </c>
      <c r="J3862" s="1" t="s">
        <v>10052</v>
      </c>
      <c r="K3862" s="1" t="s">
        <v>10053</v>
      </c>
    </row>
    <row r="3863" spans="1:11" ht="21" x14ac:dyDescent="0.25">
      <c r="A3863" s="11" t="str">
        <f>HYPERLINK("https://rth.dk/resources/bsgatlas/details.php?id=BSGatlas-transcript-3862","BSGatlas-transcript-3862")</f>
        <v>BSGatlas-transcript-3862</v>
      </c>
      <c r="B3863" s="1" t="s">
        <v>3559</v>
      </c>
      <c r="C3863" s="3">
        <v>3421465</v>
      </c>
      <c r="D3863" s="3">
        <v>3422223</v>
      </c>
      <c r="E3863" s="1" t="s">
        <v>13</v>
      </c>
      <c r="F3863" s="1">
        <v>0</v>
      </c>
      <c r="G3863" s="1" t="s">
        <v>4372</v>
      </c>
      <c r="H3863" s="1" t="s">
        <v>4372</v>
      </c>
      <c r="I3863" s="1" t="s">
        <v>4373</v>
      </c>
      <c r="J3863" s="1" t="s">
        <v>10054</v>
      </c>
      <c r="K3863" s="1" t="s">
        <v>10053</v>
      </c>
    </row>
    <row r="3864" spans="1:11" ht="21" x14ac:dyDescent="0.25">
      <c r="A3864" s="11" t="str">
        <f>HYPERLINK("https://rth.dk/resources/bsgatlas/details.php?id=BSGatlas-transcript-3863","BSGatlas-transcript-3863")</f>
        <v>BSGatlas-transcript-3863</v>
      </c>
      <c r="B3864" s="1" t="s">
        <v>3560</v>
      </c>
      <c r="C3864" s="3">
        <v>3421716</v>
      </c>
      <c r="D3864" s="3">
        <v>3422254</v>
      </c>
      <c r="E3864" s="1" t="s">
        <v>9</v>
      </c>
      <c r="F3864" s="1">
        <v>0</v>
      </c>
      <c r="G3864" s="1" t="s">
        <v>4372</v>
      </c>
      <c r="H3864" s="1" t="s">
        <v>4372</v>
      </c>
      <c r="I3864" s="1" t="s">
        <v>4377</v>
      </c>
      <c r="J3864" s="1" t="s">
        <v>10055</v>
      </c>
      <c r="K3864" s="1" t="s">
        <v>318</v>
      </c>
    </row>
    <row r="3865" spans="1:11" ht="21" x14ac:dyDescent="0.25">
      <c r="A3865" s="11" t="str">
        <f>HYPERLINK("https://rth.dk/resources/bsgatlas/details.php?id=BSGatlas-transcript-3864","BSGatlas-transcript-3864")</f>
        <v>BSGatlas-transcript-3864</v>
      </c>
      <c r="B3865" s="1" t="s">
        <v>3561</v>
      </c>
      <c r="C3865" s="3">
        <v>3422301</v>
      </c>
      <c r="D3865" s="3">
        <v>3424207</v>
      </c>
      <c r="E3865" s="1" t="s">
        <v>9</v>
      </c>
      <c r="F3865" s="1">
        <v>0</v>
      </c>
      <c r="G3865" s="1" t="s">
        <v>4372</v>
      </c>
      <c r="H3865" s="1" t="s">
        <v>4372</v>
      </c>
      <c r="I3865" s="1" t="s">
        <v>4386</v>
      </c>
      <c r="J3865" s="1" t="s">
        <v>10056</v>
      </c>
      <c r="K3865" s="1" t="s">
        <v>10057</v>
      </c>
    </row>
    <row r="3866" spans="1:11" ht="21" x14ac:dyDescent="0.25">
      <c r="A3866" s="11" t="str">
        <f>HYPERLINK("https://rth.dk/resources/bsgatlas/details.php?id=BSGatlas-transcript-3865","BSGatlas-transcript-3865")</f>
        <v>BSGatlas-transcript-3865</v>
      </c>
      <c r="B3866" s="1" t="s">
        <v>3562</v>
      </c>
      <c r="C3866" s="3">
        <v>3424235</v>
      </c>
      <c r="D3866" s="3">
        <v>3425194</v>
      </c>
      <c r="E3866" s="1" t="s">
        <v>13</v>
      </c>
      <c r="F3866" s="1">
        <v>0</v>
      </c>
      <c r="G3866" s="1" t="s">
        <v>4372</v>
      </c>
      <c r="H3866" s="1" t="s">
        <v>4372</v>
      </c>
      <c r="I3866" s="1" t="s">
        <v>4397</v>
      </c>
      <c r="J3866" s="1" t="s">
        <v>10058</v>
      </c>
      <c r="K3866" s="1" t="s">
        <v>10059</v>
      </c>
    </row>
    <row r="3867" spans="1:11" ht="21" x14ac:dyDescent="0.25">
      <c r="A3867" s="11" t="str">
        <f>HYPERLINK("https://rth.dk/resources/bsgatlas/details.php?id=BSGatlas-transcript-3866","BSGatlas-transcript-3866")</f>
        <v>BSGatlas-transcript-3866</v>
      </c>
      <c r="B3867" s="1" t="s">
        <v>10060</v>
      </c>
      <c r="C3867" s="3">
        <v>3425239</v>
      </c>
      <c r="D3867" s="3">
        <v>3426718</v>
      </c>
      <c r="E3867" s="1" t="s">
        <v>9</v>
      </c>
      <c r="F3867" s="1">
        <v>0</v>
      </c>
      <c r="G3867" s="1" t="s">
        <v>4372</v>
      </c>
      <c r="H3867" s="1" t="s">
        <v>4372</v>
      </c>
      <c r="I3867" s="1" t="s">
        <v>4386</v>
      </c>
      <c r="J3867" s="1" t="s">
        <v>10061</v>
      </c>
      <c r="K3867" s="1" t="s">
        <v>10062</v>
      </c>
    </row>
    <row r="3868" spans="1:11" ht="21" x14ac:dyDescent="0.25">
      <c r="A3868" s="11" t="str">
        <f>HYPERLINK("https://rth.dk/resources/bsgatlas/details.php?id=BSGatlas-transcript-3867","BSGatlas-transcript-3867")</f>
        <v>BSGatlas-transcript-3867</v>
      </c>
      <c r="B3868" s="1" t="s">
        <v>10060</v>
      </c>
      <c r="C3868" s="3">
        <v>3425239</v>
      </c>
      <c r="D3868" s="3">
        <v>3427603</v>
      </c>
      <c r="E3868" s="1" t="s">
        <v>9</v>
      </c>
      <c r="F3868" s="1">
        <v>0</v>
      </c>
      <c r="G3868" s="1" t="s">
        <v>4372</v>
      </c>
      <c r="H3868" s="1" t="s">
        <v>4372</v>
      </c>
      <c r="I3868" s="1" t="s">
        <v>4386</v>
      </c>
      <c r="J3868" s="1" t="s">
        <v>10061</v>
      </c>
      <c r="K3868" s="1" t="s">
        <v>10063</v>
      </c>
    </row>
    <row r="3869" spans="1:11" ht="21" x14ac:dyDescent="0.25">
      <c r="A3869" s="11" t="str">
        <f>HYPERLINK("https://rth.dk/resources/bsgatlas/details.php?id=BSGatlas-transcript-3868","BSGatlas-transcript-3868")</f>
        <v>BSGatlas-transcript-3868</v>
      </c>
      <c r="B3869" s="1" t="s">
        <v>3565</v>
      </c>
      <c r="C3869" s="3">
        <v>3426733</v>
      </c>
      <c r="D3869" s="3">
        <v>3427627</v>
      </c>
      <c r="E3869" s="1" t="s">
        <v>13</v>
      </c>
      <c r="F3869" s="1">
        <v>0</v>
      </c>
      <c r="G3869" s="1" t="s">
        <v>4372</v>
      </c>
      <c r="H3869" s="1" t="s">
        <v>4372</v>
      </c>
      <c r="I3869" s="1" t="s">
        <v>4397</v>
      </c>
      <c r="J3869" s="1" t="s">
        <v>10064</v>
      </c>
      <c r="K3869" s="1" t="s">
        <v>10065</v>
      </c>
    </row>
    <row r="3870" spans="1:11" ht="21" x14ac:dyDescent="0.25">
      <c r="A3870" s="11" t="str">
        <f>HYPERLINK("https://rth.dk/resources/bsgatlas/details.php?id=BSGatlas-transcript-3869","BSGatlas-transcript-3869")</f>
        <v>BSGatlas-transcript-3869</v>
      </c>
      <c r="B3870" s="1" t="s">
        <v>3566</v>
      </c>
      <c r="C3870" s="3">
        <v>3427471</v>
      </c>
      <c r="D3870" s="3">
        <v>3428332</v>
      </c>
      <c r="E3870" s="1" t="s">
        <v>9</v>
      </c>
      <c r="F3870" s="1">
        <v>0</v>
      </c>
      <c r="G3870" s="1" t="s">
        <v>4372</v>
      </c>
      <c r="H3870" s="1" t="s">
        <v>4372</v>
      </c>
      <c r="I3870" s="1" t="s">
        <v>4373</v>
      </c>
      <c r="J3870" s="1" t="s">
        <v>10066</v>
      </c>
      <c r="K3870" s="1" t="s">
        <v>10067</v>
      </c>
    </row>
    <row r="3871" spans="1:11" ht="21" x14ac:dyDescent="0.25">
      <c r="A3871" s="11" t="str">
        <f>HYPERLINK("https://rth.dk/resources/bsgatlas/details.php?id=BSGatlas-transcript-3870","BSGatlas-transcript-3870")</f>
        <v>BSGatlas-transcript-3870</v>
      </c>
      <c r="B3871" s="1" t="s">
        <v>3566</v>
      </c>
      <c r="C3871" s="3">
        <v>3427755</v>
      </c>
      <c r="D3871" s="3">
        <v>3428332</v>
      </c>
      <c r="E3871" s="1" t="s">
        <v>9</v>
      </c>
      <c r="F3871" s="1">
        <v>0</v>
      </c>
      <c r="G3871" s="1" t="s">
        <v>4372</v>
      </c>
      <c r="H3871" s="1" t="s">
        <v>4372</v>
      </c>
      <c r="I3871" s="1" t="s">
        <v>4373</v>
      </c>
      <c r="J3871" s="1" t="s">
        <v>10068</v>
      </c>
      <c r="K3871" s="1" t="s">
        <v>10067</v>
      </c>
    </row>
    <row r="3872" spans="1:11" ht="21" x14ac:dyDescent="0.25">
      <c r="A3872" s="11" t="str">
        <f>HYPERLINK("https://rth.dk/resources/bsgatlas/details.php?id=BSGatlas-transcript-3871","BSGatlas-transcript-3871")</f>
        <v>BSGatlas-transcript-3871</v>
      </c>
      <c r="B3872" s="1" t="s">
        <v>3567</v>
      </c>
      <c r="C3872" s="3">
        <v>3428331</v>
      </c>
      <c r="D3872" s="3">
        <v>3430343</v>
      </c>
      <c r="E3872" s="1" t="s">
        <v>13</v>
      </c>
      <c r="F3872" s="1">
        <v>0</v>
      </c>
      <c r="G3872" s="1" t="s">
        <v>4372</v>
      </c>
      <c r="H3872" s="1" t="s">
        <v>4372</v>
      </c>
      <c r="I3872" s="1" t="s">
        <v>4386</v>
      </c>
      <c r="J3872" s="1" t="s">
        <v>10069</v>
      </c>
      <c r="K3872" s="1" t="s">
        <v>10070</v>
      </c>
    </row>
    <row r="3873" spans="1:11" ht="21" x14ac:dyDescent="0.25">
      <c r="A3873" s="11" t="str">
        <f>HYPERLINK("https://rth.dk/resources/bsgatlas/details.php?id=BSGatlas-transcript-3872","BSGatlas-transcript-3872")</f>
        <v>BSGatlas-transcript-3872</v>
      </c>
      <c r="B3873" s="1" t="s">
        <v>3567</v>
      </c>
      <c r="C3873" s="3">
        <v>3428331</v>
      </c>
      <c r="D3873" s="3">
        <v>3430495</v>
      </c>
      <c r="E3873" s="1" t="s">
        <v>13</v>
      </c>
      <c r="F3873" s="1">
        <v>0</v>
      </c>
      <c r="G3873" s="1" t="s">
        <v>4372</v>
      </c>
      <c r="H3873" s="1" t="s">
        <v>4372</v>
      </c>
      <c r="I3873" s="1" t="s">
        <v>4386</v>
      </c>
      <c r="J3873" s="1" t="s">
        <v>10071</v>
      </c>
      <c r="K3873" s="1" t="s">
        <v>10070</v>
      </c>
    </row>
    <row r="3874" spans="1:11" ht="21" x14ac:dyDescent="0.25">
      <c r="A3874" s="11" t="str">
        <f>HYPERLINK("https://rth.dk/resources/bsgatlas/details.php?id=BSGatlas-transcript-3873","BSGatlas-transcript-3873")</f>
        <v>BSGatlas-transcript-3873</v>
      </c>
      <c r="B3874" s="1" t="s">
        <v>10072</v>
      </c>
      <c r="C3874" s="3">
        <v>3430545</v>
      </c>
      <c r="D3874" s="3">
        <v>3434200</v>
      </c>
      <c r="E3874" s="1" t="s">
        <v>13</v>
      </c>
      <c r="F3874" s="1">
        <v>1</v>
      </c>
      <c r="G3874" s="1">
        <v>45</v>
      </c>
      <c r="H3874" s="1">
        <v>54</v>
      </c>
      <c r="I3874" s="1" t="s">
        <v>4373</v>
      </c>
      <c r="J3874" s="1" t="s">
        <v>10073</v>
      </c>
      <c r="K3874" s="1" t="s">
        <v>10074</v>
      </c>
    </row>
    <row r="3875" spans="1:11" ht="21" x14ac:dyDescent="0.25">
      <c r="A3875" s="11" t="str">
        <f>HYPERLINK("https://rth.dk/resources/bsgatlas/details.php?id=BSGatlas-transcript-3874","BSGatlas-transcript-3874")</f>
        <v>BSGatlas-transcript-3874</v>
      </c>
      <c r="B3875" s="1" t="s">
        <v>3570</v>
      </c>
      <c r="C3875" s="3">
        <v>3434327</v>
      </c>
      <c r="D3875" s="3">
        <v>3436699</v>
      </c>
      <c r="E3875" s="1" t="s">
        <v>13</v>
      </c>
      <c r="F3875" s="1">
        <v>0</v>
      </c>
      <c r="G3875" s="1" t="s">
        <v>4372</v>
      </c>
      <c r="H3875" s="1" t="s">
        <v>4372</v>
      </c>
      <c r="I3875" s="1" t="s">
        <v>4386</v>
      </c>
      <c r="J3875" s="1" t="s">
        <v>10075</v>
      </c>
      <c r="K3875" s="1" t="s">
        <v>10076</v>
      </c>
    </row>
    <row r="3876" spans="1:11" ht="21" x14ac:dyDescent="0.25">
      <c r="A3876" s="11" t="str">
        <f>HYPERLINK("https://rth.dk/resources/bsgatlas/details.php?id=BSGatlas-transcript-3875","BSGatlas-transcript-3875")</f>
        <v>BSGatlas-transcript-3875</v>
      </c>
      <c r="B3876" s="1" t="s">
        <v>3570</v>
      </c>
      <c r="C3876" s="3">
        <v>3434327</v>
      </c>
      <c r="D3876" s="3">
        <v>3436753</v>
      </c>
      <c r="E3876" s="1" t="s">
        <v>13</v>
      </c>
      <c r="F3876" s="1">
        <v>0</v>
      </c>
      <c r="G3876" s="1" t="s">
        <v>4372</v>
      </c>
      <c r="H3876" s="1" t="s">
        <v>4372</v>
      </c>
      <c r="I3876" s="1" t="s">
        <v>4386</v>
      </c>
      <c r="J3876" s="1" t="s">
        <v>10077</v>
      </c>
      <c r="K3876" s="1" t="s">
        <v>10076</v>
      </c>
    </row>
    <row r="3877" spans="1:11" ht="21" x14ac:dyDescent="0.25">
      <c r="A3877" s="11" t="str">
        <f>HYPERLINK("https://rth.dk/resources/bsgatlas/details.php?id=BSGatlas-transcript-3876","BSGatlas-transcript-3876")</f>
        <v>BSGatlas-transcript-3876</v>
      </c>
      <c r="B3877" s="1" t="s">
        <v>3570</v>
      </c>
      <c r="C3877" s="3">
        <v>3434327</v>
      </c>
      <c r="D3877" s="3">
        <v>3436809</v>
      </c>
      <c r="E3877" s="1" t="s">
        <v>13</v>
      </c>
      <c r="F3877" s="1">
        <v>0</v>
      </c>
      <c r="G3877" s="1" t="s">
        <v>4372</v>
      </c>
      <c r="H3877" s="1" t="s">
        <v>4372</v>
      </c>
      <c r="I3877" s="1" t="s">
        <v>4386</v>
      </c>
      <c r="J3877" s="1" t="s">
        <v>10078</v>
      </c>
      <c r="K3877" s="1" t="s">
        <v>10076</v>
      </c>
    </row>
    <row r="3878" spans="1:11" ht="21" x14ac:dyDescent="0.25">
      <c r="A3878" s="11" t="str">
        <f>HYPERLINK("https://rth.dk/resources/bsgatlas/details.php?id=BSGatlas-transcript-3877","BSGatlas-transcript-3877")</f>
        <v>BSGatlas-transcript-3877</v>
      </c>
      <c r="B3878" s="1" t="s">
        <v>3571</v>
      </c>
      <c r="C3878" s="3">
        <v>3436814</v>
      </c>
      <c r="D3878" s="3">
        <v>3437513</v>
      </c>
      <c r="E3878" s="1" t="s">
        <v>13</v>
      </c>
      <c r="F3878" s="1">
        <v>0</v>
      </c>
      <c r="G3878" s="1" t="s">
        <v>4372</v>
      </c>
      <c r="H3878" s="1" t="s">
        <v>4372</v>
      </c>
      <c r="I3878" s="1" t="s">
        <v>4386</v>
      </c>
      <c r="J3878" s="1" t="s">
        <v>10079</v>
      </c>
      <c r="K3878" s="1" t="s">
        <v>10080</v>
      </c>
    </row>
    <row r="3879" spans="1:11" ht="21" x14ac:dyDescent="0.25">
      <c r="A3879" s="11" t="str">
        <f>HYPERLINK("https://rth.dk/resources/bsgatlas/details.php?id=BSGatlas-transcript-3878","BSGatlas-transcript-3878")</f>
        <v>BSGatlas-transcript-3878</v>
      </c>
      <c r="B3879" s="1" t="s">
        <v>10081</v>
      </c>
      <c r="C3879" s="3">
        <v>3437600</v>
      </c>
      <c r="D3879" s="3">
        <v>3438800</v>
      </c>
      <c r="E3879" s="1" t="s">
        <v>13</v>
      </c>
      <c r="F3879" s="1">
        <v>0</v>
      </c>
      <c r="G3879" s="1" t="s">
        <v>4372</v>
      </c>
      <c r="H3879" s="1" t="s">
        <v>4372</v>
      </c>
      <c r="I3879" s="1" t="s">
        <v>4373</v>
      </c>
      <c r="J3879" s="1" t="s">
        <v>10082</v>
      </c>
      <c r="K3879" s="1" t="s">
        <v>10083</v>
      </c>
    </row>
    <row r="3880" spans="1:11" ht="21" x14ac:dyDescent="0.25">
      <c r="A3880" s="11" t="str">
        <f>HYPERLINK("https://rth.dk/resources/bsgatlas/details.php?id=BSGatlas-transcript-3879","BSGatlas-transcript-3879")</f>
        <v>BSGatlas-transcript-3879</v>
      </c>
      <c r="B3880" s="1" t="s">
        <v>3574</v>
      </c>
      <c r="C3880" s="3">
        <v>3438789</v>
      </c>
      <c r="D3880" s="3">
        <v>3441054</v>
      </c>
      <c r="E3880" s="1" t="s">
        <v>13</v>
      </c>
      <c r="F3880" s="1">
        <v>0</v>
      </c>
      <c r="G3880" s="1" t="s">
        <v>4372</v>
      </c>
      <c r="H3880" s="1" t="s">
        <v>4372</v>
      </c>
      <c r="I3880" s="1" t="s">
        <v>4397</v>
      </c>
      <c r="J3880" s="1" t="s">
        <v>10084</v>
      </c>
      <c r="K3880" s="1" t="s">
        <v>10085</v>
      </c>
    </row>
    <row r="3881" spans="1:11" ht="21" x14ac:dyDescent="0.25">
      <c r="A3881" s="11" t="str">
        <f>HYPERLINK("https://rth.dk/resources/bsgatlas/details.php?id=BSGatlas-transcript-3880","BSGatlas-transcript-3880")</f>
        <v>BSGatlas-transcript-3880</v>
      </c>
      <c r="B3881" s="1" t="s">
        <v>10086</v>
      </c>
      <c r="C3881" s="3">
        <v>3441121</v>
      </c>
      <c r="D3881" s="3">
        <v>3443867</v>
      </c>
      <c r="E3881" s="1" t="s">
        <v>13</v>
      </c>
      <c r="F3881" s="1">
        <v>1</v>
      </c>
      <c r="G3881" s="1">
        <v>46</v>
      </c>
      <c r="H3881" s="1" t="s">
        <v>4372</v>
      </c>
      <c r="I3881" s="1" t="s">
        <v>4397</v>
      </c>
      <c r="J3881" s="1" t="s">
        <v>10087</v>
      </c>
      <c r="K3881" s="1" t="s">
        <v>10088</v>
      </c>
    </row>
    <row r="3882" spans="1:11" ht="21" x14ac:dyDescent="0.25">
      <c r="A3882" s="11" t="str">
        <f>HYPERLINK("https://rth.dk/resources/bsgatlas/details.php?id=BSGatlas-transcript-3881","BSGatlas-transcript-3881")</f>
        <v>BSGatlas-transcript-3881</v>
      </c>
      <c r="B3882" s="1" t="s">
        <v>10086</v>
      </c>
      <c r="C3882" s="3">
        <v>3441121</v>
      </c>
      <c r="D3882" s="3">
        <v>3443867</v>
      </c>
      <c r="E3882" s="1" t="s">
        <v>13</v>
      </c>
      <c r="F3882" s="1">
        <v>1</v>
      </c>
      <c r="G3882" s="1">
        <v>46</v>
      </c>
      <c r="H3882" s="1" t="s">
        <v>4372</v>
      </c>
      <c r="I3882" s="1" t="s">
        <v>4397</v>
      </c>
      <c r="J3882" s="1" t="s">
        <v>10087</v>
      </c>
      <c r="K3882" s="1" t="s">
        <v>10089</v>
      </c>
    </row>
    <row r="3883" spans="1:11" ht="21" x14ac:dyDescent="0.25">
      <c r="A3883" s="11" t="str">
        <f>HYPERLINK("https://rth.dk/resources/bsgatlas/details.php?id=BSGatlas-transcript-3882","BSGatlas-transcript-3882")</f>
        <v>BSGatlas-transcript-3882</v>
      </c>
      <c r="B3883" s="1" t="s">
        <v>10090</v>
      </c>
      <c r="C3883" s="3">
        <v>3441121</v>
      </c>
      <c r="D3883" s="3">
        <v>3444241</v>
      </c>
      <c r="E3883" s="1" t="s">
        <v>13</v>
      </c>
      <c r="F3883" s="1">
        <v>2</v>
      </c>
      <c r="G3883" s="1">
        <v>41</v>
      </c>
      <c r="H3883" s="1" t="s">
        <v>4372</v>
      </c>
      <c r="I3883" s="1" t="s">
        <v>4386</v>
      </c>
      <c r="J3883" s="1" t="s">
        <v>10091</v>
      </c>
      <c r="K3883" s="1" t="s">
        <v>10088</v>
      </c>
    </row>
    <row r="3884" spans="1:11" ht="21" x14ac:dyDescent="0.25">
      <c r="A3884" s="11" t="str">
        <f>HYPERLINK("https://rth.dk/resources/bsgatlas/details.php?id=BSGatlas-transcript-3883","BSGatlas-transcript-3883")</f>
        <v>BSGatlas-transcript-3883</v>
      </c>
      <c r="B3884" s="1" t="s">
        <v>10090</v>
      </c>
      <c r="C3884" s="3">
        <v>3441121</v>
      </c>
      <c r="D3884" s="3">
        <v>3444241</v>
      </c>
      <c r="E3884" s="1" t="s">
        <v>13</v>
      </c>
      <c r="F3884" s="1">
        <v>2</v>
      </c>
      <c r="G3884" s="1">
        <v>41</v>
      </c>
      <c r="H3884" s="1" t="s">
        <v>4372</v>
      </c>
      <c r="I3884" s="1" t="s">
        <v>4386</v>
      </c>
      <c r="J3884" s="1" t="s">
        <v>10091</v>
      </c>
      <c r="K3884" s="1" t="s">
        <v>10089</v>
      </c>
    </row>
    <row r="3885" spans="1:11" ht="21" x14ac:dyDescent="0.25">
      <c r="A3885" s="11" t="str">
        <f>HYPERLINK("https://rth.dk/resources/bsgatlas/details.php?id=BSGatlas-transcript-3884","BSGatlas-transcript-3884")</f>
        <v>BSGatlas-transcript-3884</v>
      </c>
      <c r="B3885" s="1" t="s">
        <v>3577</v>
      </c>
      <c r="C3885" s="3">
        <v>3443896</v>
      </c>
      <c r="D3885" s="3">
        <v>3444241</v>
      </c>
      <c r="E3885" s="1" t="s">
        <v>13</v>
      </c>
      <c r="F3885" s="1">
        <v>0</v>
      </c>
      <c r="G3885" s="1" t="s">
        <v>4372</v>
      </c>
      <c r="H3885" s="1" t="s">
        <v>4372</v>
      </c>
      <c r="I3885" s="1" t="s">
        <v>4547</v>
      </c>
      <c r="J3885" s="1" t="s">
        <v>10091</v>
      </c>
      <c r="K3885" s="1" t="s">
        <v>318</v>
      </c>
    </row>
    <row r="3886" spans="1:11" ht="21" x14ac:dyDescent="0.25">
      <c r="A3886" s="11" t="str">
        <f>HYPERLINK("https://rth.dk/resources/bsgatlas/details.php?id=BSGatlas-transcript-3885","BSGatlas-transcript-3885")</f>
        <v>BSGatlas-transcript-3885</v>
      </c>
      <c r="B3886" s="1" t="s">
        <v>3578</v>
      </c>
      <c r="C3886" s="3">
        <v>3444176</v>
      </c>
      <c r="D3886" s="3">
        <v>3445405</v>
      </c>
      <c r="E3886" s="1" t="s">
        <v>9</v>
      </c>
      <c r="F3886" s="1">
        <v>0</v>
      </c>
      <c r="G3886" s="1" t="s">
        <v>4372</v>
      </c>
      <c r="H3886" s="1" t="s">
        <v>4372</v>
      </c>
      <c r="I3886" s="1" t="s">
        <v>4397</v>
      </c>
      <c r="J3886" s="1" t="s">
        <v>10092</v>
      </c>
      <c r="K3886" s="1" t="s">
        <v>10093</v>
      </c>
    </row>
    <row r="3887" spans="1:11" ht="21" x14ac:dyDescent="0.25">
      <c r="A3887" s="11" t="str">
        <f>HYPERLINK("https://rth.dk/resources/bsgatlas/details.php?id=BSGatlas-transcript-3886","BSGatlas-transcript-3886")</f>
        <v>BSGatlas-transcript-3886</v>
      </c>
      <c r="B3887" s="1" t="s">
        <v>3578</v>
      </c>
      <c r="C3887" s="3">
        <v>3444329</v>
      </c>
      <c r="D3887" s="3">
        <v>3445405</v>
      </c>
      <c r="E3887" s="1" t="s">
        <v>9</v>
      </c>
      <c r="F3887" s="1">
        <v>0</v>
      </c>
      <c r="G3887" s="1" t="s">
        <v>4372</v>
      </c>
      <c r="H3887" s="1" t="s">
        <v>4372</v>
      </c>
      <c r="I3887" s="1" t="s">
        <v>4397</v>
      </c>
      <c r="J3887" s="1" t="s">
        <v>10094</v>
      </c>
      <c r="K3887" s="1" t="s">
        <v>10093</v>
      </c>
    </row>
    <row r="3888" spans="1:11" ht="21" x14ac:dyDescent="0.25">
      <c r="A3888" s="11" t="str">
        <f>HYPERLINK("https://rth.dk/resources/bsgatlas/details.php?id=BSGatlas-transcript-3887","BSGatlas-transcript-3887")</f>
        <v>BSGatlas-transcript-3887</v>
      </c>
      <c r="B3888" s="1" t="s">
        <v>3579</v>
      </c>
      <c r="C3888" s="3">
        <v>3445398</v>
      </c>
      <c r="D3888" s="3">
        <v>3446112</v>
      </c>
      <c r="E3888" s="1" t="s">
        <v>13</v>
      </c>
      <c r="F3888" s="1">
        <v>0</v>
      </c>
      <c r="G3888" s="1" t="s">
        <v>4372</v>
      </c>
      <c r="H3888" s="1" t="s">
        <v>4372</v>
      </c>
      <c r="I3888" s="1" t="s">
        <v>4373</v>
      </c>
      <c r="J3888" s="1" t="s">
        <v>10095</v>
      </c>
      <c r="K3888" s="1" t="s">
        <v>10096</v>
      </c>
    </row>
    <row r="3889" spans="1:11" ht="21" x14ac:dyDescent="0.25">
      <c r="A3889" s="11" t="str">
        <f>HYPERLINK("https://rth.dk/resources/bsgatlas/details.php?id=BSGatlas-transcript-3888","BSGatlas-transcript-3888")</f>
        <v>BSGatlas-transcript-3888</v>
      </c>
      <c r="B3889" s="1" t="s">
        <v>3579</v>
      </c>
      <c r="C3889" s="3">
        <v>3445398</v>
      </c>
      <c r="D3889" s="3">
        <v>3446158</v>
      </c>
      <c r="E3889" s="1" t="s">
        <v>13</v>
      </c>
      <c r="F3889" s="1">
        <v>0</v>
      </c>
      <c r="G3889" s="1" t="s">
        <v>4372</v>
      </c>
      <c r="H3889" s="1" t="s">
        <v>4372</v>
      </c>
      <c r="I3889" s="1" t="s">
        <v>4373</v>
      </c>
      <c r="J3889" s="1" t="s">
        <v>10097</v>
      </c>
      <c r="K3889" s="1" t="s">
        <v>10096</v>
      </c>
    </row>
    <row r="3890" spans="1:11" ht="21" x14ac:dyDescent="0.25">
      <c r="A3890" s="11" t="str">
        <f>HYPERLINK("https://rth.dk/resources/bsgatlas/details.php?id=BSGatlas-transcript-3889","BSGatlas-transcript-3889")</f>
        <v>BSGatlas-transcript-3889</v>
      </c>
      <c r="B3890" s="1" t="s">
        <v>3580</v>
      </c>
      <c r="C3890" s="3">
        <v>3446237</v>
      </c>
      <c r="D3890" s="3">
        <v>3448183</v>
      </c>
      <c r="E3890" s="1" t="s">
        <v>13</v>
      </c>
      <c r="F3890" s="1">
        <v>0</v>
      </c>
      <c r="G3890" s="1" t="s">
        <v>4372</v>
      </c>
      <c r="H3890" s="1" t="s">
        <v>4372</v>
      </c>
      <c r="I3890" s="1" t="s">
        <v>4377</v>
      </c>
      <c r="J3890" s="1" t="s">
        <v>10098</v>
      </c>
      <c r="K3890" s="1" t="s">
        <v>318</v>
      </c>
    </row>
    <row r="3891" spans="1:11" ht="21" x14ac:dyDescent="0.25">
      <c r="A3891" s="11" t="str">
        <f>HYPERLINK("https://rth.dk/resources/bsgatlas/details.php?id=BSGatlas-transcript-3890","BSGatlas-transcript-3890")</f>
        <v>BSGatlas-transcript-3890</v>
      </c>
      <c r="B3891" s="1" t="s">
        <v>10099</v>
      </c>
      <c r="C3891" s="3">
        <v>3448260</v>
      </c>
      <c r="D3891" s="3">
        <v>3449664</v>
      </c>
      <c r="E3891" s="1" t="s">
        <v>13</v>
      </c>
      <c r="F3891" s="1">
        <v>0</v>
      </c>
      <c r="G3891" s="1" t="s">
        <v>4372</v>
      </c>
      <c r="H3891" s="1" t="s">
        <v>4372</v>
      </c>
      <c r="I3891" s="1" t="s">
        <v>4386</v>
      </c>
      <c r="J3891" s="1" t="s">
        <v>10100</v>
      </c>
      <c r="K3891" s="1" t="s">
        <v>10101</v>
      </c>
    </row>
    <row r="3892" spans="1:11" ht="21" x14ac:dyDescent="0.25">
      <c r="A3892" s="11" t="str">
        <f>HYPERLINK("https://rth.dk/resources/bsgatlas/details.php?id=BSGatlas-transcript-3891","BSGatlas-transcript-3891")</f>
        <v>BSGatlas-transcript-3891</v>
      </c>
      <c r="B3892" s="1" t="s">
        <v>3584</v>
      </c>
      <c r="C3892" s="3">
        <v>3449732</v>
      </c>
      <c r="D3892" s="3">
        <v>3450559</v>
      </c>
      <c r="E3892" s="1" t="s">
        <v>13</v>
      </c>
      <c r="F3892" s="1">
        <v>0</v>
      </c>
      <c r="G3892" s="1" t="s">
        <v>4372</v>
      </c>
      <c r="H3892" s="1" t="s">
        <v>4372</v>
      </c>
      <c r="I3892" s="1" t="s">
        <v>4386</v>
      </c>
      <c r="J3892" s="1" t="s">
        <v>10102</v>
      </c>
      <c r="K3892" s="1" t="s">
        <v>318</v>
      </c>
    </row>
    <row r="3893" spans="1:11" ht="21" x14ac:dyDescent="0.25">
      <c r="A3893" s="11" t="str">
        <f>HYPERLINK("https://rth.dk/resources/bsgatlas/details.php?id=BSGatlas-transcript-3892","BSGatlas-transcript-3892")</f>
        <v>BSGatlas-transcript-3892</v>
      </c>
      <c r="B3893" s="1" t="s">
        <v>3584</v>
      </c>
      <c r="C3893" s="3">
        <v>3449732</v>
      </c>
      <c r="D3893" s="3">
        <v>3450603</v>
      </c>
      <c r="E3893" s="1" t="s">
        <v>13</v>
      </c>
      <c r="F3893" s="1">
        <v>0</v>
      </c>
      <c r="G3893" s="1" t="s">
        <v>4372</v>
      </c>
      <c r="H3893" s="1" t="s">
        <v>4372</v>
      </c>
      <c r="I3893" s="1" t="s">
        <v>4386</v>
      </c>
      <c r="J3893" s="1" t="s">
        <v>10103</v>
      </c>
      <c r="K3893" s="1" t="s">
        <v>318</v>
      </c>
    </row>
    <row r="3894" spans="1:11" ht="21" x14ac:dyDescent="0.25">
      <c r="A3894" s="11" t="str">
        <f>HYPERLINK("https://rth.dk/resources/bsgatlas/details.php?id=BSGatlas-transcript-3893","BSGatlas-transcript-3893")</f>
        <v>BSGatlas-transcript-3893</v>
      </c>
      <c r="B3894" s="1" t="s">
        <v>3585</v>
      </c>
      <c r="C3894" s="3">
        <v>3450693</v>
      </c>
      <c r="D3894" s="3">
        <v>3451071</v>
      </c>
      <c r="E3894" s="1" t="s">
        <v>13</v>
      </c>
      <c r="F3894" s="1">
        <v>0</v>
      </c>
      <c r="G3894" s="1" t="s">
        <v>4372</v>
      </c>
      <c r="H3894" s="1" t="s">
        <v>4372</v>
      </c>
      <c r="I3894" s="1" t="s">
        <v>4547</v>
      </c>
      <c r="J3894" s="1" t="s">
        <v>10104</v>
      </c>
      <c r="K3894" s="1" t="s">
        <v>10105</v>
      </c>
    </row>
    <row r="3895" spans="1:11" ht="21" x14ac:dyDescent="0.25">
      <c r="A3895" s="11" t="str">
        <f>HYPERLINK("https://rth.dk/resources/bsgatlas/details.php?id=BSGatlas-transcript-3894","BSGatlas-transcript-3894")</f>
        <v>BSGatlas-transcript-3894</v>
      </c>
      <c r="B3895" s="1" t="s">
        <v>3585</v>
      </c>
      <c r="C3895" s="3">
        <v>3450693</v>
      </c>
      <c r="D3895" s="3">
        <v>3451131</v>
      </c>
      <c r="E3895" s="1" t="s">
        <v>13</v>
      </c>
      <c r="F3895" s="1">
        <v>0</v>
      </c>
      <c r="G3895" s="1" t="s">
        <v>4372</v>
      </c>
      <c r="H3895" s="1" t="s">
        <v>4372</v>
      </c>
      <c r="I3895" s="1" t="s">
        <v>4547</v>
      </c>
      <c r="J3895" s="1" t="s">
        <v>10106</v>
      </c>
      <c r="K3895" s="1" t="s">
        <v>10105</v>
      </c>
    </row>
    <row r="3896" spans="1:11" ht="21" x14ac:dyDescent="0.25">
      <c r="A3896" s="11" t="str">
        <f>HYPERLINK("https://rth.dk/resources/bsgatlas/details.php?id=BSGatlas-transcript-3895","BSGatlas-transcript-3895")</f>
        <v>BSGatlas-transcript-3895</v>
      </c>
      <c r="B3896" s="1" t="s">
        <v>3585</v>
      </c>
      <c r="C3896" s="3">
        <v>3450693</v>
      </c>
      <c r="D3896" s="3">
        <v>3451197</v>
      </c>
      <c r="E3896" s="1" t="s">
        <v>13</v>
      </c>
      <c r="F3896" s="1">
        <v>0</v>
      </c>
      <c r="G3896" s="1" t="s">
        <v>4372</v>
      </c>
      <c r="H3896" s="1" t="s">
        <v>4372</v>
      </c>
      <c r="I3896" s="1" t="s">
        <v>4547</v>
      </c>
      <c r="J3896" s="1" t="s">
        <v>10107</v>
      </c>
      <c r="K3896" s="1" t="s">
        <v>10105</v>
      </c>
    </row>
    <row r="3897" spans="1:11" ht="21" x14ac:dyDescent="0.25">
      <c r="A3897" s="11" t="str">
        <f>HYPERLINK("https://rth.dk/resources/bsgatlas/details.php?id=BSGatlas-transcript-3896","BSGatlas-transcript-3896")</f>
        <v>BSGatlas-transcript-3896</v>
      </c>
      <c r="B3897" s="1" t="s">
        <v>10108</v>
      </c>
      <c r="C3897" s="3">
        <v>3450693</v>
      </c>
      <c r="D3897" s="3">
        <v>3451765</v>
      </c>
      <c r="E3897" s="1" t="s">
        <v>13</v>
      </c>
      <c r="F3897" s="1">
        <v>1</v>
      </c>
      <c r="G3897" s="1">
        <v>48</v>
      </c>
      <c r="H3897" s="1">
        <v>16</v>
      </c>
      <c r="I3897" s="1" t="s">
        <v>4397</v>
      </c>
      <c r="J3897" s="1" t="s">
        <v>10109</v>
      </c>
      <c r="K3897" s="1" t="s">
        <v>10105</v>
      </c>
    </row>
    <row r="3898" spans="1:11" ht="21" x14ac:dyDescent="0.25">
      <c r="A3898" s="11" t="str">
        <f>HYPERLINK("https://rth.dk/resources/bsgatlas/details.php?id=BSGatlas-transcript-3897","BSGatlas-transcript-3897")</f>
        <v>BSGatlas-transcript-3897</v>
      </c>
      <c r="B3898" s="1" t="s">
        <v>10110</v>
      </c>
      <c r="C3898" s="3">
        <v>3450693</v>
      </c>
      <c r="D3898" s="3">
        <v>3454961</v>
      </c>
      <c r="E3898" s="1" t="s">
        <v>13</v>
      </c>
      <c r="F3898" s="1">
        <v>3</v>
      </c>
      <c r="G3898" s="1" t="s">
        <v>4372</v>
      </c>
      <c r="H3898" s="1">
        <v>16</v>
      </c>
      <c r="I3898" s="1" t="s">
        <v>4397</v>
      </c>
      <c r="J3898" s="1" t="s">
        <v>10111</v>
      </c>
      <c r="K3898" s="1" t="s">
        <v>10105</v>
      </c>
    </row>
    <row r="3899" spans="1:11" ht="21" x14ac:dyDescent="0.25">
      <c r="A3899" s="11" t="str">
        <f>HYPERLINK("https://rth.dk/resources/bsgatlas/details.php?id=BSGatlas-transcript-3898","BSGatlas-transcript-3898")</f>
        <v>BSGatlas-transcript-3898</v>
      </c>
      <c r="B3899" s="1" t="s">
        <v>10110</v>
      </c>
      <c r="C3899" s="3">
        <v>3450693</v>
      </c>
      <c r="D3899" s="3">
        <v>3454991</v>
      </c>
      <c r="E3899" s="1" t="s">
        <v>13</v>
      </c>
      <c r="F3899" s="1">
        <v>3</v>
      </c>
      <c r="G3899" s="1">
        <v>31</v>
      </c>
      <c r="H3899" s="1">
        <v>16</v>
      </c>
      <c r="I3899" s="1" t="s">
        <v>4397</v>
      </c>
      <c r="J3899" s="1" t="s">
        <v>10112</v>
      </c>
      <c r="K3899" s="1" t="s">
        <v>10105</v>
      </c>
    </row>
    <row r="3900" spans="1:11" ht="21" x14ac:dyDescent="0.25">
      <c r="A3900" s="11" t="str">
        <f>HYPERLINK("https://rth.dk/resources/bsgatlas/details.php?id=BSGatlas-transcript-3899","BSGatlas-transcript-3899")</f>
        <v>BSGatlas-transcript-3899</v>
      </c>
      <c r="B3900" s="1" t="s">
        <v>10113</v>
      </c>
      <c r="C3900" s="3">
        <v>3450693</v>
      </c>
      <c r="D3900" s="3">
        <v>3455354</v>
      </c>
      <c r="E3900" s="1" t="s">
        <v>13</v>
      </c>
      <c r="F3900" s="1">
        <v>4</v>
      </c>
      <c r="G3900" s="1">
        <v>32</v>
      </c>
      <c r="H3900" s="1">
        <v>16</v>
      </c>
      <c r="I3900" s="1" t="s">
        <v>4397</v>
      </c>
      <c r="J3900" s="1" t="s">
        <v>10114</v>
      </c>
      <c r="K3900" s="1" t="s">
        <v>10105</v>
      </c>
    </row>
    <row r="3901" spans="1:11" ht="21" x14ac:dyDescent="0.25">
      <c r="A3901" s="11" t="str">
        <f>HYPERLINK("https://rth.dk/resources/bsgatlas/details.php?id=BSGatlas-transcript-3900","BSGatlas-transcript-3900")</f>
        <v>BSGatlas-transcript-3900</v>
      </c>
      <c r="B3901" s="1" t="s">
        <v>3589</v>
      </c>
      <c r="C3901" s="3">
        <v>3455069</v>
      </c>
      <c r="D3901" s="3">
        <v>3455354</v>
      </c>
      <c r="E3901" s="1" t="s">
        <v>13</v>
      </c>
      <c r="F3901" s="1">
        <v>0</v>
      </c>
      <c r="G3901" s="1" t="s">
        <v>4372</v>
      </c>
      <c r="H3901" s="1" t="s">
        <v>4372</v>
      </c>
      <c r="I3901" s="1" t="s">
        <v>4377</v>
      </c>
      <c r="J3901" s="1" t="s">
        <v>10114</v>
      </c>
      <c r="K3901" s="1" t="s">
        <v>10115</v>
      </c>
    </row>
    <row r="3902" spans="1:11" ht="21" x14ac:dyDescent="0.25">
      <c r="A3902" s="11" t="str">
        <f>HYPERLINK("https://rth.dk/resources/bsgatlas/details.php?id=BSGatlas-transcript-3901","BSGatlas-transcript-3901")</f>
        <v>BSGatlas-transcript-3901</v>
      </c>
      <c r="B3902" s="1" t="s">
        <v>3590</v>
      </c>
      <c r="C3902" s="3">
        <v>3455433</v>
      </c>
      <c r="D3902" s="3">
        <v>3456285</v>
      </c>
      <c r="E3902" s="1" t="s">
        <v>9</v>
      </c>
      <c r="F3902" s="1">
        <v>0</v>
      </c>
      <c r="G3902" s="1" t="s">
        <v>4372</v>
      </c>
      <c r="H3902" s="1" t="s">
        <v>4372</v>
      </c>
      <c r="I3902" s="1" t="s">
        <v>4373</v>
      </c>
      <c r="J3902" s="1" t="s">
        <v>10116</v>
      </c>
      <c r="K3902" s="1" t="s">
        <v>10117</v>
      </c>
    </row>
    <row r="3903" spans="1:11" ht="21" x14ac:dyDescent="0.25">
      <c r="A3903" s="11" t="str">
        <f>HYPERLINK("https://rth.dk/resources/bsgatlas/details.php?id=BSGatlas-transcript-3902","BSGatlas-transcript-3902")</f>
        <v>BSGatlas-transcript-3902</v>
      </c>
      <c r="B3903" s="1" t="s">
        <v>3590</v>
      </c>
      <c r="C3903" s="3">
        <v>3455472</v>
      </c>
      <c r="D3903" s="3">
        <v>3456285</v>
      </c>
      <c r="E3903" s="1" t="s">
        <v>9</v>
      </c>
      <c r="F3903" s="1">
        <v>0</v>
      </c>
      <c r="G3903" s="1" t="s">
        <v>4372</v>
      </c>
      <c r="H3903" s="1" t="s">
        <v>4372</v>
      </c>
      <c r="I3903" s="1" t="s">
        <v>4373</v>
      </c>
      <c r="J3903" s="1" t="s">
        <v>10118</v>
      </c>
      <c r="K3903" s="1" t="s">
        <v>10117</v>
      </c>
    </row>
    <row r="3904" spans="1:11" ht="21" x14ac:dyDescent="0.25">
      <c r="A3904" s="11" t="str">
        <f>HYPERLINK("https://rth.dk/resources/bsgatlas/details.php?id=BSGatlas-transcript-3903","BSGatlas-transcript-3903")</f>
        <v>BSGatlas-transcript-3903</v>
      </c>
      <c r="B3904" s="1" t="s">
        <v>3591</v>
      </c>
      <c r="C3904" s="3">
        <v>3456282</v>
      </c>
      <c r="D3904" s="3">
        <v>3456515</v>
      </c>
      <c r="E3904" s="1" t="s">
        <v>13</v>
      </c>
      <c r="F3904" s="1">
        <v>0</v>
      </c>
      <c r="G3904" s="1" t="s">
        <v>4372</v>
      </c>
      <c r="H3904" s="1" t="s">
        <v>4372</v>
      </c>
      <c r="I3904" s="1" t="s">
        <v>4547</v>
      </c>
      <c r="J3904" s="1" t="s">
        <v>318</v>
      </c>
      <c r="K3904" s="1" t="s">
        <v>318</v>
      </c>
    </row>
    <row r="3905" spans="1:11" ht="21" x14ac:dyDescent="0.25">
      <c r="A3905" s="11" t="str">
        <f>HYPERLINK("https://rth.dk/resources/bsgatlas/details.php?id=BSGatlas-transcript-3904","BSGatlas-transcript-3904")</f>
        <v>BSGatlas-transcript-3904</v>
      </c>
      <c r="B3905" s="1" t="s">
        <v>3592</v>
      </c>
      <c r="C3905" s="3">
        <v>3456621</v>
      </c>
      <c r="D3905" s="3">
        <v>3457074</v>
      </c>
      <c r="E3905" s="1" t="s">
        <v>9</v>
      </c>
      <c r="F3905" s="1">
        <v>0</v>
      </c>
      <c r="G3905" s="1" t="s">
        <v>4372</v>
      </c>
      <c r="H3905" s="1" t="s">
        <v>4372</v>
      </c>
      <c r="I3905" s="1" t="s">
        <v>4377</v>
      </c>
      <c r="J3905" s="1" t="s">
        <v>10119</v>
      </c>
      <c r="K3905" s="1" t="s">
        <v>318</v>
      </c>
    </row>
    <row r="3906" spans="1:11" ht="21" x14ac:dyDescent="0.25">
      <c r="A3906" s="11" t="str">
        <f>HYPERLINK("https://rth.dk/resources/bsgatlas/details.php?id=BSGatlas-transcript-3905","BSGatlas-transcript-3905")</f>
        <v>BSGatlas-transcript-3905</v>
      </c>
      <c r="B3906" s="1" t="s">
        <v>3593</v>
      </c>
      <c r="C3906" s="3">
        <v>3457589</v>
      </c>
      <c r="D3906" s="3">
        <v>3457941</v>
      </c>
      <c r="E3906" s="1" t="s">
        <v>9</v>
      </c>
      <c r="F3906" s="1">
        <v>0</v>
      </c>
      <c r="G3906" s="1" t="s">
        <v>4372</v>
      </c>
      <c r="H3906" s="1" t="s">
        <v>4372</v>
      </c>
      <c r="I3906" s="1" t="s">
        <v>4386</v>
      </c>
      <c r="J3906" s="1" t="s">
        <v>10120</v>
      </c>
      <c r="K3906" s="1" t="s">
        <v>318</v>
      </c>
    </row>
    <row r="3907" spans="1:11" ht="21" x14ac:dyDescent="0.25">
      <c r="A3907" s="11" t="str">
        <f>HYPERLINK("https://rth.dk/resources/bsgatlas/details.php?id=BSGatlas-transcript-3906","BSGatlas-transcript-3906")</f>
        <v>BSGatlas-transcript-3906</v>
      </c>
      <c r="B3907" s="1" t="s">
        <v>3594</v>
      </c>
      <c r="C3907" s="3">
        <v>3458028</v>
      </c>
      <c r="D3907" s="3">
        <v>3459766</v>
      </c>
      <c r="E3907" s="1" t="s">
        <v>9</v>
      </c>
      <c r="F3907" s="1">
        <v>0</v>
      </c>
      <c r="G3907" s="1" t="s">
        <v>4372</v>
      </c>
      <c r="H3907" s="1" t="s">
        <v>4372</v>
      </c>
      <c r="I3907" s="1" t="s">
        <v>4386</v>
      </c>
      <c r="J3907" s="1" t="s">
        <v>10121</v>
      </c>
      <c r="K3907" s="1" t="s">
        <v>10122</v>
      </c>
    </row>
    <row r="3908" spans="1:11" ht="21" x14ac:dyDescent="0.25">
      <c r="A3908" s="11" t="str">
        <f>HYPERLINK("https://rth.dk/resources/bsgatlas/details.php?id=BSGatlas-transcript-3907","BSGatlas-transcript-3907")</f>
        <v>BSGatlas-transcript-3907</v>
      </c>
      <c r="B3908" s="1" t="s">
        <v>10123</v>
      </c>
      <c r="C3908" s="3">
        <v>3458749</v>
      </c>
      <c r="D3908" s="3">
        <v>3463319</v>
      </c>
      <c r="E3908" s="1" t="s">
        <v>13</v>
      </c>
      <c r="F3908" s="1">
        <v>2</v>
      </c>
      <c r="G3908" s="1">
        <v>70</v>
      </c>
      <c r="H3908" s="1">
        <v>1058</v>
      </c>
      <c r="I3908" s="1" t="s">
        <v>4373</v>
      </c>
      <c r="J3908" s="1" t="s">
        <v>10124</v>
      </c>
      <c r="K3908" s="1" t="s">
        <v>10125</v>
      </c>
    </row>
    <row r="3909" spans="1:11" ht="21" x14ac:dyDescent="0.25">
      <c r="A3909" s="11" t="str">
        <f>HYPERLINK("https://rth.dk/resources/bsgatlas/details.php?id=BSGatlas-transcript-3908","BSGatlas-transcript-3908")</f>
        <v>BSGatlas-transcript-3908</v>
      </c>
      <c r="B3909" s="1" t="s">
        <v>10123</v>
      </c>
      <c r="C3909" s="3">
        <v>3459762</v>
      </c>
      <c r="D3909" s="3">
        <v>3463319</v>
      </c>
      <c r="E3909" s="1" t="s">
        <v>13</v>
      </c>
      <c r="F3909" s="1">
        <v>2</v>
      </c>
      <c r="G3909" s="1">
        <v>70</v>
      </c>
      <c r="H3909" s="1">
        <v>45</v>
      </c>
      <c r="I3909" s="1" t="s">
        <v>4373</v>
      </c>
      <c r="J3909" s="1" t="s">
        <v>10124</v>
      </c>
      <c r="K3909" s="1" t="s">
        <v>10126</v>
      </c>
    </row>
    <row r="3910" spans="1:11" ht="21" x14ac:dyDescent="0.25">
      <c r="A3910" s="11" t="str">
        <f>HYPERLINK("https://rth.dk/resources/bsgatlas/details.php?id=BSGatlas-transcript-3909","BSGatlas-transcript-3909")</f>
        <v>BSGatlas-transcript-3909</v>
      </c>
      <c r="B3910" s="1" t="s">
        <v>3599</v>
      </c>
      <c r="C3910" s="3">
        <v>3460206</v>
      </c>
      <c r="D3910" s="3">
        <v>3462957</v>
      </c>
      <c r="E3910" s="1" t="s">
        <v>9</v>
      </c>
      <c r="F3910" s="1">
        <v>0</v>
      </c>
      <c r="G3910" s="1" t="s">
        <v>4372</v>
      </c>
      <c r="H3910" s="1" t="s">
        <v>4372</v>
      </c>
      <c r="I3910" s="1" t="s">
        <v>4377</v>
      </c>
      <c r="J3910" s="1" t="s">
        <v>10127</v>
      </c>
      <c r="K3910" s="1" t="s">
        <v>318</v>
      </c>
    </row>
    <row r="3911" spans="1:11" ht="21" x14ac:dyDescent="0.25">
      <c r="A3911" s="11" t="str">
        <f>HYPERLINK("https://rth.dk/resources/bsgatlas/details.php?id=BSGatlas-transcript-3910","BSGatlas-transcript-3910")</f>
        <v>BSGatlas-transcript-3910</v>
      </c>
      <c r="B3911" s="1" t="s">
        <v>3600</v>
      </c>
      <c r="C3911" s="3">
        <v>3463374</v>
      </c>
      <c r="D3911" s="3">
        <v>3464067</v>
      </c>
      <c r="E3911" s="1" t="s">
        <v>9</v>
      </c>
      <c r="F3911" s="1">
        <v>0</v>
      </c>
      <c r="G3911" s="1" t="s">
        <v>4372</v>
      </c>
      <c r="H3911" s="1" t="s">
        <v>4372</v>
      </c>
      <c r="I3911" s="1" t="s">
        <v>4386</v>
      </c>
      <c r="J3911" s="1" t="s">
        <v>10128</v>
      </c>
      <c r="K3911" s="1" t="s">
        <v>10129</v>
      </c>
    </row>
    <row r="3912" spans="1:11" ht="21" x14ac:dyDescent="0.25">
      <c r="A3912" s="11" t="str">
        <f>HYPERLINK("https://rth.dk/resources/bsgatlas/details.php?id=BSGatlas-transcript-3911","BSGatlas-transcript-3911")</f>
        <v>BSGatlas-transcript-3911</v>
      </c>
      <c r="B3912" s="1" t="s">
        <v>3600</v>
      </c>
      <c r="C3912" s="3">
        <v>3463492</v>
      </c>
      <c r="D3912" s="3">
        <v>3464067</v>
      </c>
      <c r="E3912" s="1" t="s">
        <v>9</v>
      </c>
      <c r="F3912" s="1">
        <v>0</v>
      </c>
      <c r="G3912" s="1" t="s">
        <v>4372</v>
      </c>
      <c r="H3912" s="1" t="s">
        <v>4372</v>
      </c>
      <c r="I3912" s="1" t="s">
        <v>4386</v>
      </c>
      <c r="J3912" s="1" t="s">
        <v>10130</v>
      </c>
      <c r="K3912" s="1" t="s">
        <v>10129</v>
      </c>
    </row>
    <row r="3913" spans="1:11" ht="21" x14ac:dyDescent="0.25">
      <c r="A3913" s="11" t="str">
        <f>HYPERLINK("https://rth.dk/resources/bsgatlas/details.php?id=BSGatlas-transcript-3912","BSGatlas-transcript-3912")</f>
        <v>BSGatlas-transcript-3912</v>
      </c>
      <c r="B3913" s="1" t="s">
        <v>3601</v>
      </c>
      <c r="C3913" s="3">
        <v>3463734</v>
      </c>
      <c r="D3913" s="3">
        <v>3464253</v>
      </c>
      <c r="E3913" s="1" t="s">
        <v>13</v>
      </c>
      <c r="F3913" s="1">
        <v>0</v>
      </c>
      <c r="G3913" s="1" t="s">
        <v>4372</v>
      </c>
      <c r="H3913" s="1" t="s">
        <v>4372</v>
      </c>
      <c r="I3913" s="1" t="s">
        <v>4377</v>
      </c>
      <c r="J3913" s="1" t="s">
        <v>10131</v>
      </c>
      <c r="K3913" s="1" t="s">
        <v>318</v>
      </c>
    </row>
    <row r="3914" spans="1:11" ht="21" x14ac:dyDescent="0.25">
      <c r="A3914" s="11" t="str">
        <f>HYPERLINK("https://rth.dk/resources/bsgatlas/details.php?id=BSGatlas-transcript-3913","BSGatlas-transcript-3913")</f>
        <v>BSGatlas-transcript-3913</v>
      </c>
      <c r="B3914" s="1" t="s">
        <v>3601</v>
      </c>
      <c r="C3914" s="3">
        <v>3463734</v>
      </c>
      <c r="D3914" s="3">
        <v>3464324</v>
      </c>
      <c r="E3914" s="1" t="s">
        <v>13</v>
      </c>
      <c r="F3914" s="1">
        <v>0</v>
      </c>
      <c r="G3914" s="1" t="s">
        <v>4372</v>
      </c>
      <c r="H3914" s="1" t="s">
        <v>4372</v>
      </c>
      <c r="I3914" s="1" t="s">
        <v>4377</v>
      </c>
      <c r="J3914" s="1" t="s">
        <v>10132</v>
      </c>
      <c r="K3914" s="1" t="s">
        <v>318</v>
      </c>
    </row>
    <row r="3915" spans="1:11" ht="21" x14ac:dyDescent="0.25">
      <c r="A3915" s="11" t="str">
        <f>HYPERLINK("https://rth.dk/resources/bsgatlas/details.php?id=BSGatlas-transcript-3914","BSGatlas-transcript-3914")</f>
        <v>BSGatlas-transcript-3914</v>
      </c>
      <c r="B3915" s="1" t="s">
        <v>3601</v>
      </c>
      <c r="C3915" s="3">
        <v>3463734</v>
      </c>
      <c r="D3915" s="3">
        <v>3465663</v>
      </c>
      <c r="E3915" s="1" t="s">
        <v>13</v>
      </c>
      <c r="F3915" s="1">
        <v>0</v>
      </c>
      <c r="G3915" s="1" t="s">
        <v>4372</v>
      </c>
      <c r="H3915" s="1" t="s">
        <v>4372</v>
      </c>
      <c r="I3915" s="1" t="s">
        <v>4377</v>
      </c>
      <c r="J3915" s="1" t="s">
        <v>10133</v>
      </c>
      <c r="K3915" s="1" t="s">
        <v>318</v>
      </c>
    </row>
    <row r="3916" spans="1:11" ht="21" x14ac:dyDescent="0.25">
      <c r="A3916" s="11" t="str">
        <f>HYPERLINK("https://rth.dk/resources/bsgatlas/details.php?id=BSGatlas-transcript-3915","BSGatlas-transcript-3915")</f>
        <v>BSGatlas-transcript-3915</v>
      </c>
      <c r="B3916" s="1" t="s">
        <v>10134</v>
      </c>
      <c r="C3916" s="3">
        <v>3464210</v>
      </c>
      <c r="D3916" s="3">
        <v>3466444</v>
      </c>
      <c r="E3916" s="1" t="s">
        <v>9</v>
      </c>
      <c r="F3916" s="1">
        <v>1</v>
      </c>
      <c r="G3916" s="1">
        <v>80</v>
      </c>
      <c r="H3916" s="1">
        <v>58</v>
      </c>
      <c r="I3916" s="1" t="s">
        <v>4373</v>
      </c>
      <c r="J3916" s="1" t="s">
        <v>10135</v>
      </c>
      <c r="K3916" s="1" t="s">
        <v>10136</v>
      </c>
    </row>
    <row r="3917" spans="1:11" ht="21" x14ac:dyDescent="0.25">
      <c r="A3917" s="11" t="str">
        <f>HYPERLINK("https://rth.dk/resources/bsgatlas/details.php?id=BSGatlas-transcript-3916","BSGatlas-transcript-3916")</f>
        <v>BSGatlas-transcript-3916</v>
      </c>
      <c r="B3917" s="1" t="s">
        <v>10134</v>
      </c>
      <c r="C3917" s="3">
        <v>3464210</v>
      </c>
      <c r="D3917" s="3">
        <v>3467583</v>
      </c>
      <c r="E3917" s="1" t="s">
        <v>9</v>
      </c>
      <c r="F3917" s="1">
        <v>1</v>
      </c>
      <c r="G3917" s="1">
        <v>80</v>
      </c>
      <c r="H3917" s="1">
        <v>1197</v>
      </c>
      <c r="I3917" s="1" t="s">
        <v>4373</v>
      </c>
      <c r="J3917" s="1" t="s">
        <v>10135</v>
      </c>
      <c r="K3917" s="1" t="s">
        <v>10137</v>
      </c>
    </row>
    <row r="3918" spans="1:11" ht="21" x14ac:dyDescent="0.25">
      <c r="A3918" s="11" t="str">
        <f>HYPERLINK("https://rth.dk/resources/bsgatlas/details.php?id=BSGatlas-transcript-3917","BSGatlas-transcript-3917")</f>
        <v>BSGatlas-transcript-3917</v>
      </c>
      <c r="B3918" s="1" t="s">
        <v>3604</v>
      </c>
      <c r="C3918" s="3">
        <v>3465630</v>
      </c>
      <c r="D3918" s="3">
        <v>3466444</v>
      </c>
      <c r="E3918" s="1" t="s">
        <v>9</v>
      </c>
      <c r="F3918" s="1">
        <v>0</v>
      </c>
      <c r="G3918" s="1" t="s">
        <v>4372</v>
      </c>
      <c r="H3918" s="1" t="s">
        <v>4372</v>
      </c>
      <c r="I3918" s="1" t="s">
        <v>4377</v>
      </c>
      <c r="J3918" s="1" t="s">
        <v>10138</v>
      </c>
      <c r="K3918" s="1" t="s">
        <v>10136</v>
      </c>
    </row>
    <row r="3919" spans="1:11" ht="21" x14ac:dyDescent="0.25">
      <c r="A3919" s="11" t="str">
        <f>HYPERLINK("https://rth.dk/resources/bsgatlas/details.php?id=BSGatlas-transcript-3918","BSGatlas-transcript-3918")</f>
        <v>BSGatlas-transcript-3918</v>
      </c>
      <c r="B3919" s="1" t="s">
        <v>3604</v>
      </c>
      <c r="C3919" s="3">
        <v>3465630</v>
      </c>
      <c r="D3919" s="3">
        <v>3467583</v>
      </c>
      <c r="E3919" s="1" t="s">
        <v>9</v>
      </c>
      <c r="F3919" s="1">
        <v>0</v>
      </c>
      <c r="G3919" s="1" t="s">
        <v>4372</v>
      </c>
      <c r="H3919" s="1" t="s">
        <v>4372</v>
      </c>
      <c r="I3919" s="1" t="s">
        <v>4377</v>
      </c>
      <c r="J3919" s="1" t="s">
        <v>10138</v>
      </c>
      <c r="K3919" s="1" t="s">
        <v>10137</v>
      </c>
    </row>
    <row r="3920" spans="1:11" ht="21" x14ac:dyDescent="0.25">
      <c r="A3920" s="11" t="str">
        <f>HYPERLINK("https://rth.dk/resources/bsgatlas/details.php?id=BSGatlas-transcript-3919","BSGatlas-transcript-3919")</f>
        <v>BSGatlas-transcript-3919</v>
      </c>
      <c r="B3920" s="1" t="s">
        <v>10139</v>
      </c>
      <c r="C3920" s="3">
        <v>3465672</v>
      </c>
      <c r="D3920" s="3">
        <v>3467384</v>
      </c>
      <c r="E3920" s="1" t="s">
        <v>13</v>
      </c>
      <c r="F3920" s="1">
        <v>0</v>
      </c>
      <c r="G3920" s="1" t="s">
        <v>4372</v>
      </c>
      <c r="H3920" s="1" t="s">
        <v>4372</v>
      </c>
      <c r="I3920" s="1" t="s">
        <v>4373</v>
      </c>
      <c r="J3920" s="1" t="s">
        <v>10140</v>
      </c>
      <c r="K3920" s="1" t="s">
        <v>10141</v>
      </c>
    </row>
    <row r="3921" spans="1:11" ht="21" x14ac:dyDescent="0.25">
      <c r="A3921" s="11" t="str">
        <f>HYPERLINK("https://rth.dk/resources/bsgatlas/details.php?id=BSGatlas-transcript-3920","BSGatlas-transcript-3920")</f>
        <v>BSGatlas-transcript-3920</v>
      </c>
      <c r="B3921" s="1" t="s">
        <v>10139</v>
      </c>
      <c r="C3921" s="3">
        <v>3466090</v>
      </c>
      <c r="D3921" s="3">
        <v>3467384</v>
      </c>
      <c r="E3921" s="1" t="s">
        <v>13</v>
      </c>
      <c r="F3921" s="1">
        <v>0</v>
      </c>
      <c r="G3921" s="1" t="s">
        <v>4372</v>
      </c>
      <c r="H3921" s="1" t="s">
        <v>4372</v>
      </c>
      <c r="I3921" s="1" t="s">
        <v>4373</v>
      </c>
      <c r="J3921" s="1" t="s">
        <v>10140</v>
      </c>
      <c r="K3921" s="1" t="s">
        <v>10142</v>
      </c>
    </row>
    <row r="3922" spans="1:11" ht="21" x14ac:dyDescent="0.25">
      <c r="A3922" s="11" t="str">
        <f>HYPERLINK("https://rth.dk/resources/bsgatlas/details.php?id=BSGatlas-transcript-3921","BSGatlas-transcript-3921")</f>
        <v>BSGatlas-transcript-3921</v>
      </c>
      <c r="B3922" s="1" t="s">
        <v>10139</v>
      </c>
      <c r="C3922" s="3">
        <v>3466383</v>
      </c>
      <c r="D3922" s="3">
        <v>3467384</v>
      </c>
      <c r="E3922" s="1" t="s">
        <v>13</v>
      </c>
      <c r="F3922" s="1">
        <v>0</v>
      </c>
      <c r="G3922" s="1" t="s">
        <v>4372</v>
      </c>
      <c r="H3922" s="1" t="s">
        <v>4372</v>
      </c>
      <c r="I3922" s="1" t="s">
        <v>4373</v>
      </c>
      <c r="J3922" s="1" t="s">
        <v>10140</v>
      </c>
      <c r="K3922" s="1" t="s">
        <v>10143</v>
      </c>
    </row>
    <row r="3923" spans="1:11" ht="21" x14ac:dyDescent="0.25">
      <c r="A3923" s="11" t="str">
        <f>HYPERLINK("https://rth.dk/resources/bsgatlas/details.php?id=BSGatlas-transcript-3922","BSGatlas-transcript-3922")</f>
        <v>BSGatlas-transcript-3922</v>
      </c>
      <c r="B3923" s="1" t="s">
        <v>10144</v>
      </c>
      <c r="C3923" s="3">
        <v>3467546</v>
      </c>
      <c r="D3923" s="3">
        <v>3471061</v>
      </c>
      <c r="E3923" s="1" t="s">
        <v>13</v>
      </c>
      <c r="F3923" s="1">
        <v>3</v>
      </c>
      <c r="G3923" s="1">
        <v>60</v>
      </c>
      <c r="H3923" s="1" t="s">
        <v>4372</v>
      </c>
      <c r="I3923" s="1" t="s">
        <v>4397</v>
      </c>
      <c r="J3923" s="1" t="s">
        <v>10145</v>
      </c>
      <c r="K3923" s="1" t="s">
        <v>10146</v>
      </c>
    </row>
    <row r="3924" spans="1:11" ht="21" x14ac:dyDescent="0.25">
      <c r="A3924" s="11" t="str">
        <f>HYPERLINK("https://rth.dk/resources/bsgatlas/details.php?id=BSGatlas-transcript-3923","BSGatlas-transcript-3923")</f>
        <v>BSGatlas-transcript-3923</v>
      </c>
      <c r="B3924" s="1" t="s">
        <v>3611</v>
      </c>
      <c r="C3924" s="3">
        <v>3471230</v>
      </c>
      <c r="D3924" s="3">
        <v>3471823</v>
      </c>
      <c r="E3924" s="1" t="s">
        <v>9</v>
      </c>
      <c r="F3924" s="1">
        <v>0</v>
      </c>
      <c r="G3924" s="1" t="s">
        <v>4372</v>
      </c>
      <c r="H3924" s="1" t="s">
        <v>4372</v>
      </c>
      <c r="I3924" s="1" t="s">
        <v>4397</v>
      </c>
      <c r="J3924" s="1" t="s">
        <v>10147</v>
      </c>
      <c r="K3924" s="1" t="s">
        <v>318</v>
      </c>
    </row>
    <row r="3925" spans="1:11" ht="21" x14ac:dyDescent="0.25">
      <c r="A3925" s="11" t="str">
        <f>HYPERLINK("https://rth.dk/resources/bsgatlas/details.php?id=BSGatlas-transcript-3924","BSGatlas-transcript-3924")</f>
        <v>BSGatlas-transcript-3924</v>
      </c>
      <c r="B3925" s="1" t="s">
        <v>3612</v>
      </c>
      <c r="C3925" s="3">
        <v>3471841</v>
      </c>
      <c r="D3925" s="3">
        <v>3472523</v>
      </c>
      <c r="E3925" s="1" t="s">
        <v>13</v>
      </c>
      <c r="F3925" s="1">
        <v>0</v>
      </c>
      <c r="G3925" s="1" t="s">
        <v>4372</v>
      </c>
      <c r="H3925" s="1" t="s">
        <v>4372</v>
      </c>
      <c r="I3925" s="1" t="s">
        <v>4397</v>
      </c>
      <c r="J3925" s="1" t="s">
        <v>10148</v>
      </c>
      <c r="K3925" s="1" t="s">
        <v>10149</v>
      </c>
    </row>
    <row r="3926" spans="1:11" ht="21" x14ac:dyDescent="0.25">
      <c r="A3926" s="11" t="str">
        <f>HYPERLINK("https://rth.dk/resources/bsgatlas/details.php?id=BSGatlas-transcript-3925","BSGatlas-transcript-3925")</f>
        <v>BSGatlas-transcript-3925</v>
      </c>
      <c r="B3926" s="1" t="s">
        <v>3613</v>
      </c>
      <c r="C3926" s="3">
        <v>3472590</v>
      </c>
      <c r="D3926" s="3">
        <v>3473240</v>
      </c>
      <c r="E3926" s="1" t="s">
        <v>9</v>
      </c>
      <c r="F3926" s="1">
        <v>0</v>
      </c>
      <c r="G3926" s="1" t="s">
        <v>4372</v>
      </c>
      <c r="H3926" s="1" t="s">
        <v>4372</v>
      </c>
      <c r="I3926" s="1" t="s">
        <v>4386</v>
      </c>
      <c r="J3926" s="1" t="s">
        <v>10150</v>
      </c>
      <c r="K3926" s="1" t="s">
        <v>10151</v>
      </c>
    </row>
    <row r="3927" spans="1:11" ht="21" x14ac:dyDescent="0.25">
      <c r="A3927" s="11" t="str">
        <f>HYPERLINK("https://rth.dk/resources/bsgatlas/details.php?id=BSGatlas-transcript-3926","BSGatlas-transcript-3926")</f>
        <v>BSGatlas-transcript-3926</v>
      </c>
      <c r="B3927" s="1" t="s">
        <v>3614</v>
      </c>
      <c r="C3927" s="3">
        <v>3473320</v>
      </c>
      <c r="D3927" s="3">
        <v>3474070</v>
      </c>
      <c r="E3927" s="1" t="s">
        <v>9</v>
      </c>
      <c r="F3927" s="1">
        <v>0</v>
      </c>
      <c r="G3927" s="1" t="s">
        <v>4372</v>
      </c>
      <c r="H3927" s="1" t="s">
        <v>4372</v>
      </c>
      <c r="I3927" s="1" t="s">
        <v>4386</v>
      </c>
      <c r="J3927" s="1" t="s">
        <v>10152</v>
      </c>
      <c r="K3927" s="1" t="s">
        <v>10153</v>
      </c>
    </row>
    <row r="3928" spans="1:11" ht="21" x14ac:dyDescent="0.25">
      <c r="A3928" s="11" t="str">
        <f>HYPERLINK("https://rth.dk/resources/bsgatlas/details.php?id=BSGatlas-transcript-3927","BSGatlas-transcript-3927")</f>
        <v>BSGatlas-transcript-3927</v>
      </c>
      <c r="B3928" s="1" t="s">
        <v>3615</v>
      </c>
      <c r="C3928" s="3">
        <v>3474106</v>
      </c>
      <c r="D3928" s="3">
        <v>3475978</v>
      </c>
      <c r="E3928" s="1" t="s">
        <v>13</v>
      </c>
      <c r="F3928" s="1">
        <v>0</v>
      </c>
      <c r="G3928" s="1" t="s">
        <v>4372</v>
      </c>
      <c r="H3928" s="1" t="s">
        <v>4372</v>
      </c>
      <c r="I3928" s="1" t="s">
        <v>4397</v>
      </c>
      <c r="J3928" s="1" t="s">
        <v>10154</v>
      </c>
      <c r="K3928" s="1" t="s">
        <v>10155</v>
      </c>
    </row>
    <row r="3929" spans="1:11" ht="21" x14ac:dyDescent="0.25">
      <c r="A3929" s="11" t="str">
        <f>HYPERLINK("https://rth.dk/resources/bsgatlas/details.php?id=BSGatlas-transcript-3928","BSGatlas-transcript-3928")</f>
        <v>BSGatlas-transcript-3928</v>
      </c>
      <c r="B3929" s="1" t="s">
        <v>3615</v>
      </c>
      <c r="C3929" s="3">
        <v>3474106</v>
      </c>
      <c r="D3929" s="3">
        <v>3475978</v>
      </c>
      <c r="E3929" s="1" t="s">
        <v>13</v>
      </c>
      <c r="F3929" s="1">
        <v>0</v>
      </c>
      <c r="G3929" s="1" t="s">
        <v>4372</v>
      </c>
      <c r="H3929" s="1" t="s">
        <v>4372</v>
      </c>
      <c r="I3929" s="1" t="s">
        <v>4397</v>
      </c>
      <c r="J3929" s="1" t="s">
        <v>10154</v>
      </c>
      <c r="K3929" s="1" t="s">
        <v>10156</v>
      </c>
    </row>
    <row r="3930" spans="1:11" ht="21" x14ac:dyDescent="0.25">
      <c r="A3930" s="11" t="str">
        <f>HYPERLINK("https://rth.dk/resources/bsgatlas/details.php?id=BSGatlas-transcript-3929","BSGatlas-transcript-3929")</f>
        <v>BSGatlas-transcript-3929</v>
      </c>
      <c r="B3930" s="1" t="s">
        <v>3616</v>
      </c>
      <c r="C3930" s="3">
        <v>3475974</v>
      </c>
      <c r="D3930" s="3">
        <v>3476529</v>
      </c>
      <c r="E3930" s="1" t="s">
        <v>9</v>
      </c>
      <c r="F3930" s="1">
        <v>0</v>
      </c>
      <c r="G3930" s="1" t="s">
        <v>4372</v>
      </c>
      <c r="H3930" s="1" t="s">
        <v>4372</v>
      </c>
      <c r="I3930" s="1" t="s">
        <v>4397</v>
      </c>
      <c r="J3930" s="1" t="s">
        <v>10157</v>
      </c>
      <c r="K3930" s="1" t="s">
        <v>10158</v>
      </c>
    </row>
    <row r="3931" spans="1:11" ht="21" x14ac:dyDescent="0.25">
      <c r="A3931" s="11" t="str">
        <f>HYPERLINK("https://rth.dk/resources/bsgatlas/details.php?id=BSGatlas-transcript-3930","BSGatlas-transcript-3930")</f>
        <v>BSGatlas-transcript-3930</v>
      </c>
      <c r="B3931" s="1" t="s">
        <v>10159</v>
      </c>
      <c r="C3931" s="3">
        <v>3476508</v>
      </c>
      <c r="D3931" s="3">
        <v>3481636</v>
      </c>
      <c r="E3931" s="1" t="s">
        <v>13</v>
      </c>
      <c r="F3931" s="1">
        <v>2</v>
      </c>
      <c r="G3931" s="1">
        <v>256</v>
      </c>
      <c r="H3931" s="1">
        <v>48</v>
      </c>
      <c r="I3931" s="1" t="s">
        <v>4386</v>
      </c>
      <c r="J3931" s="1" t="s">
        <v>10160</v>
      </c>
      <c r="K3931" s="1" t="s">
        <v>10161</v>
      </c>
    </row>
    <row r="3932" spans="1:11" ht="21" x14ac:dyDescent="0.25">
      <c r="A3932" s="11" t="str">
        <f>HYPERLINK("https://rth.dk/resources/bsgatlas/details.php?id=BSGatlas-transcript-3931","BSGatlas-transcript-3931")</f>
        <v>BSGatlas-transcript-3931</v>
      </c>
      <c r="B3932" s="1" t="s">
        <v>10162</v>
      </c>
      <c r="C3932" s="3">
        <v>3476508</v>
      </c>
      <c r="D3932" s="3">
        <v>3482768</v>
      </c>
      <c r="E3932" s="1" t="s">
        <v>13</v>
      </c>
      <c r="F3932" s="1">
        <v>3</v>
      </c>
      <c r="G3932" s="1">
        <v>64</v>
      </c>
      <c r="H3932" s="1">
        <v>48</v>
      </c>
      <c r="I3932" s="1" t="s">
        <v>4377</v>
      </c>
      <c r="J3932" s="1" t="s">
        <v>10163</v>
      </c>
      <c r="K3932" s="1" t="s">
        <v>10161</v>
      </c>
    </row>
    <row r="3933" spans="1:11" ht="21" x14ac:dyDescent="0.25">
      <c r="A3933" s="11" t="str">
        <f>HYPERLINK("https://rth.dk/resources/bsgatlas/details.php?id=BSGatlas-transcript-3932","BSGatlas-transcript-3932")</f>
        <v>BSGatlas-transcript-3932</v>
      </c>
      <c r="B3933" s="1" t="s">
        <v>10164</v>
      </c>
      <c r="C3933" s="3">
        <v>3476508</v>
      </c>
      <c r="D3933" s="3">
        <v>3483870</v>
      </c>
      <c r="E3933" s="1" t="s">
        <v>13</v>
      </c>
      <c r="F3933" s="1">
        <v>4</v>
      </c>
      <c r="G3933" s="1">
        <v>97</v>
      </c>
      <c r="H3933" s="1">
        <v>48</v>
      </c>
      <c r="I3933" s="1" t="s">
        <v>4373</v>
      </c>
      <c r="J3933" s="1" t="s">
        <v>10165</v>
      </c>
      <c r="K3933" s="1" t="s">
        <v>10161</v>
      </c>
    </row>
    <row r="3934" spans="1:11" ht="21" x14ac:dyDescent="0.25">
      <c r="A3934" s="11" t="str">
        <f>HYPERLINK("https://rth.dk/resources/bsgatlas/details.php?id=BSGatlas-transcript-3933","BSGatlas-transcript-3933")</f>
        <v>BSGatlas-transcript-3933</v>
      </c>
      <c r="B3934" s="1" t="s">
        <v>10164</v>
      </c>
      <c r="C3934" s="3">
        <v>3476508</v>
      </c>
      <c r="D3934" s="3">
        <v>3483996</v>
      </c>
      <c r="E3934" s="1" t="s">
        <v>13</v>
      </c>
      <c r="F3934" s="1">
        <v>4</v>
      </c>
      <c r="G3934" s="1">
        <v>223</v>
      </c>
      <c r="H3934" s="1">
        <v>48</v>
      </c>
      <c r="I3934" s="1" t="s">
        <v>4373</v>
      </c>
      <c r="J3934" s="1" t="s">
        <v>10166</v>
      </c>
      <c r="K3934" s="1" t="s">
        <v>10161</v>
      </c>
    </row>
    <row r="3935" spans="1:11" ht="21" x14ac:dyDescent="0.25">
      <c r="A3935" s="11" t="str">
        <f>HYPERLINK("https://rth.dk/resources/bsgatlas/details.php?id=BSGatlas-transcript-3934","BSGatlas-transcript-3934")</f>
        <v>BSGatlas-transcript-3934</v>
      </c>
      <c r="B3935" s="1" t="s">
        <v>3621</v>
      </c>
      <c r="C3935" s="3">
        <v>3481593</v>
      </c>
      <c r="D3935" s="3">
        <v>3482768</v>
      </c>
      <c r="E3935" s="1" t="s">
        <v>13</v>
      </c>
      <c r="F3935" s="1">
        <v>0</v>
      </c>
      <c r="G3935" s="1" t="s">
        <v>4372</v>
      </c>
      <c r="H3935" s="1" t="s">
        <v>4372</v>
      </c>
      <c r="I3935" s="1" t="s">
        <v>4377</v>
      </c>
      <c r="J3935" s="1" t="s">
        <v>10163</v>
      </c>
      <c r="K3935" s="1" t="s">
        <v>10167</v>
      </c>
    </row>
    <row r="3936" spans="1:11" ht="21" x14ac:dyDescent="0.25">
      <c r="A3936" s="11" t="str">
        <f>HYPERLINK("https://rth.dk/resources/bsgatlas/details.php?id=BSGatlas-transcript-3935","BSGatlas-transcript-3935")</f>
        <v>BSGatlas-transcript-3935</v>
      </c>
      <c r="B3936" s="1" t="s">
        <v>10168</v>
      </c>
      <c r="C3936" s="3">
        <v>3481593</v>
      </c>
      <c r="D3936" s="3">
        <v>3483870</v>
      </c>
      <c r="E3936" s="1" t="s">
        <v>13</v>
      </c>
      <c r="F3936" s="1">
        <v>1</v>
      </c>
      <c r="G3936" s="1">
        <v>97</v>
      </c>
      <c r="H3936" s="1">
        <v>106</v>
      </c>
      <c r="I3936" s="1" t="s">
        <v>4386</v>
      </c>
      <c r="J3936" s="1" t="s">
        <v>10165</v>
      </c>
      <c r="K3936" s="1" t="s">
        <v>10167</v>
      </c>
    </row>
    <row r="3937" spans="1:11" ht="21" x14ac:dyDescent="0.25">
      <c r="A3937" s="11" t="str">
        <f>HYPERLINK("https://rth.dk/resources/bsgatlas/details.php?id=BSGatlas-transcript-3936","BSGatlas-transcript-3936")</f>
        <v>BSGatlas-transcript-3936</v>
      </c>
      <c r="B3937" s="1" t="s">
        <v>10168</v>
      </c>
      <c r="C3937" s="3">
        <v>3481593</v>
      </c>
      <c r="D3937" s="3">
        <v>3483996</v>
      </c>
      <c r="E3937" s="1" t="s">
        <v>13</v>
      </c>
      <c r="F3937" s="1">
        <v>1</v>
      </c>
      <c r="G3937" s="1">
        <v>223</v>
      </c>
      <c r="H3937" s="1">
        <v>106</v>
      </c>
      <c r="I3937" s="1" t="s">
        <v>4386</v>
      </c>
      <c r="J3937" s="1" t="s">
        <v>10166</v>
      </c>
      <c r="K3937" s="1" t="s">
        <v>10167</v>
      </c>
    </row>
    <row r="3938" spans="1:11" ht="21" x14ac:dyDescent="0.25">
      <c r="A3938" s="11" t="str">
        <f>HYPERLINK("https://rth.dk/resources/bsgatlas/details.php?id=BSGatlas-transcript-3937","BSGatlas-transcript-3937")</f>
        <v>BSGatlas-transcript-3937</v>
      </c>
      <c r="B3938" s="1" t="s">
        <v>3623</v>
      </c>
      <c r="C3938" s="3">
        <v>3484017</v>
      </c>
      <c r="D3938" s="3">
        <v>3485569</v>
      </c>
      <c r="E3938" s="1" t="s">
        <v>13</v>
      </c>
      <c r="F3938" s="1">
        <v>0</v>
      </c>
      <c r="G3938" s="1" t="s">
        <v>4372</v>
      </c>
      <c r="H3938" s="1" t="s">
        <v>4372</v>
      </c>
      <c r="I3938" s="1" t="s">
        <v>4373</v>
      </c>
      <c r="J3938" s="1" t="s">
        <v>10169</v>
      </c>
      <c r="K3938" s="1" t="s">
        <v>10170</v>
      </c>
    </row>
    <row r="3939" spans="1:11" ht="21" x14ac:dyDescent="0.25">
      <c r="A3939" s="11" t="str">
        <f>HYPERLINK("https://rth.dk/resources/bsgatlas/details.php?id=BSGatlas-transcript-3938","BSGatlas-transcript-3938")</f>
        <v>BSGatlas-transcript-3938</v>
      </c>
      <c r="B3939" s="1" t="s">
        <v>3623</v>
      </c>
      <c r="C3939" s="3">
        <v>3484072</v>
      </c>
      <c r="D3939" s="3">
        <v>3485569</v>
      </c>
      <c r="E3939" s="1" t="s">
        <v>13</v>
      </c>
      <c r="F3939" s="1">
        <v>0</v>
      </c>
      <c r="G3939" s="1" t="s">
        <v>4372</v>
      </c>
      <c r="H3939" s="1" t="s">
        <v>4372</v>
      </c>
      <c r="I3939" s="1" t="s">
        <v>4373</v>
      </c>
      <c r="J3939" s="1" t="s">
        <v>10169</v>
      </c>
      <c r="K3939" s="1" t="s">
        <v>10171</v>
      </c>
    </row>
    <row r="3940" spans="1:11" ht="21" x14ac:dyDescent="0.25">
      <c r="A3940" s="11" t="str">
        <f>HYPERLINK("https://rth.dk/resources/bsgatlas/details.php?id=BSGatlas-transcript-3939","BSGatlas-transcript-3939")</f>
        <v>BSGatlas-transcript-3939</v>
      </c>
      <c r="B3940" s="1" t="s">
        <v>3624</v>
      </c>
      <c r="C3940" s="3">
        <v>3485643</v>
      </c>
      <c r="D3940" s="3">
        <v>3486807</v>
      </c>
      <c r="E3940" s="1" t="s">
        <v>9</v>
      </c>
      <c r="F3940" s="1">
        <v>0</v>
      </c>
      <c r="G3940" s="1" t="s">
        <v>4372</v>
      </c>
      <c r="H3940" s="1" t="s">
        <v>4372</v>
      </c>
      <c r="I3940" s="1" t="s">
        <v>4373</v>
      </c>
      <c r="J3940" s="1" t="s">
        <v>10172</v>
      </c>
      <c r="K3940" s="1" t="s">
        <v>10173</v>
      </c>
    </row>
    <row r="3941" spans="1:11" ht="21" x14ac:dyDescent="0.25">
      <c r="A3941" s="11" t="str">
        <f>HYPERLINK("https://rth.dk/resources/bsgatlas/details.php?id=BSGatlas-transcript-3940","BSGatlas-transcript-3940")</f>
        <v>BSGatlas-transcript-3940</v>
      </c>
      <c r="B3941" s="1" t="s">
        <v>3625</v>
      </c>
      <c r="C3941" s="3">
        <v>3486792</v>
      </c>
      <c r="D3941" s="3">
        <v>3487895</v>
      </c>
      <c r="E3941" s="1" t="s">
        <v>13</v>
      </c>
      <c r="F3941" s="1">
        <v>0</v>
      </c>
      <c r="G3941" s="1" t="s">
        <v>4372</v>
      </c>
      <c r="H3941" s="1" t="s">
        <v>4372</v>
      </c>
      <c r="I3941" s="1" t="s">
        <v>4386</v>
      </c>
      <c r="J3941" s="1" t="s">
        <v>10174</v>
      </c>
      <c r="K3941" s="1" t="s">
        <v>10175</v>
      </c>
    </row>
    <row r="3942" spans="1:11" ht="21" x14ac:dyDescent="0.25">
      <c r="A3942" s="11" t="str">
        <f>HYPERLINK("https://rth.dk/resources/bsgatlas/details.php?id=BSGatlas-transcript-3941","BSGatlas-transcript-3941")</f>
        <v>BSGatlas-transcript-3941</v>
      </c>
      <c r="B3942" s="1" t="s">
        <v>3626</v>
      </c>
      <c r="C3942" s="3">
        <v>3487974</v>
      </c>
      <c r="D3942" s="3">
        <v>3488904</v>
      </c>
      <c r="E3942" s="1" t="s">
        <v>13</v>
      </c>
      <c r="F3942" s="1">
        <v>0</v>
      </c>
      <c r="G3942" s="1" t="s">
        <v>4372</v>
      </c>
      <c r="H3942" s="1" t="s">
        <v>4372</v>
      </c>
      <c r="I3942" s="1" t="s">
        <v>4377</v>
      </c>
      <c r="J3942" s="1" t="s">
        <v>10176</v>
      </c>
      <c r="K3942" s="1" t="s">
        <v>318</v>
      </c>
    </row>
    <row r="3943" spans="1:11" ht="21" x14ac:dyDescent="0.25">
      <c r="A3943" s="11" t="str">
        <f>HYPERLINK("https://rth.dk/resources/bsgatlas/details.php?id=BSGatlas-transcript-3942","BSGatlas-transcript-3942")</f>
        <v>BSGatlas-transcript-3942</v>
      </c>
      <c r="B3943" s="1" t="s">
        <v>3627</v>
      </c>
      <c r="C3943" s="3">
        <v>3488542</v>
      </c>
      <c r="D3943" s="3">
        <v>3489869</v>
      </c>
      <c r="E3943" s="1" t="s">
        <v>9</v>
      </c>
      <c r="F3943" s="1">
        <v>0</v>
      </c>
      <c r="G3943" s="1" t="s">
        <v>4372</v>
      </c>
      <c r="H3943" s="1" t="s">
        <v>4372</v>
      </c>
      <c r="I3943" s="1" t="s">
        <v>4397</v>
      </c>
      <c r="J3943" s="1" t="s">
        <v>10177</v>
      </c>
      <c r="K3943" s="1" t="s">
        <v>10178</v>
      </c>
    </row>
    <row r="3944" spans="1:11" ht="21" x14ac:dyDescent="0.25">
      <c r="A3944" s="11" t="str">
        <f>HYPERLINK("https://rth.dk/resources/bsgatlas/details.php?id=BSGatlas-transcript-3943","BSGatlas-transcript-3943")</f>
        <v>BSGatlas-transcript-3943</v>
      </c>
      <c r="B3944" s="1" t="s">
        <v>3627</v>
      </c>
      <c r="C3944" s="3">
        <v>3488909</v>
      </c>
      <c r="D3944" s="3">
        <v>3489869</v>
      </c>
      <c r="E3944" s="1" t="s">
        <v>9</v>
      </c>
      <c r="F3944" s="1">
        <v>0</v>
      </c>
      <c r="G3944" s="1" t="s">
        <v>4372</v>
      </c>
      <c r="H3944" s="1" t="s">
        <v>4372</v>
      </c>
      <c r="I3944" s="1" t="s">
        <v>4397</v>
      </c>
      <c r="J3944" s="1" t="s">
        <v>10179</v>
      </c>
      <c r="K3944" s="1" t="s">
        <v>10178</v>
      </c>
    </row>
    <row r="3945" spans="1:11" ht="21" x14ac:dyDescent="0.25">
      <c r="A3945" s="11" t="str">
        <f>HYPERLINK("https://rth.dk/resources/bsgatlas/details.php?id=BSGatlas-transcript-3944","BSGatlas-transcript-3944")</f>
        <v>BSGatlas-transcript-3944</v>
      </c>
      <c r="B3945" s="1" t="s">
        <v>3628</v>
      </c>
      <c r="C3945" s="3">
        <v>3489910</v>
      </c>
      <c r="D3945" s="3">
        <v>3491253</v>
      </c>
      <c r="E3945" s="1" t="s">
        <v>13</v>
      </c>
      <c r="F3945" s="1">
        <v>0</v>
      </c>
      <c r="G3945" s="1" t="s">
        <v>4372</v>
      </c>
      <c r="H3945" s="1" t="s">
        <v>4372</v>
      </c>
      <c r="I3945" s="1" t="s">
        <v>4386</v>
      </c>
      <c r="J3945" s="1" t="s">
        <v>318</v>
      </c>
      <c r="K3945" s="1" t="s">
        <v>318</v>
      </c>
    </row>
    <row r="3946" spans="1:11" ht="21" x14ac:dyDescent="0.25">
      <c r="A3946" s="11" t="str">
        <f>HYPERLINK("https://rth.dk/resources/bsgatlas/details.php?id=BSGatlas-transcript-3945","BSGatlas-transcript-3945")</f>
        <v>BSGatlas-transcript-3945</v>
      </c>
      <c r="B3946" s="1" t="s">
        <v>3629</v>
      </c>
      <c r="C3946" s="3">
        <v>3491321</v>
      </c>
      <c r="D3946" s="3">
        <v>3491557</v>
      </c>
      <c r="E3946" s="1" t="s">
        <v>13</v>
      </c>
      <c r="F3946" s="1">
        <v>0</v>
      </c>
      <c r="G3946" s="1" t="s">
        <v>4372</v>
      </c>
      <c r="H3946" s="1" t="s">
        <v>4372</v>
      </c>
      <c r="I3946" s="1" t="s">
        <v>4377</v>
      </c>
      <c r="J3946" s="1" t="s">
        <v>318</v>
      </c>
      <c r="K3946" s="1" t="s">
        <v>10180</v>
      </c>
    </row>
    <row r="3947" spans="1:11" ht="21" x14ac:dyDescent="0.25">
      <c r="A3947" s="11" t="str">
        <f>HYPERLINK("https://rth.dk/resources/bsgatlas/details.php?id=BSGatlas-transcript-3946","BSGatlas-transcript-3946")</f>
        <v>BSGatlas-transcript-3946</v>
      </c>
      <c r="B3947" s="1" t="s">
        <v>3630</v>
      </c>
      <c r="C3947" s="3">
        <v>3491655</v>
      </c>
      <c r="D3947" s="3">
        <v>3492717</v>
      </c>
      <c r="E3947" s="1" t="s">
        <v>13</v>
      </c>
      <c r="F3947" s="1">
        <v>0</v>
      </c>
      <c r="G3947" s="1" t="s">
        <v>4372</v>
      </c>
      <c r="H3947" s="1" t="s">
        <v>4372</v>
      </c>
      <c r="I3947" s="1" t="s">
        <v>4377</v>
      </c>
      <c r="J3947" s="1" t="s">
        <v>10181</v>
      </c>
      <c r="K3947" s="1" t="s">
        <v>318</v>
      </c>
    </row>
    <row r="3948" spans="1:11" ht="21" x14ac:dyDescent="0.25">
      <c r="A3948" s="11" t="str">
        <f>HYPERLINK("https://rth.dk/resources/bsgatlas/details.php?id=BSGatlas-transcript-3947","BSGatlas-transcript-3947")</f>
        <v>BSGatlas-transcript-3947</v>
      </c>
      <c r="B3948" s="1" t="s">
        <v>10182</v>
      </c>
      <c r="C3948" s="3">
        <v>3492797</v>
      </c>
      <c r="D3948" s="3">
        <v>3495768</v>
      </c>
      <c r="E3948" s="1" t="s">
        <v>13</v>
      </c>
      <c r="F3948" s="1">
        <v>1</v>
      </c>
      <c r="G3948" s="1">
        <v>68</v>
      </c>
      <c r="H3948" s="1" t="s">
        <v>4372</v>
      </c>
      <c r="I3948" s="1" t="s">
        <v>4386</v>
      </c>
      <c r="J3948" s="1" t="s">
        <v>10183</v>
      </c>
      <c r="K3948" s="1" t="s">
        <v>10184</v>
      </c>
    </row>
    <row r="3949" spans="1:11" ht="21" x14ac:dyDescent="0.25">
      <c r="A3949" s="11" t="str">
        <f>HYPERLINK("https://rth.dk/resources/bsgatlas/details.php?id=BSGatlas-transcript-3948","BSGatlas-transcript-3948")</f>
        <v>BSGatlas-transcript-3948</v>
      </c>
      <c r="B3949" s="1" t="s">
        <v>3634</v>
      </c>
      <c r="C3949" s="3">
        <v>3496495</v>
      </c>
      <c r="D3949" s="3">
        <v>3497654</v>
      </c>
      <c r="E3949" s="1" t="s">
        <v>13</v>
      </c>
      <c r="F3949" s="1">
        <v>0</v>
      </c>
      <c r="G3949" s="1" t="s">
        <v>4372</v>
      </c>
      <c r="H3949" s="1" t="s">
        <v>4372</v>
      </c>
      <c r="I3949" s="1" t="s">
        <v>4377</v>
      </c>
      <c r="J3949" s="1" t="s">
        <v>10185</v>
      </c>
      <c r="K3949" s="1" t="s">
        <v>318</v>
      </c>
    </row>
    <row r="3950" spans="1:11" ht="21" x14ac:dyDescent="0.25">
      <c r="A3950" s="11" t="str">
        <f>HYPERLINK("https://rth.dk/resources/bsgatlas/details.php?id=BSGatlas-transcript-3949","BSGatlas-transcript-3949")</f>
        <v>BSGatlas-transcript-3949</v>
      </c>
      <c r="B3950" s="1" t="s">
        <v>10186</v>
      </c>
      <c r="C3950" s="3">
        <v>3497614</v>
      </c>
      <c r="D3950" s="3">
        <v>3499288</v>
      </c>
      <c r="E3950" s="1" t="s">
        <v>13</v>
      </c>
      <c r="F3950" s="1">
        <v>0</v>
      </c>
      <c r="G3950" s="1" t="s">
        <v>4372</v>
      </c>
      <c r="H3950" s="1" t="s">
        <v>4372</v>
      </c>
      <c r="I3950" s="1" t="s">
        <v>4386</v>
      </c>
      <c r="J3950" s="1" t="s">
        <v>10187</v>
      </c>
      <c r="K3950" s="1" t="s">
        <v>318</v>
      </c>
    </row>
    <row r="3951" spans="1:11" ht="21" x14ac:dyDescent="0.25">
      <c r="A3951" s="11" t="str">
        <f>HYPERLINK("https://rth.dk/resources/bsgatlas/details.php?id=BSGatlas-transcript-3950","BSGatlas-transcript-3950")</f>
        <v>BSGatlas-transcript-3950</v>
      </c>
      <c r="B3951" s="1" t="s">
        <v>10188</v>
      </c>
      <c r="C3951" s="3">
        <v>3499491</v>
      </c>
      <c r="D3951" s="3">
        <v>3501597</v>
      </c>
      <c r="E3951" s="1" t="s">
        <v>9</v>
      </c>
      <c r="F3951" s="1">
        <v>1</v>
      </c>
      <c r="G3951" s="1">
        <v>51</v>
      </c>
      <c r="H3951" s="1" t="s">
        <v>4372</v>
      </c>
      <c r="I3951" s="1" t="s">
        <v>4397</v>
      </c>
      <c r="J3951" s="1" t="s">
        <v>10189</v>
      </c>
      <c r="K3951" s="1" t="s">
        <v>10190</v>
      </c>
    </row>
    <row r="3952" spans="1:11" ht="21" x14ac:dyDescent="0.25">
      <c r="A3952" s="11" t="str">
        <f>HYPERLINK("https://rth.dk/resources/bsgatlas/details.php?id=BSGatlas-transcript-3951","BSGatlas-transcript-3951")</f>
        <v>BSGatlas-transcript-3951</v>
      </c>
      <c r="B3952" s="1" t="s">
        <v>10191</v>
      </c>
      <c r="C3952" s="3">
        <v>3501585</v>
      </c>
      <c r="D3952" s="3">
        <v>3508556</v>
      </c>
      <c r="E3952" s="1" t="s">
        <v>13</v>
      </c>
      <c r="F3952" s="1">
        <v>3</v>
      </c>
      <c r="G3952" s="1">
        <v>39</v>
      </c>
      <c r="H3952" s="1">
        <v>67</v>
      </c>
      <c r="I3952" s="1" t="s">
        <v>4373</v>
      </c>
      <c r="J3952" s="1" t="s">
        <v>10192</v>
      </c>
      <c r="K3952" s="1" t="s">
        <v>10193</v>
      </c>
    </row>
    <row r="3953" spans="1:11" ht="21" x14ac:dyDescent="0.25">
      <c r="A3953" s="11" t="str">
        <f>HYPERLINK("https://rth.dk/resources/bsgatlas/details.php?id=BSGatlas-transcript-3952","BSGatlas-transcript-3952")</f>
        <v>BSGatlas-transcript-3952</v>
      </c>
      <c r="B3953" s="1" t="s">
        <v>3644</v>
      </c>
      <c r="C3953" s="3">
        <v>3508659</v>
      </c>
      <c r="D3953" s="3">
        <v>3509651</v>
      </c>
      <c r="E3953" s="1" t="s">
        <v>13</v>
      </c>
      <c r="F3953" s="1">
        <v>0</v>
      </c>
      <c r="G3953" s="1" t="s">
        <v>4372</v>
      </c>
      <c r="H3953" s="1" t="s">
        <v>4372</v>
      </c>
      <c r="I3953" s="1" t="s">
        <v>4386</v>
      </c>
      <c r="J3953" s="1" t="s">
        <v>318</v>
      </c>
      <c r="K3953" s="1" t="s">
        <v>10194</v>
      </c>
    </row>
    <row r="3954" spans="1:11" ht="21" x14ac:dyDescent="0.25">
      <c r="A3954" s="11" t="str">
        <f>HYPERLINK("https://rth.dk/resources/bsgatlas/details.php?id=BSGatlas-transcript-3953","BSGatlas-transcript-3953")</f>
        <v>BSGatlas-transcript-3953</v>
      </c>
      <c r="B3954" s="1" t="s">
        <v>3645</v>
      </c>
      <c r="C3954" s="3">
        <v>3509782</v>
      </c>
      <c r="D3954" s="3">
        <v>3510597</v>
      </c>
      <c r="E3954" s="1" t="s">
        <v>13</v>
      </c>
      <c r="F3954" s="1">
        <v>0</v>
      </c>
      <c r="G3954" s="1" t="s">
        <v>4372</v>
      </c>
      <c r="H3954" s="1" t="s">
        <v>4372</v>
      </c>
      <c r="I3954" s="1" t="s">
        <v>4386</v>
      </c>
      <c r="J3954" s="1" t="s">
        <v>10195</v>
      </c>
      <c r="K3954" s="1" t="s">
        <v>10196</v>
      </c>
    </row>
    <row r="3955" spans="1:11" ht="21" x14ac:dyDescent="0.25">
      <c r="A3955" s="11" t="str">
        <f>HYPERLINK("https://rth.dk/resources/bsgatlas/details.php?id=BSGatlas-transcript-3954","BSGatlas-transcript-3954")</f>
        <v>BSGatlas-transcript-3954</v>
      </c>
      <c r="B3955" s="1" t="s">
        <v>3645</v>
      </c>
      <c r="C3955" s="3">
        <v>3509782</v>
      </c>
      <c r="D3955" s="3">
        <v>3510684</v>
      </c>
      <c r="E3955" s="1" t="s">
        <v>13</v>
      </c>
      <c r="F3955" s="1">
        <v>0</v>
      </c>
      <c r="G3955" s="1" t="s">
        <v>4372</v>
      </c>
      <c r="H3955" s="1" t="s">
        <v>4372</v>
      </c>
      <c r="I3955" s="1" t="s">
        <v>4386</v>
      </c>
      <c r="J3955" s="1" t="s">
        <v>10197</v>
      </c>
      <c r="K3955" s="1" t="s">
        <v>10196</v>
      </c>
    </row>
    <row r="3956" spans="1:11" ht="21" x14ac:dyDescent="0.25">
      <c r="A3956" s="11" t="str">
        <f>HYPERLINK("https://rth.dk/resources/bsgatlas/details.php?id=BSGatlas-transcript-3955","BSGatlas-transcript-3955")</f>
        <v>BSGatlas-transcript-3955</v>
      </c>
      <c r="B3956" s="1" t="s">
        <v>3646</v>
      </c>
      <c r="C3956" s="3">
        <v>3510671</v>
      </c>
      <c r="D3956" s="3">
        <v>3512471</v>
      </c>
      <c r="E3956" s="1" t="s">
        <v>9</v>
      </c>
      <c r="F3956" s="1">
        <v>0</v>
      </c>
      <c r="G3956" s="1" t="s">
        <v>4372</v>
      </c>
      <c r="H3956" s="1" t="s">
        <v>4372</v>
      </c>
      <c r="I3956" s="1" t="s">
        <v>4397</v>
      </c>
      <c r="J3956" s="1" t="s">
        <v>10198</v>
      </c>
      <c r="K3956" s="1" t="s">
        <v>10199</v>
      </c>
    </row>
    <row r="3957" spans="1:11" ht="21" x14ac:dyDescent="0.25">
      <c r="A3957" s="11" t="str">
        <f>HYPERLINK("https://rth.dk/resources/bsgatlas/details.php?id=BSGatlas-transcript-3956","BSGatlas-transcript-3956")</f>
        <v>BSGatlas-transcript-3956</v>
      </c>
      <c r="B3957" s="1" t="s">
        <v>3646</v>
      </c>
      <c r="C3957" s="3">
        <v>3510671</v>
      </c>
      <c r="D3957" s="3">
        <v>3513604</v>
      </c>
      <c r="E3957" s="1" t="s">
        <v>9</v>
      </c>
      <c r="F3957" s="1">
        <v>0</v>
      </c>
      <c r="G3957" s="1" t="s">
        <v>4372</v>
      </c>
      <c r="H3957" s="1" t="s">
        <v>4372</v>
      </c>
      <c r="I3957" s="1" t="s">
        <v>4397</v>
      </c>
      <c r="J3957" s="1" t="s">
        <v>10198</v>
      </c>
      <c r="K3957" s="1" t="s">
        <v>10200</v>
      </c>
    </row>
    <row r="3958" spans="1:11" ht="21" x14ac:dyDescent="0.25">
      <c r="A3958" s="11" t="str">
        <f>HYPERLINK("https://rth.dk/resources/bsgatlas/details.php?id=BSGatlas-transcript-3957","BSGatlas-transcript-3957")</f>
        <v>BSGatlas-transcript-3957</v>
      </c>
      <c r="B3958" s="1" t="s">
        <v>3647</v>
      </c>
      <c r="C3958" s="3">
        <v>3512462</v>
      </c>
      <c r="D3958" s="3">
        <v>3513837</v>
      </c>
      <c r="E3958" s="1" t="s">
        <v>13</v>
      </c>
      <c r="F3958" s="1">
        <v>0</v>
      </c>
      <c r="G3958" s="1" t="s">
        <v>4372</v>
      </c>
      <c r="H3958" s="1" t="s">
        <v>4372</v>
      </c>
      <c r="I3958" s="1" t="s">
        <v>4373</v>
      </c>
      <c r="J3958" s="1" t="s">
        <v>10201</v>
      </c>
      <c r="K3958" s="1" t="s">
        <v>10202</v>
      </c>
    </row>
    <row r="3959" spans="1:11" ht="21" x14ac:dyDescent="0.25">
      <c r="A3959" s="11" t="str">
        <f>HYPERLINK("https://rth.dk/resources/bsgatlas/details.php?id=BSGatlas-transcript-3958","BSGatlas-transcript-3958")</f>
        <v>BSGatlas-transcript-3958</v>
      </c>
      <c r="B3959" s="1" t="s">
        <v>3648</v>
      </c>
      <c r="C3959" s="3">
        <v>3513628</v>
      </c>
      <c r="D3959" s="3">
        <v>3514148</v>
      </c>
      <c r="E3959" s="1" t="s">
        <v>9</v>
      </c>
      <c r="F3959" s="1">
        <v>0</v>
      </c>
      <c r="G3959" s="1" t="s">
        <v>4372</v>
      </c>
      <c r="H3959" s="1" t="s">
        <v>4372</v>
      </c>
      <c r="I3959" s="1" t="s">
        <v>4373</v>
      </c>
      <c r="J3959" s="1" t="s">
        <v>10203</v>
      </c>
      <c r="K3959" s="1" t="s">
        <v>10204</v>
      </c>
    </row>
    <row r="3960" spans="1:11" ht="21" x14ac:dyDescent="0.25">
      <c r="A3960" s="11" t="str">
        <f>HYPERLINK("https://rth.dk/resources/bsgatlas/details.php?id=BSGatlas-transcript-3959","BSGatlas-transcript-3959")</f>
        <v>BSGatlas-transcript-3959</v>
      </c>
      <c r="B3960" s="1" t="s">
        <v>10205</v>
      </c>
      <c r="C3960" s="3">
        <v>3514115</v>
      </c>
      <c r="D3960" s="3">
        <v>3529911</v>
      </c>
      <c r="E3960" s="1" t="s">
        <v>13</v>
      </c>
      <c r="F3960" s="1">
        <v>2</v>
      </c>
      <c r="G3960" s="1">
        <v>57</v>
      </c>
      <c r="H3960" s="1" t="s">
        <v>4372</v>
      </c>
      <c r="I3960" s="1" t="s">
        <v>4373</v>
      </c>
      <c r="J3960" s="1" t="s">
        <v>10206</v>
      </c>
      <c r="K3960" s="1" t="s">
        <v>318</v>
      </c>
    </row>
    <row r="3961" spans="1:11" ht="21" x14ac:dyDescent="0.25">
      <c r="A3961" s="11" t="str">
        <f>HYPERLINK("https://rth.dk/resources/bsgatlas/details.php?id=BSGatlas-transcript-3960","BSGatlas-transcript-3960")</f>
        <v>BSGatlas-transcript-3960</v>
      </c>
      <c r="B3961" s="1" t="s">
        <v>10207</v>
      </c>
      <c r="C3961" s="3">
        <v>3529837</v>
      </c>
      <c r="D3961" s="3">
        <v>3532104</v>
      </c>
      <c r="E3961" s="1" t="s">
        <v>9</v>
      </c>
      <c r="F3961" s="1">
        <v>1</v>
      </c>
      <c r="G3961" s="1">
        <v>265</v>
      </c>
      <c r="H3961" s="1" t="s">
        <v>4372</v>
      </c>
      <c r="I3961" s="1" t="s">
        <v>4386</v>
      </c>
      <c r="J3961" s="1" t="s">
        <v>10208</v>
      </c>
      <c r="K3961" s="1" t="s">
        <v>10209</v>
      </c>
    </row>
    <row r="3962" spans="1:11" ht="21" x14ac:dyDescent="0.25">
      <c r="A3962" s="11" t="str">
        <f>HYPERLINK("https://rth.dk/resources/bsgatlas/details.php?id=BSGatlas-transcript-3961","BSGatlas-transcript-3961")</f>
        <v>BSGatlas-transcript-3961</v>
      </c>
      <c r="B3962" s="1" t="s">
        <v>10207</v>
      </c>
      <c r="C3962" s="3">
        <v>3530057</v>
      </c>
      <c r="D3962" s="3">
        <v>3532104</v>
      </c>
      <c r="E3962" s="1" t="s">
        <v>9</v>
      </c>
      <c r="F3962" s="1">
        <v>1</v>
      </c>
      <c r="G3962" s="1">
        <v>45</v>
      </c>
      <c r="H3962" s="1" t="s">
        <v>4372</v>
      </c>
      <c r="I3962" s="1" t="s">
        <v>4386</v>
      </c>
      <c r="J3962" s="1" t="s">
        <v>10210</v>
      </c>
      <c r="K3962" s="1" t="s">
        <v>10209</v>
      </c>
    </row>
    <row r="3963" spans="1:11" ht="21" x14ac:dyDescent="0.25">
      <c r="A3963" s="11" t="str">
        <f>HYPERLINK("https://rth.dk/resources/bsgatlas/details.php?id=BSGatlas-transcript-3962","BSGatlas-transcript-3962")</f>
        <v>BSGatlas-transcript-3962</v>
      </c>
      <c r="B3963" s="1" t="s">
        <v>3663</v>
      </c>
      <c r="C3963" s="3">
        <v>3530590</v>
      </c>
      <c r="D3963" s="3">
        <v>3532104</v>
      </c>
      <c r="E3963" s="1" t="s">
        <v>9</v>
      </c>
      <c r="F3963" s="1">
        <v>0</v>
      </c>
      <c r="G3963" s="1" t="s">
        <v>4372</v>
      </c>
      <c r="H3963" s="1" t="s">
        <v>4372</v>
      </c>
      <c r="I3963" s="1" t="s">
        <v>4386</v>
      </c>
      <c r="J3963" s="1" t="s">
        <v>10211</v>
      </c>
      <c r="K3963" s="1" t="s">
        <v>10209</v>
      </c>
    </row>
    <row r="3964" spans="1:11" ht="21" x14ac:dyDescent="0.25">
      <c r="A3964" s="11" t="str">
        <f>HYPERLINK("https://rth.dk/resources/bsgatlas/details.php?id=BSGatlas-transcript-3963","BSGatlas-transcript-3963")</f>
        <v>BSGatlas-transcript-3963</v>
      </c>
      <c r="B3964" s="1" t="s">
        <v>4760</v>
      </c>
      <c r="C3964" s="3">
        <v>3532107</v>
      </c>
      <c r="D3964" s="3">
        <v>3532298</v>
      </c>
      <c r="E3964" s="1" t="s">
        <v>9</v>
      </c>
      <c r="F3964" s="1">
        <v>0</v>
      </c>
      <c r="G3964" s="1" t="s">
        <v>4372</v>
      </c>
      <c r="H3964" s="1" t="s">
        <v>4372</v>
      </c>
      <c r="I3964" s="1" t="s">
        <v>4377</v>
      </c>
      <c r="J3964" s="1" t="s">
        <v>318</v>
      </c>
      <c r="K3964" s="1" t="s">
        <v>10212</v>
      </c>
    </row>
    <row r="3965" spans="1:11" ht="21" x14ac:dyDescent="0.25">
      <c r="A3965" s="11" t="str">
        <f>HYPERLINK("https://rth.dk/resources/bsgatlas/details.php?id=BSGatlas-transcript-3964","BSGatlas-transcript-3964")</f>
        <v>BSGatlas-transcript-3964</v>
      </c>
      <c r="B3965" s="1" t="s">
        <v>10213</v>
      </c>
      <c r="C3965" s="3">
        <v>3532325</v>
      </c>
      <c r="D3965" s="3">
        <v>3533345</v>
      </c>
      <c r="E3965" s="1" t="s">
        <v>13</v>
      </c>
      <c r="F3965" s="1">
        <v>2</v>
      </c>
      <c r="G3965" s="1">
        <v>58</v>
      </c>
      <c r="H3965" s="1" t="s">
        <v>4372</v>
      </c>
      <c r="I3965" s="1" t="s">
        <v>4397</v>
      </c>
      <c r="J3965" s="1" t="s">
        <v>10214</v>
      </c>
      <c r="K3965" s="1" t="s">
        <v>318</v>
      </c>
    </row>
    <row r="3966" spans="1:11" ht="21" x14ac:dyDescent="0.25">
      <c r="A3966" s="11" t="str">
        <f>HYPERLINK("https://rth.dk/resources/bsgatlas/details.php?id=BSGatlas-transcript-3965","BSGatlas-transcript-3965")</f>
        <v>BSGatlas-transcript-3965</v>
      </c>
      <c r="B3966" s="1" t="s">
        <v>10215</v>
      </c>
      <c r="C3966" s="3">
        <v>3533371</v>
      </c>
      <c r="D3966" s="3">
        <v>3535473</v>
      </c>
      <c r="E3966" s="1" t="s">
        <v>13</v>
      </c>
      <c r="F3966" s="1">
        <v>0</v>
      </c>
      <c r="G3966" s="1" t="s">
        <v>4372</v>
      </c>
      <c r="H3966" s="1" t="s">
        <v>4372</v>
      </c>
      <c r="I3966" s="1" t="s">
        <v>4373</v>
      </c>
      <c r="J3966" s="1" t="s">
        <v>10216</v>
      </c>
      <c r="K3966" s="1" t="s">
        <v>10217</v>
      </c>
    </row>
    <row r="3967" spans="1:11" ht="21" x14ac:dyDescent="0.25">
      <c r="A3967" s="11" t="str">
        <f>HYPERLINK("https://rth.dk/resources/bsgatlas/details.php?id=BSGatlas-transcript-3966","BSGatlas-transcript-3966")</f>
        <v>BSGatlas-transcript-3966</v>
      </c>
      <c r="B3967" s="1" t="s">
        <v>3669</v>
      </c>
      <c r="C3967" s="3">
        <v>3535813</v>
      </c>
      <c r="D3967" s="3">
        <v>3535923</v>
      </c>
      <c r="E3967" s="1" t="s">
        <v>9</v>
      </c>
      <c r="F3967" s="1">
        <v>0</v>
      </c>
      <c r="G3967" s="1" t="s">
        <v>4372</v>
      </c>
      <c r="H3967" s="1" t="s">
        <v>4372</v>
      </c>
      <c r="I3967" s="1" t="s">
        <v>4377</v>
      </c>
      <c r="J3967" s="1" t="s">
        <v>318</v>
      </c>
      <c r="K3967" s="1" t="s">
        <v>10218</v>
      </c>
    </row>
    <row r="3968" spans="1:11" ht="21" x14ac:dyDescent="0.25">
      <c r="A3968" s="11" t="str">
        <f>HYPERLINK("https://rth.dk/resources/bsgatlas/details.php?id=BSGatlas-transcript-3967","BSGatlas-transcript-3967")</f>
        <v>BSGatlas-transcript-3967</v>
      </c>
      <c r="B3968" s="1" t="s">
        <v>3670</v>
      </c>
      <c r="C3968" s="3">
        <v>3535813</v>
      </c>
      <c r="D3968" s="3">
        <v>3537482</v>
      </c>
      <c r="E3968" s="1" t="s">
        <v>9</v>
      </c>
      <c r="F3968" s="1">
        <v>0</v>
      </c>
      <c r="G3968" s="1" t="s">
        <v>4372</v>
      </c>
      <c r="H3968" s="1" t="s">
        <v>4372</v>
      </c>
      <c r="I3968" s="1" t="s">
        <v>4377</v>
      </c>
      <c r="J3968" s="1" t="s">
        <v>10219</v>
      </c>
      <c r="K3968" s="1" t="s">
        <v>10220</v>
      </c>
    </row>
    <row r="3969" spans="1:11" ht="21" x14ac:dyDescent="0.25">
      <c r="A3969" s="11" t="str">
        <f>HYPERLINK("https://rth.dk/resources/bsgatlas/details.php?id=BSGatlas-transcript-3968","BSGatlas-transcript-3968")</f>
        <v>BSGatlas-transcript-3968</v>
      </c>
      <c r="B3969" s="1" t="s">
        <v>10221</v>
      </c>
      <c r="C3969" s="3">
        <v>3535813</v>
      </c>
      <c r="D3969" s="3">
        <v>3539099</v>
      </c>
      <c r="E3969" s="1" t="s">
        <v>9</v>
      </c>
      <c r="F3969" s="1">
        <v>1</v>
      </c>
      <c r="G3969" s="1">
        <v>200</v>
      </c>
      <c r="H3969" s="1">
        <v>43</v>
      </c>
      <c r="I3969" s="1" t="s">
        <v>4386</v>
      </c>
      <c r="J3969" s="1" t="s">
        <v>10219</v>
      </c>
      <c r="K3969" s="1" t="s">
        <v>10222</v>
      </c>
    </row>
    <row r="3970" spans="1:11" ht="21" x14ac:dyDescent="0.25">
      <c r="A3970" s="11" t="str">
        <f>HYPERLINK("https://rth.dk/resources/bsgatlas/details.php?id=BSGatlas-transcript-3969","BSGatlas-transcript-3969")</f>
        <v>BSGatlas-transcript-3969</v>
      </c>
      <c r="B3970" s="1" t="s">
        <v>10223</v>
      </c>
      <c r="C3970" s="3">
        <v>3535813</v>
      </c>
      <c r="D3970" s="3">
        <v>3540766</v>
      </c>
      <c r="E3970" s="1" t="s">
        <v>9</v>
      </c>
      <c r="F3970" s="1">
        <v>2</v>
      </c>
      <c r="G3970" s="1">
        <v>200</v>
      </c>
      <c r="H3970" s="1">
        <v>40</v>
      </c>
      <c r="I3970" s="1" t="s">
        <v>4382</v>
      </c>
      <c r="J3970" s="1" t="s">
        <v>10219</v>
      </c>
      <c r="K3970" s="1" t="s">
        <v>10224</v>
      </c>
    </row>
    <row r="3971" spans="1:11" ht="21" x14ac:dyDescent="0.25">
      <c r="A3971" s="11" t="str">
        <f>HYPERLINK("https://rth.dk/resources/bsgatlas/details.php?id=BSGatlas-transcript-3970","BSGatlas-transcript-3970")</f>
        <v>BSGatlas-transcript-3970</v>
      </c>
      <c r="B3971" s="1" t="s">
        <v>3672</v>
      </c>
      <c r="C3971" s="3">
        <v>3539137</v>
      </c>
      <c r="D3971" s="3">
        <v>3540766</v>
      </c>
      <c r="E3971" s="1" t="s">
        <v>9</v>
      </c>
      <c r="F3971" s="1">
        <v>0</v>
      </c>
      <c r="G3971" s="1" t="s">
        <v>4372</v>
      </c>
      <c r="H3971" s="1" t="s">
        <v>4372</v>
      </c>
      <c r="I3971" s="1" t="s">
        <v>4386</v>
      </c>
      <c r="J3971" s="1" t="s">
        <v>10225</v>
      </c>
      <c r="K3971" s="1" t="s">
        <v>10224</v>
      </c>
    </row>
    <row r="3972" spans="1:11" ht="21" x14ac:dyDescent="0.25">
      <c r="A3972" s="11" t="str">
        <f>HYPERLINK("https://rth.dk/resources/bsgatlas/details.php?id=BSGatlas-transcript-3971","BSGatlas-transcript-3971")</f>
        <v>BSGatlas-transcript-3971</v>
      </c>
      <c r="B3972" s="1" t="s">
        <v>3673</v>
      </c>
      <c r="C3972" s="3">
        <v>3540717</v>
      </c>
      <c r="D3972" s="3">
        <v>3541406</v>
      </c>
      <c r="E3972" s="1" t="s">
        <v>9</v>
      </c>
      <c r="F3972" s="1">
        <v>0</v>
      </c>
      <c r="G3972" s="1" t="s">
        <v>4372</v>
      </c>
      <c r="H3972" s="1" t="s">
        <v>4372</v>
      </c>
      <c r="I3972" s="1" t="s">
        <v>4386</v>
      </c>
      <c r="J3972" s="1" t="s">
        <v>10226</v>
      </c>
      <c r="K3972" s="1" t="s">
        <v>10227</v>
      </c>
    </row>
    <row r="3973" spans="1:11" ht="21" x14ac:dyDescent="0.25">
      <c r="A3973" s="11" t="str">
        <f>HYPERLINK("https://rth.dk/resources/bsgatlas/details.php?id=BSGatlas-transcript-3972","BSGatlas-transcript-3972")</f>
        <v>BSGatlas-transcript-3972</v>
      </c>
      <c r="B3973" s="1" t="s">
        <v>10228</v>
      </c>
      <c r="C3973" s="3">
        <v>3540717</v>
      </c>
      <c r="D3973" s="3">
        <v>3542333</v>
      </c>
      <c r="E3973" s="1" t="s">
        <v>9</v>
      </c>
      <c r="F3973" s="1">
        <v>1</v>
      </c>
      <c r="G3973" s="1" t="s">
        <v>4372</v>
      </c>
      <c r="H3973" s="1">
        <v>191</v>
      </c>
      <c r="I3973" s="1" t="s">
        <v>4386</v>
      </c>
      <c r="J3973" s="1" t="s">
        <v>10226</v>
      </c>
      <c r="K3973" s="1" t="s">
        <v>10229</v>
      </c>
    </row>
    <row r="3974" spans="1:11" ht="21" x14ac:dyDescent="0.25">
      <c r="A3974" s="11" t="str">
        <f>HYPERLINK("https://rth.dk/resources/bsgatlas/details.php?id=BSGatlas-transcript-3973","BSGatlas-transcript-3973")</f>
        <v>BSGatlas-transcript-3973</v>
      </c>
      <c r="B3974" s="1" t="s">
        <v>3676</v>
      </c>
      <c r="C3974" s="3">
        <v>3541463</v>
      </c>
      <c r="D3974" s="3">
        <v>3542722</v>
      </c>
      <c r="E3974" s="1" t="s">
        <v>13</v>
      </c>
      <c r="F3974" s="1">
        <v>0</v>
      </c>
      <c r="G3974" s="1" t="s">
        <v>4372</v>
      </c>
      <c r="H3974" s="1" t="s">
        <v>4372</v>
      </c>
      <c r="I3974" s="1" t="s">
        <v>4373</v>
      </c>
      <c r="J3974" s="1" t="s">
        <v>10230</v>
      </c>
      <c r="K3974" s="1" t="s">
        <v>10231</v>
      </c>
    </row>
    <row r="3975" spans="1:11" ht="21" x14ac:dyDescent="0.25">
      <c r="A3975" s="11" t="str">
        <f>HYPERLINK("https://rth.dk/resources/bsgatlas/details.php?id=BSGatlas-transcript-3974","BSGatlas-transcript-3974")</f>
        <v>BSGatlas-transcript-3974</v>
      </c>
      <c r="B3975" s="1" t="s">
        <v>3676</v>
      </c>
      <c r="C3975" s="3">
        <v>3541895</v>
      </c>
      <c r="D3975" s="3">
        <v>3542722</v>
      </c>
      <c r="E3975" s="1" t="s">
        <v>13</v>
      </c>
      <c r="F3975" s="1">
        <v>0</v>
      </c>
      <c r="G3975" s="1" t="s">
        <v>4372</v>
      </c>
      <c r="H3975" s="1" t="s">
        <v>4372</v>
      </c>
      <c r="I3975" s="1" t="s">
        <v>4373</v>
      </c>
      <c r="J3975" s="1" t="s">
        <v>10230</v>
      </c>
      <c r="K3975" s="1" t="s">
        <v>10232</v>
      </c>
    </row>
    <row r="3976" spans="1:11" ht="21" x14ac:dyDescent="0.25">
      <c r="A3976" s="11" t="str">
        <f>HYPERLINK("https://rth.dk/resources/bsgatlas/details.php?id=BSGatlas-transcript-3975","BSGatlas-transcript-3975")</f>
        <v>BSGatlas-transcript-3975</v>
      </c>
      <c r="B3976" s="1" t="s">
        <v>3677</v>
      </c>
      <c r="C3976" s="3">
        <v>3542784</v>
      </c>
      <c r="D3976" s="3">
        <v>3544323</v>
      </c>
      <c r="E3976" s="1" t="s">
        <v>13</v>
      </c>
      <c r="F3976" s="1">
        <v>0</v>
      </c>
      <c r="G3976" s="1" t="s">
        <v>4372</v>
      </c>
      <c r="H3976" s="1" t="s">
        <v>4372</v>
      </c>
      <c r="I3976" s="1" t="s">
        <v>4373</v>
      </c>
      <c r="J3976" s="1" t="s">
        <v>10233</v>
      </c>
      <c r="K3976" s="1" t="s">
        <v>10234</v>
      </c>
    </row>
    <row r="3977" spans="1:11" ht="21" x14ac:dyDescent="0.25">
      <c r="A3977" s="11" t="str">
        <f>HYPERLINK("https://rth.dk/resources/bsgatlas/details.php?id=BSGatlas-transcript-3976","BSGatlas-transcript-3976")</f>
        <v>BSGatlas-transcript-3976</v>
      </c>
      <c r="B3977" s="1" t="s">
        <v>3678</v>
      </c>
      <c r="C3977" s="3">
        <v>3544372</v>
      </c>
      <c r="D3977" s="3">
        <v>3545891</v>
      </c>
      <c r="E3977" s="1" t="s">
        <v>9</v>
      </c>
      <c r="F3977" s="1">
        <v>0</v>
      </c>
      <c r="G3977" s="1" t="s">
        <v>4372</v>
      </c>
      <c r="H3977" s="1" t="s">
        <v>4372</v>
      </c>
      <c r="I3977" s="1" t="s">
        <v>4397</v>
      </c>
      <c r="J3977" s="1" t="s">
        <v>10235</v>
      </c>
      <c r="K3977" s="1" t="s">
        <v>10236</v>
      </c>
    </row>
    <row r="3978" spans="1:11" ht="21" x14ac:dyDescent="0.25">
      <c r="A3978" s="11" t="str">
        <f>HYPERLINK("https://rth.dk/resources/bsgatlas/details.php?id=BSGatlas-transcript-3977","BSGatlas-transcript-3977")</f>
        <v>BSGatlas-transcript-3977</v>
      </c>
      <c r="B3978" s="1" t="s">
        <v>3678</v>
      </c>
      <c r="C3978" s="3">
        <v>3544599</v>
      </c>
      <c r="D3978" s="3">
        <v>3545891</v>
      </c>
      <c r="E3978" s="1" t="s">
        <v>9</v>
      </c>
      <c r="F3978" s="1">
        <v>0</v>
      </c>
      <c r="G3978" s="1" t="s">
        <v>4372</v>
      </c>
      <c r="H3978" s="1" t="s">
        <v>4372</v>
      </c>
      <c r="I3978" s="1" t="s">
        <v>4397</v>
      </c>
      <c r="J3978" s="1" t="s">
        <v>10237</v>
      </c>
      <c r="K3978" s="1" t="s">
        <v>10236</v>
      </c>
    </row>
    <row r="3979" spans="1:11" ht="21" x14ac:dyDescent="0.25">
      <c r="A3979" s="11" t="str">
        <f>HYPERLINK("https://rth.dk/resources/bsgatlas/details.php?id=BSGatlas-transcript-3978","BSGatlas-transcript-3978")</f>
        <v>BSGatlas-transcript-3978</v>
      </c>
      <c r="B3979" s="1" t="s">
        <v>3679</v>
      </c>
      <c r="C3979" s="3">
        <v>3545863</v>
      </c>
      <c r="D3979" s="3">
        <v>3546012</v>
      </c>
      <c r="E3979" s="1" t="s">
        <v>13</v>
      </c>
      <c r="F3979" s="1">
        <v>0</v>
      </c>
      <c r="G3979" s="1" t="s">
        <v>4372</v>
      </c>
      <c r="H3979" s="1" t="s">
        <v>4372</v>
      </c>
      <c r="I3979" s="1" t="s">
        <v>4377</v>
      </c>
      <c r="J3979" s="1" t="s">
        <v>10238</v>
      </c>
      <c r="K3979" s="1" t="s">
        <v>10239</v>
      </c>
    </row>
    <row r="3980" spans="1:11" ht="21" x14ac:dyDescent="0.25">
      <c r="A3980" s="11" t="str">
        <f>HYPERLINK("https://rth.dk/resources/bsgatlas/details.php?id=BSGatlas-transcript-3979","BSGatlas-transcript-3979")</f>
        <v>BSGatlas-transcript-3979</v>
      </c>
      <c r="B3980" s="1" t="s">
        <v>3680</v>
      </c>
      <c r="C3980" s="3">
        <v>3546132</v>
      </c>
      <c r="D3980" s="3">
        <v>3546876</v>
      </c>
      <c r="E3980" s="1" t="s">
        <v>9</v>
      </c>
      <c r="F3980" s="1">
        <v>0</v>
      </c>
      <c r="G3980" s="1" t="s">
        <v>4372</v>
      </c>
      <c r="H3980" s="1" t="s">
        <v>4372</v>
      </c>
      <c r="I3980" s="1" t="s">
        <v>4373</v>
      </c>
      <c r="J3980" s="1" t="s">
        <v>10240</v>
      </c>
      <c r="K3980" s="1" t="s">
        <v>10241</v>
      </c>
    </row>
    <row r="3981" spans="1:11" ht="21" x14ac:dyDescent="0.25">
      <c r="A3981" s="11" t="str">
        <f>HYPERLINK("https://rth.dk/resources/bsgatlas/details.php?id=BSGatlas-transcript-3980","BSGatlas-transcript-3980")</f>
        <v>BSGatlas-transcript-3980</v>
      </c>
      <c r="B3981" s="1" t="s">
        <v>3680</v>
      </c>
      <c r="C3981" s="3">
        <v>3546132</v>
      </c>
      <c r="D3981" s="3">
        <v>3547292</v>
      </c>
      <c r="E3981" s="1" t="s">
        <v>9</v>
      </c>
      <c r="F3981" s="1">
        <v>0</v>
      </c>
      <c r="G3981" s="1" t="s">
        <v>4372</v>
      </c>
      <c r="H3981" s="1" t="s">
        <v>4372</v>
      </c>
      <c r="I3981" s="1" t="s">
        <v>4373</v>
      </c>
      <c r="J3981" s="1" t="s">
        <v>10240</v>
      </c>
      <c r="K3981" s="1" t="s">
        <v>10242</v>
      </c>
    </row>
    <row r="3982" spans="1:11" ht="21" x14ac:dyDescent="0.25">
      <c r="A3982" s="11" t="str">
        <f>HYPERLINK("https://rth.dk/resources/bsgatlas/details.php?id=BSGatlas-transcript-3981","BSGatlas-transcript-3981")</f>
        <v>BSGatlas-transcript-3981</v>
      </c>
      <c r="B3982" s="1" t="s">
        <v>3680</v>
      </c>
      <c r="C3982" s="3">
        <v>3546201</v>
      </c>
      <c r="D3982" s="3">
        <v>3546876</v>
      </c>
      <c r="E3982" s="1" t="s">
        <v>9</v>
      </c>
      <c r="F3982" s="1">
        <v>0</v>
      </c>
      <c r="G3982" s="1" t="s">
        <v>4372</v>
      </c>
      <c r="H3982" s="1" t="s">
        <v>4372</v>
      </c>
      <c r="I3982" s="1" t="s">
        <v>4373</v>
      </c>
      <c r="J3982" s="1" t="s">
        <v>10243</v>
      </c>
      <c r="K3982" s="1" t="s">
        <v>10241</v>
      </c>
    </row>
    <row r="3983" spans="1:11" ht="21" x14ac:dyDescent="0.25">
      <c r="A3983" s="11" t="str">
        <f>HYPERLINK("https://rth.dk/resources/bsgatlas/details.php?id=BSGatlas-transcript-3982","BSGatlas-transcript-3982")</f>
        <v>BSGatlas-transcript-3982</v>
      </c>
      <c r="B3983" s="1" t="s">
        <v>3680</v>
      </c>
      <c r="C3983" s="3">
        <v>3546201</v>
      </c>
      <c r="D3983" s="3">
        <v>3547292</v>
      </c>
      <c r="E3983" s="1" t="s">
        <v>9</v>
      </c>
      <c r="F3983" s="1">
        <v>0</v>
      </c>
      <c r="G3983" s="1" t="s">
        <v>4372</v>
      </c>
      <c r="H3983" s="1" t="s">
        <v>4372</v>
      </c>
      <c r="I3983" s="1" t="s">
        <v>4373</v>
      </c>
      <c r="J3983" s="1" t="s">
        <v>10243</v>
      </c>
      <c r="K3983" s="1" t="s">
        <v>10242</v>
      </c>
    </row>
    <row r="3984" spans="1:11" ht="21" x14ac:dyDescent="0.25">
      <c r="A3984" s="11" t="str">
        <f>HYPERLINK("https://rth.dk/resources/bsgatlas/details.php?id=BSGatlas-transcript-3983","BSGatlas-transcript-3983")</f>
        <v>BSGatlas-transcript-3983</v>
      </c>
      <c r="B3984" s="1" t="s">
        <v>10244</v>
      </c>
      <c r="C3984" s="3">
        <v>3546873</v>
      </c>
      <c r="D3984" s="3">
        <v>3557722</v>
      </c>
      <c r="E3984" s="1" t="s">
        <v>13</v>
      </c>
      <c r="F3984" s="1">
        <v>2</v>
      </c>
      <c r="G3984" s="1">
        <v>52</v>
      </c>
      <c r="H3984" s="1" t="s">
        <v>4372</v>
      </c>
      <c r="I3984" s="1" t="s">
        <v>4377</v>
      </c>
      <c r="J3984" s="1" t="s">
        <v>10245</v>
      </c>
      <c r="K3984" s="1" t="s">
        <v>10246</v>
      </c>
    </row>
    <row r="3985" spans="1:11" ht="21" x14ac:dyDescent="0.25">
      <c r="A3985" s="11" t="str">
        <f>HYPERLINK("https://rth.dk/resources/bsgatlas/details.php?id=BSGatlas-transcript-3984","BSGatlas-transcript-3984")</f>
        <v>BSGatlas-transcript-3984</v>
      </c>
      <c r="B3985" s="1" t="s">
        <v>10247</v>
      </c>
      <c r="C3985" s="3">
        <v>3546873</v>
      </c>
      <c r="D3985" s="3">
        <v>3558762</v>
      </c>
      <c r="E3985" s="1" t="s">
        <v>13</v>
      </c>
      <c r="F3985" s="1">
        <v>3</v>
      </c>
      <c r="G3985" s="1">
        <v>29</v>
      </c>
      <c r="H3985" s="1" t="s">
        <v>4372</v>
      </c>
      <c r="I3985" s="1" t="s">
        <v>4386</v>
      </c>
      <c r="J3985" s="1" t="s">
        <v>10248</v>
      </c>
      <c r="K3985" s="1" t="s">
        <v>10246</v>
      </c>
    </row>
    <row r="3986" spans="1:11" ht="21" x14ac:dyDescent="0.25">
      <c r="A3986" s="11" t="str">
        <f>HYPERLINK("https://rth.dk/resources/bsgatlas/details.php?id=BSGatlas-transcript-3985","BSGatlas-transcript-3985")</f>
        <v>BSGatlas-transcript-3985</v>
      </c>
      <c r="B3986" s="1" t="s">
        <v>3690</v>
      </c>
      <c r="C3986" s="3">
        <v>3558846</v>
      </c>
      <c r="D3986" s="3">
        <v>3559574</v>
      </c>
      <c r="E3986" s="1" t="s">
        <v>13</v>
      </c>
      <c r="F3986" s="1">
        <v>0</v>
      </c>
      <c r="G3986" s="1" t="s">
        <v>4372</v>
      </c>
      <c r="H3986" s="1" t="s">
        <v>4372</v>
      </c>
      <c r="I3986" s="1" t="s">
        <v>4386</v>
      </c>
      <c r="J3986" s="1" t="s">
        <v>10249</v>
      </c>
      <c r="K3986" s="1" t="s">
        <v>10250</v>
      </c>
    </row>
    <row r="3987" spans="1:11" ht="21" x14ac:dyDescent="0.25">
      <c r="A3987" s="11" t="str">
        <f>HYPERLINK("https://rth.dk/resources/bsgatlas/details.php?id=BSGatlas-transcript-3986","BSGatlas-transcript-3986")</f>
        <v>BSGatlas-transcript-3986</v>
      </c>
      <c r="B3987" s="1" t="s">
        <v>3690</v>
      </c>
      <c r="C3987" s="3">
        <v>3558940</v>
      </c>
      <c r="D3987" s="3">
        <v>3559574</v>
      </c>
      <c r="E3987" s="1" t="s">
        <v>13</v>
      </c>
      <c r="F3987" s="1">
        <v>0</v>
      </c>
      <c r="G3987" s="1" t="s">
        <v>4372</v>
      </c>
      <c r="H3987" s="1" t="s">
        <v>4372</v>
      </c>
      <c r="I3987" s="1" t="s">
        <v>4386</v>
      </c>
      <c r="J3987" s="1" t="s">
        <v>10249</v>
      </c>
      <c r="K3987" s="1" t="s">
        <v>10251</v>
      </c>
    </row>
    <row r="3988" spans="1:11" ht="21" x14ac:dyDescent="0.25">
      <c r="A3988" s="11" t="str">
        <f>HYPERLINK("https://rth.dk/resources/bsgatlas/details.php?id=BSGatlas-transcript-3987","BSGatlas-transcript-3987")</f>
        <v>BSGatlas-transcript-3987</v>
      </c>
      <c r="B3988" s="1" t="s">
        <v>3691</v>
      </c>
      <c r="C3988" s="3">
        <v>3559581</v>
      </c>
      <c r="D3988" s="3">
        <v>3559952</v>
      </c>
      <c r="E3988" s="1" t="s">
        <v>9</v>
      </c>
      <c r="F3988" s="1">
        <v>0</v>
      </c>
      <c r="G3988" s="1" t="s">
        <v>4372</v>
      </c>
      <c r="H3988" s="1" t="s">
        <v>4372</v>
      </c>
      <c r="I3988" s="1" t="s">
        <v>4397</v>
      </c>
      <c r="J3988" s="1" t="s">
        <v>10252</v>
      </c>
      <c r="K3988" s="1" t="s">
        <v>10253</v>
      </c>
    </row>
    <row r="3989" spans="1:11" ht="21" x14ac:dyDescent="0.25">
      <c r="A3989" s="11" t="str">
        <f>HYPERLINK("https://rth.dk/resources/bsgatlas/details.php?id=BSGatlas-transcript-3988","BSGatlas-transcript-3988")</f>
        <v>BSGatlas-transcript-3988</v>
      </c>
      <c r="B3989" s="1" t="s">
        <v>10254</v>
      </c>
      <c r="C3989" s="3">
        <v>3559957</v>
      </c>
      <c r="D3989" s="3">
        <v>3562238</v>
      </c>
      <c r="E3989" s="1" t="s">
        <v>13</v>
      </c>
      <c r="F3989" s="1">
        <v>1</v>
      </c>
      <c r="G3989" s="1">
        <v>56</v>
      </c>
      <c r="H3989" s="1">
        <v>23</v>
      </c>
      <c r="I3989" s="1" t="s">
        <v>4386</v>
      </c>
      <c r="J3989" s="1" t="s">
        <v>10255</v>
      </c>
      <c r="K3989" s="1" t="s">
        <v>10256</v>
      </c>
    </row>
    <row r="3990" spans="1:11" ht="21" x14ac:dyDescent="0.25">
      <c r="A3990" s="11" t="str">
        <f>HYPERLINK("https://rth.dk/resources/bsgatlas/details.php?id=BSGatlas-transcript-3989","BSGatlas-transcript-3989")</f>
        <v>BSGatlas-transcript-3989</v>
      </c>
      <c r="B3990" s="1" t="s">
        <v>3694</v>
      </c>
      <c r="C3990" s="3">
        <v>3562331</v>
      </c>
      <c r="D3990" s="3">
        <v>3563543</v>
      </c>
      <c r="E3990" s="1" t="s">
        <v>9</v>
      </c>
      <c r="F3990" s="1">
        <v>0</v>
      </c>
      <c r="G3990" s="1" t="s">
        <v>4372</v>
      </c>
      <c r="H3990" s="1" t="s">
        <v>4372</v>
      </c>
      <c r="I3990" s="1" t="s">
        <v>4397</v>
      </c>
      <c r="J3990" s="1" t="s">
        <v>10257</v>
      </c>
      <c r="K3990" s="1" t="s">
        <v>10258</v>
      </c>
    </row>
    <row r="3991" spans="1:11" ht="21" x14ac:dyDescent="0.25">
      <c r="A3991" s="11" t="str">
        <f>HYPERLINK("https://rth.dk/resources/bsgatlas/details.php?id=BSGatlas-transcript-3990","BSGatlas-transcript-3990")</f>
        <v>BSGatlas-transcript-3990</v>
      </c>
      <c r="B3991" s="1" t="s">
        <v>3694</v>
      </c>
      <c r="C3991" s="3">
        <v>3562529</v>
      </c>
      <c r="D3991" s="3">
        <v>3563543</v>
      </c>
      <c r="E3991" s="1" t="s">
        <v>9</v>
      </c>
      <c r="F3991" s="1">
        <v>0</v>
      </c>
      <c r="G3991" s="1" t="s">
        <v>4372</v>
      </c>
      <c r="H3991" s="1" t="s">
        <v>4372</v>
      </c>
      <c r="I3991" s="1" t="s">
        <v>4397</v>
      </c>
      <c r="J3991" s="1" t="s">
        <v>10259</v>
      </c>
      <c r="K3991" s="1" t="s">
        <v>10258</v>
      </c>
    </row>
    <row r="3992" spans="1:11" ht="21" x14ac:dyDescent="0.25">
      <c r="A3992" s="11" t="str">
        <f>HYPERLINK("https://rth.dk/resources/bsgatlas/details.php?id=BSGatlas-transcript-3991","BSGatlas-transcript-3991")</f>
        <v>BSGatlas-transcript-3991</v>
      </c>
      <c r="B3992" s="1" t="s">
        <v>10260</v>
      </c>
      <c r="C3992" s="3">
        <v>3563537</v>
      </c>
      <c r="D3992" s="3">
        <v>3566275</v>
      </c>
      <c r="E3992" s="1" t="s">
        <v>13</v>
      </c>
      <c r="F3992" s="1">
        <v>0</v>
      </c>
      <c r="G3992" s="1" t="s">
        <v>4372</v>
      </c>
      <c r="H3992" s="1" t="s">
        <v>4372</v>
      </c>
      <c r="I3992" s="1" t="s">
        <v>4373</v>
      </c>
      <c r="J3992" s="1" t="s">
        <v>318</v>
      </c>
      <c r="K3992" s="1" t="s">
        <v>10261</v>
      </c>
    </row>
    <row r="3993" spans="1:11" ht="21" x14ac:dyDescent="0.25">
      <c r="A3993" s="11" t="str">
        <f>HYPERLINK("https://rth.dk/resources/bsgatlas/details.php?id=BSGatlas-transcript-3992","BSGatlas-transcript-3992")</f>
        <v>BSGatlas-transcript-3992</v>
      </c>
      <c r="B3993" s="1" t="s">
        <v>10262</v>
      </c>
      <c r="C3993" s="3">
        <v>3563537</v>
      </c>
      <c r="D3993" s="3">
        <v>3568193</v>
      </c>
      <c r="E3993" s="1" t="s">
        <v>13</v>
      </c>
      <c r="F3993" s="1">
        <v>1</v>
      </c>
      <c r="G3993" s="1">
        <v>59</v>
      </c>
      <c r="H3993" s="1">
        <v>45</v>
      </c>
      <c r="I3993" s="1" t="s">
        <v>4397</v>
      </c>
      <c r="J3993" s="1" t="s">
        <v>10263</v>
      </c>
      <c r="K3993" s="1" t="s">
        <v>10261</v>
      </c>
    </row>
    <row r="3994" spans="1:11" ht="21" x14ac:dyDescent="0.25">
      <c r="A3994" s="11" t="str">
        <f>HYPERLINK("https://rth.dk/resources/bsgatlas/details.php?id=BSGatlas-transcript-3993","BSGatlas-transcript-3993")</f>
        <v>BSGatlas-transcript-3993</v>
      </c>
      <c r="B3994" s="1" t="s">
        <v>3699</v>
      </c>
      <c r="C3994" s="3">
        <v>3568239</v>
      </c>
      <c r="D3994" s="3">
        <v>3568491</v>
      </c>
      <c r="E3994" s="1" t="s">
        <v>9</v>
      </c>
      <c r="F3994" s="1">
        <v>0</v>
      </c>
      <c r="G3994" s="1" t="s">
        <v>4372</v>
      </c>
      <c r="H3994" s="1" t="s">
        <v>4372</v>
      </c>
      <c r="I3994" s="1" t="s">
        <v>4397</v>
      </c>
      <c r="J3994" s="1" t="s">
        <v>10264</v>
      </c>
      <c r="K3994" s="1" t="s">
        <v>10265</v>
      </c>
    </row>
    <row r="3995" spans="1:11" ht="21" x14ac:dyDescent="0.25">
      <c r="A3995" s="11" t="str">
        <f>HYPERLINK("https://rth.dk/resources/bsgatlas/details.php?id=BSGatlas-transcript-3994","BSGatlas-transcript-3994")</f>
        <v>BSGatlas-transcript-3994</v>
      </c>
      <c r="B3995" s="1" t="s">
        <v>10266</v>
      </c>
      <c r="C3995" s="3">
        <v>3568479</v>
      </c>
      <c r="D3995" s="3">
        <v>3572923</v>
      </c>
      <c r="E3995" s="1" t="s">
        <v>13</v>
      </c>
      <c r="F3995" s="1">
        <v>3</v>
      </c>
      <c r="G3995" s="1">
        <v>35</v>
      </c>
      <c r="H3995" s="1">
        <v>49</v>
      </c>
      <c r="I3995" s="1" t="s">
        <v>4386</v>
      </c>
      <c r="J3995" s="1" t="s">
        <v>10267</v>
      </c>
      <c r="K3995" s="1" t="s">
        <v>10268</v>
      </c>
    </row>
    <row r="3996" spans="1:11" ht="21" x14ac:dyDescent="0.25">
      <c r="A3996" s="11" t="str">
        <f>HYPERLINK("https://rth.dk/resources/bsgatlas/details.php?id=BSGatlas-transcript-3995","BSGatlas-transcript-3995")</f>
        <v>BSGatlas-transcript-3995</v>
      </c>
      <c r="B3996" s="1" t="s">
        <v>10266</v>
      </c>
      <c r="C3996" s="3">
        <v>3568479</v>
      </c>
      <c r="D3996" s="3">
        <v>3572980</v>
      </c>
      <c r="E3996" s="1" t="s">
        <v>13</v>
      </c>
      <c r="F3996" s="1">
        <v>3</v>
      </c>
      <c r="G3996" s="1">
        <v>92</v>
      </c>
      <c r="H3996" s="1">
        <v>49</v>
      </c>
      <c r="I3996" s="1" t="s">
        <v>4386</v>
      </c>
      <c r="J3996" s="1" t="s">
        <v>10269</v>
      </c>
      <c r="K3996" s="1" t="s">
        <v>10268</v>
      </c>
    </row>
    <row r="3997" spans="1:11" ht="21" x14ac:dyDescent="0.25">
      <c r="A3997" s="11" t="str">
        <f>HYPERLINK("https://rth.dk/resources/bsgatlas/details.php?id=BSGatlas-transcript-3996","BSGatlas-transcript-3996")</f>
        <v>BSGatlas-transcript-3996</v>
      </c>
      <c r="B3997" s="1" t="s">
        <v>10266</v>
      </c>
      <c r="C3997" s="3">
        <v>3568527</v>
      </c>
      <c r="D3997" s="3">
        <v>3572923</v>
      </c>
      <c r="E3997" s="1" t="s">
        <v>13</v>
      </c>
      <c r="F3997" s="1">
        <v>3</v>
      </c>
      <c r="G3997" s="1">
        <v>35</v>
      </c>
      <c r="H3997" s="1" t="s">
        <v>4372</v>
      </c>
      <c r="I3997" s="1" t="s">
        <v>4386</v>
      </c>
      <c r="J3997" s="1" t="s">
        <v>10267</v>
      </c>
      <c r="K3997" s="1" t="s">
        <v>10270</v>
      </c>
    </row>
    <row r="3998" spans="1:11" ht="21" x14ac:dyDescent="0.25">
      <c r="A3998" s="11" t="str">
        <f>HYPERLINK("https://rth.dk/resources/bsgatlas/details.php?id=BSGatlas-transcript-3997","BSGatlas-transcript-3997")</f>
        <v>BSGatlas-transcript-3997</v>
      </c>
      <c r="B3998" s="1" t="s">
        <v>10266</v>
      </c>
      <c r="C3998" s="3">
        <v>3568527</v>
      </c>
      <c r="D3998" s="3">
        <v>3572980</v>
      </c>
      <c r="E3998" s="1" t="s">
        <v>13</v>
      </c>
      <c r="F3998" s="1">
        <v>3</v>
      </c>
      <c r="G3998" s="1">
        <v>92</v>
      </c>
      <c r="H3998" s="1" t="s">
        <v>4372</v>
      </c>
      <c r="I3998" s="1" t="s">
        <v>4386</v>
      </c>
      <c r="J3998" s="1" t="s">
        <v>10269</v>
      </c>
      <c r="K3998" s="1" t="s">
        <v>10270</v>
      </c>
    </row>
    <row r="3999" spans="1:11" ht="21" x14ac:dyDescent="0.25">
      <c r="A3999" s="11" t="str">
        <f>HYPERLINK("https://rth.dk/resources/bsgatlas/details.php?id=BSGatlas-transcript-3998","BSGatlas-transcript-3998")</f>
        <v>BSGatlas-transcript-3998</v>
      </c>
      <c r="B3999" s="1" t="s">
        <v>3706</v>
      </c>
      <c r="C3999" s="3">
        <v>3573077</v>
      </c>
      <c r="D3999" s="3">
        <v>3574245</v>
      </c>
      <c r="E3999" s="1" t="s">
        <v>13</v>
      </c>
      <c r="F3999" s="1">
        <v>0</v>
      </c>
      <c r="G3999" s="1" t="s">
        <v>4372</v>
      </c>
      <c r="H3999" s="1" t="s">
        <v>4372</v>
      </c>
      <c r="I3999" s="1" t="s">
        <v>4386</v>
      </c>
      <c r="J3999" s="1" t="s">
        <v>10271</v>
      </c>
      <c r="K3999" s="1" t="s">
        <v>10272</v>
      </c>
    </row>
    <row r="4000" spans="1:11" ht="21" x14ac:dyDescent="0.25">
      <c r="A4000" s="11" t="str">
        <f>HYPERLINK("https://rth.dk/resources/bsgatlas/details.php?id=BSGatlas-transcript-3999","BSGatlas-transcript-3999")</f>
        <v>BSGatlas-transcript-3999</v>
      </c>
      <c r="B4000" s="1" t="s">
        <v>3707</v>
      </c>
      <c r="C4000" s="3">
        <v>3574321</v>
      </c>
      <c r="D4000" s="3">
        <v>3577707</v>
      </c>
      <c r="E4000" s="1" t="s">
        <v>9</v>
      </c>
      <c r="F4000" s="1">
        <v>0</v>
      </c>
      <c r="G4000" s="1" t="s">
        <v>4372</v>
      </c>
      <c r="H4000" s="1" t="s">
        <v>4372</v>
      </c>
      <c r="I4000" s="1" t="s">
        <v>4377</v>
      </c>
      <c r="J4000" s="1" t="s">
        <v>10273</v>
      </c>
      <c r="K4000" s="1" t="s">
        <v>10274</v>
      </c>
    </row>
    <row r="4001" spans="1:11" ht="21" x14ac:dyDescent="0.25">
      <c r="A4001" s="11" t="str">
        <f>HYPERLINK("https://rth.dk/resources/bsgatlas/details.php?id=BSGatlas-transcript-4000","BSGatlas-transcript-4000")</f>
        <v>BSGatlas-transcript-4000</v>
      </c>
      <c r="B4001" s="1" t="s">
        <v>3707</v>
      </c>
      <c r="C4001" s="3">
        <v>3574321</v>
      </c>
      <c r="D4001" s="3">
        <v>3577707</v>
      </c>
      <c r="E4001" s="1" t="s">
        <v>9</v>
      </c>
      <c r="F4001" s="1">
        <v>0</v>
      </c>
      <c r="G4001" s="1" t="s">
        <v>4372</v>
      </c>
      <c r="H4001" s="1" t="s">
        <v>4372</v>
      </c>
      <c r="I4001" s="1" t="s">
        <v>4377</v>
      </c>
      <c r="J4001" s="1" t="s">
        <v>10273</v>
      </c>
      <c r="K4001" s="1" t="s">
        <v>10275</v>
      </c>
    </row>
    <row r="4002" spans="1:11" ht="21" x14ac:dyDescent="0.25">
      <c r="A4002" s="11" t="str">
        <f>HYPERLINK("https://rth.dk/resources/bsgatlas/details.php?id=BSGatlas-transcript-4001","BSGatlas-transcript-4001")</f>
        <v>BSGatlas-transcript-4001</v>
      </c>
      <c r="B4002" s="1" t="s">
        <v>3707</v>
      </c>
      <c r="C4002" s="3">
        <v>3574321</v>
      </c>
      <c r="D4002" s="3">
        <v>3577707</v>
      </c>
      <c r="E4002" s="1" t="s">
        <v>9</v>
      </c>
      <c r="F4002" s="1">
        <v>0</v>
      </c>
      <c r="G4002" s="1" t="s">
        <v>4372</v>
      </c>
      <c r="H4002" s="1" t="s">
        <v>4372</v>
      </c>
      <c r="I4002" s="1" t="s">
        <v>4377</v>
      </c>
      <c r="J4002" s="1" t="s">
        <v>10276</v>
      </c>
      <c r="K4002" s="1" t="s">
        <v>10274</v>
      </c>
    </row>
    <row r="4003" spans="1:11" ht="21" x14ac:dyDescent="0.25">
      <c r="A4003" s="11" t="str">
        <f>HYPERLINK("https://rth.dk/resources/bsgatlas/details.php?id=BSGatlas-transcript-4002","BSGatlas-transcript-4002")</f>
        <v>BSGatlas-transcript-4002</v>
      </c>
      <c r="B4003" s="1" t="s">
        <v>3707</v>
      </c>
      <c r="C4003" s="3">
        <v>3574321</v>
      </c>
      <c r="D4003" s="3">
        <v>3577707</v>
      </c>
      <c r="E4003" s="1" t="s">
        <v>9</v>
      </c>
      <c r="F4003" s="1">
        <v>0</v>
      </c>
      <c r="G4003" s="1" t="s">
        <v>4372</v>
      </c>
      <c r="H4003" s="1" t="s">
        <v>4372</v>
      </c>
      <c r="I4003" s="1" t="s">
        <v>4377</v>
      </c>
      <c r="J4003" s="1" t="s">
        <v>10276</v>
      </c>
      <c r="K4003" s="1" t="s">
        <v>10275</v>
      </c>
    </row>
    <row r="4004" spans="1:11" ht="21" x14ac:dyDescent="0.25">
      <c r="A4004" s="11" t="str">
        <f>HYPERLINK("https://rth.dk/resources/bsgatlas/details.php?id=BSGatlas-transcript-4003","BSGatlas-transcript-4003")</f>
        <v>BSGatlas-transcript-4003</v>
      </c>
      <c r="B4004" s="1" t="s">
        <v>3707</v>
      </c>
      <c r="C4004" s="3">
        <v>3574321</v>
      </c>
      <c r="D4004" s="3">
        <v>3577707</v>
      </c>
      <c r="E4004" s="1" t="s">
        <v>9</v>
      </c>
      <c r="F4004" s="1">
        <v>0</v>
      </c>
      <c r="G4004" s="1" t="s">
        <v>4372</v>
      </c>
      <c r="H4004" s="1" t="s">
        <v>4372</v>
      </c>
      <c r="I4004" s="1" t="s">
        <v>4377</v>
      </c>
      <c r="J4004" s="1" t="s">
        <v>10277</v>
      </c>
      <c r="K4004" s="1" t="s">
        <v>10274</v>
      </c>
    </row>
    <row r="4005" spans="1:11" ht="21" x14ac:dyDescent="0.25">
      <c r="A4005" s="11" t="str">
        <f>HYPERLINK("https://rth.dk/resources/bsgatlas/details.php?id=BSGatlas-transcript-4004","BSGatlas-transcript-4004")</f>
        <v>BSGatlas-transcript-4004</v>
      </c>
      <c r="B4005" s="1" t="s">
        <v>3707</v>
      </c>
      <c r="C4005" s="3">
        <v>3574321</v>
      </c>
      <c r="D4005" s="3">
        <v>3577707</v>
      </c>
      <c r="E4005" s="1" t="s">
        <v>9</v>
      </c>
      <c r="F4005" s="1">
        <v>0</v>
      </c>
      <c r="G4005" s="1" t="s">
        <v>4372</v>
      </c>
      <c r="H4005" s="1" t="s">
        <v>4372</v>
      </c>
      <c r="I4005" s="1" t="s">
        <v>4377</v>
      </c>
      <c r="J4005" s="1" t="s">
        <v>10277</v>
      </c>
      <c r="K4005" s="1" t="s">
        <v>10275</v>
      </c>
    </row>
    <row r="4006" spans="1:11" ht="21" x14ac:dyDescent="0.25">
      <c r="A4006" s="11" t="str">
        <f>HYPERLINK("https://rth.dk/resources/bsgatlas/details.php?id=BSGatlas-transcript-4005","BSGatlas-transcript-4005")</f>
        <v>BSGatlas-transcript-4005</v>
      </c>
      <c r="B4006" s="1" t="s">
        <v>3708</v>
      </c>
      <c r="C4006" s="3">
        <v>3574363</v>
      </c>
      <c r="D4006" s="3">
        <v>3575982</v>
      </c>
      <c r="E4006" s="1" t="s">
        <v>13</v>
      </c>
      <c r="F4006" s="1">
        <v>0</v>
      </c>
      <c r="G4006" s="1" t="s">
        <v>4372</v>
      </c>
      <c r="H4006" s="1" t="s">
        <v>4372</v>
      </c>
      <c r="I4006" s="1" t="s">
        <v>4386</v>
      </c>
      <c r="J4006" s="1" t="s">
        <v>10278</v>
      </c>
      <c r="K4006" s="1" t="s">
        <v>10279</v>
      </c>
    </row>
    <row r="4007" spans="1:11" ht="21" x14ac:dyDescent="0.25">
      <c r="A4007" s="11" t="str">
        <f>HYPERLINK("https://rth.dk/resources/bsgatlas/details.php?id=BSGatlas-transcript-4006","BSGatlas-transcript-4006")</f>
        <v>BSGatlas-transcript-4006</v>
      </c>
      <c r="B4007" s="1" t="s">
        <v>3708</v>
      </c>
      <c r="C4007" s="3">
        <v>3574363</v>
      </c>
      <c r="D4007" s="3">
        <v>3575982</v>
      </c>
      <c r="E4007" s="1" t="s">
        <v>13</v>
      </c>
      <c r="F4007" s="1">
        <v>0</v>
      </c>
      <c r="G4007" s="1" t="s">
        <v>4372</v>
      </c>
      <c r="H4007" s="1" t="s">
        <v>4372</v>
      </c>
      <c r="I4007" s="1" t="s">
        <v>4386</v>
      </c>
      <c r="J4007" s="1" t="s">
        <v>10278</v>
      </c>
      <c r="K4007" s="1" t="s">
        <v>10280</v>
      </c>
    </row>
    <row r="4008" spans="1:11" ht="21" x14ac:dyDescent="0.25">
      <c r="A4008" s="11" t="str">
        <f>HYPERLINK("https://rth.dk/resources/bsgatlas/details.php?id=BSGatlas-transcript-4007","BSGatlas-transcript-4007")</f>
        <v>BSGatlas-transcript-4007</v>
      </c>
      <c r="B4008" s="1" t="s">
        <v>10281</v>
      </c>
      <c r="C4008" s="3">
        <v>3576165</v>
      </c>
      <c r="D4008" s="3">
        <v>3579580</v>
      </c>
      <c r="E4008" s="1" t="s">
        <v>13</v>
      </c>
      <c r="F4008" s="1">
        <v>1</v>
      </c>
      <c r="G4008" s="1">
        <v>67</v>
      </c>
      <c r="H4008" s="1" t="s">
        <v>4372</v>
      </c>
      <c r="I4008" s="1" t="s">
        <v>4386</v>
      </c>
      <c r="J4008" s="1" t="s">
        <v>10282</v>
      </c>
      <c r="K4008" s="1" t="s">
        <v>10283</v>
      </c>
    </row>
    <row r="4009" spans="1:11" ht="21" x14ac:dyDescent="0.25">
      <c r="A4009" s="11" t="str">
        <f>HYPERLINK("https://rth.dk/resources/bsgatlas/details.php?id=BSGatlas-transcript-4008","BSGatlas-transcript-4008")</f>
        <v>BSGatlas-transcript-4008</v>
      </c>
      <c r="B4009" s="1" t="s">
        <v>3710</v>
      </c>
      <c r="C4009" s="3">
        <v>3577745</v>
      </c>
      <c r="D4009" s="3">
        <v>3579580</v>
      </c>
      <c r="E4009" s="1" t="s">
        <v>13</v>
      </c>
      <c r="F4009" s="1">
        <v>0</v>
      </c>
      <c r="G4009" s="1" t="s">
        <v>4372</v>
      </c>
      <c r="H4009" s="1" t="s">
        <v>4372</v>
      </c>
      <c r="I4009" s="1" t="s">
        <v>4547</v>
      </c>
      <c r="J4009" s="1" t="s">
        <v>10282</v>
      </c>
      <c r="K4009" s="1" t="s">
        <v>318</v>
      </c>
    </row>
    <row r="4010" spans="1:11" ht="21" x14ac:dyDescent="0.25">
      <c r="A4010" s="11" t="str">
        <f>HYPERLINK("https://rth.dk/resources/bsgatlas/details.php?id=BSGatlas-transcript-4009","BSGatlas-transcript-4009")</f>
        <v>BSGatlas-transcript-4009</v>
      </c>
      <c r="B4010" s="1" t="s">
        <v>10284</v>
      </c>
      <c r="C4010" s="3">
        <v>3579679</v>
      </c>
      <c r="D4010" s="3">
        <v>3582779</v>
      </c>
      <c r="E4010" s="1" t="s">
        <v>13</v>
      </c>
      <c r="F4010" s="1">
        <v>0</v>
      </c>
      <c r="G4010" s="1" t="s">
        <v>4372</v>
      </c>
      <c r="H4010" s="1" t="s">
        <v>4372</v>
      </c>
      <c r="I4010" s="1" t="s">
        <v>4386</v>
      </c>
      <c r="J4010" s="1" t="s">
        <v>10285</v>
      </c>
      <c r="K4010" s="1" t="s">
        <v>10286</v>
      </c>
    </row>
    <row r="4011" spans="1:11" ht="21" x14ac:dyDescent="0.25">
      <c r="A4011" s="11" t="str">
        <f>HYPERLINK("https://rth.dk/resources/bsgatlas/details.php?id=BSGatlas-transcript-4010","BSGatlas-transcript-4010")</f>
        <v>BSGatlas-transcript-4010</v>
      </c>
      <c r="B4011" s="1" t="s">
        <v>10287</v>
      </c>
      <c r="C4011" s="3">
        <v>3582936</v>
      </c>
      <c r="D4011" s="3">
        <v>3589438</v>
      </c>
      <c r="E4011" s="1" t="s">
        <v>13</v>
      </c>
      <c r="F4011" s="1">
        <v>0</v>
      </c>
      <c r="G4011" s="1" t="s">
        <v>4372</v>
      </c>
      <c r="H4011" s="1" t="s">
        <v>4372</v>
      </c>
      <c r="I4011" s="1" t="s">
        <v>4386</v>
      </c>
      <c r="J4011" s="1" t="s">
        <v>10288</v>
      </c>
      <c r="K4011" s="1" t="s">
        <v>10289</v>
      </c>
    </row>
    <row r="4012" spans="1:11" ht="21" x14ac:dyDescent="0.25">
      <c r="A4012" s="11" t="str">
        <f>HYPERLINK("https://rth.dk/resources/bsgatlas/details.php?id=BSGatlas-transcript-4011","BSGatlas-transcript-4011")</f>
        <v>BSGatlas-transcript-4011</v>
      </c>
      <c r="B4012" s="1" t="s">
        <v>10287</v>
      </c>
      <c r="C4012" s="3">
        <v>3582936</v>
      </c>
      <c r="D4012" s="3">
        <v>3590391</v>
      </c>
      <c r="E4012" s="1" t="s">
        <v>13</v>
      </c>
      <c r="F4012" s="1">
        <v>0</v>
      </c>
      <c r="G4012" s="1" t="s">
        <v>4372</v>
      </c>
      <c r="H4012" s="1" t="s">
        <v>4372</v>
      </c>
      <c r="I4012" s="1" t="s">
        <v>4386</v>
      </c>
      <c r="J4012" s="1" t="s">
        <v>10290</v>
      </c>
      <c r="K4012" s="1" t="s">
        <v>10289</v>
      </c>
    </row>
    <row r="4013" spans="1:11" ht="21" x14ac:dyDescent="0.25">
      <c r="A4013" s="11" t="str">
        <f>HYPERLINK("https://rth.dk/resources/bsgatlas/details.php?id=BSGatlas-transcript-4012","BSGatlas-transcript-4012")</f>
        <v>BSGatlas-transcript-4012</v>
      </c>
      <c r="B4013" s="1" t="s">
        <v>10291</v>
      </c>
      <c r="C4013" s="3">
        <v>3589435</v>
      </c>
      <c r="D4013" s="3">
        <v>3591268</v>
      </c>
      <c r="E4013" s="1" t="s">
        <v>9</v>
      </c>
      <c r="F4013" s="1">
        <v>1</v>
      </c>
      <c r="G4013" s="1">
        <v>177</v>
      </c>
      <c r="H4013" s="1" t="s">
        <v>4372</v>
      </c>
      <c r="I4013" s="1" t="s">
        <v>4386</v>
      </c>
      <c r="J4013" s="1" t="s">
        <v>10292</v>
      </c>
      <c r="K4013" s="1" t="s">
        <v>10293</v>
      </c>
    </row>
    <row r="4014" spans="1:11" ht="21" x14ac:dyDescent="0.25">
      <c r="A4014" s="11" t="str">
        <f>HYPERLINK("https://rth.dk/resources/bsgatlas/details.php?id=BSGatlas-transcript-4013","BSGatlas-transcript-4013")</f>
        <v>BSGatlas-transcript-4013</v>
      </c>
      <c r="B4014" s="1" t="s">
        <v>10291</v>
      </c>
      <c r="C4014" s="3">
        <v>3589577</v>
      </c>
      <c r="D4014" s="3">
        <v>3591268</v>
      </c>
      <c r="E4014" s="1" t="s">
        <v>9</v>
      </c>
      <c r="F4014" s="1">
        <v>1</v>
      </c>
      <c r="G4014" s="1">
        <v>35</v>
      </c>
      <c r="H4014" s="1" t="s">
        <v>4372</v>
      </c>
      <c r="I4014" s="1" t="s">
        <v>4386</v>
      </c>
      <c r="J4014" s="1" t="s">
        <v>10294</v>
      </c>
      <c r="K4014" s="1" t="s">
        <v>10293</v>
      </c>
    </row>
    <row r="4015" spans="1:11" ht="21" x14ac:dyDescent="0.25">
      <c r="A4015" s="11" t="str">
        <f>HYPERLINK("https://rth.dk/resources/bsgatlas/details.php?id=BSGatlas-transcript-4014","BSGatlas-transcript-4014")</f>
        <v>BSGatlas-transcript-4014</v>
      </c>
      <c r="B4015" s="1" t="s">
        <v>10295</v>
      </c>
      <c r="C4015" s="3">
        <v>3591288</v>
      </c>
      <c r="D4015" s="3">
        <v>3595218</v>
      </c>
      <c r="E4015" s="1" t="s">
        <v>13</v>
      </c>
      <c r="F4015" s="1">
        <v>1</v>
      </c>
      <c r="G4015" s="1">
        <v>45</v>
      </c>
      <c r="H4015" s="1" t="s">
        <v>4372</v>
      </c>
      <c r="I4015" s="1" t="s">
        <v>4386</v>
      </c>
      <c r="J4015" s="1" t="s">
        <v>10296</v>
      </c>
      <c r="K4015" s="1" t="s">
        <v>10297</v>
      </c>
    </row>
    <row r="4016" spans="1:11" ht="21" x14ac:dyDescent="0.25">
      <c r="A4016" s="11" t="str">
        <f>HYPERLINK("https://rth.dk/resources/bsgatlas/details.php?id=BSGatlas-transcript-4015","BSGatlas-transcript-4015")</f>
        <v>BSGatlas-transcript-4015</v>
      </c>
      <c r="B4016" s="1" t="s">
        <v>3728</v>
      </c>
      <c r="C4016" s="3">
        <v>3594242</v>
      </c>
      <c r="D4016" s="3">
        <v>3595218</v>
      </c>
      <c r="E4016" s="1" t="s">
        <v>13</v>
      </c>
      <c r="F4016" s="1">
        <v>0</v>
      </c>
      <c r="G4016" s="1" t="s">
        <v>4372</v>
      </c>
      <c r="H4016" s="1" t="s">
        <v>4372</v>
      </c>
      <c r="I4016" s="1" t="s">
        <v>4547</v>
      </c>
      <c r="J4016" s="1" t="s">
        <v>10296</v>
      </c>
      <c r="K4016" s="1" t="s">
        <v>318</v>
      </c>
    </row>
    <row r="4017" spans="1:11" ht="21" x14ac:dyDescent="0.25">
      <c r="A4017" s="11" t="str">
        <f>HYPERLINK("https://rth.dk/resources/bsgatlas/details.php?id=BSGatlas-transcript-4016","BSGatlas-transcript-4016")</f>
        <v>BSGatlas-transcript-4016</v>
      </c>
      <c r="B4017" s="1" t="s">
        <v>10298</v>
      </c>
      <c r="C4017" s="3">
        <v>3595327</v>
      </c>
      <c r="D4017" s="3">
        <v>3598020</v>
      </c>
      <c r="E4017" s="1" t="s">
        <v>9</v>
      </c>
      <c r="F4017" s="1">
        <v>1</v>
      </c>
      <c r="G4017" s="1">
        <v>30</v>
      </c>
      <c r="H4017" s="1" t="s">
        <v>4372</v>
      </c>
      <c r="I4017" s="1" t="s">
        <v>4397</v>
      </c>
      <c r="J4017" s="1" t="s">
        <v>10299</v>
      </c>
      <c r="K4017" s="1" t="s">
        <v>318</v>
      </c>
    </row>
    <row r="4018" spans="1:11" ht="21" x14ac:dyDescent="0.25">
      <c r="A4018" s="11" t="str">
        <f>HYPERLINK("https://rth.dk/resources/bsgatlas/details.php?id=BSGatlas-transcript-4017","BSGatlas-transcript-4017")</f>
        <v>BSGatlas-transcript-4017</v>
      </c>
      <c r="B4018" s="1" t="s">
        <v>3732</v>
      </c>
      <c r="C4018" s="3">
        <v>3598040</v>
      </c>
      <c r="D4018" s="3">
        <v>3601936</v>
      </c>
      <c r="E4018" s="1" t="s">
        <v>13</v>
      </c>
      <c r="F4018" s="1">
        <v>0</v>
      </c>
      <c r="G4018" s="1" t="s">
        <v>4372</v>
      </c>
      <c r="H4018" s="1" t="s">
        <v>4372</v>
      </c>
      <c r="I4018" s="1" t="s">
        <v>4397</v>
      </c>
      <c r="J4018" s="1" t="s">
        <v>10300</v>
      </c>
      <c r="K4018" s="1" t="s">
        <v>10301</v>
      </c>
    </row>
    <row r="4019" spans="1:11" ht="21" x14ac:dyDescent="0.25">
      <c r="A4019" s="11" t="str">
        <f>HYPERLINK("https://rth.dk/resources/bsgatlas/details.php?id=BSGatlas-transcript-4018","BSGatlas-transcript-4018")</f>
        <v>BSGatlas-transcript-4018</v>
      </c>
      <c r="B4019" s="1" t="s">
        <v>3733</v>
      </c>
      <c r="C4019" s="3">
        <v>3602024</v>
      </c>
      <c r="D4019" s="3">
        <v>3602547</v>
      </c>
      <c r="E4019" s="1" t="s">
        <v>9</v>
      </c>
      <c r="F4019" s="1">
        <v>0</v>
      </c>
      <c r="G4019" s="1" t="s">
        <v>4372</v>
      </c>
      <c r="H4019" s="1" t="s">
        <v>4372</v>
      </c>
      <c r="I4019" s="1" t="s">
        <v>4397</v>
      </c>
      <c r="J4019" s="1" t="s">
        <v>10302</v>
      </c>
      <c r="K4019" s="1" t="s">
        <v>318</v>
      </c>
    </row>
    <row r="4020" spans="1:11" ht="21" x14ac:dyDescent="0.25">
      <c r="A4020" s="11" t="str">
        <f>HYPERLINK("https://rth.dk/resources/bsgatlas/details.php?id=BSGatlas-transcript-4019","BSGatlas-transcript-4019")</f>
        <v>BSGatlas-transcript-4019</v>
      </c>
      <c r="B4020" s="1" t="s">
        <v>10303</v>
      </c>
      <c r="C4020" s="3">
        <v>3602588</v>
      </c>
      <c r="D4020" s="3">
        <v>3604754</v>
      </c>
      <c r="E4020" s="1" t="s">
        <v>13</v>
      </c>
      <c r="F4020" s="1">
        <v>0</v>
      </c>
      <c r="G4020" s="1" t="s">
        <v>4372</v>
      </c>
      <c r="H4020" s="1" t="s">
        <v>4372</v>
      </c>
      <c r="I4020" s="1" t="s">
        <v>4397</v>
      </c>
      <c r="J4020" s="1" t="s">
        <v>10304</v>
      </c>
      <c r="K4020" s="1" t="s">
        <v>10305</v>
      </c>
    </row>
    <row r="4021" spans="1:11" ht="21" x14ac:dyDescent="0.25">
      <c r="A4021" s="11" t="str">
        <f>HYPERLINK("https://rth.dk/resources/bsgatlas/details.php?id=BSGatlas-transcript-4020","BSGatlas-transcript-4020")</f>
        <v>BSGatlas-transcript-4020</v>
      </c>
      <c r="B4021" s="1" t="s">
        <v>3736</v>
      </c>
      <c r="C4021" s="3">
        <v>3602657</v>
      </c>
      <c r="D4021" s="3">
        <v>3602942</v>
      </c>
      <c r="E4021" s="1" t="s">
        <v>9</v>
      </c>
      <c r="F4021" s="1">
        <v>0</v>
      </c>
      <c r="G4021" s="1" t="s">
        <v>4372</v>
      </c>
      <c r="H4021" s="1" t="s">
        <v>4372</v>
      </c>
      <c r="I4021" s="1" t="s">
        <v>4377</v>
      </c>
      <c r="J4021" s="1" t="s">
        <v>10306</v>
      </c>
      <c r="K4021" s="1" t="s">
        <v>10307</v>
      </c>
    </row>
    <row r="4022" spans="1:11" ht="21" x14ac:dyDescent="0.25">
      <c r="A4022" s="11" t="str">
        <f>HYPERLINK("https://rth.dk/resources/bsgatlas/details.php?id=BSGatlas-transcript-4021","BSGatlas-transcript-4021")</f>
        <v>BSGatlas-transcript-4021</v>
      </c>
      <c r="B4022" s="1" t="s">
        <v>10308</v>
      </c>
      <c r="C4022" s="3">
        <v>3604922</v>
      </c>
      <c r="D4022" s="3">
        <v>3606754</v>
      </c>
      <c r="E4022" s="1" t="s">
        <v>9</v>
      </c>
      <c r="F4022" s="1">
        <v>1</v>
      </c>
      <c r="G4022" s="1">
        <v>72</v>
      </c>
      <c r="H4022" s="1">
        <v>21</v>
      </c>
      <c r="I4022" s="1" t="s">
        <v>4397</v>
      </c>
      <c r="J4022" s="1" t="s">
        <v>10309</v>
      </c>
      <c r="K4022" s="1" t="s">
        <v>10310</v>
      </c>
    </row>
    <row r="4023" spans="1:11" ht="21" x14ac:dyDescent="0.25">
      <c r="A4023" s="11" t="str">
        <f>HYPERLINK("https://rth.dk/resources/bsgatlas/details.php?id=BSGatlas-transcript-4022","BSGatlas-transcript-4022")</f>
        <v>BSGatlas-transcript-4022</v>
      </c>
      <c r="B4023" s="1" t="s">
        <v>10308</v>
      </c>
      <c r="C4023" s="3">
        <v>3604922</v>
      </c>
      <c r="D4023" s="3">
        <v>3607526</v>
      </c>
      <c r="E4023" s="1" t="s">
        <v>9</v>
      </c>
      <c r="F4023" s="1">
        <v>1</v>
      </c>
      <c r="G4023" s="1">
        <v>72</v>
      </c>
      <c r="H4023" s="1">
        <v>793</v>
      </c>
      <c r="I4023" s="1" t="s">
        <v>4397</v>
      </c>
      <c r="J4023" s="1" t="s">
        <v>10309</v>
      </c>
      <c r="K4023" s="1" t="s">
        <v>10311</v>
      </c>
    </row>
    <row r="4024" spans="1:11" ht="21" x14ac:dyDescent="0.25">
      <c r="A4024" s="11" t="str">
        <f>HYPERLINK("https://rth.dk/resources/bsgatlas/details.php?id=BSGatlas-transcript-4023","BSGatlas-transcript-4023")</f>
        <v>BSGatlas-transcript-4023</v>
      </c>
      <c r="B4024" s="1" t="s">
        <v>10312</v>
      </c>
      <c r="C4024" s="3">
        <v>3605417</v>
      </c>
      <c r="D4024" s="3">
        <v>3608829</v>
      </c>
      <c r="E4024" s="1" t="s">
        <v>13</v>
      </c>
      <c r="F4024" s="1">
        <v>1</v>
      </c>
      <c r="G4024" s="1">
        <v>57</v>
      </c>
      <c r="H4024" s="1">
        <v>1346</v>
      </c>
      <c r="I4024" s="1" t="s">
        <v>4373</v>
      </c>
      <c r="J4024" s="1" t="s">
        <v>10313</v>
      </c>
      <c r="K4024" s="1" t="s">
        <v>10314</v>
      </c>
    </row>
    <row r="4025" spans="1:11" ht="21" x14ac:dyDescent="0.25">
      <c r="A4025" s="11" t="str">
        <f>HYPERLINK("https://rth.dk/resources/bsgatlas/details.php?id=BSGatlas-transcript-4024","BSGatlas-transcript-4024")</f>
        <v>BSGatlas-transcript-4024</v>
      </c>
      <c r="B4025" s="1" t="s">
        <v>10312</v>
      </c>
      <c r="C4025" s="3">
        <v>3605417</v>
      </c>
      <c r="D4025" s="3">
        <v>3609334</v>
      </c>
      <c r="E4025" s="1" t="s">
        <v>13</v>
      </c>
      <c r="F4025" s="1">
        <v>1</v>
      </c>
      <c r="G4025" s="1">
        <v>562</v>
      </c>
      <c r="H4025" s="1">
        <v>1346</v>
      </c>
      <c r="I4025" s="1" t="s">
        <v>4373</v>
      </c>
      <c r="J4025" s="1" t="s">
        <v>10315</v>
      </c>
      <c r="K4025" s="1" t="s">
        <v>10314</v>
      </c>
    </row>
    <row r="4026" spans="1:11" ht="21" x14ac:dyDescent="0.25">
      <c r="A4026" s="11" t="str">
        <f>HYPERLINK("https://rth.dk/resources/bsgatlas/details.php?id=BSGatlas-transcript-4025","BSGatlas-transcript-4025")</f>
        <v>BSGatlas-transcript-4025</v>
      </c>
      <c r="B4026" s="1" t="s">
        <v>10312</v>
      </c>
      <c r="C4026" s="3">
        <v>3606724</v>
      </c>
      <c r="D4026" s="3">
        <v>3608829</v>
      </c>
      <c r="E4026" s="1" t="s">
        <v>13</v>
      </c>
      <c r="F4026" s="1">
        <v>1</v>
      </c>
      <c r="G4026" s="1">
        <v>57</v>
      </c>
      <c r="H4026" s="1">
        <v>39</v>
      </c>
      <c r="I4026" s="1" t="s">
        <v>4373</v>
      </c>
      <c r="J4026" s="1" t="s">
        <v>10313</v>
      </c>
      <c r="K4026" s="1" t="s">
        <v>10316</v>
      </c>
    </row>
    <row r="4027" spans="1:11" ht="21" x14ac:dyDescent="0.25">
      <c r="A4027" s="11" t="str">
        <f>HYPERLINK("https://rth.dk/resources/bsgatlas/details.php?id=BSGatlas-transcript-4026","BSGatlas-transcript-4026")</f>
        <v>BSGatlas-transcript-4026</v>
      </c>
      <c r="B4027" s="1" t="s">
        <v>10312</v>
      </c>
      <c r="C4027" s="3">
        <v>3606724</v>
      </c>
      <c r="D4027" s="3">
        <v>3609334</v>
      </c>
      <c r="E4027" s="1" t="s">
        <v>13</v>
      </c>
      <c r="F4027" s="1">
        <v>1</v>
      </c>
      <c r="G4027" s="1">
        <v>562</v>
      </c>
      <c r="H4027" s="1">
        <v>39</v>
      </c>
      <c r="I4027" s="1" t="s">
        <v>4373</v>
      </c>
      <c r="J4027" s="1" t="s">
        <v>10315</v>
      </c>
      <c r="K4027" s="1" t="s">
        <v>10316</v>
      </c>
    </row>
    <row r="4028" spans="1:11" ht="21" x14ac:dyDescent="0.25">
      <c r="A4028" s="11" t="str">
        <f>HYPERLINK("https://rth.dk/resources/bsgatlas/details.php?id=BSGatlas-transcript-4027","BSGatlas-transcript-4027")</f>
        <v>BSGatlas-transcript-4027</v>
      </c>
      <c r="B4028" s="1" t="s">
        <v>3743</v>
      </c>
      <c r="C4028" s="3">
        <v>3608949</v>
      </c>
      <c r="D4028" s="3">
        <v>3609450</v>
      </c>
      <c r="E4028" s="1" t="s">
        <v>9</v>
      </c>
      <c r="F4028" s="1">
        <v>0</v>
      </c>
      <c r="G4028" s="1" t="s">
        <v>4372</v>
      </c>
      <c r="H4028" s="1" t="s">
        <v>4372</v>
      </c>
      <c r="I4028" s="1" t="s">
        <v>4397</v>
      </c>
      <c r="J4028" s="1" t="s">
        <v>10317</v>
      </c>
      <c r="K4028" s="1" t="s">
        <v>10318</v>
      </c>
    </row>
    <row r="4029" spans="1:11" ht="21" x14ac:dyDescent="0.25">
      <c r="A4029" s="11" t="str">
        <f>HYPERLINK("https://rth.dk/resources/bsgatlas/details.php?id=BSGatlas-transcript-4028","BSGatlas-transcript-4028")</f>
        <v>BSGatlas-transcript-4028</v>
      </c>
      <c r="B4029" s="1" t="s">
        <v>3744</v>
      </c>
      <c r="C4029" s="3">
        <v>3609333</v>
      </c>
      <c r="D4029" s="3">
        <v>3609902</v>
      </c>
      <c r="E4029" s="1" t="s">
        <v>13</v>
      </c>
      <c r="F4029" s="1">
        <v>0</v>
      </c>
      <c r="G4029" s="1" t="s">
        <v>4372</v>
      </c>
      <c r="H4029" s="1" t="s">
        <v>4372</v>
      </c>
      <c r="I4029" s="1" t="s">
        <v>4373</v>
      </c>
      <c r="J4029" s="1" t="s">
        <v>10319</v>
      </c>
      <c r="K4029" s="1" t="s">
        <v>10320</v>
      </c>
    </row>
    <row r="4030" spans="1:11" ht="21" x14ac:dyDescent="0.25">
      <c r="A4030" s="11" t="str">
        <f>HYPERLINK("https://rth.dk/resources/bsgatlas/details.php?id=BSGatlas-transcript-4029","BSGatlas-transcript-4029")</f>
        <v>BSGatlas-transcript-4029</v>
      </c>
      <c r="B4030" s="1" t="s">
        <v>3744</v>
      </c>
      <c r="C4030" s="3">
        <v>3609333</v>
      </c>
      <c r="D4030" s="3">
        <v>3609902</v>
      </c>
      <c r="E4030" s="1" t="s">
        <v>13</v>
      </c>
      <c r="F4030" s="1">
        <v>0</v>
      </c>
      <c r="G4030" s="1" t="s">
        <v>4372</v>
      </c>
      <c r="H4030" s="1" t="s">
        <v>4372</v>
      </c>
      <c r="I4030" s="1" t="s">
        <v>4373</v>
      </c>
      <c r="J4030" s="1" t="s">
        <v>10321</v>
      </c>
      <c r="K4030" s="1" t="s">
        <v>10320</v>
      </c>
    </row>
    <row r="4031" spans="1:11" ht="21" x14ac:dyDescent="0.25">
      <c r="A4031" s="11" t="str">
        <f>HYPERLINK("https://rth.dk/resources/bsgatlas/details.php?id=BSGatlas-transcript-4030","BSGatlas-transcript-4030")</f>
        <v>BSGatlas-transcript-4030</v>
      </c>
      <c r="B4031" s="1" t="s">
        <v>3744</v>
      </c>
      <c r="C4031" s="3">
        <v>3609420</v>
      </c>
      <c r="D4031" s="3">
        <v>3609902</v>
      </c>
      <c r="E4031" s="1" t="s">
        <v>13</v>
      </c>
      <c r="F4031" s="1">
        <v>0</v>
      </c>
      <c r="G4031" s="1" t="s">
        <v>4372</v>
      </c>
      <c r="H4031" s="1" t="s">
        <v>4372</v>
      </c>
      <c r="I4031" s="1" t="s">
        <v>4373</v>
      </c>
      <c r="J4031" s="1" t="s">
        <v>10319</v>
      </c>
      <c r="K4031" s="1" t="s">
        <v>10322</v>
      </c>
    </row>
    <row r="4032" spans="1:11" ht="21" x14ac:dyDescent="0.25">
      <c r="A4032" s="11" t="str">
        <f>HYPERLINK("https://rth.dk/resources/bsgatlas/details.php?id=BSGatlas-transcript-4031","BSGatlas-transcript-4031")</f>
        <v>BSGatlas-transcript-4031</v>
      </c>
      <c r="B4032" s="1" t="s">
        <v>3744</v>
      </c>
      <c r="C4032" s="3">
        <v>3609420</v>
      </c>
      <c r="D4032" s="3">
        <v>3609902</v>
      </c>
      <c r="E4032" s="1" t="s">
        <v>13</v>
      </c>
      <c r="F4032" s="1">
        <v>0</v>
      </c>
      <c r="G4032" s="1" t="s">
        <v>4372</v>
      </c>
      <c r="H4032" s="1" t="s">
        <v>4372</v>
      </c>
      <c r="I4032" s="1" t="s">
        <v>4373</v>
      </c>
      <c r="J4032" s="1" t="s">
        <v>10321</v>
      </c>
      <c r="K4032" s="1" t="s">
        <v>10322</v>
      </c>
    </row>
    <row r="4033" spans="1:11" ht="21" x14ac:dyDescent="0.25">
      <c r="A4033" s="11" t="str">
        <f>HYPERLINK("https://rth.dk/resources/bsgatlas/details.php?id=BSGatlas-transcript-4032","BSGatlas-transcript-4032")</f>
        <v>BSGatlas-transcript-4032</v>
      </c>
      <c r="B4033" s="1" t="s">
        <v>10323</v>
      </c>
      <c r="C4033" s="3">
        <v>3609988</v>
      </c>
      <c r="D4033" s="3">
        <v>3614976</v>
      </c>
      <c r="E4033" s="1" t="s">
        <v>13</v>
      </c>
      <c r="F4033" s="1">
        <v>0</v>
      </c>
      <c r="G4033" s="1" t="s">
        <v>4372</v>
      </c>
      <c r="H4033" s="1" t="s">
        <v>4372</v>
      </c>
      <c r="I4033" s="1" t="s">
        <v>4373</v>
      </c>
      <c r="J4033" s="1" t="s">
        <v>10324</v>
      </c>
      <c r="K4033" s="1" t="s">
        <v>10325</v>
      </c>
    </row>
    <row r="4034" spans="1:11" ht="21" x14ac:dyDescent="0.25">
      <c r="A4034" s="11" t="str">
        <f>HYPERLINK("https://rth.dk/resources/bsgatlas/details.php?id=BSGatlas-transcript-4033","BSGatlas-transcript-4033")</f>
        <v>BSGatlas-transcript-4033</v>
      </c>
      <c r="B4034" s="1" t="s">
        <v>10323</v>
      </c>
      <c r="C4034" s="3">
        <v>3610064</v>
      </c>
      <c r="D4034" s="3">
        <v>3614976</v>
      </c>
      <c r="E4034" s="1" t="s">
        <v>13</v>
      </c>
      <c r="F4034" s="1">
        <v>0</v>
      </c>
      <c r="G4034" s="1" t="s">
        <v>4372</v>
      </c>
      <c r="H4034" s="1" t="s">
        <v>4372</v>
      </c>
      <c r="I4034" s="1" t="s">
        <v>4373</v>
      </c>
      <c r="J4034" s="1" t="s">
        <v>10324</v>
      </c>
      <c r="K4034" s="1" t="s">
        <v>10326</v>
      </c>
    </row>
    <row r="4035" spans="1:11" ht="21" x14ac:dyDescent="0.25">
      <c r="A4035" s="11" t="str">
        <f>HYPERLINK("https://rth.dk/resources/bsgatlas/details.php?id=BSGatlas-transcript-4034","BSGatlas-transcript-4034")</f>
        <v>BSGatlas-transcript-4034</v>
      </c>
      <c r="B4035" s="1" t="s">
        <v>3747</v>
      </c>
      <c r="C4035" s="3">
        <v>3615046</v>
      </c>
      <c r="D4035" s="3">
        <v>3615374</v>
      </c>
      <c r="E4035" s="1" t="s">
        <v>13</v>
      </c>
      <c r="F4035" s="1">
        <v>0</v>
      </c>
      <c r="G4035" s="1" t="s">
        <v>4372</v>
      </c>
      <c r="H4035" s="1" t="s">
        <v>4372</v>
      </c>
      <c r="I4035" s="1" t="s">
        <v>4373</v>
      </c>
      <c r="J4035" s="1" t="s">
        <v>10327</v>
      </c>
      <c r="K4035" s="1" t="s">
        <v>10328</v>
      </c>
    </row>
    <row r="4036" spans="1:11" ht="21" x14ac:dyDescent="0.25">
      <c r="A4036" s="11" t="str">
        <f>HYPERLINK("https://rth.dk/resources/bsgatlas/details.php?id=BSGatlas-transcript-4035","BSGatlas-transcript-4035")</f>
        <v>BSGatlas-transcript-4035</v>
      </c>
      <c r="B4036" s="1" t="s">
        <v>3747</v>
      </c>
      <c r="C4036" s="3">
        <v>3615046</v>
      </c>
      <c r="D4036" s="3">
        <v>3615429</v>
      </c>
      <c r="E4036" s="1" t="s">
        <v>13</v>
      </c>
      <c r="F4036" s="1">
        <v>0</v>
      </c>
      <c r="G4036" s="1" t="s">
        <v>4372</v>
      </c>
      <c r="H4036" s="1" t="s">
        <v>4372</v>
      </c>
      <c r="I4036" s="1" t="s">
        <v>4373</v>
      </c>
      <c r="J4036" s="1" t="s">
        <v>10329</v>
      </c>
      <c r="K4036" s="1" t="s">
        <v>10328</v>
      </c>
    </row>
    <row r="4037" spans="1:11" ht="21" x14ac:dyDescent="0.25">
      <c r="A4037" s="11" t="str">
        <f>HYPERLINK("https://rth.dk/resources/bsgatlas/details.php?id=BSGatlas-transcript-4036","BSGatlas-transcript-4036")</f>
        <v>BSGatlas-transcript-4036</v>
      </c>
      <c r="B4037" s="1" t="s">
        <v>3747</v>
      </c>
      <c r="C4037" s="3">
        <v>3615046</v>
      </c>
      <c r="D4037" s="3">
        <v>3615581</v>
      </c>
      <c r="E4037" s="1" t="s">
        <v>13</v>
      </c>
      <c r="F4037" s="1">
        <v>0</v>
      </c>
      <c r="G4037" s="1" t="s">
        <v>4372</v>
      </c>
      <c r="H4037" s="1" t="s">
        <v>4372</v>
      </c>
      <c r="I4037" s="1" t="s">
        <v>4373</v>
      </c>
      <c r="J4037" s="1" t="s">
        <v>10330</v>
      </c>
      <c r="K4037" s="1" t="s">
        <v>10328</v>
      </c>
    </row>
    <row r="4038" spans="1:11" ht="21" x14ac:dyDescent="0.25">
      <c r="A4038" s="11" t="str">
        <f>HYPERLINK("https://rth.dk/resources/bsgatlas/details.php?id=BSGatlas-transcript-4037","BSGatlas-transcript-4037")</f>
        <v>BSGatlas-transcript-4037</v>
      </c>
      <c r="B4038" s="1" t="s">
        <v>10331</v>
      </c>
      <c r="C4038" s="3">
        <v>3615701</v>
      </c>
      <c r="D4038" s="3">
        <v>3620298</v>
      </c>
      <c r="E4038" s="1" t="s">
        <v>9</v>
      </c>
      <c r="F4038" s="1">
        <v>2</v>
      </c>
      <c r="G4038" s="1">
        <v>93</v>
      </c>
      <c r="H4038" s="1" t="s">
        <v>4372</v>
      </c>
      <c r="I4038" s="1" t="s">
        <v>4386</v>
      </c>
      <c r="J4038" s="1" t="s">
        <v>10332</v>
      </c>
      <c r="K4038" s="1" t="s">
        <v>10333</v>
      </c>
    </row>
    <row r="4039" spans="1:11" ht="21" x14ac:dyDescent="0.25">
      <c r="A4039" s="11" t="str">
        <f>HYPERLINK("https://rth.dk/resources/bsgatlas/details.php?id=BSGatlas-transcript-4038","BSGatlas-transcript-4038")</f>
        <v>BSGatlas-transcript-4038</v>
      </c>
      <c r="B4039" s="1" t="s">
        <v>10334</v>
      </c>
      <c r="C4039" s="3">
        <v>3618321</v>
      </c>
      <c r="D4039" s="3">
        <v>3620298</v>
      </c>
      <c r="E4039" s="1" t="s">
        <v>9</v>
      </c>
      <c r="F4039" s="1">
        <v>1</v>
      </c>
      <c r="G4039" s="1">
        <v>44</v>
      </c>
      <c r="H4039" s="1" t="s">
        <v>4372</v>
      </c>
      <c r="I4039" s="1" t="s">
        <v>4377</v>
      </c>
      <c r="J4039" s="1" t="s">
        <v>10335</v>
      </c>
      <c r="K4039" s="1" t="s">
        <v>10333</v>
      </c>
    </row>
    <row r="4040" spans="1:11" ht="21" x14ac:dyDescent="0.25">
      <c r="A4040" s="11" t="str">
        <f>HYPERLINK("https://rth.dk/resources/bsgatlas/details.php?id=BSGatlas-transcript-4039","BSGatlas-transcript-4039")</f>
        <v>BSGatlas-transcript-4039</v>
      </c>
      <c r="B4040" s="1" t="s">
        <v>3751</v>
      </c>
      <c r="C4040" s="3">
        <v>3620346</v>
      </c>
      <c r="D4040" s="3">
        <v>3621539</v>
      </c>
      <c r="E4040" s="1" t="s">
        <v>13</v>
      </c>
      <c r="F4040" s="1">
        <v>0</v>
      </c>
      <c r="G4040" s="1" t="s">
        <v>4372</v>
      </c>
      <c r="H4040" s="1" t="s">
        <v>4372</v>
      </c>
      <c r="I4040" s="1" t="s">
        <v>4386</v>
      </c>
      <c r="J4040" s="1" t="s">
        <v>318</v>
      </c>
      <c r="K4040" s="1" t="s">
        <v>10336</v>
      </c>
    </row>
    <row r="4041" spans="1:11" ht="21" x14ac:dyDescent="0.25">
      <c r="A4041" s="11" t="str">
        <f>HYPERLINK("https://rth.dk/resources/bsgatlas/details.php?id=BSGatlas-transcript-4040","BSGatlas-transcript-4040")</f>
        <v>BSGatlas-transcript-4040</v>
      </c>
      <c r="B4041" s="1" t="s">
        <v>3751</v>
      </c>
      <c r="C4041" s="3">
        <v>3620346</v>
      </c>
      <c r="D4041" s="3">
        <v>3621539</v>
      </c>
      <c r="E4041" s="1" t="s">
        <v>13</v>
      </c>
      <c r="F4041" s="1">
        <v>0</v>
      </c>
      <c r="G4041" s="1" t="s">
        <v>4372</v>
      </c>
      <c r="H4041" s="1" t="s">
        <v>4372</v>
      </c>
      <c r="I4041" s="1" t="s">
        <v>4386</v>
      </c>
      <c r="J4041" s="1" t="s">
        <v>318</v>
      </c>
      <c r="K4041" s="1" t="s">
        <v>10337</v>
      </c>
    </row>
    <row r="4042" spans="1:11" ht="21" x14ac:dyDescent="0.25">
      <c r="A4042" s="11" t="str">
        <f>HYPERLINK("https://rth.dk/resources/bsgatlas/details.php?id=BSGatlas-transcript-4041","BSGatlas-transcript-4041")</f>
        <v>BSGatlas-transcript-4041</v>
      </c>
      <c r="B4042" s="1" t="s">
        <v>10338</v>
      </c>
      <c r="C4042" s="3">
        <v>3620346</v>
      </c>
      <c r="D4042" s="3">
        <v>3622137</v>
      </c>
      <c r="E4042" s="1" t="s">
        <v>13</v>
      </c>
      <c r="F4042" s="1">
        <v>1</v>
      </c>
      <c r="G4042" s="1">
        <v>91</v>
      </c>
      <c r="H4042" s="1" t="s">
        <v>4372</v>
      </c>
      <c r="I4042" s="1" t="s">
        <v>4386</v>
      </c>
      <c r="J4042" s="1" t="s">
        <v>10339</v>
      </c>
      <c r="K4042" s="1" t="s">
        <v>10336</v>
      </c>
    </row>
    <row r="4043" spans="1:11" ht="21" x14ac:dyDescent="0.25">
      <c r="A4043" s="11" t="str">
        <f>HYPERLINK("https://rth.dk/resources/bsgatlas/details.php?id=BSGatlas-transcript-4042","BSGatlas-transcript-4042")</f>
        <v>BSGatlas-transcript-4042</v>
      </c>
      <c r="B4043" s="1" t="s">
        <v>10338</v>
      </c>
      <c r="C4043" s="3">
        <v>3620346</v>
      </c>
      <c r="D4043" s="3">
        <v>3622137</v>
      </c>
      <c r="E4043" s="1" t="s">
        <v>13</v>
      </c>
      <c r="F4043" s="1">
        <v>1</v>
      </c>
      <c r="G4043" s="1">
        <v>91</v>
      </c>
      <c r="H4043" s="1" t="s">
        <v>4372</v>
      </c>
      <c r="I4043" s="1" t="s">
        <v>4386</v>
      </c>
      <c r="J4043" s="1" t="s">
        <v>10339</v>
      </c>
      <c r="K4043" s="1" t="s">
        <v>10337</v>
      </c>
    </row>
    <row r="4044" spans="1:11" ht="21" x14ac:dyDescent="0.25">
      <c r="A4044" s="11" t="str">
        <f>HYPERLINK("https://rth.dk/resources/bsgatlas/details.php?id=BSGatlas-transcript-4043","BSGatlas-transcript-4043")</f>
        <v>BSGatlas-transcript-4043</v>
      </c>
      <c r="B4044" s="1" t="s">
        <v>10338</v>
      </c>
      <c r="C4044" s="3">
        <v>3620346</v>
      </c>
      <c r="D4044" s="3">
        <v>3622219</v>
      </c>
      <c r="E4044" s="1" t="s">
        <v>13</v>
      </c>
      <c r="F4044" s="1">
        <v>1</v>
      </c>
      <c r="G4044" s="1">
        <v>173</v>
      </c>
      <c r="H4044" s="1" t="s">
        <v>4372</v>
      </c>
      <c r="I4044" s="1" t="s">
        <v>4386</v>
      </c>
      <c r="J4044" s="1" t="s">
        <v>10340</v>
      </c>
      <c r="K4044" s="1" t="s">
        <v>10336</v>
      </c>
    </row>
    <row r="4045" spans="1:11" ht="21" x14ac:dyDescent="0.25">
      <c r="A4045" s="11" t="str">
        <f>HYPERLINK("https://rth.dk/resources/bsgatlas/details.php?id=BSGatlas-transcript-4044","BSGatlas-transcript-4044")</f>
        <v>BSGatlas-transcript-4044</v>
      </c>
      <c r="B4045" s="1" t="s">
        <v>10338</v>
      </c>
      <c r="C4045" s="3">
        <v>3620346</v>
      </c>
      <c r="D4045" s="3">
        <v>3622219</v>
      </c>
      <c r="E4045" s="1" t="s">
        <v>13</v>
      </c>
      <c r="F4045" s="1">
        <v>1</v>
      </c>
      <c r="G4045" s="1">
        <v>173</v>
      </c>
      <c r="H4045" s="1" t="s">
        <v>4372</v>
      </c>
      <c r="I4045" s="1" t="s">
        <v>4386</v>
      </c>
      <c r="J4045" s="1" t="s">
        <v>10340</v>
      </c>
      <c r="K4045" s="1" t="s">
        <v>10337</v>
      </c>
    </row>
    <row r="4046" spans="1:11" ht="21" x14ac:dyDescent="0.25">
      <c r="A4046" s="11" t="str">
        <f>HYPERLINK("https://rth.dk/resources/bsgatlas/details.php?id=BSGatlas-transcript-4045","BSGatlas-transcript-4045")</f>
        <v>BSGatlas-transcript-4045</v>
      </c>
      <c r="B4046" s="1" t="s">
        <v>10341</v>
      </c>
      <c r="C4046" s="3">
        <v>3621521</v>
      </c>
      <c r="D4046" s="3">
        <v>3622137</v>
      </c>
      <c r="E4046" s="1" t="s">
        <v>13</v>
      </c>
      <c r="F4046" s="1">
        <v>0</v>
      </c>
      <c r="G4046" s="1" t="s">
        <v>4372</v>
      </c>
      <c r="H4046" s="1" t="s">
        <v>4372</v>
      </c>
      <c r="I4046" s="1" t="s">
        <v>4386</v>
      </c>
      <c r="J4046" s="1" t="s">
        <v>10339</v>
      </c>
      <c r="K4046" s="1" t="s">
        <v>10342</v>
      </c>
    </row>
    <row r="4047" spans="1:11" ht="21" x14ac:dyDescent="0.25">
      <c r="A4047" s="11" t="str">
        <f>HYPERLINK("https://rth.dk/resources/bsgatlas/details.php?id=BSGatlas-transcript-4046","BSGatlas-transcript-4046")</f>
        <v>BSGatlas-transcript-4046</v>
      </c>
      <c r="B4047" s="1" t="s">
        <v>10341</v>
      </c>
      <c r="C4047" s="3">
        <v>3621521</v>
      </c>
      <c r="D4047" s="3">
        <v>3622219</v>
      </c>
      <c r="E4047" s="1" t="s">
        <v>13</v>
      </c>
      <c r="F4047" s="1">
        <v>0</v>
      </c>
      <c r="G4047" s="1" t="s">
        <v>4372</v>
      </c>
      <c r="H4047" s="1" t="s">
        <v>4372</v>
      </c>
      <c r="I4047" s="1" t="s">
        <v>4386</v>
      </c>
      <c r="J4047" s="1" t="s">
        <v>10340</v>
      </c>
      <c r="K4047" s="1" t="s">
        <v>10342</v>
      </c>
    </row>
    <row r="4048" spans="1:11" ht="21" x14ac:dyDescent="0.25">
      <c r="A4048" s="11" t="str">
        <f>HYPERLINK("https://rth.dk/resources/bsgatlas/details.php?id=BSGatlas-transcript-4047","BSGatlas-transcript-4047")</f>
        <v>BSGatlas-transcript-4047</v>
      </c>
      <c r="B4048" s="1" t="s">
        <v>3754</v>
      </c>
      <c r="C4048" s="3">
        <v>3622318</v>
      </c>
      <c r="D4048" s="3">
        <v>3623840</v>
      </c>
      <c r="E4048" s="1" t="s">
        <v>13</v>
      </c>
      <c r="F4048" s="1">
        <v>0</v>
      </c>
      <c r="G4048" s="1" t="s">
        <v>4372</v>
      </c>
      <c r="H4048" s="1" t="s">
        <v>4372</v>
      </c>
      <c r="I4048" s="1" t="s">
        <v>4373</v>
      </c>
      <c r="J4048" s="1" t="s">
        <v>10343</v>
      </c>
      <c r="K4048" s="1" t="s">
        <v>10344</v>
      </c>
    </row>
    <row r="4049" spans="1:11" ht="21" x14ac:dyDescent="0.25">
      <c r="A4049" s="11" t="str">
        <f>HYPERLINK("https://rth.dk/resources/bsgatlas/details.php?id=BSGatlas-transcript-4048","BSGatlas-transcript-4048")</f>
        <v>BSGatlas-transcript-4048</v>
      </c>
      <c r="B4049" s="1" t="s">
        <v>3754</v>
      </c>
      <c r="C4049" s="3">
        <v>3622356</v>
      </c>
      <c r="D4049" s="3">
        <v>3623840</v>
      </c>
      <c r="E4049" s="1" t="s">
        <v>13</v>
      </c>
      <c r="F4049" s="1">
        <v>0</v>
      </c>
      <c r="G4049" s="1" t="s">
        <v>4372</v>
      </c>
      <c r="H4049" s="1" t="s">
        <v>4372</v>
      </c>
      <c r="I4049" s="1" t="s">
        <v>4373</v>
      </c>
      <c r="J4049" s="1" t="s">
        <v>10343</v>
      </c>
      <c r="K4049" s="1" t="s">
        <v>10345</v>
      </c>
    </row>
    <row r="4050" spans="1:11" ht="21" x14ac:dyDescent="0.25">
      <c r="A4050" s="11" t="str">
        <f>HYPERLINK("https://rth.dk/resources/bsgatlas/details.php?id=BSGatlas-transcript-4049","BSGatlas-transcript-4049")</f>
        <v>BSGatlas-transcript-4049</v>
      </c>
      <c r="B4050" s="1" t="s">
        <v>10346</v>
      </c>
      <c r="C4050" s="3">
        <v>3623906</v>
      </c>
      <c r="D4050" s="3">
        <v>3625507</v>
      </c>
      <c r="E4050" s="1" t="s">
        <v>13</v>
      </c>
      <c r="F4050" s="1">
        <v>0</v>
      </c>
      <c r="G4050" s="1" t="s">
        <v>4372</v>
      </c>
      <c r="H4050" s="1" t="s">
        <v>4372</v>
      </c>
      <c r="I4050" s="1" t="s">
        <v>4397</v>
      </c>
      <c r="J4050" s="1" t="s">
        <v>318</v>
      </c>
      <c r="K4050" s="1" t="s">
        <v>10347</v>
      </c>
    </row>
    <row r="4051" spans="1:11" ht="21" x14ac:dyDescent="0.25">
      <c r="A4051" s="11" t="str">
        <f>HYPERLINK("https://rth.dk/resources/bsgatlas/details.php?id=BSGatlas-transcript-4050","BSGatlas-transcript-4050")</f>
        <v>BSGatlas-transcript-4050</v>
      </c>
      <c r="B4051" s="1" t="s">
        <v>10346</v>
      </c>
      <c r="C4051" s="3">
        <v>3623938</v>
      </c>
      <c r="D4051" s="3">
        <v>3625507</v>
      </c>
      <c r="E4051" s="1" t="s">
        <v>13</v>
      </c>
      <c r="F4051" s="1">
        <v>0</v>
      </c>
      <c r="G4051" s="1" t="s">
        <v>4372</v>
      </c>
      <c r="H4051" s="1" t="s">
        <v>4372</v>
      </c>
      <c r="I4051" s="1" t="s">
        <v>4397</v>
      </c>
      <c r="J4051" s="1" t="s">
        <v>318</v>
      </c>
      <c r="K4051" s="1" t="s">
        <v>10348</v>
      </c>
    </row>
    <row r="4052" spans="1:11" ht="21" x14ac:dyDescent="0.25">
      <c r="A4052" s="11" t="str">
        <f>HYPERLINK("https://rth.dk/resources/bsgatlas/details.php?id=BSGatlas-transcript-4051","BSGatlas-transcript-4051")</f>
        <v>BSGatlas-transcript-4051</v>
      </c>
      <c r="B4052" s="1" t="s">
        <v>3757</v>
      </c>
      <c r="C4052" s="3">
        <v>3625573</v>
      </c>
      <c r="D4052" s="3">
        <v>3625632</v>
      </c>
      <c r="E4052" s="1" t="s">
        <v>13</v>
      </c>
      <c r="F4052" s="1">
        <v>0</v>
      </c>
      <c r="G4052" s="1" t="s">
        <v>4372</v>
      </c>
      <c r="H4052" s="1" t="s">
        <v>4372</v>
      </c>
      <c r="I4052" s="1" t="s">
        <v>4377</v>
      </c>
      <c r="J4052" s="1" t="s">
        <v>10349</v>
      </c>
      <c r="K4052" s="1" t="s">
        <v>318</v>
      </c>
    </row>
    <row r="4053" spans="1:11" ht="21" x14ac:dyDescent="0.25">
      <c r="A4053" s="11" t="str">
        <f>HYPERLINK("https://rth.dk/resources/bsgatlas/details.php?id=BSGatlas-transcript-4052","BSGatlas-transcript-4052")</f>
        <v>BSGatlas-transcript-4052</v>
      </c>
      <c r="B4053" s="1" t="s">
        <v>3758</v>
      </c>
      <c r="C4053" s="3">
        <v>3625691</v>
      </c>
      <c r="D4053" s="3">
        <v>3626119</v>
      </c>
      <c r="E4053" s="1" t="s">
        <v>13</v>
      </c>
      <c r="F4053" s="1">
        <v>0</v>
      </c>
      <c r="G4053" s="1" t="s">
        <v>4372</v>
      </c>
      <c r="H4053" s="1" t="s">
        <v>4372</v>
      </c>
      <c r="I4053" s="1" t="s">
        <v>4377</v>
      </c>
      <c r="J4053" s="1" t="s">
        <v>10350</v>
      </c>
      <c r="K4053" s="1" t="s">
        <v>10351</v>
      </c>
    </row>
    <row r="4054" spans="1:11" ht="21" x14ac:dyDescent="0.25">
      <c r="A4054" s="11" t="str">
        <f>HYPERLINK("https://rth.dk/resources/bsgatlas/details.php?id=BSGatlas-transcript-4053","BSGatlas-transcript-4053")</f>
        <v>BSGatlas-transcript-4053</v>
      </c>
      <c r="B4054" s="1" t="s">
        <v>10352</v>
      </c>
      <c r="C4054" s="3">
        <v>3625691</v>
      </c>
      <c r="D4054" s="3">
        <v>3627012</v>
      </c>
      <c r="E4054" s="1" t="s">
        <v>13</v>
      </c>
      <c r="F4054" s="1">
        <v>1</v>
      </c>
      <c r="G4054" s="1" t="s">
        <v>4372</v>
      </c>
      <c r="H4054" s="1">
        <v>51</v>
      </c>
      <c r="I4054" s="1" t="s">
        <v>4373</v>
      </c>
      <c r="J4054" s="1" t="s">
        <v>10353</v>
      </c>
      <c r="K4054" s="1" t="s">
        <v>10351</v>
      </c>
    </row>
    <row r="4055" spans="1:11" ht="21" x14ac:dyDescent="0.25">
      <c r="A4055" s="11" t="str">
        <f>HYPERLINK("https://rth.dk/resources/bsgatlas/details.php?id=BSGatlas-transcript-4054","BSGatlas-transcript-4054")</f>
        <v>BSGatlas-transcript-4054</v>
      </c>
      <c r="B4055" s="1" t="s">
        <v>10354</v>
      </c>
      <c r="C4055" s="3">
        <v>3627091</v>
      </c>
      <c r="D4055" s="3">
        <v>3630908</v>
      </c>
      <c r="E4055" s="1" t="s">
        <v>13</v>
      </c>
      <c r="F4055" s="1">
        <v>1</v>
      </c>
      <c r="G4055" s="1">
        <v>74</v>
      </c>
      <c r="H4055" s="1">
        <v>49</v>
      </c>
      <c r="I4055" s="1" t="s">
        <v>4373</v>
      </c>
      <c r="J4055" s="1" t="s">
        <v>10355</v>
      </c>
      <c r="K4055" s="1" t="s">
        <v>10356</v>
      </c>
    </row>
    <row r="4056" spans="1:11" ht="21" x14ac:dyDescent="0.25">
      <c r="A4056" s="11" t="str">
        <f>HYPERLINK("https://rth.dk/resources/bsgatlas/details.php?id=BSGatlas-transcript-4055","BSGatlas-transcript-4055")</f>
        <v>BSGatlas-transcript-4055</v>
      </c>
      <c r="B4056" s="1" t="s">
        <v>3762</v>
      </c>
      <c r="C4056" s="3">
        <v>3630955</v>
      </c>
      <c r="D4056" s="3">
        <v>3631600</v>
      </c>
      <c r="E4056" s="1" t="s">
        <v>13</v>
      </c>
      <c r="F4056" s="1">
        <v>0</v>
      </c>
      <c r="G4056" s="1" t="s">
        <v>4372</v>
      </c>
      <c r="H4056" s="1" t="s">
        <v>4372</v>
      </c>
      <c r="I4056" s="1" t="s">
        <v>4373</v>
      </c>
      <c r="J4056" s="1" t="s">
        <v>10357</v>
      </c>
      <c r="K4056" s="1" t="s">
        <v>10358</v>
      </c>
    </row>
    <row r="4057" spans="1:11" ht="21" x14ac:dyDescent="0.25">
      <c r="A4057" s="11" t="str">
        <f>HYPERLINK("https://rth.dk/resources/bsgatlas/details.php?id=BSGatlas-transcript-4056","BSGatlas-transcript-4056")</f>
        <v>BSGatlas-transcript-4056</v>
      </c>
      <c r="B4057" s="1" t="s">
        <v>3762</v>
      </c>
      <c r="C4057" s="3">
        <v>3630955</v>
      </c>
      <c r="D4057" s="3">
        <v>3631608</v>
      </c>
      <c r="E4057" s="1" t="s">
        <v>13</v>
      </c>
      <c r="F4057" s="1">
        <v>0</v>
      </c>
      <c r="G4057" s="1" t="s">
        <v>4372</v>
      </c>
      <c r="H4057" s="1" t="s">
        <v>4372</v>
      </c>
      <c r="I4057" s="1" t="s">
        <v>4373</v>
      </c>
      <c r="J4057" s="1" t="s">
        <v>10359</v>
      </c>
      <c r="K4057" s="1" t="s">
        <v>10358</v>
      </c>
    </row>
    <row r="4058" spans="1:11" ht="21" x14ac:dyDescent="0.25">
      <c r="A4058" s="11" t="str">
        <f>HYPERLINK("https://rth.dk/resources/bsgatlas/details.php?id=BSGatlas-transcript-4057","BSGatlas-transcript-4057")</f>
        <v>BSGatlas-transcript-4057</v>
      </c>
      <c r="B4058" s="1" t="s">
        <v>10360</v>
      </c>
      <c r="C4058" s="3">
        <v>3630955</v>
      </c>
      <c r="D4058" s="3">
        <v>3631755</v>
      </c>
      <c r="E4058" s="1" t="s">
        <v>13</v>
      </c>
      <c r="F4058" s="1">
        <v>1</v>
      </c>
      <c r="G4058" s="1" t="s">
        <v>4372</v>
      </c>
      <c r="H4058" s="1">
        <v>49</v>
      </c>
      <c r="I4058" s="1" t="s">
        <v>4377</v>
      </c>
      <c r="J4058" s="1" t="s">
        <v>10361</v>
      </c>
      <c r="K4058" s="1" t="s">
        <v>10358</v>
      </c>
    </row>
    <row r="4059" spans="1:11" ht="21" x14ac:dyDescent="0.25">
      <c r="A4059" s="11" t="str">
        <f>HYPERLINK("https://rth.dk/resources/bsgatlas/details.php?id=BSGatlas-transcript-4058","BSGatlas-transcript-4058")</f>
        <v>BSGatlas-transcript-4058</v>
      </c>
      <c r="B4059" s="1" t="s">
        <v>10362</v>
      </c>
      <c r="C4059" s="3">
        <v>3630955</v>
      </c>
      <c r="D4059" s="3">
        <v>3634778</v>
      </c>
      <c r="E4059" s="1" t="s">
        <v>13</v>
      </c>
      <c r="F4059" s="1">
        <v>3</v>
      </c>
      <c r="G4059" s="1">
        <v>25</v>
      </c>
      <c r="H4059" s="1">
        <v>49</v>
      </c>
      <c r="I4059" s="1" t="s">
        <v>4386</v>
      </c>
      <c r="J4059" s="1" t="s">
        <v>10363</v>
      </c>
      <c r="K4059" s="1" t="s">
        <v>10358</v>
      </c>
    </row>
    <row r="4060" spans="1:11" ht="21" x14ac:dyDescent="0.25">
      <c r="A4060" s="11" t="str">
        <f>HYPERLINK("https://rth.dk/resources/bsgatlas/details.php?id=BSGatlas-transcript-4059","BSGatlas-transcript-4059")</f>
        <v>BSGatlas-transcript-4059</v>
      </c>
      <c r="B4060" s="1" t="s">
        <v>10362</v>
      </c>
      <c r="C4060" s="3">
        <v>3630955</v>
      </c>
      <c r="D4060" s="3">
        <v>3634897</v>
      </c>
      <c r="E4060" s="1" t="s">
        <v>13</v>
      </c>
      <c r="F4060" s="1">
        <v>3</v>
      </c>
      <c r="G4060" s="1">
        <v>144</v>
      </c>
      <c r="H4060" s="1">
        <v>49</v>
      </c>
      <c r="I4060" s="1" t="s">
        <v>4386</v>
      </c>
      <c r="J4060" s="1" t="s">
        <v>10364</v>
      </c>
      <c r="K4060" s="1" t="s">
        <v>10358</v>
      </c>
    </row>
    <row r="4061" spans="1:11" ht="21" x14ac:dyDescent="0.25">
      <c r="A4061" s="11" t="str">
        <f>HYPERLINK("https://rth.dk/resources/bsgatlas/details.php?id=BSGatlas-transcript-4060","BSGatlas-transcript-4060")</f>
        <v>BSGatlas-transcript-4060</v>
      </c>
      <c r="B4061" s="1" t="s">
        <v>10365</v>
      </c>
      <c r="C4061" s="3">
        <v>3631977</v>
      </c>
      <c r="D4061" s="3">
        <v>3634778</v>
      </c>
      <c r="E4061" s="1" t="s">
        <v>13</v>
      </c>
      <c r="F4061" s="1">
        <v>2</v>
      </c>
      <c r="G4061" s="1">
        <v>25</v>
      </c>
      <c r="H4061" s="1">
        <v>174</v>
      </c>
      <c r="I4061" s="1" t="s">
        <v>4373</v>
      </c>
      <c r="J4061" s="1" t="s">
        <v>10363</v>
      </c>
      <c r="K4061" s="1" t="s">
        <v>10366</v>
      </c>
    </row>
    <row r="4062" spans="1:11" ht="21" x14ac:dyDescent="0.25">
      <c r="A4062" s="11" t="str">
        <f>HYPERLINK("https://rth.dk/resources/bsgatlas/details.php?id=BSGatlas-transcript-4061","BSGatlas-transcript-4061")</f>
        <v>BSGatlas-transcript-4061</v>
      </c>
      <c r="B4062" s="1" t="s">
        <v>10365</v>
      </c>
      <c r="C4062" s="3">
        <v>3631977</v>
      </c>
      <c r="D4062" s="3">
        <v>3634897</v>
      </c>
      <c r="E4062" s="1" t="s">
        <v>13</v>
      </c>
      <c r="F4062" s="1">
        <v>2</v>
      </c>
      <c r="G4062" s="1">
        <v>144</v>
      </c>
      <c r="H4062" s="1">
        <v>174</v>
      </c>
      <c r="I4062" s="1" t="s">
        <v>4373</v>
      </c>
      <c r="J4062" s="1" t="s">
        <v>10364</v>
      </c>
      <c r="K4062" s="1" t="s">
        <v>10366</v>
      </c>
    </row>
    <row r="4063" spans="1:11" ht="21" x14ac:dyDescent="0.25">
      <c r="A4063" s="11" t="str">
        <f>HYPERLINK("https://rth.dk/resources/bsgatlas/details.php?id=BSGatlas-transcript-4062","BSGatlas-transcript-4062")</f>
        <v>BSGatlas-transcript-4062</v>
      </c>
      <c r="B4063" s="1" t="s">
        <v>3769</v>
      </c>
      <c r="C4063" s="3">
        <v>3634941</v>
      </c>
      <c r="D4063" s="3">
        <v>3635993</v>
      </c>
      <c r="E4063" s="1" t="s">
        <v>13</v>
      </c>
      <c r="F4063" s="1">
        <v>0</v>
      </c>
      <c r="G4063" s="1" t="s">
        <v>4372</v>
      </c>
      <c r="H4063" s="1" t="s">
        <v>4372</v>
      </c>
      <c r="I4063" s="1" t="s">
        <v>4373</v>
      </c>
      <c r="J4063" s="1" t="s">
        <v>10367</v>
      </c>
      <c r="K4063" s="1" t="s">
        <v>10368</v>
      </c>
    </row>
    <row r="4064" spans="1:11" ht="21" x14ac:dyDescent="0.25">
      <c r="A4064" s="11" t="str">
        <f>HYPERLINK("https://rth.dk/resources/bsgatlas/details.php?id=BSGatlas-transcript-4063","BSGatlas-transcript-4063")</f>
        <v>BSGatlas-transcript-4063</v>
      </c>
      <c r="B4064" s="1" t="s">
        <v>3769</v>
      </c>
      <c r="C4064" s="3">
        <v>3634987</v>
      </c>
      <c r="D4064" s="3">
        <v>3635993</v>
      </c>
      <c r="E4064" s="1" t="s">
        <v>13</v>
      </c>
      <c r="F4064" s="1">
        <v>0</v>
      </c>
      <c r="G4064" s="1" t="s">
        <v>4372</v>
      </c>
      <c r="H4064" s="1" t="s">
        <v>4372</v>
      </c>
      <c r="I4064" s="1" t="s">
        <v>4373</v>
      </c>
      <c r="J4064" s="1" t="s">
        <v>10367</v>
      </c>
      <c r="K4064" s="1" t="s">
        <v>10369</v>
      </c>
    </row>
    <row r="4065" spans="1:11" ht="21" x14ac:dyDescent="0.25">
      <c r="A4065" s="11" t="str">
        <f>HYPERLINK("https://rth.dk/resources/bsgatlas/details.php?id=BSGatlas-transcript-4064","BSGatlas-transcript-4064")</f>
        <v>BSGatlas-transcript-4064</v>
      </c>
      <c r="B4065" s="1" t="s">
        <v>3770</v>
      </c>
      <c r="C4065" s="3">
        <v>3636028</v>
      </c>
      <c r="D4065" s="3">
        <v>3636270</v>
      </c>
      <c r="E4065" s="1" t="s">
        <v>13</v>
      </c>
      <c r="F4065" s="1">
        <v>0</v>
      </c>
      <c r="G4065" s="1" t="s">
        <v>4372</v>
      </c>
      <c r="H4065" s="1" t="s">
        <v>4372</v>
      </c>
      <c r="I4065" s="1" t="s">
        <v>4373</v>
      </c>
      <c r="J4065" s="1" t="s">
        <v>318</v>
      </c>
      <c r="K4065" s="1" t="s">
        <v>10370</v>
      </c>
    </row>
    <row r="4066" spans="1:11" ht="21" x14ac:dyDescent="0.25">
      <c r="A4066" s="11" t="str">
        <f>HYPERLINK("https://rth.dk/resources/bsgatlas/details.php?id=BSGatlas-transcript-4065","BSGatlas-transcript-4065")</f>
        <v>BSGatlas-transcript-4065</v>
      </c>
      <c r="B4066" s="1" t="s">
        <v>10371</v>
      </c>
      <c r="C4066" s="3">
        <v>3636028</v>
      </c>
      <c r="D4066" s="3">
        <v>3640591</v>
      </c>
      <c r="E4066" s="1" t="s">
        <v>13</v>
      </c>
      <c r="F4066" s="1">
        <v>3</v>
      </c>
      <c r="G4066" s="1">
        <v>41</v>
      </c>
      <c r="H4066" s="1">
        <v>19</v>
      </c>
      <c r="I4066" s="1" t="s">
        <v>4377</v>
      </c>
      <c r="J4066" s="1" t="s">
        <v>10372</v>
      </c>
      <c r="K4066" s="1" t="s">
        <v>10370</v>
      </c>
    </row>
    <row r="4067" spans="1:11" ht="21" x14ac:dyDescent="0.25">
      <c r="A4067" s="11" t="str">
        <f>HYPERLINK("https://rth.dk/resources/bsgatlas/details.php?id=BSGatlas-transcript-4066","BSGatlas-transcript-4066")</f>
        <v>BSGatlas-transcript-4066</v>
      </c>
      <c r="B4067" s="1" t="s">
        <v>10373</v>
      </c>
      <c r="C4067" s="3">
        <v>3636028</v>
      </c>
      <c r="D4067" s="3">
        <v>3641093</v>
      </c>
      <c r="E4067" s="1" t="s">
        <v>13</v>
      </c>
      <c r="F4067" s="1">
        <v>4</v>
      </c>
      <c r="G4067" s="1">
        <v>43</v>
      </c>
      <c r="H4067" s="1">
        <v>19</v>
      </c>
      <c r="I4067" s="1" t="s">
        <v>4377</v>
      </c>
      <c r="J4067" s="1" t="s">
        <v>10374</v>
      </c>
      <c r="K4067" s="1" t="s">
        <v>10370</v>
      </c>
    </row>
    <row r="4068" spans="1:11" ht="21" x14ac:dyDescent="0.25">
      <c r="A4068" s="11" t="str">
        <f>HYPERLINK("https://rth.dk/resources/bsgatlas/details.php?id=BSGatlas-transcript-4067","BSGatlas-transcript-4067")</f>
        <v>BSGatlas-transcript-4067</v>
      </c>
      <c r="B4068" s="1" t="s">
        <v>10375</v>
      </c>
      <c r="C4068" s="3">
        <v>3636028</v>
      </c>
      <c r="D4068" s="3">
        <v>3642146</v>
      </c>
      <c r="E4068" s="1" t="s">
        <v>13</v>
      </c>
      <c r="F4068" s="1">
        <v>5</v>
      </c>
      <c r="G4068" s="1">
        <v>40</v>
      </c>
      <c r="H4068" s="1">
        <v>19</v>
      </c>
      <c r="I4068" s="1" t="s">
        <v>4377</v>
      </c>
      <c r="J4068" s="1" t="s">
        <v>10376</v>
      </c>
      <c r="K4068" s="1" t="s">
        <v>10370</v>
      </c>
    </row>
    <row r="4069" spans="1:11" ht="21" x14ac:dyDescent="0.25">
      <c r="A4069" s="11" t="str">
        <f>HYPERLINK("https://rth.dk/resources/bsgatlas/details.php?id=BSGatlas-transcript-4068","BSGatlas-transcript-4068")</f>
        <v>BSGatlas-transcript-4068</v>
      </c>
      <c r="B4069" s="1" t="s">
        <v>10377</v>
      </c>
      <c r="C4069" s="3">
        <v>3636028</v>
      </c>
      <c r="D4069" s="3">
        <v>3643575</v>
      </c>
      <c r="E4069" s="1" t="s">
        <v>13</v>
      </c>
      <c r="F4069" s="1">
        <v>6</v>
      </c>
      <c r="G4069" s="1">
        <v>18</v>
      </c>
      <c r="H4069" s="1">
        <v>19</v>
      </c>
      <c r="I4069" s="1" t="s">
        <v>4386</v>
      </c>
      <c r="J4069" s="1" t="s">
        <v>10378</v>
      </c>
      <c r="K4069" s="1" t="s">
        <v>10370</v>
      </c>
    </row>
    <row r="4070" spans="1:11" ht="21" x14ac:dyDescent="0.25">
      <c r="A4070" s="11" t="str">
        <f>HYPERLINK("https://rth.dk/resources/bsgatlas/details.php?id=BSGatlas-transcript-4069","BSGatlas-transcript-4069")</f>
        <v>BSGatlas-transcript-4069</v>
      </c>
      <c r="B4070" s="1" t="s">
        <v>10379</v>
      </c>
      <c r="C4070" s="3">
        <v>3637304</v>
      </c>
      <c r="D4070" s="3">
        <v>3640591</v>
      </c>
      <c r="E4070" s="1" t="s">
        <v>13</v>
      </c>
      <c r="F4070" s="1">
        <v>1</v>
      </c>
      <c r="G4070" s="1">
        <v>41</v>
      </c>
      <c r="H4070" s="1">
        <v>35</v>
      </c>
      <c r="I4070" s="1" t="s">
        <v>4397</v>
      </c>
      <c r="J4070" s="1" t="s">
        <v>10372</v>
      </c>
      <c r="K4070" s="1" t="s">
        <v>10380</v>
      </c>
    </row>
    <row r="4071" spans="1:11" ht="21" x14ac:dyDescent="0.25">
      <c r="A4071" s="11" t="str">
        <f>HYPERLINK("https://rth.dk/resources/bsgatlas/details.php?id=BSGatlas-transcript-4070","BSGatlas-transcript-4070")</f>
        <v>BSGatlas-transcript-4070</v>
      </c>
      <c r="B4071" s="1" t="s">
        <v>10381</v>
      </c>
      <c r="C4071" s="3">
        <v>3637304</v>
      </c>
      <c r="D4071" s="3">
        <v>3641093</v>
      </c>
      <c r="E4071" s="1" t="s">
        <v>13</v>
      </c>
      <c r="F4071" s="1">
        <v>2</v>
      </c>
      <c r="G4071" s="1">
        <v>43</v>
      </c>
      <c r="H4071" s="1">
        <v>35</v>
      </c>
      <c r="I4071" s="1" t="s">
        <v>4386</v>
      </c>
      <c r="J4071" s="1" t="s">
        <v>10374</v>
      </c>
      <c r="K4071" s="1" t="s">
        <v>10380</v>
      </c>
    </row>
    <row r="4072" spans="1:11" ht="21" x14ac:dyDescent="0.25">
      <c r="A4072" s="11" t="str">
        <f>HYPERLINK("https://rth.dk/resources/bsgatlas/details.php?id=BSGatlas-transcript-4071","BSGatlas-transcript-4071")</f>
        <v>BSGatlas-transcript-4071</v>
      </c>
      <c r="B4072" s="1" t="s">
        <v>10382</v>
      </c>
      <c r="C4072" s="3">
        <v>3637304</v>
      </c>
      <c r="D4072" s="3">
        <v>3642146</v>
      </c>
      <c r="E4072" s="1" t="s">
        <v>13</v>
      </c>
      <c r="F4072" s="1">
        <v>3</v>
      </c>
      <c r="G4072" s="1">
        <v>40</v>
      </c>
      <c r="H4072" s="1">
        <v>35</v>
      </c>
      <c r="I4072" s="1" t="s">
        <v>4377</v>
      </c>
      <c r="J4072" s="1" t="s">
        <v>10376</v>
      </c>
      <c r="K4072" s="1" t="s">
        <v>10380</v>
      </c>
    </row>
    <row r="4073" spans="1:11" ht="21" x14ac:dyDescent="0.25">
      <c r="A4073" s="11" t="str">
        <f>HYPERLINK("https://rth.dk/resources/bsgatlas/details.php?id=BSGatlas-transcript-4072","BSGatlas-transcript-4072")</f>
        <v>BSGatlas-transcript-4072</v>
      </c>
      <c r="B4073" s="1" t="s">
        <v>10383</v>
      </c>
      <c r="C4073" s="3">
        <v>3637304</v>
      </c>
      <c r="D4073" s="3">
        <v>3643575</v>
      </c>
      <c r="E4073" s="1" t="s">
        <v>13</v>
      </c>
      <c r="F4073" s="1">
        <v>4</v>
      </c>
      <c r="G4073" s="1">
        <v>18</v>
      </c>
      <c r="H4073" s="1">
        <v>35</v>
      </c>
      <c r="I4073" s="1" t="s">
        <v>4382</v>
      </c>
      <c r="J4073" s="1" t="s">
        <v>10378</v>
      </c>
      <c r="K4073" s="1" t="s">
        <v>10380</v>
      </c>
    </row>
    <row r="4074" spans="1:11" ht="21" x14ac:dyDescent="0.25">
      <c r="A4074" s="11" t="str">
        <f>HYPERLINK("https://rth.dk/resources/bsgatlas/details.php?id=BSGatlas-transcript-4073","BSGatlas-transcript-4073")</f>
        <v>BSGatlas-transcript-4073</v>
      </c>
      <c r="B4074" s="1" t="s">
        <v>10384</v>
      </c>
      <c r="C4074" s="3">
        <v>3641101</v>
      </c>
      <c r="D4074" s="3">
        <v>3642146</v>
      </c>
      <c r="E4074" s="1" t="s">
        <v>13</v>
      </c>
      <c r="F4074" s="1">
        <v>0</v>
      </c>
      <c r="G4074" s="1" t="s">
        <v>4372</v>
      </c>
      <c r="H4074" s="1" t="s">
        <v>4372</v>
      </c>
      <c r="I4074" s="1" t="s">
        <v>4377</v>
      </c>
      <c r="J4074" s="1" t="s">
        <v>10376</v>
      </c>
      <c r="K4074" s="1" t="s">
        <v>10385</v>
      </c>
    </row>
    <row r="4075" spans="1:11" ht="21" x14ac:dyDescent="0.25">
      <c r="A4075" s="11" t="str">
        <f>HYPERLINK("https://rth.dk/resources/bsgatlas/details.php?id=BSGatlas-transcript-4074","BSGatlas-transcript-4074")</f>
        <v>BSGatlas-transcript-4074</v>
      </c>
      <c r="B4075" s="1" t="s">
        <v>10386</v>
      </c>
      <c r="C4075" s="3">
        <v>3641101</v>
      </c>
      <c r="D4075" s="3">
        <v>3643575</v>
      </c>
      <c r="E4075" s="1" t="s">
        <v>13</v>
      </c>
      <c r="F4075" s="1">
        <v>1</v>
      </c>
      <c r="G4075" s="1">
        <v>18</v>
      </c>
      <c r="H4075" s="1">
        <v>25</v>
      </c>
      <c r="I4075" s="1" t="s">
        <v>4377</v>
      </c>
      <c r="J4075" s="1" t="s">
        <v>10378</v>
      </c>
      <c r="K4075" s="1" t="s">
        <v>10385</v>
      </c>
    </row>
    <row r="4076" spans="1:11" ht="21" x14ac:dyDescent="0.25">
      <c r="A4076" s="11" t="str">
        <f>HYPERLINK("https://rth.dk/resources/bsgatlas/details.php?id=BSGatlas-transcript-4075","BSGatlas-transcript-4075")</f>
        <v>BSGatlas-transcript-4075</v>
      </c>
      <c r="B4076" s="1" t="s">
        <v>3781</v>
      </c>
      <c r="C4076" s="3">
        <v>3643621</v>
      </c>
      <c r="D4076" s="3">
        <v>3644555</v>
      </c>
      <c r="E4076" s="1" t="s">
        <v>13</v>
      </c>
      <c r="F4076" s="1">
        <v>0</v>
      </c>
      <c r="G4076" s="1" t="s">
        <v>4372</v>
      </c>
      <c r="H4076" s="1" t="s">
        <v>4372</v>
      </c>
      <c r="I4076" s="1" t="s">
        <v>4373</v>
      </c>
      <c r="J4076" s="1" t="s">
        <v>10387</v>
      </c>
      <c r="K4076" s="1" t="s">
        <v>10388</v>
      </c>
    </row>
    <row r="4077" spans="1:11" ht="21" x14ac:dyDescent="0.25">
      <c r="A4077" s="11" t="str">
        <f>HYPERLINK("https://rth.dk/resources/bsgatlas/details.php?id=BSGatlas-transcript-4076","BSGatlas-transcript-4076")</f>
        <v>BSGatlas-transcript-4076</v>
      </c>
      <c r="B4077" s="1" t="s">
        <v>3782</v>
      </c>
      <c r="C4077" s="3">
        <v>3643957</v>
      </c>
      <c r="D4077" s="3">
        <v>3645689</v>
      </c>
      <c r="E4077" s="1" t="s">
        <v>9</v>
      </c>
      <c r="F4077" s="1">
        <v>0</v>
      </c>
      <c r="G4077" s="1" t="s">
        <v>4372</v>
      </c>
      <c r="H4077" s="1" t="s">
        <v>4372</v>
      </c>
      <c r="I4077" s="1" t="s">
        <v>4377</v>
      </c>
      <c r="J4077" s="1" t="s">
        <v>10389</v>
      </c>
      <c r="K4077" s="1" t="s">
        <v>318</v>
      </c>
    </row>
    <row r="4078" spans="1:11" ht="21" x14ac:dyDescent="0.25">
      <c r="A4078" s="11" t="str">
        <f>HYPERLINK("https://rth.dk/resources/bsgatlas/details.php?id=BSGatlas-transcript-4077","BSGatlas-transcript-4077")</f>
        <v>BSGatlas-transcript-4077</v>
      </c>
      <c r="B4078" s="1" t="s">
        <v>3783</v>
      </c>
      <c r="C4078" s="3">
        <v>3644558</v>
      </c>
      <c r="D4078" s="3">
        <v>3645296</v>
      </c>
      <c r="E4078" s="1" t="s">
        <v>13</v>
      </c>
      <c r="F4078" s="1">
        <v>0</v>
      </c>
      <c r="G4078" s="1" t="s">
        <v>4372</v>
      </c>
      <c r="H4078" s="1" t="s">
        <v>4372</v>
      </c>
      <c r="I4078" s="1" t="s">
        <v>4397</v>
      </c>
      <c r="J4078" s="1" t="s">
        <v>318</v>
      </c>
      <c r="K4078" s="1" t="s">
        <v>10390</v>
      </c>
    </row>
    <row r="4079" spans="1:11" ht="21" x14ac:dyDescent="0.25">
      <c r="A4079" s="11" t="str">
        <f>HYPERLINK("https://rth.dk/resources/bsgatlas/details.php?id=BSGatlas-transcript-4078","BSGatlas-transcript-4078")</f>
        <v>BSGatlas-transcript-4078</v>
      </c>
      <c r="B4079" s="1" t="s">
        <v>10391</v>
      </c>
      <c r="C4079" s="3">
        <v>3644558</v>
      </c>
      <c r="D4079" s="3">
        <v>3646657</v>
      </c>
      <c r="E4079" s="1" t="s">
        <v>13</v>
      </c>
      <c r="F4079" s="1">
        <v>1</v>
      </c>
      <c r="G4079" s="1">
        <v>122</v>
      </c>
      <c r="H4079" s="1">
        <v>50</v>
      </c>
      <c r="I4079" s="1" t="s">
        <v>4373</v>
      </c>
      <c r="J4079" s="1" t="s">
        <v>10392</v>
      </c>
      <c r="K4079" s="1" t="s">
        <v>10390</v>
      </c>
    </row>
    <row r="4080" spans="1:11" ht="21" x14ac:dyDescent="0.25">
      <c r="A4080" s="11" t="str">
        <f>HYPERLINK("https://rth.dk/resources/bsgatlas/details.php?id=BSGatlas-transcript-4079","BSGatlas-transcript-4079")</f>
        <v>BSGatlas-transcript-4079</v>
      </c>
      <c r="B4080" s="1" t="s">
        <v>10393</v>
      </c>
      <c r="C4080" s="3">
        <v>3646613</v>
      </c>
      <c r="D4080" s="3">
        <v>3648581</v>
      </c>
      <c r="E4080" s="1" t="s">
        <v>9</v>
      </c>
      <c r="F4080" s="1">
        <v>0</v>
      </c>
      <c r="G4080" s="1" t="s">
        <v>4372</v>
      </c>
      <c r="H4080" s="1" t="s">
        <v>4372</v>
      </c>
      <c r="I4080" s="1" t="s">
        <v>4397</v>
      </c>
      <c r="J4080" s="1" t="s">
        <v>10394</v>
      </c>
      <c r="K4080" s="1" t="s">
        <v>10395</v>
      </c>
    </row>
    <row r="4081" spans="1:11" ht="21" x14ac:dyDescent="0.25">
      <c r="A4081" s="11" t="str">
        <f>HYPERLINK("https://rth.dk/resources/bsgatlas/details.php?id=BSGatlas-transcript-4080","BSGatlas-transcript-4080")</f>
        <v>BSGatlas-transcript-4080</v>
      </c>
      <c r="B4081" s="1" t="s">
        <v>10393</v>
      </c>
      <c r="C4081" s="3">
        <v>3646613</v>
      </c>
      <c r="D4081" s="3">
        <v>3648665</v>
      </c>
      <c r="E4081" s="1" t="s">
        <v>9</v>
      </c>
      <c r="F4081" s="1">
        <v>0</v>
      </c>
      <c r="G4081" s="1" t="s">
        <v>4372</v>
      </c>
      <c r="H4081" s="1" t="s">
        <v>4372</v>
      </c>
      <c r="I4081" s="1" t="s">
        <v>4397</v>
      </c>
      <c r="J4081" s="1" t="s">
        <v>10394</v>
      </c>
      <c r="K4081" s="1" t="s">
        <v>10396</v>
      </c>
    </row>
    <row r="4082" spans="1:11" ht="21" x14ac:dyDescent="0.25">
      <c r="A4082" s="11" t="str">
        <f>HYPERLINK("https://rth.dk/resources/bsgatlas/details.php?id=BSGatlas-transcript-4081","BSGatlas-transcript-4081")</f>
        <v>BSGatlas-transcript-4081</v>
      </c>
      <c r="B4082" s="1" t="s">
        <v>10393</v>
      </c>
      <c r="C4082" s="3">
        <v>3646701</v>
      </c>
      <c r="D4082" s="3">
        <v>3648581</v>
      </c>
      <c r="E4082" s="1" t="s">
        <v>9</v>
      </c>
      <c r="F4082" s="1">
        <v>0</v>
      </c>
      <c r="G4082" s="1" t="s">
        <v>4372</v>
      </c>
      <c r="H4082" s="1" t="s">
        <v>4372</v>
      </c>
      <c r="I4082" s="1" t="s">
        <v>4397</v>
      </c>
      <c r="J4082" s="1" t="s">
        <v>10397</v>
      </c>
      <c r="K4082" s="1" t="s">
        <v>10395</v>
      </c>
    </row>
    <row r="4083" spans="1:11" ht="21" x14ac:dyDescent="0.25">
      <c r="A4083" s="11" t="str">
        <f>HYPERLINK("https://rth.dk/resources/bsgatlas/details.php?id=BSGatlas-transcript-4082","BSGatlas-transcript-4082")</f>
        <v>BSGatlas-transcript-4082</v>
      </c>
      <c r="B4083" s="1" t="s">
        <v>10393</v>
      </c>
      <c r="C4083" s="3">
        <v>3646701</v>
      </c>
      <c r="D4083" s="3">
        <v>3648665</v>
      </c>
      <c r="E4083" s="1" t="s">
        <v>9</v>
      </c>
      <c r="F4083" s="1">
        <v>0</v>
      </c>
      <c r="G4083" s="1" t="s">
        <v>4372</v>
      </c>
      <c r="H4083" s="1" t="s">
        <v>4372</v>
      </c>
      <c r="I4083" s="1" t="s">
        <v>4397</v>
      </c>
      <c r="J4083" s="1" t="s">
        <v>10397</v>
      </c>
      <c r="K4083" s="1" t="s">
        <v>10396</v>
      </c>
    </row>
    <row r="4084" spans="1:11" ht="21" x14ac:dyDescent="0.25">
      <c r="A4084" s="11" t="str">
        <f>HYPERLINK("https://rth.dk/resources/bsgatlas/details.php?id=BSGatlas-transcript-4083","BSGatlas-transcript-4083")</f>
        <v>BSGatlas-transcript-4083</v>
      </c>
      <c r="B4084" s="1" t="s">
        <v>3787</v>
      </c>
      <c r="C4084" s="3">
        <v>3647109</v>
      </c>
      <c r="D4084" s="3">
        <v>3647701</v>
      </c>
      <c r="E4084" s="1" t="s">
        <v>13</v>
      </c>
      <c r="F4084" s="1">
        <v>0</v>
      </c>
      <c r="G4084" s="1" t="s">
        <v>4372</v>
      </c>
      <c r="H4084" s="1" t="s">
        <v>4372</v>
      </c>
      <c r="I4084" s="1" t="s">
        <v>4377</v>
      </c>
      <c r="J4084" s="1" t="s">
        <v>10398</v>
      </c>
      <c r="K4084" s="1" t="s">
        <v>318</v>
      </c>
    </row>
    <row r="4085" spans="1:11" ht="21" x14ac:dyDescent="0.25">
      <c r="A4085" s="11" t="str">
        <f>HYPERLINK("https://rth.dk/resources/bsgatlas/details.php?id=BSGatlas-transcript-4084","BSGatlas-transcript-4084")</f>
        <v>BSGatlas-transcript-4084</v>
      </c>
      <c r="B4085" s="1" t="s">
        <v>3786</v>
      </c>
      <c r="C4085" s="3">
        <v>3647406</v>
      </c>
      <c r="D4085" s="3">
        <v>3648581</v>
      </c>
      <c r="E4085" s="1" t="s">
        <v>9</v>
      </c>
      <c r="F4085" s="1">
        <v>0</v>
      </c>
      <c r="G4085" s="1" t="s">
        <v>4372</v>
      </c>
      <c r="H4085" s="1" t="s">
        <v>4372</v>
      </c>
      <c r="I4085" s="1" t="s">
        <v>4382</v>
      </c>
      <c r="J4085" s="1" t="s">
        <v>318</v>
      </c>
      <c r="K4085" s="1" t="s">
        <v>10395</v>
      </c>
    </row>
    <row r="4086" spans="1:11" ht="21" x14ac:dyDescent="0.25">
      <c r="A4086" s="11" t="str">
        <f>HYPERLINK("https://rth.dk/resources/bsgatlas/details.php?id=BSGatlas-transcript-4085","BSGatlas-transcript-4085")</f>
        <v>BSGatlas-transcript-4085</v>
      </c>
      <c r="B4086" s="1" t="s">
        <v>3786</v>
      </c>
      <c r="C4086" s="3">
        <v>3647406</v>
      </c>
      <c r="D4086" s="3">
        <v>3648665</v>
      </c>
      <c r="E4086" s="1" t="s">
        <v>9</v>
      </c>
      <c r="F4086" s="1">
        <v>0</v>
      </c>
      <c r="G4086" s="1" t="s">
        <v>4372</v>
      </c>
      <c r="H4086" s="1" t="s">
        <v>4372</v>
      </c>
      <c r="I4086" s="1" t="s">
        <v>4382</v>
      </c>
      <c r="J4086" s="1" t="s">
        <v>318</v>
      </c>
      <c r="K4086" s="1" t="s">
        <v>10396</v>
      </c>
    </row>
    <row r="4087" spans="1:11" ht="21" x14ac:dyDescent="0.25">
      <c r="A4087" s="11" t="str">
        <f>HYPERLINK("https://rth.dk/resources/bsgatlas/details.php?id=BSGatlas-transcript-4086","BSGatlas-transcript-4086")</f>
        <v>BSGatlas-transcript-4086</v>
      </c>
      <c r="B4087" s="1" t="s">
        <v>3788</v>
      </c>
      <c r="C4087" s="3">
        <v>3648654</v>
      </c>
      <c r="D4087" s="3">
        <v>3649813</v>
      </c>
      <c r="E4087" s="1" t="s">
        <v>13</v>
      </c>
      <c r="F4087" s="1">
        <v>0</v>
      </c>
      <c r="G4087" s="1" t="s">
        <v>4372</v>
      </c>
      <c r="H4087" s="1" t="s">
        <v>4372</v>
      </c>
      <c r="I4087" s="1" t="s">
        <v>4386</v>
      </c>
      <c r="J4087" s="1" t="s">
        <v>10399</v>
      </c>
      <c r="K4087" s="1" t="s">
        <v>10400</v>
      </c>
    </row>
    <row r="4088" spans="1:11" ht="21" x14ac:dyDescent="0.25">
      <c r="A4088" s="11" t="str">
        <f>HYPERLINK("https://rth.dk/resources/bsgatlas/details.php?id=BSGatlas-transcript-4087","BSGatlas-transcript-4087")</f>
        <v>BSGatlas-transcript-4087</v>
      </c>
      <c r="B4088" s="1" t="s">
        <v>3789</v>
      </c>
      <c r="C4088" s="3">
        <v>3648747</v>
      </c>
      <c r="D4088" s="3">
        <v>3649980</v>
      </c>
      <c r="E4088" s="1" t="s">
        <v>9</v>
      </c>
      <c r="F4088" s="1">
        <v>0</v>
      </c>
      <c r="G4088" s="1" t="s">
        <v>4372</v>
      </c>
      <c r="H4088" s="1" t="s">
        <v>4372</v>
      </c>
      <c r="I4088" s="1" t="s">
        <v>4377</v>
      </c>
      <c r="J4088" s="1" t="s">
        <v>10401</v>
      </c>
      <c r="K4088" s="1" t="s">
        <v>318</v>
      </c>
    </row>
    <row r="4089" spans="1:11" ht="21" x14ac:dyDescent="0.25">
      <c r="A4089" s="11" t="str">
        <f>HYPERLINK("https://rth.dk/resources/bsgatlas/details.php?id=BSGatlas-transcript-4088","BSGatlas-transcript-4088")</f>
        <v>BSGatlas-transcript-4088</v>
      </c>
      <c r="B4089" s="1" t="s">
        <v>10402</v>
      </c>
      <c r="C4089" s="3">
        <v>3649839</v>
      </c>
      <c r="D4089" s="3">
        <v>3658203</v>
      </c>
      <c r="E4089" s="1" t="s">
        <v>13</v>
      </c>
      <c r="F4089" s="1">
        <v>5</v>
      </c>
      <c r="G4089" s="1" t="s">
        <v>4372</v>
      </c>
      <c r="H4089" s="1">
        <v>37</v>
      </c>
      <c r="I4089" s="1" t="s">
        <v>4382</v>
      </c>
      <c r="J4089" s="1" t="s">
        <v>318</v>
      </c>
      <c r="K4089" s="1" t="s">
        <v>10403</v>
      </c>
    </row>
    <row r="4090" spans="1:11" ht="21" x14ac:dyDescent="0.25">
      <c r="A4090" s="11" t="str">
        <f>HYPERLINK("https://rth.dk/resources/bsgatlas/details.php?id=BSGatlas-transcript-4089","BSGatlas-transcript-4089")</f>
        <v>BSGatlas-transcript-4089</v>
      </c>
      <c r="B4090" s="1" t="s">
        <v>10404</v>
      </c>
      <c r="C4090" s="3">
        <v>3649839</v>
      </c>
      <c r="D4090" s="3">
        <v>3658936</v>
      </c>
      <c r="E4090" s="1" t="s">
        <v>13</v>
      </c>
      <c r="F4090" s="1">
        <v>6</v>
      </c>
      <c r="G4090" s="1">
        <v>45</v>
      </c>
      <c r="H4090" s="1">
        <v>37</v>
      </c>
      <c r="I4090" s="1" t="s">
        <v>4386</v>
      </c>
      <c r="J4090" s="1" t="s">
        <v>10405</v>
      </c>
      <c r="K4090" s="1" t="s">
        <v>10403</v>
      </c>
    </row>
    <row r="4091" spans="1:11" ht="21" x14ac:dyDescent="0.25">
      <c r="A4091" s="11" t="str">
        <f>HYPERLINK("https://rth.dk/resources/bsgatlas/details.php?id=BSGatlas-transcript-4090","BSGatlas-transcript-4090")</f>
        <v>BSGatlas-transcript-4090</v>
      </c>
      <c r="B4091" s="1" t="s">
        <v>10404</v>
      </c>
      <c r="C4091" s="3">
        <v>3649839</v>
      </c>
      <c r="D4091" s="3">
        <v>3658937</v>
      </c>
      <c r="E4091" s="1" t="s">
        <v>13</v>
      </c>
      <c r="F4091" s="1">
        <v>6</v>
      </c>
      <c r="G4091" s="1">
        <v>46</v>
      </c>
      <c r="H4091" s="1">
        <v>37</v>
      </c>
      <c r="I4091" s="1" t="s">
        <v>4386</v>
      </c>
      <c r="J4091" s="1" t="s">
        <v>10406</v>
      </c>
      <c r="K4091" s="1" t="s">
        <v>10403</v>
      </c>
    </row>
    <row r="4092" spans="1:11" ht="21" x14ac:dyDescent="0.25">
      <c r="A4092" s="11" t="str">
        <f>HYPERLINK("https://rth.dk/resources/bsgatlas/details.php?id=BSGatlas-transcript-4091","BSGatlas-transcript-4091")</f>
        <v>BSGatlas-transcript-4091</v>
      </c>
      <c r="B4092" s="1" t="s">
        <v>10407</v>
      </c>
      <c r="C4092" s="3">
        <v>3659070</v>
      </c>
      <c r="D4092" s="3">
        <v>3663097</v>
      </c>
      <c r="E4092" s="1" t="s">
        <v>13</v>
      </c>
      <c r="F4092" s="1">
        <v>2</v>
      </c>
      <c r="G4092" s="1" t="s">
        <v>4372</v>
      </c>
      <c r="H4092" s="1">
        <v>50</v>
      </c>
      <c r="I4092" s="1" t="s">
        <v>4373</v>
      </c>
      <c r="J4092" s="1" t="s">
        <v>10408</v>
      </c>
      <c r="K4092" s="1" t="s">
        <v>10409</v>
      </c>
    </row>
    <row r="4093" spans="1:11" ht="21" x14ac:dyDescent="0.25">
      <c r="A4093" s="11" t="str">
        <f>HYPERLINK("https://rth.dk/resources/bsgatlas/details.php?id=BSGatlas-transcript-4092","BSGatlas-transcript-4092")</f>
        <v>BSGatlas-transcript-4092</v>
      </c>
      <c r="B4093" s="1" t="s">
        <v>10407</v>
      </c>
      <c r="C4093" s="3">
        <v>3659070</v>
      </c>
      <c r="D4093" s="3">
        <v>3663130</v>
      </c>
      <c r="E4093" s="1" t="s">
        <v>13</v>
      </c>
      <c r="F4093" s="1">
        <v>2</v>
      </c>
      <c r="G4093" s="1">
        <v>34</v>
      </c>
      <c r="H4093" s="1">
        <v>50</v>
      </c>
      <c r="I4093" s="1" t="s">
        <v>4373</v>
      </c>
      <c r="J4093" s="1" t="s">
        <v>10410</v>
      </c>
      <c r="K4093" s="1" t="s">
        <v>10409</v>
      </c>
    </row>
    <row r="4094" spans="1:11" ht="21" x14ac:dyDescent="0.25">
      <c r="A4094" s="11" t="str">
        <f>HYPERLINK("https://rth.dk/resources/bsgatlas/details.php?id=BSGatlas-transcript-4093","BSGatlas-transcript-4093")</f>
        <v>BSGatlas-transcript-4093</v>
      </c>
      <c r="B4094" s="1" t="s">
        <v>10407</v>
      </c>
      <c r="C4094" s="3">
        <v>3659119</v>
      </c>
      <c r="D4094" s="3">
        <v>3663097</v>
      </c>
      <c r="E4094" s="1" t="s">
        <v>13</v>
      </c>
      <c r="F4094" s="1">
        <v>2</v>
      </c>
      <c r="G4094" s="1" t="s">
        <v>4372</v>
      </c>
      <c r="H4094" s="1" t="s">
        <v>4372</v>
      </c>
      <c r="I4094" s="1" t="s">
        <v>4373</v>
      </c>
      <c r="J4094" s="1" t="s">
        <v>10408</v>
      </c>
      <c r="K4094" s="1" t="s">
        <v>10411</v>
      </c>
    </row>
    <row r="4095" spans="1:11" ht="21" x14ac:dyDescent="0.25">
      <c r="A4095" s="11" t="str">
        <f>HYPERLINK("https://rth.dk/resources/bsgatlas/details.php?id=BSGatlas-transcript-4094","BSGatlas-transcript-4094")</f>
        <v>BSGatlas-transcript-4094</v>
      </c>
      <c r="B4095" s="1" t="s">
        <v>10407</v>
      </c>
      <c r="C4095" s="3">
        <v>3659119</v>
      </c>
      <c r="D4095" s="3">
        <v>3663130</v>
      </c>
      <c r="E4095" s="1" t="s">
        <v>13</v>
      </c>
      <c r="F4095" s="1">
        <v>2</v>
      </c>
      <c r="G4095" s="1">
        <v>34</v>
      </c>
      <c r="H4095" s="1" t="s">
        <v>4372</v>
      </c>
      <c r="I4095" s="1" t="s">
        <v>4373</v>
      </c>
      <c r="J4095" s="1" t="s">
        <v>10410</v>
      </c>
      <c r="K4095" s="1" t="s">
        <v>10411</v>
      </c>
    </row>
    <row r="4096" spans="1:11" ht="21" x14ac:dyDescent="0.25">
      <c r="A4096" s="11" t="str">
        <f>HYPERLINK("https://rth.dk/resources/bsgatlas/details.php?id=BSGatlas-transcript-4095","BSGatlas-transcript-4095")</f>
        <v>BSGatlas-transcript-4095</v>
      </c>
      <c r="B4096" s="1" t="s">
        <v>3802</v>
      </c>
      <c r="C4096" s="3">
        <v>3663113</v>
      </c>
      <c r="D4096" s="3">
        <v>3664251</v>
      </c>
      <c r="E4096" s="1" t="s">
        <v>9</v>
      </c>
      <c r="F4096" s="1">
        <v>0</v>
      </c>
      <c r="G4096" s="1" t="s">
        <v>4372</v>
      </c>
      <c r="H4096" s="1" t="s">
        <v>4372</v>
      </c>
      <c r="I4096" s="1" t="s">
        <v>4373</v>
      </c>
      <c r="J4096" s="1" t="s">
        <v>10412</v>
      </c>
      <c r="K4096" s="1" t="s">
        <v>10413</v>
      </c>
    </row>
    <row r="4097" spans="1:11" ht="21" x14ac:dyDescent="0.25">
      <c r="A4097" s="11" t="str">
        <f>HYPERLINK("https://rth.dk/resources/bsgatlas/details.php?id=BSGatlas-transcript-4096","BSGatlas-transcript-4096")</f>
        <v>BSGatlas-transcript-4096</v>
      </c>
      <c r="B4097" s="1" t="s">
        <v>3802</v>
      </c>
      <c r="C4097" s="3">
        <v>3663197</v>
      </c>
      <c r="D4097" s="3">
        <v>3664251</v>
      </c>
      <c r="E4097" s="1" t="s">
        <v>9</v>
      </c>
      <c r="F4097" s="1">
        <v>0</v>
      </c>
      <c r="G4097" s="1" t="s">
        <v>4372</v>
      </c>
      <c r="H4097" s="1" t="s">
        <v>4372</v>
      </c>
      <c r="I4097" s="1" t="s">
        <v>4373</v>
      </c>
      <c r="J4097" s="1" t="s">
        <v>10414</v>
      </c>
      <c r="K4097" s="1" t="s">
        <v>10413</v>
      </c>
    </row>
    <row r="4098" spans="1:11" ht="21" x14ac:dyDescent="0.25">
      <c r="A4098" s="11" t="str">
        <f>HYPERLINK("https://rth.dk/resources/bsgatlas/details.php?id=BSGatlas-transcript-4097","BSGatlas-transcript-4097")</f>
        <v>BSGatlas-transcript-4097</v>
      </c>
      <c r="B4098" s="1" t="s">
        <v>3802</v>
      </c>
      <c r="C4098" s="3">
        <v>3663257</v>
      </c>
      <c r="D4098" s="3">
        <v>3664251</v>
      </c>
      <c r="E4098" s="1" t="s">
        <v>9</v>
      </c>
      <c r="F4098" s="1">
        <v>0</v>
      </c>
      <c r="G4098" s="1" t="s">
        <v>4372</v>
      </c>
      <c r="H4098" s="1" t="s">
        <v>4372</v>
      </c>
      <c r="I4098" s="1" t="s">
        <v>4373</v>
      </c>
      <c r="J4098" s="1" t="s">
        <v>10415</v>
      </c>
      <c r="K4098" s="1" t="s">
        <v>10413</v>
      </c>
    </row>
    <row r="4099" spans="1:11" ht="21" x14ac:dyDescent="0.25">
      <c r="A4099" s="11" t="str">
        <f>HYPERLINK("https://rth.dk/resources/bsgatlas/details.php?id=BSGatlas-transcript-4098","BSGatlas-transcript-4098")</f>
        <v>BSGatlas-transcript-4098</v>
      </c>
      <c r="B4099" s="1" t="s">
        <v>3803</v>
      </c>
      <c r="C4099" s="3">
        <v>3664241</v>
      </c>
      <c r="D4099" s="3">
        <v>3665436</v>
      </c>
      <c r="E4099" s="1" t="s">
        <v>13</v>
      </c>
      <c r="F4099" s="1">
        <v>0</v>
      </c>
      <c r="G4099" s="1" t="s">
        <v>4372</v>
      </c>
      <c r="H4099" s="1" t="s">
        <v>4372</v>
      </c>
      <c r="I4099" s="1" t="s">
        <v>4397</v>
      </c>
      <c r="J4099" s="1" t="s">
        <v>10416</v>
      </c>
      <c r="K4099" s="1" t="s">
        <v>10417</v>
      </c>
    </row>
    <row r="4100" spans="1:11" ht="21" x14ac:dyDescent="0.25">
      <c r="A4100" s="11" t="str">
        <f>HYPERLINK("https://rth.dk/resources/bsgatlas/details.php?id=BSGatlas-transcript-4099","BSGatlas-transcript-4099")</f>
        <v>BSGatlas-transcript-4099</v>
      </c>
      <c r="B4100" s="1" t="s">
        <v>3804</v>
      </c>
      <c r="C4100" s="3">
        <v>3665549</v>
      </c>
      <c r="D4100" s="3">
        <v>3666566</v>
      </c>
      <c r="E4100" s="1" t="s">
        <v>9</v>
      </c>
      <c r="F4100" s="1">
        <v>0</v>
      </c>
      <c r="G4100" s="1" t="s">
        <v>4372</v>
      </c>
      <c r="H4100" s="1" t="s">
        <v>4372</v>
      </c>
      <c r="I4100" s="1" t="s">
        <v>4373</v>
      </c>
      <c r="J4100" s="1" t="s">
        <v>10418</v>
      </c>
      <c r="K4100" s="1" t="s">
        <v>10419</v>
      </c>
    </row>
    <row r="4101" spans="1:11" ht="21" x14ac:dyDescent="0.25">
      <c r="A4101" s="11" t="str">
        <f>HYPERLINK("https://rth.dk/resources/bsgatlas/details.php?id=BSGatlas-transcript-4100","BSGatlas-transcript-4100")</f>
        <v>BSGatlas-transcript-4100</v>
      </c>
      <c r="B4101" s="1" t="s">
        <v>3804</v>
      </c>
      <c r="C4101" s="3">
        <v>3665584</v>
      </c>
      <c r="D4101" s="3">
        <v>3666566</v>
      </c>
      <c r="E4101" s="1" t="s">
        <v>9</v>
      </c>
      <c r="F4101" s="1">
        <v>0</v>
      </c>
      <c r="G4101" s="1" t="s">
        <v>4372</v>
      </c>
      <c r="H4101" s="1" t="s">
        <v>4372</v>
      </c>
      <c r="I4101" s="1" t="s">
        <v>4373</v>
      </c>
      <c r="J4101" s="1" t="s">
        <v>10420</v>
      </c>
      <c r="K4101" s="1" t="s">
        <v>10419</v>
      </c>
    </row>
    <row r="4102" spans="1:11" ht="21" x14ac:dyDescent="0.25">
      <c r="A4102" s="11" t="str">
        <f>HYPERLINK("https://rth.dk/resources/bsgatlas/details.php?id=BSGatlas-transcript-4101","BSGatlas-transcript-4101")</f>
        <v>BSGatlas-transcript-4101</v>
      </c>
      <c r="B4102" s="1" t="s">
        <v>3805</v>
      </c>
      <c r="C4102" s="3">
        <v>3666544</v>
      </c>
      <c r="D4102" s="3">
        <v>3667016</v>
      </c>
      <c r="E4102" s="1" t="s">
        <v>13</v>
      </c>
      <c r="F4102" s="1">
        <v>0</v>
      </c>
      <c r="G4102" s="1" t="s">
        <v>4372</v>
      </c>
      <c r="H4102" s="1" t="s">
        <v>4372</v>
      </c>
      <c r="I4102" s="1" t="s">
        <v>4377</v>
      </c>
      <c r="J4102" s="1" t="s">
        <v>318</v>
      </c>
      <c r="K4102" s="1" t="s">
        <v>10421</v>
      </c>
    </row>
    <row r="4103" spans="1:11" ht="21" x14ac:dyDescent="0.25">
      <c r="A4103" s="11" t="str">
        <f>HYPERLINK("https://rth.dk/resources/bsgatlas/details.php?id=BSGatlas-transcript-4102","BSGatlas-transcript-4102")</f>
        <v>BSGatlas-transcript-4102</v>
      </c>
      <c r="B4103" s="1" t="s">
        <v>4760</v>
      </c>
      <c r="C4103" s="3">
        <v>3666841</v>
      </c>
      <c r="D4103" s="3">
        <v>3667632</v>
      </c>
      <c r="E4103" s="1" t="s">
        <v>9</v>
      </c>
      <c r="F4103" s="1">
        <v>0</v>
      </c>
      <c r="G4103" s="1" t="s">
        <v>4372</v>
      </c>
      <c r="H4103" s="1" t="s">
        <v>4372</v>
      </c>
      <c r="I4103" s="1" t="s">
        <v>4377</v>
      </c>
      <c r="J4103" s="1" t="s">
        <v>318</v>
      </c>
      <c r="K4103" s="1" t="s">
        <v>10422</v>
      </c>
    </row>
    <row r="4104" spans="1:11" ht="21" x14ac:dyDescent="0.25">
      <c r="A4104" s="11" t="str">
        <f>HYPERLINK("https://rth.dk/resources/bsgatlas/details.php?id=BSGatlas-transcript-4103","BSGatlas-transcript-4103")</f>
        <v>BSGatlas-transcript-4103</v>
      </c>
      <c r="B4104" s="1" t="s">
        <v>10423</v>
      </c>
      <c r="C4104" s="3">
        <v>3667136</v>
      </c>
      <c r="D4104" s="3">
        <v>3671375</v>
      </c>
      <c r="E4104" s="1" t="s">
        <v>13</v>
      </c>
      <c r="F4104" s="1">
        <v>1</v>
      </c>
      <c r="G4104" s="1" t="s">
        <v>4372</v>
      </c>
      <c r="H4104" s="1">
        <v>74</v>
      </c>
      <c r="I4104" s="1" t="s">
        <v>4373</v>
      </c>
      <c r="J4104" s="1" t="s">
        <v>318</v>
      </c>
      <c r="K4104" s="1" t="s">
        <v>10424</v>
      </c>
    </row>
    <row r="4105" spans="1:11" ht="21" x14ac:dyDescent="0.25">
      <c r="A4105" s="11" t="str">
        <f>HYPERLINK("https://rth.dk/resources/bsgatlas/details.php?id=BSGatlas-transcript-4104","BSGatlas-transcript-4104")</f>
        <v>BSGatlas-transcript-4104</v>
      </c>
      <c r="B4105" s="1" t="s">
        <v>3808</v>
      </c>
      <c r="C4105" s="3">
        <v>3672158</v>
      </c>
      <c r="D4105" s="3">
        <v>3672728</v>
      </c>
      <c r="E4105" s="1" t="s">
        <v>13</v>
      </c>
      <c r="F4105" s="1">
        <v>0</v>
      </c>
      <c r="G4105" s="1" t="s">
        <v>4372</v>
      </c>
      <c r="H4105" s="1" t="s">
        <v>4372</v>
      </c>
      <c r="I4105" s="1" t="s">
        <v>4377</v>
      </c>
      <c r="J4105" s="1" t="s">
        <v>10425</v>
      </c>
      <c r="K4105" s="1" t="s">
        <v>318</v>
      </c>
    </row>
    <row r="4106" spans="1:11" ht="21" x14ac:dyDescent="0.25">
      <c r="A4106" s="11" t="str">
        <f>HYPERLINK("https://rth.dk/resources/bsgatlas/details.php?id=BSGatlas-transcript-4105","BSGatlas-transcript-4105")</f>
        <v>BSGatlas-transcript-4105</v>
      </c>
      <c r="B4106" s="1" t="s">
        <v>3808</v>
      </c>
      <c r="C4106" s="3">
        <v>3672158</v>
      </c>
      <c r="D4106" s="3">
        <v>3672728</v>
      </c>
      <c r="E4106" s="1" t="s">
        <v>13</v>
      </c>
      <c r="F4106" s="1">
        <v>0</v>
      </c>
      <c r="G4106" s="1" t="s">
        <v>4372</v>
      </c>
      <c r="H4106" s="1" t="s">
        <v>4372</v>
      </c>
      <c r="I4106" s="1" t="s">
        <v>4377</v>
      </c>
      <c r="J4106" s="1" t="s">
        <v>10426</v>
      </c>
      <c r="K4106" s="1" t="s">
        <v>318</v>
      </c>
    </row>
    <row r="4107" spans="1:11" ht="21" x14ac:dyDescent="0.25">
      <c r="A4107" s="11" t="str">
        <f>HYPERLINK("https://rth.dk/resources/bsgatlas/details.php?id=BSGatlas-transcript-4106","BSGatlas-transcript-4106")</f>
        <v>BSGatlas-transcript-4106</v>
      </c>
      <c r="B4107" s="1" t="s">
        <v>3809</v>
      </c>
      <c r="C4107" s="3">
        <v>3672793</v>
      </c>
      <c r="D4107" s="3">
        <v>3673525</v>
      </c>
      <c r="E4107" s="1" t="s">
        <v>9</v>
      </c>
      <c r="F4107" s="1">
        <v>0</v>
      </c>
      <c r="G4107" s="1" t="s">
        <v>4372</v>
      </c>
      <c r="H4107" s="1" t="s">
        <v>4372</v>
      </c>
      <c r="I4107" s="1" t="s">
        <v>4386</v>
      </c>
      <c r="J4107" s="1" t="s">
        <v>10427</v>
      </c>
      <c r="K4107" s="1" t="s">
        <v>10428</v>
      </c>
    </row>
    <row r="4108" spans="1:11" ht="21" x14ac:dyDescent="0.25">
      <c r="A4108" s="11" t="str">
        <f>HYPERLINK("https://rth.dk/resources/bsgatlas/details.php?id=BSGatlas-transcript-4107","BSGatlas-transcript-4107")</f>
        <v>BSGatlas-transcript-4107</v>
      </c>
      <c r="B4108" s="1" t="s">
        <v>3809</v>
      </c>
      <c r="C4108" s="3">
        <v>3672793</v>
      </c>
      <c r="D4108" s="3">
        <v>3673629</v>
      </c>
      <c r="E4108" s="1" t="s">
        <v>9</v>
      </c>
      <c r="F4108" s="1">
        <v>0</v>
      </c>
      <c r="G4108" s="1" t="s">
        <v>4372</v>
      </c>
      <c r="H4108" s="1" t="s">
        <v>4372</v>
      </c>
      <c r="I4108" s="1" t="s">
        <v>4386</v>
      </c>
      <c r="J4108" s="1" t="s">
        <v>10427</v>
      </c>
      <c r="K4108" s="1" t="s">
        <v>10429</v>
      </c>
    </row>
    <row r="4109" spans="1:11" ht="21" x14ac:dyDescent="0.25">
      <c r="A4109" s="11" t="str">
        <f>HYPERLINK("https://rth.dk/resources/bsgatlas/details.php?id=BSGatlas-transcript-4108","BSGatlas-transcript-4108")</f>
        <v>BSGatlas-transcript-4108</v>
      </c>
      <c r="B4109" s="1" t="s">
        <v>3809</v>
      </c>
      <c r="C4109" s="3">
        <v>3672929</v>
      </c>
      <c r="D4109" s="3">
        <v>3673525</v>
      </c>
      <c r="E4109" s="1" t="s">
        <v>9</v>
      </c>
      <c r="F4109" s="1">
        <v>0</v>
      </c>
      <c r="G4109" s="1" t="s">
        <v>4372</v>
      </c>
      <c r="H4109" s="1" t="s">
        <v>4372</v>
      </c>
      <c r="I4109" s="1" t="s">
        <v>4386</v>
      </c>
      <c r="J4109" s="1" t="s">
        <v>10430</v>
      </c>
      <c r="K4109" s="1" t="s">
        <v>10428</v>
      </c>
    </row>
    <row r="4110" spans="1:11" ht="21" x14ac:dyDescent="0.25">
      <c r="A4110" s="11" t="str">
        <f>HYPERLINK("https://rth.dk/resources/bsgatlas/details.php?id=BSGatlas-transcript-4109","BSGatlas-transcript-4109")</f>
        <v>BSGatlas-transcript-4109</v>
      </c>
      <c r="B4110" s="1" t="s">
        <v>3809</v>
      </c>
      <c r="C4110" s="3">
        <v>3672929</v>
      </c>
      <c r="D4110" s="3">
        <v>3673629</v>
      </c>
      <c r="E4110" s="1" t="s">
        <v>9</v>
      </c>
      <c r="F4110" s="1">
        <v>0</v>
      </c>
      <c r="G4110" s="1" t="s">
        <v>4372</v>
      </c>
      <c r="H4110" s="1" t="s">
        <v>4372</v>
      </c>
      <c r="I4110" s="1" t="s">
        <v>4386</v>
      </c>
      <c r="J4110" s="1" t="s">
        <v>10430</v>
      </c>
      <c r="K4110" s="1" t="s">
        <v>10429</v>
      </c>
    </row>
    <row r="4111" spans="1:11" ht="21" x14ac:dyDescent="0.25">
      <c r="A4111" s="11" t="str">
        <f>HYPERLINK("https://rth.dk/resources/bsgatlas/details.php?id=BSGatlas-transcript-4110","BSGatlas-transcript-4110")</f>
        <v>BSGatlas-transcript-4110</v>
      </c>
      <c r="B4111" s="1" t="s">
        <v>10431</v>
      </c>
      <c r="C4111" s="3">
        <v>3673564</v>
      </c>
      <c r="D4111" s="3">
        <v>3681091</v>
      </c>
      <c r="E4111" s="1" t="s">
        <v>13</v>
      </c>
      <c r="F4111" s="1">
        <v>3</v>
      </c>
      <c r="G4111" s="1">
        <v>122</v>
      </c>
      <c r="H4111" s="1" t="s">
        <v>4372</v>
      </c>
      <c r="I4111" s="1" t="s">
        <v>4386</v>
      </c>
      <c r="J4111" s="1" t="s">
        <v>10432</v>
      </c>
      <c r="K4111" s="1" t="s">
        <v>318</v>
      </c>
    </row>
    <row r="4112" spans="1:11" ht="21" x14ac:dyDescent="0.25">
      <c r="A4112" s="11" t="str">
        <f>HYPERLINK("https://rth.dk/resources/bsgatlas/details.php?id=BSGatlas-transcript-4111","BSGatlas-transcript-4111")</f>
        <v>BSGatlas-transcript-4111</v>
      </c>
      <c r="B4112" s="1" t="s">
        <v>10433</v>
      </c>
      <c r="C4112" s="3">
        <v>3676098</v>
      </c>
      <c r="D4112" s="3">
        <v>3681091</v>
      </c>
      <c r="E4112" s="1" t="s">
        <v>13</v>
      </c>
      <c r="F4112" s="1">
        <v>1</v>
      </c>
      <c r="G4112" s="1">
        <v>122</v>
      </c>
      <c r="H4112" s="1">
        <v>62</v>
      </c>
      <c r="I4112" s="1" t="s">
        <v>4382</v>
      </c>
      <c r="J4112" s="1" t="s">
        <v>10432</v>
      </c>
      <c r="K4112" s="1" t="s">
        <v>10434</v>
      </c>
    </row>
    <row r="4113" spans="1:11" ht="21" x14ac:dyDescent="0.25">
      <c r="A4113" s="11" t="str">
        <f>HYPERLINK("https://rth.dk/resources/bsgatlas/details.php?id=BSGatlas-transcript-4112","BSGatlas-transcript-4112")</f>
        <v>BSGatlas-transcript-4112</v>
      </c>
      <c r="B4113" s="1" t="s">
        <v>3815</v>
      </c>
      <c r="C4113" s="3">
        <v>3681295</v>
      </c>
      <c r="D4113" s="3">
        <v>3682187</v>
      </c>
      <c r="E4113" s="1" t="s">
        <v>9</v>
      </c>
      <c r="F4113" s="1">
        <v>0</v>
      </c>
      <c r="G4113" s="1" t="s">
        <v>4372</v>
      </c>
      <c r="H4113" s="1" t="s">
        <v>4372</v>
      </c>
      <c r="I4113" s="1" t="s">
        <v>4377</v>
      </c>
      <c r="J4113" s="1" t="s">
        <v>10435</v>
      </c>
      <c r="K4113" s="1" t="s">
        <v>10436</v>
      </c>
    </row>
    <row r="4114" spans="1:11" ht="21" x14ac:dyDescent="0.25">
      <c r="A4114" s="11" t="str">
        <f>HYPERLINK("https://rth.dk/resources/bsgatlas/details.php?id=BSGatlas-transcript-4113","BSGatlas-transcript-4113")</f>
        <v>BSGatlas-transcript-4113</v>
      </c>
      <c r="B4114" s="1" t="s">
        <v>10437</v>
      </c>
      <c r="C4114" s="3">
        <v>3681295</v>
      </c>
      <c r="D4114" s="3">
        <v>3683367</v>
      </c>
      <c r="E4114" s="1" t="s">
        <v>9</v>
      </c>
      <c r="F4114" s="1">
        <v>1</v>
      </c>
      <c r="G4114" s="1">
        <v>76</v>
      </c>
      <c r="H4114" s="1">
        <v>50</v>
      </c>
      <c r="I4114" s="1" t="s">
        <v>4373</v>
      </c>
      <c r="J4114" s="1" t="s">
        <v>10435</v>
      </c>
      <c r="K4114" s="1" t="s">
        <v>10438</v>
      </c>
    </row>
    <row r="4115" spans="1:11" ht="21" x14ac:dyDescent="0.25">
      <c r="A4115" s="11" t="str">
        <f>HYPERLINK("https://rth.dk/resources/bsgatlas/details.php?id=BSGatlas-transcript-4114","BSGatlas-transcript-4114")</f>
        <v>BSGatlas-transcript-4114</v>
      </c>
      <c r="B4115" s="1" t="s">
        <v>3817</v>
      </c>
      <c r="C4115" s="3">
        <v>3681497</v>
      </c>
      <c r="D4115" s="3">
        <v>3681845</v>
      </c>
      <c r="E4115" s="1" t="s">
        <v>13</v>
      </c>
      <c r="F4115" s="1">
        <v>0</v>
      </c>
      <c r="G4115" s="1" t="s">
        <v>4372</v>
      </c>
      <c r="H4115" s="1" t="s">
        <v>4372</v>
      </c>
      <c r="I4115" s="1" t="s">
        <v>4377</v>
      </c>
      <c r="J4115" s="1" t="s">
        <v>10439</v>
      </c>
      <c r="K4115" s="1" t="s">
        <v>318</v>
      </c>
    </row>
    <row r="4116" spans="1:11" ht="21" x14ac:dyDescent="0.25">
      <c r="A4116" s="11" t="str">
        <f>HYPERLINK("https://rth.dk/resources/bsgatlas/details.php?id=BSGatlas-transcript-4115","BSGatlas-transcript-4115")</f>
        <v>BSGatlas-transcript-4115</v>
      </c>
      <c r="B4116" s="1" t="s">
        <v>3818</v>
      </c>
      <c r="C4116" s="3">
        <v>3683392</v>
      </c>
      <c r="D4116" s="3">
        <v>3684820</v>
      </c>
      <c r="E4116" s="1" t="s">
        <v>9</v>
      </c>
      <c r="F4116" s="1">
        <v>0</v>
      </c>
      <c r="G4116" s="1" t="s">
        <v>4372</v>
      </c>
      <c r="H4116" s="1" t="s">
        <v>4372</v>
      </c>
      <c r="I4116" s="1" t="s">
        <v>4373</v>
      </c>
      <c r="J4116" s="1" t="s">
        <v>10440</v>
      </c>
      <c r="K4116" s="1" t="s">
        <v>10441</v>
      </c>
    </row>
    <row r="4117" spans="1:11" ht="21" x14ac:dyDescent="0.25">
      <c r="A4117" s="11" t="str">
        <f>HYPERLINK("https://rth.dk/resources/bsgatlas/details.php?id=BSGatlas-transcript-4116","BSGatlas-transcript-4116")</f>
        <v>BSGatlas-transcript-4116</v>
      </c>
      <c r="B4117" s="1" t="s">
        <v>3819</v>
      </c>
      <c r="C4117" s="3">
        <v>3684760</v>
      </c>
      <c r="D4117" s="3">
        <v>3687468</v>
      </c>
      <c r="E4117" s="1" t="s">
        <v>13</v>
      </c>
      <c r="F4117" s="1">
        <v>0</v>
      </c>
      <c r="G4117" s="1" t="s">
        <v>4372</v>
      </c>
      <c r="H4117" s="1" t="s">
        <v>4372</v>
      </c>
      <c r="I4117" s="1" t="s">
        <v>4373</v>
      </c>
      <c r="J4117" s="1" t="s">
        <v>10442</v>
      </c>
      <c r="K4117" s="1" t="s">
        <v>10443</v>
      </c>
    </row>
    <row r="4118" spans="1:11" ht="21" x14ac:dyDescent="0.25">
      <c r="A4118" s="11" t="str">
        <f>HYPERLINK("https://rth.dk/resources/bsgatlas/details.php?id=BSGatlas-transcript-4117","BSGatlas-transcript-4117")</f>
        <v>BSGatlas-transcript-4117</v>
      </c>
      <c r="B4118" s="1" t="s">
        <v>3819</v>
      </c>
      <c r="C4118" s="3">
        <v>3684760</v>
      </c>
      <c r="D4118" s="3">
        <v>3687506</v>
      </c>
      <c r="E4118" s="1" t="s">
        <v>13</v>
      </c>
      <c r="F4118" s="1">
        <v>0</v>
      </c>
      <c r="G4118" s="1" t="s">
        <v>4372</v>
      </c>
      <c r="H4118" s="1" t="s">
        <v>4372</v>
      </c>
      <c r="I4118" s="1" t="s">
        <v>4373</v>
      </c>
      <c r="J4118" s="1" t="s">
        <v>10444</v>
      </c>
      <c r="K4118" s="1" t="s">
        <v>10443</v>
      </c>
    </row>
    <row r="4119" spans="1:11" ht="21" x14ac:dyDescent="0.25">
      <c r="A4119" s="11" t="str">
        <f>HYPERLINK("https://rth.dk/resources/bsgatlas/details.php?id=BSGatlas-transcript-4118","BSGatlas-transcript-4118")</f>
        <v>BSGatlas-transcript-4118</v>
      </c>
      <c r="B4119" s="1" t="s">
        <v>3820</v>
      </c>
      <c r="C4119" s="3">
        <v>3687558</v>
      </c>
      <c r="D4119" s="3">
        <v>3688577</v>
      </c>
      <c r="E4119" s="1" t="s">
        <v>13</v>
      </c>
      <c r="F4119" s="1">
        <v>0</v>
      </c>
      <c r="G4119" s="1" t="s">
        <v>4372</v>
      </c>
      <c r="H4119" s="1" t="s">
        <v>4372</v>
      </c>
      <c r="I4119" s="1" t="s">
        <v>4373</v>
      </c>
      <c r="J4119" s="1" t="s">
        <v>10445</v>
      </c>
      <c r="K4119" s="1" t="s">
        <v>10446</v>
      </c>
    </row>
    <row r="4120" spans="1:11" ht="21" x14ac:dyDescent="0.25">
      <c r="A4120" s="11" t="str">
        <f>HYPERLINK("https://rth.dk/resources/bsgatlas/details.php?id=BSGatlas-transcript-4119","BSGatlas-transcript-4119")</f>
        <v>BSGatlas-transcript-4119</v>
      </c>
      <c r="B4120" s="1" t="s">
        <v>3820</v>
      </c>
      <c r="C4120" s="3">
        <v>3687558</v>
      </c>
      <c r="D4120" s="3">
        <v>3688717</v>
      </c>
      <c r="E4120" s="1" t="s">
        <v>13</v>
      </c>
      <c r="F4120" s="1">
        <v>0</v>
      </c>
      <c r="G4120" s="1" t="s">
        <v>4372</v>
      </c>
      <c r="H4120" s="1" t="s">
        <v>4372</v>
      </c>
      <c r="I4120" s="1" t="s">
        <v>4373</v>
      </c>
      <c r="J4120" s="1" t="s">
        <v>10447</v>
      </c>
      <c r="K4120" s="1" t="s">
        <v>10446</v>
      </c>
    </row>
    <row r="4121" spans="1:11" ht="21" x14ac:dyDescent="0.25">
      <c r="A4121" s="11" t="str">
        <f>HYPERLINK("https://rth.dk/resources/bsgatlas/details.php?id=BSGatlas-transcript-4120","BSGatlas-transcript-4120")</f>
        <v>BSGatlas-transcript-4120</v>
      </c>
      <c r="B4121" s="1" t="s">
        <v>10448</v>
      </c>
      <c r="C4121" s="3">
        <v>3688776</v>
      </c>
      <c r="D4121" s="3">
        <v>3692543</v>
      </c>
      <c r="E4121" s="1" t="s">
        <v>9</v>
      </c>
      <c r="F4121" s="1">
        <v>0</v>
      </c>
      <c r="G4121" s="1" t="s">
        <v>4372</v>
      </c>
      <c r="H4121" s="1" t="s">
        <v>4372</v>
      </c>
      <c r="I4121" s="1" t="s">
        <v>4373</v>
      </c>
      <c r="J4121" s="1" t="s">
        <v>10449</v>
      </c>
      <c r="K4121" s="1" t="s">
        <v>10450</v>
      </c>
    </row>
    <row r="4122" spans="1:11" ht="21" x14ac:dyDescent="0.25">
      <c r="A4122" s="11" t="str">
        <f>HYPERLINK("https://rth.dk/resources/bsgatlas/details.php?id=BSGatlas-transcript-4121","BSGatlas-transcript-4121")</f>
        <v>BSGatlas-transcript-4121</v>
      </c>
      <c r="B4122" s="1" t="s">
        <v>3824</v>
      </c>
      <c r="C4122" s="3">
        <v>3691566</v>
      </c>
      <c r="D4122" s="3">
        <v>3693954</v>
      </c>
      <c r="E4122" s="1" t="s">
        <v>13</v>
      </c>
      <c r="F4122" s="1">
        <v>0</v>
      </c>
      <c r="G4122" s="1" t="s">
        <v>4372</v>
      </c>
      <c r="H4122" s="1" t="s">
        <v>4372</v>
      </c>
      <c r="I4122" s="1" t="s">
        <v>4373</v>
      </c>
      <c r="J4122" s="1" t="s">
        <v>10451</v>
      </c>
      <c r="K4122" s="1" t="s">
        <v>10452</v>
      </c>
    </row>
    <row r="4123" spans="1:11" ht="21" x14ac:dyDescent="0.25">
      <c r="A4123" s="11" t="str">
        <f>HYPERLINK("https://rth.dk/resources/bsgatlas/details.php?id=BSGatlas-transcript-4122","BSGatlas-transcript-4122")</f>
        <v>BSGatlas-transcript-4122</v>
      </c>
      <c r="B4123" s="1" t="s">
        <v>3824</v>
      </c>
      <c r="C4123" s="3">
        <v>3692492</v>
      </c>
      <c r="D4123" s="3">
        <v>3693954</v>
      </c>
      <c r="E4123" s="1" t="s">
        <v>13</v>
      </c>
      <c r="F4123" s="1">
        <v>0</v>
      </c>
      <c r="G4123" s="1" t="s">
        <v>4372</v>
      </c>
      <c r="H4123" s="1" t="s">
        <v>4372</v>
      </c>
      <c r="I4123" s="1" t="s">
        <v>4373</v>
      </c>
      <c r="J4123" s="1" t="s">
        <v>10451</v>
      </c>
      <c r="K4123" s="1" t="s">
        <v>10453</v>
      </c>
    </row>
    <row r="4124" spans="1:11" ht="21" x14ac:dyDescent="0.25">
      <c r="A4124" s="11" t="str">
        <f>HYPERLINK("https://rth.dk/resources/bsgatlas/details.php?id=BSGatlas-transcript-4123","BSGatlas-transcript-4123")</f>
        <v>BSGatlas-transcript-4123</v>
      </c>
      <c r="B4124" s="1" t="s">
        <v>3825</v>
      </c>
      <c r="C4124" s="3">
        <v>3694080</v>
      </c>
      <c r="D4124" s="3">
        <v>3695250</v>
      </c>
      <c r="E4124" s="1" t="s">
        <v>9</v>
      </c>
      <c r="F4124" s="1">
        <v>0</v>
      </c>
      <c r="G4124" s="1" t="s">
        <v>4372</v>
      </c>
      <c r="H4124" s="1" t="s">
        <v>4372</v>
      </c>
      <c r="I4124" s="1" t="s">
        <v>4373</v>
      </c>
      <c r="J4124" s="1" t="s">
        <v>10454</v>
      </c>
      <c r="K4124" s="1" t="s">
        <v>10455</v>
      </c>
    </row>
    <row r="4125" spans="1:11" ht="21" x14ac:dyDescent="0.25">
      <c r="A4125" s="11" t="str">
        <f>HYPERLINK("https://rth.dk/resources/bsgatlas/details.php?id=BSGatlas-transcript-4124","BSGatlas-transcript-4124")</f>
        <v>BSGatlas-transcript-4124</v>
      </c>
      <c r="B4125" s="1" t="s">
        <v>10456</v>
      </c>
      <c r="C4125" s="3">
        <v>3694080</v>
      </c>
      <c r="D4125" s="3">
        <v>3696223</v>
      </c>
      <c r="E4125" s="1" t="s">
        <v>9</v>
      </c>
      <c r="F4125" s="1">
        <v>1</v>
      </c>
      <c r="G4125" s="1">
        <v>160</v>
      </c>
      <c r="H4125" s="1" t="s">
        <v>4372</v>
      </c>
      <c r="I4125" s="1" t="s">
        <v>4386</v>
      </c>
      <c r="J4125" s="1" t="s">
        <v>10454</v>
      </c>
      <c r="K4125" s="1" t="s">
        <v>10457</v>
      </c>
    </row>
    <row r="4126" spans="1:11" ht="21" x14ac:dyDescent="0.25">
      <c r="A4126" s="11" t="str">
        <f>HYPERLINK("https://rth.dk/resources/bsgatlas/details.php?id=BSGatlas-transcript-4125","BSGatlas-transcript-4125")</f>
        <v>BSGatlas-transcript-4125</v>
      </c>
      <c r="B4126" s="1" t="s">
        <v>3825</v>
      </c>
      <c r="C4126" s="3">
        <v>3694202</v>
      </c>
      <c r="D4126" s="3">
        <v>3695250</v>
      </c>
      <c r="E4126" s="1" t="s">
        <v>9</v>
      </c>
      <c r="F4126" s="1">
        <v>0</v>
      </c>
      <c r="G4126" s="1" t="s">
        <v>4372</v>
      </c>
      <c r="H4126" s="1" t="s">
        <v>4372</v>
      </c>
      <c r="I4126" s="1" t="s">
        <v>4373</v>
      </c>
      <c r="J4126" s="1" t="s">
        <v>10458</v>
      </c>
      <c r="K4126" s="1" t="s">
        <v>10455</v>
      </c>
    </row>
    <row r="4127" spans="1:11" ht="21" x14ac:dyDescent="0.25">
      <c r="A4127" s="11" t="str">
        <f>HYPERLINK("https://rth.dk/resources/bsgatlas/details.php?id=BSGatlas-transcript-4126","BSGatlas-transcript-4126")</f>
        <v>BSGatlas-transcript-4126</v>
      </c>
      <c r="B4127" s="1" t="s">
        <v>10456</v>
      </c>
      <c r="C4127" s="3">
        <v>3694202</v>
      </c>
      <c r="D4127" s="3">
        <v>3696223</v>
      </c>
      <c r="E4127" s="1" t="s">
        <v>9</v>
      </c>
      <c r="F4127" s="1">
        <v>1</v>
      </c>
      <c r="G4127" s="1">
        <v>38</v>
      </c>
      <c r="H4127" s="1" t="s">
        <v>4372</v>
      </c>
      <c r="I4127" s="1" t="s">
        <v>4386</v>
      </c>
      <c r="J4127" s="1" t="s">
        <v>10458</v>
      </c>
      <c r="K4127" s="1" t="s">
        <v>10457</v>
      </c>
    </row>
    <row r="4128" spans="1:11" ht="21" x14ac:dyDescent="0.25">
      <c r="A4128" s="11" t="str">
        <f>HYPERLINK("https://rth.dk/resources/bsgatlas/details.php?id=BSGatlas-transcript-4127","BSGatlas-transcript-4127")</f>
        <v>BSGatlas-transcript-4127</v>
      </c>
      <c r="B4128" s="1" t="s">
        <v>3826</v>
      </c>
      <c r="C4128" s="3">
        <v>3695280</v>
      </c>
      <c r="D4128" s="3">
        <v>3696223</v>
      </c>
      <c r="E4128" s="1" t="s">
        <v>9</v>
      </c>
      <c r="F4128" s="1">
        <v>0</v>
      </c>
      <c r="G4128" s="1" t="s">
        <v>4372</v>
      </c>
      <c r="H4128" s="1" t="s">
        <v>4372</v>
      </c>
      <c r="I4128" s="1" t="s">
        <v>4386</v>
      </c>
      <c r="J4128" s="1" t="s">
        <v>10459</v>
      </c>
      <c r="K4128" s="1" t="s">
        <v>10457</v>
      </c>
    </row>
    <row r="4129" spans="1:11" ht="21" x14ac:dyDescent="0.25">
      <c r="A4129" s="11" t="str">
        <f>HYPERLINK("https://rth.dk/resources/bsgatlas/details.php?id=BSGatlas-transcript-4128","BSGatlas-transcript-4128")</f>
        <v>BSGatlas-transcript-4128</v>
      </c>
      <c r="B4129" s="1" t="s">
        <v>3827</v>
      </c>
      <c r="C4129" s="3">
        <v>3696215</v>
      </c>
      <c r="D4129" s="3">
        <v>3697542</v>
      </c>
      <c r="E4129" s="1" t="s">
        <v>13</v>
      </c>
      <c r="F4129" s="1">
        <v>0</v>
      </c>
      <c r="G4129" s="1" t="s">
        <v>4372</v>
      </c>
      <c r="H4129" s="1" t="s">
        <v>4372</v>
      </c>
      <c r="I4129" s="1" t="s">
        <v>4373</v>
      </c>
      <c r="J4129" s="1" t="s">
        <v>10460</v>
      </c>
      <c r="K4129" s="1" t="s">
        <v>10461</v>
      </c>
    </row>
    <row r="4130" spans="1:11" ht="21" x14ac:dyDescent="0.25">
      <c r="A4130" s="11" t="str">
        <f>HYPERLINK("https://rth.dk/resources/bsgatlas/details.php?id=BSGatlas-transcript-4129","BSGatlas-transcript-4129")</f>
        <v>BSGatlas-transcript-4129</v>
      </c>
      <c r="B4130" s="1" t="s">
        <v>3827</v>
      </c>
      <c r="C4130" s="3">
        <v>3696257</v>
      </c>
      <c r="D4130" s="3">
        <v>3697542</v>
      </c>
      <c r="E4130" s="1" t="s">
        <v>13</v>
      </c>
      <c r="F4130" s="1">
        <v>0</v>
      </c>
      <c r="G4130" s="1" t="s">
        <v>4372</v>
      </c>
      <c r="H4130" s="1" t="s">
        <v>4372</v>
      </c>
      <c r="I4130" s="1" t="s">
        <v>4373</v>
      </c>
      <c r="J4130" s="1" t="s">
        <v>10460</v>
      </c>
      <c r="K4130" s="1" t="s">
        <v>10462</v>
      </c>
    </row>
    <row r="4131" spans="1:11" ht="21" x14ac:dyDescent="0.25">
      <c r="A4131" s="11" t="str">
        <f>HYPERLINK("https://rth.dk/resources/bsgatlas/details.php?id=BSGatlas-transcript-4130","BSGatlas-transcript-4130")</f>
        <v>BSGatlas-transcript-4130</v>
      </c>
      <c r="B4131" s="1" t="s">
        <v>10463</v>
      </c>
      <c r="C4131" s="3">
        <v>3697591</v>
      </c>
      <c r="D4131" s="3">
        <v>3701384</v>
      </c>
      <c r="E4131" s="1" t="s">
        <v>13</v>
      </c>
      <c r="F4131" s="1">
        <v>1</v>
      </c>
      <c r="G4131" s="1">
        <v>758</v>
      </c>
      <c r="H4131" s="1">
        <v>49</v>
      </c>
      <c r="I4131" s="1" t="s">
        <v>4373</v>
      </c>
      <c r="J4131" s="1" t="s">
        <v>10464</v>
      </c>
      <c r="K4131" s="1" t="s">
        <v>10465</v>
      </c>
    </row>
    <row r="4132" spans="1:11" ht="21" x14ac:dyDescent="0.25">
      <c r="A4132" s="11" t="str">
        <f>HYPERLINK("https://rth.dk/resources/bsgatlas/details.php?id=BSGatlas-transcript-4131","BSGatlas-transcript-4131")</f>
        <v>BSGatlas-transcript-4131</v>
      </c>
      <c r="B4132" s="1" t="s">
        <v>10463</v>
      </c>
      <c r="C4132" s="3">
        <v>3697639</v>
      </c>
      <c r="D4132" s="3">
        <v>3701384</v>
      </c>
      <c r="E4132" s="1" t="s">
        <v>13</v>
      </c>
      <c r="F4132" s="1">
        <v>1</v>
      </c>
      <c r="G4132" s="1">
        <v>758</v>
      </c>
      <c r="H4132" s="1" t="s">
        <v>4372</v>
      </c>
      <c r="I4132" s="1" t="s">
        <v>4373</v>
      </c>
      <c r="J4132" s="1" t="s">
        <v>10464</v>
      </c>
      <c r="K4132" s="1" t="s">
        <v>10466</v>
      </c>
    </row>
    <row r="4133" spans="1:11" ht="21" x14ac:dyDescent="0.25">
      <c r="A4133" s="11" t="str">
        <f>HYPERLINK("https://rth.dk/resources/bsgatlas/details.php?id=BSGatlas-transcript-4132","BSGatlas-transcript-4132")</f>
        <v>BSGatlas-transcript-4132</v>
      </c>
      <c r="B4133" s="1" t="s">
        <v>10467</v>
      </c>
      <c r="C4133" s="3">
        <v>3701379</v>
      </c>
      <c r="D4133" s="3">
        <v>3707062</v>
      </c>
      <c r="E4133" s="1" t="s">
        <v>9</v>
      </c>
      <c r="F4133" s="1">
        <v>0</v>
      </c>
      <c r="G4133" s="1" t="s">
        <v>4372</v>
      </c>
      <c r="H4133" s="1" t="s">
        <v>4372</v>
      </c>
      <c r="I4133" s="1" t="s">
        <v>4373</v>
      </c>
      <c r="J4133" s="1" t="s">
        <v>10468</v>
      </c>
      <c r="K4133" s="1" t="s">
        <v>318</v>
      </c>
    </row>
    <row r="4134" spans="1:11" ht="21" x14ac:dyDescent="0.25">
      <c r="A4134" s="11" t="str">
        <f>HYPERLINK("https://rth.dk/resources/bsgatlas/details.php?id=BSGatlas-transcript-4133","BSGatlas-transcript-4133")</f>
        <v>BSGatlas-transcript-4133</v>
      </c>
      <c r="B4134" s="1" t="s">
        <v>3838</v>
      </c>
      <c r="C4134" s="3">
        <v>3707094</v>
      </c>
      <c r="D4134" s="3">
        <v>3707727</v>
      </c>
      <c r="E4134" s="1" t="s">
        <v>9</v>
      </c>
      <c r="F4134" s="1">
        <v>0</v>
      </c>
      <c r="G4134" s="1" t="s">
        <v>4372</v>
      </c>
      <c r="H4134" s="1" t="s">
        <v>4372</v>
      </c>
      <c r="I4134" s="1" t="s">
        <v>4373</v>
      </c>
      <c r="J4134" s="1" t="s">
        <v>10469</v>
      </c>
      <c r="K4134" s="1" t="s">
        <v>10470</v>
      </c>
    </row>
    <row r="4135" spans="1:11" ht="21" x14ac:dyDescent="0.25">
      <c r="A4135" s="11" t="str">
        <f>HYPERLINK("https://rth.dk/resources/bsgatlas/details.php?id=BSGatlas-transcript-4134","BSGatlas-transcript-4134")</f>
        <v>BSGatlas-transcript-4134</v>
      </c>
      <c r="B4135" s="1" t="s">
        <v>3839</v>
      </c>
      <c r="C4135" s="3">
        <v>3707820</v>
      </c>
      <c r="D4135" s="3">
        <v>3708765</v>
      </c>
      <c r="E4135" s="1" t="s">
        <v>9</v>
      </c>
      <c r="F4135" s="1">
        <v>0</v>
      </c>
      <c r="G4135" s="1" t="s">
        <v>4372</v>
      </c>
      <c r="H4135" s="1" t="s">
        <v>4372</v>
      </c>
      <c r="I4135" s="1" t="s">
        <v>4386</v>
      </c>
      <c r="J4135" s="1" t="s">
        <v>10471</v>
      </c>
      <c r="K4135" s="1" t="s">
        <v>10472</v>
      </c>
    </row>
    <row r="4136" spans="1:11" ht="21" x14ac:dyDescent="0.25">
      <c r="A4136" s="11" t="str">
        <f>HYPERLINK("https://rth.dk/resources/bsgatlas/details.php?id=BSGatlas-transcript-4135","BSGatlas-transcript-4135")</f>
        <v>BSGatlas-transcript-4135</v>
      </c>
      <c r="B4136" s="1" t="s">
        <v>3840</v>
      </c>
      <c r="C4136" s="3">
        <v>3708123</v>
      </c>
      <c r="D4136" s="3">
        <v>3708732</v>
      </c>
      <c r="E4136" s="1" t="s">
        <v>13</v>
      </c>
      <c r="F4136" s="1">
        <v>0</v>
      </c>
      <c r="G4136" s="1" t="s">
        <v>4372</v>
      </c>
      <c r="H4136" s="1" t="s">
        <v>4372</v>
      </c>
      <c r="I4136" s="1" t="s">
        <v>4373</v>
      </c>
      <c r="J4136" s="1" t="s">
        <v>10473</v>
      </c>
      <c r="K4136" s="1" t="s">
        <v>10474</v>
      </c>
    </row>
    <row r="4137" spans="1:11" ht="21" x14ac:dyDescent="0.25">
      <c r="A4137" s="11" t="str">
        <f>HYPERLINK("https://rth.dk/resources/bsgatlas/details.php?id=BSGatlas-transcript-4136","BSGatlas-transcript-4136")</f>
        <v>BSGatlas-transcript-4136</v>
      </c>
      <c r="B4137" s="1" t="s">
        <v>10475</v>
      </c>
      <c r="C4137" s="3">
        <v>3708753</v>
      </c>
      <c r="D4137" s="3">
        <v>3711394</v>
      </c>
      <c r="E4137" s="1" t="s">
        <v>13</v>
      </c>
      <c r="F4137" s="1">
        <v>1</v>
      </c>
      <c r="G4137" s="1">
        <v>55</v>
      </c>
      <c r="H4137" s="1">
        <v>47</v>
      </c>
      <c r="I4137" s="1" t="s">
        <v>4373</v>
      </c>
      <c r="J4137" s="1" t="s">
        <v>10476</v>
      </c>
      <c r="K4137" s="1" t="s">
        <v>10477</v>
      </c>
    </row>
    <row r="4138" spans="1:11" ht="21" x14ac:dyDescent="0.25">
      <c r="A4138" s="11" t="str">
        <f>HYPERLINK("https://rth.dk/resources/bsgatlas/details.php?id=BSGatlas-transcript-4137","BSGatlas-transcript-4137")</f>
        <v>BSGatlas-transcript-4137</v>
      </c>
      <c r="B4138" s="1" t="s">
        <v>10478</v>
      </c>
      <c r="C4138" s="3">
        <v>3710262</v>
      </c>
      <c r="D4138" s="3">
        <v>3713945</v>
      </c>
      <c r="E4138" s="1" t="s">
        <v>9</v>
      </c>
      <c r="F4138" s="1">
        <v>1</v>
      </c>
      <c r="G4138" s="1">
        <v>1237</v>
      </c>
      <c r="H4138" s="1" t="s">
        <v>4372</v>
      </c>
      <c r="I4138" s="1" t="s">
        <v>4386</v>
      </c>
      <c r="J4138" s="1" t="s">
        <v>10479</v>
      </c>
      <c r="K4138" s="1" t="s">
        <v>10480</v>
      </c>
    </row>
    <row r="4139" spans="1:11" ht="21" x14ac:dyDescent="0.25">
      <c r="A4139" s="11" t="str">
        <f>HYPERLINK("https://rth.dk/resources/bsgatlas/details.php?id=BSGatlas-transcript-4138","BSGatlas-transcript-4138")</f>
        <v>BSGatlas-transcript-4138</v>
      </c>
      <c r="B4139" s="1" t="s">
        <v>10478</v>
      </c>
      <c r="C4139" s="3">
        <v>3711450</v>
      </c>
      <c r="D4139" s="3">
        <v>3713945</v>
      </c>
      <c r="E4139" s="1" t="s">
        <v>9</v>
      </c>
      <c r="F4139" s="1">
        <v>1</v>
      </c>
      <c r="G4139" s="1">
        <v>49</v>
      </c>
      <c r="H4139" s="1" t="s">
        <v>4372</v>
      </c>
      <c r="I4139" s="1" t="s">
        <v>4386</v>
      </c>
      <c r="J4139" s="1" t="s">
        <v>10481</v>
      </c>
      <c r="K4139" s="1" t="s">
        <v>10480</v>
      </c>
    </row>
    <row r="4140" spans="1:11" ht="21" x14ac:dyDescent="0.25">
      <c r="A4140" s="11" t="str">
        <f>HYPERLINK("https://rth.dk/resources/bsgatlas/details.php?id=BSGatlas-transcript-4139","BSGatlas-transcript-4139")</f>
        <v>BSGatlas-transcript-4139</v>
      </c>
      <c r="B4140" s="1" t="s">
        <v>3844</v>
      </c>
      <c r="C4140" s="3">
        <v>3712484</v>
      </c>
      <c r="D4140" s="3">
        <v>3713945</v>
      </c>
      <c r="E4140" s="1" t="s">
        <v>9</v>
      </c>
      <c r="F4140" s="1">
        <v>0</v>
      </c>
      <c r="G4140" s="1" t="s">
        <v>4372</v>
      </c>
      <c r="H4140" s="1" t="s">
        <v>4372</v>
      </c>
      <c r="I4140" s="1" t="s">
        <v>4386</v>
      </c>
      <c r="J4140" s="1" t="s">
        <v>10482</v>
      </c>
      <c r="K4140" s="1" t="s">
        <v>10480</v>
      </c>
    </row>
    <row r="4141" spans="1:11" ht="21" x14ac:dyDescent="0.25">
      <c r="A4141" s="11" t="str">
        <f>HYPERLINK("https://rth.dk/resources/bsgatlas/details.php?id=BSGatlas-transcript-4140","BSGatlas-transcript-4140")</f>
        <v>BSGatlas-transcript-4140</v>
      </c>
      <c r="B4141" s="1" t="s">
        <v>3845</v>
      </c>
      <c r="C4141" s="3">
        <v>3713950</v>
      </c>
      <c r="D4141" s="3">
        <v>3714679</v>
      </c>
      <c r="E4141" s="1" t="s">
        <v>13</v>
      </c>
      <c r="F4141" s="1">
        <v>0</v>
      </c>
      <c r="G4141" s="1" t="s">
        <v>4372</v>
      </c>
      <c r="H4141" s="1" t="s">
        <v>4372</v>
      </c>
      <c r="I4141" s="1" t="s">
        <v>4382</v>
      </c>
      <c r="J4141" s="1" t="s">
        <v>318</v>
      </c>
      <c r="K4141" s="1" t="s">
        <v>10483</v>
      </c>
    </row>
    <row r="4142" spans="1:11" ht="21" x14ac:dyDescent="0.25">
      <c r="A4142" s="11" t="str">
        <f>HYPERLINK("https://rth.dk/resources/bsgatlas/details.php?id=BSGatlas-transcript-4141","BSGatlas-transcript-4141")</f>
        <v>BSGatlas-transcript-4141</v>
      </c>
      <c r="B4142" s="1" t="s">
        <v>10484</v>
      </c>
      <c r="C4142" s="3">
        <v>3713950</v>
      </c>
      <c r="D4142" s="3">
        <v>3715921</v>
      </c>
      <c r="E4142" s="1" t="s">
        <v>13</v>
      </c>
      <c r="F4142" s="1">
        <v>1</v>
      </c>
      <c r="G4142" s="1">
        <v>41</v>
      </c>
      <c r="H4142" s="1">
        <v>53</v>
      </c>
      <c r="I4142" s="1" t="s">
        <v>4386</v>
      </c>
      <c r="J4142" s="1" t="s">
        <v>10485</v>
      </c>
      <c r="K4142" s="1" t="s">
        <v>10483</v>
      </c>
    </row>
    <row r="4143" spans="1:11" ht="21" x14ac:dyDescent="0.25">
      <c r="A4143" s="11" t="str">
        <f>HYPERLINK("https://rth.dk/resources/bsgatlas/details.php?id=BSGatlas-transcript-4142","BSGatlas-transcript-4142")</f>
        <v>BSGatlas-transcript-4142</v>
      </c>
      <c r="B4143" s="1" t="s">
        <v>10486</v>
      </c>
      <c r="C4143" s="3">
        <v>3713950</v>
      </c>
      <c r="D4143" s="3">
        <v>3717196</v>
      </c>
      <c r="E4143" s="1" t="s">
        <v>13</v>
      </c>
      <c r="F4143" s="1">
        <v>2</v>
      </c>
      <c r="G4143" s="1">
        <v>100</v>
      </c>
      <c r="H4143" s="1">
        <v>53</v>
      </c>
      <c r="I4143" s="1" t="s">
        <v>4386</v>
      </c>
      <c r="J4143" s="1" t="s">
        <v>10487</v>
      </c>
      <c r="K4143" s="1" t="s">
        <v>10483</v>
      </c>
    </row>
    <row r="4144" spans="1:11" ht="21" x14ac:dyDescent="0.25">
      <c r="A4144" s="11" t="str">
        <f>HYPERLINK("https://rth.dk/resources/bsgatlas/details.php?id=BSGatlas-transcript-4143","BSGatlas-transcript-4143")</f>
        <v>BSGatlas-transcript-4143</v>
      </c>
      <c r="B4144" s="1" t="s">
        <v>3846</v>
      </c>
      <c r="C4144" s="3">
        <v>3714689</v>
      </c>
      <c r="D4144" s="3">
        <v>3715921</v>
      </c>
      <c r="E4144" s="1" t="s">
        <v>13</v>
      </c>
      <c r="F4144" s="1">
        <v>0</v>
      </c>
      <c r="G4144" s="1" t="s">
        <v>4372</v>
      </c>
      <c r="H4144" s="1" t="s">
        <v>4372</v>
      </c>
      <c r="I4144" s="1" t="s">
        <v>4382</v>
      </c>
      <c r="J4144" s="1" t="s">
        <v>10485</v>
      </c>
      <c r="K4144" s="1" t="s">
        <v>10488</v>
      </c>
    </row>
    <row r="4145" spans="1:11" ht="21" x14ac:dyDescent="0.25">
      <c r="A4145" s="11" t="str">
        <f>HYPERLINK("https://rth.dk/resources/bsgatlas/details.php?id=BSGatlas-transcript-4144","BSGatlas-transcript-4144")</f>
        <v>BSGatlas-transcript-4144</v>
      </c>
      <c r="B4145" s="1" t="s">
        <v>10489</v>
      </c>
      <c r="C4145" s="3">
        <v>3714689</v>
      </c>
      <c r="D4145" s="3">
        <v>3717196</v>
      </c>
      <c r="E4145" s="1" t="s">
        <v>13</v>
      </c>
      <c r="F4145" s="1">
        <v>1</v>
      </c>
      <c r="G4145" s="1">
        <v>100</v>
      </c>
      <c r="H4145" s="1">
        <v>51</v>
      </c>
      <c r="I4145" s="1" t="s">
        <v>4377</v>
      </c>
      <c r="J4145" s="1" t="s">
        <v>10487</v>
      </c>
      <c r="K4145" s="1" t="s">
        <v>10488</v>
      </c>
    </row>
    <row r="4146" spans="1:11" ht="21" x14ac:dyDescent="0.25">
      <c r="A4146" s="11" t="str">
        <f>HYPERLINK("https://rth.dk/resources/bsgatlas/details.php?id=BSGatlas-transcript-4145","BSGatlas-transcript-4145")</f>
        <v>BSGatlas-transcript-4145</v>
      </c>
      <c r="B4146" s="1" t="s">
        <v>3847</v>
      </c>
      <c r="C4146" s="3">
        <v>3716009</v>
      </c>
      <c r="D4146" s="3">
        <v>3717196</v>
      </c>
      <c r="E4146" s="1" t="s">
        <v>13</v>
      </c>
      <c r="F4146" s="1">
        <v>0</v>
      </c>
      <c r="G4146" s="1" t="s">
        <v>4372</v>
      </c>
      <c r="H4146" s="1" t="s">
        <v>4372</v>
      </c>
      <c r="I4146" s="1" t="s">
        <v>4382</v>
      </c>
      <c r="J4146" s="1" t="s">
        <v>10487</v>
      </c>
      <c r="K4146" s="1" t="s">
        <v>318</v>
      </c>
    </row>
    <row r="4147" spans="1:11" ht="21" x14ac:dyDescent="0.25">
      <c r="A4147" s="11" t="str">
        <f>HYPERLINK("https://rth.dk/resources/bsgatlas/details.php?id=BSGatlas-transcript-4146","BSGatlas-transcript-4146")</f>
        <v>BSGatlas-transcript-4146</v>
      </c>
      <c r="B4147" s="1" t="s">
        <v>4760</v>
      </c>
      <c r="C4147" s="3">
        <v>3717191</v>
      </c>
      <c r="D4147" s="3">
        <v>3717825</v>
      </c>
      <c r="E4147" s="1" t="s">
        <v>9</v>
      </c>
      <c r="F4147" s="1">
        <v>0</v>
      </c>
      <c r="G4147" s="1" t="s">
        <v>4372</v>
      </c>
      <c r="H4147" s="1" t="s">
        <v>4372</v>
      </c>
      <c r="I4147" s="1" t="s">
        <v>4373</v>
      </c>
      <c r="J4147" s="1" t="s">
        <v>10490</v>
      </c>
      <c r="K4147" s="1" t="s">
        <v>10491</v>
      </c>
    </row>
    <row r="4148" spans="1:11" ht="21" x14ac:dyDescent="0.25">
      <c r="A4148" s="11" t="str">
        <f>HYPERLINK("https://rth.dk/resources/bsgatlas/details.php?id=BSGatlas-transcript-4147","BSGatlas-transcript-4147")</f>
        <v>BSGatlas-transcript-4147</v>
      </c>
      <c r="B4148" s="1" t="s">
        <v>4760</v>
      </c>
      <c r="C4148" s="3">
        <v>3717191</v>
      </c>
      <c r="D4148" s="3">
        <v>3717825</v>
      </c>
      <c r="E4148" s="1" t="s">
        <v>9</v>
      </c>
      <c r="F4148" s="1">
        <v>0</v>
      </c>
      <c r="G4148" s="1" t="s">
        <v>4372</v>
      </c>
      <c r="H4148" s="1" t="s">
        <v>4372</v>
      </c>
      <c r="I4148" s="1" t="s">
        <v>4373</v>
      </c>
      <c r="J4148" s="1" t="s">
        <v>10490</v>
      </c>
      <c r="K4148" s="1" t="s">
        <v>10492</v>
      </c>
    </row>
    <row r="4149" spans="1:11" ht="21" x14ac:dyDescent="0.25">
      <c r="A4149" s="11" t="str">
        <f>HYPERLINK("https://rth.dk/resources/bsgatlas/details.php?id=BSGatlas-transcript-4148","BSGatlas-transcript-4148")</f>
        <v>BSGatlas-transcript-4148</v>
      </c>
      <c r="B4149" s="1" t="s">
        <v>4760</v>
      </c>
      <c r="C4149" s="3">
        <v>3717191</v>
      </c>
      <c r="D4149" s="3">
        <v>3717890</v>
      </c>
      <c r="E4149" s="1" t="s">
        <v>9</v>
      </c>
      <c r="F4149" s="1">
        <v>0</v>
      </c>
      <c r="G4149" s="1" t="s">
        <v>4372</v>
      </c>
      <c r="H4149" s="1" t="s">
        <v>4372</v>
      </c>
      <c r="I4149" s="1" t="s">
        <v>4373</v>
      </c>
      <c r="J4149" s="1" t="s">
        <v>10490</v>
      </c>
      <c r="K4149" s="1" t="s">
        <v>10493</v>
      </c>
    </row>
    <row r="4150" spans="1:11" ht="21" x14ac:dyDescent="0.25">
      <c r="A4150" s="11" t="str">
        <f>HYPERLINK("https://rth.dk/resources/bsgatlas/details.php?id=BSGatlas-transcript-4149","BSGatlas-transcript-4149")</f>
        <v>BSGatlas-transcript-4149</v>
      </c>
      <c r="B4150" s="1" t="s">
        <v>3848</v>
      </c>
      <c r="C4150" s="3">
        <v>3717709</v>
      </c>
      <c r="D4150" s="3">
        <v>3717906</v>
      </c>
      <c r="E4150" s="1" t="s">
        <v>13</v>
      </c>
      <c r="F4150" s="1">
        <v>0</v>
      </c>
      <c r="G4150" s="1" t="s">
        <v>4372</v>
      </c>
      <c r="H4150" s="1" t="s">
        <v>4372</v>
      </c>
      <c r="I4150" s="1" t="s">
        <v>4377</v>
      </c>
      <c r="J4150" s="1" t="s">
        <v>10494</v>
      </c>
      <c r="K4150" s="1" t="s">
        <v>10495</v>
      </c>
    </row>
    <row r="4151" spans="1:11" ht="21" x14ac:dyDescent="0.25">
      <c r="A4151" s="11" t="str">
        <f>HYPERLINK("https://rth.dk/resources/bsgatlas/details.php?id=BSGatlas-transcript-4150","BSGatlas-transcript-4150")</f>
        <v>BSGatlas-transcript-4150</v>
      </c>
      <c r="B4151" s="1" t="s">
        <v>3848</v>
      </c>
      <c r="C4151" s="3">
        <v>3717709</v>
      </c>
      <c r="D4151" s="3">
        <v>3719094</v>
      </c>
      <c r="E4151" s="1" t="s">
        <v>13</v>
      </c>
      <c r="F4151" s="1">
        <v>0</v>
      </c>
      <c r="G4151" s="1" t="s">
        <v>4372</v>
      </c>
      <c r="H4151" s="1" t="s">
        <v>4372</v>
      </c>
      <c r="I4151" s="1" t="s">
        <v>4377</v>
      </c>
      <c r="J4151" s="1" t="s">
        <v>10496</v>
      </c>
      <c r="K4151" s="1" t="s">
        <v>10495</v>
      </c>
    </row>
    <row r="4152" spans="1:11" ht="21" x14ac:dyDescent="0.25">
      <c r="A4152" s="11" t="str">
        <f>HYPERLINK("https://rth.dk/resources/bsgatlas/details.php?id=BSGatlas-transcript-4151","BSGatlas-transcript-4151")</f>
        <v>BSGatlas-transcript-4151</v>
      </c>
      <c r="B4152" s="1" t="s">
        <v>3849</v>
      </c>
      <c r="C4152" s="3">
        <v>3717961</v>
      </c>
      <c r="D4152" s="3">
        <v>3718696</v>
      </c>
      <c r="E4152" s="1" t="s">
        <v>9</v>
      </c>
      <c r="F4152" s="1">
        <v>0</v>
      </c>
      <c r="G4152" s="1" t="s">
        <v>4372</v>
      </c>
      <c r="H4152" s="1" t="s">
        <v>4372</v>
      </c>
      <c r="I4152" s="1" t="s">
        <v>4386</v>
      </c>
      <c r="J4152" s="1" t="s">
        <v>10497</v>
      </c>
      <c r="K4152" s="1" t="s">
        <v>10498</v>
      </c>
    </row>
    <row r="4153" spans="1:11" ht="21" x14ac:dyDescent="0.25">
      <c r="A4153" s="11" t="str">
        <f>HYPERLINK("https://rth.dk/resources/bsgatlas/details.php?id=BSGatlas-transcript-4152","BSGatlas-transcript-4152")</f>
        <v>BSGatlas-transcript-4152</v>
      </c>
      <c r="B4153" s="1" t="s">
        <v>3850</v>
      </c>
      <c r="C4153" s="3">
        <v>3718695</v>
      </c>
      <c r="D4153" s="3">
        <v>3720711</v>
      </c>
      <c r="E4153" s="1" t="s">
        <v>13</v>
      </c>
      <c r="F4153" s="1">
        <v>0</v>
      </c>
      <c r="G4153" s="1" t="s">
        <v>4372</v>
      </c>
      <c r="H4153" s="1" t="s">
        <v>4372</v>
      </c>
      <c r="I4153" s="1" t="s">
        <v>4373</v>
      </c>
      <c r="J4153" s="1" t="s">
        <v>318</v>
      </c>
      <c r="K4153" s="1" t="s">
        <v>10499</v>
      </c>
    </row>
    <row r="4154" spans="1:11" ht="21" x14ac:dyDescent="0.25">
      <c r="A4154" s="11" t="str">
        <f>HYPERLINK("https://rth.dk/resources/bsgatlas/details.php?id=BSGatlas-transcript-4153","BSGatlas-transcript-4153")</f>
        <v>BSGatlas-transcript-4153</v>
      </c>
      <c r="B4154" s="1" t="s">
        <v>3851</v>
      </c>
      <c r="C4154" s="3">
        <v>3718777</v>
      </c>
      <c r="D4154" s="3">
        <v>3719150</v>
      </c>
      <c r="E4154" s="1" t="s">
        <v>9</v>
      </c>
      <c r="F4154" s="1">
        <v>0</v>
      </c>
      <c r="G4154" s="1" t="s">
        <v>4372</v>
      </c>
      <c r="H4154" s="1" t="s">
        <v>4372</v>
      </c>
      <c r="I4154" s="1" t="s">
        <v>4373</v>
      </c>
      <c r="J4154" s="1" t="s">
        <v>10500</v>
      </c>
      <c r="K4154" s="1" t="s">
        <v>10501</v>
      </c>
    </row>
    <row r="4155" spans="1:11" ht="21" x14ac:dyDescent="0.25">
      <c r="A4155" s="11" t="str">
        <f>HYPERLINK("https://rth.dk/resources/bsgatlas/details.php?id=BSGatlas-transcript-4154","BSGatlas-transcript-4154")</f>
        <v>BSGatlas-transcript-4154</v>
      </c>
      <c r="B4155" s="1" t="s">
        <v>10502</v>
      </c>
      <c r="C4155" s="3">
        <v>3720886</v>
      </c>
      <c r="D4155" s="3">
        <v>3722541</v>
      </c>
      <c r="E4155" s="1" t="s">
        <v>9</v>
      </c>
      <c r="F4155" s="1">
        <v>0</v>
      </c>
      <c r="G4155" s="1" t="s">
        <v>4372</v>
      </c>
      <c r="H4155" s="1" t="s">
        <v>4372</v>
      </c>
      <c r="I4155" s="1" t="s">
        <v>4386</v>
      </c>
      <c r="J4155" s="1" t="s">
        <v>10503</v>
      </c>
      <c r="K4155" s="1" t="s">
        <v>10504</v>
      </c>
    </row>
    <row r="4156" spans="1:11" ht="21" x14ac:dyDescent="0.25">
      <c r="A4156" s="11" t="str">
        <f>HYPERLINK("https://rth.dk/resources/bsgatlas/details.php?id=BSGatlas-transcript-4155","BSGatlas-transcript-4155")</f>
        <v>BSGatlas-transcript-4155</v>
      </c>
      <c r="B4156" s="1" t="s">
        <v>3855</v>
      </c>
      <c r="C4156" s="3">
        <v>3722533</v>
      </c>
      <c r="D4156" s="3">
        <v>3722789</v>
      </c>
      <c r="E4156" s="1" t="s">
        <v>13</v>
      </c>
      <c r="F4156" s="1">
        <v>0</v>
      </c>
      <c r="G4156" s="1" t="s">
        <v>4372</v>
      </c>
      <c r="H4156" s="1" t="s">
        <v>4372</v>
      </c>
      <c r="I4156" s="1" t="s">
        <v>4373</v>
      </c>
      <c r="J4156" s="1" t="s">
        <v>318</v>
      </c>
      <c r="K4156" s="1" t="s">
        <v>10505</v>
      </c>
    </row>
    <row r="4157" spans="1:11" ht="21" x14ac:dyDescent="0.25">
      <c r="A4157" s="11" t="str">
        <f>HYPERLINK("https://rth.dk/resources/bsgatlas/details.php?id=BSGatlas-transcript-4156","BSGatlas-transcript-4156")</f>
        <v>BSGatlas-transcript-4156</v>
      </c>
      <c r="B4157" s="1" t="s">
        <v>3856</v>
      </c>
      <c r="C4157" s="3">
        <v>3722736</v>
      </c>
      <c r="D4157" s="3">
        <v>3724335</v>
      </c>
      <c r="E4157" s="1" t="s">
        <v>9</v>
      </c>
      <c r="F4157" s="1">
        <v>0</v>
      </c>
      <c r="G4157" s="1" t="s">
        <v>4372</v>
      </c>
      <c r="H4157" s="1" t="s">
        <v>4372</v>
      </c>
      <c r="I4157" s="1" t="s">
        <v>4397</v>
      </c>
      <c r="J4157" s="1" t="s">
        <v>10506</v>
      </c>
      <c r="K4157" s="1" t="s">
        <v>318</v>
      </c>
    </row>
    <row r="4158" spans="1:11" ht="21" x14ac:dyDescent="0.25">
      <c r="A4158" s="11" t="str">
        <f>HYPERLINK("https://rth.dk/resources/bsgatlas/details.php?id=BSGatlas-transcript-4157","BSGatlas-transcript-4157")</f>
        <v>BSGatlas-transcript-4157</v>
      </c>
      <c r="B4158" s="1" t="s">
        <v>3857</v>
      </c>
      <c r="C4158" s="3">
        <v>3722786</v>
      </c>
      <c r="D4158" s="3">
        <v>3723331</v>
      </c>
      <c r="E4158" s="1" t="s">
        <v>13</v>
      </c>
      <c r="F4158" s="1">
        <v>0</v>
      </c>
      <c r="G4158" s="1" t="s">
        <v>4372</v>
      </c>
      <c r="H4158" s="1" t="s">
        <v>4372</v>
      </c>
      <c r="I4158" s="1" t="s">
        <v>4386</v>
      </c>
      <c r="J4158" s="1" t="s">
        <v>318</v>
      </c>
      <c r="K4158" s="1" t="s">
        <v>318</v>
      </c>
    </row>
    <row r="4159" spans="1:11" ht="21" x14ac:dyDescent="0.25">
      <c r="A4159" s="11" t="str">
        <f>HYPERLINK("https://rth.dk/resources/bsgatlas/details.php?id=BSGatlas-transcript-4158","BSGatlas-transcript-4158")</f>
        <v>BSGatlas-transcript-4158</v>
      </c>
      <c r="B4159" s="1" t="s">
        <v>3856</v>
      </c>
      <c r="C4159" s="3">
        <v>3723374</v>
      </c>
      <c r="D4159" s="3">
        <v>3724335</v>
      </c>
      <c r="E4159" s="1" t="s">
        <v>9</v>
      </c>
      <c r="F4159" s="1">
        <v>0</v>
      </c>
      <c r="G4159" s="1" t="s">
        <v>4372</v>
      </c>
      <c r="H4159" s="1" t="s">
        <v>4372</v>
      </c>
      <c r="I4159" s="1" t="s">
        <v>4397</v>
      </c>
      <c r="J4159" s="1" t="s">
        <v>10507</v>
      </c>
      <c r="K4159" s="1" t="s">
        <v>318</v>
      </c>
    </row>
    <row r="4160" spans="1:11" ht="21" x14ac:dyDescent="0.25">
      <c r="A4160" s="11" t="str">
        <f>HYPERLINK("https://rth.dk/resources/bsgatlas/details.php?id=BSGatlas-transcript-4159","BSGatlas-transcript-4159")</f>
        <v>BSGatlas-transcript-4159</v>
      </c>
      <c r="B4160" s="1" t="s">
        <v>3858</v>
      </c>
      <c r="C4160" s="3">
        <v>3724379</v>
      </c>
      <c r="D4160" s="3">
        <v>3725136</v>
      </c>
      <c r="E4160" s="1" t="s">
        <v>13</v>
      </c>
      <c r="F4160" s="1">
        <v>0</v>
      </c>
      <c r="G4160" s="1" t="s">
        <v>4372</v>
      </c>
      <c r="H4160" s="1" t="s">
        <v>4372</v>
      </c>
      <c r="I4160" s="1" t="s">
        <v>4373</v>
      </c>
      <c r="J4160" s="1" t="s">
        <v>318</v>
      </c>
      <c r="K4160" s="1" t="s">
        <v>10508</v>
      </c>
    </row>
    <row r="4161" spans="1:11" ht="21" x14ac:dyDescent="0.25">
      <c r="A4161" s="11" t="str">
        <f>HYPERLINK("https://rth.dk/resources/bsgatlas/details.php?id=BSGatlas-transcript-4160","BSGatlas-transcript-4160")</f>
        <v>BSGatlas-transcript-4160</v>
      </c>
      <c r="B4161" s="1" t="s">
        <v>10509</v>
      </c>
      <c r="C4161" s="3">
        <v>3724379</v>
      </c>
      <c r="D4161" s="3">
        <v>3728202</v>
      </c>
      <c r="E4161" s="1" t="s">
        <v>13</v>
      </c>
      <c r="F4161" s="1">
        <v>1</v>
      </c>
      <c r="G4161" s="1">
        <v>84</v>
      </c>
      <c r="H4161" s="1">
        <v>42</v>
      </c>
      <c r="I4161" s="1" t="s">
        <v>4386</v>
      </c>
      <c r="J4161" s="1" t="s">
        <v>10510</v>
      </c>
      <c r="K4161" s="1" t="s">
        <v>10508</v>
      </c>
    </row>
    <row r="4162" spans="1:11" ht="21" x14ac:dyDescent="0.25">
      <c r="A4162" s="11" t="str">
        <f>HYPERLINK("https://rth.dk/resources/bsgatlas/details.php?id=BSGatlas-transcript-4161","BSGatlas-transcript-4161")</f>
        <v>BSGatlas-transcript-4161</v>
      </c>
      <c r="B4162" s="1" t="s">
        <v>3863</v>
      </c>
      <c r="C4162" s="3">
        <v>3728400</v>
      </c>
      <c r="D4162" s="3">
        <v>3729412</v>
      </c>
      <c r="E4162" s="1" t="s">
        <v>13</v>
      </c>
      <c r="F4162" s="1">
        <v>0</v>
      </c>
      <c r="G4162" s="1" t="s">
        <v>4372</v>
      </c>
      <c r="H4162" s="1" t="s">
        <v>4372</v>
      </c>
      <c r="I4162" s="1" t="s">
        <v>4386</v>
      </c>
      <c r="J4162" s="1" t="s">
        <v>10511</v>
      </c>
      <c r="K4162" s="1" t="s">
        <v>10512</v>
      </c>
    </row>
    <row r="4163" spans="1:11" ht="21" x14ac:dyDescent="0.25">
      <c r="A4163" s="11" t="str">
        <f>HYPERLINK("https://rth.dk/resources/bsgatlas/details.php?id=BSGatlas-transcript-4162","BSGatlas-transcript-4162")</f>
        <v>BSGatlas-transcript-4162</v>
      </c>
      <c r="B4163" s="1" t="s">
        <v>3864</v>
      </c>
      <c r="C4163" s="3">
        <v>3729442</v>
      </c>
      <c r="D4163" s="3">
        <v>3730844</v>
      </c>
      <c r="E4163" s="1" t="s">
        <v>13</v>
      </c>
      <c r="F4163" s="1">
        <v>0</v>
      </c>
      <c r="G4163" s="1" t="s">
        <v>4372</v>
      </c>
      <c r="H4163" s="1" t="s">
        <v>4372</v>
      </c>
      <c r="I4163" s="1" t="s">
        <v>4382</v>
      </c>
      <c r="J4163" s="1" t="s">
        <v>10513</v>
      </c>
      <c r="K4163" s="1" t="s">
        <v>10514</v>
      </c>
    </row>
    <row r="4164" spans="1:11" ht="21" x14ac:dyDescent="0.25">
      <c r="A4164" s="11" t="str">
        <f>HYPERLINK("https://rth.dk/resources/bsgatlas/details.php?id=BSGatlas-transcript-4163","BSGatlas-transcript-4163")</f>
        <v>BSGatlas-transcript-4163</v>
      </c>
      <c r="B4164" s="1" t="s">
        <v>3864</v>
      </c>
      <c r="C4164" s="3">
        <v>3729442</v>
      </c>
      <c r="D4164" s="3">
        <v>3730971</v>
      </c>
      <c r="E4164" s="1" t="s">
        <v>13</v>
      </c>
      <c r="F4164" s="1">
        <v>0</v>
      </c>
      <c r="G4164" s="1" t="s">
        <v>4372</v>
      </c>
      <c r="H4164" s="1" t="s">
        <v>4372</v>
      </c>
      <c r="I4164" s="1" t="s">
        <v>4382</v>
      </c>
      <c r="J4164" s="1" t="s">
        <v>10515</v>
      </c>
      <c r="K4164" s="1" t="s">
        <v>10514</v>
      </c>
    </row>
    <row r="4165" spans="1:11" ht="21" x14ac:dyDescent="0.25">
      <c r="A4165" s="11" t="str">
        <f>HYPERLINK("https://rth.dk/resources/bsgatlas/details.php?id=BSGatlas-transcript-4164","BSGatlas-transcript-4164")</f>
        <v>BSGatlas-transcript-4164</v>
      </c>
      <c r="B4165" s="1" t="s">
        <v>10516</v>
      </c>
      <c r="C4165" s="3">
        <v>3729442</v>
      </c>
      <c r="D4165" s="3">
        <v>3733315</v>
      </c>
      <c r="E4165" s="1" t="s">
        <v>13</v>
      </c>
      <c r="F4165" s="1">
        <v>2</v>
      </c>
      <c r="G4165" s="1">
        <v>45</v>
      </c>
      <c r="H4165" s="1">
        <v>47</v>
      </c>
      <c r="I4165" s="1" t="s">
        <v>4397</v>
      </c>
      <c r="J4165" s="1" t="s">
        <v>10517</v>
      </c>
      <c r="K4165" s="1" t="s">
        <v>10514</v>
      </c>
    </row>
    <row r="4166" spans="1:11" ht="21" x14ac:dyDescent="0.25">
      <c r="A4166" s="11" t="str">
        <f>HYPERLINK("https://rth.dk/resources/bsgatlas/details.php?id=BSGatlas-transcript-4165","BSGatlas-transcript-4165")</f>
        <v>BSGatlas-transcript-4165</v>
      </c>
      <c r="B4166" s="1" t="s">
        <v>10518</v>
      </c>
      <c r="C4166" s="3">
        <v>3731799</v>
      </c>
      <c r="D4166" s="3">
        <v>3733315</v>
      </c>
      <c r="E4166" s="1" t="s">
        <v>13</v>
      </c>
      <c r="F4166" s="1">
        <v>0</v>
      </c>
      <c r="G4166" s="1" t="s">
        <v>4372</v>
      </c>
      <c r="H4166" s="1" t="s">
        <v>4372</v>
      </c>
      <c r="I4166" s="1" t="s">
        <v>4547</v>
      </c>
      <c r="J4166" s="1" t="s">
        <v>10517</v>
      </c>
      <c r="K4166" s="1" t="s">
        <v>10519</v>
      </c>
    </row>
    <row r="4167" spans="1:11" ht="21" x14ac:dyDescent="0.25">
      <c r="A4167" s="11" t="str">
        <f>HYPERLINK("https://rth.dk/resources/bsgatlas/details.php?id=BSGatlas-transcript-4166","BSGatlas-transcript-4166")</f>
        <v>BSGatlas-transcript-4166</v>
      </c>
      <c r="B4167" s="1" t="s">
        <v>3868</v>
      </c>
      <c r="C4167" s="3">
        <v>3733505</v>
      </c>
      <c r="D4167" s="3">
        <v>3733734</v>
      </c>
      <c r="E4167" s="1" t="s">
        <v>13</v>
      </c>
      <c r="F4167" s="1">
        <v>0</v>
      </c>
      <c r="G4167" s="1" t="s">
        <v>4372</v>
      </c>
      <c r="H4167" s="1" t="s">
        <v>4372</v>
      </c>
      <c r="I4167" s="1" t="s">
        <v>4386</v>
      </c>
      <c r="J4167" s="1" t="s">
        <v>10520</v>
      </c>
      <c r="K4167" s="1" t="s">
        <v>10521</v>
      </c>
    </row>
    <row r="4168" spans="1:11" ht="21" x14ac:dyDescent="0.25">
      <c r="A4168" s="11" t="str">
        <f>HYPERLINK("https://rth.dk/resources/bsgatlas/details.php?id=BSGatlas-transcript-4167","BSGatlas-transcript-4167")</f>
        <v>BSGatlas-transcript-4167</v>
      </c>
      <c r="B4168" s="1" t="s">
        <v>3868</v>
      </c>
      <c r="C4168" s="3">
        <v>3733505</v>
      </c>
      <c r="D4168" s="3">
        <v>3733966</v>
      </c>
      <c r="E4168" s="1" t="s">
        <v>13</v>
      </c>
      <c r="F4168" s="1">
        <v>0</v>
      </c>
      <c r="G4168" s="1" t="s">
        <v>4372</v>
      </c>
      <c r="H4168" s="1" t="s">
        <v>4372</v>
      </c>
      <c r="I4168" s="1" t="s">
        <v>4386</v>
      </c>
      <c r="J4168" s="1" t="s">
        <v>10522</v>
      </c>
      <c r="K4168" s="1" t="s">
        <v>10521</v>
      </c>
    </row>
    <row r="4169" spans="1:11" ht="21" x14ac:dyDescent="0.25">
      <c r="A4169" s="11" t="str">
        <f>HYPERLINK("https://rth.dk/resources/bsgatlas/details.php?id=BSGatlas-transcript-4168","BSGatlas-transcript-4168")</f>
        <v>BSGatlas-transcript-4168</v>
      </c>
      <c r="B4169" s="1" t="s">
        <v>3868</v>
      </c>
      <c r="C4169" s="3">
        <v>3733505</v>
      </c>
      <c r="D4169" s="3">
        <v>3734142</v>
      </c>
      <c r="E4169" s="1" t="s">
        <v>13</v>
      </c>
      <c r="F4169" s="1">
        <v>0</v>
      </c>
      <c r="G4169" s="1" t="s">
        <v>4372</v>
      </c>
      <c r="H4169" s="1" t="s">
        <v>4372</v>
      </c>
      <c r="I4169" s="1" t="s">
        <v>4386</v>
      </c>
      <c r="J4169" s="1" t="s">
        <v>10523</v>
      </c>
      <c r="K4169" s="1" t="s">
        <v>10521</v>
      </c>
    </row>
    <row r="4170" spans="1:11" ht="21" x14ac:dyDescent="0.25">
      <c r="A4170" s="11" t="str">
        <f>HYPERLINK("https://rth.dk/resources/bsgatlas/details.php?id=BSGatlas-transcript-4169","BSGatlas-transcript-4169")</f>
        <v>BSGatlas-transcript-4169</v>
      </c>
      <c r="B4170" s="1" t="s">
        <v>10524</v>
      </c>
      <c r="C4170" s="3">
        <v>3733802</v>
      </c>
      <c r="D4170" s="3">
        <v>3738267</v>
      </c>
      <c r="E4170" s="1" t="s">
        <v>9</v>
      </c>
      <c r="F4170" s="1">
        <v>0</v>
      </c>
      <c r="G4170" s="1" t="s">
        <v>4372</v>
      </c>
      <c r="H4170" s="1" t="s">
        <v>4372</v>
      </c>
      <c r="I4170" s="1" t="s">
        <v>4386</v>
      </c>
      <c r="J4170" s="1" t="s">
        <v>10525</v>
      </c>
      <c r="K4170" s="1" t="s">
        <v>10526</v>
      </c>
    </row>
    <row r="4171" spans="1:11" ht="21" x14ac:dyDescent="0.25">
      <c r="A4171" s="11" t="str">
        <f>HYPERLINK("https://rth.dk/resources/bsgatlas/details.php?id=BSGatlas-transcript-4170","BSGatlas-transcript-4170")</f>
        <v>BSGatlas-transcript-4170</v>
      </c>
      <c r="B4171" s="1" t="s">
        <v>3870</v>
      </c>
      <c r="C4171" s="3">
        <v>3735449</v>
      </c>
      <c r="D4171" s="3">
        <v>3738267</v>
      </c>
      <c r="E4171" s="1" t="s">
        <v>9</v>
      </c>
      <c r="F4171" s="1">
        <v>0</v>
      </c>
      <c r="G4171" s="1" t="s">
        <v>4372</v>
      </c>
      <c r="H4171" s="1" t="s">
        <v>4372</v>
      </c>
      <c r="I4171" s="1" t="s">
        <v>4382</v>
      </c>
      <c r="J4171" s="1" t="s">
        <v>318</v>
      </c>
      <c r="K4171" s="1" t="s">
        <v>10526</v>
      </c>
    </row>
    <row r="4172" spans="1:11" ht="21" x14ac:dyDescent="0.25">
      <c r="A4172" s="11" t="str">
        <f>HYPERLINK("https://rth.dk/resources/bsgatlas/details.php?id=BSGatlas-transcript-4171","BSGatlas-transcript-4171")</f>
        <v>BSGatlas-transcript-4171</v>
      </c>
      <c r="B4172" s="1" t="s">
        <v>10527</v>
      </c>
      <c r="C4172" s="3">
        <v>3738244</v>
      </c>
      <c r="D4172" s="3">
        <v>3740030</v>
      </c>
      <c r="E4172" s="1" t="s">
        <v>13</v>
      </c>
      <c r="F4172" s="1">
        <v>0</v>
      </c>
      <c r="G4172" s="1" t="s">
        <v>4372</v>
      </c>
      <c r="H4172" s="1" t="s">
        <v>4372</v>
      </c>
      <c r="I4172" s="1" t="s">
        <v>4386</v>
      </c>
      <c r="J4172" s="1" t="s">
        <v>10528</v>
      </c>
      <c r="K4172" s="1" t="s">
        <v>10529</v>
      </c>
    </row>
    <row r="4173" spans="1:11" ht="21" x14ac:dyDescent="0.25">
      <c r="A4173" s="11" t="str">
        <f>HYPERLINK("https://rth.dk/resources/bsgatlas/details.php?id=BSGatlas-transcript-4172","BSGatlas-transcript-4172")</f>
        <v>BSGatlas-transcript-4172</v>
      </c>
      <c r="B4173" s="1" t="s">
        <v>10530</v>
      </c>
      <c r="C4173" s="3">
        <v>3738244</v>
      </c>
      <c r="D4173" s="3">
        <v>3740588</v>
      </c>
      <c r="E4173" s="1" t="s">
        <v>13</v>
      </c>
      <c r="F4173" s="1">
        <v>1</v>
      </c>
      <c r="G4173" s="1">
        <v>42</v>
      </c>
      <c r="H4173" s="1">
        <v>100</v>
      </c>
      <c r="I4173" s="1" t="s">
        <v>4377</v>
      </c>
      <c r="J4173" s="1" t="s">
        <v>10531</v>
      </c>
      <c r="K4173" s="1" t="s">
        <v>10529</v>
      </c>
    </row>
    <row r="4174" spans="1:11" ht="21" x14ac:dyDescent="0.25">
      <c r="A4174" s="11" t="str">
        <f>HYPERLINK("https://rth.dk/resources/bsgatlas/details.php?id=BSGatlas-transcript-4173","BSGatlas-transcript-4173")</f>
        <v>BSGatlas-transcript-4173</v>
      </c>
      <c r="B4174" s="1" t="s">
        <v>10532</v>
      </c>
      <c r="C4174" s="3">
        <v>3738244</v>
      </c>
      <c r="D4174" s="3">
        <v>3741049</v>
      </c>
      <c r="E4174" s="1" t="s">
        <v>13</v>
      </c>
      <c r="F4174" s="1">
        <v>2</v>
      </c>
      <c r="G4174" s="1">
        <v>43</v>
      </c>
      <c r="H4174" s="1">
        <v>100</v>
      </c>
      <c r="I4174" s="1" t="s">
        <v>4377</v>
      </c>
      <c r="J4174" s="1" t="s">
        <v>10533</v>
      </c>
      <c r="K4174" s="1" t="s">
        <v>10529</v>
      </c>
    </row>
    <row r="4175" spans="1:11" ht="21" x14ac:dyDescent="0.25">
      <c r="A4175" s="11" t="str">
        <f>HYPERLINK("https://rth.dk/resources/bsgatlas/details.php?id=BSGatlas-transcript-4174","BSGatlas-transcript-4174")</f>
        <v>BSGatlas-transcript-4174</v>
      </c>
      <c r="B4175" s="1" t="s">
        <v>10534</v>
      </c>
      <c r="C4175" s="3">
        <v>3739206</v>
      </c>
      <c r="D4175" s="3">
        <v>3740588</v>
      </c>
      <c r="E4175" s="1" t="s">
        <v>13</v>
      </c>
      <c r="F4175" s="1">
        <v>1</v>
      </c>
      <c r="G4175" s="1">
        <v>42</v>
      </c>
      <c r="H4175" s="1" t="s">
        <v>4372</v>
      </c>
      <c r="I4175" s="1" t="s">
        <v>4382</v>
      </c>
      <c r="J4175" s="1" t="s">
        <v>10531</v>
      </c>
      <c r="K4175" s="1" t="s">
        <v>318</v>
      </c>
    </row>
    <row r="4176" spans="1:11" ht="21" x14ac:dyDescent="0.25">
      <c r="A4176" s="11" t="str">
        <f>HYPERLINK("https://rth.dk/resources/bsgatlas/details.php?id=BSGatlas-transcript-4175","BSGatlas-transcript-4175")</f>
        <v>BSGatlas-transcript-4175</v>
      </c>
      <c r="B4176" s="1" t="s">
        <v>3873</v>
      </c>
      <c r="C4176" s="3">
        <v>3740127</v>
      </c>
      <c r="D4176" s="3">
        <v>3740588</v>
      </c>
      <c r="E4176" s="1" t="s">
        <v>13</v>
      </c>
      <c r="F4176" s="1">
        <v>0</v>
      </c>
      <c r="G4176" s="1" t="s">
        <v>4372</v>
      </c>
      <c r="H4176" s="1" t="s">
        <v>4372</v>
      </c>
      <c r="I4176" s="1" t="s">
        <v>4386</v>
      </c>
      <c r="J4176" s="1" t="s">
        <v>10531</v>
      </c>
      <c r="K4176" s="1" t="s">
        <v>10535</v>
      </c>
    </row>
    <row r="4177" spans="1:11" ht="21" x14ac:dyDescent="0.25">
      <c r="A4177" s="11" t="str">
        <f>HYPERLINK("https://rth.dk/resources/bsgatlas/details.php?id=BSGatlas-transcript-4176","BSGatlas-transcript-4176")</f>
        <v>BSGatlas-transcript-4176</v>
      </c>
      <c r="B4177" s="1" t="s">
        <v>10536</v>
      </c>
      <c r="C4177" s="3">
        <v>3740127</v>
      </c>
      <c r="D4177" s="3">
        <v>3741049</v>
      </c>
      <c r="E4177" s="1" t="s">
        <v>13</v>
      </c>
      <c r="F4177" s="1">
        <v>1</v>
      </c>
      <c r="G4177" s="1">
        <v>43</v>
      </c>
      <c r="H4177" s="1">
        <v>80</v>
      </c>
      <c r="I4177" s="1" t="s">
        <v>4386</v>
      </c>
      <c r="J4177" s="1" t="s">
        <v>10533</v>
      </c>
      <c r="K4177" s="1" t="s">
        <v>10535</v>
      </c>
    </row>
    <row r="4178" spans="1:11" ht="21" x14ac:dyDescent="0.25">
      <c r="A4178" s="11" t="str">
        <f>HYPERLINK("https://rth.dk/resources/bsgatlas/details.php?id=BSGatlas-transcript-4177","BSGatlas-transcript-4177")</f>
        <v>BSGatlas-transcript-4177</v>
      </c>
      <c r="B4178" s="1" t="s">
        <v>3875</v>
      </c>
      <c r="C4178" s="3">
        <v>3741040</v>
      </c>
      <c r="D4178" s="3">
        <v>3741656</v>
      </c>
      <c r="E4178" s="1" t="s">
        <v>9</v>
      </c>
      <c r="F4178" s="1">
        <v>0</v>
      </c>
      <c r="G4178" s="1" t="s">
        <v>4372</v>
      </c>
      <c r="H4178" s="1" t="s">
        <v>4372</v>
      </c>
      <c r="I4178" s="1" t="s">
        <v>4397</v>
      </c>
      <c r="J4178" s="1" t="s">
        <v>10537</v>
      </c>
      <c r="K4178" s="1" t="s">
        <v>10538</v>
      </c>
    </row>
    <row r="4179" spans="1:11" ht="21" x14ac:dyDescent="0.25">
      <c r="A4179" s="11" t="str">
        <f>HYPERLINK("https://rth.dk/resources/bsgatlas/details.php?id=BSGatlas-transcript-4178","BSGatlas-transcript-4178")</f>
        <v>BSGatlas-transcript-4178</v>
      </c>
      <c r="B4179" s="1" t="s">
        <v>3875</v>
      </c>
      <c r="C4179" s="3">
        <v>3741133</v>
      </c>
      <c r="D4179" s="3">
        <v>3741656</v>
      </c>
      <c r="E4179" s="1" t="s">
        <v>9</v>
      </c>
      <c r="F4179" s="1">
        <v>0</v>
      </c>
      <c r="G4179" s="1" t="s">
        <v>4372</v>
      </c>
      <c r="H4179" s="1" t="s">
        <v>4372</v>
      </c>
      <c r="I4179" s="1" t="s">
        <v>4397</v>
      </c>
      <c r="J4179" s="1" t="s">
        <v>10539</v>
      </c>
      <c r="K4179" s="1" t="s">
        <v>10538</v>
      </c>
    </row>
    <row r="4180" spans="1:11" ht="21" x14ac:dyDescent="0.25">
      <c r="A4180" s="11" t="str">
        <f>HYPERLINK("https://rth.dk/resources/bsgatlas/details.php?id=BSGatlas-transcript-4179","BSGatlas-transcript-4179")</f>
        <v>BSGatlas-transcript-4179</v>
      </c>
      <c r="B4180" s="1" t="s">
        <v>3876</v>
      </c>
      <c r="C4180" s="3">
        <v>3741160</v>
      </c>
      <c r="D4180" s="3">
        <v>3742040</v>
      </c>
      <c r="E4180" s="1" t="s">
        <v>13</v>
      </c>
      <c r="F4180" s="1">
        <v>0</v>
      </c>
      <c r="G4180" s="1" t="s">
        <v>4372</v>
      </c>
      <c r="H4180" s="1" t="s">
        <v>4372</v>
      </c>
      <c r="I4180" s="1" t="s">
        <v>4373</v>
      </c>
      <c r="J4180" s="1" t="s">
        <v>318</v>
      </c>
      <c r="K4180" s="1" t="s">
        <v>10540</v>
      </c>
    </row>
    <row r="4181" spans="1:11" ht="21" x14ac:dyDescent="0.25">
      <c r="A4181" s="11" t="str">
        <f>HYPERLINK("https://rth.dk/resources/bsgatlas/details.php?id=BSGatlas-transcript-4180","BSGatlas-transcript-4180")</f>
        <v>BSGatlas-transcript-4180</v>
      </c>
      <c r="B4181" s="1" t="s">
        <v>3876</v>
      </c>
      <c r="C4181" s="3">
        <v>3741666</v>
      </c>
      <c r="D4181" s="3">
        <v>3742040</v>
      </c>
      <c r="E4181" s="1" t="s">
        <v>13</v>
      </c>
      <c r="F4181" s="1">
        <v>0</v>
      </c>
      <c r="G4181" s="1" t="s">
        <v>4372</v>
      </c>
      <c r="H4181" s="1" t="s">
        <v>4372</v>
      </c>
      <c r="I4181" s="1" t="s">
        <v>4373</v>
      </c>
      <c r="J4181" s="1" t="s">
        <v>318</v>
      </c>
      <c r="K4181" s="1" t="s">
        <v>10541</v>
      </c>
    </row>
    <row r="4182" spans="1:11" ht="21" x14ac:dyDescent="0.25">
      <c r="A4182" s="11" t="str">
        <f>HYPERLINK("https://rth.dk/resources/bsgatlas/details.php?id=BSGatlas-transcript-4181","BSGatlas-transcript-4181")</f>
        <v>BSGatlas-transcript-4181</v>
      </c>
      <c r="B4182" s="1" t="s">
        <v>3876</v>
      </c>
      <c r="C4182" s="3">
        <v>3741711</v>
      </c>
      <c r="D4182" s="3">
        <v>3742040</v>
      </c>
      <c r="E4182" s="1" t="s">
        <v>13</v>
      </c>
      <c r="F4182" s="1">
        <v>0</v>
      </c>
      <c r="G4182" s="1" t="s">
        <v>4372</v>
      </c>
      <c r="H4182" s="1" t="s">
        <v>4372</v>
      </c>
      <c r="I4182" s="1" t="s">
        <v>4373</v>
      </c>
      <c r="J4182" s="1" t="s">
        <v>318</v>
      </c>
      <c r="K4182" s="1" t="s">
        <v>10542</v>
      </c>
    </row>
    <row r="4183" spans="1:11" ht="21" x14ac:dyDescent="0.25">
      <c r="A4183" s="11" t="str">
        <f>HYPERLINK("https://rth.dk/resources/bsgatlas/details.php?id=BSGatlas-transcript-4182","BSGatlas-transcript-4182")</f>
        <v>BSGatlas-transcript-4182</v>
      </c>
      <c r="B4183" s="1" t="s">
        <v>3877</v>
      </c>
      <c r="C4183" s="3">
        <v>3742384</v>
      </c>
      <c r="D4183" s="3">
        <v>3743241</v>
      </c>
      <c r="E4183" s="1" t="s">
        <v>9</v>
      </c>
      <c r="F4183" s="1">
        <v>0</v>
      </c>
      <c r="G4183" s="1" t="s">
        <v>4372</v>
      </c>
      <c r="H4183" s="1" t="s">
        <v>4372</v>
      </c>
      <c r="I4183" s="1" t="s">
        <v>4397</v>
      </c>
      <c r="J4183" s="1" t="s">
        <v>10543</v>
      </c>
      <c r="K4183" s="1" t="s">
        <v>10544</v>
      </c>
    </row>
    <row r="4184" spans="1:11" ht="21" x14ac:dyDescent="0.25">
      <c r="A4184" s="11" t="str">
        <f>HYPERLINK("https://rth.dk/resources/bsgatlas/details.php?id=BSGatlas-transcript-4183","BSGatlas-transcript-4183")</f>
        <v>BSGatlas-transcript-4183</v>
      </c>
      <c r="B4184" s="1" t="s">
        <v>3878</v>
      </c>
      <c r="C4184" s="3">
        <v>3743227</v>
      </c>
      <c r="D4184" s="3">
        <v>3743659</v>
      </c>
      <c r="E4184" s="1" t="s">
        <v>13</v>
      </c>
      <c r="F4184" s="1">
        <v>0</v>
      </c>
      <c r="G4184" s="1" t="s">
        <v>4372</v>
      </c>
      <c r="H4184" s="1" t="s">
        <v>4372</v>
      </c>
      <c r="I4184" s="1" t="s">
        <v>4382</v>
      </c>
      <c r="J4184" s="1" t="s">
        <v>318</v>
      </c>
      <c r="K4184" s="1" t="s">
        <v>10545</v>
      </c>
    </row>
    <row r="4185" spans="1:11" ht="21" x14ac:dyDescent="0.25">
      <c r="A4185" s="11" t="str">
        <f>HYPERLINK("https://rth.dk/resources/bsgatlas/details.php?id=BSGatlas-transcript-4184","BSGatlas-transcript-4184")</f>
        <v>BSGatlas-transcript-4184</v>
      </c>
      <c r="B4185" s="1" t="s">
        <v>10546</v>
      </c>
      <c r="C4185" s="3">
        <v>3743227</v>
      </c>
      <c r="D4185" s="3">
        <v>3744234</v>
      </c>
      <c r="E4185" s="1" t="s">
        <v>13</v>
      </c>
      <c r="F4185" s="1">
        <v>1</v>
      </c>
      <c r="G4185" s="1">
        <v>78</v>
      </c>
      <c r="H4185" s="1">
        <v>41</v>
      </c>
      <c r="I4185" s="1" t="s">
        <v>4386</v>
      </c>
      <c r="J4185" s="1" t="s">
        <v>10547</v>
      </c>
      <c r="K4185" s="1" t="s">
        <v>10545</v>
      </c>
    </row>
    <row r="4186" spans="1:11" ht="21" x14ac:dyDescent="0.25">
      <c r="A4186" s="11" t="str">
        <f>HYPERLINK("https://rth.dk/resources/bsgatlas/details.php?id=BSGatlas-transcript-4185","BSGatlas-transcript-4185")</f>
        <v>BSGatlas-transcript-4185</v>
      </c>
      <c r="B4186" s="1" t="s">
        <v>10546</v>
      </c>
      <c r="C4186" s="3">
        <v>3743227</v>
      </c>
      <c r="D4186" s="3">
        <v>3744320</v>
      </c>
      <c r="E4186" s="1" t="s">
        <v>13</v>
      </c>
      <c r="F4186" s="1">
        <v>1</v>
      </c>
      <c r="G4186" s="1">
        <v>164</v>
      </c>
      <c r="H4186" s="1">
        <v>41</v>
      </c>
      <c r="I4186" s="1" t="s">
        <v>4386</v>
      </c>
      <c r="J4186" s="1" t="s">
        <v>10548</v>
      </c>
      <c r="K4186" s="1" t="s">
        <v>10545</v>
      </c>
    </row>
    <row r="4187" spans="1:11" ht="21" x14ac:dyDescent="0.25">
      <c r="A4187" s="11" t="str">
        <f>HYPERLINK("https://rth.dk/resources/bsgatlas/details.php?id=BSGatlas-transcript-4186","BSGatlas-transcript-4186")</f>
        <v>BSGatlas-transcript-4186</v>
      </c>
      <c r="B4187" s="1" t="s">
        <v>3880</v>
      </c>
      <c r="C4187" s="3">
        <v>3744304</v>
      </c>
      <c r="D4187" s="3">
        <v>3745442</v>
      </c>
      <c r="E4187" s="1" t="s">
        <v>9</v>
      </c>
      <c r="F4187" s="1">
        <v>0</v>
      </c>
      <c r="G4187" s="1" t="s">
        <v>4372</v>
      </c>
      <c r="H4187" s="1" t="s">
        <v>4372</v>
      </c>
      <c r="I4187" s="1" t="s">
        <v>4373</v>
      </c>
      <c r="J4187" s="1" t="s">
        <v>10549</v>
      </c>
      <c r="K4187" s="1" t="s">
        <v>10550</v>
      </c>
    </row>
    <row r="4188" spans="1:11" ht="21" x14ac:dyDescent="0.25">
      <c r="A4188" s="11" t="str">
        <f>HYPERLINK("https://rth.dk/resources/bsgatlas/details.php?id=BSGatlas-transcript-4187","BSGatlas-transcript-4187")</f>
        <v>BSGatlas-transcript-4187</v>
      </c>
      <c r="B4188" s="1" t="s">
        <v>3880</v>
      </c>
      <c r="C4188" s="3">
        <v>3744304</v>
      </c>
      <c r="D4188" s="3">
        <v>3746331</v>
      </c>
      <c r="E4188" s="1" t="s">
        <v>9</v>
      </c>
      <c r="F4188" s="1">
        <v>0</v>
      </c>
      <c r="G4188" s="1" t="s">
        <v>4372</v>
      </c>
      <c r="H4188" s="1" t="s">
        <v>4372</v>
      </c>
      <c r="I4188" s="1" t="s">
        <v>4373</v>
      </c>
      <c r="J4188" s="1" t="s">
        <v>10549</v>
      </c>
      <c r="K4188" s="1" t="s">
        <v>10551</v>
      </c>
    </row>
    <row r="4189" spans="1:11" ht="21" x14ac:dyDescent="0.25">
      <c r="A4189" s="11" t="str">
        <f>HYPERLINK("https://rth.dk/resources/bsgatlas/details.php?id=BSGatlas-transcript-4188","BSGatlas-transcript-4188")</f>
        <v>BSGatlas-transcript-4188</v>
      </c>
      <c r="B4189" s="1" t="s">
        <v>3880</v>
      </c>
      <c r="C4189" s="3">
        <v>3744319</v>
      </c>
      <c r="D4189" s="3">
        <v>3745442</v>
      </c>
      <c r="E4189" s="1" t="s">
        <v>9</v>
      </c>
      <c r="F4189" s="1">
        <v>0</v>
      </c>
      <c r="G4189" s="1" t="s">
        <v>4372</v>
      </c>
      <c r="H4189" s="1" t="s">
        <v>4372</v>
      </c>
      <c r="I4189" s="1" t="s">
        <v>4373</v>
      </c>
      <c r="J4189" s="1" t="s">
        <v>10552</v>
      </c>
      <c r="K4189" s="1" t="s">
        <v>10550</v>
      </c>
    </row>
    <row r="4190" spans="1:11" ht="21" x14ac:dyDescent="0.25">
      <c r="A4190" s="11" t="str">
        <f>HYPERLINK("https://rth.dk/resources/bsgatlas/details.php?id=BSGatlas-transcript-4189","BSGatlas-transcript-4189")</f>
        <v>BSGatlas-transcript-4189</v>
      </c>
      <c r="B4190" s="1" t="s">
        <v>3880</v>
      </c>
      <c r="C4190" s="3">
        <v>3744319</v>
      </c>
      <c r="D4190" s="3">
        <v>3746331</v>
      </c>
      <c r="E4190" s="1" t="s">
        <v>9</v>
      </c>
      <c r="F4190" s="1">
        <v>0</v>
      </c>
      <c r="G4190" s="1" t="s">
        <v>4372</v>
      </c>
      <c r="H4190" s="1" t="s">
        <v>4372</v>
      </c>
      <c r="I4190" s="1" t="s">
        <v>4373</v>
      </c>
      <c r="J4190" s="1" t="s">
        <v>10552</v>
      </c>
      <c r="K4190" s="1" t="s">
        <v>10551</v>
      </c>
    </row>
    <row r="4191" spans="1:11" ht="21" x14ac:dyDescent="0.25">
      <c r="A4191" s="11" t="str">
        <f>HYPERLINK("https://rth.dk/resources/bsgatlas/details.php?id=BSGatlas-transcript-4190","BSGatlas-transcript-4190")</f>
        <v>BSGatlas-transcript-4190</v>
      </c>
      <c r="B4191" s="1" t="s">
        <v>10553</v>
      </c>
      <c r="C4191" s="3">
        <v>3745356</v>
      </c>
      <c r="D4191" s="3">
        <v>3747171</v>
      </c>
      <c r="E4191" s="1" t="s">
        <v>13</v>
      </c>
      <c r="F4191" s="1">
        <v>1</v>
      </c>
      <c r="G4191" s="1">
        <v>81</v>
      </c>
      <c r="H4191" s="1">
        <v>81</v>
      </c>
      <c r="I4191" s="1" t="s">
        <v>4386</v>
      </c>
      <c r="J4191" s="1" t="s">
        <v>10554</v>
      </c>
      <c r="K4191" s="1" t="s">
        <v>10555</v>
      </c>
    </row>
    <row r="4192" spans="1:11" ht="21" x14ac:dyDescent="0.25">
      <c r="A4192" s="11" t="str">
        <f>HYPERLINK("https://rth.dk/resources/bsgatlas/details.php?id=BSGatlas-transcript-4191","BSGatlas-transcript-4191")</f>
        <v>BSGatlas-transcript-4191</v>
      </c>
      <c r="B4192" s="1" t="s">
        <v>10556</v>
      </c>
      <c r="C4192" s="3">
        <v>3745356</v>
      </c>
      <c r="D4192" s="3">
        <v>3748334</v>
      </c>
      <c r="E4192" s="1" t="s">
        <v>13</v>
      </c>
      <c r="F4192" s="1">
        <v>2</v>
      </c>
      <c r="G4192" s="1">
        <v>80</v>
      </c>
      <c r="H4192" s="1">
        <v>81</v>
      </c>
      <c r="I4192" s="1" t="s">
        <v>4377</v>
      </c>
      <c r="J4192" s="1" t="s">
        <v>10557</v>
      </c>
      <c r="K4192" s="1" t="s">
        <v>10555</v>
      </c>
    </row>
    <row r="4193" spans="1:11" ht="21" x14ac:dyDescent="0.25">
      <c r="A4193" s="11" t="str">
        <f>HYPERLINK("https://rth.dk/resources/bsgatlas/details.php?id=BSGatlas-transcript-4192","BSGatlas-transcript-4192")</f>
        <v>BSGatlas-transcript-4192</v>
      </c>
      <c r="B4193" s="1" t="s">
        <v>10558</v>
      </c>
      <c r="C4193" s="3">
        <v>3745356</v>
      </c>
      <c r="D4193" s="3">
        <v>3748862</v>
      </c>
      <c r="E4193" s="1" t="s">
        <v>13</v>
      </c>
      <c r="F4193" s="1">
        <v>3</v>
      </c>
      <c r="G4193" s="1">
        <v>36</v>
      </c>
      <c r="H4193" s="1">
        <v>81</v>
      </c>
      <c r="I4193" s="1" t="s">
        <v>4382</v>
      </c>
      <c r="J4193" s="1" t="s">
        <v>10559</v>
      </c>
      <c r="K4193" s="1" t="s">
        <v>10555</v>
      </c>
    </row>
    <row r="4194" spans="1:11" ht="21" x14ac:dyDescent="0.25">
      <c r="A4194" s="11" t="str">
        <f>HYPERLINK("https://rth.dk/resources/bsgatlas/details.php?id=BSGatlas-transcript-4193","BSGatlas-transcript-4193")</f>
        <v>BSGatlas-transcript-4193</v>
      </c>
      <c r="B4194" s="1" t="s">
        <v>3886</v>
      </c>
      <c r="C4194" s="3">
        <v>3747152</v>
      </c>
      <c r="D4194" s="3">
        <v>3749465</v>
      </c>
      <c r="E4194" s="1" t="s">
        <v>9</v>
      </c>
      <c r="F4194" s="1">
        <v>0</v>
      </c>
      <c r="G4194" s="1" t="s">
        <v>4372</v>
      </c>
      <c r="H4194" s="1" t="s">
        <v>4372</v>
      </c>
      <c r="I4194" s="1" t="s">
        <v>4377</v>
      </c>
      <c r="J4194" s="1" t="s">
        <v>10560</v>
      </c>
      <c r="K4194" s="1" t="s">
        <v>318</v>
      </c>
    </row>
    <row r="4195" spans="1:11" ht="21" x14ac:dyDescent="0.25">
      <c r="A4195" s="11" t="str">
        <f>HYPERLINK("https://rth.dk/resources/bsgatlas/details.php?id=BSGatlas-transcript-4194","BSGatlas-transcript-4194")</f>
        <v>BSGatlas-transcript-4194</v>
      </c>
      <c r="B4195" s="1" t="s">
        <v>3883</v>
      </c>
      <c r="C4195" s="3">
        <v>3747207</v>
      </c>
      <c r="D4195" s="3">
        <v>3748334</v>
      </c>
      <c r="E4195" s="1" t="s">
        <v>13</v>
      </c>
      <c r="F4195" s="1">
        <v>0</v>
      </c>
      <c r="G4195" s="1" t="s">
        <v>4372</v>
      </c>
      <c r="H4195" s="1" t="s">
        <v>4372</v>
      </c>
      <c r="I4195" s="1" t="s">
        <v>4386</v>
      </c>
      <c r="J4195" s="1" t="s">
        <v>10557</v>
      </c>
      <c r="K4195" s="1" t="s">
        <v>10561</v>
      </c>
    </row>
    <row r="4196" spans="1:11" ht="21" x14ac:dyDescent="0.25">
      <c r="A4196" s="11" t="str">
        <f>HYPERLINK("https://rth.dk/resources/bsgatlas/details.php?id=BSGatlas-transcript-4195","BSGatlas-transcript-4195")</f>
        <v>BSGatlas-transcript-4195</v>
      </c>
      <c r="B4196" s="1" t="s">
        <v>10562</v>
      </c>
      <c r="C4196" s="3">
        <v>3747207</v>
      </c>
      <c r="D4196" s="3">
        <v>3748862</v>
      </c>
      <c r="E4196" s="1" t="s">
        <v>13</v>
      </c>
      <c r="F4196" s="1">
        <v>1</v>
      </c>
      <c r="G4196" s="1">
        <v>36</v>
      </c>
      <c r="H4196" s="1">
        <v>48</v>
      </c>
      <c r="I4196" s="1" t="s">
        <v>4386</v>
      </c>
      <c r="J4196" s="1" t="s">
        <v>10559</v>
      </c>
      <c r="K4196" s="1" t="s">
        <v>10561</v>
      </c>
    </row>
    <row r="4197" spans="1:11" ht="21" x14ac:dyDescent="0.25">
      <c r="A4197" s="11" t="str">
        <f>HYPERLINK("https://rth.dk/resources/bsgatlas/details.php?id=BSGatlas-transcript-4196","BSGatlas-transcript-4196")</f>
        <v>BSGatlas-transcript-4196</v>
      </c>
      <c r="B4197" s="1" t="s">
        <v>10563</v>
      </c>
      <c r="C4197" s="3">
        <v>3748330</v>
      </c>
      <c r="D4197" s="3">
        <v>3748862</v>
      </c>
      <c r="E4197" s="1" t="s">
        <v>13</v>
      </c>
      <c r="F4197" s="1">
        <v>0</v>
      </c>
      <c r="G4197" s="1" t="s">
        <v>4372</v>
      </c>
      <c r="H4197" s="1" t="s">
        <v>4372</v>
      </c>
      <c r="I4197" s="1" t="s">
        <v>4377</v>
      </c>
      <c r="J4197" s="1" t="s">
        <v>10559</v>
      </c>
      <c r="K4197" s="1" t="s">
        <v>10564</v>
      </c>
    </row>
    <row r="4198" spans="1:11" ht="21" x14ac:dyDescent="0.25">
      <c r="A4198" s="11" t="str">
        <f>HYPERLINK("https://rth.dk/resources/bsgatlas/details.php?id=BSGatlas-transcript-4197","BSGatlas-transcript-4197")</f>
        <v>BSGatlas-transcript-4197</v>
      </c>
      <c r="B4198" s="1" t="s">
        <v>3886</v>
      </c>
      <c r="C4198" s="3">
        <v>3749009</v>
      </c>
      <c r="D4198" s="3">
        <v>3749465</v>
      </c>
      <c r="E4198" s="1" t="s">
        <v>9</v>
      </c>
      <c r="F4198" s="1">
        <v>0</v>
      </c>
      <c r="G4198" s="1" t="s">
        <v>4372</v>
      </c>
      <c r="H4198" s="1" t="s">
        <v>4372</v>
      </c>
      <c r="I4198" s="1" t="s">
        <v>4377</v>
      </c>
      <c r="J4198" s="1" t="s">
        <v>10565</v>
      </c>
      <c r="K4198" s="1" t="s">
        <v>318</v>
      </c>
    </row>
    <row r="4199" spans="1:11" ht="21" x14ac:dyDescent="0.25">
      <c r="A4199" s="11" t="str">
        <f>HYPERLINK("https://rth.dk/resources/bsgatlas/details.php?id=BSGatlas-transcript-4198","BSGatlas-transcript-4198")</f>
        <v>BSGatlas-transcript-4198</v>
      </c>
      <c r="B4199" s="1" t="s">
        <v>3887</v>
      </c>
      <c r="C4199" s="3">
        <v>3749487</v>
      </c>
      <c r="D4199" s="3">
        <v>3750723</v>
      </c>
      <c r="E4199" s="1" t="s">
        <v>9</v>
      </c>
      <c r="F4199" s="1">
        <v>0</v>
      </c>
      <c r="G4199" s="1" t="s">
        <v>4372</v>
      </c>
      <c r="H4199" s="1" t="s">
        <v>4372</v>
      </c>
      <c r="I4199" s="1" t="s">
        <v>4382</v>
      </c>
      <c r="J4199" s="1" t="s">
        <v>318</v>
      </c>
      <c r="K4199" s="1" t="s">
        <v>10566</v>
      </c>
    </row>
    <row r="4200" spans="1:11" ht="21" x14ac:dyDescent="0.25">
      <c r="A4200" s="11" t="str">
        <f>HYPERLINK("https://rth.dk/resources/bsgatlas/details.php?id=BSGatlas-transcript-4199","BSGatlas-transcript-4199")</f>
        <v>BSGatlas-transcript-4199</v>
      </c>
      <c r="B4200" s="1" t="s">
        <v>3888</v>
      </c>
      <c r="C4200" s="3">
        <v>3750709</v>
      </c>
      <c r="D4200" s="3">
        <v>3752225</v>
      </c>
      <c r="E4200" s="1" t="s">
        <v>13</v>
      </c>
      <c r="F4200" s="1">
        <v>0</v>
      </c>
      <c r="G4200" s="1" t="s">
        <v>4372</v>
      </c>
      <c r="H4200" s="1" t="s">
        <v>4372</v>
      </c>
      <c r="I4200" s="1" t="s">
        <v>4373</v>
      </c>
      <c r="J4200" s="1" t="s">
        <v>10567</v>
      </c>
      <c r="K4200" s="1" t="s">
        <v>10568</v>
      </c>
    </row>
    <row r="4201" spans="1:11" ht="21" x14ac:dyDescent="0.25">
      <c r="A4201" s="11" t="str">
        <f>HYPERLINK("https://rth.dk/resources/bsgatlas/details.php?id=BSGatlas-transcript-4200","BSGatlas-transcript-4200")</f>
        <v>BSGatlas-transcript-4200</v>
      </c>
      <c r="B4201" s="1" t="s">
        <v>3888</v>
      </c>
      <c r="C4201" s="3">
        <v>3750768</v>
      </c>
      <c r="D4201" s="3">
        <v>3752225</v>
      </c>
      <c r="E4201" s="1" t="s">
        <v>13</v>
      </c>
      <c r="F4201" s="1">
        <v>0</v>
      </c>
      <c r="G4201" s="1" t="s">
        <v>4372</v>
      </c>
      <c r="H4201" s="1" t="s">
        <v>4372</v>
      </c>
      <c r="I4201" s="1" t="s">
        <v>4373</v>
      </c>
      <c r="J4201" s="1" t="s">
        <v>10567</v>
      </c>
      <c r="K4201" s="1" t="s">
        <v>10569</v>
      </c>
    </row>
    <row r="4202" spans="1:11" ht="21" x14ac:dyDescent="0.25">
      <c r="A4202" s="11" t="str">
        <f>HYPERLINK("https://rth.dk/resources/bsgatlas/details.php?id=BSGatlas-transcript-4201","BSGatlas-transcript-4201")</f>
        <v>BSGatlas-transcript-4201</v>
      </c>
      <c r="B4202" s="1" t="s">
        <v>3889</v>
      </c>
      <c r="C4202" s="3">
        <v>3752246</v>
      </c>
      <c r="D4202" s="3">
        <v>3753814</v>
      </c>
      <c r="E4202" s="1" t="s">
        <v>13</v>
      </c>
      <c r="F4202" s="1">
        <v>0</v>
      </c>
      <c r="G4202" s="1" t="s">
        <v>4372</v>
      </c>
      <c r="H4202" s="1" t="s">
        <v>4372</v>
      </c>
      <c r="I4202" s="1" t="s">
        <v>4373</v>
      </c>
      <c r="J4202" s="1" t="s">
        <v>10570</v>
      </c>
      <c r="K4202" s="1" t="s">
        <v>10571</v>
      </c>
    </row>
    <row r="4203" spans="1:11" ht="21" x14ac:dyDescent="0.25">
      <c r="A4203" s="11" t="str">
        <f>HYPERLINK("https://rth.dk/resources/bsgatlas/details.php?id=BSGatlas-transcript-4202","BSGatlas-transcript-4202")</f>
        <v>BSGatlas-transcript-4202</v>
      </c>
      <c r="B4203" s="1" t="s">
        <v>3890</v>
      </c>
      <c r="C4203" s="3">
        <v>3753890</v>
      </c>
      <c r="D4203" s="3">
        <v>3755291</v>
      </c>
      <c r="E4203" s="1" t="s">
        <v>13</v>
      </c>
      <c r="F4203" s="1">
        <v>0</v>
      </c>
      <c r="G4203" s="1" t="s">
        <v>4372</v>
      </c>
      <c r="H4203" s="1" t="s">
        <v>4372</v>
      </c>
      <c r="I4203" s="1" t="s">
        <v>4382</v>
      </c>
      <c r="J4203" s="1" t="s">
        <v>318</v>
      </c>
      <c r="K4203" s="1" t="s">
        <v>10572</v>
      </c>
    </row>
    <row r="4204" spans="1:11" ht="21" x14ac:dyDescent="0.25">
      <c r="A4204" s="11" t="str">
        <f>HYPERLINK("https://rth.dk/resources/bsgatlas/details.php?id=BSGatlas-transcript-4203","BSGatlas-transcript-4203")</f>
        <v>BSGatlas-transcript-4203</v>
      </c>
      <c r="B4204" s="1" t="s">
        <v>10573</v>
      </c>
      <c r="C4204" s="3">
        <v>3753890</v>
      </c>
      <c r="D4204" s="3">
        <v>3755897</v>
      </c>
      <c r="E4204" s="1" t="s">
        <v>13</v>
      </c>
      <c r="F4204" s="1">
        <v>0</v>
      </c>
      <c r="G4204" s="1" t="s">
        <v>4372</v>
      </c>
      <c r="H4204" s="1" t="s">
        <v>4372</v>
      </c>
      <c r="I4204" s="1" t="s">
        <v>4377</v>
      </c>
      <c r="J4204" s="1" t="s">
        <v>10574</v>
      </c>
      <c r="K4204" s="1" t="s">
        <v>10572</v>
      </c>
    </row>
    <row r="4205" spans="1:11" ht="21" x14ac:dyDescent="0.25">
      <c r="A4205" s="11" t="str">
        <f>HYPERLINK("https://rth.dk/resources/bsgatlas/details.php?id=BSGatlas-transcript-4204","BSGatlas-transcript-4204")</f>
        <v>BSGatlas-transcript-4204</v>
      </c>
      <c r="B4205" s="1" t="s">
        <v>10575</v>
      </c>
      <c r="C4205" s="3">
        <v>3753890</v>
      </c>
      <c r="D4205" s="3">
        <v>3756541</v>
      </c>
      <c r="E4205" s="1" t="s">
        <v>13</v>
      </c>
      <c r="F4205" s="1">
        <v>1</v>
      </c>
      <c r="G4205" s="1">
        <v>34</v>
      </c>
      <c r="H4205" s="1">
        <v>44</v>
      </c>
      <c r="I4205" s="1" t="s">
        <v>4397</v>
      </c>
      <c r="J4205" s="1" t="s">
        <v>10576</v>
      </c>
      <c r="K4205" s="1" t="s">
        <v>10572</v>
      </c>
    </row>
    <row r="4206" spans="1:11" ht="21" x14ac:dyDescent="0.25">
      <c r="A4206" s="11" t="str">
        <f>HYPERLINK("https://rth.dk/resources/bsgatlas/details.php?id=BSGatlas-transcript-4205","BSGatlas-transcript-4205")</f>
        <v>BSGatlas-transcript-4205</v>
      </c>
      <c r="B4206" s="1" t="s">
        <v>10575</v>
      </c>
      <c r="C4206" s="3">
        <v>3753890</v>
      </c>
      <c r="D4206" s="3">
        <v>3757621</v>
      </c>
      <c r="E4206" s="1" t="s">
        <v>13</v>
      </c>
      <c r="F4206" s="1">
        <v>1</v>
      </c>
      <c r="G4206" s="1">
        <v>1114</v>
      </c>
      <c r="H4206" s="1">
        <v>44</v>
      </c>
      <c r="I4206" s="1" t="s">
        <v>4397</v>
      </c>
      <c r="J4206" s="1" t="s">
        <v>10577</v>
      </c>
      <c r="K4206" s="1" t="s">
        <v>10572</v>
      </c>
    </row>
    <row r="4207" spans="1:11" ht="21" x14ac:dyDescent="0.25">
      <c r="A4207" s="11" t="str">
        <f>HYPERLINK("https://rth.dk/resources/bsgatlas/details.php?id=BSGatlas-transcript-4206","BSGatlas-transcript-4206")</f>
        <v>BSGatlas-transcript-4206</v>
      </c>
      <c r="B4207" s="1" t="s">
        <v>10578</v>
      </c>
      <c r="C4207" s="3">
        <v>3756745</v>
      </c>
      <c r="D4207" s="3">
        <v>3758413</v>
      </c>
      <c r="E4207" s="1" t="s">
        <v>9</v>
      </c>
      <c r="F4207" s="1">
        <v>0</v>
      </c>
      <c r="G4207" s="1" t="s">
        <v>4372</v>
      </c>
      <c r="H4207" s="1" t="s">
        <v>4372</v>
      </c>
      <c r="I4207" s="1" t="s">
        <v>4373</v>
      </c>
      <c r="J4207" s="1" t="s">
        <v>10579</v>
      </c>
      <c r="K4207" s="1" t="s">
        <v>10580</v>
      </c>
    </row>
    <row r="4208" spans="1:11" ht="21" x14ac:dyDescent="0.25">
      <c r="A4208" s="11" t="str">
        <f>HYPERLINK("https://rth.dk/resources/bsgatlas/details.php?id=BSGatlas-transcript-4207","BSGatlas-transcript-4207")</f>
        <v>BSGatlas-transcript-4207</v>
      </c>
      <c r="B4208" s="1" t="s">
        <v>3894</v>
      </c>
      <c r="C4208" s="3">
        <v>3757892</v>
      </c>
      <c r="D4208" s="3">
        <v>3758413</v>
      </c>
      <c r="E4208" s="1" t="s">
        <v>9</v>
      </c>
      <c r="F4208" s="1">
        <v>0</v>
      </c>
      <c r="G4208" s="1" t="s">
        <v>4372</v>
      </c>
      <c r="H4208" s="1" t="s">
        <v>4372</v>
      </c>
      <c r="I4208" s="1" t="s">
        <v>4377</v>
      </c>
      <c r="J4208" s="1" t="s">
        <v>10581</v>
      </c>
      <c r="K4208" s="1" t="s">
        <v>10580</v>
      </c>
    </row>
    <row r="4209" spans="1:11" ht="21" x14ac:dyDescent="0.25">
      <c r="A4209" s="11" t="str">
        <f>HYPERLINK("https://rth.dk/resources/bsgatlas/details.php?id=BSGatlas-transcript-4208","BSGatlas-transcript-4208")</f>
        <v>BSGatlas-transcript-4208</v>
      </c>
      <c r="B4209" s="1" t="s">
        <v>3895</v>
      </c>
      <c r="C4209" s="3">
        <v>3758447</v>
      </c>
      <c r="D4209" s="3">
        <v>3759128</v>
      </c>
      <c r="E4209" s="1" t="s">
        <v>9</v>
      </c>
      <c r="F4209" s="1">
        <v>0</v>
      </c>
      <c r="G4209" s="1" t="s">
        <v>4372</v>
      </c>
      <c r="H4209" s="1" t="s">
        <v>4372</v>
      </c>
      <c r="I4209" s="1" t="s">
        <v>4373</v>
      </c>
      <c r="J4209" s="1" t="s">
        <v>10582</v>
      </c>
      <c r="K4209" s="1" t="s">
        <v>10583</v>
      </c>
    </row>
    <row r="4210" spans="1:11" ht="21" x14ac:dyDescent="0.25">
      <c r="A4210" s="11" t="str">
        <f>HYPERLINK("https://rth.dk/resources/bsgatlas/details.php?id=BSGatlas-transcript-4209","BSGatlas-transcript-4209")</f>
        <v>BSGatlas-transcript-4209</v>
      </c>
      <c r="B4210" s="1" t="s">
        <v>3895</v>
      </c>
      <c r="C4210" s="3">
        <v>3758447</v>
      </c>
      <c r="D4210" s="3">
        <v>3759182</v>
      </c>
      <c r="E4210" s="1" t="s">
        <v>9</v>
      </c>
      <c r="F4210" s="1">
        <v>0</v>
      </c>
      <c r="G4210" s="1" t="s">
        <v>4372</v>
      </c>
      <c r="H4210" s="1" t="s">
        <v>4372</v>
      </c>
      <c r="I4210" s="1" t="s">
        <v>4373</v>
      </c>
      <c r="J4210" s="1" t="s">
        <v>10582</v>
      </c>
      <c r="K4210" s="1" t="s">
        <v>10584</v>
      </c>
    </row>
    <row r="4211" spans="1:11" ht="21" x14ac:dyDescent="0.25">
      <c r="A4211" s="11" t="str">
        <f>HYPERLINK("https://rth.dk/resources/bsgatlas/details.php?id=BSGatlas-transcript-4210","BSGatlas-transcript-4210")</f>
        <v>BSGatlas-transcript-4210</v>
      </c>
      <c r="B4211" s="1" t="s">
        <v>3895</v>
      </c>
      <c r="C4211" s="3">
        <v>3758522</v>
      </c>
      <c r="D4211" s="3">
        <v>3759128</v>
      </c>
      <c r="E4211" s="1" t="s">
        <v>9</v>
      </c>
      <c r="F4211" s="1">
        <v>0</v>
      </c>
      <c r="G4211" s="1" t="s">
        <v>4372</v>
      </c>
      <c r="H4211" s="1" t="s">
        <v>4372</v>
      </c>
      <c r="I4211" s="1" t="s">
        <v>4373</v>
      </c>
      <c r="J4211" s="1" t="s">
        <v>10585</v>
      </c>
      <c r="K4211" s="1" t="s">
        <v>10583</v>
      </c>
    </row>
    <row r="4212" spans="1:11" ht="21" x14ac:dyDescent="0.25">
      <c r="A4212" s="11" t="str">
        <f>HYPERLINK("https://rth.dk/resources/bsgatlas/details.php?id=BSGatlas-transcript-4211","BSGatlas-transcript-4211")</f>
        <v>BSGatlas-transcript-4211</v>
      </c>
      <c r="B4212" s="1" t="s">
        <v>3895</v>
      </c>
      <c r="C4212" s="3">
        <v>3758522</v>
      </c>
      <c r="D4212" s="3">
        <v>3759182</v>
      </c>
      <c r="E4212" s="1" t="s">
        <v>9</v>
      </c>
      <c r="F4212" s="1">
        <v>0</v>
      </c>
      <c r="G4212" s="1" t="s">
        <v>4372</v>
      </c>
      <c r="H4212" s="1" t="s">
        <v>4372</v>
      </c>
      <c r="I4212" s="1" t="s">
        <v>4373</v>
      </c>
      <c r="J4212" s="1" t="s">
        <v>10585</v>
      </c>
      <c r="K4212" s="1" t="s">
        <v>10584</v>
      </c>
    </row>
    <row r="4213" spans="1:11" ht="21" x14ac:dyDescent="0.25">
      <c r="A4213" s="11" t="str">
        <f>HYPERLINK("https://rth.dk/resources/bsgatlas/details.php?id=BSGatlas-transcript-4212","BSGatlas-transcript-4212")</f>
        <v>BSGatlas-transcript-4212</v>
      </c>
      <c r="B4213" s="1" t="s">
        <v>3896</v>
      </c>
      <c r="C4213" s="3">
        <v>3759125</v>
      </c>
      <c r="D4213" s="3">
        <v>3759627</v>
      </c>
      <c r="E4213" s="1" t="s">
        <v>13</v>
      </c>
      <c r="F4213" s="1">
        <v>0</v>
      </c>
      <c r="G4213" s="1" t="s">
        <v>4372</v>
      </c>
      <c r="H4213" s="1" t="s">
        <v>4372</v>
      </c>
      <c r="I4213" s="1" t="s">
        <v>4373</v>
      </c>
      <c r="J4213" s="1" t="s">
        <v>10586</v>
      </c>
      <c r="K4213" s="1" t="s">
        <v>10587</v>
      </c>
    </row>
    <row r="4214" spans="1:11" ht="21" x14ac:dyDescent="0.25">
      <c r="A4214" s="11" t="str">
        <f>HYPERLINK("https://rth.dk/resources/bsgatlas/details.php?id=BSGatlas-transcript-4213","BSGatlas-transcript-4213")</f>
        <v>BSGatlas-transcript-4213</v>
      </c>
      <c r="B4214" s="1" t="s">
        <v>3896</v>
      </c>
      <c r="C4214" s="3">
        <v>3759125</v>
      </c>
      <c r="D4214" s="3">
        <v>3759678</v>
      </c>
      <c r="E4214" s="1" t="s">
        <v>13</v>
      </c>
      <c r="F4214" s="1">
        <v>0</v>
      </c>
      <c r="G4214" s="1" t="s">
        <v>4372</v>
      </c>
      <c r="H4214" s="1" t="s">
        <v>4372</v>
      </c>
      <c r="I4214" s="1" t="s">
        <v>4373</v>
      </c>
      <c r="J4214" s="1" t="s">
        <v>10588</v>
      </c>
      <c r="K4214" s="1" t="s">
        <v>10587</v>
      </c>
    </row>
    <row r="4215" spans="1:11" ht="21" x14ac:dyDescent="0.25">
      <c r="A4215" s="11" t="str">
        <f>HYPERLINK("https://rth.dk/resources/bsgatlas/details.php?id=BSGatlas-transcript-4214","BSGatlas-transcript-4214")</f>
        <v>BSGatlas-transcript-4214</v>
      </c>
      <c r="B4215" s="1" t="s">
        <v>3897</v>
      </c>
      <c r="C4215" s="3">
        <v>3759657</v>
      </c>
      <c r="D4215" s="3">
        <v>3760553</v>
      </c>
      <c r="E4215" s="1" t="s">
        <v>13</v>
      </c>
      <c r="F4215" s="1">
        <v>0</v>
      </c>
      <c r="G4215" s="1" t="s">
        <v>4372</v>
      </c>
      <c r="H4215" s="1" t="s">
        <v>4372</v>
      </c>
      <c r="I4215" s="1" t="s">
        <v>4373</v>
      </c>
      <c r="J4215" s="1" t="s">
        <v>10589</v>
      </c>
      <c r="K4215" s="1" t="s">
        <v>10590</v>
      </c>
    </row>
    <row r="4216" spans="1:11" ht="21" x14ac:dyDescent="0.25">
      <c r="A4216" s="11" t="str">
        <f>HYPERLINK("https://rth.dk/resources/bsgatlas/details.php?id=BSGatlas-transcript-4215","BSGatlas-transcript-4215")</f>
        <v>BSGatlas-transcript-4215</v>
      </c>
      <c r="B4216" s="1" t="s">
        <v>3897</v>
      </c>
      <c r="C4216" s="3">
        <v>3759702</v>
      </c>
      <c r="D4216" s="3">
        <v>3760553</v>
      </c>
      <c r="E4216" s="1" t="s">
        <v>13</v>
      </c>
      <c r="F4216" s="1">
        <v>0</v>
      </c>
      <c r="G4216" s="1" t="s">
        <v>4372</v>
      </c>
      <c r="H4216" s="1" t="s">
        <v>4372</v>
      </c>
      <c r="I4216" s="1" t="s">
        <v>4373</v>
      </c>
      <c r="J4216" s="1" t="s">
        <v>10589</v>
      </c>
      <c r="K4216" s="1" t="s">
        <v>10591</v>
      </c>
    </row>
    <row r="4217" spans="1:11" ht="21" x14ac:dyDescent="0.25">
      <c r="A4217" s="11" t="str">
        <f>HYPERLINK("https://rth.dk/resources/bsgatlas/details.php?id=BSGatlas-transcript-4216","BSGatlas-transcript-4216")</f>
        <v>BSGatlas-transcript-4216</v>
      </c>
      <c r="B4217" s="1" t="s">
        <v>10592</v>
      </c>
      <c r="C4217" s="3">
        <v>3760210</v>
      </c>
      <c r="D4217" s="3">
        <v>3761700</v>
      </c>
      <c r="E4217" s="1" t="s">
        <v>9</v>
      </c>
      <c r="F4217" s="1">
        <v>0</v>
      </c>
      <c r="G4217" s="1" t="s">
        <v>4372</v>
      </c>
      <c r="H4217" s="1" t="s">
        <v>4372</v>
      </c>
      <c r="I4217" s="1" t="s">
        <v>4386</v>
      </c>
      <c r="J4217" s="1" t="s">
        <v>10593</v>
      </c>
      <c r="K4217" s="1" t="s">
        <v>10594</v>
      </c>
    </row>
    <row r="4218" spans="1:11" ht="21" x14ac:dyDescent="0.25">
      <c r="A4218" s="11" t="str">
        <f>HYPERLINK("https://rth.dk/resources/bsgatlas/details.php?id=BSGatlas-transcript-4217","BSGatlas-transcript-4217")</f>
        <v>BSGatlas-transcript-4217</v>
      </c>
      <c r="B4218" s="1" t="s">
        <v>10592</v>
      </c>
      <c r="C4218" s="3">
        <v>3760210</v>
      </c>
      <c r="D4218" s="3">
        <v>3761725</v>
      </c>
      <c r="E4218" s="1" t="s">
        <v>9</v>
      </c>
      <c r="F4218" s="1">
        <v>0</v>
      </c>
      <c r="G4218" s="1" t="s">
        <v>4372</v>
      </c>
      <c r="H4218" s="1" t="s">
        <v>4372</v>
      </c>
      <c r="I4218" s="1" t="s">
        <v>4386</v>
      </c>
      <c r="J4218" s="1" t="s">
        <v>10593</v>
      </c>
      <c r="K4218" s="1" t="s">
        <v>10595</v>
      </c>
    </row>
    <row r="4219" spans="1:11" ht="21" x14ac:dyDescent="0.25">
      <c r="A4219" s="11" t="str">
        <f>HYPERLINK("https://rth.dk/resources/bsgatlas/details.php?id=BSGatlas-transcript-4218","BSGatlas-transcript-4218")</f>
        <v>BSGatlas-transcript-4218</v>
      </c>
      <c r="B4219" s="1" t="s">
        <v>10592</v>
      </c>
      <c r="C4219" s="3">
        <v>3760558</v>
      </c>
      <c r="D4219" s="3">
        <v>3761700</v>
      </c>
      <c r="E4219" s="1" t="s">
        <v>9</v>
      </c>
      <c r="F4219" s="1">
        <v>0</v>
      </c>
      <c r="G4219" s="1" t="s">
        <v>4372</v>
      </c>
      <c r="H4219" s="1" t="s">
        <v>4372</v>
      </c>
      <c r="I4219" s="1" t="s">
        <v>4386</v>
      </c>
      <c r="J4219" s="1" t="s">
        <v>10596</v>
      </c>
      <c r="K4219" s="1" t="s">
        <v>10594</v>
      </c>
    </row>
    <row r="4220" spans="1:11" ht="21" x14ac:dyDescent="0.25">
      <c r="A4220" s="11" t="str">
        <f>HYPERLINK("https://rth.dk/resources/bsgatlas/details.php?id=BSGatlas-transcript-4219","BSGatlas-transcript-4219")</f>
        <v>BSGatlas-transcript-4219</v>
      </c>
      <c r="B4220" s="1" t="s">
        <v>10592</v>
      </c>
      <c r="C4220" s="3">
        <v>3760558</v>
      </c>
      <c r="D4220" s="3">
        <v>3761725</v>
      </c>
      <c r="E4220" s="1" t="s">
        <v>9</v>
      </c>
      <c r="F4220" s="1">
        <v>0</v>
      </c>
      <c r="G4220" s="1" t="s">
        <v>4372</v>
      </c>
      <c r="H4220" s="1" t="s">
        <v>4372</v>
      </c>
      <c r="I4220" s="1" t="s">
        <v>4386</v>
      </c>
      <c r="J4220" s="1" t="s">
        <v>10596</v>
      </c>
      <c r="K4220" s="1" t="s">
        <v>10595</v>
      </c>
    </row>
    <row r="4221" spans="1:11" ht="21" x14ac:dyDescent="0.25">
      <c r="A4221" s="11" t="str">
        <f>HYPERLINK("https://rth.dk/resources/bsgatlas/details.php?id=BSGatlas-transcript-4220","BSGatlas-transcript-4220")</f>
        <v>BSGatlas-transcript-4220</v>
      </c>
      <c r="B4221" s="1" t="s">
        <v>3899</v>
      </c>
      <c r="C4221" s="3">
        <v>3760955</v>
      </c>
      <c r="D4221" s="3">
        <v>3761700</v>
      </c>
      <c r="E4221" s="1" t="s">
        <v>9</v>
      </c>
      <c r="F4221" s="1">
        <v>0</v>
      </c>
      <c r="G4221" s="1" t="s">
        <v>4372</v>
      </c>
      <c r="H4221" s="1" t="s">
        <v>4372</v>
      </c>
      <c r="I4221" s="1" t="s">
        <v>4377</v>
      </c>
      <c r="J4221" s="1" t="s">
        <v>10597</v>
      </c>
      <c r="K4221" s="1" t="s">
        <v>10594</v>
      </c>
    </row>
    <row r="4222" spans="1:11" ht="21" x14ac:dyDescent="0.25">
      <c r="A4222" s="11" t="str">
        <f>HYPERLINK("https://rth.dk/resources/bsgatlas/details.php?id=BSGatlas-transcript-4221","BSGatlas-transcript-4221")</f>
        <v>BSGatlas-transcript-4221</v>
      </c>
      <c r="B4222" s="1" t="s">
        <v>3899</v>
      </c>
      <c r="C4222" s="3">
        <v>3760955</v>
      </c>
      <c r="D4222" s="3">
        <v>3761725</v>
      </c>
      <c r="E4222" s="1" t="s">
        <v>9</v>
      </c>
      <c r="F4222" s="1">
        <v>0</v>
      </c>
      <c r="G4222" s="1" t="s">
        <v>4372</v>
      </c>
      <c r="H4222" s="1" t="s">
        <v>4372</v>
      </c>
      <c r="I4222" s="1" t="s">
        <v>4377</v>
      </c>
      <c r="J4222" s="1" t="s">
        <v>10597</v>
      </c>
      <c r="K4222" s="1" t="s">
        <v>10595</v>
      </c>
    </row>
    <row r="4223" spans="1:11" ht="21" x14ac:dyDescent="0.25">
      <c r="A4223" s="11" t="str">
        <f>HYPERLINK("https://rth.dk/resources/bsgatlas/details.php?id=BSGatlas-transcript-4222","BSGatlas-transcript-4222")</f>
        <v>BSGatlas-transcript-4222</v>
      </c>
      <c r="B4223" s="1" t="s">
        <v>3900</v>
      </c>
      <c r="C4223" s="3">
        <v>3761013</v>
      </c>
      <c r="D4223" s="3">
        <v>3762477</v>
      </c>
      <c r="E4223" s="1" t="s">
        <v>13</v>
      </c>
      <c r="F4223" s="1">
        <v>0</v>
      </c>
      <c r="G4223" s="1" t="s">
        <v>4372</v>
      </c>
      <c r="H4223" s="1" t="s">
        <v>4372</v>
      </c>
      <c r="I4223" s="1" t="s">
        <v>4373</v>
      </c>
      <c r="J4223" s="1" t="s">
        <v>10598</v>
      </c>
      <c r="K4223" s="1" t="s">
        <v>10599</v>
      </c>
    </row>
    <row r="4224" spans="1:11" ht="21" x14ac:dyDescent="0.25">
      <c r="A4224" s="11" t="str">
        <f>HYPERLINK("https://rth.dk/resources/bsgatlas/details.php?id=BSGatlas-transcript-4223","BSGatlas-transcript-4223")</f>
        <v>BSGatlas-transcript-4223</v>
      </c>
      <c r="B4224" s="1" t="s">
        <v>3900</v>
      </c>
      <c r="C4224" s="3">
        <v>3761013</v>
      </c>
      <c r="D4224" s="3">
        <v>3762776</v>
      </c>
      <c r="E4224" s="1" t="s">
        <v>13</v>
      </c>
      <c r="F4224" s="1">
        <v>0</v>
      </c>
      <c r="G4224" s="1" t="s">
        <v>4372</v>
      </c>
      <c r="H4224" s="1" t="s">
        <v>4372</v>
      </c>
      <c r="I4224" s="1" t="s">
        <v>4373</v>
      </c>
      <c r="J4224" s="1" t="s">
        <v>10600</v>
      </c>
      <c r="K4224" s="1" t="s">
        <v>10599</v>
      </c>
    </row>
    <row r="4225" spans="1:11" ht="21" x14ac:dyDescent="0.25">
      <c r="A4225" s="11" t="str">
        <f>HYPERLINK("https://rth.dk/resources/bsgatlas/details.php?id=BSGatlas-transcript-4224","BSGatlas-transcript-4224")</f>
        <v>BSGatlas-transcript-4224</v>
      </c>
      <c r="B4225" s="1" t="s">
        <v>3900</v>
      </c>
      <c r="C4225" s="3">
        <v>3761013</v>
      </c>
      <c r="D4225" s="3">
        <v>3763121</v>
      </c>
      <c r="E4225" s="1" t="s">
        <v>13</v>
      </c>
      <c r="F4225" s="1">
        <v>0</v>
      </c>
      <c r="G4225" s="1" t="s">
        <v>4372</v>
      </c>
      <c r="H4225" s="1" t="s">
        <v>4372</v>
      </c>
      <c r="I4225" s="1" t="s">
        <v>4373</v>
      </c>
      <c r="J4225" s="1" t="s">
        <v>10601</v>
      </c>
      <c r="K4225" s="1" t="s">
        <v>10599</v>
      </c>
    </row>
    <row r="4226" spans="1:11" ht="21" x14ac:dyDescent="0.25">
      <c r="A4226" s="11" t="str">
        <f>HYPERLINK("https://rth.dk/resources/bsgatlas/details.php?id=BSGatlas-transcript-4225","BSGatlas-transcript-4225")</f>
        <v>BSGatlas-transcript-4225</v>
      </c>
      <c r="B4226" s="1" t="s">
        <v>3900</v>
      </c>
      <c r="C4226" s="3">
        <v>3761923</v>
      </c>
      <c r="D4226" s="3">
        <v>3762477</v>
      </c>
      <c r="E4226" s="1" t="s">
        <v>13</v>
      </c>
      <c r="F4226" s="1">
        <v>0</v>
      </c>
      <c r="G4226" s="1" t="s">
        <v>4372</v>
      </c>
      <c r="H4226" s="1" t="s">
        <v>4372</v>
      </c>
      <c r="I4226" s="1" t="s">
        <v>4373</v>
      </c>
      <c r="J4226" s="1" t="s">
        <v>10598</v>
      </c>
      <c r="K4226" s="1" t="s">
        <v>10602</v>
      </c>
    </row>
    <row r="4227" spans="1:11" ht="21" x14ac:dyDescent="0.25">
      <c r="A4227" s="11" t="str">
        <f>HYPERLINK("https://rth.dk/resources/bsgatlas/details.php?id=BSGatlas-transcript-4226","BSGatlas-transcript-4226")</f>
        <v>BSGatlas-transcript-4226</v>
      </c>
      <c r="B4227" s="1" t="s">
        <v>3900</v>
      </c>
      <c r="C4227" s="3">
        <v>3761923</v>
      </c>
      <c r="D4227" s="3">
        <v>3762776</v>
      </c>
      <c r="E4227" s="1" t="s">
        <v>13</v>
      </c>
      <c r="F4227" s="1">
        <v>0</v>
      </c>
      <c r="G4227" s="1" t="s">
        <v>4372</v>
      </c>
      <c r="H4227" s="1" t="s">
        <v>4372</v>
      </c>
      <c r="I4227" s="1" t="s">
        <v>4373</v>
      </c>
      <c r="J4227" s="1" t="s">
        <v>10600</v>
      </c>
      <c r="K4227" s="1" t="s">
        <v>10602</v>
      </c>
    </row>
    <row r="4228" spans="1:11" ht="21" x14ac:dyDescent="0.25">
      <c r="A4228" s="11" t="str">
        <f>HYPERLINK("https://rth.dk/resources/bsgatlas/details.php?id=BSGatlas-transcript-4227","BSGatlas-transcript-4227")</f>
        <v>BSGatlas-transcript-4227</v>
      </c>
      <c r="B4228" s="1" t="s">
        <v>3900</v>
      </c>
      <c r="C4228" s="3">
        <v>3761923</v>
      </c>
      <c r="D4228" s="3">
        <v>3763121</v>
      </c>
      <c r="E4228" s="1" t="s">
        <v>13</v>
      </c>
      <c r="F4228" s="1">
        <v>0</v>
      </c>
      <c r="G4228" s="1" t="s">
        <v>4372</v>
      </c>
      <c r="H4228" s="1" t="s">
        <v>4372</v>
      </c>
      <c r="I4228" s="1" t="s">
        <v>4373</v>
      </c>
      <c r="J4228" s="1" t="s">
        <v>10601</v>
      </c>
      <c r="K4228" s="1" t="s">
        <v>10602</v>
      </c>
    </row>
    <row r="4229" spans="1:11" ht="21" x14ac:dyDescent="0.25">
      <c r="A4229" s="11" t="str">
        <f>HYPERLINK("https://rth.dk/resources/bsgatlas/details.php?id=BSGatlas-transcript-4228","BSGatlas-transcript-4228")</f>
        <v>BSGatlas-transcript-4228</v>
      </c>
      <c r="B4229" s="1" t="s">
        <v>3901</v>
      </c>
      <c r="C4229" s="3">
        <v>3762584</v>
      </c>
      <c r="D4229" s="3">
        <v>3764112</v>
      </c>
      <c r="E4229" s="1" t="s">
        <v>9</v>
      </c>
      <c r="F4229" s="1">
        <v>0</v>
      </c>
      <c r="G4229" s="1" t="s">
        <v>4372</v>
      </c>
      <c r="H4229" s="1" t="s">
        <v>4372</v>
      </c>
      <c r="I4229" s="1" t="s">
        <v>4397</v>
      </c>
      <c r="J4229" s="1" t="s">
        <v>10603</v>
      </c>
      <c r="K4229" s="1" t="s">
        <v>10604</v>
      </c>
    </row>
    <row r="4230" spans="1:11" ht="21" x14ac:dyDescent="0.25">
      <c r="A4230" s="11" t="str">
        <f>HYPERLINK("https://rth.dk/resources/bsgatlas/details.php?id=BSGatlas-transcript-4229","BSGatlas-transcript-4229")</f>
        <v>BSGatlas-transcript-4229</v>
      </c>
      <c r="B4230" s="1" t="s">
        <v>3902</v>
      </c>
      <c r="C4230" s="3">
        <v>3764108</v>
      </c>
      <c r="D4230" s="3">
        <v>3764921</v>
      </c>
      <c r="E4230" s="1" t="s">
        <v>13</v>
      </c>
      <c r="F4230" s="1">
        <v>0</v>
      </c>
      <c r="G4230" s="1" t="s">
        <v>4372</v>
      </c>
      <c r="H4230" s="1" t="s">
        <v>4372</v>
      </c>
      <c r="I4230" s="1" t="s">
        <v>4373</v>
      </c>
      <c r="J4230" s="1" t="s">
        <v>10605</v>
      </c>
      <c r="K4230" s="1" t="s">
        <v>10606</v>
      </c>
    </row>
    <row r="4231" spans="1:11" ht="21" x14ac:dyDescent="0.25">
      <c r="A4231" s="11" t="str">
        <f>HYPERLINK("https://rth.dk/resources/bsgatlas/details.php?id=BSGatlas-transcript-4230","BSGatlas-transcript-4230")</f>
        <v>BSGatlas-transcript-4230</v>
      </c>
      <c r="B4231" s="1" t="s">
        <v>3903</v>
      </c>
      <c r="C4231" s="3">
        <v>3765004</v>
      </c>
      <c r="D4231" s="3">
        <v>3765434</v>
      </c>
      <c r="E4231" s="1" t="s">
        <v>9</v>
      </c>
      <c r="F4231" s="1">
        <v>0</v>
      </c>
      <c r="G4231" s="1" t="s">
        <v>4372</v>
      </c>
      <c r="H4231" s="1" t="s">
        <v>4372</v>
      </c>
      <c r="I4231" s="1" t="s">
        <v>4397</v>
      </c>
      <c r="J4231" s="1" t="s">
        <v>10607</v>
      </c>
      <c r="K4231" s="1" t="s">
        <v>10608</v>
      </c>
    </row>
    <row r="4232" spans="1:11" ht="21" x14ac:dyDescent="0.25">
      <c r="A4232" s="11" t="str">
        <f>HYPERLINK("https://rth.dk/resources/bsgatlas/details.php?id=BSGatlas-transcript-4231","BSGatlas-transcript-4231")</f>
        <v>BSGatlas-transcript-4231</v>
      </c>
      <c r="B4232" s="1" t="s">
        <v>3904</v>
      </c>
      <c r="C4232" s="3">
        <v>3765429</v>
      </c>
      <c r="D4232" s="3">
        <v>3766110</v>
      </c>
      <c r="E4232" s="1" t="s">
        <v>13</v>
      </c>
      <c r="F4232" s="1">
        <v>0</v>
      </c>
      <c r="G4232" s="1" t="s">
        <v>4372</v>
      </c>
      <c r="H4232" s="1" t="s">
        <v>4372</v>
      </c>
      <c r="I4232" s="1" t="s">
        <v>4382</v>
      </c>
      <c r="J4232" s="1" t="s">
        <v>318</v>
      </c>
      <c r="K4232" s="1" t="s">
        <v>10609</v>
      </c>
    </row>
    <row r="4233" spans="1:11" ht="21" x14ac:dyDescent="0.25">
      <c r="A4233" s="11" t="str">
        <f>HYPERLINK("https://rth.dk/resources/bsgatlas/details.php?id=BSGatlas-transcript-4232","BSGatlas-transcript-4232")</f>
        <v>BSGatlas-transcript-4232</v>
      </c>
      <c r="B4233" s="1" t="s">
        <v>10610</v>
      </c>
      <c r="C4233" s="3">
        <v>3765429</v>
      </c>
      <c r="D4233" s="3">
        <v>3766638</v>
      </c>
      <c r="E4233" s="1" t="s">
        <v>13</v>
      </c>
      <c r="F4233" s="1">
        <v>1</v>
      </c>
      <c r="G4233" s="1">
        <v>60</v>
      </c>
      <c r="H4233" s="1">
        <v>41</v>
      </c>
      <c r="I4233" s="1" t="s">
        <v>4386</v>
      </c>
      <c r="J4233" s="1" t="s">
        <v>10611</v>
      </c>
      <c r="K4233" s="1" t="s">
        <v>10609</v>
      </c>
    </row>
    <row r="4234" spans="1:11" ht="21" x14ac:dyDescent="0.25">
      <c r="A4234" s="11" t="str">
        <f>HYPERLINK("https://rth.dk/resources/bsgatlas/details.php?id=BSGatlas-transcript-4233","BSGatlas-transcript-4233")</f>
        <v>BSGatlas-transcript-4233</v>
      </c>
      <c r="B4234" s="1" t="s">
        <v>3904</v>
      </c>
      <c r="C4234" s="3">
        <v>3765469</v>
      </c>
      <c r="D4234" s="3">
        <v>3766110</v>
      </c>
      <c r="E4234" s="1" t="s">
        <v>13</v>
      </c>
      <c r="F4234" s="1">
        <v>0</v>
      </c>
      <c r="G4234" s="1" t="s">
        <v>4372</v>
      </c>
      <c r="H4234" s="1" t="s">
        <v>4372</v>
      </c>
      <c r="I4234" s="1" t="s">
        <v>4382</v>
      </c>
      <c r="J4234" s="1" t="s">
        <v>318</v>
      </c>
      <c r="K4234" s="1" t="s">
        <v>10612</v>
      </c>
    </row>
    <row r="4235" spans="1:11" ht="21" x14ac:dyDescent="0.25">
      <c r="A4235" s="11" t="str">
        <f>HYPERLINK("https://rth.dk/resources/bsgatlas/details.php?id=BSGatlas-transcript-4234","BSGatlas-transcript-4234")</f>
        <v>BSGatlas-transcript-4234</v>
      </c>
      <c r="B4235" s="1" t="s">
        <v>10610</v>
      </c>
      <c r="C4235" s="3">
        <v>3765469</v>
      </c>
      <c r="D4235" s="3">
        <v>3766638</v>
      </c>
      <c r="E4235" s="1" t="s">
        <v>13</v>
      </c>
      <c r="F4235" s="1">
        <v>1</v>
      </c>
      <c r="G4235" s="1">
        <v>60</v>
      </c>
      <c r="H4235" s="1" t="s">
        <v>4372</v>
      </c>
      <c r="I4235" s="1" t="s">
        <v>4386</v>
      </c>
      <c r="J4235" s="1" t="s">
        <v>10611</v>
      </c>
      <c r="K4235" s="1" t="s">
        <v>10612</v>
      </c>
    </row>
    <row r="4236" spans="1:11" ht="21" x14ac:dyDescent="0.25">
      <c r="A4236" s="11" t="str">
        <f>HYPERLINK("https://rth.dk/resources/bsgatlas/details.php?id=BSGatlas-transcript-4235","BSGatlas-transcript-4235")</f>
        <v>BSGatlas-transcript-4235</v>
      </c>
      <c r="B4236" s="1" t="s">
        <v>10613</v>
      </c>
      <c r="C4236" s="3">
        <v>3766671</v>
      </c>
      <c r="D4236" s="3">
        <v>3769193</v>
      </c>
      <c r="E4236" s="1" t="s">
        <v>13</v>
      </c>
      <c r="F4236" s="1">
        <v>0</v>
      </c>
      <c r="G4236" s="1" t="s">
        <v>4372</v>
      </c>
      <c r="H4236" s="1" t="s">
        <v>4372</v>
      </c>
      <c r="I4236" s="1" t="s">
        <v>4373</v>
      </c>
      <c r="J4236" s="1" t="s">
        <v>10614</v>
      </c>
      <c r="K4236" s="1" t="s">
        <v>10615</v>
      </c>
    </row>
    <row r="4237" spans="1:11" ht="21" x14ac:dyDescent="0.25">
      <c r="A4237" s="11" t="str">
        <f>HYPERLINK("https://rth.dk/resources/bsgatlas/details.php?id=BSGatlas-transcript-4236","BSGatlas-transcript-4236")</f>
        <v>BSGatlas-transcript-4236</v>
      </c>
      <c r="B4237" s="1" t="s">
        <v>10616</v>
      </c>
      <c r="C4237" s="3">
        <v>3766671</v>
      </c>
      <c r="D4237" s="3">
        <v>3769453</v>
      </c>
      <c r="E4237" s="1" t="s">
        <v>13</v>
      </c>
      <c r="F4237" s="1">
        <v>1</v>
      </c>
      <c r="G4237" s="1" t="s">
        <v>4372</v>
      </c>
      <c r="H4237" s="1">
        <v>44</v>
      </c>
      <c r="I4237" s="1" t="s">
        <v>4377</v>
      </c>
      <c r="J4237" s="1" t="s">
        <v>10617</v>
      </c>
      <c r="K4237" s="1" t="s">
        <v>10615</v>
      </c>
    </row>
    <row r="4238" spans="1:11" ht="21" x14ac:dyDescent="0.25">
      <c r="A4238" s="11" t="str">
        <f>HYPERLINK("https://rth.dk/resources/bsgatlas/details.php?id=BSGatlas-transcript-4237","BSGatlas-transcript-4237")</f>
        <v>BSGatlas-transcript-4237</v>
      </c>
      <c r="B4238" s="1" t="s">
        <v>10618</v>
      </c>
      <c r="C4238" s="3">
        <v>3766671</v>
      </c>
      <c r="D4238" s="3">
        <v>3769947</v>
      </c>
      <c r="E4238" s="1" t="s">
        <v>13</v>
      </c>
      <c r="F4238" s="1">
        <v>2</v>
      </c>
      <c r="G4238" s="1">
        <v>140</v>
      </c>
      <c r="H4238" s="1">
        <v>44</v>
      </c>
      <c r="I4238" s="1" t="s">
        <v>4386</v>
      </c>
      <c r="J4238" s="1" t="s">
        <v>10619</v>
      </c>
      <c r="K4238" s="1" t="s">
        <v>10615</v>
      </c>
    </row>
    <row r="4239" spans="1:11" ht="21" x14ac:dyDescent="0.25">
      <c r="A4239" s="11" t="str">
        <f>HYPERLINK("https://rth.dk/resources/bsgatlas/details.php?id=BSGatlas-transcript-4238","BSGatlas-transcript-4238")</f>
        <v>BSGatlas-transcript-4238</v>
      </c>
      <c r="B4239" s="1" t="s">
        <v>3911</v>
      </c>
      <c r="C4239" s="3">
        <v>3767978</v>
      </c>
      <c r="D4239" s="3">
        <v>3770304</v>
      </c>
      <c r="E4239" s="1" t="s">
        <v>9</v>
      </c>
      <c r="F4239" s="1">
        <v>0</v>
      </c>
      <c r="G4239" s="1" t="s">
        <v>4372</v>
      </c>
      <c r="H4239" s="1" t="s">
        <v>4372</v>
      </c>
      <c r="I4239" s="1" t="s">
        <v>4377</v>
      </c>
      <c r="J4239" s="1" t="s">
        <v>318</v>
      </c>
      <c r="K4239" s="1" t="s">
        <v>10620</v>
      </c>
    </row>
    <row r="4240" spans="1:11" ht="21" x14ac:dyDescent="0.25">
      <c r="A4240" s="11" t="str">
        <f>HYPERLINK("https://rth.dk/resources/bsgatlas/details.php?id=BSGatlas-transcript-4239","BSGatlas-transcript-4239")</f>
        <v>BSGatlas-transcript-4239</v>
      </c>
      <c r="B4240" s="1" t="s">
        <v>3912</v>
      </c>
      <c r="C4240" s="3">
        <v>3770053</v>
      </c>
      <c r="D4240" s="3">
        <v>3770329</v>
      </c>
      <c r="E4240" s="1" t="s">
        <v>13</v>
      </c>
      <c r="F4240" s="1">
        <v>0</v>
      </c>
      <c r="G4240" s="1" t="s">
        <v>4372</v>
      </c>
      <c r="H4240" s="1" t="s">
        <v>4372</v>
      </c>
      <c r="I4240" s="1" t="s">
        <v>4386</v>
      </c>
      <c r="J4240" s="1" t="s">
        <v>10621</v>
      </c>
      <c r="K4240" s="1" t="s">
        <v>10622</v>
      </c>
    </row>
    <row r="4241" spans="1:11" ht="21" x14ac:dyDescent="0.25">
      <c r="A4241" s="11" t="str">
        <f>HYPERLINK("https://rth.dk/resources/bsgatlas/details.php?id=BSGatlas-transcript-4240","BSGatlas-transcript-4240")</f>
        <v>BSGatlas-transcript-4240</v>
      </c>
      <c r="B4241" s="1" t="s">
        <v>10623</v>
      </c>
      <c r="C4241" s="3">
        <v>3770053</v>
      </c>
      <c r="D4241" s="3">
        <v>3770908</v>
      </c>
      <c r="E4241" s="1" t="s">
        <v>13</v>
      </c>
      <c r="F4241" s="1">
        <v>1</v>
      </c>
      <c r="G4241" s="1">
        <v>44</v>
      </c>
      <c r="H4241" s="1">
        <v>52</v>
      </c>
      <c r="I4241" s="1" t="s">
        <v>4373</v>
      </c>
      <c r="J4241" s="1" t="s">
        <v>10624</v>
      </c>
      <c r="K4241" s="1" t="s">
        <v>10622</v>
      </c>
    </row>
    <row r="4242" spans="1:11" ht="21" x14ac:dyDescent="0.25">
      <c r="A4242" s="11" t="str">
        <f>HYPERLINK("https://rth.dk/resources/bsgatlas/details.php?id=BSGatlas-transcript-4241","BSGatlas-transcript-4241")</f>
        <v>BSGatlas-transcript-4241</v>
      </c>
      <c r="B4242" s="1" t="s">
        <v>3914</v>
      </c>
      <c r="C4242" s="3">
        <v>3770960</v>
      </c>
      <c r="D4242" s="3">
        <v>3772167</v>
      </c>
      <c r="E4242" s="1" t="s">
        <v>13</v>
      </c>
      <c r="F4242" s="1">
        <v>0</v>
      </c>
      <c r="G4242" s="1" t="s">
        <v>4372</v>
      </c>
      <c r="H4242" s="1" t="s">
        <v>4372</v>
      </c>
      <c r="I4242" s="1" t="s">
        <v>4373</v>
      </c>
      <c r="J4242" s="1" t="s">
        <v>10625</v>
      </c>
      <c r="K4242" s="1" t="s">
        <v>10626</v>
      </c>
    </row>
    <row r="4243" spans="1:11" ht="21" x14ac:dyDescent="0.25">
      <c r="A4243" s="11" t="str">
        <f>HYPERLINK("https://rth.dk/resources/bsgatlas/details.php?id=BSGatlas-transcript-4242","BSGatlas-transcript-4242")</f>
        <v>BSGatlas-transcript-4242</v>
      </c>
      <c r="B4243" s="1" t="s">
        <v>3914</v>
      </c>
      <c r="C4243" s="3">
        <v>3770960</v>
      </c>
      <c r="D4243" s="3">
        <v>3772246</v>
      </c>
      <c r="E4243" s="1" t="s">
        <v>13</v>
      </c>
      <c r="F4243" s="1">
        <v>0</v>
      </c>
      <c r="G4243" s="1" t="s">
        <v>4372</v>
      </c>
      <c r="H4243" s="1" t="s">
        <v>4372</v>
      </c>
      <c r="I4243" s="1" t="s">
        <v>4373</v>
      </c>
      <c r="J4243" s="1" t="s">
        <v>10627</v>
      </c>
      <c r="K4243" s="1" t="s">
        <v>10626</v>
      </c>
    </row>
    <row r="4244" spans="1:11" ht="21" x14ac:dyDescent="0.25">
      <c r="A4244" s="11" t="str">
        <f>HYPERLINK("https://rth.dk/resources/bsgatlas/details.php?id=BSGatlas-transcript-4243","BSGatlas-transcript-4243")</f>
        <v>BSGatlas-transcript-4243</v>
      </c>
      <c r="B4244" s="1" t="s">
        <v>3915</v>
      </c>
      <c r="C4244" s="3">
        <v>3772273</v>
      </c>
      <c r="D4244" s="3">
        <v>3773350</v>
      </c>
      <c r="E4244" s="1" t="s">
        <v>13</v>
      </c>
      <c r="F4244" s="1">
        <v>0</v>
      </c>
      <c r="G4244" s="1" t="s">
        <v>4372</v>
      </c>
      <c r="H4244" s="1" t="s">
        <v>4372</v>
      </c>
      <c r="I4244" s="1" t="s">
        <v>4382</v>
      </c>
      <c r="J4244" s="1" t="s">
        <v>318</v>
      </c>
      <c r="K4244" s="1" t="s">
        <v>10628</v>
      </c>
    </row>
    <row r="4245" spans="1:11" ht="21" x14ac:dyDescent="0.25">
      <c r="A4245" s="11" t="str">
        <f>HYPERLINK("https://rth.dk/resources/bsgatlas/details.php?id=BSGatlas-transcript-4244","BSGatlas-transcript-4244")</f>
        <v>BSGatlas-transcript-4244</v>
      </c>
      <c r="B4245" s="1" t="s">
        <v>10629</v>
      </c>
      <c r="C4245" s="3">
        <v>3772273</v>
      </c>
      <c r="D4245" s="3">
        <v>3774186</v>
      </c>
      <c r="E4245" s="1" t="s">
        <v>13</v>
      </c>
      <c r="F4245" s="1">
        <v>0</v>
      </c>
      <c r="G4245" s="1" t="s">
        <v>4372</v>
      </c>
      <c r="H4245" s="1" t="s">
        <v>4372</v>
      </c>
      <c r="I4245" s="1" t="s">
        <v>4386</v>
      </c>
      <c r="J4245" s="1" t="s">
        <v>10630</v>
      </c>
      <c r="K4245" s="1" t="s">
        <v>10628</v>
      </c>
    </row>
    <row r="4246" spans="1:11" ht="21" x14ac:dyDescent="0.25">
      <c r="A4246" s="11" t="str">
        <f>HYPERLINK("https://rth.dk/resources/bsgatlas/details.php?id=BSGatlas-transcript-4245","BSGatlas-transcript-4245")</f>
        <v>BSGatlas-transcript-4245</v>
      </c>
      <c r="B4246" s="1" t="s">
        <v>54</v>
      </c>
      <c r="C4246" s="3">
        <v>3774220</v>
      </c>
      <c r="D4246" s="3">
        <v>3774322</v>
      </c>
      <c r="E4246" s="1" t="s">
        <v>13</v>
      </c>
      <c r="F4246" s="1">
        <v>0</v>
      </c>
      <c r="G4246" s="1" t="s">
        <v>4372</v>
      </c>
      <c r="H4246" s="1" t="s">
        <v>4372</v>
      </c>
      <c r="I4246" s="1" t="s">
        <v>4377</v>
      </c>
      <c r="J4246" s="1" t="s">
        <v>318</v>
      </c>
      <c r="K4246" s="1" t="s">
        <v>10631</v>
      </c>
    </row>
    <row r="4247" spans="1:11" ht="21" x14ac:dyDescent="0.25">
      <c r="A4247" s="11" t="str">
        <f>HYPERLINK("https://rth.dk/resources/bsgatlas/details.php?id=BSGatlas-transcript-4246","BSGatlas-transcript-4246")</f>
        <v>BSGatlas-transcript-4246</v>
      </c>
      <c r="B4247" s="1" t="s">
        <v>3917</v>
      </c>
      <c r="C4247" s="3">
        <v>3774400</v>
      </c>
      <c r="D4247" s="3">
        <v>3774561</v>
      </c>
      <c r="E4247" s="1" t="s">
        <v>13</v>
      </c>
      <c r="F4247" s="1">
        <v>0</v>
      </c>
      <c r="G4247" s="1" t="s">
        <v>4372</v>
      </c>
      <c r="H4247" s="1" t="s">
        <v>4372</v>
      </c>
      <c r="I4247" s="1" t="s">
        <v>4373</v>
      </c>
      <c r="J4247" s="1" t="s">
        <v>10632</v>
      </c>
      <c r="K4247" s="1" t="s">
        <v>318</v>
      </c>
    </row>
    <row r="4248" spans="1:11" ht="21" x14ac:dyDescent="0.25">
      <c r="A4248" s="11" t="str">
        <f>HYPERLINK("https://rth.dk/resources/bsgatlas/details.php?id=BSGatlas-transcript-4247","BSGatlas-transcript-4247")</f>
        <v>BSGatlas-transcript-4247</v>
      </c>
      <c r="B4248" s="1" t="s">
        <v>3918</v>
      </c>
      <c r="C4248" s="3">
        <v>3774607</v>
      </c>
      <c r="D4248" s="3">
        <v>3775329</v>
      </c>
      <c r="E4248" s="1" t="s">
        <v>13</v>
      </c>
      <c r="F4248" s="1">
        <v>0</v>
      </c>
      <c r="G4248" s="1" t="s">
        <v>4372</v>
      </c>
      <c r="H4248" s="1" t="s">
        <v>4372</v>
      </c>
      <c r="I4248" s="1" t="s">
        <v>4373</v>
      </c>
      <c r="J4248" s="1" t="s">
        <v>318</v>
      </c>
      <c r="K4248" s="1" t="s">
        <v>10633</v>
      </c>
    </row>
    <row r="4249" spans="1:11" ht="21" x14ac:dyDescent="0.25">
      <c r="A4249" s="11" t="str">
        <f>HYPERLINK("https://rth.dk/resources/bsgatlas/details.php?id=BSGatlas-transcript-4248","BSGatlas-transcript-4248")</f>
        <v>BSGatlas-transcript-4248</v>
      </c>
      <c r="B4249" s="1" t="s">
        <v>3918</v>
      </c>
      <c r="C4249" s="3">
        <v>3774655</v>
      </c>
      <c r="D4249" s="3">
        <v>3775329</v>
      </c>
      <c r="E4249" s="1" t="s">
        <v>13</v>
      </c>
      <c r="F4249" s="1">
        <v>0</v>
      </c>
      <c r="G4249" s="1" t="s">
        <v>4372</v>
      </c>
      <c r="H4249" s="1" t="s">
        <v>4372</v>
      </c>
      <c r="I4249" s="1" t="s">
        <v>4373</v>
      </c>
      <c r="J4249" s="1" t="s">
        <v>318</v>
      </c>
      <c r="K4249" s="1" t="s">
        <v>10634</v>
      </c>
    </row>
    <row r="4250" spans="1:11" ht="21" x14ac:dyDescent="0.25">
      <c r="A4250" s="11" t="str">
        <f>HYPERLINK("https://rth.dk/resources/bsgatlas/details.php?id=BSGatlas-transcript-4249","BSGatlas-transcript-4249")</f>
        <v>BSGatlas-transcript-4249</v>
      </c>
      <c r="B4250" s="1" t="s">
        <v>3919</v>
      </c>
      <c r="C4250" s="3">
        <v>3775609</v>
      </c>
      <c r="D4250" s="3">
        <v>3776336</v>
      </c>
      <c r="E4250" s="1" t="s">
        <v>13</v>
      </c>
      <c r="F4250" s="1">
        <v>0</v>
      </c>
      <c r="G4250" s="1" t="s">
        <v>4372</v>
      </c>
      <c r="H4250" s="1" t="s">
        <v>4372</v>
      </c>
      <c r="I4250" s="1" t="s">
        <v>4373</v>
      </c>
      <c r="J4250" s="1" t="s">
        <v>318</v>
      </c>
      <c r="K4250" s="1" t="s">
        <v>10635</v>
      </c>
    </row>
    <row r="4251" spans="1:11" ht="21" x14ac:dyDescent="0.25">
      <c r="A4251" s="11" t="str">
        <f>HYPERLINK("https://rth.dk/resources/bsgatlas/details.php?id=BSGatlas-transcript-4250","BSGatlas-transcript-4250")</f>
        <v>BSGatlas-transcript-4250</v>
      </c>
      <c r="B4251" s="1" t="s">
        <v>3920</v>
      </c>
      <c r="C4251" s="3">
        <v>3776685</v>
      </c>
      <c r="D4251" s="3">
        <v>3777784</v>
      </c>
      <c r="E4251" s="1" t="s">
        <v>13</v>
      </c>
      <c r="F4251" s="1">
        <v>0</v>
      </c>
      <c r="G4251" s="1" t="s">
        <v>4372</v>
      </c>
      <c r="H4251" s="1" t="s">
        <v>4372</v>
      </c>
      <c r="I4251" s="1" t="s">
        <v>4373</v>
      </c>
      <c r="J4251" s="1" t="s">
        <v>10636</v>
      </c>
      <c r="K4251" s="1" t="s">
        <v>10637</v>
      </c>
    </row>
    <row r="4252" spans="1:11" ht="21" x14ac:dyDescent="0.25">
      <c r="A4252" s="11" t="str">
        <f>HYPERLINK("https://rth.dk/resources/bsgatlas/details.php?id=BSGatlas-transcript-4251","BSGatlas-transcript-4251")</f>
        <v>BSGatlas-transcript-4251</v>
      </c>
      <c r="B4252" s="1" t="s">
        <v>3921</v>
      </c>
      <c r="C4252" s="3">
        <v>3777896</v>
      </c>
      <c r="D4252" s="3">
        <v>3779290</v>
      </c>
      <c r="E4252" s="1" t="s">
        <v>13</v>
      </c>
      <c r="F4252" s="1">
        <v>0</v>
      </c>
      <c r="G4252" s="1" t="s">
        <v>4372</v>
      </c>
      <c r="H4252" s="1" t="s">
        <v>4372</v>
      </c>
      <c r="I4252" s="1" t="s">
        <v>4373</v>
      </c>
      <c r="J4252" s="1" t="s">
        <v>10638</v>
      </c>
      <c r="K4252" s="1" t="s">
        <v>10639</v>
      </c>
    </row>
    <row r="4253" spans="1:11" ht="21" x14ac:dyDescent="0.25">
      <c r="A4253" s="11" t="str">
        <f>HYPERLINK("https://rth.dk/resources/bsgatlas/details.php?id=BSGatlas-transcript-4252","BSGatlas-transcript-4252")</f>
        <v>BSGatlas-transcript-4252</v>
      </c>
      <c r="B4253" s="1" t="s">
        <v>10640</v>
      </c>
      <c r="C4253" s="3">
        <v>3777896</v>
      </c>
      <c r="D4253" s="3">
        <v>3780033</v>
      </c>
      <c r="E4253" s="1" t="s">
        <v>13</v>
      </c>
      <c r="F4253" s="1">
        <v>1</v>
      </c>
      <c r="G4253" s="1" t="s">
        <v>4372</v>
      </c>
      <c r="H4253" s="1">
        <v>54</v>
      </c>
      <c r="I4253" s="1" t="s">
        <v>4386</v>
      </c>
      <c r="J4253" s="1" t="s">
        <v>10641</v>
      </c>
      <c r="K4253" s="1" t="s">
        <v>10639</v>
      </c>
    </row>
    <row r="4254" spans="1:11" ht="21" x14ac:dyDescent="0.25">
      <c r="A4254" s="11" t="str">
        <f>HYPERLINK("https://rth.dk/resources/bsgatlas/details.php?id=BSGatlas-transcript-4253","BSGatlas-transcript-4253")</f>
        <v>BSGatlas-transcript-4253</v>
      </c>
      <c r="B4254" s="1" t="s">
        <v>10640</v>
      </c>
      <c r="C4254" s="3">
        <v>3777896</v>
      </c>
      <c r="D4254" s="3">
        <v>3780033</v>
      </c>
      <c r="E4254" s="1" t="s">
        <v>13</v>
      </c>
      <c r="F4254" s="1">
        <v>1</v>
      </c>
      <c r="G4254" s="1" t="s">
        <v>4372</v>
      </c>
      <c r="H4254" s="1">
        <v>54</v>
      </c>
      <c r="I4254" s="1" t="s">
        <v>4386</v>
      </c>
      <c r="J4254" s="1" t="s">
        <v>10642</v>
      </c>
      <c r="K4254" s="1" t="s">
        <v>10639</v>
      </c>
    </row>
    <row r="4255" spans="1:11" ht="21" x14ac:dyDescent="0.25">
      <c r="A4255" s="11" t="str">
        <f>HYPERLINK("https://rth.dk/resources/bsgatlas/details.php?id=BSGatlas-transcript-4254","BSGatlas-transcript-4254")</f>
        <v>BSGatlas-transcript-4254</v>
      </c>
      <c r="B4255" s="1" t="s">
        <v>10643</v>
      </c>
      <c r="C4255" s="3">
        <v>3777896</v>
      </c>
      <c r="D4255" s="3">
        <v>3780655</v>
      </c>
      <c r="E4255" s="1" t="s">
        <v>13</v>
      </c>
      <c r="F4255" s="1">
        <v>2</v>
      </c>
      <c r="G4255" s="1">
        <v>264</v>
      </c>
      <c r="H4255" s="1">
        <v>54</v>
      </c>
      <c r="I4255" s="1" t="s">
        <v>4386</v>
      </c>
      <c r="J4255" s="1" t="s">
        <v>10644</v>
      </c>
      <c r="K4255" s="1" t="s">
        <v>10639</v>
      </c>
    </row>
    <row r="4256" spans="1:11" ht="21" x14ac:dyDescent="0.25">
      <c r="A4256" s="11" t="str">
        <f>HYPERLINK("https://rth.dk/resources/bsgatlas/details.php?id=BSGatlas-transcript-4255","BSGatlas-transcript-4255")</f>
        <v>BSGatlas-transcript-4255</v>
      </c>
      <c r="B4256" s="1" t="s">
        <v>3924</v>
      </c>
      <c r="C4256" s="3">
        <v>3780534</v>
      </c>
      <c r="D4256" s="3">
        <v>3781035</v>
      </c>
      <c r="E4256" s="1" t="s">
        <v>9</v>
      </c>
      <c r="F4256" s="1">
        <v>0</v>
      </c>
      <c r="G4256" s="1" t="s">
        <v>4372</v>
      </c>
      <c r="H4256" s="1" t="s">
        <v>4372</v>
      </c>
      <c r="I4256" s="1" t="s">
        <v>4397</v>
      </c>
      <c r="J4256" s="1" t="s">
        <v>10645</v>
      </c>
      <c r="K4256" s="1" t="s">
        <v>318</v>
      </c>
    </row>
    <row r="4257" spans="1:11" ht="21" x14ac:dyDescent="0.25">
      <c r="A4257" s="11" t="str">
        <f>HYPERLINK("https://rth.dk/resources/bsgatlas/details.php?id=BSGatlas-transcript-4256","BSGatlas-transcript-4256")</f>
        <v>BSGatlas-transcript-4256</v>
      </c>
      <c r="B4257" s="1" t="s">
        <v>3925</v>
      </c>
      <c r="C4257" s="3">
        <v>3781026</v>
      </c>
      <c r="D4257" s="3">
        <v>3781467</v>
      </c>
      <c r="E4257" s="1" t="s">
        <v>13</v>
      </c>
      <c r="F4257" s="1">
        <v>0</v>
      </c>
      <c r="G4257" s="1" t="s">
        <v>4372</v>
      </c>
      <c r="H4257" s="1" t="s">
        <v>4372</v>
      </c>
      <c r="I4257" s="1" t="s">
        <v>4377</v>
      </c>
      <c r="J4257" s="1" t="s">
        <v>10646</v>
      </c>
      <c r="K4257" s="1" t="s">
        <v>10647</v>
      </c>
    </row>
    <row r="4258" spans="1:11" ht="21" x14ac:dyDescent="0.25">
      <c r="A4258" s="11" t="str">
        <f>HYPERLINK("https://rth.dk/resources/bsgatlas/details.php?id=BSGatlas-transcript-4257","BSGatlas-transcript-4257")</f>
        <v>BSGatlas-transcript-4257</v>
      </c>
      <c r="B4258" s="1" t="s">
        <v>10648</v>
      </c>
      <c r="C4258" s="3">
        <v>3781026</v>
      </c>
      <c r="D4258" s="3">
        <v>3787694</v>
      </c>
      <c r="E4258" s="1" t="s">
        <v>13</v>
      </c>
      <c r="F4258" s="1">
        <v>6</v>
      </c>
      <c r="G4258" s="1">
        <v>83</v>
      </c>
      <c r="H4258" s="1">
        <v>44</v>
      </c>
      <c r="I4258" s="1" t="s">
        <v>4377</v>
      </c>
      <c r="J4258" s="1" t="s">
        <v>10649</v>
      </c>
      <c r="K4258" s="1" t="s">
        <v>10647</v>
      </c>
    </row>
    <row r="4259" spans="1:11" ht="21" x14ac:dyDescent="0.25">
      <c r="A4259" s="11" t="str">
        <f>HYPERLINK("https://rth.dk/resources/bsgatlas/details.php?id=BSGatlas-transcript-4258","BSGatlas-transcript-4258")</f>
        <v>BSGatlas-transcript-4258</v>
      </c>
      <c r="B4259" s="1" t="s">
        <v>10650</v>
      </c>
      <c r="C4259" s="3">
        <v>3781026</v>
      </c>
      <c r="D4259" s="3">
        <v>3788274</v>
      </c>
      <c r="E4259" s="1" t="s">
        <v>13</v>
      </c>
      <c r="F4259" s="1">
        <v>6</v>
      </c>
      <c r="G4259" s="1">
        <v>272</v>
      </c>
      <c r="H4259" s="1">
        <v>44</v>
      </c>
      <c r="I4259" s="1" t="s">
        <v>4373</v>
      </c>
      <c r="J4259" s="1" t="s">
        <v>10651</v>
      </c>
      <c r="K4259" s="1" t="s">
        <v>10647</v>
      </c>
    </row>
    <row r="4260" spans="1:11" ht="21" x14ac:dyDescent="0.25">
      <c r="A4260" s="11" t="str">
        <f>HYPERLINK("https://rth.dk/resources/bsgatlas/details.php?id=BSGatlas-transcript-4259","BSGatlas-transcript-4259")</f>
        <v>BSGatlas-transcript-4259</v>
      </c>
      <c r="B4260" s="1" t="s">
        <v>3934</v>
      </c>
      <c r="C4260" s="3">
        <v>3788388</v>
      </c>
      <c r="D4260" s="3">
        <v>3789122</v>
      </c>
      <c r="E4260" s="1" t="s">
        <v>13</v>
      </c>
      <c r="F4260" s="1">
        <v>0</v>
      </c>
      <c r="G4260" s="1" t="s">
        <v>4372</v>
      </c>
      <c r="H4260" s="1" t="s">
        <v>4372</v>
      </c>
      <c r="I4260" s="1" t="s">
        <v>4373</v>
      </c>
      <c r="J4260" s="1" t="s">
        <v>10652</v>
      </c>
      <c r="K4260" s="1" t="s">
        <v>10653</v>
      </c>
    </row>
    <row r="4261" spans="1:11" ht="21" x14ac:dyDescent="0.25">
      <c r="A4261" s="11" t="str">
        <f>HYPERLINK("https://rth.dk/resources/bsgatlas/details.php?id=BSGatlas-transcript-4260","BSGatlas-transcript-4260")</f>
        <v>BSGatlas-transcript-4260</v>
      </c>
      <c r="B4261" s="1" t="s">
        <v>3935</v>
      </c>
      <c r="C4261" s="3">
        <v>3789140</v>
      </c>
      <c r="D4261" s="3">
        <v>3790480</v>
      </c>
      <c r="E4261" s="1" t="s">
        <v>13</v>
      </c>
      <c r="F4261" s="1">
        <v>0</v>
      </c>
      <c r="G4261" s="1" t="s">
        <v>4372</v>
      </c>
      <c r="H4261" s="1" t="s">
        <v>4372</v>
      </c>
      <c r="I4261" s="1" t="s">
        <v>4373</v>
      </c>
      <c r="J4261" s="1" t="s">
        <v>10654</v>
      </c>
      <c r="K4261" s="1" t="s">
        <v>10655</v>
      </c>
    </row>
    <row r="4262" spans="1:11" ht="21" x14ac:dyDescent="0.25">
      <c r="A4262" s="11" t="str">
        <f>HYPERLINK("https://rth.dk/resources/bsgatlas/details.php?id=BSGatlas-transcript-4261","BSGatlas-transcript-4261")</f>
        <v>BSGatlas-transcript-4261</v>
      </c>
      <c r="B4262" s="1" t="s">
        <v>3935</v>
      </c>
      <c r="C4262" s="3">
        <v>3789190</v>
      </c>
      <c r="D4262" s="3">
        <v>3790480</v>
      </c>
      <c r="E4262" s="1" t="s">
        <v>13</v>
      </c>
      <c r="F4262" s="1">
        <v>0</v>
      </c>
      <c r="G4262" s="1" t="s">
        <v>4372</v>
      </c>
      <c r="H4262" s="1" t="s">
        <v>4372</v>
      </c>
      <c r="I4262" s="1" t="s">
        <v>4373</v>
      </c>
      <c r="J4262" s="1" t="s">
        <v>10654</v>
      </c>
      <c r="K4262" s="1" t="s">
        <v>10656</v>
      </c>
    </row>
    <row r="4263" spans="1:11" ht="21" x14ac:dyDescent="0.25">
      <c r="A4263" s="11" t="str">
        <f>HYPERLINK("https://rth.dk/resources/bsgatlas/details.php?id=BSGatlas-transcript-4262","BSGatlas-transcript-4262")</f>
        <v>BSGatlas-transcript-4262</v>
      </c>
      <c r="B4263" s="1" t="s">
        <v>10657</v>
      </c>
      <c r="C4263" s="3">
        <v>3790610</v>
      </c>
      <c r="D4263" s="3">
        <v>3791748</v>
      </c>
      <c r="E4263" s="1" t="s">
        <v>13</v>
      </c>
      <c r="F4263" s="1">
        <v>0</v>
      </c>
      <c r="G4263" s="1" t="s">
        <v>4372</v>
      </c>
      <c r="H4263" s="1" t="s">
        <v>4372</v>
      </c>
      <c r="I4263" s="1" t="s">
        <v>4373</v>
      </c>
      <c r="J4263" s="1" t="s">
        <v>10658</v>
      </c>
      <c r="K4263" s="1" t="s">
        <v>10659</v>
      </c>
    </row>
    <row r="4264" spans="1:11" ht="21" x14ac:dyDescent="0.25">
      <c r="A4264" s="11" t="str">
        <f>HYPERLINK("https://rth.dk/resources/bsgatlas/details.php?id=BSGatlas-transcript-4263","BSGatlas-transcript-4263")</f>
        <v>BSGatlas-transcript-4263</v>
      </c>
      <c r="B4264" s="1" t="s">
        <v>10660</v>
      </c>
      <c r="C4264" s="3">
        <v>3790610</v>
      </c>
      <c r="D4264" s="3">
        <v>3792292</v>
      </c>
      <c r="E4264" s="1" t="s">
        <v>13</v>
      </c>
      <c r="F4264" s="1">
        <v>1</v>
      </c>
      <c r="G4264" s="1">
        <v>36</v>
      </c>
      <c r="H4264" s="1">
        <v>35</v>
      </c>
      <c r="I4264" s="1" t="s">
        <v>4386</v>
      </c>
      <c r="J4264" s="1" t="s">
        <v>10661</v>
      </c>
      <c r="K4264" s="1" t="s">
        <v>10659</v>
      </c>
    </row>
    <row r="4265" spans="1:11" ht="21" x14ac:dyDescent="0.25">
      <c r="A4265" s="11" t="str">
        <f>HYPERLINK("https://rth.dk/resources/bsgatlas/details.php?id=BSGatlas-transcript-4264","BSGatlas-transcript-4264")</f>
        <v>BSGatlas-transcript-4264</v>
      </c>
      <c r="B4265" s="1" t="s">
        <v>10662</v>
      </c>
      <c r="C4265" s="3">
        <v>3790610</v>
      </c>
      <c r="D4265" s="3">
        <v>3792930</v>
      </c>
      <c r="E4265" s="1" t="s">
        <v>13</v>
      </c>
      <c r="F4265" s="1">
        <v>2</v>
      </c>
      <c r="G4265" s="1">
        <v>41</v>
      </c>
      <c r="H4265" s="1">
        <v>35</v>
      </c>
      <c r="I4265" s="1" t="s">
        <v>4386</v>
      </c>
      <c r="J4265" s="1" t="s">
        <v>10663</v>
      </c>
      <c r="K4265" s="1" t="s">
        <v>10659</v>
      </c>
    </row>
    <row r="4266" spans="1:11" ht="21" x14ac:dyDescent="0.25">
      <c r="A4266" s="11" t="str">
        <f>HYPERLINK("https://rth.dk/resources/bsgatlas/details.php?id=BSGatlas-transcript-4265","BSGatlas-transcript-4265")</f>
        <v>BSGatlas-transcript-4265</v>
      </c>
      <c r="B4266" s="1" t="s">
        <v>3940</v>
      </c>
      <c r="C4266" s="3">
        <v>3792952</v>
      </c>
      <c r="D4266" s="3">
        <v>3794074</v>
      </c>
      <c r="E4266" s="1" t="s">
        <v>13</v>
      </c>
      <c r="F4266" s="1">
        <v>0</v>
      </c>
      <c r="G4266" s="1" t="s">
        <v>4372</v>
      </c>
      <c r="H4266" s="1" t="s">
        <v>4372</v>
      </c>
      <c r="I4266" s="1" t="s">
        <v>4386</v>
      </c>
      <c r="J4266" s="1" t="s">
        <v>10664</v>
      </c>
      <c r="K4266" s="1" t="s">
        <v>10665</v>
      </c>
    </row>
    <row r="4267" spans="1:11" ht="21" x14ac:dyDescent="0.25">
      <c r="A4267" s="11" t="str">
        <f>HYPERLINK("https://rth.dk/resources/bsgatlas/details.php?id=BSGatlas-transcript-4266","BSGatlas-transcript-4266")</f>
        <v>BSGatlas-transcript-4266</v>
      </c>
      <c r="B4267" s="1" t="s">
        <v>3941</v>
      </c>
      <c r="C4267" s="3">
        <v>3794087</v>
      </c>
      <c r="D4267" s="3">
        <v>3794609</v>
      </c>
      <c r="E4267" s="1" t="s">
        <v>13</v>
      </c>
      <c r="F4267" s="1">
        <v>0</v>
      </c>
      <c r="G4267" s="1" t="s">
        <v>4372</v>
      </c>
      <c r="H4267" s="1" t="s">
        <v>4372</v>
      </c>
      <c r="I4267" s="1" t="s">
        <v>4373</v>
      </c>
      <c r="J4267" s="1" t="s">
        <v>318</v>
      </c>
      <c r="K4267" s="1" t="s">
        <v>10666</v>
      </c>
    </row>
    <row r="4268" spans="1:11" ht="21" x14ac:dyDescent="0.25">
      <c r="A4268" s="11" t="str">
        <f>HYPERLINK("https://rth.dk/resources/bsgatlas/details.php?id=BSGatlas-transcript-4267","BSGatlas-transcript-4267")</f>
        <v>BSGatlas-transcript-4267</v>
      </c>
      <c r="B4268" s="1" t="s">
        <v>3942</v>
      </c>
      <c r="C4268" s="3">
        <v>3794676</v>
      </c>
      <c r="D4268" s="3">
        <v>3795350</v>
      </c>
      <c r="E4268" s="1" t="s">
        <v>13</v>
      </c>
      <c r="F4268" s="1">
        <v>0</v>
      </c>
      <c r="G4268" s="1" t="s">
        <v>4372</v>
      </c>
      <c r="H4268" s="1" t="s">
        <v>4372</v>
      </c>
      <c r="I4268" s="1" t="s">
        <v>4373</v>
      </c>
      <c r="J4268" s="1" t="s">
        <v>10667</v>
      </c>
      <c r="K4268" s="1" t="s">
        <v>318</v>
      </c>
    </row>
    <row r="4269" spans="1:11" ht="21" x14ac:dyDescent="0.25">
      <c r="A4269" s="11" t="str">
        <f>HYPERLINK("https://rth.dk/resources/bsgatlas/details.php?id=BSGatlas-transcript-4268","BSGatlas-transcript-4268")</f>
        <v>BSGatlas-transcript-4268</v>
      </c>
      <c r="B4269" s="1" t="s">
        <v>3942</v>
      </c>
      <c r="C4269" s="3">
        <v>3794676</v>
      </c>
      <c r="D4269" s="3">
        <v>3795383</v>
      </c>
      <c r="E4269" s="1" t="s">
        <v>13</v>
      </c>
      <c r="F4269" s="1">
        <v>0</v>
      </c>
      <c r="G4269" s="1" t="s">
        <v>4372</v>
      </c>
      <c r="H4269" s="1" t="s">
        <v>4372</v>
      </c>
      <c r="I4269" s="1" t="s">
        <v>4373</v>
      </c>
      <c r="J4269" s="1" t="s">
        <v>10668</v>
      </c>
      <c r="K4269" s="1" t="s">
        <v>318</v>
      </c>
    </row>
    <row r="4270" spans="1:11" ht="21" x14ac:dyDescent="0.25">
      <c r="A4270" s="11" t="str">
        <f>HYPERLINK("https://rth.dk/resources/bsgatlas/details.php?id=BSGatlas-transcript-4269","BSGatlas-transcript-4269")</f>
        <v>BSGatlas-transcript-4269</v>
      </c>
      <c r="B4270" s="1" t="s">
        <v>3943</v>
      </c>
      <c r="C4270" s="3">
        <v>3795456</v>
      </c>
      <c r="D4270" s="3">
        <v>3795853</v>
      </c>
      <c r="E4270" s="1" t="s">
        <v>9</v>
      </c>
      <c r="F4270" s="1">
        <v>0</v>
      </c>
      <c r="G4270" s="1" t="s">
        <v>4372</v>
      </c>
      <c r="H4270" s="1" t="s">
        <v>4372</v>
      </c>
      <c r="I4270" s="1" t="s">
        <v>4397</v>
      </c>
      <c r="J4270" s="1" t="s">
        <v>10669</v>
      </c>
      <c r="K4270" s="1" t="s">
        <v>318</v>
      </c>
    </row>
    <row r="4271" spans="1:11" ht="21" x14ac:dyDescent="0.25">
      <c r="A4271" s="11" t="str">
        <f>HYPERLINK("https://rth.dk/resources/bsgatlas/details.php?id=BSGatlas-transcript-4270","BSGatlas-transcript-4270")</f>
        <v>BSGatlas-transcript-4270</v>
      </c>
      <c r="B4271" s="1" t="s">
        <v>3944</v>
      </c>
      <c r="C4271" s="3">
        <v>3795829</v>
      </c>
      <c r="D4271" s="3">
        <v>3796230</v>
      </c>
      <c r="E4271" s="1" t="s">
        <v>13</v>
      </c>
      <c r="F4271" s="1">
        <v>0</v>
      </c>
      <c r="G4271" s="1" t="s">
        <v>4372</v>
      </c>
      <c r="H4271" s="1" t="s">
        <v>4372</v>
      </c>
      <c r="I4271" s="1" t="s">
        <v>4373</v>
      </c>
      <c r="J4271" s="1" t="s">
        <v>10670</v>
      </c>
      <c r="K4271" s="1" t="s">
        <v>10671</v>
      </c>
    </row>
    <row r="4272" spans="1:11" ht="21" x14ac:dyDescent="0.25">
      <c r="A4272" s="11" t="str">
        <f>HYPERLINK("https://rth.dk/resources/bsgatlas/details.php?id=BSGatlas-transcript-4271","BSGatlas-transcript-4271")</f>
        <v>BSGatlas-transcript-4271</v>
      </c>
      <c r="B4272" s="1" t="s">
        <v>3945</v>
      </c>
      <c r="C4272" s="3">
        <v>3797066</v>
      </c>
      <c r="D4272" s="3">
        <v>3798207</v>
      </c>
      <c r="E4272" s="1" t="s">
        <v>13</v>
      </c>
      <c r="F4272" s="1">
        <v>0</v>
      </c>
      <c r="G4272" s="1" t="s">
        <v>4372</v>
      </c>
      <c r="H4272" s="1" t="s">
        <v>4372</v>
      </c>
      <c r="I4272" s="1" t="s">
        <v>4386</v>
      </c>
      <c r="J4272" s="1" t="s">
        <v>10672</v>
      </c>
      <c r="K4272" s="1" t="s">
        <v>10673</v>
      </c>
    </row>
    <row r="4273" spans="1:11" ht="21" x14ac:dyDescent="0.25">
      <c r="A4273" s="11" t="str">
        <f>HYPERLINK("https://rth.dk/resources/bsgatlas/details.php?id=BSGatlas-transcript-4272","BSGatlas-transcript-4272")</f>
        <v>BSGatlas-transcript-4272</v>
      </c>
      <c r="B4273" s="1" t="s">
        <v>3945</v>
      </c>
      <c r="C4273" s="3">
        <v>3797066</v>
      </c>
      <c r="D4273" s="3">
        <v>3798320</v>
      </c>
      <c r="E4273" s="1" t="s">
        <v>13</v>
      </c>
      <c r="F4273" s="1">
        <v>0</v>
      </c>
      <c r="G4273" s="1" t="s">
        <v>4372</v>
      </c>
      <c r="H4273" s="1" t="s">
        <v>4372</v>
      </c>
      <c r="I4273" s="1" t="s">
        <v>4386</v>
      </c>
      <c r="J4273" s="1" t="s">
        <v>10674</v>
      </c>
      <c r="K4273" s="1" t="s">
        <v>10673</v>
      </c>
    </row>
    <row r="4274" spans="1:11" ht="21" x14ac:dyDescent="0.25">
      <c r="A4274" s="11" t="str">
        <f>HYPERLINK("https://rth.dk/resources/bsgatlas/details.php?id=BSGatlas-transcript-4273","BSGatlas-transcript-4273")</f>
        <v>BSGatlas-transcript-4273</v>
      </c>
      <c r="B4274" s="1" t="s">
        <v>10675</v>
      </c>
      <c r="C4274" s="3">
        <v>3798266</v>
      </c>
      <c r="D4274" s="3">
        <v>3799383</v>
      </c>
      <c r="E4274" s="1" t="s">
        <v>9</v>
      </c>
      <c r="F4274" s="1">
        <v>1</v>
      </c>
      <c r="G4274" s="1">
        <v>16</v>
      </c>
      <c r="H4274" s="1">
        <v>41</v>
      </c>
      <c r="I4274" s="1" t="s">
        <v>4386</v>
      </c>
      <c r="J4274" s="1" t="s">
        <v>10676</v>
      </c>
      <c r="K4274" s="1" t="s">
        <v>10677</v>
      </c>
    </row>
    <row r="4275" spans="1:11" ht="21" x14ac:dyDescent="0.25">
      <c r="A4275" s="11" t="str">
        <f>HYPERLINK("https://rth.dk/resources/bsgatlas/details.php?id=BSGatlas-transcript-4274","BSGatlas-transcript-4274")</f>
        <v>BSGatlas-transcript-4274</v>
      </c>
      <c r="B4275" s="1" t="s">
        <v>3947</v>
      </c>
      <c r="C4275" s="3">
        <v>3798755</v>
      </c>
      <c r="D4275" s="3">
        <v>3799383</v>
      </c>
      <c r="E4275" s="1" t="s">
        <v>9</v>
      </c>
      <c r="F4275" s="1">
        <v>0</v>
      </c>
      <c r="G4275" s="1" t="s">
        <v>4372</v>
      </c>
      <c r="H4275" s="1" t="s">
        <v>4372</v>
      </c>
      <c r="I4275" s="1" t="s">
        <v>4373</v>
      </c>
      <c r="J4275" s="1" t="s">
        <v>10678</v>
      </c>
      <c r="K4275" s="1" t="s">
        <v>10677</v>
      </c>
    </row>
    <row r="4276" spans="1:11" ht="21" x14ac:dyDescent="0.25">
      <c r="A4276" s="11" t="str">
        <f>HYPERLINK("https://rth.dk/resources/bsgatlas/details.php?id=BSGatlas-transcript-4275","BSGatlas-transcript-4275")</f>
        <v>BSGatlas-transcript-4275</v>
      </c>
      <c r="B4276" s="1" t="s">
        <v>3947</v>
      </c>
      <c r="C4276" s="3">
        <v>3798789</v>
      </c>
      <c r="D4276" s="3">
        <v>3799383</v>
      </c>
      <c r="E4276" s="1" t="s">
        <v>9</v>
      </c>
      <c r="F4276" s="1">
        <v>0</v>
      </c>
      <c r="G4276" s="1" t="s">
        <v>4372</v>
      </c>
      <c r="H4276" s="1" t="s">
        <v>4372</v>
      </c>
      <c r="I4276" s="1" t="s">
        <v>4373</v>
      </c>
      <c r="J4276" s="1" t="s">
        <v>10679</v>
      </c>
      <c r="K4276" s="1" t="s">
        <v>10677</v>
      </c>
    </row>
    <row r="4277" spans="1:11" ht="21" x14ac:dyDescent="0.25">
      <c r="A4277" s="11" t="str">
        <f>HYPERLINK("https://rth.dk/resources/bsgatlas/details.php?id=BSGatlas-transcript-4276","BSGatlas-transcript-4276")</f>
        <v>BSGatlas-transcript-4276</v>
      </c>
      <c r="B4277" s="1" t="s">
        <v>3948</v>
      </c>
      <c r="C4277" s="3">
        <v>3799337</v>
      </c>
      <c r="D4277" s="3">
        <v>3800388</v>
      </c>
      <c r="E4277" s="1" t="s">
        <v>13</v>
      </c>
      <c r="F4277" s="1">
        <v>0</v>
      </c>
      <c r="G4277" s="1" t="s">
        <v>4372</v>
      </c>
      <c r="H4277" s="1" t="s">
        <v>4372</v>
      </c>
      <c r="I4277" s="1" t="s">
        <v>4377</v>
      </c>
      <c r="J4277" s="1" t="s">
        <v>10680</v>
      </c>
      <c r="K4277" s="1" t="s">
        <v>10681</v>
      </c>
    </row>
    <row r="4278" spans="1:11" ht="21" x14ac:dyDescent="0.25">
      <c r="A4278" s="11" t="str">
        <f>HYPERLINK("https://rth.dk/resources/bsgatlas/details.php?id=BSGatlas-transcript-4277","BSGatlas-transcript-4277")</f>
        <v>BSGatlas-transcript-4277</v>
      </c>
      <c r="B4278" s="1" t="s">
        <v>3948</v>
      </c>
      <c r="C4278" s="3">
        <v>3799337</v>
      </c>
      <c r="D4278" s="3">
        <v>3800900</v>
      </c>
      <c r="E4278" s="1" t="s">
        <v>13</v>
      </c>
      <c r="F4278" s="1">
        <v>0</v>
      </c>
      <c r="G4278" s="1" t="s">
        <v>4372</v>
      </c>
      <c r="H4278" s="1" t="s">
        <v>4372</v>
      </c>
      <c r="I4278" s="1" t="s">
        <v>4377</v>
      </c>
      <c r="J4278" s="1" t="s">
        <v>10682</v>
      </c>
      <c r="K4278" s="1" t="s">
        <v>10681</v>
      </c>
    </row>
    <row r="4279" spans="1:11" ht="21" x14ac:dyDescent="0.25">
      <c r="A4279" s="11" t="str">
        <f>HYPERLINK("https://rth.dk/resources/bsgatlas/details.php?id=BSGatlas-transcript-4278","BSGatlas-transcript-4278")</f>
        <v>BSGatlas-transcript-4278</v>
      </c>
      <c r="B4279" s="1" t="s">
        <v>10683</v>
      </c>
      <c r="C4279" s="3">
        <v>3799337</v>
      </c>
      <c r="D4279" s="3">
        <v>3802245</v>
      </c>
      <c r="E4279" s="1" t="s">
        <v>13</v>
      </c>
      <c r="F4279" s="1">
        <v>1</v>
      </c>
      <c r="G4279" s="1">
        <v>80</v>
      </c>
      <c r="H4279" s="1">
        <v>41</v>
      </c>
      <c r="I4279" s="1" t="s">
        <v>4373</v>
      </c>
      <c r="J4279" s="1" t="s">
        <v>10684</v>
      </c>
      <c r="K4279" s="1" t="s">
        <v>10681</v>
      </c>
    </row>
    <row r="4280" spans="1:11" ht="21" x14ac:dyDescent="0.25">
      <c r="A4280" s="11" t="str">
        <f>HYPERLINK("https://rth.dk/resources/bsgatlas/details.php?id=BSGatlas-transcript-4279","BSGatlas-transcript-4279")</f>
        <v>BSGatlas-transcript-4279</v>
      </c>
      <c r="B4280" s="1" t="s">
        <v>3948</v>
      </c>
      <c r="C4280" s="3">
        <v>3799377</v>
      </c>
      <c r="D4280" s="3">
        <v>3800388</v>
      </c>
      <c r="E4280" s="1" t="s">
        <v>13</v>
      </c>
      <c r="F4280" s="1">
        <v>0</v>
      </c>
      <c r="G4280" s="1" t="s">
        <v>4372</v>
      </c>
      <c r="H4280" s="1" t="s">
        <v>4372</v>
      </c>
      <c r="I4280" s="1" t="s">
        <v>4377</v>
      </c>
      <c r="J4280" s="1" t="s">
        <v>10680</v>
      </c>
      <c r="K4280" s="1" t="s">
        <v>10685</v>
      </c>
    </row>
    <row r="4281" spans="1:11" ht="21" x14ac:dyDescent="0.25">
      <c r="A4281" s="11" t="str">
        <f>HYPERLINK("https://rth.dk/resources/bsgatlas/details.php?id=BSGatlas-transcript-4280","BSGatlas-transcript-4280")</f>
        <v>BSGatlas-transcript-4280</v>
      </c>
      <c r="B4281" s="1" t="s">
        <v>3948</v>
      </c>
      <c r="C4281" s="3">
        <v>3799377</v>
      </c>
      <c r="D4281" s="3">
        <v>3800900</v>
      </c>
      <c r="E4281" s="1" t="s">
        <v>13</v>
      </c>
      <c r="F4281" s="1">
        <v>0</v>
      </c>
      <c r="G4281" s="1" t="s">
        <v>4372</v>
      </c>
      <c r="H4281" s="1" t="s">
        <v>4372</v>
      </c>
      <c r="I4281" s="1" t="s">
        <v>4377</v>
      </c>
      <c r="J4281" s="1" t="s">
        <v>10682</v>
      </c>
      <c r="K4281" s="1" t="s">
        <v>10685</v>
      </c>
    </row>
    <row r="4282" spans="1:11" ht="21" x14ac:dyDescent="0.25">
      <c r="A4282" s="11" t="str">
        <f>HYPERLINK("https://rth.dk/resources/bsgatlas/details.php?id=BSGatlas-transcript-4281","BSGatlas-transcript-4281")</f>
        <v>BSGatlas-transcript-4281</v>
      </c>
      <c r="B4282" s="1" t="s">
        <v>10683</v>
      </c>
      <c r="C4282" s="3">
        <v>3799377</v>
      </c>
      <c r="D4282" s="3">
        <v>3802245</v>
      </c>
      <c r="E4282" s="1" t="s">
        <v>13</v>
      </c>
      <c r="F4282" s="1">
        <v>1</v>
      </c>
      <c r="G4282" s="1">
        <v>80</v>
      </c>
      <c r="H4282" s="1" t="s">
        <v>4372</v>
      </c>
      <c r="I4282" s="1" t="s">
        <v>4373</v>
      </c>
      <c r="J4282" s="1" t="s">
        <v>10684</v>
      </c>
      <c r="K4282" s="1" t="s">
        <v>10685</v>
      </c>
    </row>
    <row r="4283" spans="1:11" ht="21" x14ac:dyDescent="0.25">
      <c r="A4283" s="11" t="str">
        <f>HYPERLINK("https://rth.dk/resources/bsgatlas/details.php?id=BSGatlas-transcript-4282","BSGatlas-transcript-4282")</f>
        <v>BSGatlas-transcript-4282</v>
      </c>
      <c r="B4283" s="1" t="s">
        <v>3950</v>
      </c>
      <c r="C4283" s="3">
        <v>3802378</v>
      </c>
      <c r="D4283" s="3">
        <v>3802992</v>
      </c>
      <c r="E4283" s="1" t="s">
        <v>13</v>
      </c>
      <c r="F4283" s="1">
        <v>0</v>
      </c>
      <c r="G4283" s="1" t="s">
        <v>4372</v>
      </c>
      <c r="H4283" s="1" t="s">
        <v>4372</v>
      </c>
      <c r="I4283" s="1" t="s">
        <v>4377</v>
      </c>
      <c r="J4283" s="1" t="s">
        <v>318</v>
      </c>
      <c r="K4283" s="1" t="s">
        <v>10686</v>
      </c>
    </row>
    <row r="4284" spans="1:11" ht="21" x14ac:dyDescent="0.25">
      <c r="A4284" s="11" t="str">
        <f>HYPERLINK("https://rth.dk/resources/bsgatlas/details.php?id=BSGatlas-transcript-4283","BSGatlas-transcript-4283")</f>
        <v>BSGatlas-transcript-4283</v>
      </c>
      <c r="B4284" s="1" t="s">
        <v>3951</v>
      </c>
      <c r="C4284" s="3">
        <v>3803028</v>
      </c>
      <c r="D4284" s="3">
        <v>3803359</v>
      </c>
      <c r="E4284" s="1" t="s">
        <v>13</v>
      </c>
      <c r="F4284" s="1">
        <v>0</v>
      </c>
      <c r="G4284" s="1" t="s">
        <v>4372</v>
      </c>
      <c r="H4284" s="1" t="s">
        <v>4372</v>
      </c>
      <c r="I4284" s="1" t="s">
        <v>4373</v>
      </c>
      <c r="J4284" s="1" t="s">
        <v>10687</v>
      </c>
      <c r="K4284" s="1" t="s">
        <v>10688</v>
      </c>
    </row>
    <row r="4285" spans="1:11" ht="21" x14ac:dyDescent="0.25">
      <c r="A4285" s="11" t="str">
        <f>HYPERLINK("https://rth.dk/resources/bsgatlas/details.php?id=BSGatlas-transcript-4284","BSGatlas-transcript-4284")</f>
        <v>BSGatlas-transcript-4284</v>
      </c>
      <c r="B4285" s="1" t="s">
        <v>10689</v>
      </c>
      <c r="C4285" s="3">
        <v>3803028</v>
      </c>
      <c r="D4285" s="3">
        <v>3804683</v>
      </c>
      <c r="E4285" s="1" t="s">
        <v>13</v>
      </c>
      <c r="F4285" s="1">
        <v>1</v>
      </c>
      <c r="G4285" s="1" t="s">
        <v>4372</v>
      </c>
      <c r="H4285" s="1">
        <v>54</v>
      </c>
      <c r="I4285" s="1" t="s">
        <v>4386</v>
      </c>
      <c r="J4285" s="1" t="s">
        <v>318</v>
      </c>
      <c r="K4285" s="1" t="s">
        <v>10688</v>
      </c>
    </row>
    <row r="4286" spans="1:11" ht="21" x14ac:dyDescent="0.25">
      <c r="A4286" s="11" t="str">
        <f>HYPERLINK("https://rth.dk/resources/bsgatlas/details.php?id=BSGatlas-transcript-4285","BSGatlas-transcript-4285")</f>
        <v>BSGatlas-transcript-4285</v>
      </c>
      <c r="B4286" s="1" t="s">
        <v>3951</v>
      </c>
      <c r="C4286" s="3">
        <v>3803081</v>
      </c>
      <c r="D4286" s="3">
        <v>3803359</v>
      </c>
      <c r="E4286" s="1" t="s">
        <v>13</v>
      </c>
      <c r="F4286" s="1">
        <v>0</v>
      </c>
      <c r="G4286" s="1" t="s">
        <v>4372</v>
      </c>
      <c r="H4286" s="1" t="s">
        <v>4372</v>
      </c>
      <c r="I4286" s="1" t="s">
        <v>4373</v>
      </c>
      <c r="J4286" s="1" t="s">
        <v>10687</v>
      </c>
      <c r="K4286" s="1" t="s">
        <v>10690</v>
      </c>
    </row>
    <row r="4287" spans="1:11" ht="21" x14ac:dyDescent="0.25">
      <c r="A4287" s="11" t="str">
        <f>HYPERLINK("https://rth.dk/resources/bsgatlas/details.php?id=BSGatlas-transcript-4286","BSGatlas-transcript-4286")</f>
        <v>BSGatlas-transcript-4286</v>
      </c>
      <c r="B4287" s="1" t="s">
        <v>10689</v>
      </c>
      <c r="C4287" s="3">
        <v>3803081</v>
      </c>
      <c r="D4287" s="3">
        <v>3804683</v>
      </c>
      <c r="E4287" s="1" t="s">
        <v>13</v>
      </c>
      <c r="F4287" s="1">
        <v>1</v>
      </c>
      <c r="G4287" s="1" t="s">
        <v>4372</v>
      </c>
      <c r="H4287" s="1" t="s">
        <v>4372</v>
      </c>
      <c r="I4287" s="1" t="s">
        <v>4386</v>
      </c>
      <c r="J4287" s="1" t="s">
        <v>318</v>
      </c>
      <c r="K4287" s="1" t="s">
        <v>10690</v>
      </c>
    </row>
    <row r="4288" spans="1:11" ht="21" x14ac:dyDescent="0.25">
      <c r="A4288" s="11" t="str">
        <f>HYPERLINK("https://rth.dk/resources/bsgatlas/details.php?id=BSGatlas-transcript-4287","BSGatlas-transcript-4287")</f>
        <v>BSGatlas-transcript-4287</v>
      </c>
      <c r="B4288" s="1" t="s">
        <v>3953</v>
      </c>
      <c r="C4288" s="3">
        <v>3804627</v>
      </c>
      <c r="D4288" s="3">
        <v>3804977</v>
      </c>
      <c r="E4288" s="1" t="s">
        <v>13</v>
      </c>
      <c r="F4288" s="1">
        <v>0</v>
      </c>
      <c r="G4288" s="1" t="s">
        <v>4372</v>
      </c>
      <c r="H4288" s="1" t="s">
        <v>4372</v>
      </c>
      <c r="I4288" s="1" t="s">
        <v>4377</v>
      </c>
      <c r="J4288" s="1" t="s">
        <v>10691</v>
      </c>
      <c r="K4288" s="1" t="s">
        <v>318</v>
      </c>
    </row>
    <row r="4289" spans="1:11" ht="21" x14ac:dyDescent="0.25">
      <c r="A4289" s="11" t="str">
        <f>HYPERLINK("https://rth.dk/resources/bsgatlas/details.php?id=BSGatlas-transcript-4288","BSGatlas-transcript-4288")</f>
        <v>BSGatlas-transcript-4288</v>
      </c>
      <c r="B4289" s="1" t="s">
        <v>3954</v>
      </c>
      <c r="C4289" s="3">
        <v>3805047</v>
      </c>
      <c r="D4289" s="3">
        <v>3806055</v>
      </c>
      <c r="E4289" s="1" t="s">
        <v>13</v>
      </c>
      <c r="F4289" s="1">
        <v>0</v>
      </c>
      <c r="G4289" s="1" t="s">
        <v>4372</v>
      </c>
      <c r="H4289" s="1" t="s">
        <v>4372</v>
      </c>
      <c r="I4289" s="1" t="s">
        <v>4382</v>
      </c>
      <c r="J4289" s="1" t="s">
        <v>318</v>
      </c>
      <c r="K4289" s="1" t="s">
        <v>10692</v>
      </c>
    </row>
    <row r="4290" spans="1:11" ht="21" x14ac:dyDescent="0.25">
      <c r="A4290" s="11" t="str">
        <f>HYPERLINK("https://rth.dk/resources/bsgatlas/details.php?id=BSGatlas-transcript-4289","BSGatlas-transcript-4289")</f>
        <v>BSGatlas-transcript-4289</v>
      </c>
      <c r="B4290" s="1" t="s">
        <v>10693</v>
      </c>
      <c r="C4290" s="3">
        <v>3805047</v>
      </c>
      <c r="D4290" s="3">
        <v>3807375</v>
      </c>
      <c r="E4290" s="1" t="s">
        <v>13</v>
      </c>
      <c r="F4290" s="1">
        <v>1</v>
      </c>
      <c r="G4290" s="1" t="s">
        <v>4372</v>
      </c>
      <c r="H4290" s="1">
        <v>44</v>
      </c>
      <c r="I4290" s="1" t="s">
        <v>4386</v>
      </c>
      <c r="J4290" s="1" t="s">
        <v>318</v>
      </c>
      <c r="K4290" s="1" t="s">
        <v>10692</v>
      </c>
    </row>
    <row r="4291" spans="1:11" ht="21" x14ac:dyDescent="0.25">
      <c r="A4291" s="11" t="str">
        <f>HYPERLINK("https://rth.dk/resources/bsgatlas/details.php?id=BSGatlas-transcript-4290","BSGatlas-transcript-4290")</f>
        <v>BSGatlas-transcript-4290</v>
      </c>
      <c r="B4291" s="1" t="s">
        <v>10694</v>
      </c>
      <c r="C4291" s="3">
        <v>3807696</v>
      </c>
      <c r="D4291" s="3">
        <v>3809496</v>
      </c>
      <c r="E4291" s="1" t="s">
        <v>13</v>
      </c>
      <c r="F4291" s="1">
        <v>1</v>
      </c>
      <c r="G4291" s="1">
        <v>128</v>
      </c>
      <c r="H4291" s="1">
        <v>59</v>
      </c>
      <c r="I4291" s="1" t="s">
        <v>4373</v>
      </c>
      <c r="J4291" s="1" t="s">
        <v>10695</v>
      </c>
      <c r="K4291" s="1" t="s">
        <v>10696</v>
      </c>
    </row>
    <row r="4292" spans="1:11" ht="21" x14ac:dyDescent="0.25">
      <c r="A4292" s="11" t="str">
        <f>HYPERLINK("https://rth.dk/resources/bsgatlas/details.php?id=BSGatlas-transcript-4291","BSGatlas-transcript-4291")</f>
        <v>BSGatlas-transcript-4291</v>
      </c>
      <c r="B4292" s="1" t="s">
        <v>10694</v>
      </c>
      <c r="C4292" s="3">
        <v>3807754</v>
      </c>
      <c r="D4292" s="3">
        <v>3809496</v>
      </c>
      <c r="E4292" s="1" t="s">
        <v>13</v>
      </c>
      <c r="F4292" s="1">
        <v>1</v>
      </c>
      <c r="G4292" s="1">
        <v>128</v>
      </c>
      <c r="H4292" s="1" t="s">
        <v>4372</v>
      </c>
      <c r="I4292" s="1" t="s">
        <v>4373</v>
      </c>
      <c r="J4292" s="1" t="s">
        <v>10695</v>
      </c>
      <c r="K4292" s="1" t="s">
        <v>10697</v>
      </c>
    </row>
    <row r="4293" spans="1:11" ht="21" x14ac:dyDescent="0.25">
      <c r="A4293" s="11" t="str">
        <f>HYPERLINK("https://rth.dk/resources/bsgatlas/details.php?id=BSGatlas-transcript-4292","BSGatlas-transcript-4292")</f>
        <v>BSGatlas-transcript-4292</v>
      </c>
      <c r="B4293" s="1" t="s">
        <v>3957</v>
      </c>
      <c r="C4293" s="3">
        <v>3808453</v>
      </c>
      <c r="D4293" s="3">
        <v>3809496</v>
      </c>
      <c r="E4293" s="1" t="s">
        <v>13</v>
      </c>
      <c r="F4293" s="1">
        <v>0</v>
      </c>
      <c r="G4293" s="1" t="s">
        <v>4372</v>
      </c>
      <c r="H4293" s="1" t="s">
        <v>4372</v>
      </c>
      <c r="I4293" s="1" t="s">
        <v>4386</v>
      </c>
      <c r="J4293" s="1" t="s">
        <v>10695</v>
      </c>
      <c r="K4293" s="1" t="s">
        <v>10698</v>
      </c>
    </row>
    <row r="4294" spans="1:11" ht="21" x14ac:dyDescent="0.25">
      <c r="A4294" s="11" t="str">
        <f>HYPERLINK("https://rth.dk/resources/bsgatlas/details.php?id=BSGatlas-transcript-4293","BSGatlas-transcript-4293")</f>
        <v>BSGatlas-transcript-4293</v>
      </c>
      <c r="B4294" s="1" t="s">
        <v>3958</v>
      </c>
      <c r="C4294" s="3">
        <v>3809550</v>
      </c>
      <c r="D4294" s="3">
        <v>3809966</v>
      </c>
      <c r="E4294" s="1" t="s">
        <v>13</v>
      </c>
      <c r="F4294" s="1">
        <v>0</v>
      </c>
      <c r="G4294" s="1" t="s">
        <v>4372</v>
      </c>
      <c r="H4294" s="1" t="s">
        <v>4372</v>
      </c>
      <c r="I4294" s="1" t="s">
        <v>4373</v>
      </c>
      <c r="J4294" s="1" t="s">
        <v>10699</v>
      </c>
      <c r="K4294" s="1" t="s">
        <v>318</v>
      </c>
    </row>
    <row r="4295" spans="1:11" ht="21" x14ac:dyDescent="0.25">
      <c r="A4295" s="11" t="str">
        <f>HYPERLINK("https://rth.dk/resources/bsgatlas/details.php?id=BSGatlas-transcript-4294","BSGatlas-transcript-4294")</f>
        <v>BSGatlas-transcript-4294</v>
      </c>
      <c r="B4295" s="1" t="s">
        <v>3958</v>
      </c>
      <c r="C4295" s="3">
        <v>3809550</v>
      </c>
      <c r="D4295" s="3">
        <v>3809998</v>
      </c>
      <c r="E4295" s="1" t="s">
        <v>13</v>
      </c>
      <c r="F4295" s="1">
        <v>0</v>
      </c>
      <c r="G4295" s="1" t="s">
        <v>4372</v>
      </c>
      <c r="H4295" s="1" t="s">
        <v>4372</v>
      </c>
      <c r="I4295" s="1" t="s">
        <v>4373</v>
      </c>
      <c r="J4295" s="1" t="s">
        <v>10700</v>
      </c>
      <c r="K4295" s="1" t="s">
        <v>318</v>
      </c>
    </row>
    <row r="4296" spans="1:11" ht="21" x14ac:dyDescent="0.25">
      <c r="A4296" s="11" t="str">
        <f>HYPERLINK("https://rth.dk/resources/bsgatlas/details.php?id=BSGatlas-transcript-4295","BSGatlas-transcript-4295")</f>
        <v>BSGatlas-transcript-4295</v>
      </c>
      <c r="B4296" s="1" t="s">
        <v>3958</v>
      </c>
      <c r="C4296" s="3">
        <v>3809550</v>
      </c>
      <c r="D4296" s="3">
        <v>3810619</v>
      </c>
      <c r="E4296" s="1" t="s">
        <v>13</v>
      </c>
      <c r="F4296" s="1">
        <v>0</v>
      </c>
      <c r="G4296" s="1" t="s">
        <v>4372</v>
      </c>
      <c r="H4296" s="1" t="s">
        <v>4372</v>
      </c>
      <c r="I4296" s="1" t="s">
        <v>4373</v>
      </c>
      <c r="J4296" s="1" t="s">
        <v>10701</v>
      </c>
      <c r="K4296" s="1" t="s">
        <v>318</v>
      </c>
    </row>
    <row r="4297" spans="1:11" ht="21" x14ac:dyDescent="0.25">
      <c r="A4297" s="11" t="str">
        <f>HYPERLINK("https://rth.dk/resources/bsgatlas/details.php?id=BSGatlas-transcript-4296","BSGatlas-transcript-4296")</f>
        <v>BSGatlas-transcript-4296</v>
      </c>
      <c r="B4297" s="1" t="s">
        <v>3959</v>
      </c>
      <c r="C4297" s="3">
        <v>3810013</v>
      </c>
      <c r="D4297" s="3">
        <v>3810700</v>
      </c>
      <c r="E4297" s="1" t="s">
        <v>9</v>
      </c>
      <c r="F4297" s="1">
        <v>0</v>
      </c>
      <c r="G4297" s="1" t="s">
        <v>4372</v>
      </c>
      <c r="H4297" s="1" t="s">
        <v>4372</v>
      </c>
      <c r="I4297" s="1" t="s">
        <v>4373</v>
      </c>
      <c r="J4297" s="1" t="s">
        <v>10702</v>
      </c>
      <c r="K4297" s="1" t="s">
        <v>10703</v>
      </c>
    </row>
    <row r="4298" spans="1:11" ht="21" x14ac:dyDescent="0.25">
      <c r="A4298" s="11" t="str">
        <f>HYPERLINK("https://rth.dk/resources/bsgatlas/details.php?id=BSGatlas-transcript-4297","BSGatlas-transcript-4297")</f>
        <v>BSGatlas-transcript-4297</v>
      </c>
      <c r="B4298" s="1" t="s">
        <v>3959</v>
      </c>
      <c r="C4298" s="3">
        <v>3810058</v>
      </c>
      <c r="D4298" s="3">
        <v>3810700</v>
      </c>
      <c r="E4298" s="1" t="s">
        <v>9</v>
      </c>
      <c r="F4298" s="1">
        <v>0</v>
      </c>
      <c r="G4298" s="1" t="s">
        <v>4372</v>
      </c>
      <c r="H4298" s="1" t="s">
        <v>4372</v>
      </c>
      <c r="I4298" s="1" t="s">
        <v>4373</v>
      </c>
      <c r="J4298" s="1" t="s">
        <v>10704</v>
      </c>
      <c r="K4298" s="1" t="s">
        <v>10703</v>
      </c>
    </row>
    <row r="4299" spans="1:11" ht="21" x14ac:dyDescent="0.25">
      <c r="A4299" s="11" t="str">
        <f>HYPERLINK("https://rth.dk/resources/bsgatlas/details.php?id=BSGatlas-transcript-4298","BSGatlas-transcript-4298")</f>
        <v>BSGatlas-transcript-4298</v>
      </c>
      <c r="B4299" s="1" t="s">
        <v>3959</v>
      </c>
      <c r="C4299" s="3">
        <v>3810090</v>
      </c>
      <c r="D4299" s="3">
        <v>3810700</v>
      </c>
      <c r="E4299" s="1" t="s">
        <v>9</v>
      </c>
      <c r="F4299" s="1">
        <v>0</v>
      </c>
      <c r="G4299" s="1" t="s">
        <v>4372</v>
      </c>
      <c r="H4299" s="1" t="s">
        <v>4372</v>
      </c>
      <c r="I4299" s="1" t="s">
        <v>4373</v>
      </c>
      <c r="J4299" s="1" t="s">
        <v>10705</v>
      </c>
      <c r="K4299" s="1" t="s">
        <v>10703</v>
      </c>
    </row>
    <row r="4300" spans="1:11" ht="21" x14ac:dyDescent="0.25">
      <c r="A4300" s="11" t="str">
        <f>HYPERLINK("https://rth.dk/resources/bsgatlas/details.php?id=BSGatlas-transcript-4299","BSGatlas-transcript-4299")</f>
        <v>BSGatlas-transcript-4299</v>
      </c>
      <c r="B4300" s="1" t="s">
        <v>3960</v>
      </c>
      <c r="C4300" s="3">
        <v>3810641</v>
      </c>
      <c r="D4300" s="3">
        <v>3812479</v>
      </c>
      <c r="E4300" s="1" t="s">
        <v>13</v>
      </c>
      <c r="F4300" s="1">
        <v>0</v>
      </c>
      <c r="G4300" s="1" t="s">
        <v>4372</v>
      </c>
      <c r="H4300" s="1" t="s">
        <v>4372</v>
      </c>
      <c r="I4300" s="1" t="s">
        <v>4373</v>
      </c>
      <c r="J4300" s="1" t="s">
        <v>10706</v>
      </c>
      <c r="K4300" s="1" t="s">
        <v>10707</v>
      </c>
    </row>
    <row r="4301" spans="1:11" ht="21" x14ac:dyDescent="0.25">
      <c r="A4301" s="11" t="str">
        <f>HYPERLINK("https://rth.dk/resources/bsgatlas/details.php?id=BSGatlas-transcript-4300","BSGatlas-transcript-4300")</f>
        <v>BSGatlas-transcript-4300</v>
      </c>
      <c r="B4301" s="1" t="s">
        <v>10708</v>
      </c>
      <c r="C4301" s="3">
        <v>3810641</v>
      </c>
      <c r="D4301" s="3">
        <v>3813147</v>
      </c>
      <c r="E4301" s="1" t="s">
        <v>13</v>
      </c>
      <c r="F4301" s="1">
        <v>2</v>
      </c>
      <c r="G4301" s="1">
        <v>85</v>
      </c>
      <c r="H4301" s="1">
        <v>53</v>
      </c>
      <c r="I4301" s="1" t="s">
        <v>4386</v>
      </c>
      <c r="J4301" s="1" t="s">
        <v>10709</v>
      </c>
      <c r="K4301" s="1" t="s">
        <v>10707</v>
      </c>
    </row>
    <row r="4302" spans="1:11" ht="21" x14ac:dyDescent="0.25">
      <c r="A4302" s="11" t="str">
        <f>HYPERLINK("https://rth.dk/resources/bsgatlas/details.php?id=BSGatlas-transcript-4301","BSGatlas-transcript-4301")</f>
        <v>BSGatlas-transcript-4301</v>
      </c>
      <c r="B4302" s="1" t="s">
        <v>10708</v>
      </c>
      <c r="C4302" s="3">
        <v>3810641</v>
      </c>
      <c r="D4302" s="3">
        <v>3813149</v>
      </c>
      <c r="E4302" s="1" t="s">
        <v>13</v>
      </c>
      <c r="F4302" s="1">
        <v>2</v>
      </c>
      <c r="G4302" s="1">
        <v>87</v>
      </c>
      <c r="H4302" s="1">
        <v>53</v>
      </c>
      <c r="I4302" s="1" t="s">
        <v>4386</v>
      </c>
      <c r="J4302" s="1" t="s">
        <v>10710</v>
      </c>
      <c r="K4302" s="1" t="s">
        <v>10707</v>
      </c>
    </row>
    <row r="4303" spans="1:11" ht="21" x14ac:dyDescent="0.25">
      <c r="A4303" s="11" t="str">
        <f>HYPERLINK("https://rth.dk/resources/bsgatlas/details.php?id=BSGatlas-transcript-4302","BSGatlas-transcript-4302")</f>
        <v>BSGatlas-transcript-4302</v>
      </c>
      <c r="B4303" s="1" t="s">
        <v>10711</v>
      </c>
      <c r="C4303" s="3">
        <v>3810641</v>
      </c>
      <c r="D4303" s="3">
        <v>3816562</v>
      </c>
      <c r="E4303" s="1" t="s">
        <v>13</v>
      </c>
      <c r="F4303" s="1">
        <v>3</v>
      </c>
      <c r="G4303" s="1">
        <v>64</v>
      </c>
      <c r="H4303" s="1">
        <v>53</v>
      </c>
      <c r="I4303" s="1" t="s">
        <v>4377</v>
      </c>
      <c r="J4303" s="1" t="s">
        <v>10712</v>
      </c>
      <c r="K4303" s="1" t="s">
        <v>10707</v>
      </c>
    </row>
    <row r="4304" spans="1:11" ht="21" x14ac:dyDescent="0.25">
      <c r="A4304" s="11" t="str">
        <f>HYPERLINK("https://rth.dk/resources/bsgatlas/details.php?id=BSGatlas-transcript-4303","BSGatlas-transcript-4303")</f>
        <v>BSGatlas-transcript-4303</v>
      </c>
      <c r="B4304" s="1" t="s">
        <v>10713</v>
      </c>
      <c r="C4304" s="3">
        <v>3812402</v>
      </c>
      <c r="D4304" s="3">
        <v>3813147</v>
      </c>
      <c r="E4304" s="1" t="s">
        <v>13</v>
      </c>
      <c r="F4304" s="1">
        <v>1</v>
      </c>
      <c r="G4304" s="1">
        <v>85</v>
      </c>
      <c r="H4304" s="1" t="s">
        <v>4372</v>
      </c>
      <c r="I4304" s="1" t="s">
        <v>4377</v>
      </c>
      <c r="J4304" s="1" t="s">
        <v>10709</v>
      </c>
      <c r="K4304" s="1" t="s">
        <v>10714</v>
      </c>
    </row>
    <row r="4305" spans="1:11" ht="21" x14ac:dyDescent="0.25">
      <c r="A4305" s="11" t="str">
        <f>HYPERLINK("https://rth.dk/resources/bsgatlas/details.php?id=BSGatlas-transcript-4304","BSGatlas-transcript-4304")</f>
        <v>BSGatlas-transcript-4304</v>
      </c>
      <c r="B4305" s="1" t="s">
        <v>10713</v>
      </c>
      <c r="C4305" s="3">
        <v>3812402</v>
      </c>
      <c r="D4305" s="3">
        <v>3813149</v>
      </c>
      <c r="E4305" s="1" t="s">
        <v>13</v>
      </c>
      <c r="F4305" s="1">
        <v>1</v>
      </c>
      <c r="G4305" s="1">
        <v>87</v>
      </c>
      <c r="H4305" s="1" t="s">
        <v>4372</v>
      </c>
      <c r="I4305" s="1" t="s">
        <v>4377</v>
      </c>
      <c r="J4305" s="1" t="s">
        <v>10710</v>
      </c>
      <c r="K4305" s="1" t="s">
        <v>10714</v>
      </c>
    </row>
    <row r="4306" spans="1:11" ht="21" x14ac:dyDescent="0.25">
      <c r="A4306" s="11" t="str">
        <f>HYPERLINK("https://rth.dk/resources/bsgatlas/details.php?id=BSGatlas-transcript-4305","BSGatlas-transcript-4305")</f>
        <v>BSGatlas-transcript-4305</v>
      </c>
      <c r="B4306" s="1" t="s">
        <v>10715</v>
      </c>
      <c r="C4306" s="3">
        <v>3812402</v>
      </c>
      <c r="D4306" s="3">
        <v>3816562</v>
      </c>
      <c r="E4306" s="1" t="s">
        <v>13</v>
      </c>
      <c r="F4306" s="1">
        <v>2</v>
      </c>
      <c r="G4306" s="1">
        <v>64</v>
      </c>
      <c r="H4306" s="1" t="s">
        <v>4372</v>
      </c>
      <c r="I4306" s="1" t="s">
        <v>4377</v>
      </c>
      <c r="J4306" s="1" t="s">
        <v>10712</v>
      </c>
      <c r="K4306" s="1" t="s">
        <v>10714</v>
      </c>
    </row>
    <row r="4307" spans="1:11" ht="21" x14ac:dyDescent="0.25">
      <c r="A4307" s="11" t="str">
        <f>HYPERLINK("https://rth.dk/resources/bsgatlas/details.php?id=BSGatlas-transcript-4306","BSGatlas-transcript-4306")</f>
        <v>BSGatlas-transcript-4306</v>
      </c>
      <c r="B4307" s="1" t="s">
        <v>3962</v>
      </c>
      <c r="C4307" s="3">
        <v>3812542</v>
      </c>
      <c r="D4307" s="3">
        <v>3813147</v>
      </c>
      <c r="E4307" s="1" t="s">
        <v>13</v>
      </c>
      <c r="F4307" s="1">
        <v>0</v>
      </c>
      <c r="G4307" s="1" t="s">
        <v>4372</v>
      </c>
      <c r="H4307" s="1" t="s">
        <v>4372</v>
      </c>
      <c r="I4307" s="1" t="s">
        <v>4397</v>
      </c>
      <c r="J4307" s="1" t="s">
        <v>10709</v>
      </c>
      <c r="K4307" s="1" t="s">
        <v>10716</v>
      </c>
    </row>
    <row r="4308" spans="1:11" ht="21" x14ac:dyDescent="0.25">
      <c r="A4308" s="11" t="str">
        <f>HYPERLINK("https://rth.dk/resources/bsgatlas/details.php?id=BSGatlas-transcript-4307","BSGatlas-transcript-4307")</f>
        <v>BSGatlas-transcript-4307</v>
      </c>
      <c r="B4308" s="1" t="s">
        <v>3962</v>
      </c>
      <c r="C4308" s="3">
        <v>3812542</v>
      </c>
      <c r="D4308" s="3">
        <v>3813149</v>
      </c>
      <c r="E4308" s="1" t="s">
        <v>13</v>
      </c>
      <c r="F4308" s="1">
        <v>0</v>
      </c>
      <c r="G4308" s="1" t="s">
        <v>4372</v>
      </c>
      <c r="H4308" s="1" t="s">
        <v>4372</v>
      </c>
      <c r="I4308" s="1" t="s">
        <v>4397</v>
      </c>
      <c r="J4308" s="1" t="s">
        <v>10710</v>
      </c>
      <c r="K4308" s="1" t="s">
        <v>10716</v>
      </c>
    </row>
    <row r="4309" spans="1:11" ht="21" x14ac:dyDescent="0.25">
      <c r="A4309" s="11" t="str">
        <f>HYPERLINK("https://rth.dk/resources/bsgatlas/details.php?id=BSGatlas-transcript-4308","BSGatlas-transcript-4308")</f>
        <v>BSGatlas-transcript-4308</v>
      </c>
      <c r="B4309" s="1" t="s">
        <v>10717</v>
      </c>
      <c r="C4309" s="3">
        <v>3812542</v>
      </c>
      <c r="D4309" s="3">
        <v>3816562</v>
      </c>
      <c r="E4309" s="1" t="s">
        <v>13</v>
      </c>
      <c r="F4309" s="1">
        <v>1</v>
      </c>
      <c r="G4309" s="1">
        <v>64</v>
      </c>
      <c r="H4309" s="1" t="s">
        <v>4372</v>
      </c>
      <c r="I4309" s="1" t="s">
        <v>4373</v>
      </c>
      <c r="J4309" s="1" t="s">
        <v>10712</v>
      </c>
      <c r="K4309" s="1" t="s">
        <v>10716</v>
      </c>
    </row>
    <row r="4310" spans="1:11" ht="21" x14ac:dyDescent="0.25">
      <c r="A4310" s="11" t="str">
        <f>HYPERLINK("https://rth.dk/resources/bsgatlas/details.php?id=BSGatlas-transcript-4309","BSGatlas-transcript-4309")</f>
        <v>BSGatlas-transcript-4309</v>
      </c>
      <c r="B4310" s="1" t="s">
        <v>10718</v>
      </c>
      <c r="C4310" s="3">
        <v>3816623</v>
      </c>
      <c r="D4310" s="3">
        <v>3818825</v>
      </c>
      <c r="E4310" s="1" t="s">
        <v>9</v>
      </c>
      <c r="F4310" s="1">
        <v>0</v>
      </c>
      <c r="G4310" s="1" t="s">
        <v>4372</v>
      </c>
      <c r="H4310" s="1" t="s">
        <v>4372</v>
      </c>
      <c r="I4310" s="1" t="s">
        <v>4386</v>
      </c>
      <c r="J4310" s="1" t="s">
        <v>10719</v>
      </c>
      <c r="K4310" s="1" t="s">
        <v>318</v>
      </c>
    </row>
    <row r="4311" spans="1:11" ht="21" x14ac:dyDescent="0.25">
      <c r="A4311" s="11" t="str">
        <f>HYPERLINK("https://rth.dk/resources/bsgatlas/details.php?id=BSGatlas-transcript-4310","BSGatlas-transcript-4310")</f>
        <v>BSGatlas-transcript-4310</v>
      </c>
      <c r="B4311" s="1" t="s">
        <v>3967</v>
      </c>
      <c r="C4311" s="3">
        <v>3816846</v>
      </c>
      <c r="D4311" s="3">
        <v>3817724</v>
      </c>
      <c r="E4311" s="1" t="s">
        <v>13</v>
      </c>
      <c r="F4311" s="1">
        <v>0</v>
      </c>
      <c r="G4311" s="1" t="s">
        <v>4372</v>
      </c>
      <c r="H4311" s="1" t="s">
        <v>4372</v>
      </c>
      <c r="I4311" s="1" t="s">
        <v>4377</v>
      </c>
      <c r="J4311" s="1" t="s">
        <v>10720</v>
      </c>
      <c r="K4311" s="1" t="s">
        <v>318</v>
      </c>
    </row>
    <row r="4312" spans="1:11" ht="21" x14ac:dyDescent="0.25">
      <c r="A4312" s="11" t="str">
        <f>HYPERLINK("https://rth.dk/resources/bsgatlas/details.php?id=BSGatlas-transcript-4311","BSGatlas-transcript-4311")</f>
        <v>BSGatlas-transcript-4311</v>
      </c>
      <c r="B4312" s="1" t="s">
        <v>3968</v>
      </c>
      <c r="C4312" s="3">
        <v>3818876</v>
      </c>
      <c r="D4312" s="3">
        <v>3819228</v>
      </c>
      <c r="E4312" s="1" t="s">
        <v>9</v>
      </c>
      <c r="F4312" s="1">
        <v>0</v>
      </c>
      <c r="G4312" s="1" t="s">
        <v>4372</v>
      </c>
      <c r="H4312" s="1" t="s">
        <v>4372</v>
      </c>
      <c r="I4312" s="1" t="s">
        <v>4373</v>
      </c>
      <c r="J4312" s="1" t="s">
        <v>10721</v>
      </c>
      <c r="K4312" s="1" t="s">
        <v>10722</v>
      </c>
    </row>
    <row r="4313" spans="1:11" ht="21" x14ac:dyDescent="0.25">
      <c r="A4313" s="11" t="str">
        <f>HYPERLINK("https://rth.dk/resources/bsgatlas/details.php?id=BSGatlas-transcript-4312","BSGatlas-transcript-4312")</f>
        <v>BSGatlas-transcript-4312</v>
      </c>
      <c r="B4313" s="1" t="s">
        <v>3968</v>
      </c>
      <c r="C4313" s="3">
        <v>3818876</v>
      </c>
      <c r="D4313" s="3">
        <v>3819652</v>
      </c>
      <c r="E4313" s="1" t="s">
        <v>9</v>
      </c>
      <c r="F4313" s="1">
        <v>0</v>
      </c>
      <c r="G4313" s="1" t="s">
        <v>4372</v>
      </c>
      <c r="H4313" s="1" t="s">
        <v>4372</v>
      </c>
      <c r="I4313" s="1" t="s">
        <v>4373</v>
      </c>
      <c r="J4313" s="1" t="s">
        <v>10721</v>
      </c>
      <c r="K4313" s="1" t="s">
        <v>10723</v>
      </c>
    </row>
    <row r="4314" spans="1:11" ht="21" x14ac:dyDescent="0.25">
      <c r="A4314" s="11" t="str">
        <f>HYPERLINK("https://rth.dk/resources/bsgatlas/details.php?id=BSGatlas-transcript-4313","BSGatlas-transcript-4313")</f>
        <v>BSGatlas-transcript-4313</v>
      </c>
      <c r="B4314" s="1" t="s">
        <v>3969</v>
      </c>
      <c r="C4314" s="3">
        <v>3818890</v>
      </c>
      <c r="D4314" s="3">
        <v>3819744</v>
      </c>
      <c r="E4314" s="1" t="s">
        <v>13</v>
      </c>
      <c r="F4314" s="1">
        <v>0</v>
      </c>
      <c r="G4314" s="1" t="s">
        <v>4372</v>
      </c>
      <c r="H4314" s="1" t="s">
        <v>4372</v>
      </c>
      <c r="I4314" s="1" t="s">
        <v>4373</v>
      </c>
      <c r="J4314" s="1" t="s">
        <v>318</v>
      </c>
      <c r="K4314" s="1" t="s">
        <v>10724</v>
      </c>
    </row>
    <row r="4315" spans="1:11" ht="21" x14ac:dyDescent="0.25">
      <c r="A4315" s="11" t="str">
        <f>HYPERLINK("https://rth.dk/resources/bsgatlas/details.php?id=BSGatlas-transcript-4314","BSGatlas-transcript-4314")</f>
        <v>BSGatlas-transcript-4314</v>
      </c>
      <c r="B4315" s="1" t="s">
        <v>10725</v>
      </c>
      <c r="C4315" s="3">
        <v>3818890</v>
      </c>
      <c r="D4315" s="3">
        <v>3821529</v>
      </c>
      <c r="E4315" s="1" t="s">
        <v>13</v>
      </c>
      <c r="F4315" s="1">
        <v>0</v>
      </c>
      <c r="G4315" s="1" t="s">
        <v>4372</v>
      </c>
      <c r="H4315" s="1" t="s">
        <v>4372</v>
      </c>
      <c r="I4315" s="1" t="s">
        <v>4386</v>
      </c>
      <c r="J4315" s="1" t="s">
        <v>10726</v>
      </c>
      <c r="K4315" s="1" t="s">
        <v>10724</v>
      </c>
    </row>
    <row r="4316" spans="1:11" ht="21" x14ac:dyDescent="0.25">
      <c r="A4316" s="11" t="str">
        <f>HYPERLINK("https://rth.dk/resources/bsgatlas/details.php?id=BSGatlas-transcript-4315","BSGatlas-transcript-4315")</f>
        <v>BSGatlas-transcript-4315</v>
      </c>
      <c r="B4316" s="1" t="s">
        <v>10727</v>
      </c>
      <c r="C4316" s="3">
        <v>3818890</v>
      </c>
      <c r="D4316" s="3">
        <v>3823114</v>
      </c>
      <c r="E4316" s="1" t="s">
        <v>13</v>
      </c>
      <c r="F4316" s="1">
        <v>1</v>
      </c>
      <c r="G4316" s="1">
        <v>43</v>
      </c>
      <c r="H4316" s="1">
        <v>331</v>
      </c>
      <c r="I4316" s="1" t="s">
        <v>4386</v>
      </c>
      <c r="J4316" s="1" t="s">
        <v>10728</v>
      </c>
      <c r="K4316" s="1" t="s">
        <v>10724</v>
      </c>
    </row>
    <row r="4317" spans="1:11" ht="21" x14ac:dyDescent="0.25">
      <c r="A4317" s="11" t="str">
        <f>HYPERLINK("https://rth.dk/resources/bsgatlas/details.php?id=BSGatlas-transcript-4316","BSGatlas-transcript-4316")</f>
        <v>BSGatlas-transcript-4316</v>
      </c>
      <c r="B4317" s="1" t="s">
        <v>3969</v>
      </c>
      <c r="C4317" s="3">
        <v>3819179</v>
      </c>
      <c r="D4317" s="3">
        <v>3819744</v>
      </c>
      <c r="E4317" s="1" t="s">
        <v>13</v>
      </c>
      <c r="F4317" s="1">
        <v>0</v>
      </c>
      <c r="G4317" s="1" t="s">
        <v>4372</v>
      </c>
      <c r="H4317" s="1" t="s">
        <v>4372</v>
      </c>
      <c r="I4317" s="1" t="s">
        <v>4373</v>
      </c>
      <c r="J4317" s="1" t="s">
        <v>318</v>
      </c>
      <c r="K4317" s="1" t="s">
        <v>10729</v>
      </c>
    </row>
    <row r="4318" spans="1:11" ht="21" x14ac:dyDescent="0.25">
      <c r="A4318" s="11" t="str">
        <f>HYPERLINK("https://rth.dk/resources/bsgatlas/details.php?id=BSGatlas-transcript-4317","BSGatlas-transcript-4317")</f>
        <v>BSGatlas-transcript-4317</v>
      </c>
      <c r="B4318" s="1" t="s">
        <v>10725</v>
      </c>
      <c r="C4318" s="3">
        <v>3819179</v>
      </c>
      <c r="D4318" s="3">
        <v>3821529</v>
      </c>
      <c r="E4318" s="1" t="s">
        <v>13</v>
      </c>
      <c r="F4318" s="1">
        <v>0</v>
      </c>
      <c r="G4318" s="1" t="s">
        <v>4372</v>
      </c>
      <c r="H4318" s="1" t="s">
        <v>4372</v>
      </c>
      <c r="I4318" s="1" t="s">
        <v>4386</v>
      </c>
      <c r="J4318" s="1" t="s">
        <v>10726</v>
      </c>
      <c r="K4318" s="1" t="s">
        <v>10729</v>
      </c>
    </row>
    <row r="4319" spans="1:11" ht="21" x14ac:dyDescent="0.25">
      <c r="A4319" s="11" t="str">
        <f>HYPERLINK("https://rth.dk/resources/bsgatlas/details.php?id=BSGatlas-transcript-4318","BSGatlas-transcript-4318")</f>
        <v>BSGatlas-transcript-4318</v>
      </c>
      <c r="B4319" s="1" t="s">
        <v>10727</v>
      </c>
      <c r="C4319" s="3">
        <v>3819179</v>
      </c>
      <c r="D4319" s="3">
        <v>3823114</v>
      </c>
      <c r="E4319" s="1" t="s">
        <v>13</v>
      </c>
      <c r="F4319" s="1">
        <v>1</v>
      </c>
      <c r="G4319" s="1">
        <v>43</v>
      </c>
      <c r="H4319" s="1">
        <v>42</v>
      </c>
      <c r="I4319" s="1" t="s">
        <v>4386</v>
      </c>
      <c r="J4319" s="1" t="s">
        <v>10728</v>
      </c>
      <c r="K4319" s="1" t="s">
        <v>10729</v>
      </c>
    </row>
    <row r="4320" spans="1:11" ht="21" x14ac:dyDescent="0.25">
      <c r="A4320" s="11" t="str">
        <f>HYPERLINK("https://rth.dk/resources/bsgatlas/details.php?id=BSGatlas-transcript-4319","BSGatlas-transcript-4319")</f>
        <v>BSGatlas-transcript-4319</v>
      </c>
      <c r="B4320" s="1" t="s">
        <v>3969</v>
      </c>
      <c r="C4320" s="3">
        <v>3819220</v>
      </c>
      <c r="D4320" s="3">
        <v>3819744</v>
      </c>
      <c r="E4320" s="1" t="s">
        <v>13</v>
      </c>
      <c r="F4320" s="1">
        <v>0</v>
      </c>
      <c r="G4320" s="1" t="s">
        <v>4372</v>
      </c>
      <c r="H4320" s="1" t="s">
        <v>4372</v>
      </c>
      <c r="I4320" s="1" t="s">
        <v>4373</v>
      </c>
      <c r="J4320" s="1" t="s">
        <v>318</v>
      </c>
      <c r="K4320" s="1" t="s">
        <v>10730</v>
      </c>
    </row>
    <row r="4321" spans="1:11" ht="21" x14ac:dyDescent="0.25">
      <c r="A4321" s="11" t="str">
        <f>HYPERLINK("https://rth.dk/resources/bsgatlas/details.php?id=BSGatlas-transcript-4320","BSGatlas-transcript-4320")</f>
        <v>BSGatlas-transcript-4320</v>
      </c>
      <c r="B4321" s="1" t="s">
        <v>10725</v>
      </c>
      <c r="C4321" s="3">
        <v>3819220</v>
      </c>
      <c r="D4321" s="3">
        <v>3821529</v>
      </c>
      <c r="E4321" s="1" t="s">
        <v>13</v>
      </c>
      <c r="F4321" s="1">
        <v>0</v>
      </c>
      <c r="G4321" s="1" t="s">
        <v>4372</v>
      </c>
      <c r="H4321" s="1" t="s">
        <v>4372</v>
      </c>
      <c r="I4321" s="1" t="s">
        <v>4386</v>
      </c>
      <c r="J4321" s="1" t="s">
        <v>10726</v>
      </c>
      <c r="K4321" s="1" t="s">
        <v>10730</v>
      </c>
    </row>
    <row r="4322" spans="1:11" ht="21" x14ac:dyDescent="0.25">
      <c r="A4322" s="11" t="str">
        <f>HYPERLINK("https://rth.dk/resources/bsgatlas/details.php?id=BSGatlas-transcript-4321","BSGatlas-transcript-4321")</f>
        <v>BSGatlas-transcript-4321</v>
      </c>
      <c r="B4322" s="1" t="s">
        <v>10727</v>
      </c>
      <c r="C4322" s="3">
        <v>3819220</v>
      </c>
      <c r="D4322" s="3">
        <v>3823114</v>
      </c>
      <c r="E4322" s="1" t="s">
        <v>13</v>
      </c>
      <c r="F4322" s="1">
        <v>1</v>
      </c>
      <c r="G4322" s="1">
        <v>43</v>
      </c>
      <c r="H4322" s="1" t="s">
        <v>4372</v>
      </c>
      <c r="I4322" s="1" t="s">
        <v>4386</v>
      </c>
      <c r="J4322" s="1" t="s">
        <v>10728</v>
      </c>
      <c r="K4322" s="1" t="s">
        <v>10730</v>
      </c>
    </row>
    <row r="4323" spans="1:11" ht="21" x14ac:dyDescent="0.25">
      <c r="A4323" s="11" t="str">
        <f>HYPERLINK("https://rth.dk/resources/bsgatlas/details.php?id=BSGatlas-transcript-4322","BSGatlas-transcript-4322")</f>
        <v>BSGatlas-transcript-4322</v>
      </c>
      <c r="B4323" s="1" t="s">
        <v>3970</v>
      </c>
      <c r="C4323" s="3">
        <v>3819754</v>
      </c>
      <c r="D4323" s="3">
        <v>3821529</v>
      </c>
      <c r="E4323" s="1" t="s">
        <v>13</v>
      </c>
      <c r="F4323" s="1">
        <v>0</v>
      </c>
      <c r="G4323" s="1" t="s">
        <v>4372</v>
      </c>
      <c r="H4323" s="1" t="s">
        <v>4372</v>
      </c>
      <c r="I4323" s="1" t="s">
        <v>4382</v>
      </c>
      <c r="J4323" s="1" t="s">
        <v>10726</v>
      </c>
      <c r="K4323" s="1" t="s">
        <v>318</v>
      </c>
    </row>
    <row r="4324" spans="1:11" ht="21" x14ac:dyDescent="0.25">
      <c r="A4324" s="11" t="str">
        <f>HYPERLINK("https://rth.dk/resources/bsgatlas/details.php?id=BSGatlas-transcript-4323","BSGatlas-transcript-4323")</f>
        <v>BSGatlas-transcript-4323</v>
      </c>
      <c r="B4324" s="1" t="s">
        <v>10731</v>
      </c>
      <c r="C4324" s="3">
        <v>3823180</v>
      </c>
      <c r="D4324" s="3">
        <v>3829977</v>
      </c>
      <c r="E4324" s="1" t="s">
        <v>13</v>
      </c>
      <c r="F4324" s="1">
        <v>1</v>
      </c>
      <c r="G4324" s="1">
        <v>33</v>
      </c>
      <c r="H4324" s="1">
        <v>379</v>
      </c>
      <c r="I4324" s="1" t="s">
        <v>4373</v>
      </c>
      <c r="J4324" s="1" t="s">
        <v>10732</v>
      </c>
      <c r="K4324" s="1" t="s">
        <v>10733</v>
      </c>
    </row>
    <row r="4325" spans="1:11" ht="21" x14ac:dyDescent="0.25">
      <c r="A4325" s="11" t="str">
        <f>HYPERLINK("https://rth.dk/resources/bsgatlas/details.php?id=BSGatlas-transcript-4324","BSGatlas-transcript-4324")</f>
        <v>BSGatlas-transcript-4324</v>
      </c>
      <c r="B4325" s="1" t="s">
        <v>10731</v>
      </c>
      <c r="C4325" s="3">
        <v>3823180</v>
      </c>
      <c r="D4325" s="3">
        <v>3829978</v>
      </c>
      <c r="E4325" s="1" t="s">
        <v>13</v>
      </c>
      <c r="F4325" s="1">
        <v>1</v>
      </c>
      <c r="G4325" s="1">
        <v>34</v>
      </c>
      <c r="H4325" s="1">
        <v>379</v>
      </c>
      <c r="I4325" s="1" t="s">
        <v>4373</v>
      </c>
      <c r="J4325" s="1" t="s">
        <v>10734</v>
      </c>
      <c r="K4325" s="1" t="s">
        <v>10733</v>
      </c>
    </row>
    <row r="4326" spans="1:11" ht="21" x14ac:dyDescent="0.25">
      <c r="A4326" s="11" t="str">
        <f>HYPERLINK("https://rth.dk/resources/bsgatlas/details.php?id=BSGatlas-transcript-4325","BSGatlas-transcript-4325")</f>
        <v>BSGatlas-transcript-4325</v>
      </c>
      <c r="B4326" s="1" t="s">
        <v>10731</v>
      </c>
      <c r="C4326" s="3">
        <v>3823521</v>
      </c>
      <c r="D4326" s="3">
        <v>3829977</v>
      </c>
      <c r="E4326" s="1" t="s">
        <v>13</v>
      </c>
      <c r="F4326" s="1">
        <v>1</v>
      </c>
      <c r="G4326" s="1">
        <v>33</v>
      </c>
      <c r="H4326" s="1">
        <v>38</v>
      </c>
      <c r="I4326" s="1" t="s">
        <v>4373</v>
      </c>
      <c r="J4326" s="1" t="s">
        <v>10732</v>
      </c>
      <c r="K4326" s="1" t="s">
        <v>10735</v>
      </c>
    </row>
    <row r="4327" spans="1:11" ht="21" x14ac:dyDescent="0.25">
      <c r="A4327" s="11" t="str">
        <f>HYPERLINK("https://rth.dk/resources/bsgatlas/details.php?id=BSGatlas-transcript-4326","BSGatlas-transcript-4326")</f>
        <v>BSGatlas-transcript-4326</v>
      </c>
      <c r="B4327" s="1" t="s">
        <v>10731</v>
      </c>
      <c r="C4327" s="3">
        <v>3823521</v>
      </c>
      <c r="D4327" s="3">
        <v>3829978</v>
      </c>
      <c r="E4327" s="1" t="s">
        <v>13</v>
      </c>
      <c r="F4327" s="1">
        <v>1</v>
      </c>
      <c r="G4327" s="1">
        <v>34</v>
      </c>
      <c r="H4327" s="1">
        <v>38</v>
      </c>
      <c r="I4327" s="1" t="s">
        <v>4373</v>
      </c>
      <c r="J4327" s="1" t="s">
        <v>10734</v>
      </c>
      <c r="K4327" s="1" t="s">
        <v>10735</v>
      </c>
    </row>
    <row r="4328" spans="1:11" ht="21" x14ac:dyDescent="0.25">
      <c r="A4328" s="11" t="str">
        <f>HYPERLINK("https://rth.dk/resources/bsgatlas/details.php?id=BSGatlas-transcript-4327","BSGatlas-transcript-4327")</f>
        <v>BSGatlas-transcript-4327</v>
      </c>
      <c r="B4328" s="1" t="s">
        <v>3976</v>
      </c>
      <c r="C4328" s="3">
        <v>3830116</v>
      </c>
      <c r="D4328" s="3">
        <v>3830642</v>
      </c>
      <c r="E4328" s="1" t="s">
        <v>13</v>
      </c>
      <c r="F4328" s="1">
        <v>0</v>
      </c>
      <c r="G4328" s="1" t="s">
        <v>4372</v>
      </c>
      <c r="H4328" s="1" t="s">
        <v>4372</v>
      </c>
      <c r="I4328" s="1" t="s">
        <v>4373</v>
      </c>
      <c r="J4328" s="1" t="s">
        <v>10736</v>
      </c>
      <c r="K4328" s="1" t="s">
        <v>10737</v>
      </c>
    </row>
    <row r="4329" spans="1:11" ht="21" x14ac:dyDescent="0.25">
      <c r="A4329" s="11" t="str">
        <f>HYPERLINK("https://rth.dk/resources/bsgatlas/details.php?id=BSGatlas-transcript-4328","BSGatlas-transcript-4328")</f>
        <v>BSGatlas-transcript-4328</v>
      </c>
      <c r="B4329" s="1" t="s">
        <v>3977</v>
      </c>
      <c r="C4329" s="3">
        <v>3830724</v>
      </c>
      <c r="D4329" s="3">
        <v>3831480</v>
      </c>
      <c r="E4329" s="1" t="s">
        <v>9</v>
      </c>
      <c r="F4329" s="1">
        <v>0</v>
      </c>
      <c r="G4329" s="1" t="s">
        <v>4372</v>
      </c>
      <c r="H4329" s="1" t="s">
        <v>4372</v>
      </c>
      <c r="I4329" s="1" t="s">
        <v>4397</v>
      </c>
      <c r="J4329" s="1" t="s">
        <v>10738</v>
      </c>
      <c r="K4329" s="1" t="s">
        <v>10739</v>
      </c>
    </row>
    <row r="4330" spans="1:11" ht="21" x14ac:dyDescent="0.25">
      <c r="A4330" s="11" t="str">
        <f>HYPERLINK("https://rth.dk/resources/bsgatlas/details.php?id=BSGatlas-transcript-4329","BSGatlas-transcript-4329")</f>
        <v>BSGatlas-transcript-4329</v>
      </c>
      <c r="B4330" s="1" t="s">
        <v>3978</v>
      </c>
      <c r="C4330" s="3">
        <v>3831471</v>
      </c>
      <c r="D4330" s="3">
        <v>3832256</v>
      </c>
      <c r="E4330" s="1" t="s">
        <v>13</v>
      </c>
      <c r="F4330" s="1">
        <v>0</v>
      </c>
      <c r="G4330" s="1" t="s">
        <v>4372</v>
      </c>
      <c r="H4330" s="1" t="s">
        <v>4372</v>
      </c>
      <c r="I4330" s="1" t="s">
        <v>4386</v>
      </c>
      <c r="J4330" s="1" t="s">
        <v>10740</v>
      </c>
      <c r="K4330" s="1" t="s">
        <v>10741</v>
      </c>
    </row>
    <row r="4331" spans="1:11" ht="21" x14ac:dyDescent="0.25">
      <c r="A4331" s="11" t="str">
        <f>HYPERLINK("https://rth.dk/resources/bsgatlas/details.php?id=BSGatlas-transcript-4330","BSGatlas-transcript-4330")</f>
        <v>BSGatlas-transcript-4330</v>
      </c>
      <c r="B4331" s="1" t="s">
        <v>10742</v>
      </c>
      <c r="C4331" s="3">
        <v>3831471</v>
      </c>
      <c r="D4331" s="3">
        <v>3833545</v>
      </c>
      <c r="E4331" s="1" t="s">
        <v>13</v>
      </c>
      <c r="F4331" s="1">
        <v>1</v>
      </c>
      <c r="G4331" s="1">
        <v>32</v>
      </c>
      <c r="H4331" s="1">
        <v>42</v>
      </c>
      <c r="I4331" s="1" t="s">
        <v>4373</v>
      </c>
      <c r="J4331" s="1" t="s">
        <v>10743</v>
      </c>
      <c r="K4331" s="1" t="s">
        <v>10741</v>
      </c>
    </row>
    <row r="4332" spans="1:11" ht="21" x14ac:dyDescent="0.25">
      <c r="A4332" s="11" t="str">
        <f>HYPERLINK("https://rth.dk/resources/bsgatlas/details.php?id=BSGatlas-transcript-4331","BSGatlas-transcript-4331")</f>
        <v>BSGatlas-transcript-4331</v>
      </c>
      <c r="B4332" s="1" t="s">
        <v>3978</v>
      </c>
      <c r="C4332" s="3">
        <v>3831512</v>
      </c>
      <c r="D4332" s="3">
        <v>3832256</v>
      </c>
      <c r="E4332" s="1" t="s">
        <v>13</v>
      </c>
      <c r="F4332" s="1">
        <v>0</v>
      </c>
      <c r="G4332" s="1" t="s">
        <v>4372</v>
      </c>
      <c r="H4332" s="1" t="s">
        <v>4372</v>
      </c>
      <c r="I4332" s="1" t="s">
        <v>4386</v>
      </c>
      <c r="J4332" s="1" t="s">
        <v>10740</v>
      </c>
      <c r="K4332" s="1" t="s">
        <v>10744</v>
      </c>
    </row>
    <row r="4333" spans="1:11" ht="21" x14ac:dyDescent="0.25">
      <c r="A4333" s="11" t="str">
        <f>HYPERLINK("https://rth.dk/resources/bsgatlas/details.php?id=BSGatlas-transcript-4332","BSGatlas-transcript-4332")</f>
        <v>BSGatlas-transcript-4332</v>
      </c>
      <c r="B4333" s="1" t="s">
        <v>10742</v>
      </c>
      <c r="C4333" s="3">
        <v>3831512</v>
      </c>
      <c r="D4333" s="3">
        <v>3833545</v>
      </c>
      <c r="E4333" s="1" t="s">
        <v>13</v>
      </c>
      <c r="F4333" s="1">
        <v>1</v>
      </c>
      <c r="G4333" s="1">
        <v>32</v>
      </c>
      <c r="H4333" s="1" t="s">
        <v>4372</v>
      </c>
      <c r="I4333" s="1" t="s">
        <v>4373</v>
      </c>
      <c r="J4333" s="1" t="s">
        <v>10743</v>
      </c>
      <c r="K4333" s="1" t="s">
        <v>10744</v>
      </c>
    </row>
    <row r="4334" spans="1:11" ht="21" x14ac:dyDescent="0.25">
      <c r="A4334" s="11" t="str">
        <f>HYPERLINK("https://rth.dk/resources/bsgatlas/details.php?id=BSGatlas-transcript-4333","BSGatlas-transcript-4333")</f>
        <v>BSGatlas-transcript-4333</v>
      </c>
      <c r="B4334" s="1" t="s">
        <v>3980</v>
      </c>
      <c r="C4334" s="3">
        <v>3833599</v>
      </c>
      <c r="D4334" s="3">
        <v>3835320</v>
      </c>
      <c r="E4334" s="1" t="s">
        <v>13</v>
      </c>
      <c r="F4334" s="1">
        <v>0</v>
      </c>
      <c r="G4334" s="1" t="s">
        <v>4372</v>
      </c>
      <c r="H4334" s="1" t="s">
        <v>4372</v>
      </c>
      <c r="I4334" s="1" t="s">
        <v>4373</v>
      </c>
      <c r="J4334" s="1" t="s">
        <v>318</v>
      </c>
      <c r="K4334" s="1" t="s">
        <v>10745</v>
      </c>
    </row>
    <row r="4335" spans="1:11" ht="21" x14ac:dyDescent="0.25">
      <c r="A4335" s="11" t="str">
        <f>HYPERLINK("https://rth.dk/resources/bsgatlas/details.php?id=BSGatlas-transcript-4334","BSGatlas-transcript-4334")</f>
        <v>BSGatlas-transcript-4334</v>
      </c>
      <c r="B4335" s="1" t="s">
        <v>10746</v>
      </c>
      <c r="C4335" s="3">
        <v>3833599</v>
      </c>
      <c r="D4335" s="3">
        <v>3835829</v>
      </c>
      <c r="E4335" s="1" t="s">
        <v>13</v>
      </c>
      <c r="F4335" s="1">
        <v>0</v>
      </c>
      <c r="G4335" s="1" t="s">
        <v>4372</v>
      </c>
      <c r="H4335" s="1" t="s">
        <v>4372</v>
      </c>
      <c r="I4335" s="1" t="s">
        <v>4386</v>
      </c>
      <c r="J4335" s="1" t="s">
        <v>10747</v>
      </c>
      <c r="K4335" s="1" t="s">
        <v>10745</v>
      </c>
    </row>
    <row r="4336" spans="1:11" ht="21" x14ac:dyDescent="0.25">
      <c r="A4336" s="11" t="str">
        <f>HYPERLINK("https://rth.dk/resources/bsgatlas/details.php?id=BSGatlas-transcript-4335","BSGatlas-transcript-4335")</f>
        <v>BSGatlas-transcript-4335</v>
      </c>
      <c r="B4336" s="1" t="s">
        <v>10746</v>
      </c>
      <c r="C4336" s="3">
        <v>3833599</v>
      </c>
      <c r="D4336" s="3">
        <v>3835896</v>
      </c>
      <c r="E4336" s="1" t="s">
        <v>13</v>
      </c>
      <c r="F4336" s="1">
        <v>0</v>
      </c>
      <c r="G4336" s="1" t="s">
        <v>4372</v>
      </c>
      <c r="H4336" s="1" t="s">
        <v>4372</v>
      </c>
      <c r="I4336" s="1" t="s">
        <v>4386</v>
      </c>
      <c r="J4336" s="1" t="s">
        <v>10748</v>
      </c>
      <c r="K4336" s="1" t="s">
        <v>10745</v>
      </c>
    </row>
    <row r="4337" spans="1:11" ht="21" x14ac:dyDescent="0.25">
      <c r="A4337" s="11" t="str">
        <f>HYPERLINK("https://rth.dk/resources/bsgatlas/details.php?id=BSGatlas-transcript-4336","BSGatlas-transcript-4336")</f>
        <v>BSGatlas-transcript-4336</v>
      </c>
      <c r="B4337" s="1" t="s">
        <v>3982</v>
      </c>
      <c r="C4337" s="3">
        <v>3835820</v>
      </c>
      <c r="D4337" s="3">
        <v>3836233</v>
      </c>
      <c r="E4337" s="1" t="s">
        <v>9</v>
      </c>
      <c r="F4337" s="1">
        <v>0</v>
      </c>
      <c r="G4337" s="1" t="s">
        <v>4372</v>
      </c>
      <c r="H4337" s="1" t="s">
        <v>4372</v>
      </c>
      <c r="I4337" s="1" t="s">
        <v>4377</v>
      </c>
      <c r="J4337" s="1" t="s">
        <v>10749</v>
      </c>
      <c r="K4337" s="1" t="s">
        <v>10750</v>
      </c>
    </row>
    <row r="4338" spans="1:11" ht="21" x14ac:dyDescent="0.25">
      <c r="A4338" s="11" t="str">
        <f>HYPERLINK("https://rth.dk/resources/bsgatlas/details.php?id=BSGatlas-transcript-4337","BSGatlas-transcript-4337")</f>
        <v>BSGatlas-transcript-4337</v>
      </c>
      <c r="B4338" s="1" t="s">
        <v>10751</v>
      </c>
      <c r="C4338" s="3">
        <v>3835820</v>
      </c>
      <c r="D4338" s="3">
        <v>3842995</v>
      </c>
      <c r="E4338" s="1" t="s">
        <v>9</v>
      </c>
      <c r="F4338" s="1">
        <v>1</v>
      </c>
      <c r="G4338" s="1">
        <v>239</v>
      </c>
      <c r="H4338" s="1" t="s">
        <v>4372</v>
      </c>
      <c r="I4338" s="1" t="s">
        <v>4373</v>
      </c>
      <c r="J4338" s="1" t="s">
        <v>10749</v>
      </c>
      <c r="K4338" s="1" t="s">
        <v>318</v>
      </c>
    </row>
    <row r="4339" spans="1:11" ht="21" x14ac:dyDescent="0.25">
      <c r="A4339" s="11" t="str">
        <f>HYPERLINK("https://rth.dk/resources/bsgatlas/details.php?id=BSGatlas-transcript-4338","BSGatlas-transcript-4338")</f>
        <v>BSGatlas-transcript-4338</v>
      </c>
      <c r="B4339" s="1" t="s">
        <v>3982</v>
      </c>
      <c r="C4339" s="3">
        <v>3836013</v>
      </c>
      <c r="D4339" s="3">
        <v>3836233</v>
      </c>
      <c r="E4339" s="1" t="s">
        <v>9</v>
      </c>
      <c r="F4339" s="1">
        <v>0</v>
      </c>
      <c r="G4339" s="1" t="s">
        <v>4372</v>
      </c>
      <c r="H4339" s="1" t="s">
        <v>4372</v>
      </c>
      <c r="I4339" s="1" t="s">
        <v>4377</v>
      </c>
      <c r="J4339" s="1" t="s">
        <v>10752</v>
      </c>
      <c r="K4339" s="1" t="s">
        <v>10750</v>
      </c>
    </row>
    <row r="4340" spans="1:11" ht="21" x14ac:dyDescent="0.25">
      <c r="A4340" s="11" t="str">
        <f>HYPERLINK("https://rth.dk/resources/bsgatlas/details.php?id=BSGatlas-transcript-4339","BSGatlas-transcript-4339")</f>
        <v>BSGatlas-transcript-4339</v>
      </c>
      <c r="B4340" s="1" t="s">
        <v>10751</v>
      </c>
      <c r="C4340" s="3">
        <v>3836013</v>
      </c>
      <c r="D4340" s="3">
        <v>3842995</v>
      </c>
      <c r="E4340" s="1" t="s">
        <v>9</v>
      </c>
      <c r="F4340" s="1">
        <v>1</v>
      </c>
      <c r="G4340" s="1">
        <v>46</v>
      </c>
      <c r="H4340" s="1" t="s">
        <v>4372</v>
      </c>
      <c r="I4340" s="1" t="s">
        <v>4373</v>
      </c>
      <c r="J4340" s="1" t="s">
        <v>10752</v>
      </c>
      <c r="K4340" s="1" t="s">
        <v>318</v>
      </c>
    </row>
    <row r="4341" spans="1:11" ht="21" x14ac:dyDescent="0.25">
      <c r="A4341" s="11" t="str">
        <f>HYPERLINK("https://rth.dk/resources/bsgatlas/details.php?id=BSGatlas-transcript-4340","BSGatlas-transcript-4340")</f>
        <v>BSGatlas-transcript-4340</v>
      </c>
      <c r="B4341" s="1" t="s">
        <v>10753</v>
      </c>
      <c r="C4341" s="3">
        <v>3842540</v>
      </c>
      <c r="D4341" s="3">
        <v>3845825</v>
      </c>
      <c r="E4341" s="1" t="s">
        <v>13</v>
      </c>
      <c r="F4341" s="1">
        <v>1</v>
      </c>
      <c r="G4341" s="1">
        <v>55</v>
      </c>
      <c r="H4341" s="1">
        <v>462</v>
      </c>
      <c r="I4341" s="1" t="s">
        <v>4386</v>
      </c>
      <c r="J4341" s="1" t="s">
        <v>10754</v>
      </c>
      <c r="K4341" s="1" t="s">
        <v>10755</v>
      </c>
    </row>
    <row r="4342" spans="1:11" ht="21" x14ac:dyDescent="0.25">
      <c r="A4342" s="11" t="str">
        <f>HYPERLINK("https://rth.dk/resources/bsgatlas/details.php?id=BSGatlas-transcript-4341","BSGatlas-transcript-4341")</f>
        <v>BSGatlas-transcript-4341</v>
      </c>
      <c r="B4342" s="1" t="s">
        <v>10753</v>
      </c>
      <c r="C4342" s="3">
        <v>3842672</v>
      </c>
      <c r="D4342" s="3">
        <v>3845825</v>
      </c>
      <c r="E4342" s="1" t="s">
        <v>13</v>
      </c>
      <c r="F4342" s="1">
        <v>1</v>
      </c>
      <c r="G4342" s="1">
        <v>55</v>
      </c>
      <c r="H4342" s="1">
        <v>330</v>
      </c>
      <c r="I4342" s="1" t="s">
        <v>4386</v>
      </c>
      <c r="J4342" s="1" t="s">
        <v>10754</v>
      </c>
      <c r="K4342" s="1" t="s">
        <v>10756</v>
      </c>
    </row>
    <row r="4343" spans="1:11" ht="21" x14ac:dyDescent="0.25">
      <c r="A4343" s="11" t="str">
        <f>HYPERLINK("https://rth.dk/resources/bsgatlas/details.php?id=BSGatlas-transcript-4342","BSGatlas-transcript-4342")</f>
        <v>BSGatlas-transcript-4342</v>
      </c>
      <c r="B4343" s="1" t="s">
        <v>10757</v>
      </c>
      <c r="C4343" s="3">
        <v>3845952</v>
      </c>
      <c r="D4343" s="3">
        <v>3847281</v>
      </c>
      <c r="E4343" s="1" t="s">
        <v>9</v>
      </c>
      <c r="F4343" s="1">
        <v>0</v>
      </c>
      <c r="G4343" s="1" t="s">
        <v>4372</v>
      </c>
      <c r="H4343" s="1" t="s">
        <v>4372</v>
      </c>
      <c r="I4343" s="1" t="s">
        <v>4373</v>
      </c>
      <c r="J4343" s="1" t="s">
        <v>10758</v>
      </c>
      <c r="K4343" s="1" t="s">
        <v>10759</v>
      </c>
    </row>
    <row r="4344" spans="1:11" ht="21" x14ac:dyDescent="0.25">
      <c r="A4344" s="11" t="str">
        <f>HYPERLINK("https://rth.dk/resources/bsgatlas/details.php?id=BSGatlas-transcript-4343","BSGatlas-transcript-4343")</f>
        <v>BSGatlas-transcript-4343</v>
      </c>
      <c r="B4344" s="1" t="s">
        <v>10760</v>
      </c>
      <c r="C4344" s="3">
        <v>3845975</v>
      </c>
      <c r="D4344" s="3">
        <v>3849700</v>
      </c>
      <c r="E4344" s="1" t="s">
        <v>13</v>
      </c>
      <c r="F4344" s="1">
        <v>1</v>
      </c>
      <c r="G4344" s="1">
        <v>85</v>
      </c>
      <c r="H4344" s="1">
        <v>1879</v>
      </c>
      <c r="I4344" s="1" t="s">
        <v>4373</v>
      </c>
      <c r="J4344" s="1" t="s">
        <v>10761</v>
      </c>
      <c r="K4344" s="1" t="s">
        <v>10762</v>
      </c>
    </row>
    <row r="4345" spans="1:11" ht="21" x14ac:dyDescent="0.25">
      <c r="A4345" s="11" t="str">
        <f>HYPERLINK("https://rth.dk/resources/bsgatlas/details.php?id=BSGatlas-transcript-4344","BSGatlas-transcript-4344")</f>
        <v>BSGatlas-transcript-4344</v>
      </c>
      <c r="B4345" s="1" t="s">
        <v>3994</v>
      </c>
      <c r="C4345" s="3">
        <v>3847043</v>
      </c>
      <c r="D4345" s="3">
        <v>3847281</v>
      </c>
      <c r="E4345" s="1" t="s">
        <v>9</v>
      </c>
      <c r="F4345" s="1">
        <v>0</v>
      </c>
      <c r="G4345" s="1" t="s">
        <v>4372</v>
      </c>
      <c r="H4345" s="1" t="s">
        <v>4372</v>
      </c>
      <c r="I4345" s="1" t="s">
        <v>4386</v>
      </c>
      <c r="J4345" s="1" t="s">
        <v>10763</v>
      </c>
      <c r="K4345" s="1" t="s">
        <v>10759</v>
      </c>
    </row>
    <row r="4346" spans="1:11" ht="21" x14ac:dyDescent="0.25">
      <c r="A4346" s="11" t="str">
        <f>HYPERLINK("https://rth.dk/resources/bsgatlas/details.php?id=BSGatlas-transcript-4345","BSGatlas-transcript-4345")</f>
        <v>BSGatlas-transcript-4345</v>
      </c>
      <c r="B4346" s="1" t="s">
        <v>10760</v>
      </c>
      <c r="C4346" s="3">
        <v>3847094</v>
      </c>
      <c r="D4346" s="3">
        <v>3849700</v>
      </c>
      <c r="E4346" s="1" t="s">
        <v>13</v>
      </c>
      <c r="F4346" s="1">
        <v>1</v>
      </c>
      <c r="G4346" s="1">
        <v>85</v>
      </c>
      <c r="H4346" s="1">
        <v>760</v>
      </c>
      <c r="I4346" s="1" t="s">
        <v>4373</v>
      </c>
      <c r="J4346" s="1" t="s">
        <v>10761</v>
      </c>
      <c r="K4346" s="1" t="s">
        <v>10764</v>
      </c>
    </row>
    <row r="4347" spans="1:11" ht="21" x14ac:dyDescent="0.25">
      <c r="A4347" s="11" t="str">
        <f>HYPERLINK("https://rth.dk/resources/bsgatlas/details.php?id=BSGatlas-transcript-4346","BSGatlas-transcript-4346")</f>
        <v>BSGatlas-transcript-4346</v>
      </c>
      <c r="B4347" s="1" t="s">
        <v>3997</v>
      </c>
      <c r="C4347" s="3">
        <v>3847348</v>
      </c>
      <c r="D4347" s="3">
        <v>3847862</v>
      </c>
      <c r="E4347" s="1" t="s">
        <v>9</v>
      </c>
      <c r="F4347" s="1">
        <v>0</v>
      </c>
      <c r="G4347" s="1" t="s">
        <v>4372</v>
      </c>
      <c r="H4347" s="1" t="s">
        <v>4372</v>
      </c>
      <c r="I4347" s="1" t="s">
        <v>4373</v>
      </c>
      <c r="J4347" s="1" t="s">
        <v>318</v>
      </c>
      <c r="K4347" s="1" t="s">
        <v>10765</v>
      </c>
    </row>
    <row r="4348" spans="1:11" ht="21" x14ac:dyDescent="0.25">
      <c r="A4348" s="11" t="str">
        <f>HYPERLINK("https://rth.dk/resources/bsgatlas/details.php?id=BSGatlas-transcript-4347","BSGatlas-transcript-4347")</f>
        <v>BSGatlas-transcript-4347</v>
      </c>
      <c r="B4348" s="1" t="s">
        <v>10760</v>
      </c>
      <c r="C4348" s="3">
        <v>3847812</v>
      </c>
      <c r="D4348" s="3">
        <v>3849700</v>
      </c>
      <c r="E4348" s="1" t="s">
        <v>13</v>
      </c>
      <c r="F4348" s="1">
        <v>1</v>
      </c>
      <c r="G4348" s="1">
        <v>85</v>
      </c>
      <c r="H4348" s="1">
        <v>42</v>
      </c>
      <c r="I4348" s="1" t="s">
        <v>4373</v>
      </c>
      <c r="J4348" s="1" t="s">
        <v>10761</v>
      </c>
      <c r="K4348" s="1" t="s">
        <v>10766</v>
      </c>
    </row>
    <row r="4349" spans="1:11" ht="21" x14ac:dyDescent="0.25">
      <c r="A4349" s="11" t="str">
        <f>HYPERLINK("https://rth.dk/resources/bsgatlas/details.php?id=BSGatlas-transcript-4348","BSGatlas-transcript-4348")</f>
        <v>BSGatlas-transcript-4348</v>
      </c>
      <c r="B4349" s="1" t="s">
        <v>10760</v>
      </c>
      <c r="C4349" s="3">
        <v>3847853</v>
      </c>
      <c r="D4349" s="3">
        <v>3849700</v>
      </c>
      <c r="E4349" s="1" t="s">
        <v>13</v>
      </c>
      <c r="F4349" s="1">
        <v>1</v>
      </c>
      <c r="G4349" s="1">
        <v>85</v>
      </c>
      <c r="H4349" s="1" t="s">
        <v>4372</v>
      </c>
      <c r="I4349" s="1" t="s">
        <v>4373</v>
      </c>
      <c r="J4349" s="1" t="s">
        <v>10761</v>
      </c>
      <c r="K4349" s="1" t="s">
        <v>10767</v>
      </c>
    </row>
    <row r="4350" spans="1:11" ht="21" x14ac:dyDescent="0.25">
      <c r="A4350" s="11" t="str">
        <f>HYPERLINK("https://rth.dk/resources/bsgatlas/details.php?id=BSGatlas-transcript-4349","BSGatlas-transcript-4349")</f>
        <v>BSGatlas-transcript-4349</v>
      </c>
      <c r="B4350" s="1" t="s">
        <v>3996</v>
      </c>
      <c r="C4350" s="3">
        <v>3848740</v>
      </c>
      <c r="D4350" s="3">
        <v>3849700</v>
      </c>
      <c r="E4350" s="1" t="s">
        <v>13</v>
      </c>
      <c r="F4350" s="1">
        <v>0</v>
      </c>
      <c r="G4350" s="1" t="s">
        <v>4372</v>
      </c>
      <c r="H4350" s="1" t="s">
        <v>4372</v>
      </c>
      <c r="I4350" s="1" t="s">
        <v>4377</v>
      </c>
      <c r="J4350" s="1" t="s">
        <v>10761</v>
      </c>
      <c r="K4350" s="1" t="s">
        <v>10768</v>
      </c>
    </row>
    <row r="4351" spans="1:11" ht="21" x14ac:dyDescent="0.25">
      <c r="A4351" s="11" t="str">
        <f>HYPERLINK("https://rth.dk/resources/bsgatlas/details.php?id=BSGatlas-transcript-4350","BSGatlas-transcript-4350")</f>
        <v>BSGatlas-transcript-4350</v>
      </c>
      <c r="B4351" s="1" t="s">
        <v>3998</v>
      </c>
      <c r="C4351" s="3">
        <v>3849791</v>
      </c>
      <c r="D4351" s="3">
        <v>3851893</v>
      </c>
      <c r="E4351" s="1" t="s">
        <v>9</v>
      </c>
      <c r="F4351" s="1">
        <v>0</v>
      </c>
      <c r="G4351" s="1" t="s">
        <v>4372</v>
      </c>
      <c r="H4351" s="1" t="s">
        <v>4372</v>
      </c>
      <c r="I4351" s="1" t="s">
        <v>4373</v>
      </c>
      <c r="J4351" s="1" t="s">
        <v>10769</v>
      </c>
      <c r="K4351" s="1" t="s">
        <v>318</v>
      </c>
    </row>
    <row r="4352" spans="1:11" ht="21" x14ac:dyDescent="0.25">
      <c r="A4352" s="11" t="str">
        <f>HYPERLINK("https://rth.dk/resources/bsgatlas/details.php?id=BSGatlas-transcript-4351","BSGatlas-transcript-4351")</f>
        <v>BSGatlas-transcript-4351</v>
      </c>
      <c r="B4352" s="1" t="s">
        <v>3999</v>
      </c>
      <c r="C4352" s="3">
        <v>3851924</v>
      </c>
      <c r="D4352" s="3">
        <v>3852116</v>
      </c>
      <c r="E4352" s="1" t="s">
        <v>13</v>
      </c>
      <c r="F4352" s="1">
        <v>0</v>
      </c>
      <c r="G4352" s="1" t="s">
        <v>4372</v>
      </c>
      <c r="H4352" s="1" t="s">
        <v>4372</v>
      </c>
      <c r="I4352" s="1" t="s">
        <v>4377</v>
      </c>
      <c r="J4352" s="1" t="s">
        <v>318</v>
      </c>
      <c r="K4352" s="1" t="s">
        <v>10770</v>
      </c>
    </row>
    <row r="4353" spans="1:11" ht="21" x14ac:dyDescent="0.25">
      <c r="A4353" s="11" t="str">
        <f>HYPERLINK("https://rth.dk/resources/bsgatlas/details.php?id=BSGatlas-transcript-4352","BSGatlas-transcript-4352")</f>
        <v>BSGatlas-transcript-4352</v>
      </c>
      <c r="B4353" s="1" t="s">
        <v>10771</v>
      </c>
      <c r="C4353" s="3">
        <v>3852091</v>
      </c>
      <c r="D4353" s="3">
        <v>3853431</v>
      </c>
      <c r="E4353" s="1" t="s">
        <v>13</v>
      </c>
      <c r="F4353" s="1">
        <v>0</v>
      </c>
      <c r="G4353" s="1" t="s">
        <v>4372</v>
      </c>
      <c r="H4353" s="1" t="s">
        <v>4372</v>
      </c>
      <c r="I4353" s="1" t="s">
        <v>4386</v>
      </c>
      <c r="J4353" s="1" t="s">
        <v>10772</v>
      </c>
      <c r="K4353" s="1" t="s">
        <v>10773</v>
      </c>
    </row>
    <row r="4354" spans="1:11" ht="21" x14ac:dyDescent="0.25">
      <c r="A4354" s="11" t="str">
        <f>HYPERLINK("https://rth.dk/resources/bsgatlas/details.php?id=BSGatlas-transcript-4353","BSGatlas-transcript-4353")</f>
        <v>BSGatlas-transcript-4353</v>
      </c>
      <c r="B4354" s="1" t="s">
        <v>4002</v>
      </c>
      <c r="C4354" s="3">
        <v>3853421</v>
      </c>
      <c r="D4354" s="3">
        <v>3853674</v>
      </c>
      <c r="E4354" s="1" t="s">
        <v>9</v>
      </c>
      <c r="F4354" s="1">
        <v>0</v>
      </c>
      <c r="G4354" s="1" t="s">
        <v>4372</v>
      </c>
      <c r="H4354" s="1" t="s">
        <v>4372</v>
      </c>
      <c r="I4354" s="1" t="s">
        <v>4397</v>
      </c>
      <c r="J4354" s="1" t="s">
        <v>10774</v>
      </c>
      <c r="K4354" s="1" t="s">
        <v>10775</v>
      </c>
    </row>
    <row r="4355" spans="1:11" ht="21" x14ac:dyDescent="0.25">
      <c r="A4355" s="11" t="str">
        <f>HYPERLINK("https://rth.dk/resources/bsgatlas/details.php?id=BSGatlas-transcript-4354","BSGatlas-transcript-4354")</f>
        <v>BSGatlas-transcript-4354</v>
      </c>
      <c r="B4355" s="1" t="s">
        <v>4003</v>
      </c>
      <c r="C4355" s="3">
        <v>3853670</v>
      </c>
      <c r="D4355" s="3">
        <v>3854197</v>
      </c>
      <c r="E4355" s="1" t="s">
        <v>13</v>
      </c>
      <c r="F4355" s="1">
        <v>0</v>
      </c>
      <c r="G4355" s="1" t="s">
        <v>4372</v>
      </c>
      <c r="H4355" s="1" t="s">
        <v>4372</v>
      </c>
      <c r="I4355" s="1" t="s">
        <v>4377</v>
      </c>
      <c r="J4355" s="1" t="s">
        <v>10776</v>
      </c>
      <c r="K4355" s="1" t="s">
        <v>10777</v>
      </c>
    </row>
    <row r="4356" spans="1:11" ht="21" x14ac:dyDescent="0.25">
      <c r="A4356" s="11" t="str">
        <f>HYPERLINK("https://rth.dk/resources/bsgatlas/details.php?id=BSGatlas-transcript-4355","BSGatlas-transcript-4355")</f>
        <v>BSGatlas-transcript-4355</v>
      </c>
      <c r="B4356" s="1" t="s">
        <v>10778</v>
      </c>
      <c r="C4356" s="3">
        <v>3853670</v>
      </c>
      <c r="D4356" s="3">
        <v>3856172</v>
      </c>
      <c r="E4356" s="1" t="s">
        <v>13</v>
      </c>
      <c r="F4356" s="1">
        <v>1</v>
      </c>
      <c r="G4356" s="1" t="s">
        <v>4372</v>
      </c>
      <c r="H4356" s="1">
        <v>48</v>
      </c>
      <c r="I4356" s="1" t="s">
        <v>4373</v>
      </c>
      <c r="J4356" s="1" t="s">
        <v>10779</v>
      </c>
      <c r="K4356" s="1" t="s">
        <v>10777</v>
      </c>
    </row>
    <row r="4357" spans="1:11" ht="21" x14ac:dyDescent="0.25">
      <c r="A4357" s="11" t="str">
        <f>HYPERLINK("https://rth.dk/resources/bsgatlas/details.php?id=BSGatlas-transcript-4356","BSGatlas-transcript-4356")</f>
        <v>BSGatlas-transcript-4356</v>
      </c>
      <c r="B4357" s="1" t="s">
        <v>4004</v>
      </c>
      <c r="C4357" s="3">
        <v>3854220</v>
      </c>
      <c r="D4357" s="3">
        <v>3856172</v>
      </c>
      <c r="E4357" s="1" t="s">
        <v>13</v>
      </c>
      <c r="F4357" s="1">
        <v>0</v>
      </c>
      <c r="G4357" s="1" t="s">
        <v>4372</v>
      </c>
      <c r="H4357" s="1" t="s">
        <v>4372</v>
      </c>
      <c r="I4357" s="1" t="s">
        <v>4377</v>
      </c>
      <c r="J4357" s="1" t="s">
        <v>10779</v>
      </c>
      <c r="K4357" s="1" t="s">
        <v>10780</v>
      </c>
    </row>
    <row r="4358" spans="1:11" ht="21" x14ac:dyDescent="0.25">
      <c r="A4358" s="11" t="str">
        <f>HYPERLINK("https://rth.dk/resources/bsgatlas/details.php?id=BSGatlas-transcript-4357","BSGatlas-transcript-4357")</f>
        <v>BSGatlas-transcript-4357</v>
      </c>
      <c r="B4358" s="1" t="s">
        <v>4005</v>
      </c>
      <c r="C4358" s="3">
        <v>3856196</v>
      </c>
      <c r="D4358" s="3">
        <v>3856447</v>
      </c>
      <c r="E4358" s="1" t="s">
        <v>13</v>
      </c>
      <c r="F4358" s="1">
        <v>0</v>
      </c>
      <c r="G4358" s="1" t="s">
        <v>4372</v>
      </c>
      <c r="H4358" s="1" t="s">
        <v>4372</v>
      </c>
      <c r="I4358" s="1" t="s">
        <v>4377</v>
      </c>
      <c r="J4358" s="1" t="s">
        <v>318</v>
      </c>
      <c r="K4358" s="1" t="s">
        <v>10781</v>
      </c>
    </row>
    <row r="4359" spans="1:11" ht="21" x14ac:dyDescent="0.25">
      <c r="A4359" s="11" t="str">
        <f>HYPERLINK("https://rth.dk/resources/bsgatlas/details.php?id=BSGatlas-transcript-4358","BSGatlas-transcript-4358")</f>
        <v>BSGatlas-transcript-4358</v>
      </c>
      <c r="B4359" s="1" t="s">
        <v>4006</v>
      </c>
      <c r="C4359" s="3">
        <v>3856449</v>
      </c>
      <c r="D4359" s="3">
        <v>3856700</v>
      </c>
      <c r="E4359" s="1" t="s">
        <v>13</v>
      </c>
      <c r="F4359" s="1">
        <v>0</v>
      </c>
      <c r="G4359" s="1" t="s">
        <v>4372</v>
      </c>
      <c r="H4359" s="1" t="s">
        <v>4372</v>
      </c>
      <c r="I4359" s="1" t="s">
        <v>4377</v>
      </c>
      <c r="J4359" s="1" t="s">
        <v>318</v>
      </c>
      <c r="K4359" s="1" t="s">
        <v>10782</v>
      </c>
    </row>
    <row r="4360" spans="1:11" ht="21" x14ac:dyDescent="0.25">
      <c r="A4360" s="11" t="str">
        <f>HYPERLINK("https://rth.dk/resources/bsgatlas/details.php?id=BSGatlas-transcript-4359","BSGatlas-transcript-4359")</f>
        <v>BSGatlas-transcript-4359</v>
      </c>
      <c r="B4360" s="1" t="s">
        <v>144</v>
      </c>
      <c r="C4360" s="3">
        <v>3856704</v>
      </c>
      <c r="D4360" s="3">
        <v>3856962</v>
      </c>
      <c r="E4360" s="1" t="s">
        <v>13</v>
      </c>
      <c r="F4360" s="1">
        <v>0</v>
      </c>
      <c r="G4360" s="1" t="s">
        <v>4372</v>
      </c>
      <c r="H4360" s="1" t="s">
        <v>4372</v>
      </c>
      <c r="I4360" s="1" t="s">
        <v>4377</v>
      </c>
      <c r="J4360" s="1" t="s">
        <v>318</v>
      </c>
      <c r="K4360" s="1" t="s">
        <v>10783</v>
      </c>
    </row>
    <row r="4361" spans="1:11" ht="21" x14ac:dyDescent="0.25">
      <c r="A4361" s="11" t="str">
        <f>HYPERLINK("https://rth.dk/resources/bsgatlas/details.php?id=BSGatlas-transcript-4360","BSGatlas-transcript-4360")</f>
        <v>BSGatlas-transcript-4360</v>
      </c>
      <c r="B4361" s="1" t="s">
        <v>4760</v>
      </c>
      <c r="C4361" s="3">
        <v>3856704</v>
      </c>
      <c r="D4361" s="3">
        <v>3856994</v>
      </c>
      <c r="E4361" s="1" t="s">
        <v>13</v>
      </c>
      <c r="F4361" s="1">
        <v>0</v>
      </c>
      <c r="G4361" s="1" t="s">
        <v>4372</v>
      </c>
      <c r="H4361" s="1" t="s">
        <v>4372</v>
      </c>
      <c r="I4361" s="1" t="s">
        <v>4377</v>
      </c>
      <c r="J4361" s="1" t="s">
        <v>10784</v>
      </c>
      <c r="K4361" s="1" t="s">
        <v>10783</v>
      </c>
    </row>
    <row r="4362" spans="1:11" ht="21" x14ac:dyDescent="0.25">
      <c r="A4362" s="11" t="str">
        <f>HYPERLINK("https://rth.dk/resources/bsgatlas/details.php?id=BSGatlas-transcript-4361","BSGatlas-transcript-4361")</f>
        <v>BSGatlas-transcript-4361</v>
      </c>
      <c r="B4362" s="1" t="s">
        <v>4007</v>
      </c>
      <c r="C4362" s="3">
        <v>3857017</v>
      </c>
      <c r="D4362" s="3">
        <v>3858417</v>
      </c>
      <c r="E4362" s="1" t="s">
        <v>13</v>
      </c>
      <c r="F4362" s="1">
        <v>0</v>
      </c>
      <c r="G4362" s="1" t="s">
        <v>4372</v>
      </c>
      <c r="H4362" s="1" t="s">
        <v>4372</v>
      </c>
      <c r="I4362" s="1" t="s">
        <v>4373</v>
      </c>
      <c r="J4362" s="1" t="s">
        <v>318</v>
      </c>
      <c r="K4362" s="1" t="s">
        <v>318</v>
      </c>
    </row>
    <row r="4363" spans="1:11" ht="21" x14ac:dyDescent="0.25">
      <c r="A4363" s="11" t="str">
        <f>HYPERLINK("https://rth.dk/resources/bsgatlas/details.php?id=BSGatlas-transcript-4362","BSGatlas-transcript-4362")</f>
        <v>BSGatlas-transcript-4362</v>
      </c>
      <c r="B4363" s="1" t="s">
        <v>4008</v>
      </c>
      <c r="C4363" s="3">
        <v>3858821</v>
      </c>
      <c r="D4363" s="3">
        <v>3859499</v>
      </c>
      <c r="E4363" s="1" t="s">
        <v>13</v>
      </c>
      <c r="F4363" s="1">
        <v>0</v>
      </c>
      <c r="G4363" s="1" t="s">
        <v>4372</v>
      </c>
      <c r="H4363" s="1" t="s">
        <v>4372</v>
      </c>
      <c r="I4363" s="1" t="s">
        <v>4382</v>
      </c>
      <c r="J4363" s="1" t="s">
        <v>318</v>
      </c>
      <c r="K4363" s="1" t="s">
        <v>10785</v>
      </c>
    </row>
    <row r="4364" spans="1:11" ht="21" x14ac:dyDescent="0.25">
      <c r="A4364" s="11" t="str">
        <f>HYPERLINK("https://rth.dk/resources/bsgatlas/details.php?id=BSGatlas-transcript-4363","BSGatlas-transcript-4363")</f>
        <v>BSGatlas-transcript-4363</v>
      </c>
      <c r="B4364" s="1" t="s">
        <v>10786</v>
      </c>
      <c r="C4364" s="3">
        <v>3858821</v>
      </c>
      <c r="D4364" s="3">
        <v>3860874</v>
      </c>
      <c r="E4364" s="1" t="s">
        <v>13</v>
      </c>
      <c r="F4364" s="1">
        <v>1</v>
      </c>
      <c r="G4364" s="1">
        <v>39</v>
      </c>
      <c r="H4364" s="1">
        <v>179</v>
      </c>
      <c r="I4364" s="1" t="s">
        <v>4377</v>
      </c>
      <c r="J4364" s="1" t="s">
        <v>10787</v>
      </c>
      <c r="K4364" s="1" t="s">
        <v>10785</v>
      </c>
    </row>
    <row r="4365" spans="1:11" ht="21" x14ac:dyDescent="0.25">
      <c r="A4365" s="11" t="str">
        <f>HYPERLINK("https://rth.dk/resources/bsgatlas/details.php?id=BSGatlas-transcript-4364","BSGatlas-transcript-4364")</f>
        <v>BSGatlas-transcript-4364</v>
      </c>
      <c r="B4365" s="1" t="s">
        <v>10788</v>
      </c>
      <c r="C4365" s="3">
        <v>3858821</v>
      </c>
      <c r="D4365" s="3">
        <v>3861306</v>
      </c>
      <c r="E4365" s="1" t="s">
        <v>13</v>
      </c>
      <c r="F4365" s="1">
        <v>2</v>
      </c>
      <c r="G4365" s="1">
        <v>85</v>
      </c>
      <c r="H4365" s="1">
        <v>179</v>
      </c>
      <c r="I4365" s="1" t="s">
        <v>4386</v>
      </c>
      <c r="J4365" s="1" t="s">
        <v>10789</v>
      </c>
      <c r="K4365" s="1" t="s">
        <v>10785</v>
      </c>
    </row>
    <row r="4366" spans="1:11" ht="21" x14ac:dyDescent="0.25">
      <c r="A4366" s="11" t="str">
        <f>HYPERLINK("https://rth.dk/resources/bsgatlas/details.php?id=BSGatlas-transcript-4365","BSGatlas-transcript-4365")</f>
        <v>BSGatlas-transcript-4365</v>
      </c>
      <c r="B4366" s="1" t="s">
        <v>4008</v>
      </c>
      <c r="C4366" s="3">
        <v>3858948</v>
      </c>
      <c r="D4366" s="3">
        <v>3859499</v>
      </c>
      <c r="E4366" s="1" t="s">
        <v>13</v>
      </c>
      <c r="F4366" s="1">
        <v>0</v>
      </c>
      <c r="G4366" s="1" t="s">
        <v>4372</v>
      </c>
      <c r="H4366" s="1" t="s">
        <v>4372</v>
      </c>
      <c r="I4366" s="1" t="s">
        <v>4382</v>
      </c>
      <c r="J4366" s="1" t="s">
        <v>318</v>
      </c>
      <c r="K4366" s="1" t="s">
        <v>10790</v>
      </c>
    </row>
    <row r="4367" spans="1:11" ht="21" x14ac:dyDescent="0.25">
      <c r="A4367" s="11" t="str">
        <f>HYPERLINK("https://rth.dk/resources/bsgatlas/details.php?id=BSGatlas-transcript-4366","BSGatlas-transcript-4366")</f>
        <v>BSGatlas-transcript-4366</v>
      </c>
      <c r="B4367" s="1" t="s">
        <v>10786</v>
      </c>
      <c r="C4367" s="3">
        <v>3858948</v>
      </c>
      <c r="D4367" s="3">
        <v>3860874</v>
      </c>
      <c r="E4367" s="1" t="s">
        <v>13</v>
      </c>
      <c r="F4367" s="1">
        <v>1</v>
      </c>
      <c r="G4367" s="1">
        <v>39</v>
      </c>
      <c r="H4367" s="1">
        <v>52</v>
      </c>
      <c r="I4367" s="1" t="s">
        <v>4377</v>
      </c>
      <c r="J4367" s="1" t="s">
        <v>10787</v>
      </c>
      <c r="K4367" s="1" t="s">
        <v>10790</v>
      </c>
    </row>
    <row r="4368" spans="1:11" ht="21" x14ac:dyDescent="0.25">
      <c r="A4368" s="11" t="str">
        <f>HYPERLINK("https://rth.dk/resources/bsgatlas/details.php?id=BSGatlas-transcript-4367","BSGatlas-transcript-4367")</f>
        <v>BSGatlas-transcript-4367</v>
      </c>
      <c r="B4368" s="1" t="s">
        <v>10788</v>
      </c>
      <c r="C4368" s="3">
        <v>3858948</v>
      </c>
      <c r="D4368" s="3">
        <v>3861306</v>
      </c>
      <c r="E4368" s="1" t="s">
        <v>13</v>
      </c>
      <c r="F4368" s="1">
        <v>2</v>
      </c>
      <c r="G4368" s="1">
        <v>85</v>
      </c>
      <c r="H4368" s="1">
        <v>52</v>
      </c>
      <c r="I4368" s="1" t="s">
        <v>4386</v>
      </c>
      <c r="J4368" s="1" t="s">
        <v>10789</v>
      </c>
      <c r="K4368" s="1" t="s">
        <v>10790</v>
      </c>
    </row>
    <row r="4369" spans="1:11" ht="21" x14ac:dyDescent="0.25">
      <c r="A4369" s="11" t="str">
        <f>HYPERLINK("https://rth.dk/resources/bsgatlas/details.php?id=BSGatlas-transcript-4368","BSGatlas-transcript-4368")</f>
        <v>BSGatlas-transcript-4368</v>
      </c>
      <c r="B4369" s="1" t="s">
        <v>4011</v>
      </c>
      <c r="C4369" s="3">
        <v>3861395</v>
      </c>
      <c r="D4369" s="3">
        <v>3862264</v>
      </c>
      <c r="E4369" s="1" t="s">
        <v>9</v>
      </c>
      <c r="F4369" s="1">
        <v>0</v>
      </c>
      <c r="G4369" s="1" t="s">
        <v>4372</v>
      </c>
      <c r="H4369" s="1" t="s">
        <v>4372</v>
      </c>
      <c r="I4369" s="1" t="s">
        <v>4373</v>
      </c>
      <c r="J4369" s="1" t="s">
        <v>10791</v>
      </c>
      <c r="K4369" s="1" t="s">
        <v>10792</v>
      </c>
    </row>
    <row r="4370" spans="1:11" ht="21" x14ac:dyDescent="0.25">
      <c r="A4370" s="11" t="str">
        <f>HYPERLINK("https://rth.dk/resources/bsgatlas/details.php?id=BSGatlas-transcript-4369","BSGatlas-transcript-4369")</f>
        <v>BSGatlas-transcript-4369</v>
      </c>
      <c r="B4370" s="1" t="s">
        <v>4012</v>
      </c>
      <c r="C4370" s="3">
        <v>3862357</v>
      </c>
      <c r="D4370" s="3">
        <v>3863287</v>
      </c>
      <c r="E4370" s="1" t="s">
        <v>13</v>
      </c>
      <c r="F4370" s="1">
        <v>0</v>
      </c>
      <c r="G4370" s="1" t="s">
        <v>4372</v>
      </c>
      <c r="H4370" s="1" t="s">
        <v>4372</v>
      </c>
      <c r="I4370" s="1" t="s">
        <v>4386</v>
      </c>
      <c r="J4370" s="1" t="s">
        <v>10793</v>
      </c>
      <c r="K4370" s="1" t="s">
        <v>318</v>
      </c>
    </row>
    <row r="4371" spans="1:11" ht="21" x14ac:dyDescent="0.25">
      <c r="A4371" s="11" t="str">
        <f>HYPERLINK("https://rth.dk/resources/bsgatlas/details.php?id=BSGatlas-transcript-4370","BSGatlas-transcript-4370")</f>
        <v>BSGatlas-transcript-4370</v>
      </c>
      <c r="B4371" s="1" t="s">
        <v>4013</v>
      </c>
      <c r="C4371" s="3">
        <v>3863363</v>
      </c>
      <c r="D4371" s="3">
        <v>3864260</v>
      </c>
      <c r="E4371" s="1" t="s">
        <v>13</v>
      </c>
      <c r="F4371" s="1">
        <v>0</v>
      </c>
      <c r="G4371" s="1" t="s">
        <v>4372</v>
      </c>
      <c r="H4371" s="1" t="s">
        <v>4372</v>
      </c>
      <c r="I4371" s="1" t="s">
        <v>4373</v>
      </c>
      <c r="J4371" s="1" t="s">
        <v>318</v>
      </c>
      <c r="K4371" s="1" t="s">
        <v>10794</v>
      </c>
    </row>
    <row r="4372" spans="1:11" ht="21" x14ac:dyDescent="0.25">
      <c r="A4372" s="11" t="str">
        <f>HYPERLINK("https://rth.dk/resources/bsgatlas/details.php?id=BSGatlas-transcript-4371","BSGatlas-transcript-4371")</f>
        <v>BSGatlas-transcript-4371</v>
      </c>
      <c r="B4372" s="1" t="s">
        <v>4013</v>
      </c>
      <c r="C4372" s="3">
        <v>3863415</v>
      </c>
      <c r="D4372" s="3">
        <v>3864260</v>
      </c>
      <c r="E4372" s="1" t="s">
        <v>13</v>
      </c>
      <c r="F4372" s="1">
        <v>0</v>
      </c>
      <c r="G4372" s="1" t="s">
        <v>4372</v>
      </c>
      <c r="H4372" s="1" t="s">
        <v>4372</v>
      </c>
      <c r="I4372" s="1" t="s">
        <v>4373</v>
      </c>
      <c r="J4372" s="1" t="s">
        <v>318</v>
      </c>
      <c r="K4372" s="1" t="s">
        <v>10795</v>
      </c>
    </row>
    <row r="4373" spans="1:11" ht="21" x14ac:dyDescent="0.25">
      <c r="A4373" s="11" t="str">
        <f>HYPERLINK("https://rth.dk/resources/bsgatlas/details.php?id=BSGatlas-transcript-4372","BSGatlas-transcript-4372")</f>
        <v>BSGatlas-transcript-4372</v>
      </c>
      <c r="B4373" s="1" t="s">
        <v>4014</v>
      </c>
      <c r="C4373" s="3">
        <v>3864309</v>
      </c>
      <c r="D4373" s="3">
        <v>3865254</v>
      </c>
      <c r="E4373" s="1" t="s">
        <v>13</v>
      </c>
      <c r="F4373" s="1">
        <v>0</v>
      </c>
      <c r="G4373" s="1" t="s">
        <v>4372</v>
      </c>
      <c r="H4373" s="1" t="s">
        <v>4372</v>
      </c>
      <c r="I4373" s="1" t="s">
        <v>4373</v>
      </c>
      <c r="J4373" s="1" t="s">
        <v>10796</v>
      </c>
      <c r="K4373" s="1" t="s">
        <v>318</v>
      </c>
    </row>
    <row r="4374" spans="1:11" ht="21" x14ac:dyDescent="0.25">
      <c r="A4374" s="11" t="str">
        <f>HYPERLINK("https://rth.dk/resources/bsgatlas/details.php?id=BSGatlas-transcript-4373","BSGatlas-transcript-4373")</f>
        <v>BSGatlas-transcript-4373</v>
      </c>
      <c r="B4374" s="1" t="s">
        <v>4015</v>
      </c>
      <c r="C4374" s="3">
        <v>3865300</v>
      </c>
      <c r="D4374" s="3">
        <v>3866363</v>
      </c>
      <c r="E4374" s="1" t="s">
        <v>13</v>
      </c>
      <c r="F4374" s="1">
        <v>0</v>
      </c>
      <c r="G4374" s="1" t="s">
        <v>4372</v>
      </c>
      <c r="H4374" s="1" t="s">
        <v>4372</v>
      </c>
      <c r="I4374" s="1" t="s">
        <v>4373</v>
      </c>
      <c r="J4374" s="1" t="s">
        <v>10797</v>
      </c>
      <c r="K4374" s="1" t="s">
        <v>10798</v>
      </c>
    </row>
    <row r="4375" spans="1:11" ht="21" x14ac:dyDescent="0.25">
      <c r="A4375" s="11" t="str">
        <f>HYPERLINK("https://rth.dk/resources/bsgatlas/details.php?id=BSGatlas-transcript-4374","BSGatlas-transcript-4374")</f>
        <v>BSGatlas-transcript-4374</v>
      </c>
      <c r="B4375" s="1" t="s">
        <v>4015</v>
      </c>
      <c r="C4375" s="3">
        <v>3865300</v>
      </c>
      <c r="D4375" s="3">
        <v>3866386</v>
      </c>
      <c r="E4375" s="1" t="s">
        <v>13</v>
      </c>
      <c r="F4375" s="1">
        <v>0</v>
      </c>
      <c r="G4375" s="1" t="s">
        <v>4372</v>
      </c>
      <c r="H4375" s="1" t="s">
        <v>4372</v>
      </c>
      <c r="I4375" s="1" t="s">
        <v>4373</v>
      </c>
      <c r="J4375" s="1" t="s">
        <v>10799</v>
      </c>
      <c r="K4375" s="1" t="s">
        <v>10798</v>
      </c>
    </row>
    <row r="4376" spans="1:11" ht="21" x14ac:dyDescent="0.25">
      <c r="A4376" s="11" t="str">
        <f>HYPERLINK("https://rth.dk/resources/bsgatlas/details.php?id=BSGatlas-transcript-4375","BSGatlas-transcript-4375")</f>
        <v>BSGatlas-transcript-4375</v>
      </c>
      <c r="B4376" s="1" t="s">
        <v>4015</v>
      </c>
      <c r="C4376" s="3">
        <v>3865300</v>
      </c>
      <c r="D4376" s="3">
        <v>3866477</v>
      </c>
      <c r="E4376" s="1" t="s">
        <v>13</v>
      </c>
      <c r="F4376" s="1">
        <v>0</v>
      </c>
      <c r="G4376" s="1" t="s">
        <v>4372</v>
      </c>
      <c r="H4376" s="1" t="s">
        <v>4372</v>
      </c>
      <c r="I4376" s="1" t="s">
        <v>4373</v>
      </c>
      <c r="J4376" s="1" t="s">
        <v>10800</v>
      </c>
      <c r="K4376" s="1" t="s">
        <v>10798</v>
      </c>
    </row>
    <row r="4377" spans="1:11" ht="21" x14ac:dyDescent="0.25">
      <c r="A4377" s="11" t="str">
        <f>HYPERLINK("https://rth.dk/resources/bsgatlas/details.php?id=BSGatlas-transcript-4376","BSGatlas-transcript-4376")</f>
        <v>BSGatlas-transcript-4376</v>
      </c>
      <c r="B4377" s="1" t="s">
        <v>4016</v>
      </c>
      <c r="C4377" s="3">
        <v>3866555</v>
      </c>
      <c r="D4377" s="3">
        <v>3867387</v>
      </c>
      <c r="E4377" s="1" t="s">
        <v>9</v>
      </c>
      <c r="F4377" s="1">
        <v>0</v>
      </c>
      <c r="G4377" s="1" t="s">
        <v>4372</v>
      </c>
      <c r="H4377" s="1" t="s">
        <v>4372</v>
      </c>
      <c r="I4377" s="1" t="s">
        <v>4373</v>
      </c>
      <c r="J4377" s="1" t="s">
        <v>10801</v>
      </c>
      <c r="K4377" s="1" t="s">
        <v>10802</v>
      </c>
    </row>
    <row r="4378" spans="1:11" ht="21" x14ac:dyDescent="0.25">
      <c r="A4378" s="11" t="str">
        <f>HYPERLINK("https://rth.dk/resources/bsgatlas/details.php?id=BSGatlas-transcript-4377","BSGatlas-transcript-4377")</f>
        <v>BSGatlas-transcript-4377</v>
      </c>
      <c r="B4378" s="1" t="s">
        <v>4017</v>
      </c>
      <c r="C4378" s="3">
        <v>3867452</v>
      </c>
      <c r="D4378" s="3">
        <v>3868272</v>
      </c>
      <c r="E4378" s="1" t="s">
        <v>9</v>
      </c>
      <c r="F4378" s="1">
        <v>0</v>
      </c>
      <c r="G4378" s="1" t="s">
        <v>4372</v>
      </c>
      <c r="H4378" s="1" t="s">
        <v>4372</v>
      </c>
      <c r="I4378" s="1" t="s">
        <v>4397</v>
      </c>
      <c r="J4378" s="1" t="s">
        <v>10803</v>
      </c>
      <c r="K4378" s="1" t="s">
        <v>10804</v>
      </c>
    </row>
    <row r="4379" spans="1:11" ht="21" x14ac:dyDescent="0.25">
      <c r="A4379" s="11" t="str">
        <f>HYPERLINK("https://rth.dk/resources/bsgatlas/details.php?id=BSGatlas-transcript-4378","BSGatlas-transcript-4378")</f>
        <v>BSGatlas-transcript-4378</v>
      </c>
      <c r="B4379" s="1" t="s">
        <v>10805</v>
      </c>
      <c r="C4379" s="3">
        <v>3868287</v>
      </c>
      <c r="D4379" s="3">
        <v>3874219</v>
      </c>
      <c r="E4379" s="1" t="s">
        <v>13</v>
      </c>
      <c r="F4379" s="1">
        <v>1</v>
      </c>
      <c r="G4379" s="1">
        <v>40</v>
      </c>
      <c r="H4379" s="1" t="s">
        <v>4372</v>
      </c>
      <c r="I4379" s="1" t="s">
        <v>4397</v>
      </c>
      <c r="J4379" s="1" t="s">
        <v>10806</v>
      </c>
      <c r="K4379" s="1" t="s">
        <v>318</v>
      </c>
    </row>
    <row r="4380" spans="1:11" ht="21" x14ac:dyDescent="0.25">
      <c r="A4380" s="11" t="str">
        <f>HYPERLINK("https://rth.dk/resources/bsgatlas/details.php?id=BSGatlas-transcript-4379","BSGatlas-transcript-4379")</f>
        <v>BSGatlas-transcript-4379</v>
      </c>
      <c r="B4380" s="1" t="s">
        <v>4024</v>
      </c>
      <c r="C4380" s="3">
        <v>3873771</v>
      </c>
      <c r="D4380" s="3">
        <v>3874382</v>
      </c>
      <c r="E4380" s="1" t="s">
        <v>9</v>
      </c>
      <c r="F4380" s="1">
        <v>0</v>
      </c>
      <c r="G4380" s="1" t="s">
        <v>4372</v>
      </c>
      <c r="H4380" s="1" t="s">
        <v>4372</v>
      </c>
      <c r="I4380" s="1" t="s">
        <v>4377</v>
      </c>
      <c r="J4380" s="1" t="s">
        <v>10807</v>
      </c>
      <c r="K4380" s="1" t="s">
        <v>318</v>
      </c>
    </row>
    <row r="4381" spans="1:11" ht="21" x14ac:dyDescent="0.25">
      <c r="A4381" s="11" t="str">
        <f>HYPERLINK("https://rth.dk/resources/bsgatlas/details.php?id=BSGatlas-transcript-4380","BSGatlas-transcript-4380")</f>
        <v>BSGatlas-transcript-4380</v>
      </c>
      <c r="B4381" s="1" t="s">
        <v>4025</v>
      </c>
      <c r="C4381" s="3">
        <v>3874273</v>
      </c>
      <c r="D4381" s="3">
        <v>3875624</v>
      </c>
      <c r="E4381" s="1" t="s">
        <v>13</v>
      </c>
      <c r="F4381" s="1">
        <v>0</v>
      </c>
      <c r="G4381" s="1" t="s">
        <v>4372</v>
      </c>
      <c r="H4381" s="1" t="s">
        <v>4372</v>
      </c>
      <c r="I4381" s="1" t="s">
        <v>4373</v>
      </c>
      <c r="J4381" s="1" t="s">
        <v>10808</v>
      </c>
      <c r="K4381" s="1" t="s">
        <v>10809</v>
      </c>
    </row>
    <row r="4382" spans="1:11" ht="21" x14ac:dyDescent="0.25">
      <c r="A4382" s="11" t="str">
        <f>HYPERLINK("https://rth.dk/resources/bsgatlas/details.php?id=BSGatlas-transcript-4381","BSGatlas-transcript-4381")</f>
        <v>BSGatlas-transcript-4381</v>
      </c>
      <c r="B4382" s="1" t="s">
        <v>4025</v>
      </c>
      <c r="C4382" s="3">
        <v>3874309</v>
      </c>
      <c r="D4382" s="3">
        <v>3875624</v>
      </c>
      <c r="E4382" s="1" t="s">
        <v>13</v>
      </c>
      <c r="F4382" s="1">
        <v>0</v>
      </c>
      <c r="G4382" s="1" t="s">
        <v>4372</v>
      </c>
      <c r="H4382" s="1" t="s">
        <v>4372</v>
      </c>
      <c r="I4382" s="1" t="s">
        <v>4373</v>
      </c>
      <c r="J4382" s="1" t="s">
        <v>10808</v>
      </c>
      <c r="K4382" s="1" t="s">
        <v>10810</v>
      </c>
    </row>
    <row r="4383" spans="1:11" ht="21" x14ac:dyDescent="0.25">
      <c r="A4383" s="11" t="str">
        <f>HYPERLINK("https://rth.dk/resources/bsgatlas/details.php?id=BSGatlas-transcript-4382","BSGatlas-transcript-4382")</f>
        <v>BSGatlas-transcript-4382</v>
      </c>
      <c r="B4383" s="1" t="s">
        <v>4026</v>
      </c>
      <c r="C4383" s="3">
        <v>3875738</v>
      </c>
      <c r="D4383" s="3">
        <v>3877873</v>
      </c>
      <c r="E4383" s="1" t="s">
        <v>13</v>
      </c>
      <c r="F4383" s="1">
        <v>0</v>
      </c>
      <c r="G4383" s="1" t="s">
        <v>4372</v>
      </c>
      <c r="H4383" s="1" t="s">
        <v>4372</v>
      </c>
      <c r="I4383" s="1" t="s">
        <v>4377</v>
      </c>
      <c r="J4383" s="1" t="s">
        <v>10811</v>
      </c>
      <c r="K4383" s="1" t="s">
        <v>10812</v>
      </c>
    </row>
    <row r="4384" spans="1:11" ht="21" x14ac:dyDescent="0.25">
      <c r="A4384" s="11" t="str">
        <f>HYPERLINK("https://rth.dk/resources/bsgatlas/details.php?id=BSGatlas-transcript-4383","BSGatlas-transcript-4383")</f>
        <v>BSGatlas-transcript-4383</v>
      </c>
      <c r="B4384" s="1" t="s">
        <v>10813</v>
      </c>
      <c r="C4384" s="3">
        <v>3875738</v>
      </c>
      <c r="D4384" s="3">
        <v>3880550</v>
      </c>
      <c r="E4384" s="1" t="s">
        <v>13</v>
      </c>
      <c r="F4384" s="1">
        <v>1</v>
      </c>
      <c r="G4384" s="1">
        <v>38</v>
      </c>
      <c r="H4384" s="1">
        <v>43</v>
      </c>
      <c r="I4384" s="1" t="s">
        <v>4373</v>
      </c>
      <c r="J4384" s="1" t="s">
        <v>10814</v>
      </c>
      <c r="K4384" s="1" t="s">
        <v>10812</v>
      </c>
    </row>
    <row r="4385" spans="1:11" ht="21" x14ac:dyDescent="0.25">
      <c r="A4385" s="11" t="str">
        <f>HYPERLINK("https://rth.dk/resources/bsgatlas/details.php?id=BSGatlas-transcript-4384","BSGatlas-transcript-4384")</f>
        <v>BSGatlas-transcript-4384</v>
      </c>
      <c r="B4385" s="1" t="s">
        <v>4028</v>
      </c>
      <c r="C4385" s="3">
        <v>3878951</v>
      </c>
      <c r="D4385" s="3">
        <v>3880550</v>
      </c>
      <c r="E4385" s="1" t="s">
        <v>13</v>
      </c>
      <c r="F4385" s="1">
        <v>0</v>
      </c>
      <c r="G4385" s="1" t="s">
        <v>4372</v>
      </c>
      <c r="H4385" s="1" t="s">
        <v>4372</v>
      </c>
      <c r="I4385" s="1" t="s">
        <v>4377</v>
      </c>
      <c r="J4385" s="1" t="s">
        <v>10814</v>
      </c>
      <c r="K4385" s="1" t="s">
        <v>10815</v>
      </c>
    </row>
    <row r="4386" spans="1:11" ht="21" x14ac:dyDescent="0.25">
      <c r="A4386" s="11" t="str">
        <f>HYPERLINK("https://rth.dk/resources/bsgatlas/details.php?id=BSGatlas-transcript-4385","BSGatlas-transcript-4385")</f>
        <v>BSGatlas-transcript-4385</v>
      </c>
      <c r="B4386" s="1" t="s">
        <v>4029</v>
      </c>
      <c r="C4386" s="3">
        <v>3880695</v>
      </c>
      <c r="D4386" s="3">
        <v>3882101</v>
      </c>
      <c r="E4386" s="1" t="s">
        <v>13</v>
      </c>
      <c r="F4386" s="1">
        <v>0</v>
      </c>
      <c r="G4386" s="1" t="s">
        <v>4372</v>
      </c>
      <c r="H4386" s="1" t="s">
        <v>4372</v>
      </c>
      <c r="I4386" s="1" t="s">
        <v>4373</v>
      </c>
      <c r="J4386" s="1" t="s">
        <v>10816</v>
      </c>
      <c r="K4386" s="1" t="s">
        <v>10817</v>
      </c>
    </row>
    <row r="4387" spans="1:11" ht="21" x14ac:dyDescent="0.25">
      <c r="A4387" s="11" t="str">
        <f>HYPERLINK("https://rth.dk/resources/bsgatlas/details.php?id=BSGatlas-transcript-4386","BSGatlas-transcript-4386")</f>
        <v>BSGatlas-transcript-4386</v>
      </c>
      <c r="B4387" s="1" t="s">
        <v>4030</v>
      </c>
      <c r="C4387" s="3">
        <v>3882135</v>
      </c>
      <c r="D4387" s="3">
        <v>3882766</v>
      </c>
      <c r="E4387" s="1" t="s">
        <v>13</v>
      </c>
      <c r="F4387" s="1">
        <v>0</v>
      </c>
      <c r="G4387" s="1" t="s">
        <v>4372</v>
      </c>
      <c r="H4387" s="1" t="s">
        <v>4372</v>
      </c>
      <c r="I4387" s="1" t="s">
        <v>4373</v>
      </c>
      <c r="J4387" s="1" t="s">
        <v>10818</v>
      </c>
      <c r="K4387" s="1" t="s">
        <v>10819</v>
      </c>
    </row>
    <row r="4388" spans="1:11" ht="21" x14ac:dyDescent="0.25">
      <c r="A4388" s="11" t="str">
        <f>HYPERLINK("https://rth.dk/resources/bsgatlas/details.php?id=BSGatlas-transcript-4387","BSGatlas-transcript-4387")</f>
        <v>BSGatlas-transcript-4387</v>
      </c>
      <c r="B4388" s="1" t="s">
        <v>10820</v>
      </c>
      <c r="C4388" s="3">
        <v>3882922</v>
      </c>
      <c r="D4388" s="3">
        <v>3893159</v>
      </c>
      <c r="E4388" s="1" t="s">
        <v>13</v>
      </c>
      <c r="F4388" s="1">
        <v>2</v>
      </c>
      <c r="G4388" s="1">
        <v>39</v>
      </c>
      <c r="H4388" s="1">
        <v>58</v>
      </c>
      <c r="I4388" s="1" t="s">
        <v>4373</v>
      </c>
      <c r="J4388" s="1" t="s">
        <v>10821</v>
      </c>
      <c r="K4388" s="1" t="s">
        <v>10822</v>
      </c>
    </row>
    <row r="4389" spans="1:11" ht="21" x14ac:dyDescent="0.25">
      <c r="A4389" s="11" t="str">
        <f>HYPERLINK("https://rth.dk/resources/bsgatlas/details.php?id=BSGatlas-transcript-4388","BSGatlas-transcript-4388")</f>
        <v>BSGatlas-transcript-4388</v>
      </c>
      <c r="B4389" s="1" t="s">
        <v>4041</v>
      </c>
      <c r="C4389" s="3">
        <v>3893325</v>
      </c>
      <c r="D4389" s="3">
        <v>3894036</v>
      </c>
      <c r="E4389" s="1" t="s">
        <v>9</v>
      </c>
      <c r="F4389" s="1">
        <v>0</v>
      </c>
      <c r="G4389" s="1" t="s">
        <v>4372</v>
      </c>
      <c r="H4389" s="1" t="s">
        <v>4372</v>
      </c>
      <c r="I4389" s="1" t="s">
        <v>4373</v>
      </c>
      <c r="J4389" s="1" t="s">
        <v>10823</v>
      </c>
      <c r="K4389" s="1" t="s">
        <v>10824</v>
      </c>
    </row>
    <row r="4390" spans="1:11" ht="21" x14ac:dyDescent="0.25">
      <c r="A4390" s="11" t="str">
        <f>HYPERLINK("https://rth.dk/resources/bsgatlas/details.php?id=BSGatlas-transcript-4389","BSGatlas-transcript-4389")</f>
        <v>BSGatlas-transcript-4389</v>
      </c>
      <c r="B4390" s="1" t="s">
        <v>10825</v>
      </c>
      <c r="C4390" s="3">
        <v>3893979</v>
      </c>
      <c r="D4390" s="3">
        <v>3896162</v>
      </c>
      <c r="E4390" s="1" t="s">
        <v>13</v>
      </c>
      <c r="F4390" s="1">
        <v>2</v>
      </c>
      <c r="G4390" s="1">
        <v>41</v>
      </c>
      <c r="H4390" s="1">
        <v>52</v>
      </c>
      <c r="I4390" s="1" t="s">
        <v>4373</v>
      </c>
      <c r="J4390" s="1" t="s">
        <v>10826</v>
      </c>
      <c r="K4390" s="1" t="s">
        <v>10827</v>
      </c>
    </row>
    <row r="4391" spans="1:11" ht="21" x14ac:dyDescent="0.25">
      <c r="A4391" s="11" t="str">
        <f>HYPERLINK("https://rth.dk/resources/bsgatlas/details.php?id=BSGatlas-transcript-4390","BSGatlas-transcript-4390")</f>
        <v>BSGatlas-transcript-4390</v>
      </c>
      <c r="B4391" s="1" t="s">
        <v>4045</v>
      </c>
      <c r="C4391" s="3">
        <v>3896251</v>
      </c>
      <c r="D4391" s="3">
        <v>3897696</v>
      </c>
      <c r="E4391" s="1" t="s">
        <v>9</v>
      </c>
      <c r="F4391" s="1">
        <v>0</v>
      </c>
      <c r="G4391" s="1" t="s">
        <v>4372</v>
      </c>
      <c r="H4391" s="1" t="s">
        <v>4372</v>
      </c>
      <c r="I4391" s="1" t="s">
        <v>4373</v>
      </c>
      <c r="J4391" s="1" t="s">
        <v>10828</v>
      </c>
      <c r="K4391" s="1" t="s">
        <v>10829</v>
      </c>
    </row>
    <row r="4392" spans="1:11" ht="21" x14ac:dyDescent="0.25">
      <c r="A4392" s="11" t="str">
        <f>HYPERLINK("https://rth.dk/resources/bsgatlas/details.php?id=BSGatlas-transcript-4391","BSGatlas-transcript-4391")</f>
        <v>BSGatlas-transcript-4391</v>
      </c>
      <c r="B4392" s="1" t="s">
        <v>4046</v>
      </c>
      <c r="C4392" s="3">
        <v>3897650</v>
      </c>
      <c r="D4392" s="3">
        <v>3898362</v>
      </c>
      <c r="E4392" s="1" t="s">
        <v>13</v>
      </c>
      <c r="F4392" s="1">
        <v>0</v>
      </c>
      <c r="G4392" s="1" t="s">
        <v>4372</v>
      </c>
      <c r="H4392" s="1" t="s">
        <v>4372</v>
      </c>
      <c r="I4392" s="1" t="s">
        <v>4373</v>
      </c>
      <c r="J4392" s="1" t="s">
        <v>10830</v>
      </c>
      <c r="K4392" s="1" t="s">
        <v>10831</v>
      </c>
    </row>
    <row r="4393" spans="1:11" ht="21" x14ac:dyDescent="0.25">
      <c r="A4393" s="11" t="str">
        <f>HYPERLINK("https://rth.dk/resources/bsgatlas/details.php?id=BSGatlas-transcript-4392","BSGatlas-transcript-4392")</f>
        <v>BSGatlas-transcript-4392</v>
      </c>
      <c r="B4393" s="1" t="s">
        <v>4046</v>
      </c>
      <c r="C4393" s="3">
        <v>3897650</v>
      </c>
      <c r="D4393" s="3">
        <v>3898689</v>
      </c>
      <c r="E4393" s="1" t="s">
        <v>13</v>
      </c>
      <c r="F4393" s="1">
        <v>0</v>
      </c>
      <c r="G4393" s="1" t="s">
        <v>4372</v>
      </c>
      <c r="H4393" s="1" t="s">
        <v>4372</v>
      </c>
      <c r="I4393" s="1" t="s">
        <v>4373</v>
      </c>
      <c r="J4393" s="1" t="s">
        <v>10832</v>
      </c>
      <c r="K4393" s="1" t="s">
        <v>10831</v>
      </c>
    </row>
    <row r="4394" spans="1:11" ht="21" x14ac:dyDescent="0.25">
      <c r="A4394" s="11" t="str">
        <f>HYPERLINK("https://rth.dk/resources/bsgatlas/details.php?id=BSGatlas-transcript-4393","BSGatlas-transcript-4393")</f>
        <v>BSGatlas-transcript-4393</v>
      </c>
      <c r="B4394" s="1" t="s">
        <v>10833</v>
      </c>
      <c r="C4394" s="3">
        <v>3897650</v>
      </c>
      <c r="D4394" s="3">
        <v>3899217</v>
      </c>
      <c r="E4394" s="1" t="s">
        <v>13</v>
      </c>
      <c r="F4394" s="1">
        <v>0</v>
      </c>
      <c r="G4394" s="1" t="s">
        <v>4372</v>
      </c>
      <c r="H4394" s="1" t="s">
        <v>4372</v>
      </c>
      <c r="I4394" s="1" t="s">
        <v>4386</v>
      </c>
      <c r="J4394" s="1" t="s">
        <v>10834</v>
      </c>
      <c r="K4394" s="1" t="s">
        <v>10831</v>
      </c>
    </row>
    <row r="4395" spans="1:11" ht="21" x14ac:dyDescent="0.25">
      <c r="A4395" s="11" t="str">
        <f>HYPERLINK("https://rth.dk/resources/bsgatlas/details.php?id=BSGatlas-transcript-4394","BSGatlas-transcript-4394")</f>
        <v>BSGatlas-transcript-4394</v>
      </c>
      <c r="B4395" s="1" t="s">
        <v>4048</v>
      </c>
      <c r="C4395" s="3">
        <v>3900481</v>
      </c>
      <c r="D4395" s="3">
        <v>3900852</v>
      </c>
      <c r="E4395" s="1" t="s">
        <v>13</v>
      </c>
      <c r="F4395" s="1">
        <v>0</v>
      </c>
      <c r="G4395" s="1" t="s">
        <v>4372</v>
      </c>
      <c r="H4395" s="1" t="s">
        <v>4372</v>
      </c>
      <c r="I4395" s="1" t="s">
        <v>4377</v>
      </c>
      <c r="J4395" s="1" t="s">
        <v>10835</v>
      </c>
      <c r="K4395" s="1" t="s">
        <v>318</v>
      </c>
    </row>
    <row r="4396" spans="1:11" ht="21" x14ac:dyDescent="0.25">
      <c r="A4396" s="11" t="str">
        <f>HYPERLINK("https://rth.dk/resources/bsgatlas/details.php?id=BSGatlas-transcript-4395","BSGatlas-transcript-4395")</f>
        <v>BSGatlas-transcript-4395</v>
      </c>
      <c r="B4396" s="1" t="s">
        <v>4049</v>
      </c>
      <c r="C4396" s="3">
        <v>3900921</v>
      </c>
      <c r="D4396" s="3">
        <v>3901778</v>
      </c>
      <c r="E4396" s="1" t="s">
        <v>9</v>
      </c>
      <c r="F4396" s="1">
        <v>0</v>
      </c>
      <c r="G4396" s="1" t="s">
        <v>4372</v>
      </c>
      <c r="H4396" s="1" t="s">
        <v>4372</v>
      </c>
      <c r="I4396" s="1" t="s">
        <v>4397</v>
      </c>
      <c r="J4396" s="1" t="s">
        <v>10836</v>
      </c>
      <c r="K4396" s="1" t="s">
        <v>10837</v>
      </c>
    </row>
    <row r="4397" spans="1:11" ht="21" x14ac:dyDescent="0.25">
      <c r="A4397" s="11" t="str">
        <f>HYPERLINK("https://rth.dk/resources/bsgatlas/details.php?id=BSGatlas-transcript-4396","BSGatlas-transcript-4396")</f>
        <v>BSGatlas-transcript-4396</v>
      </c>
      <c r="B4397" s="1" t="s">
        <v>4049</v>
      </c>
      <c r="C4397" s="3">
        <v>3900921</v>
      </c>
      <c r="D4397" s="3">
        <v>3901824</v>
      </c>
      <c r="E4397" s="1" t="s">
        <v>9</v>
      </c>
      <c r="F4397" s="1">
        <v>0</v>
      </c>
      <c r="G4397" s="1" t="s">
        <v>4372</v>
      </c>
      <c r="H4397" s="1" t="s">
        <v>4372</v>
      </c>
      <c r="I4397" s="1" t="s">
        <v>4397</v>
      </c>
      <c r="J4397" s="1" t="s">
        <v>10836</v>
      </c>
      <c r="K4397" s="1" t="s">
        <v>10838</v>
      </c>
    </row>
    <row r="4398" spans="1:11" ht="21" x14ac:dyDescent="0.25">
      <c r="A4398" s="11" t="str">
        <f>HYPERLINK("https://rth.dk/resources/bsgatlas/details.php?id=BSGatlas-transcript-4397","BSGatlas-transcript-4397")</f>
        <v>BSGatlas-transcript-4397</v>
      </c>
      <c r="B4398" s="1" t="s">
        <v>4050</v>
      </c>
      <c r="C4398" s="3">
        <v>3901829</v>
      </c>
      <c r="D4398" s="3">
        <v>3902134</v>
      </c>
      <c r="E4398" s="1" t="s">
        <v>13</v>
      </c>
      <c r="F4398" s="1">
        <v>0</v>
      </c>
      <c r="G4398" s="1" t="s">
        <v>4372</v>
      </c>
      <c r="H4398" s="1" t="s">
        <v>4372</v>
      </c>
      <c r="I4398" s="1" t="s">
        <v>4377</v>
      </c>
      <c r="J4398" s="1" t="s">
        <v>10839</v>
      </c>
      <c r="K4398" s="1" t="s">
        <v>10840</v>
      </c>
    </row>
    <row r="4399" spans="1:11" ht="21" x14ac:dyDescent="0.25">
      <c r="A4399" s="11" t="str">
        <f>HYPERLINK("https://rth.dk/resources/bsgatlas/details.php?id=BSGatlas-transcript-4398","BSGatlas-transcript-4398")</f>
        <v>BSGatlas-transcript-4398</v>
      </c>
      <c r="B4399" s="1" t="s">
        <v>10841</v>
      </c>
      <c r="C4399" s="3">
        <v>3901829</v>
      </c>
      <c r="D4399" s="3">
        <v>3905064</v>
      </c>
      <c r="E4399" s="1" t="s">
        <v>13</v>
      </c>
      <c r="F4399" s="1">
        <v>1</v>
      </c>
      <c r="G4399" s="1">
        <v>34</v>
      </c>
      <c r="H4399" s="1">
        <v>40</v>
      </c>
      <c r="I4399" s="1" t="s">
        <v>4373</v>
      </c>
      <c r="J4399" s="1" t="s">
        <v>10842</v>
      </c>
      <c r="K4399" s="1" t="s">
        <v>10840</v>
      </c>
    </row>
    <row r="4400" spans="1:11" ht="21" x14ac:dyDescent="0.25">
      <c r="A4400" s="11" t="str">
        <f>HYPERLINK("https://rth.dk/resources/bsgatlas/details.php?id=BSGatlas-transcript-4399","BSGatlas-transcript-4399")</f>
        <v>BSGatlas-transcript-4399</v>
      </c>
      <c r="B4400" s="1" t="s">
        <v>10841</v>
      </c>
      <c r="C4400" s="3">
        <v>3901829</v>
      </c>
      <c r="D4400" s="3">
        <v>3905130</v>
      </c>
      <c r="E4400" s="1" t="s">
        <v>13</v>
      </c>
      <c r="F4400" s="1">
        <v>1</v>
      </c>
      <c r="G4400" s="1">
        <v>100</v>
      </c>
      <c r="H4400" s="1">
        <v>40</v>
      </c>
      <c r="I4400" s="1" t="s">
        <v>4373</v>
      </c>
      <c r="J4400" s="1" t="s">
        <v>10843</v>
      </c>
      <c r="K4400" s="1" t="s">
        <v>10840</v>
      </c>
    </row>
    <row r="4401" spans="1:11" ht="21" x14ac:dyDescent="0.25">
      <c r="A4401" s="11" t="str">
        <f>HYPERLINK("https://rth.dk/resources/bsgatlas/details.php?id=BSGatlas-transcript-4400","BSGatlas-transcript-4400")</f>
        <v>BSGatlas-transcript-4400</v>
      </c>
      <c r="B4401" s="1" t="s">
        <v>10841</v>
      </c>
      <c r="C4401" s="3">
        <v>3901829</v>
      </c>
      <c r="D4401" s="3">
        <v>3905179</v>
      </c>
      <c r="E4401" s="1" t="s">
        <v>13</v>
      </c>
      <c r="F4401" s="1">
        <v>1</v>
      </c>
      <c r="G4401" s="1">
        <v>149</v>
      </c>
      <c r="H4401" s="1">
        <v>40</v>
      </c>
      <c r="I4401" s="1" t="s">
        <v>4373</v>
      </c>
      <c r="J4401" s="1" t="s">
        <v>10844</v>
      </c>
      <c r="K4401" s="1" t="s">
        <v>10840</v>
      </c>
    </row>
    <row r="4402" spans="1:11" ht="21" x14ac:dyDescent="0.25">
      <c r="A4402" s="11" t="str">
        <f>HYPERLINK("https://rth.dk/resources/bsgatlas/details.php?id=BSGatlas-transcript-4401","BSGatlas-transcript-4401")</f>
        <v>BSGatlas-transcript-4401</v>
      </c>
      <c r="B4402" s="1" t="s">
        <v>4053</v>
      </c>
      <c r="C4402" s="3">
        <v>3905057</v>
      </c>
      <c r="D4402" s="3">
        <v>3907004</v>
      </c>
      <c r="E4402" s="1" t="s">
        <v>13</v>
      </c>
      <c r="F4402" s="1">
        <v>0</v>
      </c>
      <c r="G4402" s="1" t="s">
        <v>4372</v>
      </c>
      <c r="H4402" s="1" t="s">
        <v>4372</v>
      </c>
      <c r="I4402" s="1" t="s">
        <v>4373</v>
      </c>
      <c r="J4402" s="1" t="s">
        <v>10845</v>
      </c>
      <c r="K4402" s="1" t="s">
        <v>10846</v>
      </c>
    </row>
    <row r="4403" spans="1:11" ht="21" x14ac:dyDescent="0.25">
      <c r="A4403" s="11" t="str">
        <f>HYPERLINK("https://rth.dk/resources/bsgatlas/details.php?id=BSGatlas-transcript-4402","BSGatlas-transcript-4402")</f>
        <v>BSGatlas-transcript-4402</v>
      </c>
      <c r="B4403" s="1" t="s">
        <v>10847</v>
      </c>
      <c r="C4403" s="3">
        <v>3905057</v>
      </c>
      <c r="D4403" s="3">
        <v>3907453</v>
      </c>
      <c r="E4403" s="1" t="s">
        <v>13</v>
      </c>
      <c r="F4403" s="1">
        <v>1</v>
      </c>
      <c r="G4403" s="1">
        <v>140</v>
      </c>
      <c r="H4403" s="1">
        <v>1086</v>
      </c>
      <c r="I4403" s="1" t="s">
        <v>4386</v>
      </c>
      <c r="J4403" s="1" t="s">
        <v>10848</v>
      </c>
      <c r="K4403" s="1" t="s">
        <v>10846</v>
      </c>
    </row>
    <row r="4404" spans="1:11" ht="21" x14ac:dyDescent="0.25">
      <c r="A4404" s="11" t="str">
        <f>HYPERLINK("https://rth.dk/resources/bsgatlas/details.php?id=BSGatlas-transcript-4403","BSGatlas-transcript-4403")</f>
        <v>BSGatlas-transcript-4403</v>
      </c>
      <c r="B4404" s="1" t="s">
        <v>4055</v>
      </c>
      <c r="C4404" s="3">
        <v>3905281</v>
      </c>
      <c r="D4404" s="3">
        <v>3906432</v>
      </c>
      <c r="E4404" s="1" t="s">
        <v>9</v>
      </c>
      <c r="F4404" s="1">
        <v>0</v>
      </c>
      <c r="G4404" s="1" t="s">
        <v>4372</v>
      </c>
      <c r="H4404" s="1" t="s">
        <v>4372</v>
      </c>
      <c r="I4404" s="1" t="s">
        <v>4373</v>
      </c>
      <c r="J4404" s="1" t="s">
        <v>10849</v>
      </c>
      <c r="K4404" s="1" t="s">
        <v>10850</v>
      </c>
    </row>
    <row r="4405" spans="1:11" ht="21" x14ac:dyDescent="0.25">
      <c r="A4405" s="11" t="str">
        <f>HYPERLINK("https://rth.dk/resources/bsgatlas/details.php?id=BSGatlas-transcript-4404","BSGatlas-transcript-4404")</f>
        <v>BSGatlas-transcript-4404</v>
      </c>
      <c r="B4405" s="1" t="s">
        <v>4055</v>
      </c>
      <c r="C4405" s="3">
        <v>3905281</v>
      </c>
      <c r="D4405" s="3">
        <v>3907204</v>
      </c>
      <c r="E4405" s="1" t="s">
        <v>9</v>
      </c>
      <c r="F4405" s="1">
        <v>0</v>
      </c>
      <c r="G4405" s="1" t="s">
        <v>4372</v>
      </c>
      <c r="H4405" s="1" t="s">
        <v>4372</v>
      </c>
      <c r="I4405" s="1" t="s">
        <v>4373</v>
      </c>
      <c r="J4405" s="1" t="s">
        <v>10849</v>
      </c>
      <c r="K4405" s="1" t="s">
        <v>10851</v>
      </c>
    </row>
    <row r="4406" spans="1:11" ht="21" x14ac:dyDescent="0.25">
      <c r="A4406" s="11" t="str">
        <f>HYPERLINK("https://rth.dk/resources/bsgatlas/details.php?id=BSGatlas-transcript-4405","BSGatlas-transcript-4405")</f>
        <v>BSGatlas-transcript-4405</v>
      </c>
      <c r="B4406" s="1" t="s">
        <v>4053</v>
      </c>
      <c r="C4406" s="3">
        <v>3906094</v>
      </c>
      <c r="D4406" s="3">
        <v>3907004</v>
      </c>
      <c r="E4406" s="1" t="s">
        <v>13</v>
      </c>
      <c r="F4406" s="1">
        <v>0</v>
      </c>
      <c r="G4406" s="1" t="s">
        <v>4372</v>
      </c>
      <c r="H4406" s="1" t="s">
        <v>4372</v>
      </c>
      <c r="I4406" s="1" t="s">
        <v>4373</v>
      </c>
      <c r="J4406" s="1" t="s">
        <v>10845</v>
      </c>
      <c r="K4406" s="1" t="s">
        <v>10852</v>
      </c>
    </row>
    <row r="4407" spans="1:11" ht="21" x14ac:dyDescent="0.25">
      <c r="A4407" s="11" t="str">
        <f>HYPERLINK("https://rth.dk/resources/bsgatlas/details.php?id=BSGatlas-transcript-4406","BSGatlas-transcript-4406")</f>
        <v>BSGatlas-transcript-4406</v>
      </c>
      <c r="B4407" s="1" t="s">
        <v>10847</v>
      </c>
      <c r="C4407" s="3">
        <v>3906094</v>
      </c>
      <c r="D4407" s="3">
        <v>3907453</v>
      </c>
      <c r="E4407" s="1" t="s">
        <v>13</v>
      </c>
      <c r="F4407" s="1">
        <v>1</v>
      </c>
      <c r="G4407" s="1">
        <v>140</v>
      </c>
      <c r="H4407" s="1">
        <v>49</v>
      </c>
      <c r="I4407" s="1" t="s">
        <v>4386</v>
      </c>
      <c r="J4407" s="1" t="s">
        <v>10848</v>
      </c>
      <c r="K4407" s="1" t="s">
        <v>10852</v>
      </c>
    </row>
    <row r="4408" spans="1:11" ht="21" x14ac:dyDescent="0.25">
      <c r="A4408" s="11" t="str">
        <f>HYPERLINK("https://rth.dk/resources/bsgatlas/details.php?id=BSGatlas-transcript-4407","BSGatlas-transcript-4407")</f>
        <v>BSGatlas-transcript-4407</v>
      </c>
      <c r="B4408" s="1" t="s">
        <v>4056</v>
      </c>
      <c r="C4408" s="3">
        <v>3907788</v>
      </c>
      <c r="D4408" s="3">
        <v>3910306</v>
      </c>
      <c r="E4408" s="1" t="s">
        <v>9</v>
      </c>
      <c r="F4408" s="1">
        <v>0</v>
      </c>
      <c r="G4408" s="1" t="s">
        <v>4372</v>
      </c>
      <c r="H4408" s="1" t="s">
        <v>4372</v>
      </c>
      <c r="I4408" s="1" t="s">
        <v>4373</v>
      </c>
      <c r="J4408" s="1" t="s">
        <v>10853</v>
      </c>
      <c r="K4408" s="1" t="s">
        <v>10854</v>
      </c>
    </row>
    <row r="4409" spans="1:11" ht="21" x14ac:dyDescent="0.25">
      <c r="A4409" s="11" t="str">
        <f>HYPERLINK("https://rth.dk/resources/bsgatlas/details.php?id=BSGatlas-transcript-4408","BSGatlas-transcript-4408")</f>
        <v>BSGatlas-transcript-4408</v>
      </c>
      <c r="B4409" s="1" t="s">
        <v>4056</v>
      </c>
      <c r="C4409" s="3">
        <v>3907844</v>
      </c>
      <c r="D4409" s="3">
        <v>3910306</v>
      </c>
      <c r="E4409" s="1" t="s">
        <v>9</v>
      </c>
      <c r="F4409" s="1">
        <v>0</v>
      </c>
      <c r="G4409" s="1" t="s">
        <v>4372</v>
      </c>
      <c r="H4409" s="1" t="s">
        <v>4372</v>
      </c>
      <c r="I4409" s="1" t="s">
        <v>4373</v>
      </c>
      <c r="J4409" s="1" t="s">
        <v>10855</v>
      </c>
      <c r="K4409" s="1" t="s">
        <v>10854</v>
      </c>
    </row>
    <row r="4410" spans="1:11" ht="21" x14ac:dyDescent="0.25">
      <c r="A4410" s="11" t="str">
        <f>HYPERLINK("https://rth.dk/resources/bsgatlas/details.php?id=BSGatlas-transcript-4409","BSGatlas-transcript-4409")</f>
        <v>BSGatlas-transcript-4409</v>
      </c>
      <c r="B4410" s="1" t="s">
        <v>10856</v>
      </c>
      <c r="C4410" s="3">
        <v>3910256</v>
      </c>
      <c r="D4410" s="3">
        <v>3912245</v>
      </c>
      <c r="E4410" s="1" t="s">
        <v>13</v>
      </c>
      <c r="F4410" s="1">
        <v>1</v>
      </c>
      <c r="G4410" s="1">
        <v>20</v>
      </c>
      <c r="H4410" s="1">
        <v>47</v>
      </c>
      <c r="I4410" s="1" t="s">
        <v>4373</v>
      </c>
      <c r="J4410" s="1" t="s">
        <v>10857</v>
      </c>
      <c r="K4410" s="1" t="s">
        <v>10858</v>
      </c>
    </row>
    <row r="4411" spans="1:11" ht="21" x14ac:dyDescent="0.25">
      <c r="A4411" s="11" t="str">
        <f>HYPERLINK("https://rth.dk/resources/bsgatlas/details.php?id=BSGatlas-transcript-4410","BSGatlas-transcript-4410")</f>
        <v>BSGatlas-transcript-4410</v>
      </c>
      <c r="B4411" s="1" t="s">
        <v>4058</v>
      </c>
      <c r="C4411" s="3">
        <v>3911432</v>
      </c>
      <c r="D4411" s="3">
        <v>3912245</v>
      </c>
      <c r="E4411" s="1" t="s">
        <v>13</v>
      </c>
      <c r="F4411" s="1">
        <v>0</v>
      </c>
      <c r="G4411" s="1" t="s">
        <v>4372</v>
      </c>
      <c r="H4411" s="1" t="s">
        <v>4372</v>
      </c>
      <c r="I4411" s="1" t="s">
        <v>4377</v>
      </c>
      <c r="J4411" s="1" t="s">
        <v>10857</v>
      </c>
      <c r="K4411" s="1" t="s">
        <v>10859</v>
      </c>
    </row>
    <row r="4412" spans="1:11" ht="21" x14ac:dyDescent="0.25">
      <c r="A4412" s="11" t="str">
        <f>HYPERLINK("https://rth.dk/resources/bsgatlas/details.php?id=BSGatlas-transcript-4411","BSGatlas-transcript-4411")</f>
        <v>BSGatlas-transcript-4411</v>
      </c>
      <c r="B4412" s="1" t="s">
        <v>4058</v>
      </c>
      <c r="C4412" s="3">
        <v>3911477</v>
      </c>
      <c r="D4412" s="3">
        <v>3912245</v>
      </c>
      <c r="E4412" s="1" t="s">
        <v>13</v>
      </c>
      <c r="F4412" s="1">
        <v>0</v>
      </c>
      <c r="G4412" s="1" t="s">
        <v>4372</v>
      </c>
      <c r="H4412" s="1" t="s">
        <v>4372</v>
      </c>
      <c r="I4412" s="1" t="s">
        <v>4377</v>
      </c>
      <c r="J4412" s="1" t="s">
        <v>10857</v>
      </c>
      <c r="K4412" s="1" t="s">
        <v>10860</v>
      </c>
    </row>
    <row r="4413" spans="1:11" ht="21" x14ac:dyDescent="0.25">
      <c r="A4413" s="11" t="str">
        <f>HYPERLINK("https://rth.dk/resources/bsgatlas/details.php?id=BSGatlas-transcript-4412","BSGatlas-transcript-4412")</f>
        <v>BSGatlas-transcript-4412</v>
      </c>
      <c r="B4413" s="1" t="s">
        <v>4059</v>
      </c>
      <c r="C4413" s="3">
        <v>3912289</v>
      </c>
      <c r="D4413" s="3">
        <v>3913645</v>
      </c>
      <c r="E4413" s="1" t="s">
        <v>13</v>
      </c>
      <c r="F4413" s="1">
        <v>0</v>
      </c>
      <c r="G4413" s="1" t="s">
        <v>4372</v>
      </c>
      <c r="H4413" s="1" t="s">
        <v>4372</v>
      </c>
      <c r="I4413" s="1" t="s">
        <v>4373</v>
      </c>
      <c r="J4413" s="1" t="s">
        <v>10861</v>
      </c>
      <c r="K4413" s="1" t="s">
        <v>10862</v>
      </c>
    </row>
    <row r="4414" spans="1:11" ht="21" x14ac:dyDescent="0.25">
      <c r="A4414" s="11" t="str">
        <f>HYPERLINK("https://rth.dk/resources/bsgatlas/details.php?id=BSGatlas-transcript-4413","BSGatlas-transcript-4413")</f>
        <v>BSGatlas-transcript-4413</v>
      </c>
      <c r="B4414" s="1" t="s">
        <v>4060</v>
      </c>
      <c r="C4414" s="3">
        <v>3913898</v>
      </c>
      <c r="D4414" s="3">
        <v>3914272</v>
      </c>
      <c r="E4414" s="1" t="s">
        <v>9</v>
      </c>
      <c r="F4414" s="1">
        <v>0</v>
      </c>
      <c r="G4414" s="1" t="s">
        <v>4372</v>
      </c>
      <c r="H4414" s="1" t="s">
        <v>4372</v>
      </c>
      <c r="I4414" s="1" t="s">
        <v>4373</v>
      </c>
      <c r="J4414" s="1" t="s">
        <v>10863</v>
      </c>
      <c r="K4414" s="1" t="s">
        <v>10864</v>
      </c>
    </row>
    <row r="4415" spans="1:11" ht="21" x14ac:dyDescent="0.25">
      <c r="A4415" s="11" t="str">
        <f>HYPERLINK("https://rth.dk/resources/bsgatlas/details.php?id=BSGatlas-transcript-4414","BSGatlas-transcript-4414")</f>
        <v>BSGatlas-transcript-4414</v>
      </c>
      <c r="B4415" s="1" t="s">
        <v>4060</v>
      </c>
      <c r="C4415" s="3">
        <v>3913898</v>
      </c>
      <c r="D4415" s="3">
        <v>3914320</v>
      </c>
      <c r="E4415" s="1" t="s">
        <v>9</v>
      </c>
      <c r="F4415" s="1">
        <v>0</v>
      </c>
      <c r="G4415" s="1" t="s">
        <v>4372</v>
      </c>
      <c r="H4415" s="1" t="s">
        <v>4372</v>
      </c>
      <c r="I4415" s="1" t="s">
        <v>4373</v>
      </c>
      <c r="J4415" s="1" t="s">
        <v>10863</v>
      </c>
      <c r="K4415" s="1" t="s">
        <v>10865</v>
      </c>
    </row>
    <row r="4416" spans="1:11" ht="21" x14ac:dyDescent="0.25">
      <c r="A4416" s="11" t="str">
        <f>HYPERLINK("https://rth.dk/resources/bsgatlas/details.php?id=BSGatlas-transcript-4415","BSGatlas-transcript-4415")</f>
        <v>BSGatlas-transcript-4415</v>
      </c>
      <c r="B4416" s="1" t="s">
        <v>4061</v>
      </c>
      <c r="C4416" s="3">
        <v>3914271</v>
      </c>
      <c r="D4416" s="3">
        <v>3914689</v>
      </c>
      <c r="E4416" s="1" t="s">
        <v>13</v>
      </c>
      <c r="F4416" s="1">
        <v>0</v>
      </c>
      <c r="G4416" s="1" t="s">
        <v>4372</v>
      </c>
      <c r="H4416" s="1" t="s">
        <v>4372</v>
      </c>
      <c r="I4416" s="1" t="s">
        <v>4684</v>
      </c>
      <c r="J4416" s="1" t="s">
        <v>318</v>
      </c>
      <c r="K4416" s="1" t="s">
        <v>10866</v>
      </c>
    </row>
    <row r="4417" spans="1:11" ht="21" x14ac:dyDescent="0.25">
      <c r="A4417" s="11" t="str">
        <f>HYPERLINK("https://rth.dk/resources/bsgatlas/details.php?id=BSGatlas-transcript-4416","BSGatlas-transcript-4416")</f>
        <v>BSGatlas-transcript-4416</v>
      </c>
      <c r="B4417" s="1" t="s">
        <v>10867</v>
      </c>
      <c r="C4417" s="3">
        <v>3914271</v>
      </c>
      <c r="D4417" s="3">
        <v>3918330</v>
      </c>
      <c r="E4417" s="1" t="s">
        <v>13</v>
      </c>
      <c r="F4417" s="1">
        <v>1</v>
      </c>
      <c r="G4417" s="1">
        <v>70</v>
      </c>
      <c r="H4417" s="1">
        <v>45</v>
      </c>
      <c r="I4417" s="1" t="s">
        <v>4397</v>
      </c>
      <c r="J4417" s="1" t="s">
        <v>10868</v>
      </c>
      <c r="K4417" s="1" t="s">
        <v>10866</v>
      </c>
    </row>
    <row r="4418" spans="1:11" ht="21" x14ac:dyDescent="0.25">
      <c r="A4418" s="11" t="str">
        <f>HYPERLINK("https://rth.dk/resources/bsgatlas/details.php?id=BSGatlas-transcript-4417","BSGatlas-transcript-4417")</f>
        <v>BSGatlas-transcript-4417</v>
      </c>
      <c r="B4418" s="1" t="s">
        <v>10867</v>
      </c>
      <c r="C4418" s="3">
        <v>3914271</v>
      </c>
      <c r="D4418" s="3">
        <v>3918517</v>
      </c>
      <c r="E4418" s="1" t="s">
        <v>13</v>
      </c>
      <c r="F4418" s="1">
        <v>1</v>
      </c>
      <c r="G4418" s="1">
        <v>257</v>
      </c>
      <c r="H4418" s="1">
        <v>45</v>
      </c>
      <c r="I4418" s="1" t="s">
        <v>4397</v>
      </c>
      <c r="J4418" s="1" t="s">
        <v>10869</v>
      </c>
      <c r="K4418" s="1" t="s">
        <v>10866</v>
      </c>
    </row>
    <row r="4419" spans="1:11" ht="21" x14ac:dyDescent="0.25">
      <c r="A4419" s="11" t="str">
        <f>HYPERLINK("https://rth.dk/resources/bsgatlas/details.php?id=BSGatlas-transcript-4418","BSGatlas-transcript-4418")</f>
        <v>BSGatlas-transcript-4418</v>
      </c>
      <c r="B4419" s="1" t="s">
        <v>10867</v>
      </c>
      <c r="C4419" s="3">
        <v>3914271</v>
      </c>
      <c r="D4419" s="3">
        <v>3918628</v>
      </c>
      <c r="E4419" s="1" t="s">
        <v>13</v>
      </c>
      <c r="F4419" s="1">
        <v>1</v>
      </c>
      <c r="G4419" s="1">
        <v>368</v>
      </c>
      <c r="H4419" s="1">
        <v>45</v>
      </c>
      <c r="I4419" s="1" t="s">
        <v>4397</v>
      </c>
      <c r="J4419" s="1" t="s">
        <v>10870</v>
      </c>
      <c r="K4419" s="1" t="s">
        <v>10866</v>
      </c>
    </row>
    <row r="4420" spans="1:11" ht="21" x14ac:dyDescent="0.25">
      <c r="A4420" s="11" t="str">
        <f>HYPERLINK("https://rth.dk/resources/bsgatlas/details.php?id=BSGatlas-transcript-4419","BSGatlas-transcript-4419")</f>
        <v>BSGatlas-transcript-4419</v>
      </c>
      <c r="B4420" s="1" t="s">
        <v>10867</v>
      </c>
      <c r="C4420" s="3">
        <v>3914271</v>
      </c>
      <c r="D4420" s="3">
        <v>3918723</v>
      </c>
      <c r="E4420" s="1" t="s">
        <v>13</v>
      </c>
      <c r="F4420" s="1">
        <v>1</v>
      </c>
      <c r="G4420" s="1">
        <v>463</v>
      </c>
      <c r="H4420" s="1">
        <v>45</v>
      </c>
      <c r="I4420" s="1" t="s">
        <v>4397</v>
      </c>
      <c r="J4420" s="1" t="s">
        <v>10871</v>
      </c>
      <c r="K4420" s="1" t="s">
        <v>10866</v>
      </c>
    </row>
    <row r="4421" spans="1:11" ht="21" x14ac:dyDescent="0.25">
      <c r="A4421" s="11" t="str">
        <f>HYPERLINK("https://rth.dk/resources/bsgatlas/details.php?id=BSGatlas-transcript-4420","BSGatlas-transcript-4420")</f>
        <v>BSGatlas-transcript-4420</v>
      </c>
      <c r="B4421" s="1" t="s">
        <v>4065</v>
      </c>
      <c r="C4421" s="3">
        <v>3917022</v>
      </c>
      <c r="D4421" s="3">
        <v>3919022</v>
      </c>
      <c r="E4421" s="1" t="s">
        <v>9</v>
      </c>
      <c r="F4421" s="1">
        <v>0</v>
      </c>
      <c r="G4421" s="1" t="s">
        <v>4372</v>
      </c>
      <c r="H4421" s="1" t="s">
        <v>4372</v>
      </c>
      <c r="I4421" s="1" t="s">
        <v>4373</v>
      </c>
      <c r="J4421" s="1" t="s">
        <v>10872</v>
      </c>
      <c r="K4421" s="1" t="s">
        <v>10873</v>
      </c>
    </row>
    <row r="4422" spans="1:11" ht="21" x14ac:dyDescent="0.25">
      <c r="A4422" s="11" t="str">
        <f>HYPERLINK("https://rth.dk/resources/bsgatlas/details.php?id=BSGatlas-transcript-4421","BSGatlas-transcript-4421")</f>
        <v>BSGatlas-transcript-4421</v>
      </c>
      <c r="B4422" s="1" t="s">
        <v>4065</v>
      </c>
      <c r="C4422" s="3">
        <v>3917022</v>
      </c>
      <c r="D4422" s="3">
        <v>3919072</v>
      </c>
      <c r="E4422" s="1" t="s">
        <v>9</v>
      </c>
      <c r="F4422" s="1">
        <v>0</v>
      </c>
      <c r="G4422" s="1" t="s">
        <v>4372</v>
      </c>
      <c r="H4422" s="1" t="s">
        <v>4372</v>
      </c>
      <c r="I4422" s="1" t="s">
        <v>4373</v>
      </c>
      <c r="J4422" s="1" t="s">
        <v>10872</v>
      </c>
      <c r="K4422" s="1" t="s">
        <v>10874</v>
      </c>
    </row>
    <row r="4423" spans="1:11" ht="21" x14ac:dyDescent="0.25">
      <c r="A4423" s="11" t="str">
        <f>HYPERLINK("https://rth.dk/resources/bsgatlas/details.php?id=BSGatlas-transcript-4422","BSGatlas-transcript-4422")</f>
        <v>BSGatlas-transcript-4422</v>
      </c>
      <c r="B4423" s="1" t="s">
        <v>4065</v>
      </c>
      <c r="C4423" s="3">
        <v>3918474</v>
      </c>
      <c r="D4423" s="3">
        <v>3919022</v>
      </c>
      <c r="E4423" s="1" t="s">
        <v>9</v>
      </c>
      <c r="F4423" s="1">
        <v>0</v>
      </c>
      <c r="G4423" s="1" t="s">
        <v>4372</v>
      </c>
      <c r="H4423" s="1" t="s">
        <v>4372</v>
      </c>
      <c r="I4423" s="1" t="s">
        <v>4373</v>
      </c>
      <c r="J4423" s="1" t="s">
        <v>10875</v>
      </c>
      <c r="K4423" s="1" t="s">
        <v>10873</v>
      </c>
    </row>
    <row r="4424" spans="1:11" ht="21" x14ac:dyDescent="0.25">
      <c r="A4424" s="11" t="str">
        <f>HYPERLINK("https://rth.dk/resources/bsgatlas/details.php?id=BSGatlas-transcript-4423","BSGatlas-transcript-4423")</f>
        <v>BSGatlas-transcript-4423</v>
      </c>
      <c r="B4424" s="1" t="s">
        <v>4065</v>
      </c>
      <c r="C4424" s="3">
        <v>3918474</v>
      </c>
      <c r="D4424" s="3">
        <v>3919072</v>
      </c>
      <c r="E4424" s="1" t="s">
        <v>9</v>
      </c>
      <c r="F4424" s="1">
        <v>0</v>
      </c>
      <c r="G4424" s="1" t="s">
        <v>4372</v>
      </c>
      <c r="H4424" s="1" t="s">
        <v>4372</v>
      </c>
      <c r="I4424" s="1" t="s">
        <v>4373</v>
      </c>
      <c r="J4424" s="1" t="s">
        <v>10875</v>
      </c>
      <c r="K4424" s="1" t="s">
        <v>10874</v>
      </c>
    </row>
    <row r="4425" spans="1:11" ht="21" x14ac:dyDescent="0.25">
      <c r="A4425" s="11" t="str">
        <f>HYPERLINK("https://rth.dk/resources/bsgatlas/details.php?id=BSGatlas-transcript-4424","BSGatlas-transcript-4424")</f>
        <v>BSGatlas-transcript-4424</v>
      </c>
      <c r="B4425" s="1" t="s">
        <v>4065</v>
      </c>
      <c r="C4425" s="3">
        <v>3918735</v>
      </c>
      <c r="D4425" s="3">
        <v>3919022</v>
      </c>
      <c r="E4425" s="1" t="s">
        <v>9</v>
      </c>
      <c r="F4425" s="1">
        <v>0</v>
      </c>
      <c r="G4425" s="1" t="s">
        <v>4372</v>
      </c>
      <c r="H4425" s="1" t="s">
        <v>4372</v>
      </c>
      <c r="I4425" s="1" t="s">
        <v>4373</v>
      </c>
      <c r="J4425" s="1" t="s">
        <v>10876</v>
      </c>
      <c r="K4425" s="1" t="s">
        <v>10873</v>
      </c>
    </row>
    <row r="4426" spans="1:11" ht="21" x14ac:dyDescent="0.25">
      <c r="A4426" s="11" t="str">
        <f>HYPERLINK("https://rth.dk/resources/bsgatlas/details.php?id=BSGatlas-transcript-4425","BSGatlas-transcript-4425")</f>
        <v>BSGatlas-transcript-4425</v>
      </c>
      <c r="B4426" s="1" t="s">
        <v>4065</v>
      </c>
      <c r="C4426" s="3">
        <v>3918735</v>
      </c>
      <c r="D4426" s="3">
        <v>3919072</v>
      </c>
      <c r="E4426" s="1" t="s">
        <v>9</v>
      </c>
      <c r="F4426" s="1">
        <v>0</v>
      </c>
      <c r="G4426" s="1" t="s">
        <v>4372</v>
      </c>
      <c r="H4426" s="1" t="s">
        <v>4372</v>
      </c>
      <c r="I4426" s="1" t="s">
        <v>4373</v>
      </c>
      <c r="J4426" s="1" t="s">
        <v>10876</v>
      </c>
      <c r="K4426" s="1" t="s">
        <v>10874</v>
      </c>
    </row>
    <row r="4427" spans="1:11" ht="21" x14ac:dyDescent="0.25">
      <c r="A4427" s="11" t="str">
        <f>HYPERLINK("https://rth.dk/resources/bsgatlas/details.php?id=BSGatlas-transcript-4426","BSGatlas-transcript-4426")</f>
        <v>BSGatlas-transcript-4426</v>
      </c>
      <c r="B4427" s="1" t="s">
        <v>10877</v>
      </c>
      <c r="C4427" s="3">
        <v>3919093</v>
      </c>
      <c r="D4427" s="3">
        <v>3921850</v>
      </c>
      <c r="E4427" s="1" t="s">
        <v>13</v>
      </c>
      <c r="F4427" s="1">
        <v>0</v>
      </c>
      <c r="G4427" s="1" t="s">
        <v>4372</v>
      </c>
      <c r="H4427" s="1" t="s">
        <v>4372</v>
      </c>
      <c r="I4427" s="1" t="s">
        <v>4373</v>
      </c>
      <c r="J4427" s="1" t="s">
        <v>10878</v>
      </c>
      <c r="K4427" s="1" t="s">
        <v>10879</v>
      </c>
    </row>
    <row r="4428" spans="1:11" ht="21" x14ac:dyDescent="0.25">
      <c r="A4428" s="11" t="str">
        <f>HYPERLINK("https://rth.dk/resources/bsgatlas/details.php?id=BSGatlas-transcript-4427","BSGatlas-transcript-4427")</f>
        <v>BSGatlas-transcript-4427</v>
      </c>
      <c r="B4428" s="1" t="s">
        <v>10880</v>
      </c>
      <c r="C4428" s="3">
        <v>3919093</v>
      </c>
      <c r="D4428" s="3">
        <v>3922994</v>
      </c>
      <c r="E4428" s="1" t="s">
        <v>13</v>
      </c>
      <c r="F4428" s="1">
        <v>2</v>
      </c>
      <c r="G4428" s="1">
        <v>32</v>
      </c>
      <c r="H4428" s="1" t="s">
        <v>4372</v>
      </c>
      <c r="I4428" s="1" t="s">
        <v>4386</v>
      </c>
      <c r="J4428" s="1" t="s">
        <v>10881</v>
      </c>
      <c r="K4428" s="1" t="s">
        <v>10879</v>
      </c>
    </row>
    <row r="4429" spans="1:11" ht="21" x14ac:dyDescent="0.25">
      <c r="A4429" s="11" t="str">
        <f>HYPERLINK("https://rth.dk/resources/bsgatlas/details.php?id=BSGatlas-transcript-4428","BSGatlas-transcript-4428")</f>
        <v>BSGatlas-transcript-4428</v>
      </c>
      <c r="B4429" s="1" t="s">
        <v>10880</v>
      </c>
      <c r="C4429" s="3">
        <v>3919093</v>
      </c>
      <c r="D4429" s="3">
        <v>3924050</v>
      </c>
      <c r="E4429" s="1" t="s">
        <v>13</v>
      </c>
      <c r="F4429" s="1">
        <v>2</v>
      </c>
      <c r="G4429" s="1">
        <v>1088</v>
      </c>
      <c r="H4429" s="1" t="s">
        <v>4372</v>
      </c>
      <c r="I4429" s="1" t="s">
        <v>4386</v>
      </c>
      <c r="J4429" s="1" t="s">
        <v>10882</v>
      </c>
      <c r="K4429" s="1" t="s">
        <v>10879</v>
      </c>
    </row>
    <row r="4430" spans="1:11" ht="21" x14ac:dyDescent="0.25">
      <c r="A4430" s="11" t="str">
        <f>HYPERLINK("https://rth.dk/resources/bsgatlas/details.php?id=BSGatlas-transcript-4429","BSGatlas-transcript-4429")</f>
        <v>BSGatlas-transcript-4429</v>
      </c>
      <c r="B4430" s="1" t="s">
        <v>4070</v>
      </c>
      <c r="C4430" s="3">
        <v>3923131</v>
      </c>
      <c r="D4430" s="3">
        <v>3923477</v>
      </c>
      <c r="E4430" s="1" t="s">
        <v>9</v>
      </c>
      <c r="F4430" s="1">
        <v>0</v>
      </c>
      <c r="G4430" s="1" t="s">
        <v>4372</v>
      </c>
      <c r="H4430" s="1" t="s">
        <v>4372</v>
      </c>
      <c r="I4430" s="1" t="s">
        <v>4386</v>
      </c>
      <c r="J4430" s="1" t="s">
        <v>10883</v>
      </c>
      <c r="K4430" s="1" t="s">
        <v>318</v>
      </c>
    </row>
    <row r="4431" spans="1:11" ht="21" x14ac:dyDescent="0.25">
      <c r="A4431" s="11" t="str">
        <f>HYPERLINK("https://rth.dk/resources/bsgatlas/details.php?id=BSGatlas-transcript-4430","BSGatlas-transcript-4430")</f>
        <v>BSGatlas-transcript-4430</v>
      </c>
      <c r="B4431" s="1" t="s">
        <v>10884</v>
      </c>
      <c r="C4431" s="3">
        <v>3923864</v>
      </c>
      <c r="D4431" s="3">
        <v>3925766</v>
      </c>
      <c r="E4431" s="1" t="s">
        <v>9</v>
      </c>
      <c r="F4431" s="1">
        <v>0</v>
      </c>
      <c r="G4431" s="1" t="s">
        <v>4372</v>
      </c>
      <c r="H4431" s="1" t="s">
        <v>4372</v>
      </c>
      <c r="I4431" s="1" t="s">
        <v>4386</v>
      </c>
      <c r="J4431" s="1" t="s">
        <v>10885</v>
      </c>
      <c r="K4431" s="1" t="s">
        <v>10886</v>
      </c>
    </row>
    <row r="4432" spans="1:11" ht="21" x14ac:dyDescent="0.25">
      <c r="A4432" s="11" t="str">
        <f>HYPERLINK("https://rth.dk/resources/bsgatlas/details.php?id=BSGatlas-transcript-4431","BSGatlas-transcript-4431")</f>
        <v>BSGatlas-transcript-4431</v>
      </c>
      <c r="B4432" s="1" t="s">
        <v>4073</v>
      </c>
      <c r="C4432" s="3">
        <v>3923984</v>
      </c>
      <c r="D4432" s="3">
        <v>3926399</v>
      </c>
      <c r="E4432" s="1" t="s">
        <v>13</v>
      </c>
      <c r="F4432" s="1">
        <v>0</v>
      </c>
      <c r="G4432" s="1" t="s">
        <v>4372</v>
      </c>
      <c r="H4432" s="1" t="s">
        <v>4372</v>
      </c>
      <c r="I4432" s="1" t="s">
        <v>4373</v>
      </c>
      <c r="J4432" s="1" t="s">
        <v>318</v>
      </c>
      <c r="K4432" s="1" t="s">
        <v>10887</v>
      </c>
    </row>
    <row r="4433" spans="1:11" ht="21" x14ac:dyDescent="0.25">
      <c r="A4433" s="11" t="str">
        <f>HYPERLINK("https://rth.dk/resources/bsgatlas/details.php?id=BSGatlas-transcript-4432","BSGatlas-transcript-4432")</f>
        <v>BSGatlas-transcript-4432</v>
      </c>
      <c r="B4433" s="1" t="s">
        <v>10888</v>
      </c>
      <c r="C4433" s="3">
        <v>3923984</v>
      </c>
      <c r="D4433" s="3">
        <v>3928037</v>
      </c>
      <c r="E4433" s="1" t="s">
        <v>13</v>
      </c>
      <c r="F4433" s="1">
        <v>1</v>
      </c>
      <c r="G4433" s="1">
        <v>106</v>
      </c>
      <c r="H4433" s="1">
        <v>1814</v>
      </c>
      <c r="I4433" s="1" t="s">
        <v>4386</v>
      </c>
      <c r="J4433" s="1" t="s">
        <v>10889</v>
      </c>
      <c r="K4433" s="1" t="s">
        <v>10887</v>
      </c>
    </row>
    <row r="4434" spans="1:11" ht="21" x14ac:dyDescent="0.25">
      <c r="A4434" s="11" t="str">
        <f>HYPERLINK("https://rth.dk/resources/bsgatlas/details.php?id=BSGatlas-transcript-4433","BSGatlas-transcript-4433")</f>
        <v>BSGatlas-transcript-4433</v>
      </c>
      <c r="B4434" s="1" t="s">
        <v>10890</v>
      </c>
      <c r="C4434" s="3">
        <v>3923984</v>
      </c>
      <c r="D4434" s="3">
        <v>3930594</v>
      </c>
      <c r="E4434" s="1" t="s">
        <v>13</v>
      </c>
      <c r="F4434" s="1">
        <v>2</v>
      </c>
      <c r="G4434" s="1">
        <v>45</v>
      </c>
      <c r="H4434" s="1">
        <v>1814</v>
      </c>
      <c r="I4434" s="1" t="s">
        <v>4377</v>
      </c>
      <c r="J4434" s="1" t="s">
        <v>10891</v>
      </c>
      <c r="K4434" s="1" t="s">
        <v>10887</v>
      </c>
    </row>
    <row r="4435" spans="1:11" ht="21" x14ac:dyDescent="0.25">
      <c r="A4435" s="11" t="str">
        <f>HYPERLINK("https://rth.dk/resources/bsgatlas/details.php?id=BSGatlas-transcript-4434","BSGatlas-transcript-4434")</f>
        <v>BSGatlas-transcript-4434</v>
      </c>
      <c r="B4435" s="1" t="s">
        <v>4073</v>
      </c>
      <c r="C4435" s="3">
        <v>3925757</v>
      </c>
      <c r="D4435" s="3">
        <v>3926399</v>
      </c>
      <c r="E4435" s="1" t="s">
        <v>13</v>
      </c>
      <c r="F4435" s="1">
        <v>0</v>
      </c>
      <c r="G4435" s="1" t="s">
        <v>4372</v>
      </c>
      <c r="H4435" s="1" t="s">
        <v>4372</v>
      </c>
      <c r="I4435" s="1" t="s">
        <v>4373</v>
      </c>
      <c r="J4435" s="1" t="s">
        <v>318</v>
      </c>
      <c r="K4435" s="1" t="s">
        <v>10892</v>
      </c>
    </row>
    <row r="4436" spans="1:11" ht="21" x14ac:dyDescent="0.25">
      <c r="A4436" s="11" t="str">
        <f>HYPERLINK("https://rth.dk/resources/bsgatlas/details.php?id=BSGatlas-transcript-4435","BSGatlas-transcript-4435")</f>
        <v>BSGatlas-transcript-4435</v>
      </c>
      <c r="B4436" s="1" t="s">
        <v>10888</v>
      </c>
      <c r="C4436" s="3">
        <v>3925757</v>
      </c>
      <c r="D4436" s="3">
        <v>3928037</v>
      </c>
      <c r="E4436" s="1" t="s">
        <v>13</v>
      </c>
      <c r="F4436" s="1">
        <v>1</v>
      </c>
      <c r="G4436" s="1">
        <v>106</v>
      </c>
      <c r="H4436" s="1">
        <v>41</v>
      </c>
      <c r="I4436" s="1" t="s">
        <v>4386</v>
      </c>
      <c r="J4436" s="1" t="s">
        <v>10889</v>
      </c>
      <c r="K4436" s="1" t="s">
        <v>10892</v>
      </c>
    </row>
    <row r="4437" spans="1:11" ht="21" x14ac:dyDescent="0.25">
      <c r="A4437" s="11" t="str">
        <f>HYPERLINK("https://rth.dk/resources/bsgatlas/details.php?id=BSGatlas-transcript-4436","BSGatlas-transcript-4436")</f>
        <v>BSGatlas-transcript-4436</v>
      </c>
      <c r="B4437" s="1" t="s">
        <v>10890</v>
      </c>
      <c r="C4437" s="3">
        <v>3925757</v>
      </c>
      <c r="D4437" s="3">
        <v>3930594</v>
      </c>
      <c r="E4437" s="1" t="s">
        <v>13</v>
      </c>
      <c r="F4437" s="1">
        <v>2</v>
      </c>
      <c r="G4437" s="1">
        <v>45</v>
      </c>
      <c r="H4437" s="1">
        <v>41</v>
      </c>
      <c r="I4437" s="1" t="s">
        <v>4377</v>
      </c>
      <c r="J4437" s="1" t="s">
        <v>10891</v>
      </c>
      <c r="K4437" s="1" t="s">
        <v>10892</v>
      </c>
    </row>
    <row r="4438" spans="1:11" ht="21" x14ac:dyDescent="0.25">
      <c r="A4438" s="11" t="str">
        <f>HYPERLINK("https://rth.dk/resources/bsgatlas/details.php?id=BSGatlas-transcript-4437","BSGatlas-transcript-4437")</f>
        <v>BSGatlas-transcript-4437</v>
      </c>
      <c r="B4438" s="1" t="s">
        <v>4074</v>
      </c>
      <c r="C4438" s="3">
        <v>3926682</v>
      </c>
      <c r="D4438" s="3">
        <v>3928037</v>
      </c>
      <c r="E4438" s="1" t="s">
        <v>13</v>
      </c>
      <c r="F4438" s="1">
        <v>0</v>
      </c>
      <c r="G4438" s="1" t="s">
        <v>4372</v>
      </c>
      <c r="H4438" s="1" t="s">
        <v>4372</v>
      </c>
      <c r="I4438" s="1" t="s">
        <v>4377</v>
      </c>
      <c r="J4438" s="1" t="s">
        <v>10889</v>
      </c>
      <c r="K4438" s="1" t="s">
        <v>10893</v>
      </c>
    </row>
    <row r="4439" spans="1:11" ht="21" x14ac:dyDescent="0.25">
      <c r="A4439" s="11" t="str">
        <f>HYPERLINK("https://rth.dk/resources/bsgatlas/details.php?id=BSGatlas-transcript-4438","BSGatlas-transcript-4438")</f>
        <v>BSGatlas-transcript-4438</v>
      </c>
      <c r="B4439" s="1" t="s">
        <v>10894</v>
      </c>
      <c r="C4439" s="3">
        <v>3926682</v>
      </c>
      <c r="D4439" s="3">
        <v>3930594</v>
      </c>
      <c r="E4439" s="1" t="s">
        <v>13</v>
      </c>
      <c r="F4439" s="1">
        <v>1</v>
      </c>
      <c r="G4439" s="1">
        <v>45</v>
      </c>
      <c r="H4439" s="1" t="s">
        <v>4372</v>
      </c>
      <c r="I4439" s="1" t="s">
        <v>4373</v>
      </c>
      <c r="J4439" s="1" t="s">
        <v>10891</v>
      </c>
      <c r="K4439" s="1" t="s">
        <v>10893</v>
      </c>
    </row>
    <row r="4440" spans="1:11" ht="21" x14ac:dyDescent="0.25">
      <c r="A4440" s="11" t="str">
        <f>HYPERLINK("https://rth.dk/resources/bsgatlas/details.php?id=BSGatlas-transcript-4439","BSGatlas-transcript-4439")</f>
        <v>BSGatlas-transcript-4439</v>
      </c>
      <c r="B4440" s="1" t="s">
        <v>10895</v>
      </c>
      <c r="C4440" s="3">
        <v>3930650</v>
      </c>
      <c r="D4440" s="3">
        <v>3933103</v>
      </c>
      <c r="E4440" s="1" t="s">
        <v>13</v>
      </c>
      <c r="F4440" s="1">
        <v>0</v>
      </c>
      <c r="G4440" s="1" t="s">
        <v>4372</v>
      </c>
      <c r="H4440" s="1" t="s">
        <v>4372</v>
      </c>
      <c r="I4440" s="1" t="s">
        <v>4373</v>
      </c>
      <c r="J4440" s="1" t="s">
        <v>10896</v>
      </c>
      <c r="K4440" s="1" t="s">
        <v>10897</v>
      </c>
    </row>
    <row r="4441" spans="1:11" ht="21" x14ac:dyDescent="0.25">
      <c r="A4441" s="11" t="str">
        <f>HYPERLINK("https://rth.dk/resources/bsgatlas/details.php?id=BSGatlas-transcript-4440","BSGatlas-transcript-4440")</f>
        <v>BSGatlas-transcript-4440</v>
      </c>
      <c r="B4441" s="1" t="s">
        <v>10895</v>
      </c>
      <c r="C4441" s="3">
        <v>3930650</v>
      </c>
      <c r="D4441" s="3">
        <v>3933150</v>
      </c>
      <c r="E4441" s="1" t="s">
        <v>13</v>
      </c>
      <c r="F4441" s="1">
        <v>0</v>
      </c>
      <c r="G4441" s="1" t="s">
        <v>4372</v>
      </c>
      <c r="H4441" s="1" t="s">
        <v>4372</v>
      </c>
      <c r="I4441" s="1" t="s">
        <v>4373</v>
      </c>
      <c r="J4441" s="1" t="s">
        <v>10898</v>
      </c>
      <c r="K4441" s="1" t="s">
        <v>10897</v>
      </c>
    </row>
    <row r="4442" spans="1:11" ht="21" x14ac:dyDescent="0.25">
      <c r="A4442" s="11" t="str">
        <f>HYPERLINK("https://rth.dk/resources/bsgatlas/details.php?id=BSGatlas-transcript-4441","BSGatlas-transcript-4441")</f>
        <v>BSGatlas-transcript-4441</v>
      </c>
      <c r="B4442" s="1" t="s">
        <v>10895</v>
      </c>
      <c r="C4442" s="3">
        <v>3930707</v>
      </c>
      <c r="D4442" s="3">
        <v>3933103</v>
      </c>
      <c r="E4442" s="1" t="s">
        <v>13</v>
      </c>
      <c r="F4442" s="1">
        <v>0</v>
      </c>
      <c r="G4442" s="1" t="s">
        <v>4372</v>
      </c>
      <c r="H4442" s="1" t="s">
        <v>4372</v>
      </c>
      <c r="I4442" s="1" t="s">
        <v>4373</v>
      </c>
      <c r="J4442" s="1" t="s">
        <v>10896</v>
      </c>
      <c r="K4442" s="1" t="s">
        <v>10899</v>
      </c>
    </row>
    <row r="4443" spans="1:11" ht="21" x14ac:dyDescent="0.25">
      <c r="A4443" s="11" t="str">
        <f>HYPERLINK("https://rth.dk/resources/bsgatlas/details.php?id=BSGatlas-transcript-4442","BSGatlas-transcript-4442")</f>
        <v>BSGatlas-transcript-4442</v>
      </c>
      <c r="B4443" s="1" t="s">
        <v>10895</v>
      </c>
      <c r="C4443" s="3">
        <v>3930707</v>
      </c>
      <c r="D4443" s="3">
        <v>3933150</v>
      </c>
      <c r="E4443" s="1" t="s">
        <v>13</v>
      </c>
      <c r="F4443" s="1">
        <v>0</v>
      </c>
      <c r="G4443" s="1" t="s">
        <v>4372</v>
      </c>
      <c r="H4443" s="1" t="s">
        <v>4372</v>
      </c>
      <c r="I4443" s="1" t="s">
        <v>4373</v>
      </c>
      <c r="J4443" s="1" t="s">
        <v>10898</v>
      </c>
      <c r="K4443" s="1" t="s">
        <v>10899</v>
      </c>
    </row>
    <row r="4444" spans="1:11" ht="21" x14ac:dyDescent="0.25">
      <c r="A4444" s="11" t="str">
        <f>HYPERLINK("https://rth.dk/resources/bsgatlas/details.php?id=BSGatlas-transcript-4443","BSGatlas-transcript-4443")</f>
        <v>BSGatlas-transcript-4443</v>
      </c>
      <c r="B4444" s="1" t="s">
        <v>10900</v>
      </c>
      <c r="C4444" s="3">
        <v>3933173</v>
      </c>
      <c r="D4444" s="3">
        <v>3934254</v>
      </c>
      <c r="E4444" s="1" t="s">
        <v>9</v>
      </c>
      <c r="F4444" s="1">
        <v>0</v>
      </c>
      <c r="G4444" s="1" t="s">
        <v>4372</v>
      </c>
      <c r="H4444" s="1" t="s">
        <v>4372</v>
      </c>
      <c r="I4444" s="1" t="s">
        <v>4386</v>
      </c>
      <c r="J4444" s="1" t="s">
        <v>10901</v>
      </c>
      <c r="K4444" s="1" t="s">
        <v>10902</v>
      </c>
    </row>
    <row r="4445" spans="1:11" ht="21" x14ac:dyDescent="0.25">
      <c r="A4445" s="11" t="str">
        <f>HYPERLINK("https://rth.dk/resources/bsgatlas/details.php?id=BSGatlas-transcript-4444","BSGatlas-transcript-4444")</f>
        <v>BSGatlas-transcript-4444</v>
      </c>
      <c r="B4445" s="1" t="s">
        <v>10903</v>
      </c>
      <c r="C4445" s="3">
        <v>3934316</v>
      </c>
      <c r="D4445" s="3">
        <v>3935788</v>
      </c>
      <c r="E4445" s="1" t="s">
        <v>9</v>
      </c>
      <c r="F4445" s="1">
        <v>1</v>
      </c>
      <c r="G4445" s="1">
        <v>43</v>
      </c>
      <c r="H4445" s="1" t="s">
        <v>4372</v>
      </c>
      <c r="I4445" s="1" t="s">
        <v>4386</v>
      </c>
      <c r="J4445" s="1" t="s">
        <v>10904</v>
      </c>
      <c r="K4445" s="1" t="s">
        <v>10905</v>
      </c>
    </row>
    <row r="4446" spans="1:11" ht="21" x14ac:dyDescent="0.25">
      <c r="A4446" s="11" t="str">
        <f>HYPERLINK("https://rth.dk/resources/bsgatlas/details.php?id=BSGatlas-transcript-4445","BSGatlas-transcript-4445")</f>
        <v>BSGatlas-transcript-4445</v>
      </c>
      <c r="B4446" s="1" t="s">
        <v>4084</v>
      </c>
      <c r="C4446" s="3">
        <v>3935824</v>
      </c>
      <c r="D4446" s="3">
        <v>3937054</v>
      </c>
      <c r="E4446" s="1" t="s">
        <v>13</v>
      </c>
      <c r="F4446" s="1">
        <v>0</v>
      </c>
      <c r="G4446" s="1" t="s">
        <v>4372</v>
      </c>
      <c r="H4446" s="1" t="s">
        <v>4372</v>
      </c>
      <c r="I4446" s="1" t="s">
        <v>4397</v>
      </c>
      <c r="J4446" s="1" t="s">
        <v>10906</v>
      </c>
      <c r="K4446" s="1" t="s">
        <v>10907</v>
      </c>
    </row>
    <row r="4447" spans="1:11" ht="21" x14ac:dyDescent="0.25">
      <c r="A4447" s="11" t="str">
        <f>HYPERLINK("https://rth.dk/resources/bsgatlas/details.php?id=BSGatlas-transcript-4446","BSGatlas-transcript-4446")</f>
        <v>BSGatlas-transcript-4446</v>
      </c>
      <c r="B4447" s="1" t="s">
        <v>4084</v>
      </c>
      <c r="C4447" s="3">
        <v>3935824</v>
      </c>
      <c r="D4447" s="3">
        <v>3937054</v>
      </c>
      <c r="E4447" s="1" t="s">
        <v>13</v>
      </c>
      <c r="F4447" s="1">
        <v>0</v>
      </c>
      <c r="G4447" s="1" t="s">
        <v>4372</v>
      </c>
      <c r="H4447" s="1" t="s">
        <v>4372</v>
      </c>
      <c r="I4447" s="1" t="s">
        <v>4397</v>
      </c>
      <c r="J4447" s="1" t="s">
        <v>10906</v>
      </c>
      <c r="K4447" s="1" t="s">
        <v>10908</v>
      </c>
    </row>
    <row r="4448" spans="1:11" ht="21" x14ac:dyDescent="0.25">
      <c r="A4448" s="11" t="str">
        <f>HYPERLINK("https://rth.dk/resources/bsgatlas/details.php?id=BSGatlas-transcript-4447","BSGatlas-transcript-4447")</f>
        <v>BSGatlas-transcript-4447</v>
      </c>
      <c r="B4448" s="1" t="s">
        <v>4085</v>
      </c>
      <c r="C4448" s="3">
        <v>3937090</v>
      </c>
      <c r="D4448" s="3">
        <v>3937515</v>
      </c>
      <c r="E4448" s="1" t="s">
        <v>9</v>
      </c>
      <c r="F4448" s="1">
        <v>0</v>
      </c>
      <c r="G4448" s="1" t="s">
        <v>4372</v>
      </c>
      <c r="H4448" s="1" t="s">
        <v>4372</v>
      </c>
      <c r="I4448" s="1" t="s">
        <v>4373</v>
      </c>
      <c r="J4448" s="1" t="s">
        <v>10909</v>
      </c>
      <c r="K4448" s="1" t="s">
        <v>10910</v>
      </c>
    </row>
    <row r="4449" spans="1:11" ht="21" x14ac:dyDescent="0.25">
      <c r="A4449" s="11" t="str">
        <f>HYPERLINK("https://rth.dk/resources/bsgatlas/details.php?id=BSGatlas-transcript-4448","BSGatlas-transcript-4448")</f>
        <v>BSGatlas-transcript-4448</v>
      </c>
      <c r="B4449" s="1" t="s">
        <v>4085</v>
      </c>
      <c r="C4449" s="3">
        <v>3937090</v>
      </c>
      <c r="D4449" s="3">
        <v>3937515</v>
      </c>
      <c r="E4449" s="1" t="s">
        <v>9</v>
      </c>
      <c r="F4449" s="1">
        <v>0</v>
      </c>
      <c r="G4449" s="1" t="s">
        <v>4372</v>
      </c>
      <c r="H4449" s="1" t="s">
        <v>4372</v>
      </c>
      <c r="I4449" s="1" t="s">
        <v>4373</v>
      </c>
      <c r="J4449" s="1" t="s">
        <v>10909</v>
      </c>
      <c r="K4449" s="1" t="s">
        <v>10911</v>
      </c>
    </row>
    <row r="4450" spans="1:11" ht="21" x14ac:dyDescent="0.25">
      <c r="A4450" s="11" t="str">
        <f>HYPERLINK("https://rth.dk/resources/bsgatlas/details.php?id=BSGatlas-transcript-4449","BSGatlas-transcript-4449")</f>
        <v>BSGatlas-transcript-4449</v>
      </c>
      <c r="B4450" s="1" t="s">
        <v>4085</v>
      </c>
      <c r="C4450" s="3">
        <v>3937090</v>
      </c>
      <c r="D4450" s="3">
        <v>3937563</v>
      </c>
      <c r="E4450" s="1" t="s">
        <v>9</v>
      </c>
      <c r="F4450" s="1">
        <v>0</v>
      </c>
      <c r="G4450" s="1" t="s">
        <v>4372</v>
      </c>
      <c r="H4450" s="1" t="s">
        <v>4372</v>
      </c>
      <c r="I4450" s="1" t="s">
        <v>4373</v>
      </c>
      <c r="J4450" s="1" t="s">
        <v>10909</v>
      </c>
      <c r="K4450" s="1" t="s">
        <v>10912</v>
      </c>
    </row>
    <row r="4451" spans="1:11" ht="21" x14ac:dyDescent="0.25">
      <c r="A4451" s="11" t="str">
        <f>HYPERLINK("https://rth.dk/resources/bsgatlas/details.php?id=BSGatlas-transcript-4450","BSGatlas-transcript-4450")</f>
        <v>BSGatlas-transcript-4450</v>
      </c>
      <c r="B4451" s="1" t="s">
        <v>4086</v>
      </c>
      <c r="C4451" s="3">
        <v>3937508</v>
      </c>
      <c r="D4451" s="3">
        <v>3938264</v>
      </c>
      <c r="E4451" s="1" t="s">
        <v>13</v>
      </c>
      <c r="F4451" s="1">
        <v>0</v>
      </c>
      <c r="G4451" s="1" t="s">
        <v>4372</v>
      </c>
      <c r="H4451" s="1" t="s">
        <v>4372</v>
      </c>
      <c r="I4451" s="1" t="s">
        <v>4373</v>
      </c>
      <c r="J4451" s="1" t="s">
        <v>10913</v>
      </c>
      <c r="K4451" s="1" t="s">
        <v>10914</v>
      </c>
    </row>
    <row r="4452" spans="1:11" ht="21" x14ac:dyDescent="0.25">
      <c r="A4452" s="11" t="str">
        <f>HYPERLINK("https://rth.dk/resources/bsgatlas/details.php?id=BSGatlas-transcript-4451","BSGatlas-transcript-4451")</f>
        <v>BSGatlas-transcript-4451</v>
      </c>
      <c r="B4452" s="1" t="s">
        <v>10915</v>
      </c>
      <c r="C4452" s="3">
        <v>3937508</v>
      </c>
      <c r="D4452" s="3">
        <v>3939712</v>
      </c>
      <c r="E4452" s="1" t="s">
        <v>13</v>
      </c>
      <c r="F4452" s="1">
        <v>1</v>
      </c>
      <c r="G4452" s="1">
        <v>72</v>
      </c>
      <c r="H4452" s="1">
        <v>46</v>
      </c>
      <c r="I4452" s="1" t="s">
        <v>4386</v>
      </c>
      <c r="J4452" s="1" t="s">
        <v>10916</v>
      </c>
      <c r="K4452" s="1" t="s">
        <v>10914</v>
      </c>
    </row>
    <row r="4453" spans="1:11" ht="21" x14ac:dyDescent="0.25">
      <c r="A4453" s="11" t="str">
        <f>HYPERLINK("https://rth.dk/resources/bsgatlas/details.php?id=BSGatlas-transcript-4452","BSGatlas-transcript-4452")</f>
        <v>BSGatlas-transcript-4452</v>
      </c>
      <c r="B4453" s="1" t="s">
        <v>10915</v>
      </c>
      <c r="C4453" s="3">
        <v>3937508</v>
      </c>
      <c r="D4453" s="3">
        <v>3941014</v>
      </c>
      <c r="E4453" s="1" t="s">
        <v>13</v>
      </c>
      <c r="F4453" s="1">
        <v>1</v>
      </c>
      <c r="G4453" s="1">
        <v>1374</v>
      </c>
      <c r="H4453" s="1">
        <v>46</v>
      </c>
      <c r="I4453" s="1" t="s">
        <v>4386</v>
      </c>
      <c r="J4453" s="1" t="s">
        <v>10917</v>
      </c>
      <c r="K4453" s="1" t="s">
        <v>10914</v>
      </c>
    </row>
    <row r="4454" spans="1:11" ht="21" x14ac:dyDescent="0.25">
      <c r="A4454" s="11" t="str">
        <f>HYPERLINK("https://rth.dk/resources/bsgatlas/details.php?id=BSGatlas-transcript-4453","BSGatlas-transcript-4453")</f>
        <v>BSGatlas-transcript-4453</v>
      </c>
      <c r="B4454" s="1" t="s">
        <v>4088</v>
      </c>
      <c r="C4454" s="3">
        <v>3939818</v>
      </c>
      <c r="D4454" s="3">
        <v>3941859</v>
      </c>
      <c r="E4454" s="1" t="s">
        <v>9</v>
      </c>
      <c r="F4454" s="1">
        <v>0</v>
      </c>
      <c r="G4454" s="1" t="s">
        <v>4372</v>
      </c>
      <c r="H4454" s="1" t="s">
        <v>4372</v>
      </c>
      <c r="I4454" s="1" t="s">
        <v>4373</v>
      </c>
      <c r="J4454" s="1" t="s">
        <v>10918</v>
      </c>
      <c r="K4454" s="1" t="s">
        <v>10919</v>
      </c>
    </row>
    <row r="4455" spans="1:11" ht="21" x14ac:dyDescent="0.25">
      <c r="A4455" s="11" t="str">
        <f>HYPERLINK("https://rth.dk/resources/bsgatlas/details.php?id=BSGatlas-transcript-4454","BSGatlas-transcript-4454")</f>
        <v>BSGatlas-transcript-4454</v>
      </c>
      <c r="B4455" s="1" t="s">
        <v>4088</v>
      </c>
      <c r="C4455" s="3">
        <v>3939841</v>
      </c>
      <c r="D4455" s="3">
        <v>3941859</v>
      </c>
      <c r="E4455" s="1" t="s">
        <v>9</v>
      </c>
      <c r="F4455" s="1">
        <v>0</v>
      </c>
      <c r="G4455" s="1" t="s">
        <v>4372</v>
      </c>
      <c r="H4455" s="1" t="s">
        <v>4372</v>
      </c>
      <c r="I4455" s="1" t="s">
        <v>4373</v>
      </c>
      <c r="J4455" s="1" t="s">
        <v>10920</v>
      </c>
      <c r="K4455" s="1" t="s">
        <v>10919</v>
      </c>
    </row>
    <row r="4456" spans="1:11" ht="21" x14ac:dyDescent="0.25">
      <c r="A4456" s="11" t="str">
        <f>HYPERLINK("https://rth.dk/resources/bsgatlas/details.php?id=BSGatlas-transcript-4455","BSGatlas-transcript-4455")</f>
        <v>BSGatlas-transcript-4455</v>
      </c>
      <c r="B4456" s="1" t="s">
        <v>3669</v>
      </c>
      <c r="C4456" s="3">
        <v>3941947</v>
      </c>
      <c r="D4456" s="3">
        <v>3942129</v>
      </c>
      <c r="E4456" s="1" t="s">
        <v>9</v>
      </c>
      <c r="F4456" s="1">
        <v>0</v>
      </c>
      <c r="G4456" s="1" t="s">
        <v>4372</v>
      </c>
      <c r="H4456" s="1" t="s">
        <v>4372</v>
      </c>
      <c r="I4456" s="1" t="s">
        <v>4377</v>
      </c>
      <c r="J4456" s="1" t="s">
        <v>318</v>
      </c>
      <c r="K4456" s="1" t="s">
        <v>10921</v>
      </c>
    </row>
    <row r="4457" spans="1:11" ht="21" x14ac:dyDescent="0.25">
      <c r="A4457" s="11" t="str">
        <f>HYPERLINK("https://rth.dk/resources/bsgatlas/details.php?id=BSGatlas-transcript-4456","BSGatlas-transcript-4456")</f>
        <v>BSGatlas-transcript-4456</v>
      </c>
      <c r="B4457" s="1" t="s">
        <v>10922</v>
      </c>
      <c r="C4457" s="3">
        <v>3941947</v>
      </c>
      <c r="D4457" s="3">
        <v>3944560</v>
      </c>
      <c r="E4457" s="1" t="s">
        <v>9</v>
      </c>
      <c r="F4457" s="1">
        <v>1</v>
      </c>
      <c r="G4457" s="1">
        <v>288</v>
      </c>
      <c r="H4457" s="1">
        <v>52</v>
      </c>
      <c r="I4457" s="1" t="s">
        <v>4373</v>
      </c>
      <c r="J4457" s="1" t="s">
        <v>10923</v>
      </c>
      <c r="K4457" s="1" t="s">
        <v>10924</v>
      </c>
    </row>
    <row r="4458" spans="1:11" ht="21" x14ac:dyDescent="0.25">
      <c r="A4458" s="11" t="str">
        <f>HYPERLINK("https://rth.dk/resources/bsgatlas/details.php?id=BSGatlas-transcript-4457","BSGatlas-transcript-4457")</f>
        <v>BSGatlas-transcript-4457</v>
      </c>
      <c r="B4458" s="1" t="s">
        <v>10922</v>
      </c>
      <c r="C4458" s="3">
        <v>3941947</v>
      </c>
      <c r="D4458" s="3">
        <v>3945426</v>
      </c>
      <c r="E4458" s="1" t="s">
        <v>9</v>
      </c>
      <c r="F4458" s="1">
        <v>1</v>
      </c>
      <c r="G4458" s="1">
        <v>288</v>
      </c>
      <c r="H4458" s="1">
        <v>918</v>
      </c>
      <c r="I4458" s="1" t="s">
        <v>4373</v>
      </c>
      <c r="J4458" s="1" t="s">
        <v>10923</v>
      </c>
      <c r="K4458" s="1" t="s">
        <v>10925</v>
      </c>
    </row>
    <row r="4459" spans="1:11" ht="21" x14ac:dyDescent="0.25">
      <c r="A4459" s="11" t="str">
        <f>HYPERLINK("https://rth.dk/resources/bsgatlas/details.php?id=BSGatlas-transcript-4458","BSGatlas-transcript-4458")</f>
        <v>BSGatlas-transcript-4458</v>
      </c>
      <c r="B4459" s="1" t="s">
        <v>10922</v>
      </c>
      <c r="C4459" s="3">
        <v>3942182</v>
      </c>
      <c r="D4459" s="3">
        <v>3944560</v>
      </c>
      <c r="E4459" s="1" t="s">
        <v>9</v>
      </c>
      <c r="F4459" s="1">
        <v>1</v>
      </c>
      <c r="G4459" s="1">
        <v>53</v>
      </c>
      <c r="H4459" s="1">
        <v>52</v>
      </c>
      <c r="I4459" s="1" t="s">
        <v>4373</v>
      </c>
      <c r="J4459" s="1" t="s">
        <v>10926</v>
      </c>
      <c r="K4459" s="1" t="s">
        <v>10924</v>
      </c>
    </row>
    <row r="4460" spans="1:11" ht="21" x14ac:dyDescent="0.25">
      <c r="A4460" s="11" t="str">
        <f>HYPERLINK("https://rth.dk/resources/bsgatlas/details.php?id=BSGatlas-transcript-4459","BSGatlas-transcript-4459")</f>
        <v>BSGatlas-transcript-4459</v>
      </c>
      <c r="B4460" s="1" t="s">
        <v>10922</v>
      </c>
      <c r="C4460" s="3">
        <v>3942182</v>
      </c>
      <c r="D4460" s="3">
        <v>3945426</v>
      </c>
      <c r="E4460" s="1" t="s">
        <v>9</v>
      </c>
      <c r="F4460" s="1">
        <v>1</v>
      </c>
      <c r="G4460" s="1">
        <v>53</v>
      </c>
      <c r="H4460" s="1">
        <v>918</v>
      </c>
      <c r="I4460" s="1" t="s">
        <v>4373</v>
      </c>
      <c r="J4460" s="1" t="s">
        <v>10926</v>
      </c>
      <c r="K4460" s="1" t="s">
        <v>10925</v>
      </c>
    </row>
    <row r="4461" spans="1:11" ht="21" x14ac:dyDescent="0.25">
      <c r="A4461" s="11" t="str">
        <f>HYPERLINK("https://rth.dk/resources/bsgatlas/details.php?id=BSGatlas-transcript-4460","BSGatlas-transcript-4460")</f>
        <v>BSGatlas-transcript-4460</v>
      </c>
      <c r="B4461" s="1" t="s">
        <v>4091</v>
      </c>
      <c r="C4461" s="3">
        <v>3943289</v>
      </c>
      <c r="D4461" s="3">
        <v>3945445</v>
      </c>
      <c r="E4461" s="1" t="s">
        <v>13</v>
      </c>
      <c r="F4461" s="1">
        <v>0</v>
      </c>
      <c r="G4461" s="1" t="s">
        <v>4372</v>
      </c>
      <c r="H4461" s="1" t="s">
        <v>4372</v>
      </c>
      <c r="I4461" s="1" t="s">
        <v>4373</v>
      </c>
      <c r="J4461" s="1" t="s">
        <v>10927</v>
      </c>
      <c r="K4461" s="1" t="s">
        <v>10928</v>
      </c>
    </row>
    <row r="4462" spans="1:11" ht="21" x14ac:dyDescent="0.25">
      <c r="A4462" s="11" t="str">
        <f>HYPERLINK("https://rth.dk/resources/bsgatlas/details.php?id=BSGatlas-transcript-4461","BSGatlas-transcript-4461")</f>
        <v>BSGatlas-transcript-4461</v>
      </c>
      <c r="B4462" s="1" t="s">
        <v>4091</v>
      </c>
      <c r="C4462" s="3">
        <v>3944508</v>
      </c>
      <c r="D4462" s="3">
        <v>3945445</v>
      </c>
      <c r="E4462" s="1" t="s">
        <v>13</v>
      </c>
      <c r="F4462" s="1">
        <v>0</v>
      </c>
      <c r="G4462" s="1" t="s">
        <v>4372</v>
      </c>
      <c r="H4462" s="1" t="s">
        <v>4372</v>
      </c>
      <c r="I4462" s="1" t="s">
        <v>4373</v>
      </c>
      <c r="J4462" s="1" t="s">
        <v>10927</v>
      </c>
      <c r="K4462" s="1" t="s">
        <v>10929</v>
      </c>
    </row>
    <row r="4463" spans="1:11" ht="21" x14ac:dyDescent="0.25">
      <c r="A4463" s="11" t="str">
        <f>HYPERLINK("https://rth.dk/resources/bsgatlas/details.php?id=BSGatlas-transcript-4462","BSGatlas-transcript-4462")</f>
        <v>BSGatlas-transcript-4462</v>
      </c>
      <c r="B4463" s="1" t="s">
        <v>4092</v>
      </c>
      <c r="C4463" s="3">
        <v>3945530</v>
      </c>
      <c r="D4463" s="3">
        <v>3946272</v>
      </c>
      <c r="E4463" s="1" t="s">
        <v>13</v>
      </c>
      <c r="F4463" s="1">
        <v>0</v>
      </c>
      <c r="G4463" s="1" t="s">
        <v>4372</v>
      </c>
      <c r="H4463" s="1" t="s">
        <v>4372</v>
      </c>
      <c r="I4463" s="1" t="s">
        <v>4377</v>
      </c>
      <c r="J4463" s="1" t="s">
        <v>10930</v>
      </c>
      <c r="K4463" s="1" t="s">
        <v>318</v>
      </c>
    </row>
    <row r="4464" spans="1:11" ht="21" x14ac:dyDescent="0.25">
      <c r="A4464" s="11" t="str">
        <f>HYPERLINK("https://rth.dk/resources/bsgatlas/details.php?id=BSGatlas-transcript-4463","BSGatlas-transcript-4463")</f>
        <v>BSGatlas-transcript-4463</v>
      </c>
      <c r="B4464" s="1" t="s">
        <v>10931</v>
      </c>
      <c r="C4464" s="3">
        <v>3945668</v>
      </c>
      <c r="D4464" s="3">
        <v>3947143</v>
      </c>
      <c r="E4464" s="1" t="s">
        <v>9</v>
      </c>
      <c r="F4464" s="1">
        <v>0</v>
      </c>
      <c r="G4464" s="1" t="s">
        <v>4372</v>
      </c>
      <c r="H4464" s="1" t="s">
        <v>4372</v>
      </c>
      <c r="I4464" s="1" t="s">
        <v>4377</v>
      </c>
      <c r="J4464" s="1" t="s">
        <v>10932</v>
      </c>
      <c r="K4464" s="1" t="s">
        <v>10933</v>
      </c>
    </row>
    <row r="4465" spans="1:11" ht="21" x14ac:dyDescent="0.25">
      <c r="A4465" s="11" t="str">
        <f>HYPERLINK("https://rth.dk/resources/bsgatlas/details.php?id=BSGatlas-transcript-4464","BSGatlas-transcript-4464")</f>
        <v>BSGatlas-transcript-4464</v>
      </c>
      <c r="B4465" s="1" t="s">
        <v>10934</v>
      </c>
      <c r="C4465" s="3">
        <v>3945668</v>
      </c>
      <c r="D4465" s="3">
        <v>3948455</v>
      </c>
      <c r="E4465" s="1" t="s">
        <v>9</v>
      </c>
      <c r="F4465" s="1">
        <v>1</v>
      </c>
      <c r="G4465" s="1">
        <v>727</v>
      </c>
      <c r="H4465" s="1">
        <v>57</v>
      </c>
      <c r="I4465" s="1" t="s">
        <v>4397</v>
      </c>
      <c r="J4465" s="1" t="s">
        <v>10932</v>
      </c>
      <c r="K4465" s="1" t="s">
        <v>10935</v>
      </c>
    </row>
    <row r="4466" spans="1:11" ht="21" x14ac:dyDescent="0.25">
      <c r="A4466" s="11" t="str">
        <f>HYPERLINK("https://rth.dk/resources/bsgatlas/details.php?id=BSGatlas-transcript-4465","BSGatlas-transcript-4465")</f>
        <v>BSGatlas-transcript-4465</v>
      </c>
      <c r="B4466" s="1" t="s">
        <v>10931</v>
      </c>
      <c r="C4466" s="3">
        <v>3946349</v>
      </c>
      <c r="D4466" s="3">
        <v>3947143</v>
      </c>
      <c r="E4466" s="1" t="s">
        <v>9</v>
      </c>
      <c r="F4466" s="1">
        <v>0</v>
      </c>
      <c r="G4466" s="1" t="s">
        <v>4372</v>
      </c>
      <c r="H4466" s="1" t="s">
        <v>4372</v>
      </c>
      <c r="I4466" s="1" t="s">
        <v>4377</v>
      </c>
      <c r="J4466" s="1" t="s">
        <v>10936</v>
      </c>
      <c r="K4466" s="1" t="s">
        <v>10933</v>
      </c>
    </row>
    <row r="4467" spans="1:11" ht="21" x14ac:dyDescent="0.25">
      <c r="A4467" s="11" t="str">
        <f>HYPERLINK("https://rth.dk/resources/bsgatlas/details.php?id=BSGatlas-transcript-4466","BSGatlas-transcript-4466")</f>
        <v>BSGatlas-transcript-4466</v>
      </c>
      <c r="B4467" s="1" t="s">
        <v>10934</v>
      </c>
      <c r="C4467" s="3">
        <v>3946349</v>
      </c>
      <c r="D4467" s="3">
        <v>3948455</v>
      </c>
      <c r="E4467" s="1" t="s">
        <v>9</v>
      </c>
      <c r="F4467" s="1">
        <v>1</v>
      </c>
      <c r="G4467" s="1">
        <v>46</v>
      </c>
      <c r="H4467" s="1">
        <v>57</v>
      </c>
      <c r="I4467" s="1" t="s">
        <v>4397</v>
      </c>
      <c r="J4467" s="1" t="s">
        <v>10936</v>
      </c>
      <c r="K4467" s="1" t="s">
        <v>10935</v>
      </c>
    </row>
    <row r="4468" spans="1:11" ht="21" x14ac:dyDescent="0.25">
      <c r="A4468" s="11" t="str">
        <f>HYPERLINK("https://rth.dk/resources/bsgatlas/details.php?id=BSGatlas-transcript-4467","BSGatlas-transcript-4467")</f>
        <v>BSGatlas-transcript-4467</v>
      </c>
      <c r="B4468" s="1" t="s">
        <v>4095</v>
      </c>
      <c r="C4468" s="3">
        <v>3947158</v>
      </c>
      <c r="D4468" s="3">
        <v>3948455</v>
      </c>
      <c r="E4468" s="1" t="s">
        <v>9</v>
      </c>
      <c r="F4468" s="1">
        <v>0</v>
      </c>
      <c r="G4468" s="1" t="s">
        <v>4372</v>
      </c>
      <c r="H4468" s="1" t="s">
        <v>4372</v>
      </c>
      <c r="I4468" s="1" t="s">
        <v>4382</v>
      </c>
      <c r="J4468" s="1" t="s">
        <v>318</v>
      </c>
      <c r="K4468" s="1" t="s">
        <v>10935</v>
      </c>
    </row>
    <row r="4469" spans="1:11" ht="21" x14ac:dyDescent="0.25">
      <c r="A4469" s="11" t="str">
        <f>HYPERLINK("https://rth.dk/resources/bsgatlas/details.php?id=BSGatlas-transcript-4468","BSGatlas-transcript-4468")</f>
        <v>BSGatlas-transcript-4468</v>
      </c>
      <c r="B4469" s="1" t="s">
        <v>4096</v>
      </c>
      <c r="C4469" s="3">
        <v>3948520</v>
      </c>
      <c r="D4469" s="3">
        <v>3949922</v>
      </c>
      <c r="E4469" s="1" t="s">
        <v>9</v>
      </c>
      <c r="F4469" s="1">
        <v>0</v>
      </c>
      <c r="G4469" s="1" t="s">
        <v>4372</v>
      </c>
      <c r="H4469" s="1" t="s">
        <v>4372</v>
      </c>
      <c r="I4469" s="1" t="s">
        <v>4373</v>
      </c>
      <c r="J4469" s="1" t="s">
        <v>10937</v>
      </c>
      <c r="K4469" s="1" t="s">
        <v>10938</v>
      </c>
    </row>
    <row r="4470" spans="1:11" ht="21" x14ac:dyDescent="0.25">
      <c r="A4470" s="11" t="str">
        <f>HYPERLINK("https://rth.dk/resources/bsgatlas/details.php?id=BSGatlas-transcript-4469","BSGatlas-transcript-4469")</f>
        <v>BSGatlas-transcript-4469</v>
      </c>
      <c r="B4470" s="1" t="s">
        <v>4096</v>
      </c>
      <c r="C4470" s="3">
        <v>3948520</v>
      </c>
      <c r="D4470" s="3">
        <v>3949962</v>
      </c>
      <c r="E4470" s="1" t="s">
        <v>9</v>
      </c>
      <c r="F4470" s="1">
        <v>0</v>
      </c>
      <c r="G4470" s="1" t="s">
        <v>4372</v>
      </c>
      <c r="H4470" s="1" t="s">
        <v>4372</v>
      </c>
      <c r="I4470" s="1" t="s">
        <v>4373</v>
      </c>
      <c r="J4470" s="1" t="s">
        <v>10937</v>
      </c>
      <c r="K4470" s="1" t="s">
        <v>10939</v>
      </c>
    </row>
    <row r="4471" spans="1:11" ht="21" x14ac:dyDescent="0.25">
      <c r="A4471" s="11" t="str">
        <f>HYPERLINK("https://rth.dk/resources/bsgatlas/details.php?id=BSGatlas-transcript-4470","BSGatlas-transcript-4470")</f>
        <v>BSGatlas-transcript-4470</v>
      </c>
      <c r="B4471" s="1" t="s">
        <v>4097</v>
      </c>
      <c r="C4471" s="3">
        <v>3949913</v>
      </c>
      <c r="D4471" s="3">
        <v>3950623</v>
      </c>
      <c r="E4471" s="1" t="s">
        <v>13</v>
      </c>
      <c r="F4471" s="1">
        <v>0</v>
      </c>
      <c r="G4471" s="1" t="s">
        <v>4372</v>
      </c>
      <c r="H4471" s="1" t="s">
        <v>4372</v>
      </c>
      <c r="I4471" s="1" t="s">
        <v>4373</v>
      </c>
      <c r="J4471" s="1" t="s">
        <v>10940</v>
      </c>
      <c r="K4471" s="1" t="s">
        <v>10941</v>
      </c>
    </row>
    <row r="4472" spans="1:11" ht="21" x14ac:dyDescent="0.25">
      <c r="A4472" s="11" t="str">
        <f>HYPERLINK("https://rth.dk/resources/bsgatlas/details.php?id=BSGatlas-transcript-4471","BSGatlas-transcript-4471")</f>
        <v>BSGatlas-transcript-4471</v>
      </c>
      <c r="B4472" s="1" t="s">
        <v>4098</v>
      </c>
      <c r="C4472" s="3">
        <v>3950683</v>
      </c>
      <c r="D4472" s="3">
        <v>3951749</v>
      </c>
      <c r="E4472" s="1" t="s">
        <v>13</v>
      </c>
      <c r="F4472" s="1">
        <v>0</v>
      </c>
      <c r="G4472" s="1" t="s">
        <v>4372</v>
      </c>
      <c r="H4472" s="1" t="s">
        <v>4372</v>
      </c>
      <c r="I4472" s="1" t="s">
        <v>4373</v>
      </c>
      <c r="J4472" s="1" t="s">
        <v>10942</v>
      </c>
      <c r="K4472" s="1" t="s">
        <v>10943</v>
      </c>
    </row>
    <row r="4473" spans="1:11" ht="21" x14ac:dyDescent="0.25">
      <c r="A4473" s="11" t="str">
        <f>HYPERLINK("https://rth.dk/resources/bsgatlas/details.php?id=BSGatlas-transcript-4472","BSGatlas-transcript-4472")</f>
        <v>BSGatlas-transcript-4472</v>
      </c>
      <c r="B4473" s="1" t="s">
        <v>4098</v>
      </c>
      <c r="C4473" s="3">
        <v>3950683</v>
      </c>
      <c r="D4473" s="3">
        <v>3951794</v>
      </c>
      <c r="E4473" s="1" t="s">
        <v>13</v>
      </c>
      <c r="F4473" s="1">
        <v>0</v>
      </c>
      <c r="G4473" s="1" t="s">
        <v>4372</v>
      </c>
      <c r="H4473" s="1" t="s">
        <v>4372</v>
      </c>
      <c r="I4473" s="1" t="s">
        <v>4373</v>
      </c>
      <c r="J4473" s="1" t="s">
        <v>10944</v>
      </c>
      <c r="K4473" s="1" t="s">
        <v>10943</v>
      </c>
    </row>
    <row r="4474" spans="1:11" ht="21" x14ac:dyDescent="0.25">
      <c r="A4474" s="11" t="str">
        <f>HYPERLINK("https://rth.dk/resources/bsgatlas/details.php?id=BSGatlas-transcript-4473","BSGatlas-transcript-4473")</f>
        <v>BSGatlas-transcript-4473</v>
      </c>
      <c r="B4474" s="1" t="s">
        <v>10945</v>
      </c>
      <c r="C4474" s="3">
        <v>3951432</v>
      </c>
      <c r="D4474" s="3">
        <v>3957275</v>
      </c>
      <c r="E4474" s="1" t="s">
        <v>9</v>
      </c>
      <c r="F4474" s="1">
        <v>3</v>
      </c>
      <c r="G4474" s="1">
        <v>677</v>
      </c>
      <c r="H4474" s="1">
        <v>26</v>
      </c>
      <c r="I4474" s="1" t="s">
        <v>4397</v>
      </c>
      <c r="J4474" s="1" t="s">
        <v>10946</v>
      </c>
      <c r="K4474" s="1" t="s">
        <v>10947</v>
      </c>
    </row>
    <row r="4475" spans="1:11" ht="21" x14ac:dyDescent="0.25">
      <c r="A4475" s="11" t="str">
        <f>HYPERLINK("https://rth.dk/resources/bsgatlas/details.php?id=BSGatlas-transcript-4474","BSGatlas-transcript-4474")</f>
        <v>BSGatlas-transcript-4474</v>
      </c>
      <c r="B4475" s="1" t="s">
        <v>4760</v>
      </c>
      <c r="C4475" s="3">
        <v>3951824</v>
      </c>
      <c r="D4475" s="3">
        <v>3952080</v>
      </c>
      <c r="E4475" s="1" t="s">
        <v>13</v>
      </c>
      <c r="F4475" s="1">
        <v>0</v>
      </c>
      <c r="G4475" s="1" t="s">
        <v>4372</v>
      </c>
      <c r="H4475" s="1" t="s">
        <v>4372</v>
      </c>
      <c r="I4475" s="1" t="s">
        <v>4377</v>
      </c>
      <c r="J4475" s="1" t="s">
        <v>10948</v>
      </c>
      <c r="K4475" s="1" t="s">
        <v>318</v>
      </c>
    </row>
    <row r="4476" spans="1:11" ht="21" x14ac:dyDescent="0.25">
      <c r="A4476" s="11" t="str">
        <f>HYPERLINK("https://rth.dk/resources/bsgatlas/details.php?id=BSGatlas-transcript-4475","BSGatlas-transcript-4475")</f>
        <v>BSGatlas-transcript-4475</v>
      </c>
      <c r="B4476" s="1" t="s">
        <v>10945</v>
      </c>
      <c r="C4476" s="3">
        <v>3951935</v>
      </c>
      <c r="D4476" s="3">
        <v>3957275</v>
      </c>
      <c r="E4476" s="1" t="s">
        <v>9</v>
      </c>
      <c r="F4476" s="1">
        <v>3</v>
      </c>
      <c r="G4476" s="1">
        <v>174</v>
      </c>
      <c r="H4476" s="1">
        <v>26</v>
      </c>
      <c r="I4476" s="1" t="s">
        <v>4397</v>
      </c>
      <c r="J4476" s="1" t="s">
        <v>10949</v>
      </c>
      <c r="K4476" s="1" t="s">
        <v>10947</v>
      </c>
    </row>
    <row r="4477" spans="1:11" ht="21" x14ac:dyDescent="0.25">
      <c r="A4477" s="11" t="str">
        <f>HYPERLINK("https://rth.dk/resources/bsgatlas/details.php?id=BSGatlas-transcript-4476","BSGatlas-transcript-4476")</f>
        <v>BSGatlas-transcript-4476</v>
      </c>
      <c r="B4477" s="1" t="s">
        <v>10945</v>
      </c>
      <c r="C4477" s="3">
        <v>3952044</v>
      </c>
      <c r="D4477" s="3">
        <v>3957275</v>
      </c>
      <c r="E4477" s="1" t="s">
        <v>9</v>
      </c>
      <c r="F4477" s="1">
        <v>3</v>
      </c>
      <c r="G4477" s="1">
        <v>65</v>
      </c>
      <c r="H4477" s="1">
        <v>26</v>
      </c>
      <c r="I4477" s="1" t="s">
        <v>4397</v>
      </c>
      <c r="J4477" s="1" t="s">
        <v>10950</v>
      </c>
      <c r="K4477" s="1" t="s">
        <v>10947</v>
      </c>
    </row>
    <row r="4478" spans="1:11" ht="21" x14ac:dyDescent="0.25">
      <c r="A4478" s="11" t="str">
        <f>HYPERLINK("https://rth.dk/resources/bsgatlas/details.php?id=BSGatlas-transcript-4477","BSGatlas-transcript-4477")</f>
        <v>BSGatlas-transcript-4477</v>
      </c>
      <c r="B4478" s="1" t="s">
        <v>10945</v>
      </c>
      <c r="C4478" s="3">
        <v>3952071</v>
      </c>
      <c r="D4478" s="3">
        <v>3957275</v>
      </c>
      <c r="E4478" s="1" t="s">
        <v>9</v>
      </c>
      <c r="F4478" s="1">
        <v>3</v>
      </c>
      <c r="G4478" s="1">
        <v>38</v>
      </c>
      <c r="H4478" s="1">
        <v>26</v>
      </c>
      <c r="I4478" s="1" t="s">
        <v>4397</v>
      </c>
      <c r="J4478" s="1" t="s">
        <v>10951</v>
      </c>
      <c r="K4478" s="1" t="s">
        <v>10947</v>
      </c>
    </row>
    <row r="4479" spans="1:11" ht="21" x14ac:dyDescent="0.25">
      <c r="A4479" s="11" t="str">
        <f>HYPERLINK("https://rth.dk/resources/bsgatlas/details.php?id=BSGatlas-transcript-4478","BSGatlas-transcript-4478")</f>
        <v>BSGatlas-transcript-4478</v>
      </c>
      <c r="B4479" s="1" t="s">
        <v>10952</v>
      </c>
      <c r="C4479" s="3">
        <v>3952275</v>
      </c>
      <c r="D4479" s="3">
        <v>3957275</v>
      </c>
      <c r="E4479" s="1" t="s">
        <v>9</v>
      </c>
      <c r="F4479" s="1">
        <v>2</v>
      </c>
      <c r="G4479" s="1" t="s">
        <v>4372</v>
      </c>
      <c r="H4479" s="1">
        <v>26</v>
      </c>
      <c r="I4479" s="1" t="s">
        <v>4382</v>
      </c>
      <c r="J4479" s="1" t="s">
        <v>318</v>
      </c>
      <c r="K4479" s="1" t="s">
        <v>10947</v>
      </c>
    </row>
    <row r="4480" spans="1:11" ht="21" x14ac:dyDescent="0.25">
      <c r="A4480" s="11" t="str">
        <f>HYPERLINK("https://rth.dk/resources/bsgatlas/details.php?id=BSGatlas-transcript-4479","BSGatlas-transcript-4479")</f>
        <v>BSGatlas-transcript-4479</v>
      </c>
      <c r="B4480" s="1" t="s">
        <v>10953</v>
      </c>
      <c r="C4480" s="3">
        <v>3957219</v>
      </c>
      <c r="D4480" s="3">
        <v>3961921</v>
      </c>
      <c r="E4480" s="1" t="s">
        <v>13</v>
      </c>
      <c r="F4480" s="1">
        <v>1</v>
      </c>
      <c r="G4480" s="1">
        <v>48</v>
      </c>
      <c r="H4480" s="1">
        <v>1298</v>
      </c>
      <c r="I4480" s="1" t="s">
        <v>4373</v>
      </c>
      <c r="J4480" s="1" t="s">
        <v>10954</v>
      </c>
      <c r="K4480" s="1" t="s">
        <v>10955</v>
      </c>
    </row>
    <row r="4481" spans="1:11" ht="21" x14ac:dyDescent="0.25">
      <c r="A4481" s="11" t="str">
        <f>HYPERLINK("https://rth.dk/resources/bsgatlas/details.php?id=BSGatlas-transcript-4480","BSGatlas-transcript-4480")</f>
        <v>BSGatlas-transcript-4480</v>
      </c>
      <c r="B4481" s="1" t="s">
        <v>4109</v>
      </c>
      <c r="C4481" s="3">
        <v>3957332</v>
      </c>
      <c r="D4481" s="3">
        <v>3958482</v>
      </c>
      <c r="E4481" s="1" t="s">
        <v>9</v>
      </c>
      <c r="F4481" s="1">
        <v>0</v>
      </c>
      <c r="G4481" s="1" t="s">
        <v>4372</v>
      </c>
      <c r="H4481" s="1" t="s">
        <v>4372</v>
      </c>
      <c r="I4481" s="1" t="s">
        <v>4373</v>
      </c>
      <c r="J4481" s="1" t="s">
        <v>10956</v>
      </c>
      <c r="K4481" s="1" t="s">
        <v>10957</v>
      </c>
    </row>
    <row r="4482" spans="1:11" ht="21" x14ac:dyDescent="0.25">
      <c r="A4482" s="11" t="str">
        <f>HYPERLINK("https://rth.dk/resources/bsgatlas/details.php?id=BSGatlas-transcript-4481","BSGatlas-transcript-4481")</f>
        <v>BSGatlas-transcript-4481</v>
      </c>
      <c r="B4482" s="1" t="s">
        <v>4109</v>
      </c>
      <c r="C4482" s="3">
        <v>3957332</v>
      </c>
      <c r="D4482" s="3">
        <v>3958525</v>
      </c>
      <c r="E4482" s="1" t="s">
        <v>9</v>
      </c>
      <c r="F4482" s="1">
        <v>0</v>
      </c>
      <c r="G4482" s="1" t="s">
        <v>4372</v>
      </c>
      <c r="H4482" s="1" t="s">
        <v>4372</v>
      </c>
      <c r="I4482" s="1" t="s">
        <v>4373</v>
      </c>
      <c r="J4482" s="1" t="s">
        <v>10956</v>
      </c>
      <c r="K4482" s="1" t="s">
        <v>10958</v>
      </c>
    </row>
    <row r="4483" spans="1:11" ht="21" x14ac:dyDescent="0.25">
      <c r="A4483" s="11" t="str">
        <f>HYPERLINK("https://rth.dk/resources/bsgatlas/details.php?id=BSGatlas-transcript-4482","BSGatlas-transcript-4482")</f>
        <v>BSGatlas-transcript-4482</v>
      </c>
      <c r="B4483" s="1" t="s">
        <v>10953</v>
      </c>
      <c r="C4483" s="3">
        <v>3958475</v>
      </c>
      <c r="D4483" s="3">
        <v>3961921</v>
      </c>
      <c r="E4483" s="1" t="s">
        <v>13</v>
      </c>
      <c r="F4483" s="1">
        <v>1</v>
      </c>
      <c r="G4483" s="1">
        <v>48</v>
      </c>
      <c r="H4483" s="1">
        <v>42</v>
      </c>
      <c r="I4483" s="1" t="s">
        <v>4373</v>
      </c>
      <c r="J4483" s="1" t="s">
        <v>10954</v>
      </c>
      <c r="K4483" s="1" t="s">
        <v>10959</v>
      </c>
    </row>
    <row r="4484" spans="1:11" ht="21" x14ac:dyDescent="0.25">
      <c r="A4484" s="11" t="str">
        <f>HYPERLINK("https://rth.dk/resources/bsgatlas/details.php?id=BSGatlas-transcript-4483","BSGatlas-transcript-4483")</f>
        <v>BSGatlas-transcript-4483</v>
      </c>
      <c r="B4484" s="1" t="s">
        <v>4110</v>
      </c>
      <c r="C4484" s="3">
        <v>3961981</v>
      </c>
      <c r="D4484" s="3">
        <v>3964005</v>
      </c>
      <c r="E4484" s="1" t="s">
        <v>13</v>
      </c>
      <c r="F4484" s="1">
        <v>0</v>
      </c>
      <c r="G4484" s="1" t="s">
        <v>4372</v>
      </c>
      <c r="H4484" s="1" t="s">
        <v>4372</v>
      </c>
      <c r="I4484" s="1" t="s">
        <v>4373</v>
      </c>
      <c r="J4484" s="1" t="s">
        <v>10960</v>
      </c>
      <c r="K4484" s="1" t="s">
        <v>10961</v>
      </c>
    </row>
    <row r="4485" spans="1:11" ht="21" x14ac:dyDescent="0.25">
      <c r="A4485" s="11" t="str">
        <f>HYPERLINK("https://rth.dk/resources/bsgatlas/details.php?id=BSGatlas-transcript-4484","BSGatlas-transcript-4484")</f>
        <v>BSGatlas-transcript-4484</v>
      </c>
      <c r="B4485" s="1" t="s">
        <v>10962</v>
      </c>
      <c r="C4485" s="3">
        <v>3964067</v>
      </c>
      <c r="D4485" s="3">
        <v>3964907</v>
      </c>
      <c r="E4485" s="1" t="s">
        <v>13</v>
      </c>
      <c r="F4485" s="1">
        <v>1</v>
      </c>
      <c r="G4485" s="1">
        <v>40</v>
      </c>
      <c r="H4485" s="1">
        <v>25</v>
      </c>
      <c r="I4485" s="1" t="s">
        <v>4373</v>
      </c>
      <c r="J4485" s="1" t="s">
        <v>10963</v>
      </c>
      <c r="K4485" s="1" t="s">
        <v>10964</v>
      </c>
    </row>
    <row r="4486" spans="1:11" ht="21" x14ac:dyDescent="0.25">
      <c r="A4486" s="11" t="str">
        <f>HYPERLINK("https://rth.dk/resources/bsgatlas/details.php?id=BSGatlas-transcript-4485","BSGatlas-transcript-4485")</f>
        <v>BSGatlas-transcript-4485</v>
      </c>
      <c r="B4486" s="1" t="s">
        <v>10962</v>
      </c>
      <c r="C4486" s="3">
        <v>3964067</v>
      </c>
      <c r="D4486" s="3">
        <v>3964937</v>
      </c>
      <c r="E4486" s="1" t="s">
        <v>13</v>
      </c>
      <c r="F4486" s="1">
        <v>1</v>
      </c>
      <c r="G4486" s="1">
        <v>70</v>
      </c>
      <c r="H4486" s="1">
        <v>25</v>
      </c>
      <c r="I4486" s="1" t="s">
        <v>4373</v>
      </c>
      <c r="J4486" s="1" t="s">
        <v>10965</v>
      </c>
      <c r="K4486" s="1" t="s">
        <v>10964</v>
      </c>
    </row>
    <row r="4487" spans="1:11" ht="21" x14ac:dyDescent="0.25">
      <c r="A4487" s="11" t="str">
        <f>HYPERLINK("https://rth.dk/resources/bsgatlas/details.php?id=BSGatlas-transcript-4486","BSGatlas-transcript-4486")</f>
        <v>BSGatlas-transcript-4486</v>
      </c>
      <c r="B4487" s="1" t="s">
        <v>4113</v>
      </c>
      <c r="C4487" s="3">
        <v>3964973</v>
      </c>
      <c r="D4487" s="3">
        <v>3966687</v>
      </c>
      <c r="E4487" s="1" t="s">
        <v>9</v>
      </c>
      <c r="F4487" s="1">
        <v>0</v>
      </c>
      <c r="G4487" s="1" t="s">
        <v>4372</v>
      </c>
      <c r="H4487" s="1" t="s">
        <v>4372</v>
      </c>
      <c r="I4487" s="1" t="s">
        <v>4373</v>
      </c>
      <c r="J4487" s="1" t="s">
        <v>10966</v>
      </c>
      <c r="K4487" s="1" t="s">
        <v>10967</v>
      </c>
    </row>
    <row r="4488" spans="1:11" ht="21" x14ac:dyDescent="0.25">
      <c r="A4488" s="11" t="str">
        <f>HYPERLINK("https://rth.dk/resources/bsgatlas/details.php?id=BSGatlas-transcript-4487","BSGatlas-transcript-4487")</f>
        <v>BSGatlas-transcript-4487</v>
      </c>
      <c r="B4488" s="1" t="s">
        <v>4113</v>
      </c>
      <c r="C4488" s="3">
        <v>3964974</v>
      </c>
      <c r="D4488" s="3">
        <v>3966687</v>
      </c>
      <c r="E4488" s="1" t="s">
        <v>9</v>
      </c>
      <c r="F4488" s="1">
        <v>0</v>
      </c>
      <c r="G4488" s="1" t="s">
        <v>4372</v>
      </c>
      <c r="H4488" s="1" t="s">
        <v>4372</v>
      </c>
      <c r="I4488" s="1" t="s">
        <v>4373</v>
      </c>
      <c r="J4488" s="1" t="s">
        <v>10968</v>
      </c>
      <c r="K4488" s="1" t="s">
        <v>10967</v>
      </c>
    </row>
    <row r="4489" spans="1:11" ht="21" x14ac:dyDescent="0.25">
      <c r="A4489" s="11" t="str">
        <f>HYPERLINK("https://rth.dk/resources/bsgatlas/details.php?id=BSGatlas-transcript-4488","BSGatlas-transcript-4488")</f>
        <v>BSGatlas-transcript-4488</v>
      </c>
      <c r="B4489" s="1" t="s">
        <v>4114</v>
      </c>
      <c r="C4489" s="3">
        <v>3966701</v>
      </c>
      <c r="D4489" s="3">
        <v>3967947</v>
      </c>
      <c r="E4489" s="1" t="s">
        <v>9</v>
      </c>
      <c r="F4489" s="1">
        <v>0</v>
      </c>
      <c r="G4489" s="1" t="s">
        <v>4372</v>
      </c>
      <c r="H4489" s="1" t="s">
        <v>4372</v>
      </c>
      <c r="I4489" s="1" t="s">
        <v>4386</v>
      </c>
      <c r="J4489" s="1" t="s">
        <v>10969</v>
      </c>
      <c r="K4489" s="1" t="s">
        <v>318</v>
      </c>
    </row>
    <row r="4490" spans="1:11" ht="21" x14ac:dyDescent="0.25">
      <c r="A4490" s="11" t="str">
        <f>HYPERLINK("https://rth.dk/resources/bsgatlas/details.php?id=BSGatlas-transcript-4489","BSGatlas-transcript-4489")</f>
        <v>BSGatlas-transcript-4489</v>
      </c>
      <c r="B4490" s="1" t="s">
        <v>10970</v>
      </c>
      <c r="C4490" s="3">
        <v>3966770</v>
      </c>
      <c r="D4490" s="3">
        <v>3970878</v>
      </c>
      <c r="E4490" s="1" t="s">
        <v>13</v>
      </c>
      <c r="F4490" s="1">
        <v>0</v>
      </c>
      <c r="G4490" s="1" t="s">
        <v>4372</v>
      </c>
      <c r="H4490" s="1" t="s">
        <v>4372</v>
      </c>
      <c r="I4490" s="1" t="s">
        <v>4373</v>
      </c>
      <c r="J4490" s="1" t="s">
        <v>10971</v>
      </c>
      <c r="K4490" s="1" t="s">
        <v>10972</v>
      </c>
    </row>
    <row r="4491" spans="1:11" ht="21" x14ac:dyDescent="0.25">
      <c r="A4491" s="11" t="str">
        <f>HYPERLINK("https://rth.dk/resources/bsgatlas/details.php?id=BSGatlas-transcript-4490","BSGatlas-transcript-4490")</f>
        <v>BSGatlas-transcript-4490</v>
      </c>
      <c r="B4491" s="1" t="s">
        <v>10970</v>
      </c>
      <c r="C4491" s="3">
        <v>3966770</v>
      </c>
      <c r="D4491" s="3">
        <v>3970879</v>
      </c>
      <c r="E4491" s="1" t="s">
        <v>13</v>
      </c>
      <c r="F4491" s="1">
        <v>0</v>
      </c>
      <c r="G4491" s="1" t="s">
        <v>4372</v>
      </c>
      <c r="H4491" s="1" t="s">
        <v>4372</v>
      </c>
      <c r="I4491" s="1" t="s">
        <v>4373</v>
      </c>
      <c r="J4491" s="1" t="s">
        <v>10973</v>
      </c>
      <c r="K4491" s="1" t="s">
        <v>10972</v>
      </c>
    </row>
    <row r="4492" spans="1:11" ht="21" x14ac:dyDescent="0.25">
      <c r="A4492" s="11" t="str">
        <f>HYPERLINK("https://rth.dk/resources/bsgatlas/details.php?id=BSGatlas-transcript-4491","BSGatlas-transcript-4491")</f>
        <v>BSGatlas-transcript-4491</v>
      </c>
      <c r="B4492" s="1" t="s">
        <v>4121</v>
      </c>
      <c r="C4492" s="3">
        <v>3970156</v>
      </c>
      <c r="D4492" s="3">
        <v>3972433</v>
      </c>
      <c r="E4492" s="1" t="s">
        <v>9</v>
      </c>
      <c r="F4492" s="1">
        <v>0</v>
      </c>
      <c r="G4492" s="1" t="s">
        <v>4372</v>
      </c>
      <c r="H4492" s="1" t="s">
        <v>4372</v>
      </c>
      <c r="I4492" s="1" t="s">
        <v>4373</v>
      </c>
      <c r="J4492" s="1" t="s">
        <v>10974</v>
      </c>
      <c r="K4492" s="1" t="s">
        <v>10975</v>
      </c>
    </row>
    <row r="4493" spans="1:11" ht="21" x14ac:dyDescent="0.25">
      <c r="A4493" s="11" t="str">
        <f>HYPERLINK("https://rth.dk/resources/bsgatlas/details.php?id=BSGatlas-transcript-4492","BSGatlas-transcript-4492")</f>
        <v>BSGatlas-transcript-4492</v>
      </c>
      <c r="B4493" s="1" t="s">
        <v>4121</v>
      </c>
      <c r="C4493" s="3">
        <v>3970156</v>
      </c>
      <c r="D4493" s="3">
        <v>3972455</v>
      </c>
      <c r="E4493" s="1" t="s">
        <v>9</v>
      </c>
      <c r="F4493" s="1">
        <v>0</v>
      </c>
      <c r="G4493" s="1" t="s">
        <v>4372</v>
      </c>
      <c r="H4493" s="1" t="s">
        <v>4372</v>
      </c>
      <c r="I4493" s="1" t="s">
        <v>4373</v>
      </c>
      <c r="J4493" s="1" t="s">
        <v>10974</v>
      </c>
      <c r="K4493" s="1" t="s">
        <v>10976</v>
      </c>
    </row>
    <row r="4494" spans="1:11" ht="21" x14ac:dyDescent="0.25">
      <c r="A4494" s="11" t="str">
        <f>HYPERLINK("https://rth.dk/resources/bsgatlas/details.php?id=BSGatlas-transcript-4493","BSGatlas-transcript-4493")</f>
        <v>BSGatlas-transcript-4493</v>
      </c>
      <c r="B4494" s="1" t="s">
        <v>4121</v>
      </c>
      <c r="C4494" s="3">
        <v>3971009</v>
      </c>
      <c r="D4494" s="3">
        <v>3972433</v>
      </c>
      <c r="E4494" s="1" t="s">
        <v>9</v>
      </c>
      <c r="F4494" s="1">
        <v>0</v>
      </c>
      <c r="G4494" s="1" t="s">
        <v>4372</v>
      </c>
      <c r="H4494" s="1" t="s">
        <v>4372</v>
      </c>
      <c r="I4494" s="1" t="s">
        <v>4373</v>
      </c>
      <c r="J4494" s="1" t="s">
        <v>10977</v>
      </c>
      <c r="K4494" s="1" t="s">
        <v>10975</v>
      </c>
    </row>
    <row r="4495" spans="1:11" ht="21" x14ac:dyDescent="0.25">
      <c r="A4495" s="11" t="str">
        <f>HYPERLINK("https://rth.dk/resources/bsgatlas/details.php?id=BSGatlas-transcript-4494","BSGatlas-transcript-4494")</f>
        <v>BSGatlas-transcript-4494</v>
      </c>
      <c r="B4495" s="1" t="s">
        <v>4121</v>
      </c>
      <c r="C4495" s="3">
        <v>3971009</v>
      </c>
      <c r="D4495" s="3">
        <v>3972455</v>
      </c>
      <c r="E4495" s="1" t="s">
        <v>9</v>
      </c>
      <c r="F4495" s="1">
        <v>0</v>
      </c>
      <c r="G4495" s="1" t="s">
        <v>4372</v>
      </c>
      <c r="H4495" s="1" t="s">
        <v>4372</v>
      </c>
      <c r="I4495" s="1" t="s">
        <v>4373</v>
      </c>
      <c r="J4495" s="1" t="s">
        <v>10977</v>
      </c>
      <c r="K4495" s="1" t="s">
        <v>10976</v>
      </c>
    </row>
    <row r="4496" spans="1:11" ht="21" x14ac:dyDescent="0.25">
      <c r="A4496" s="11" t="str">
        <f>HYPERLINK("https://rth.dk/resources/bsgatlas/details.php?id=BSGatlas-transcript-4495","BSGatlas-transcript-4495")</f>
        <v>BSGatlas-transcript-4495</v>
      </c>
      <c r="B4496" s="1" t="s">
        <v>4122</v>
      </c>
      <c r="C4496" s="3">
        <v>3971340</v>
      </c>
      <c r="D4496" s="3">
        <v>3971882</v>
      </c>
      <c r="E4496" s="1" t="s">
        <v>13</v>
      </c>
      <c r="F4496" s="1">
        <v>0</v>
      </c>
      <c r="G4496" s="1" t="s">
        <v>4372</v>
      </c>
      <c r="H4496" s="1" t="s">
        <v>4372</v>
      </c>
      <c r="I4496" s="1" t="s">
        <v>4377</v>
      </c>
      <c r="J4496" s="1" t="s">
        <v>10978</v>
      </c>
      <c r="K4496" s="1" t="s">
        <v>318</v>
      </c>
    </row>
    <row r="4497" spans="1:11" ht="21" x14ac:dyDescent="0.25">
      <c r="A4497" s="11" t="str">
        <f>HYPERLINK("https://rth.dk/resources/bsgatlas/details.php?id=BSGatlas-transcript-4496","BSGatlas-transcript-4496")</f>
        <v>BSGatlas-transcript-4496</v>
      </c>
      <c r="B4497" s="1" t="s">
        <v>4123</v>
      </c>
      <c r="C4497" s="3">
        <v>3972403</v>
      </c>
      <c r="D4497" s="3">
        <v>3973312</v>
      </c>
      <c r="E4497" s="1" t="s">
        <v>13</v>
      </c>
      <c r="F4497" s="1">
        <v>0</v>
      </c>
      <c r="G4497" s="1" t="s">
        <v>4372</v>
      </c>
      <c r="H4497" s="1" t="s">
        <v>4372</v>
      </c>
      <c r="I4497" s="1" t="s">
        <v>4373</v>
      </c>
      <c r="J4497" s="1" t="s">
        <v>10979</v>
      </c>
      <c r="K4497" s="1" t="s">
        <v>10980</v>
      </c>
    </row>
    <row r="4498" spans="1:11" ht="21" x14ac:dyDescent="0.25">
      <c r="A4498" s="11" t="str">
        <f>HYPERLINK("https://rth.dk/resources/bsgatlas/details.php?id=BSGatlas-transcript-4497","BSGatlas-transcript-4497")</f>
        <v>BSGatlas-transcript-4497</v>
      </c>
      <c r="B4498" s="1" t="s">
        <v>4123</v>
      </c>
      <c r="C4498" s="3">
        <v>3972403</v>
      </c>
      <c r="D4498" s="3">
        <v>3973356</v>
      </c>
      <c r="E4498" s="1" t="s">
        <v>13</v>
      </c>
      <c r="F4498" s="1">
        <v>0</v>
      </c>
      <c r="G4498" s="1" t="s">
        <v>4372</v>
      </c>
      <c r="H4498" s="1" t="s">
        <v>4372</v>
      </c>
      <c r="I4498" s="1" t="s">
        <v>4373</v>
      </c>
      <c r="J4498" s="1" t="s">
        <v>10981</v>
      </c>
      <c r="K4498" s="1" t="s">
        <v>10980</v>
      </c>
    </row>
    <row r="4499" spans="1:11" ht="21" x14ac:dyDescent="0.25">
      <c r="A4499" s="11" t="str">
        <f>HYPERLINK("https://rth.dk/resources/bsgatlas/details.php?id=BSGatlas-transcript-4498","BSGatlas-transcript-4498")</f>
        <v>BSGatlas-transcript-4498</v>
      </c>
      <c r="B4499" s="1" t="s">
        <v>4124</v>
      </c>
      <c r="C4499" s="3">
        <v>3973327</v>
      </c>
      <c r="D4499" s="3">
        <v>3975091</v>
      </c>
      <c r="E4499" s="1" t="s">
        <v>13</v>
      </c>
      <c r="F4499" s="1">
        <v>0</v>
      </c>
      <c r="G4499" s="1" t="s">
        <v>4372</v>
      </c>
      <c r="H4499" s="1" t="s">
        <v>4372</v>
      </c>
      <c r="I4499" s="1" t="s">
        <v>4386</v>
      </c>
      <c r="J4499" s="1" t="s">
        <v>318</v>
      </c>
      <c r="K4499" s="1" t="s">
        <v>10982</v>
      </c>
    </row>
    <row r="4500" spans="1:11" ht="21" x14ac:dyDescent="0.25">
      <c r="A4500" s="11" t="str">
        <f>HYPERLINK("https://rth.dk/resources/bsgatlas/details.php?id=BSGatlas-transcript-4499","BSGatlas-transcript-4499")</f>
        <v>BSGatlas-transcript-4499</v>
      </c>
      <c r="B4500" s="1" t="s">
        <v>10983</v>
      </c>
      <c r="C4500" s="3">
        <v>3973327</v>
      </c>
      <c r="D4500" s="3">
        <v>3977807</v>
      </c>
      <c r="E4500" s="1" t="s">
        <v>13</v>
      </c>
      <c r="F4500" s="1">
        <v>0</v>
      </c>
      <c r="G4500" s="1" t="s">
        <v>4372</v>
      </c>
      <c r="H4500" s="1" t="s">
        <v>4372</v>
      </c>
      <c r="I4500" s="1" t="s">
        <v>4377</v>
      </c>
      <c r="J4500" s="1" t="s">
        <v>10984</v>
      </c>
      <c r="K4500" s="1" t="s">
        <v>10982</v>
      </c>
    </row>
    <row r="4501" spans="1:11" ht="21" x14ac:dyDescent="0.25">
      <c r="A4501" s="11" t="str">
        <f>HYPERLINK("https://rth.dk/resources/bsgatlas/details.php?id=BSGatlas-transcript-4500","BSGatlas-transcript-4500")</f>
        <v>BSGatlas-transcript-4500</v>
      </c>
      <c r="B4501" s="1" t="s">
        <v>10985</v>
      </c>
      <c r="C4501" s="3">
        <v>3973327</v>
      </c>
      <c r="D4501" s="3">
        <v>3979390</v>
      </c>
      <c r="E4501" s="1" t="s">
        <v>13</v>
      </c>
      <c r="F4501" s="1">
        <v>0</v>
      </c>
      <c r="G4501" s="1" t="s">
        <v>4372</v>
      </c>
      <c r="H4501" s="1" t="s">
        <v>4372</v>
      </c>
      <c r="I4501" s="1" t="s">
        <v>4373</v>
      </c>
      <c r="J4501" s="1" t="s">
        <v>10986</v>
      </c>
      <c r="K4501" s="1" t="s">
        <v>10982</v>
      </c>
    </row>
    <row r="4502" spans="1:11" ht="21" x14ac:dyDescent="0.25">
      <c r="A4502" s="11" t="str">
        <f>HYPERLINK("https://rth.dk/resources/bsgatlas/details.php?id=BSGatlas-transcript-4501","BSGatlas-transcript-4501")</f>
        <v>BSGatlas-transcript-4501</v>
      </c>
      <c r="B4502" s="1" t="s">
        <v>10985</v>
      </c>
      <c r="C4502" s="3">
        <v>3973327</v>
      </c>
      <c r="D4502" s="3">
        <v>3979528</v>
      </c>
      <c r="E4502" s="1" t="s">
        <v>13</v>
      </c>
      <c r="F4502" s="1">
        <v>0</v>
      </c>
      <c r="G4502" s="1" t="s">
        <v>4372</v>
      </c>
      <c r="H4502" s="1" t="s">
        <v>4372</v>
      </c>
      <c r="I4502" s="1" t="s">
        <v>4373</v>
      </c>
      <c r="J4502" s="1" t="s">
        <v>10987</v>
      </c>
      <c r="K4502" s="1" t="s">
        <v>10982</v>
      </c>
    </row>
    <row r="4503" spans="1:11" ht="21" x14ac:dyDescent="0.25">
      <c r="A4503" s="11" t="str">
        <f>HYPERLINK("https://rth.dk/resources/bsgatlas/details.php?id=BSGatlas-transcript-4502","BSGatlas-transcript-4502")</f>
        <v>BSGatlas-transcript-4502</v>
      </c>
      <c r="B4503" s="1" t="s">
        <v>4124</v>
      </c>
      <c r="C4503" s="3">
        <v>3973364</v>
      </c>
      <c r="D4503" s="3">
        <v>3975091</v>
      </c>
      <c r="E4503" s="1" t="s">
        <v>13</v>
      </c>
      <c r="F4503" s="1">
        <v>0</v>
      </c>
      <c r="G4503" s="1" t="s">
        <v>4372</v>
      </c>
      <c r="H4503" s="1" t="s">
        <v>4372</v>
      </c>
      <c r="I4503" s="1" t="s">
        <v>4386</v>
      </c>
      <c r="J4503" s="1" t="s">
        <v>318</v>
      </c>
      <c r="K4503" s="1" t="s">
        <v>10988</v>
      </c>
    </row>
    <row r="4504" spans="1:11" ht="21" x14ac:dyDescent="0.25">
      <c r="A4504" s="11" t="str">
        <f>HYPERLINK("https://rth.dk/resources/bsgatlas/details.php?id=BSGatlas-transcript-4503","BSGatlas-transcript-4503")</f>
        <v>BSGatlas-transcript-4503</v>
      </c>
      <c r="B4504" s="1" t="s">
        <v>10983</v>
      </c>
      <c r="C4504" s="3">
        <v>3973364</v>
      </c>
      <c r="D4504" s="3">
        <v>3977807</v>
      </c>
      <c r="E4504" s="1" t="s">
        <v>13</v>
      </c>
      <c r="F4504" s="1">
        <v>0</v>
      </c>
      <c r="G4504" s="1" t="s">
        <v>4372</v>
      </c>
      <c r="H4504" s="1" t="s">
        <v>4372</v>
      </c>
      <c r="I4504" s="1" t="s">
        <v>4377</v>
      </c>
      <c r="J4504" s="1" t="s">
        <v>10984</v>
      </c>
      <c r="K4504" s="1" t="s">
        <v>10988</v>
      </c>
    </row>
    <row r="4505" spans="1:11" ht="21" x14ac:dyDescent="0.25">
      <c r="A4505" s="11" t="str">
        <f>HYPERLINK("https://rth.dk/resources/bsgatlas/details.php?id=BSGatlas-transcript-4504","BSGatlas-transcript-4504")</f>
        <v>BSGatlas-transcript-4504</v>
      </c>
      <c r="B4505" s="1" t="s">
        <v>10985</v>
      </c>
      <c r="C4505" s="3">
        <v>3973364</v>
      </c>
      <c r="D4505" s="3">
        <v>3979390</v>
      </c>
      <c r="E4505" s="1" t="s">
        <v>13</v>
      </c>
      <c r="F4505" s="1">
        <v>0</v>
      </c>
      <c r="G4505" s="1" t="s">
        <v>4372</v>
      </c>
      <c r="H4505" s="1" t="s">
        <v>4372</v>
      </c>
      <c r="I4505" s="1" t="s">
        <v>4373</v>
      </c>
      <c r="J4505" s="1" t="s">
        <v>10986</v>
      </c>
      <c r="K4505" s="1" t="s">
        <v>10988</v>
      </c>
    </row>
    <row r="4506" spans="1:11" ht="21" x14ac:dyDescent="0.25">
      <c r="A4506" s="11" t="str">
        <f>HYPERLINK("https://rth.dk/resources/bsgatlas/details.php?id=BSGatlas-transcript-4505","BSGatlas-transcript-4505")</f>
        <v>BSGatlas-transcript-4505</v>
      </c>
      <c r="B4506" s="1" t="s">
        <v>10985</v>
      </c>
      <c r="C4506" s="3">
        <v>3973364</v>
      </c>
      <c r="D4506" s="3">
        <v>3979528</v>
      </c>
      <c r="E4506" s="1" t="s">
        <v>13</v>
      </c>
      <c r="F4506" s="1">
        <v>0</v>
      </c>
      <c r="G4506" s="1" t="s">
        <v>4372</v>
      </c>
      <c r="H4506" s="1" t="s">
        <v>4372</v>
      </c>
      <c r="I4506" s="1" t="s">
        <v>4373</v>
      </c>
      <c r="J4506" s="1" t="s">
        <v>10987</v>
      </c>
      <c r="K4506" s="1" t="s">
        <v>10988</v>
      </c>
    </row>
    <row r="4507" spans="1:11" ht="21" x14ac:dyDescent="0.25">
      <c r="A4507" s="11" t="str">
        <f>HYPERLINK("https://rth.dk/resources/bsgatlas/details.php?id=BSGatlas-transcript-4506","BSGatlas-transcript-4506")</f>
        <v>BSGatlas-transcript-4506</v>
      </c>
      <c r="B4507" s="1" t="s">
        <v>4128</v>
      </c>
      <c r="C4507" s="3">
        <v>3979691</v>
      </c>
      <c r="D4507" s="3">
        <v>3981159</v>
      </c>
      <c r="E4507" s="1" t="s">
        <v>9</v>
      </c>
      <c r="F4507" s="1">
        <v>0</v>
      </c>
      <c r="G4507" s="1" t="s">
        <v>4372</v>
      </c>
      <c r="H4507" s="1" t="s">
        <v>4372</v>
      </c>
      <c r="I4507" s="1" t="s">
        <v>4373</v>
      </c>
      <c r="J4507" s="1" t="s">
        <v>10989</v>
      </c>
      <c r="K4507" s="1" t="s">
        <v>10990</v>
      </c>
    </row>
    <row r="4508" spans="1:11" ht="21" x14ac:dyDescent="0.25">
      <c r="A4508" s="11" t="str">
        <f>HYPERLINK("https://rth.dk/resources/bsgatlas/details.php?id=BSGatlas-transcript-4507","BSGatlas-transcript-4507")</f>
        <v>BSGatlas-transcript-4507</v>
      </c>
      <c r="B4508" s="1" t="s">
        <v>4129</v>
      </c>
      <c r="C4508" s="3">
        <v>3981187</v>
      </c>
      <c r="D4508" s="3">
        <v>3982915</v>
      </c>
      <c r="E4508" s="1" t="s">
        <v>9</v>
      </c>
      <c r="F4508" s="1">
        <v>0</v>
      </c>
      <c r="G4508" s="1" t="s">
        <v>4372</v>
      </c>
      <c r="H4508" s="1" t="s">
        <v>4372</v>
      </c>
      <c r="I4508" s="1" t="s">
        <v>4373</v>
      </c>
      <c r="J4508" s="1" t="s">
        <v>10991</v>
      </c>
      <c r="K4508" s="1" t="s">
        <v>318</v>
      </c>
    </row>
    <row r="4509" spans="1:11" ht="21" x14ac:dyDescent="0.25">
      <c r="A4509" s="11" t="str">
        <f>HYPERLINK("https://rth.dk/resources/bsgatlas/details.php?id=BSGatlas-transcript-4508","BSGatlas-transcript-4508")</f>
        <v>BSGatlas-transcript-4508</v>
      </c>
      <c r="B4509" s="1" t="s">
        <v>4130</v>
      </c>
      <c r="C4509" s="3">
        <v>3982947</v>
      </c>
      <c r="D4509" s="3">
        <v>3983197</v>
      </c>
      <c r="E4509" s="1" t="s">
        <v>9</v>
      </c>
      <c r="F4509" s="1">
        <v>0</v>
      </c>
      <c r="G4509" s="1" t="s">
        <v>4372</v>
      </c>
      <c r="H4509" s="1" t="s">
        <v>4372</v>
      </c>
      <c r="I4509" s="1" t="s">
        <v>4373</v>
      </c>
      <c r="J4509" s="1" t="s">
        <v>10992</v>
      </c>
      <c r="K4509" s="1" t="s">
        <v>10993</v>
      </c>
    </row>
    <row r="4510" spans="1:11" ht="21" x14ac:dyDescent="0.25">
      <c r="A4510" s="11" t="str">
        <f>HYPERLINK("https://rth.dk/resources/bsgatlas/details.php?id=BSGatlas-transcript-4509","BSGatlas-transcript-4509")</f>
        <v>BSGatlas-transcript-4509</v>
      </c>
      <c r="B4510" s="1" t="s">
        <v>4130</v>
      </c>
      <c r="C4510" s="3">
        <v>3982947</v>
      </c>
      <c r="D4510" s="3">
        <v>3984107</v>
      </c>
      <c r="E4510" s="1" t="s">
        <v>9</v>
      </c>
      <c r="F4510" s="1">
        <v>0</v>
      </c>
      <c r="G4510" s="1" t="s">
        <v>4372</v>
      </c>
      <c r="H4510" s="1" t="s">
        <v>4372</v>
      </c>
      <c r="I4510" s="1" t="s">
        <v>4373</v>
      </c>
      <c r="J4510" s="1" t="s">
        <v>10992</v>
      </c>
      <c r="K4510" s="1" t="s">
        <v>10994</v>
      </c>
    </row>
    <row r="4511" spans="1:11" ht="21" x14ac:dyDescent="0.25">
      <c r="A4511" s="11" t="str">
        <f>HYPERLINK("https://rth.dk/resources/bsgatlas/details.php?id=BSGatlas-transcript-4510","BSGatlas-transcript-4510")</f>
        <v>BSGatlas-transcript-4510</v>
      </c>
      <c r="B4511" s="1" t="s">
        <v>4131</v>
      </c>
      <c r="C4511" s="3">
        <v>3983037</v>
      </c>
      <c r="D4511" s="3">
        <v>3984070</v>
      </c>
      <c r="E4511" s="1" t="s">
        <v>13</v>
      </c>
      <c r="F4511" s="1">
        <v>0</v>
      </c>
      <c r="G4511" s="1" t="s">
        <v>4372</v>
      </c>
      <c r="H4511" s="1" t="s">
        <v>4372</v>
      </c>
      <c r="I4511" s="1" t="s">
        <v>4373</v>
      </c>
      <c r="J4511" s="1" t="s">
        <v>10995</v>
      </c>
      <c r="K4511" s="1" t="s">
        <v>10996</v>
      </c>
    </row>
    <row r="4512" spans="1:11" ht="21" x14ac:dyDescent="0.25">
      <c r="A4512" s="11" t="str">
        <f>HYPERLINK("https://rth.dk/resources/bsgatlas/details.php?id=BSGatlas-transcript-4511","BSGatlas-transcript-4511")</f>
        <v>BSGatlas-transcript-4511</v>
      </c>
      <c r="B4512" s="1" t="s">
        <v>4132</v>
      </c>
      <c r="C4512" s="3">
        <v>3984085</v>
      </c>
      <c r="D4512" s="3">
        <v>3985280</v>
      </c>
      <c r="E4512" s="1" t="s">
        <v>13</v>
      </c>
      <c r="F4512" s="1">
        <v>0</v>
      </c>
      <c r="G4512" s="1" t="s">
        <v>4372</v>
      </c>
      <c r="H4512" s="1" t="s">
        <v>4372</v>
      </c>
      <c r="I4512" s="1" t="s">
        <v>4377</v>
      </c>
      <c r="J4512" s="1" t="s">
        <v>10997</v>
      </c>
      <c r="K4512" s="1" t="s">
        <v>10998</v>
      </c>
    </row>
    <row r="4513" spans="1:11" ht="21" x14ac:dyDescent="0.25">
      <c r="A4513" s="11" t="str">
        <f>HYPERLINK("https://rth.dk/resources/bsgatlas/details.php?id=BSGatlas-transcript-4512","BSGatlas-transcript-4512")</f>
        <v>BSGatlas-transcript-4512</v>
      </c>
      <c r="B4513" s="1" t="s">
        <v>10999</v>
      </c>
      <c r="C4513" s="3">
        <v>3984085</v>
      </c>
      <c r="D4513" s="3">
        <v>3986290</v>
      </c>
      <c r="E4513" s="1" t="s">
        <v>13</v>
      </c>
      <c r="F4513" s="1">
        <v>1</v>
      </c>
      <c r="G4513" s="1">
        <v>47</v>
      </c>
      <c r="H4513" s="1">
        <v>49</v>
      </c>
      <c r="I4513" s="1" t="s">
        <v>4373</v>
      </c>
      <c r="J4513" s="1" t="s">
        <v>11000</v>
      </c>
      <c r="K4513" s="1" t="s">
        <v>10998</v>
      </c>
    </row>
    <row r="4514" spans="1:11" ht="21" x14ac:dyDescent="0.25">
      <c r="A4514" s="11" t="str">
        <f>HYPERLINK("https://rth.dk/resources/bsgatlas/details.php?id=BSGatlas-transcript-4513","BSGatlas-transcript-4513")</f>
        <v>BSGatlas-transcript-4513</v>
      </c>
      <c r="B4514" s="1" t="s">
        <v>10999</v>
      </c>
      <c r="C4514" s="3">
        <v>3984085</v>
      </c>
      <c r="D4514" s="3">
        <v>3987326</v>
      </c>
      <c r="E4514" s="1" t="s">
        <v>13</v>
      </c>
      <c r="F4514" s="1">
        <v>1</v>
      </c>
      <c r="G4514" s="1">
        <v>1083</v>
      </c>
      <c r="H4514" s="1">
        <v>49</v>
      </c>
      <c r="I4514" s="1" t="s">
        <v>4373</v>
      </c>
      <c r="J4514" s="1" t="s">
        <v>11001</v>
      </c>
      <c r="K4514" s="1" t="s">
        <v>10998</v>
      </c>
    </row>
    <row r="4515" spans="1:11" ht="21" x14ac:dyDescent="0.25">
      <c r="A4515" s="11" t="str">
        <f>HYPERLINK("https://rth.dk/resources/bsgatlas/details.php?id=BSGatlas-transcript-4514","BSGatlas-transcript-4514")</f>
        <v>BSGatlas-transcript-4514</v>
      </c>
      <c r="B4515" s="1" t="s">
        <v>4134</v>
      </c>
      <c r="C4515" s="3">
        <v>3986348</v>
      </c>
      <c r="D4515" s="3">
        <v>3987934</v>
      </c>
      <c r="E4515" s="1" t="s">
        <v>9</v>
      </c>
      <c r="F4515" s="1">
        <v>0</v>
      </c>
      <c r="G4515" s="1" t="s">
        <v>4372</v>
      </c>
      <c r="H4515" s="1" t="s">
        <v>4372</v>
      </c>
      <c r="I4515" s="1" t="s">
        <v>4373</v>
      </c>
      <c r="J4515" s="1" t="s">
        <v>11002</v>
      </c>
      <c r="K4515" s="1" t="s">
        <v>11003</v>
      </c>
    </row>
    <row r="4516" spans="1:11" ht="21" x14ac:dyDescent="0.25">
      <c r="A4516" s="11" t="str">
        <f>HYPERLINK("https://rth.dk/resources/bsgatlas/details.php?id=BSGatlas-transcript-4515","BSGatlas-transcript-4515")</f>
        <v>BSGatlas-transcript-4515</v>
      </c>
      <c r="B4516" s="1" t="s">
        <v>4134</v>
      </c>
      <c r="C4516" s="3">
        <v>3986392</v>
      </c>
      <c r="D4516" s="3">
        <v>3987934</v>
      </c>
      <c r="E4516" s="1" t="s">
        <v>9</v>
      </c>
      <c r="F4516" s="1">
        <v>0</v>
      </c>
      <c r="G4516" s="1" t="s">
        <v>4372</v>
      </c>
      <c r="H4516" s="1" t="s">
        <v>4372</v>
      </c>
      <c r="I4516" s="1" t="s">
        <v>4373</v>
      </c>
      <c r="J4516" s="1" t="s">
        <v>11004</v>
      </c>
      <c r="K4516" s="1" t="s">
        <v>11003</v>
      </c>
    </row>
    <row r="4517" spans="1:11" ht="21" x14ac:dyDescent="0.25">
      <c r="A4517" s="11" t="str">
        <f>HYPERLINK("https://rth.dk/resources/bsgatlas/details.php?id=BSGatlas-transcript-4516","BSGatlas-transcript-4516")</f>
        <v>BSGatlas-transcript-4516</v>
      </c>
      <c r="B4517" s="1" t="s">
        <v>4135</v>
      </c>
      <c r="C4517" s="3">
        <v>3987880</v>
      </c>
      <c r="D4517" s="3">
        <v>3988979</v>
      </c>
      <c r="E4517" s="1" t="s">
        <v>13</v>
      </c>
      <c r="F4517" s="1">
        <v>0</v>
      </c>
      <c r="G4517" s="1" t="s">
        <v>4372</v>
      </c>
      <c r="H4517" s="1" t="s">
        <v>4372</v>
      </c>
      <c r="I4517" s="1" t="s">
        <v>4373</v>
      </c>
      <c r="J4517" s="1" t="s">
        <v>11005</v>
      </c>
      <c r="K4517" s="1" t="s">
        <v>11006</v>
      </c>
    </row>
    <row r="4518" spans="1:11" ht="21" x14ac:dyDescent="0.25">
      <c r="A4518" s="11" t="str">
        <f>HYPERLINK("https://rth.dk/resources/bsgatlas/details.php?id=BSGatlas-transcript-4517","BSGatlas-transcript-4517")</f>
        <v>BSGatlas-transcript-4517</v>
      </c>
      <c r="B4518" s="1" t="s">
        <v>4135</v>
      </c>
      <c r="C4518" s="3">
        <v>3987880</v>
      </c>
      <c r="D4518" s="3">
        <v>3989722</v>
      </c>
      <c r="E4518" s="1" t="s">
        <v>13</v>
      </c>
      <c r="F4518" s="1">
        <v>0</v>
      </c>
      <c r="G4518" s="1" t="s">
        <v>4372</v>
      </c>
      <c r="H4518" s="1" t="s">
        <v>4372</v>
      </c>
      <c r="I4518" s="1" t="s">
        <v>4373</v>
      </c>
      <c r="J4518" s="1" t="s">
        <v>11007</v>
      </c>
      <c r="K4518" s="1" t="s">
        <v>11006</v>
      </c>
    </row>
    <row r="4519" spans="1:11" ht="21" x14ac:dyDescent="0.25">
      <c r="A4519" s="11" t="str">
        <f>HYPERLINK("https://rth.dk/resources/bsgatlas/details.php?id=BSGatlas-transcript-4518","BSGatlas-transcript-4518")</f>
        <v>BSGatlas-transcript-4518</v>
      </c>
      <c r="B4519" s="1" t="s">
        <v>4136</v>
      </c>
      <c r="C4519" s="3">
        <v>3988839</v>
      </c>
      <c r="D4519" s="3">
        <v>3988942</v>
      </c>
      <c r="E4519" s="1" t="s">
        <v>13</v>
      </c>
      <c r="F4519" s="1">
        <v>0</v>
      </c>
      <c r="G4519" s="1" t="s">
        <v>4372</v>
      </c>
      <c r="H4519" s="1" t="s">
        <v>4372</v>
      </c>
      <c r="I4519" s="1" t="s">
        <v>4377</v>
      </c>
      <c r="J4519" s="1" t="s">
        <v>318</v>
      </c>
      <c r="K4519" s="1" t="s">
        <v>11008</v>
      </c>
    </row>
    <row r="4520" spans="1:11" ht="21" x14ac:dyDescent="0.25">
      <c r="A4520" s="11" t="str">
        <f>HYPERLINK("https://rth.dk/resources/bsgatlas/details.php?id=BSGatlas-transcript-4519","BSGatlas-transcript-4519")</f>
        <v>BSGatlas-transcript-4519</v>
      </c>
      <c r="B4520" s="1" t="s">
        <v>4137</v>
      </c>
      <c r="C4520" s="3">
        <v>3989088</v>
      </c>
      <c r="D4520" s="3">
        <v>3989918</v>
      </c>
      <c r="E4520" s="1" t="s">
        <v>9</v>
      </c>
      <c r="F4520" s="1">
        <v>0</v>
      </c>
      <c r="G4520" s="1" t="s">
        <v>4372</v>
      </c>
      <c r="H4520" s="1" t="s">
        <v>4372</v>
      </c>
      <c r="I4520" s="1" t="s">
        <v>4373</v>
      </c>
      <c r="J4520" s="1" t="s">
        <v>11009</v>
      </c>
      <c r="K4520" s="1" t="s">
        <v>11010</v>
      </c>
    </row>
    <row r="4521" spans="1:11" ht="21" x14ac:dyDescent="0.25">
      <c r="A4521" s="11" t="str">
        <f>HYPERLINK("https://rth.dk/resources/bsgatlas/details.php?id=BSGatlas-transcript-4520","BSGatlas-transcript-4520")</f>
        <v>BSGatlas-transcript-4520</v>
      </c>
      <c r="B4521" s="1" t="s">
        <v>4137</v>
      </c>
      <c r="C4521" s="3">
        <v>3989088</v>
      </c>
      <c r="D4521" s="3">
        <v>3990263</v>
      </c>
      <c r="E4521" s="1" t="s">
        <v>9</v>
      </c>
      <c r="F4521" s="1">
        <v>0</v>
      </c>
      <c r="G4521" s="1" t="s">
        <v>4372</v>
      </c>
      <c r="H4521" s="1" t="s">
        <v>4372</v>
      </c>
      <c r="I4521" s="1" t="s">
        <v>4373</v>
      </c>
      <c r="J4521" s="1" t="s">
        <v>11009</v>
      </c>
      <c r="K4521" s="1" t="s">
        <v>11011</v>
      </c>
    </row>
    <row r="4522" spans="1:11" ht="21" x14ac:dyDescent="0.25">
      <c r="A4522" s="11" t="str">
        <f>HYPERLINK("https://rth.dk/resources/bsgatlas/details.php?id=BSGatlas-transcript-4521","BSGatlas-transcript-4521")</f>
        <v>BSGatlas-transcript-4521</v>
      </c>
      <c r="B4522" s="1" t="s">
        <v>4137</v>
      </c>
      <c r="C4522" s="3">
        <v>3989185</v>
      </c>
      <c r="D4522" s="3">
        <v>3989918</v>
      </c>
      <c r="E4522" s="1" t="s">
        <v>9</v>
      </c>
      <c r="F4522" s="1">
        <v>0</v>
      </c>
      <c r="G4522" s="1" t="s">
        <v>4372</v>
      </c>
      <c r="H4522" s="1" t="s">
        <v>4372</v>
      </c>
      <c r="I4522" s="1" t="s">
        <v>4373</v>
      </c>
      <c r="J4522" s="1" t="s">
        <v>11012</v>
      </c>
      <c r="K4522" s="1" t="s">
        <v>11010</v>
      </c>
    </row>
    <row r="4523" spans="1:11" ht="21" x14ac:dyDescent="0.25">
      <c r="A4523" s="11" t="str">
        <f>HYPERLINK("https://rth.dk/resources/bsgatlas/details.php?id=BSGatlas-transcript-4522","BSGatlas-transcript-4522")</f>
        <v>BSGatlas-transcript-4522</v>
      </c>
      <c r="B4523" s="1" t="s">
        <v>4137</v>
      </c>
      <c r="C4523" s="3">
        <v>3989185</v>
      </c>
      <c r="D4523" s="3">
        <v>3990263</v>
      </c>
      <c r="E4523" s="1" t="s">
        <v>9</v>
      </c>
      <c r="F4523" s="1">
        <v>0</v>
      </c>
      <c r="G4523" s="1" t="s">
        <v>4372</v>
      </c>
      <c r="H4523" s="1" t="s">
        <v>4372</v>
      </c>
      <c r="I4523" s="1" t="s">
        <v>4373</v>
      </c>
      <c r="J4523" s="1" t="s">
        <v>11012</v>
      </c>
      <c r="K4523" s="1" t="s">
        <v>11011</v>
      </c>
    </row>
    <row r="4524" spans="1:11" ht="21" x14ac:dyDescent="0.25">
      <c r="A4524" s="11" t="str">
        <f>HYPERLINK("https://rth.dk/resources/bsgatlas/details.php?id=BSGatlas-transcript-4523","BSGatlas-transcript-4523")</f>
        <v>BSGatlas-transcript-4523</v>
      </c>
      <c r="B4524" s="1" t="s">
        <v>4138</v>
      </c>
      <c r="C4524" s="3">
        <v>3989904</v>
      </c>
      <c r="D4524" s="3">
        <v>3990994</v>
      </c>
      <c r="E4524" s="1" t="s">
        <v>13</v>
      </c>
      <c r="F4524" s="1">
        <v>0</v>
      </c>
      <c r="G4524" s="1" t="s">
        <v>4372</v>
      </c>
      <c r="H4524" s="1" t="s">
        <v>4372</v>
      </c>
      <c r="I4524" s="1" t="s">
        <v>4373</v>
      </c>
      <c r="J4524" s="1" t="s">
        <v>11013</v>
      </c>
      <c r="K4524" s="1" t="s">
        <v>11014</v>
      </c>
    </row>
    <row r="4525" spans="1:11" ht="21" x14ac:dyDescent="0.25">
      <c r="A4525" s="11" t="str">
        <f>HYPERLINK("https://rth.dk/resources/bsgatlas/details.php?id=BSGatlas-transcript-4524","BSGatlas-transcript-4524")</f>
        <v>BSGatlas-transcript-4524</v>
      </c>
      <c r="B4525" s="1" t="s">
        <v>11015</v>
      </c>
      <c r="C4525" s="3">
        <v>3989904</v>
      </c>
      <c r="D4525" s="3">
        <v>3991616</v>
      </c>
      <c r="E4525" s="1" t="s">
        <v>13</v>
      </c>
      <c r="F4525" s="1">
        <v>1</v>
      </c>
      <c r="G4525" s="1">
        <v>29</v>
      </c>
      <c r="H4525" s="1">
        <v>45</v>
      </c>
      <c r="I4525" s="1" t="s">
        <v>4386</v>
      </c>
      <c r="J4525" s="1" t="s">
        <v>11016</v>
      </c>
      <c r="K4525" s="1" t="s">
        <v>11014</v>
      </c>
    </row>
    <row r="4526" spans="1:11" ht="21" x14ac:dyDescent="0.25">
      <c r="A4526" s="11" t="str">
        <f>HYPERLINK("https://rth.dk/resources/bsgatlas/details.php?id=BSGatlas-transcript-4525","BSGatlas-transcript-4525")</f>
        <v>BSGatlas-transcript-4525</v>
      </c>
      <c r="B4526" s="1" t="s">
        <v>4140</v>
      </c>
      <c r="C4526" s="3">
        <v>3991639</v>
      </c>
      <c r="D4526" s="3">
        <v>3992593</v>
      </c>
      <c r="E4526" s="1" t="s">
        <v>9</v>
      </c>
      <c r="F4526" s="1">
        <v>0</v>
      </c>
      <c r="G4526" s="1" t="s">
        <v>4372</v>
      </c>
      <c r="H4526" s="1" t="s">
        <v>4372</v>
      </c>
      <c r="I4526" s="1" t="s">
        <v>4377</v>
      </c>
      <c r="J4526" s="1" t="s">
        <v>11017</v>
      </c>
      <c r="K4526" s="1" t="s">
        <v>318</v>
      </c>
    </row>
    <row r="4527" spans="1:11" ht="21" x14ac:dyDescent="0.25">
      <c r="A4527" s="11" t="str">
        <f>HYPERLINK("https://rth.dk/resources/bsgatlas/details.php?id=BSGatlas-transcript-4526","BSGatlas-transcript-4526")</f>
        <v>BSGatlas-transcript-4526</v>
      </c>
      <c r="B4527" s="1" t="s">
        <v>4141</v>
      </c>
      <c r="C4527" s="3">
        <v>3991968</v>
      </c>
      <c r="D4527" s="3">
        <v>3992056</v>
      </c>
      <c r="E4527" s="1" t="s">
        <v>13</v>
      </c>
      <c r="F4527" s="1">
        <v>0</v>
      </c>
      <c r="G4527" s="1" t="s">
        <v>4372</v>
      </c>
      <c r="H4527" s="1" t="s">
        <v>4372</v>
      </c>
      <c r="I4527" s="1" t="s">
        <v>4377</v>
      </c>
      <c r="J4527" s="1" t="s">
        <v>11018</v>
      </c>
      <c r="K4527" s="1" t="s">
        <v>11019</v>
      </c>
    </row>
    <row r="4528" spans="1:11" ht="21" x14ac:dyDescent="0.25">
      <c r="A4528" s="11" t="str">
        <f>HYPERLINK("https://rth.dk/resources/bsgatlas/details.php?id=BSGatlas-transcript-4527","BSGatlas-transcript-4527")</f>
        <v>BSGatlas-transcript-4527</v>
      </c>
      <c r="B4528" s="1" t="s">
        <v>4142</v>
      </c>
      <c r="C4528" s="3">
        <v>3992671</v>
      </c>
      <c r="D4528" s="3">
        <v>3993144</v>
      </c>
      <c r="E4528" s="1" t="s">
        <v>9</v>
      </c>
      <c r="F4528" s="1">
        <v>0</v>
      </c>
      <c r="G4528" s="1" t="s">
        <v>4372</v>
      </c>
      <c r="H4528" s="1" t="s">
        <v>4372</v>
      </c>
      <c r="I4528" s="1" t="s">
        <v>4373</v>
      </c>
      <c r="J4528" s="1" t="s">
        <v>318</v>
      </c>
      <c r="K4528" s="1" t="s">
        <v>318</v>
      </c>
    </row>
    <row r="4529" spans="1:11" ht="21" x14ac:dyDescent="0.25">
      <c r="A4529" s="11" t="str">
        <f>HYPERLINK("https://rth.dk/resources/bsgatlas/details.php?id=BSGatlas-transcript-4528","BSGatlas-transcript-4528")</f>
        <v>BSGatlas-transcript-4528</v>
      </c>
      <c r="B4529" s="1" t="s">
        <v>4143</v>
      </c>
      <c r="C4529" s="3">
        <v>3995045</v>
      </c>
      <c r="D4529" s="3">
        <v>3996352</v>
      </c>
      <c r="E4529" s="1" t="s">
        <v>9</v>
      </c>
      <c r="F4529" s="1">
        <v>0</v>
      </c>
      <c r="G4529" s="1" t="s">
        <v>4372</v>
      </c>
      <c r="H4529" s="1" t="s">
        <v>4372</v>
      </c>
      <c r="I4529" s="1" t="s">
        <v>4373</v>
      </c>
      <c r="J4529" s="1" t="s">
        <v>11020</v>
      </c>
      <c r="K4529" s="1" t="s">
        <v>11021</v>
      </c>
    </row>
    <row r="4530" spans="1:11" ht="21" x14ac:dyDescent="0.25">
      <c r="A4530" s="11" t="str">
        <f>HYPERLINK("https://rth.dk/resources/bsgatlas/details.php?id=BSGatlas-transcript-4529","BSGatlas-transcript-4529")</f>
        <v>BSGatlas-transcript-4529</v>
      </c>
      <c r="B4530" s="1" t="s">
        <v>4144</v>
      </c>
      <c r="C4530" s="3">
        <v>3996388</v>
      </c>
      <c r="D4530" s="3">
        <v>3996610</v>
      </c>
      <c r="E4530" s="1" t="s">
        <v>9</v>
      </c>
      <c r="F4530" s="1">
        <v>0</v>
      </c>
      <c r="G4530" s="1" t="s">
        <v>4372</v>
      </c>
      <c r="H4530" s="1" t="s">
        <v>4372</v>
      </c>
      <c r="I4530" s="1" t="s">
        <v>4377</v>
      </c>
      <c r="J4530" s="1" t="s">
        <v>11022</v>
      </c>
      <c r="K4530" s="1" t="s">
        <v>11023</v>
      </c>
    </row>
    <row r="4531" spans="1:11" ht="21" x14ac:dyDescent="0.25">
      <c r="A4531" s="11" t="str">
        <f>HYPERLINK("https://rth.dk/resources/bsgatlas/details.php?id=BSGatlas-transcript-4530","BSGatlas-transcript-4530")</f>
        <v>BSGatlas-transcript-4530</v>
      </c>
      <c r="B4531" s="1" t="s">
        <v>4145</v>
      </c>
      <c r="C4531" s="3">
        <v>3996629</v>
      </c>
      <c r="D4531" s="3">
        <v>3997092</v>
      </c>
      <c r="E4531" s="1" t="s">
        <v>9</v>
      </c>
      <c r="F4531" s="1">
        <v>0</v>
      </c>
      <c r="G4531" s="1" t="s">
        <v>4372</v>
      </c>
      <c r="H4531" s="1" t="s">
        <v>4372</v>
      </c>
      <c r="I4531" s="1" t="s">
        <v>4377</v>
      </c>
      <c r="J4531" s="1" t="s">
        <v>11024</v>
      </c>
      <c r="K4531" s="1" t="s">
        <v>11025</v>
      </c>
    </row>
    <row r="4532" spans="1:11" ht="21" x14ac:dyDescent="0.25">
      <c r="A4532" s="11" t="str">
        <f>HYPERLINK("https://rth.dk/resources/bsgatlas/details.php?id=BSGatlas-transcript-4531","BSGatlas-transcript-4531")</f>
        <v>BSGatlas-transcript-4531</v>
      </c>
      <c r="B4532" s="1" t="s">
        <v>11026</v>
      </c>
      <c r="C4532" s="3">
        <v>3996629</v>
      </c>
      <c r="D4532" s="3">
        <v>3997709</v>
      </c>
      <c r="E4532" s="1" t="s">
        <v>9</v>
      </c>
      <c r="F4532" s="1">
        <v>1</v>
      </c>
      <c r="G4532" s="1">
        <v>201</v>
      </c>
      <c r="H4532" s="1" t="s">
        <v>4372</v>
      </c>
      <c r="I4532" s="1" t="s">
        <v>4373</v>
      </c>
      <c r="J4532" s="1" t="s">
        <v>11024</v>
      </c>
      <c r="K4532" s="1" t="s">
        <v>318</v>
      </c>
    </row>
    <row r="4533" spans="1:11" ht="21" x14ac:dyDescent="0.25">
      <c r="A4533" s="11" t="str">
        <f>HYPERLINK("https://rth.dk/resources/bsgatlas/details.php?id=BSGatlas-transcript-4532","BSGatlas-transcript-4532")</f>
        <v>BSGatlas-transcript-4532</v>
      </c>
      <c r="B4533" s="1" t="s">
        <v>4145</v>
      </c>
      <c r="C4533" s="3">
        <v>3996731</v>
      </c>
      <c r="D4533" s="3">
        <v>3997092</v>
      </c>
      <c r="E4533" s="1" t="s">
        <v>9</v>
      </c>
      <c r="F4533" s="1">
        <v>0</v>
      </c>
      <c r="G4533" s="1" t="s">
        <v>4372</v>
      </c>
      <c r="H4533" s="1" t="s">
        <v>4372</v>
      </c>
      <c r="I4533" s="1" t="s">
        <v>4377</v>
      </c>
      <c r="J4533" s="1" t="s">
        <v>11027</v>
      </c>
      <c r="K4533" s="1" t="s">
        <v>11025</v>
      </c>
    </row>
    <row r="4534" spans="1:11" ht="21" x14ac:dyDescent="0.25">
      <c r="A4534" s="11" t="str">
        <f>HYPERLINK("https://rth.dk/resources/bsgatlas/details.php?id=BSGatlas-transcript-4533","BSGatlas-transcript-4533")</f>
        <v>BSGatlas-transcript-4533</v>
      </c>
      <c r="B4534" s="1" t="s">
        <v>11026</v>
      </c>
      <c r="C4534" s="3">
        <v>3996731</v>
      </c>
      <c r="D4534" s="3">
        <v>3997709</v>
      </c>
      <c r="E4534" s="1" t="s">
        <v>9</v>
      </c>
      <c r="F4534" s="1">
        <v>1</v>
      </c>
      <c r="G4534" s="1">
        <v>99</v>
      </c>
      <c r="H4534" s="1" t="s">
        <v>4372</v>
      </c>
      <c r="I4534" s="1" t="s">
        <v>4373</v>
      </c>
      <c r="J4534" s="1" t="s">
        <v>11027</v>
      </c>
      <c r="K4534" s="1" t="s">
        <v>318</v>
      </c>
    </row>
    <row r="4535" spans="1:11" ht="21" x14ac:dyDescent="0.25">
      <c r="A4535" s="11" t="str">
        <f>HYPERLINK("https://rth.dk/resources/bsgatlas/details.php?id=BSGatlas-transcript-4534","BSGatlas-transcript-4534")</f>
        <v>BSGatlas-transcript-4534</v>
      </c>
      <c r="B4535" s="1" t="s">
        <v>4145</v>
      </c>
      <c r="C4535" s="3">
        <v>3996829</v>
      </c>
      <c r="D4535" s="3">
        <v>3997092</v>
      </c>
      <c r="E4535" s="1" t="s">
        <v>9</v>
      </c>
      <c r="F4535" s="1">
        <v>0</v>
      </c>
      <c r="G4535" s="1" t="s">
        <v>4372</v>
      </c>
      <c r="H4535" s="1" t="s">
        <v>4372</v>
      </c>
      <c r="I4535" s="1" t="s">
        <v>4377</v>
      </c>
      <c r="J4535" s="1" t="s">
        <v>11028</v>
      </c>
      <c r="K4535" s="1" t="s">
        <v>11025</v>
      </c>
    </row>
    <row r="4536" spans="1:11" ht="21" x14ac:dyDescent="0.25">
      <c r="A4536" s="11" t="str">
        <f>HYPERLINK("https://rth.dk/resources/bsgatlas/details.php?id=BSGatlas-transcript-4535","BSGatlas-transcript-4535")</f>
        <v>BSGatlas-transcript-4535</v>
      </c>
      <c r="B4536" s="1" t="s">
        <v>11026</v>
      </c>
      <c r="C4536" s="3">
        <v>3996829</v>
      </c>
      <c r="D4536" s="3">
        <v>3997709</v>
      </c>
      <c r="E4536" s="1" t="s">
        <v>9</v>
      </c>
      <c r="F4536" s="1">
        <v>1</v>
      </c>
      <c r="G4536" s="1" t="s">
        <v>4372</v>
      </c>
      <c r="H4536" s="1" t="s">
        <v>4372</v>
      </c>
      <c r="I4536" s="1" t="s">
        <v>4373</v>
      </c>
      <c r="J4536" s="1" t="s">
        <v>11028</v>
      </c>
      <c r="K4536" s="1" t="s">
        <v>318</v>
      </c>
    </row>
    <row r="4537" spans="1:11" ht="21" x14ac:dyDescent="0.25">
      <c r="A4537" s="11" t="str">
        <f>HYPERLINK("https://rth.dk/resources/bsgatlas/details.php?id=BSGatlas-transcript-4536","BSGatlas-transcript-4536")</f>
        <v>BSGatlas-transcript-4536</v>
      </c>
      <c r="B4537" s="1" t="s">
        <v>4146</v>
      </c>
      <c r="C4537" s="3">
        <v>3997194</v>
      </c>
      <c r="D4537" s="3">
        <v>3997709</v>
      </c>
      <c r="E4537" s="1" t="s">
        <v>9</v>
      </c>
      <c r="F4537" s="1">
        <v>0</v>
      </c>
      <c r="G4537" s="1" t="s">
        <v>4372</v>
      </c>
      <c r="H4537" s="1" t="s">
        <v>4372</v>
      </c>
      <c r="I4537" s="1" t="s">
        <v>4386</v>
      </c>
      <c r="J4537" s="1" t="s">
        <v>11029</v>
      </c>
      <c r="K4537" s="1" t="s">
        <v>318</v>
      </c>
    </row>
    <row r="4538" spans="1:11" ht="21" x14ac:dyDescent="0.25">
      <c r="A4538" s="11" t="str">
        <f>HYPERLINK("https://rth.dk/resources/bsgatlas/details.php?id=BSGatlas-transcript-4537","BSGatlas-transcript-4537")</f>
        <v>BSGatlas-transcript-4537</v>
      </c>
      <c r="B4538" s="1" t="s">
        <v>4147</v>
      </c>
      <c r="C4538" s="3">
        <v>3997745</v>
      </c>
      <c r="D4538" s="3">
        <v>3999097</v>
      </c>
      <c r="E4538" s="1" t="s">
        <v>9</v>
      </c>
      <c r="F4538" s="1">
        <v>0</v>
      </c>
      <c r="G4538" s="1" t="s">
        <v>4372</v>
      </c>
      <c r="H4538" s="1" t="s">
        <v>4372</v>
      </c>
      <c r="I4538" s="1" t="s">
        <v>4373</v>
      </c>
      <c r="J4538" s="1" t="s">
        <v>11030</v>
      </c>
      <c r="K4538" s="1" t="s">
        <v>318</v>
      </c>
    </row>
    <row r="4539" spans="1:11" ht="21" x14ac:dyDescent="0.25">
      <c r="A4539" s="11" t="str">
        <f>HYPERLINK("https://rth.dk/resources/bsgatlas/details.php?id=BSGatlas-transcript-4538","BSGatlas-transcript-4538")</f>
        <v>BSGatlas-transcript-4538</v>
      </c>
      <c r="B4539" s="1" t="s">
        <v>4148</v>
      </c>
      <c r="C4539" s="3">
        <v>3997774</v>
      </c>
      <c r="D4539" s="3">
        <v>3997939</v>
      </c>
      <c r="E4539" s="1" t="s">
        <v>9</v>
      </c>
      <c r="F4539" s="1">
        <v>0</v>
      </c>
      <c r="G4539" s="1" t="s">
        <v>4372</v>
      </c>
      <c r="H4539" s="1" t="s">
        <v>4372</v>
      </c>
      <c r="I4539" s="1" t="s">
        <v>4377</v>
      </c>
      <c r="J4539" s="1" t="s">
        <v>318</v>
      </c>
      <c r="K4539" s="1" t="s">
        <v>11031</v>
      </c>
    </row>
    <row r="4540" spans="1:11" ht="21" x14ac:dyDescent="0.25">
      <c r="A4540" s="11" t="str">
        <f>HYPERLINK("https://rth.dk/resources/bsgatlas/details.php?id=BSGatlas-transcript-4539","BSGatlas-transcript-4539")</f>
        <v>BSGatlas-transcript-4539</v>
      </c>
      <c r="B4540" s="1" t="s">
        <v>4149</v>
      </c>
      <c r="C4540" s="3">
        <v>3998237</v>
      </c>
      <c r="D4540" s="3">
        <v>3998480</v>
      </c>
      <c r="E4540" s="1" t="s">
        <v>13</v>
      </c>
      <c r="F4540" s="1">
        <v>0</v>
      </c>
      <c r="G4540" s="1" t="s">
        <v>4372</v>
      </c>
      <c r="H4540" s="1" t="s">
        <v>4372</v>
      </c>
      <c r="I4540" s="1" t="s">
        <v>4377</v>
      </c>
      <c r="J4540" s="1" t="s">
        <v>11032</v>
      </c>
      <c r="K4540" s="1" t="s">
        <v>318</v>
      </c>
    </row>
    <row r="4541" spans="1:11" ht="21" x14ac:dyDescent="0.25">
      <c r="A4541" s="11" t="str">
        <f>HYPERLINK("https://rth.dk/resources/bsgatlas/details.php?id=BSGatlas-transcript-4540","BSGatlas-transcript-4540")</f>
        <v>BSGatlas-transcript-4540</v>
      </c>
      <c r="B4541" s="1" t="s">
        <v>4150</v>
      </c>
      <c r="C4541" s="3">
        <v>3999131</v>
      </c>
      <c r="D4541" s="3">
        <v>4000486</v>
      </c>
      <c r="E4541" s="1" t="s">
        <v>9</v>
      </c>
      <c r="F4541" s="1">
        <v>0</v>
      </c>
      <c r="G4541" s="1" t="s">
        <v>4372</v>
      </c>
      <c r="H4541" s="1" t="s">
        <v>4372</v>
      </c>
      <c r="I4541" s="1" t="s">
        <v>4373</v>
      </c>
      <c r="J4541" s="1" t="s">
        <v>11033</v>
      </c>
      <c r="K4541" s="1" t="s">
        <v>11034</v>
      </c>
    </row>
    <row r="4542" spans="1:11" ht="21" x14ac:dyDescent="0.25">
      <c r="A4542" s="11" t="str">
        <f>HYPERLINK("https://rth.dk/resources/bsgatlas/details.php?id=BSGatlas-transcript-4541","BSGatlas-transcript-4541")</f>
        <v>BSGatlas-transcript-4541</v>
      </c>
      <c r="B4542" s="1" t="s">
        <v>4150</v>
      </c>
      <c r="C4542" s="3">
        <v>3999131</v>
      </c>
      <c r="D4542" s="3">
        <v>4000530</v>
      </c>
      <c r="E4542" s="1" t="s">
        <v>9</v>
      </c>
      <c r="F4542" s="1">
        <v>0</v>
      </c>
      <c r="G4542" s="1" t="s">
        <v>4372</v>
      </c>
      <c r="H4542" s="1" t="s">
        <v>4372</v>
      </c>
      <c r="I4542" s="1" t="s">
        <v>4373</v>
      </c>
      <c r="J4542" s="1" t="s">
        <v>11033</v>
      </c>
      <c r="K4542" s="1" t="s">
        <v>11035</v>
      </c>
    </row>
    <row r="4543" spans="1:11" ht="21" x14ac:dyDescent="0.25">
      <c r="A4543" s="11" t="str">
        <f>HYPERLINK("https://rth.dk/resources/bsgatlas/details.php?id=BSGatlas-transcript-4542","BSGatlas-transcript-4542")</f>
        <v>BSGatlas-transcript-4542</v>
      </c>
      <c r="B4543" s="1" t="s">
        <v>4151</v>
      </c>
      <c r="C4543" s="3">
        <v>3999165</v>
      </c>
      <c r="D4543" s="3">
        <v>3999272</v>
      </c>
      <c r="E4543" s="1" t="s">
        <v>9</v>
      </c>
      <c r="F4543" s="1">
        <v>0</v>
      </c>
      <c r="G4543" s="1" t="s">
        <v>4372</v>
      </c>
      <c r="H4543" s="1" t="s">
        <v>4372</v>
      </c>
      <c r="I4543" s="1" t="s">
        <v>4377</v>
      </c>
      <c r="J4543" s="1" t="s">
        <v>318</v>
      </c>
      <c r="K4543" s="1" t="s">
        <v>11036</v>
      </c>
    </row>
    <row r="4544" spans="1:11" ht="21" x14ac:dyDescent="0.25">
      <c r="A4544" s="11" t="str">
        <f>HYPERLINK("https://rth.dk/resources/bsgatlas/details.php?id=BSGatlas-transcript-4543","BSGatlas-transcript-4543")</f>
        <v>BSGatlas-transcript-4543</v>
      </c>
      <c r="B4544" s="1" t="s">
        <v>4151</v>
      </c>
      <c r="C4544" s="3">
        <v>3999165</v>
      </c>
      <c r="D4544" s="3">
        <v>3999328</v>
      </c>
      <c r="E4544" s="1" t="s">
        <v>9</v>
      </c>
      <c r="F4544" s="1">
        <v>0</v>
      </c>
      <c r="G4544" s="1" t="s">
        <v>4372</v>
      </c>
      <c r="H4544" s="1" t="s">
        <v>4372</v>
      </c>
      <c r="I4544" s="1" t="s">
        <v>4377</v>
      </c>
      <c r="J4544" s="1" t="s">
        <v>318</v>
      </c>
      <c r="K4544" s="1" t="s">
        <v>11037</v>
      </c>
    </row>
    <row r="4545" spans="1:11" ht="21" x14ac:dyDescent="0.25">
      <c r="A4545" s="11" t="str">
        <f>HYPERLINK("https://rth.dk/resources/bsgatlas/details.php?id=BSGatlas-transcript-4544","BSGatlas-transcript-4544")</f>
        <v>BSGatlas-transcript-4544</v>
      </c>
      <c r="B4545" s="1" t="s">
        <v>11038</v>
      </c>
      <c r="C4545" s="3">
        <v>4000485</v>
      </c>
      <c r="D4545" s="3">
        <v>4003321</v>
      </c>
      <c r="E4545" s="1" t="s">
        <v>13</v>
      </c>
      <c r="F4545" s="1">
        <v>1</v>
      </c>
      <c r="G4545" s="1">
        <v>630</v>
      </c>
      <c r="H4545" s="1">
        <v>55</v>
      </c>
      <c r="I4545" s="1" t="s">
        <v>4377</v>
      </c>
      <c r="J4545" s="1" t="s">
        <v>11039</v>
      </c>
      <c r="K4545" s="1" t="s">
        <v>11040</v>
      </c>
    </row>
    <row r="4546" spans="1:11" ht="21" x14ac:dyDescent="0.25">
      <c r="A4546" s="11" t="str">
        <f>HYPERLINK("https://rth.dk/resources/bsgatlas/details.php?id=BSGatlas-transcript-4545","BSGatlas-transcript-4545")</f>
        <v>BSGatlas-transcript-4545</v>
      </c>
      <c r="B4546" s="1" t="s">
        <v>11041</v>
      </c>
      <c r="C4546" s="3">
        <v>4000485</v>
      </c>
      <c r="D4546" s="3">
        <v>4004209</v>
      </c>
      <c r="E4546" s="1" t="s">
        <v>13</v>
      </c>
      <c r="F4546" s="1">
        <v>2</v>
      </c>
      <c r="G4546" s="1">
        <v>76</v>
      </c>
      <c r="H4546" s="1">
        <v>55</v>
      </c>
      <c r="I4546" s="1" t="s">
        <v>4373</v>
      </c>
      <c r="J4546" s="1" t="s">
        <v>11042</v>
      </c>
      <c r="K4546" s="1" t="s">
        <v>11040</v>
      </c>
    </row>
    <row r="4547" spans="1:11" ht="21" x14ac:dyDescent="0.25">
      <c r="A4547" s="11" t="str">
        <f>HYPERLINK("https://rth.dk/resources/bsgatlas/details.php?id=BSGatlas-transcript-4546","BSGatlas-transcript-4546")</f>
        <v>BSGatlas-transcript-4546</v>
      </c>
      <c r="B4547" s="1" t="s">
        <v>4156</v>
      </c>
      <c r="C4547" s="3">
        <v>4004243</v>
      </c>
      <c r="D4547" s="3">
        <v>4005322</v>
      </c>
      <c r="E4547" s="1" t="s">
        <v>13</v>
      </c>
      <c r="F4547" s="1">
        <v>0</v>
      </c>
      <c r="G4547" s="1" t="s">
        <v>4372</v>
      </c>
      <c r="H4547" s="1" t="s">
        <v>4372</v>
      </c>
      <c r="I4547" s="1" t="s">
        <v>4373</v>
      </c>
      <c r="J4547" s="1" t="s">
        <v>11043</v>
      </c>
      <c r="K4547" s="1" t="s">
        <v>11044</v>
      </c>
    </row>
    <row r="4548" spans="1:11" ht="21" x14ac:dyDescent="0.25">
      <c r="A4548" s="11" t="str">
        <f>HYPERLINK("https://rth.dk/resources/bsgatlas/details.php?id=BSGatlas-transcript-4547","BSGatlas-transcript-4547")</f>
        <v>BSGatlas-transcript-4547</v>
      </c>
      <c r="B4548" s="1" t="s">
        <v>4156</v>
      </c>
      <c r="C4548" s="3">
        <v>4004243</v>
      </c>
      <c r="D4548" s="3">
        <v>4006052</v>
      </c>
      <c r="E4548" s="1" t="s">
        <v>13</v>
      </c>
      <c r="F4548" s="1">
        <v>0</v>
      </c>
      <c r="G4548" s="1" t="s">
        <v>4372</v>
      </c>
      <c r="H4548" s="1" t="s">
        <v>4372</v>
      </c>
      <c r="I4548" s="1" t="s">
        <v>4373</v>
      </c>
      <c r="J4548" s="1" t="s">
        <v>11045</v>
      </c>
      <c r="K4548" s="1" t="s">
        <v>11044</v>
      </c>
    </row>
    <row r="4549" spans="1:11" ht="21" x14ac:dyDescent="0.25">
      <c r="A4549" s="11" t="str">
        <f>HYPERLINK("https://rth.dk/resources/bsgatlas/details.php?id=BSGatlas-transcript-4548","BSGatlas-transcript-4548")</f>
        <v>BSGatlas-transcript-4548</v>
      </c>
      <c r="B4549" s="1" t="s">
        <v>4157</v>
      </c>
      <c r="C4549" s="3">
        <v>4005513</v>
      </c>
      <c r="D4549" s="3">
        <v>4006945</v>
      </c>
      <c r="E4549" s="1" t="s">
        <v>9</v>
      </c>
      <c r="F4549" s="1">
        <v>0</v>
      </c>
      <c r="G4549" s="1" t="s">
        <v>4372</v>
      </c>
      <c r="H4549" s="1" t="s">
        <v>4372</v>
      </c>
      <c r="I4549" s="1" t="s">
        <v>4373</v>
      </c>
      <c r="J4549" s="1" t="s">
        <v>11046</v>
      </c>
      <c r="K4549" s="1" t="s">
        <v>11047</v>
      </c>
    </row>
    <row r="4550" spans="1:11" ht="21" x14ac:dyDescent="0.25">
      <c r="A4550" s="11" t="str">
        <f>HYPERLINK("https://rth.dk/resources/bsgatlas/details.php?id=BSGatlas-transcript-4549","BSGatlas-transcript-4549")</f>
        <v>BSGatlas-transcript-4549</v>
      </c>
      <c r="B4550" s="1" t="s">
        <v>4157</v>
      </c>
      <c r="C4550" s="3">
        <v>4005513</v>
      </c>
      <c r="D4550" s="3">
        <v>4006995</v>
      </c>
      <c r="E4550" s="1" t="s">
        <v>9</v>
      </c>
      <c r="F4550" s="1">
        <v>0</v>
      </c>
      <c r="G4550" s="1" t="s">
        <v>4372</v>
      </c>
      <c r="H4550" s="1" t="s">
        <v>4372</v>
      </c>
      <c r="I4550" s="1" t="s">
        <v>4373</v>
      </c>
      <c r="J4550" s="1" t="s">
        <v>11046</v>
      </c>
      <c r="K4550" s="1" t="s">
        <v>11048</v>
      </c>
    </row>
    <row r="4551" spans="1:11" ht="21" x14ac:dyDescent="0.25">
      <c r="A4551" s="11" t="str">
        <f>HYPERLINK("https://rth.dk/resources/bsgatlas/details.php?id=BSGatlas-transcript-4550","BSGatlas-transcript-4550")</f>
        <v>BSGatlas-transcript-4550</v>
      </c>
      <c r="B4551" s="1" t="s">
        <v>4157</v>
      </c>
      <c r="C4551" s="3">
        <v>4005513</v>
      </c>
      <c r="D4551" s="3">
        <v>4007777</v>
      </c>
      <c r="E4551" s="1" t="s">
        <v>9</v>
      </c>
      <c r="F4551" s="1">
        <v>0</v>
      </c>
      <c r="G4551" s="1" t="s">
        <v>4372</v>
      </c>
      <c r="H4551" s="1" t="s">
        <v>4372</v>
      </c>
      <c r="I4551" s="1" t="s">
        <v>4373</v>
      </c>
      <c r="J4551" s="1" t="s">
        <v>11046</v>
      </c>
      <c r="K4551" s="1" t="s">
        <v>11049</v>
      </c>
    </row>
    <row r="4552" spans="1:11" ht="21" x14ac:dyDescent="0.25">
      <c r="A4552" s="11" t="str">
        <f>HYPERLINK("https://rth.dk/resources/bsgatlas/details.php?id=BSGatlas-transcript-4551","BSGatlas-transcript-4551")</f>
        <v>BSGatlas-transcript-4551</v>
      </c>
      <c r="B4552" s="1" t="s">
        <v>4157</v>
      </c>
      <c r="C4552" s="3">
        <v>4005731</v>
      </c>
      <c r="D4552" s="3">
        <v>4006945</v>
      </c>
      <c r="E4552" s="1" t="s">
        <v>9</v>
      </c>
      <c r="F4552" s="1">
        <v>0</v>
      </c>
      <c r="G4552" s="1" t="s">
        <v>4372</v>
      </c>
      <c r="H4552" s="1" t="s">
        <v>4372</v>
      </c>
      <c r="I4552" s="1" t="s">
        <v>4373</v>
      </c>
      <c r="J4552" s="1" t="s">
        <v>11050</v>
      </c>
      <c r="K4552" s="1" t="s">
        <v>11047</v>
      </c>
    </row>
    <row r="4553" spans="1:11" ht="21" x14ac:dyDescent="0.25">
      <c r="A4553" s="11" t="str">
        <f>HYPERLINK("https://rth.dk/resources/bsgatlas/details.php?id=BSGatlas-transcript-4552","BSGatlas-transcript-4552")</f>
        <v>BSGatlas-transcript-4552</v>
      </c>
      <c r="B4553" s="1" t="s">
        <v>4157</v>
      </c>
      <c r="C4553" s="3">
        <v>4005731</v>
      </c>
      <c r="D4553" s="3">
        <v>4006995</v>
      </c>
      <c r="E4553" s="1" t="s">
        <v>9</v>
      </c>
      <c r="F4553" s="1">
        <v>0</v>
      </c>
      <c r="G4553" s="1" t="s">
        <v>4372</v>
      </c>
      <c r="H4553" s="1" t="s">
        <v>4372</v>
      </c>
      <c r="I4553" s="1" t="s">
        <v>4373</v>
      </c>
      <c r="J4553" s="1" t="s">
        <v>11050</v>
      </c>
      <c r="K4553" s="1" t="s">
        <v>11048</v>
      </c>
    </row>
    <row r="4554" spans="1:11" ht="21" x14ac:dyDescent="0.25">
      <c r="A4554" s="11" t="str">
        <f>HYPERLINK("https://rth.dk/resources/bsgatlas/details.php?id=BSGatlas-transcript-4553","BSGatlas-transcript-4553")</f>
        <v>BSGatlas-transcript-4553</v>
      </c>
      <c r="B4554" s="1" t="s">
        <v>4157</v>
      </c>
      <c r="C4554" s="3">
        <v>4005731</v>
      </c>
      <c r="D4554" s="3">
        <v>4007777</v>
      </c>
      <c r="E4554" s="1" t="s">
        <v>9</v>
      </c>
      <c r="F4554" s="1">
        <v>0</v>
      </c>
      <c r="G4554" s="1" t="s">
        <v>4372</v>
      </c>
      <c r="H4554" s="1" t="s">
        <v>4372</v>
      </c>
      <c r="I4554" s="1" t="s">
        <v>4373</v>
      </c>
      <c r="J4554" s="1" t="s">
        <v>11050</v>
      </c>
      <c r="K4554" s="1" t="s">
        <v>11049</v>
      </c>
    </row>
    <row r="4555" spans="1:11" ht="21" x14ac:dyDescent="0.25">
      <c r="A4555" s="11" t="str">
        <f>HYPERLINK("https://rth.dk/resources/bsgatlas/details.php?id=BSGatlas-transcript-4554","BSGatlas-transcript-4554")</f>
        <v>BSGatlas-transcript-4554</v>
      </c>
      <c r="B4555" s="1" t="s">
        <v>4158</v>
      </c>
      <c r="C4555" s="3">
        <v>4006936</v>
      </c>
      <c r="D4555" s="3">
        <v>4007415</v>
      </c>
      <c r="E4555" s="1" t="s">
        <v>13</v>
      </c>
      <c r="F4555" s="1">
        <v>0</v>
      </c>
      <c r="G4555" s="1" t="s">
        <v>4372</v>
      </c>
      <c r="H4555" s="1" t="s">
        <v>4372</v>
      </c>
      <c r="I4555" s="1" t="s">
        <v>4377</v>
      </c>
      <c r="J4555" s="1" t="s">
        <v>318</v>
      </c>
      <c r="K4555" s="1" t="s">
        <v>11051</v>
      </c>
    </row>
    <row r="4556" spans="1:11" ht="21" x14ac:dyDescent="0.25">
      <c r="A4556" s="11" t="str">
        <f>HYPERLINK("https://rth.dk/resources/bsgatlas/details.php?id=BSGatlas-transcript-4555","BSGatlas-transcript-4555")</f>
        <v>BSGatlas-transcript-4555</v>
      </c>
      <c r="B4556" s="1" t="s">
        <v>4159</v>
      </c>
      <c r="C4556" s="3">
        <v>4007416</v>
      </c>
      <c r="D4556" s="3">
        <v>4007722</v>
      </c>
      <c r="E4556" s="1" t="s">
        <v>13</v>
      </c>
      <c r="F4556" s="1">
        <v>0</v>
      </c>
      <c r="G4556" s="1" t="s">
        <v>4372</v>
      </c>
      <c r="H4556" s="1" t="s">
        <v>4372</v>
      </c>
      <c r="I4556" s="1" t="s">
        <v>7186</v>
      </c>
      <c r="J4556" s="1" t="s">
        <v>11052</v>
      </c>
      <c r="K4556" s="1" t="s">
        <v>318</v>
      </c>
    </row>
    <row r="4557" spans="1:11" ht="21" x14ac:dyDescent="0.25">
      <c r="A4557" s="11" t="str">
        <f>HYPERLINK("https://rth.dk/resources/bsgatlas/details.php?id=BSGatlas-transcript-4556","BSGatlas-transcript-4556")</f>
        <v>BSGatlas-transcript-4556</v>
      </c>
      <c r="B4557" s="1" t="s">
        <v>4160</v>
      </c>
      <c r="C4557" s="3">
        <v>4007766</v>
      </c>
      <c r="D4557" s="3">
        <v>4008135</v>
      </c>
      <c r="E4557" s="1" t="s">
        <v>13</v>
      </c>
      <c r="F4557" s="1">
        <v>0</v>
      </c>
      <c r="G4557" s="1" t="s">
        <v>4372</v>
      </c>
      <c r="H4557" s="1" t="s">
        <v>4372</v>
      </c>
      <c r="I4557" s="1" t="s">
        <v>4377</v>
      </c>
      <c r="J4557" s="1" t="s">
        <v>11053</v>
      </c>
      <c r="K4557" s="1" t="s">
        <v>11054</v>
      </c>
    </row>
    <row r="4558" spans="1:11" ht="21" x14ac:dyDescent="0.25">
      <c r="A4558" s="11" t="str">
        <f>HYPERLINK("https://rth.dk/resources/bsgatlas/details.php?id=BSGatlas-transcript-4557","BSGatlas-transcript-4557")</f>
        <v>BSGatlas-transcript-4557</v>
      </c>
      <c r="B4558" s="1" t="s">
        <v>11055</v>
      </c>
      <c r="C4558" s="3">
        <v>4007766</v>
      </c>
      <c r="D4558" s="3">
        <v>4010235</v>
      </c>
      <c r="E4558" s="1" t="s">
        <v>13</v>
      </c>
      <c r="F4558" s="1">
        <v>1</v>
      </c>
      <c r="G4558" s="1">
        <v>33</v>
      </c>
      <c r="H4558" s="1">
        <v>38</v>
      </c>
      <c r="I4558" s="1" t="s">
        <v>4373</v>
      </c>
      <c r="J4558" s="1" t="s">
        <v>11056</v>
      </c>
      <c r="K4558" s="1" t="s">
        <v>11054</v>
      </c>
    </row>
    <row r="4559" spans="1:11" ht="21" x14ac:dyDescent="0.25">
      <c r="A4559" s="11" t="str">
        <f>HYPERLINK("https://rth.dk/resources/bsgatlas/details.php?id=BSGatlas-transcript-4558","BSGatlas-transcript-4558")</f>
        <v>BSGatlas-transcript-4558</v>
      </c>
      <c r="B4559" s="1" t="s">
        <v>4162</v>
      </c>
      <c r="C4559" s="3">
        <v>4010315</v>
      </c>
      <c r="D4559" s="3">
        <v>4011803</v>
      </c>
      <c r="E4559" s="1" t="s">
        <v>9</v>
      </c>
      <c r="F4559" s="1">
        <v>0</v>
      </c>
      <c r="G4559" s="1" t="s">
        <v>4372</v>
      </c>
      <c r="H4559" s="1" t="s">
        <v>4372</v>
      </c>
      <c r="I4559" s="1" t="s">
        <v>4373</v>
      </c>
      <c r="J4559" s="1" t="s">
        <v>11057</v>
      </c>
      <c r="K4559" s="1" t="s">
        <v>11058</v>
      </c>
    </row>
    <row r="4560" spans="1:11" ht="21" x14ac:dyDescent="0.25">
      <c r="A4560" s="11" t="str">
        <f>HYPERLINK("https://rth.dk/resources/bsgatlas/details.php?id=BSGatlas-transcript-4559","BSGatlas-transcript-4559")</f>
        <v>BSGatlas-transcript-4559</v>
      </c>
      <c r="B4560" s="1" t="s">
        <v>4163</v>
      </c>
      <c r="C4560" s="3">
        <v>4011788</v>
      </c>
      <c r="D4560" s="3">
        <v>4012612</v>
      </c>
      <c r="E4560" s="1" t="s">
        <v>13</v>
      </c>
      <c r="F4560" s="1">
        <v>0</v>
      </c>
      <c r="G4560" s="1" t="s">
        <v>4372</v>
      </c>
      <c r="H4560" s="1" t="s">
        <v>4372</v>
      </c>
      <c r="I4560" s="1" t="s">
        <v>4386</v>
      </c>
      <c r="J4560" s="1" t="s">
        <v>11059</v>
      </c>
      <c r="K4560" s="1" t="s">
        <v>11060</v>
      </c>
    </row>
    <row r="4561" spans="1:11" ht="21" x14ac:dyDescent="0.25">
      <c r="A4561" s="11" t="str">
        <f>HYPERLINK("https://rth.dk/resources/bsgatlas/details.php?id=BSGatlas-transcript-4560","BSGatlas-transcript-4560")</f>
        <v>BSGatlas-transcript-4560</v>
      </c>
      <c r="B4561" s="1" t="s">
        <v>11061</v>
      </c>
      <c r="C4561" s="3">
        <v>4011788</v>
      </c>
      <c r="D4561" s="3">
        <v>4013734</v>
      </c>
      <c r="E4561" s="1" t="s">
        <v>13</v>
      </c>
      <c r="F4561" s="1">
        <v>1</v>
      </c>
      <c r="G4561" s="1">
        <v>36</v>
      </c>
      <c r="H4561" s="1">
        <v>55</v>
      </c>
      <c r="I4561" s="1" t="s">
        <v>4373</v>
      </c>
      <c r="J4561" s="1" t="s">
        <v>11062</v>
      </c>
      <c r="K4561" s="1" t="s">
        <v>11060</v>
      </c>
    </row>
    <row r="4562" spans="1:11" ht="21" x14ac:dyDescent="0.25">
      <c r="A4562" s="11" t="str">
        <f>HYPERLINK("https://rth.dk/resources/bsgatlas/details.php?id=BSGatlas-transcript-4561","BSGatlas-transcript-4561")</f>
        <v>BSGatlas-transcript-4561</v>
      </c>
      <c r="B4562" s="1" t="s">
        <v>11063</v>
      </c>
      <c r="C4562" s="3">
        <v>4011788</v>
      </c>
      <c r="D4562" s="3">
        <v>4014531</v>
      </c>
      <c r="E4562" s="1" t="s">
        <v>13</v>
      </c>
      <c r="F4562" s="1">
        <v>2</v>
      </c>
      <c r="G4562" s="1">
        <v>57</v>
      </c>
      <c r="H4562" s="1">
        <v>55</v>
      </c>
      <c r="I4562" s="1" t="s">
        <v>4386</v>
      </c>
      <c r="J4562" s="1" t="s">
        <v>11064</v>
      </c>
      <c r="K4562" s="1" t="s">
        <v>11060</v>
      </c>
    </row>
    <row r="4563" spans="1:11" ht="21" x14ac:dyDescent="0.25">
      <c r="A4563" s="11" t="str">
        <f>HYPERLINK("https://rth.dk/resources/bsgatlas/details.php?id=BSGatlas-transcript-4562","BSGatlas-transcript-4562")</f>
        <v>BSGatlas-transcript-4562</v>
      </c>
      <c r="B4563" s="1" t="s">
        <v>11063</v>
      </c>
      <c r="C4563" s="3">
        <v>4011788</v>
      </c>
      <c r="D4563" s="3">
        <v>4015421</v>
      </c>
      <c r="E4563" s="1" t="s">
        <v>13</v>
      </c>
      <c r="F4563" s="1">
        <v>2</v>
      </c>
      <c r="G4563" s="1">
        <v>947</v>
      </c>
      <c r="H4563" s="1">
        <v>55</v>
      </c>
      <c r="I4563" s="1" t="s">
        <v>4386</v>
      </c>
      <c r="J4563" s="1" t="s">
        <v>11065</v>
      </c>
      <c r="K4563" s="1" t="s">
        <v>11060</v>
      </c>
    </row>
    <row r="4564" spans="1:11" ht="21" x14ac:dyDescent="0.25">
      <c r="A4564" s="11" t="str">
        <f>HYPERLINK("https://rth.dk/resources/bsgatlas/details.php?id=BSGatlas-transcript-4563","BSGatlas-transcript-4563")</f>
        <v>BSGatlas-transcript-4563</v>
      </c>
      <c r="B4564" s="1" t="s">
        <v>4163</v>
      </c>
      <c r="C4564" s="3">
        <v>4011842</v>
      </c>
      <c r="D4564" s="3">
        <v>4012612</v>
      </c>
      <c r="E4564" s="1" t="s">
        <v>13</v>
      </c>
      <c r="F4564" s="1">
        <v>0</v>
      </c>
      <c r="G4564" s="1" t="s">
        <v>4372</v>
      </c>
      <c r="H4564" s="1" t="s">
        <v>4372</v>
      </c>
      <c r="I4564" s="1" t="s">
        <v>4386</v>
      </c>
      <c r="J4564" s="1" t="s">
        <v>11059</v>
      </c>
      <c r="K4564" s="1" t="s">
        <v>11066</v>
      </c>
    </row>
    <row r="4565" spans="1:11" ht="21" x14ac:dyDescent="0.25">
      <c r="A4565" s="11" t="str">
        <f>HYPERLINK("https://rth.dk/resources/bsgatlas/details.php?id=BSGatlas-transcript-4564","BSGatlas-transcript-4564")</f>
        <v>BSGatlas-transcript-4564</v>
      </c>
      <c r="B4565" s="1" t="s">
        <v>11061</v>
      </c>
      <c r="C4565" s="3">
        <v>4011842</v>
      </c>
      <c r="D4565" s="3">
        <v>4013734</v>
      </c>
      <c r="E4565" s="1" t="s">
        <v>13</v>
      </c>
      <c r="F4565" s="1">
        <v>1</v>
      </c>
      <c r="G4565" s="1">
        <v>36</v>
      </c>
      <c r="H4565" s="1" t="s">
        <v>4372</v>
      </c>
      <c r="I4565" s="1" t="s">
        <v>4373</v>
      </c>
      <c r="J4565" s="1" t="s">
        <v>11062</v>
      </c>
      <c r="K4565" s="1" t="s">
        <v>11066</v>
      </c>
    </row>
    <row r="4566" spans="1:11" ht="21" x14ac:dyDescent="0.25">
      <c r="A4566" s="11" t="str">
        <f>HYPERLINK("https://rth.dk/resources/bsgatlas/details.php?id=BSGatlas-transcript-4565","BSGatlas-transcript-4565")</f>
        <v>BSGatlas-transcript-4565</v>
      </c>
      <c r="B4566" s="1" t="s">
        <v>11063</v>
      </c>
      <c r="C4566" s="3">
        <v>4011842</v>
      </c>
      <c r="D4566" s="3">
        <v>4014531</v>
      </c>
      <c r="E4566" s="1" t="s">
        <v>13</v>
      </c>
      <c r="F4566" s="1">
        <v>2</v>
      </c>
      <c r="G4566" s="1">
        <v>57</v>
      </c>
      <c r="H4566" s="1" t="s">
        <v>4372</v>
      </c>
      <c r="I4566" s="1" t="s">
        <v>4386</v>
      </c>
      <c r="J4566" s="1" t="s">
        <v>11064</v>
      </c>
      <c r="K4566" s="1" t="s">
        <v>11066</v>
      </c>
    </row>
    <row r="4567" spans="1:11" ht="21" x14ac:dyDescent="0.25">
      <c r="A4567" s="11" t="str">
        <f>HYPERLINK("https://rth.dk/resources/bsgatlas/details.php?id=BSGatlas-transcript-4566","BSGatlas-transcript-4566")</f>
        <v>BSGatlas-transcript-4566</v>
      </c>
      <c r="B4567" s="1" t="s">
        <v>11063</v>
      </c>
      <c r="C4567" s="3">
        <v>4011842</v>
      </c>
      <c r="D4567" s="3">
        <v>4015421</v>
      </c>
      <c r="E4567" s="1" t="s">
        <v>13</v>
      </c>
      <c r="F4567" s="1">
        <v>2</v>
      </c>
      <c r="G4567" s="1">
        <v>947</v>
      </c>
      <c r="H4567" s="1" t="s">
        <v>4372</v>
      </c>
      <c r="I4567" s="1" t="s">
        <v>4386</v>
      </c>
      <c r="J4567" s="1" t="s">
        <v>11065</v>
      </c>
      <c r="K4567" s="1" t="s">
        <v>11066</v>
      </c>
    </row>
    <row r="4568" spans="1:11" ht="21" x14ac:dyDescent="0.25">
      <c r="A4568" s="11" t="str">
        <f>HYPERLINK("https://rth.dk/resources/bsgatlas/details.php?id=BSGatlas-transcript-4567","BSGatlas-transcript-4567")</f>
        <v>BSGatlas-transcript-4567</v>
      </c>
      <c r="B4568" s="1" t="s">
        <v>4164</v>
      </c>
      <c r="C4568" s="3">
        <v>4012712</v>
      </c>
      <c r="D4568" s="3">
        <v>4013734</v>
      </c>
      <c r="E4568" s="1" t="s">
        <v>13</v>
      </c>
      <c r="F4568" s="1">
        <v>0</v>
      </c>
      <c r="G4568" s="1" t="s">
        <v>4372</v>
      </c>
      <c r="H4568" s="1" t="s">
        <v>4372</v>
      </c>
      <c r="I4568" s="1" t="s">
        <v>4377</v>
      </c>
      <c r="J4568" s="1" t="s">
        <v>11062</v>
      </c>
      <c r="K4568" s="1" t="s">
        <v>11067</v>
      </c>
    </row>
    <row r="4569" spans="1:11" ht="21" x14ac:dyDescent="0.25">
      <c r="A4569" s="11" t="str">
        <f>HYPERLINK("https://rth.dk/resources/bsgatlas/details.php?id=BSGatlas-transcript-4568","BSGatlas-transcript-4568")</f>
        <v>BSGatlas-transcript-4568</v>
      </c>
      <c r="B4569" s="1" t="s">
        <v>11068</v>
      </c>
      <c r="C4569" s="3">
        <v>4012712</v>
      </c>
      <c r="D4569" s="3">
        <v>4014531</v>
      </c>
      <c r="E4569" s="1" t="s">
        <v>13</v>
      </c>
      <c r="F4569" s="1">
        <v>1</v>
      </c>
      <c r="G4569" s="1">
        <v>57</v>
      </c>
      <c r="H4569" s="1">
        <v>155</v>
      </c>
      <c r="I4569" s="1" t="s">
        <v>4377</v>
      </c>
      <c r="J4569" s="1" t="s">
        <v>11064</v>
      </c>
      <c r="K4569" s="1" t="s">
        <v>11067</v>
      </c>
    </row>
    <row r="4570" spans="1:11" ht="21" x14ac:dyDescent="0.25">
      <c r="A4570" s="11" t="str">
        <f>HYPERLINK("https://rth.dk/resources/bsgatlas/details.php?id=BSGatlas-transcript-4569","BSGatlas-transcript-4569")</f>
        <v>BSGatlas-transcript-4569</v>
      </c>
      <c r="B4570" s="1" t="s">
        <v>11068</v>
      </c>
      <c r="C4570" s="3">
        <v>4012712</v>
      </c>
      <c r="D4570" s="3">
        <v>4015421</v>
      </c>
      <c r="E4570" s="1" t="s">
        <v>13</v>
      </c>
      <c r="F4570" s="1">
        <v>1</v>
      </c>
      <c r="G4570" s="1">
        <v>947</v>
      </c>
      <c r="H4570" s="1">
        <v>155</v>
      </c>
      <c r="I4570" s="1" t="s">
        <v>4377</v>
      </c>
      <c r="J4570" s="1" t="s">
        <v>11065</v>
      </c>
      <c r="K4570" s="1" t="s">
        <v>11067</v>
      </c>
    </row>
    <row r="4571" spans="1:11" ht="21" x14ac:dyDescent="0.25">
      <c r="A4571" s="11" t="str">
        <f>HYPERLINK("https://rth.dk/resources/bsgatlas/details.php?id=BSGatlas-transcript-4570","BSGatlas-transcript-4570")</f>
        <v>BSGatlas-transcript-4570</v>
      </c>
      <c r="B4571" s="1" t="s">
        <v>4166</v>
      </c>
      <c r="C4571" s="3">
        <v>4014641</v>
      </c>
      <c r="D4571" s="3">
        <v>4015968</v>
      </c>
      <c r="E4571" s="1" t="s">
        <v>9</v>
      </c>
      <c r="F4571" s="1">
        <v>0</v>
      </c>
      <c r="G4571" s="1" t="s">
        <v>4372</v>
      </c>
      <c r="H4571" s="1" t="s">
        <v>4372</v>
      </c>
      <c r="I4571" s="1" t="s">
        <v>4373</v>
      </c>
      <c r="J4571" s="1" t="s">
        <v>11069</v>
      </c>
      <c r="K4571" s="1" t="s">
        <v>11070</v>
      </c>
    </row>
    <row r="4572" spans="1:11" ht="21" x14ac:dyDescent="0.25">
      <c r="A4572" s="11" t="str">
        <f>HYPERLINK("https://rth.dk/resources/bsgatlas/details.php?id=BSGatlas-transcript-4571","BSGatlas-transcript-4571")</f>
        <v>BSGatlas-transcript-4571</v>
      </c>
      <c r="B4572" s="1" t="s">
        <v>4166</v>
      </c>
      <c r="C4572" s="3">
        <v>4014641</v>
      </c>
      <c r="D4572" s="3">
        <v>4016195</v>
      </c>
      <c r="E4572" s="1" t="s">
        <v>9</v>
      </c>
      <c r="F4572" s="1">
        <v>0</v>
      </c>
      <c r="G4572" s="1" t="s">
        <v>4372</v>
      </c>
      <c r="H4572" s="1" t="s">
        <v>4372</v>
      </c>
      <c r="I4572" s="1" t="s">
        <v>4373</v>
      </c>
      <c r="J4572" s="1" t="s">
        <v>11069</v>
      </c>
      <c r="K4572" s="1" t="s">
        <v>11071</v>
      </c>
    </row>
    <row r="4573" spans="1:11" ht="21" x14ac:dyDescent="0.25">
      <c r="A4573" s="11" t="str">
        <f>HYPERLINK("https://rth.dk/resources/bsgatlas/details.php?id=BSGatlas-transcript-4572","BSGatlas-transcript-4572")</f>
        <v>BSGatlas-transcript-4572</v>
      </c>
      <c r="B4573" s="1" t="s">
        <v>4167</v>
      </c>
      <c r="C4573" s="3">
        <v>4015938</v>
      </c>
      <c r="D4573" s="3">
        <v>4017467</v>
      </c>
      <c r="E4573" s="1" t="s">
        <v>13</v>
      </c>
      <c r="F4573" s="1">
        <v>0</v>
      </c>
      <c r="G4573" s="1" t="s">
        <v>4372</v>
      </c>
      <c r="H4573" s="1" t="s">
        <v>4372</v>
      </c>
      <c r="I4573" s="1" t="s">
        <v>4377</v>
      </c>
      <c r="J4573" s="1" t="s">
        <v>11072</v>
      </c>
      <c r="K4573" s="1" t="s">
        <v>11073</v>
      </c>
    </row>
    <row r="4574" spans="1:11" ht="21" x14ac:dyDescent="0.25">
      <c r="A4574" s="11" t="str">
        <f>HYPERLINK("https://rth.dk/resources/bsgatlas/details.php?id=BSGatlas-transcript-4573","BSGatlas-transcript-4573")</f>
        <v>BSGatlas-transcript-4573</v>
      </c>
      <c r="B4574" s="1" t="s">
        <v>11074</v>
      </c>
      <c r="C4574" s="3">
        <v>4015938</v>
      </c>
      <c r="D4574" s="3">
        <v>4018699</v>
      </c>
      <c r="E4574" s="1" t="s">
        <v>13</v>
      </c>
      <c r="F4574" s="1">
        <v>1</v>
      </c>
      <c r="G4574" s="1">
        <v>44</v>
      </c>
      <c r="H4574" s="1">
        <v>50</v>
      </c>
      <c r="I4574" s="1" t="s">
        <v>4373</v>
      </c>
      <c r="J4574" s="1" t="s">
        <v>11075</v>
      </c>
      <c r="K4574" s="1" t="s">
        <v>11073</v>
      </c>
    </row>
    <row r="4575" spans="1:11" ht="21" x14ac:dyDescent="0.25">
      <c r="A4575" s="11" t="str">
        <f>HYPERLINK("https://rth.dk/resources/bsgatlas/details.php?id=BSGatlas-transcript-4574","BSGatlas-transcript-4574")</f>
        <v>BSGatlas-transcript-4574</v>
      </c>
      <c r="B4575" s="1" t="s">
        <v>4167</v>
      </c>
      <c r="C4575" s="3">
        <v>4015987</v>
      </c>
      <c r="D4575" s="3">
        <v>4017467</v>
      </c>
      <c r="E4575" s="1" t="s">
        <v>13</v>
      </c>
      <c r="F4575" s="1">
        <v>0</v>
      </c>
      <c r="G4575" s="1" t="s">
        <v>4372</v>
      </c>
      <c r="H4575" s="1" t="s">
        <v>4372</v>
      </c>
      <c r="I4575" s="1" t="s">
        <v>4377</v>
      </c>
      <c r="J4575" s="1" t="s">
        <v>11072</v>
      </c>
      <c r="K4575" s="1" t="s">
        <v>11076</v>
      </c>
    </row>
    <row r="4576" spans="1:11" ht="21" x14ac:dyDescent="0.25">
      <c r="A4576" s="11" t="str">
        <f>HYPERLINK("https://rth.dk/resources/bsgatlas/details.php?id=BSGatlas-transcript-4575","BSGatlas-transcript-4575")</f>
        <v>BSGatlas-transcript-4575</v>
      </c>
      <c r="B4576" s="1" t="s">
        <v>11074</v>
      </c>
      <c r="C4576" s="3">
        <v>4015987</v>
      </c>
      <c r="D4576" s="3">
        <v>4018699</v>
      </c>
      <c r="E4576" s="1" t="s">
        <v>13</v>
      </c>
      <c r="F4576" s="1">
        <v>1</v>
      </c>
      <c r="G4576" s="1">
        <v>44</v>
      </c>
      <c r="H4576" s="1" t="s">
        <v>4372</v>
      </c>
      <c r="I4576" s="1" t="s">
        <v>4373</v>
      </c>
      <c r="J4576" s="1" t="s">
        <v>11075</v>
      </c>
      <c r="K4576" s="1" t="s">
        <v>11076</v>
      </c>
    </row>
    <row r="4577" spans="1:11" ht="21" x14ac:dyDescent="0.25">
      <c r="A4577" s="11" t="str">
        <f>HYPERLINK("https://rth.dk/resources/bsgatlas/details.php?id=BSGatlas-transcript-4576","BSGatlas-transcript-4576")</f>
        <v>BSGatlas-transcript-4576</v>
      </c>
      <c r="B4577" s="1" t="s">
        <v>11077</v>
      </c>
      <c r="C4577" s="3">
        <v>4022814</v>
      </c>
      <c r="D4577" s="3">
        <v>4030583</v>
      </c>
      <c r="E4577" s="1" t="s">
        <v>13</v>
      </c>
      <c r="F4577" s="1">
        <v>1</v>
      </c>
      <c r="G4577" s="1">
        <v>36</v>
      </c>
      <c r="H4577" s="1">
        <v>241</v>
      </c>
      <c r="I4577" s="1" t="s">
        <v>4373</v>
      </c>
      <c r="J4577" s="1" t="s">
        <v>11078</v>
      </c>
      <c r="K4577" s="1" t="s">
        <v>11079</v>
      </c>
    </row>
    <row r="4578" spans="1:11" ht="21" x14ac:dyDescent="0.25">
      <c r="A4578" s="11" t="str">
        <f>HYPERLINK("https://rth.dk/resources/bsgatlas/details.php?id=BSGatlas-transcript-4577","BSGatlas-transcript-4577")</f>
        <v>BSGatlas-transcript-4577</v>
      </c>
      <c r="B4578" s="1" t="s">
        <v>4171</v>
      </c>
      <c r="C4578" s="3">
        <v>4030669</v>
      </c>
      <c r="D4578" s="3">
        <v>4031645</v>
      </c>
      <c r="E4578" s="1" t="s">
        <v>13</v>
      </c>
      <c r="F4578" s="1">
        <v>0</v>
      </c>
      <c r="G4578" s="1" t="s">
        <v>4372</v>
      </c>
      <c r="H4578" s="1" t="s">
        <v>4372</v>
      </c>
      <c r="I4578" s="1" t="s">
        <v>4373</v>
      </c>
      <c r="J4578" s="1" t="s">
        <v>318</v>
      </c>
      <c r="K4578" s="1" t="s">
        <v>11080</v>
      </c>
    </row>
    <row r="4579" spans="1:11" ht="21" x14ac:dyDescent="0.25">
      <c r="A4579" s="11" t="str">
        <f>HYPERLINK("https://rth.dk/resources/bsgatlas/details.php?id=BSGatlas-transcript-4578","BSGatlas-transcript-4578")</f>
        <v>BSGatlas-transcript-4578</v>
      </c>
      <c r="B4579" s="1" t="s">
        <v>4171</v>
      </c>
      <c r="C4579" s="3">
        <v>4030710</v>
      </c>
      <c r="D4579" s="3">
        <v>4031645</v>
      </c>
      <c r="E4579" s="1" t="s">
        <v>13</v>
      </c>
      <c r="F4579" s="1">
        <v>0</v>
      </c>
      <c r="G4579" s="1" t="s">
        <v>4372</v>
      </c>
      <c r="H4579" s="1" t="s">
        <v>4372</v>
      </c>
      <c r="I4579" s="1" t="s">
        <v>4373</v>
      </c>
      <c r="J4579" s="1" t="s">
        <v>318</v>
      </c>
      <c r="K4579" s="1" t="s">
        <v>11081</v>
      </c>
    </row>
    <row r="4580" spans="1:11" ht="21" x14ac:dyDescent="0.25">
      <c r="A4580" s="11" t="str">
        <f>HYPERLINK("https://rth.dk/resources/bsgatlas/details.php?id=BSGatlas-transcript-4579","BSGatlas-transcript-4579")</f>
        <v>BSGatlas-transcript-4579</v>
      </c>
      <c r="B4580" s="1" t="s">
        <v>4172</v>
      </c>
      <c r="C4580" s="3">
        <v>4031755</v>
      </c>
      <c r="D4580" s="3">
        <v>4032287</v>
      </c>
      <c r="E4580" s="1" t="s">
        <v>13</v>
      </c>
      <c r="F4580" s="1">
        <v>0</v>
      </c>
      <c r="G4580" s="1" t="s">
        <v>4372</v>
      </c>
      <c r="H4580" s="1" t="s">
        <v>4372</v>
      </c>
      <c r="I4580" s="1" t="s">
        <v>4377</v>
      </c>
      <c r="J4580" s="1" t="s">
        <v>11082</v>
      </c>
      <c r="K4580" s="1" t="s">
        <v>11083</v>
      </c>
    </row>
    <row r="4581" spans="1:11" ht="21" x14ac:dyDescent="0.25">
      <c r="A4581" s="11" t="str">
        <f>HYPERLINK("https://rth.dk/resources/bsgatlas/details.php?id=BSGatlas-transcript-4580","BSGatlas-transcript-4580")</f>
        <v>BSGatlas-transcript-4580</v>
      </c>
      <c r="B4581" s="1" t="s">
        <v>11084</v>
      </c>
      <c r="C4581" s="3">
        <v>4031755</v>
      </c>
      <c r="D4581" s="3">
        <v>4035639</v>
      </c>
      <c r="E4581" s="1" t="s">
        <v>13</v>
      </c>
      <c r="F4581" s="1">
        <v>2</v>
      </c>
      <c r="G4581" s="1">
        <v>33</v>
      </c>
      <c r="H4581" s="1">
        <v>43</v>
      </c>
      <c r="I4581" s="1" t="s">
        <v>4373</v>
      </c>
      <c r="J4581" s="1" t="s">
        <v>11085</v>
      </c>
      <c r="K4581" s="1" t="s">
        <v>11083</v>
      </c>
    </row>
    <row r="4582" spans="1:11" ht="21" x14ac:dyDescent="0.25">
      <c r="A4582" s="11" t="str">
        <f>HYPERLINK("https://rth.dk/resources/bsgatlas/details.php?id=BSGatlas-transcript-4581","BSGatlas-transcript-4581")</f>
        <v>BSGatlas-transcript-4581</v>
      </c>
      <c r="B4582" s="1" t="s">
        <v>11084</v>
      </c>
      <c r="C4582" s="3">
        <v>4031755</v>
      </c>
      <c r="D4582" s="3">
        <v>4035816</v>
      </c>
      <c r="E4582" s="1" t="s">
        <v>13</v>
      </c>
      <c r="F4582" s="1">
        <v>2</v>
      </c>
      <c r="G4582" s="1">
        <v>210</v>
      </c>
      <c r="H4582" s="1">
        <v>43</v>
      </c>
      <c r="I4582" s="1" t="s">
        <v>4373</v>
      </c>
      <c r="J4582" s="1" t="s">
        <v>11086</v>
      </c>
      <c r="K4582" s="1" t="s">
        <v>11083</v>
      </c>
    </row>
    <row r="4583" spans="1:11" ht="21" x14ac:dyDescent="0.25">
      <c r="A4583" s="11" t="str">
        <f>HYPERLINK("https://rth.dk/resources/bsgatlas/details.php?id=BSGatlas-transcript-4582","BSGatlas-transcript-4582")</f>
        <v>BSGatlas-transcript-4582</v>
      </c>
      <c r="B4583" s="1" t="s">
        <v>4172</v>
      </c>
      <c r="C4583" s="3">
        <v>4031797</v>
      </c>
      <c r="D4583" s="3">
        <v>4032287</v>
      </c>
      <c r="E4583" s="1" t="s">
        <v>13</v>
      </c>
      <c r="F4583" s="1">
        <v>0</v>
      </c>
      <c r="G4583" s="1" t="s">
        <v>4372</v>
      </c>
      <c r="H4583" s="1" t="s">
        <v>4372</v>
      </c>
      <c r="I4583" s="1" t="s">
        <v>4377</v>
      </c>
      <c r="J4583" s="1" t="s">
        <v>11082</v>
      </c>
      <c r="K4583" s="1" t="s">
        <v>11087</v>
      </c>
    </row>
    <row r="4584" spans="1:11" ht="21" x14ac:dyDescent="0.25">
      <c r="A4584" s="11" t="str">
        <f>HYPERLINK("https://rth.dk/resources/bsgatlas/details.php?id=BSGatlas-transcript-4583","BSGatlas-transcript-4583")</f>
        <v>BSGatlas-transcript-4583</v>
      </c>
      <c r="B4584" s="1" t="s">
        <v>11084</v>
      </c>
      <c r="C4584" s="3">
        <v>4031797</v>
      </c>
      <c r="D4584" s="3">
        <v>4035639</v>
      </c>
      <c r="E4584" s="1" t="s">
        <v>13</v>
      </c>
      <c r="F4584" s="1">
        <v>2</v>
      </c>
      <c r="G4584" s="1">
        <v>33</v>
      </c>
      <c r="H4584" s="1" t="s">
        <v>4372</v>
      </c>
      <c r="I4584" s="1" t="s">
        <v>4373</v>
      </c>
      <c r="J4584" s="1" t="s">
        <v>11085</v>
      </c>
      <c r="K4584" s="1" t="s">
        <v>11087</v>
      </c>
    </row>
    <row r="4585" spans="1:11" ht="21" x14ac:dyDescent="0.25">
      <c r="A4585" s="11" t="str">
        <f>HYPERLINK("https://rth.dk/resources/bsgatlas/details.php?id=BSGatlas-transcript-4584","BSGatlas-transcript-4584")</f>
        <v>BSGatlas-transcript-4584</v>
      </c>
      <c r="B4585" s="1" t="s">
        <v>11084</v>
      </c>
      <c r="C4585" s="3">
        <v>4031797</v>
      </c>
      <c r="D4585" s="3">
        <v>4035816</v>
      </c>
      <c r="E4585" s="1" t="s">
        <v>13</v>
      </c>
      <c r="F4585" s="1">
        <v>2</v>
      </c>
      <c r="G4585" s="1">
        <v>210</v>
      </c>
      <c r="H4585" s="1" t="s">
        <v>4372</v>
      </c>
      <c r="I4585" s="1" t="s">
        <v>4373</v>
      </c>
      <c r="J4585" s="1" t="s">
        <v>11086</v>
      </c>
      <c r="K4585" s="1" t="s">
        <v>11087</v>
      </c>
    </row>
    <row r="4586" spans="1:11" ht="21" x14ac:dyDescent="0.25">
      <c r="A4586" s="11" t="str">
        <f>HYPERLINK("https://rth.dk/resources/bsgatlas/details.php?id=BSGatlas-transcript-4585","BSGatlas-transcript-4585")</f>
        <v>BSGatlas-transcript-4585</v>
      </c>
      <c r="B4586" s="1" t="s">
        <v>4175</v>
      </c>
      <c r="C4586" s="3">
        <v>4035708</v>
      </c>
      <c r="D4586" s="3">
        <v>4035816</v>
      </c>
      <c r="E4586" s="1" t="s">
        <v>13</v>
      </c>
      <c r="F4586" s="1">
        <v>0</v>
      </c>
      <c r="G4586" s="1" t="s">
        <v>4372</v>
      </c>
      <c r="H4586" s="1" t="s">
        <v>4372</v>
      </c>
      <c r="I4586" s="1" t="s">
        <v>4377</v>
      </c>
      <c r="J4586" s="1" t="s">
        <v>318</v>
      </c>
      <c r="K4586" s="1" t="s">
        <v>11088</v>
      </c>
    </row>
    <row r="4587" spans="1:11" ht="21" x14ac:dyDescent="0.25">
      <c r="A4587" s="11" t="str">
        <f>HYPERLINK("https://rth.dk/resources/bsgatlas/details.php?id=BSGatlas-transcript-4586","BSGatlas-transcript-4586")</f>
        <v>BSGatlas-transcript-4586</v>
      </c>
      <c r="B4587" s="1" t="s">
        <v>11089</v>
      </c>
      <c r="C4587" s="3">
        <v>4035937</v>
      </c>
      <c r="D4587" s="3">
        <v>4038493</v>
      </c>
      <c r="E4587" s="1" t="s">
        <v>13</v>
      </c>
      <c r="F4587" s="1">
        <v>1</v>
      </c>
      <c r="G4587" s="1" t="s">
        <v>4372</v>
      </c>
      <c r="H4587" s="1">
        <v>54</v>
      </c>
      <c r="I4587" s="1" t="s">
        <v>4382</v>
      </c>
      <c r="J4587" s="1" t="s">
        <v>11090</v>
      </c>
      <c r="K4587" s="1" t="s">
        <v>11091</v>
      </c>
    </row>
    <row r="4588" spans="1:11" ht="21" x14ac:dyDescent="0.25">
      <c r="A4588" s="11" t="str">
        <f>HYPERLINK("https://rth.dk/resources/bsgatlas/details.php?id=BSGatlas-transcript-4587","BSGatlas-transcript-4587")</f>
        <v>BSGatlas-transcript-4587</v>
      </c>
      <c r="B4588" s="1" t="s">
        <v>11092</v>
      </c>
      <c r="C4588" s="3">
        <v>4035937</v>
      </c>
      <c r="D4588" s="3">
        <v>4039225</v>
      </c>
      <c r="E4588" s="1" t="s">
        <v>13</v>
      </c>
      <c r="F4588" s="1">
        <v>2</v>
      </c>
      <c r="G4588" s="1">
        <v>67</v>
      </c>
      <c r="H4588" s="1">
        <v>54</v>
      </c>
      <c r="I4588" s="1" t="s">
        <v>4386</v>
      </c>
      <c r="J4588" s="1" t="s">
        <v>11093</v>
      </c>
      <c r="K4588" s="1" t="s">
        <v>11091</v>
      </c>
    </row>
    <row r="4589" spans="1:11" ht="21" x14ac:dyDescent="0.25">
      <c r="A4589" s="11" t="str">
        <f>HYPERLINK("https://rth.dk/resources/bsgatlas/details.php?id=BSGatlas-transcript-4588","BSGatlas-transcript-4588")</f>
        <v>BSGatlas-transcript-4588</v>
      </c>
      <c r="B4589" s="1" t="s">
        <v>11089</v>
      </c>
      <c r="C4589" s="3">
        <v>4035990</v>
      </c>
      <c r="D4589" s="3">
        <v>4038493</v>
      </c>
      <c r="E4589" s="1" t="s">
        <v>13</v>
      </c>
      <c r="F4589" s="1">
        <v>1</v>
      </c>
      <c r="G4589" s="1" t="s">
        <v>4372</v>
      </c>
      <c r="H4589" s="1" t="s">
        <v>4372</v>
      </c>
      <c r="I4589" s="1" t="s">
        <v>4382</v>
      </c>
      <c r="J4589" s="1" t="s">
        <v>11090</v>
      </c>
      <c r="K4589" s="1" t="s">
        <v>11094</v>
      </c>
    </row>
    <row r="4590" spans="1:11" ht="21" x14ac:dyDescent="0.25">
      <c r="A4590" s="11" t="str">
        <f>HYPERLINK("https://rth.dk/resources/bsgatlas/details.php?id=BSGatlas-transcript-4589","BSGatlas-transcript-4589")</f>
        <v>BSGatlas-transcript-4589</v>
      </c>
      <c r="B4590" s="1" t="s">
        <v>11092</v>
      </c>
      <c r="C4590" s="3">
        <v>4035990</v>
      </c>
      <c r="D4590" s="3">
        <v>4039225</v>
      </c>
      <c r="E4590" s="1" t="s">
        <v>13</v>
      </c>
      <c r="F4590" s="1">
        <v>2</v>
      </c>
      <c r="G4590" s="1">
        <v>67</v>
      </c>
      <c r="H4590" s="1" t="s">
        <v>4372</v>
      </c>
      <c r="I4590" s="1" t="s">
        <v>4386</v>
      </c>
      <c r="J4590" s="1" t="s">
        <v>11093</v>
      </c>
      <c r="K4590" s="1" t="s">
        <v>11094</v>
      </c>
    </row>
    <row r="4591" spans="1:11" ht="21" x14ac:dyDescent="0.25">
      <c r="A4591" s="11" t="str">
        <f>HYPERLINK("https://rth.dk/resources/bsgatlas/details.php?id=BSGatlas-transcript-4590","BSGatlas-transcript-4590")</f>
        <v>BSGatlas-transcript-4590</v>
      </c>
      <c r="B4591" s="1" t="s">
        <v>4180</v>
      </c>
      <c r="C4591" s="3">
        <v>4038794</v>
      </c>
      <c r="D4591" s="3">
        <v>4039225</v>
      </c>
      <c r="E4591" s="1" t="s">
        <v>13</v>
      </c>
      <c r="F4591" s="1">
        <v>0</v>
      </c>
      <c r="G4591" s="1" t="s">
        <v>4372</v>
      </c>
      <c r="H4591" s="1" t="s">
        <v>4372</v>
      </c>
      <c r="I4591" s="1" t="s">
        <v>4373</v>
      </c>
      <c r="J4591" s="1" t="s">
        <v>11093</v>
      </c>
      <c r="K4591" s="1" t="s">
        <v>318</v>
      </c>
    </row>
    <row r="4592" spans="1:11" ht="21" x14ac:dyDescent="0.25">
      <c r="A4592" s="11" t="str">
        <f>HYPERLINK("https://rth.dk/resources/bsgatlas/details.php?id=BSGatlas-transcript-4591","BSGatlas-transcript-4591")</f>
        <v>BSGatlas-transcript-4591</v>
      </c>
      <c r="B4592" s="1" t="s">
        <v>4181</v>
      </c>
      <c r="C4592" s="3">
        <v>4039423</v>
      </c>
      <c r="D4592" s="3">
        <v>4040985</v>
      </c>
      <c r="E4592" s="1" t="s">
        <v>13</v>
      </c>
      <c r="F4592" s="1">
        <v>0</v>
      </c>
      <c r="G4592" s="1" t="s">
        <v>4372</v>
      </c>
      <c r="H4592" s="1" t="s">
        <v>4372</v>
      </c>
      <c r="I4592" s="1" t="s">
        <v>4373</v>
      </c>
      <c r="J4592" s="1" t="s">
        <v>11095</v>
      </c>
      <c r="K4592" s="1" t="s">
        <v>11096</v>
      </c>
    </row>
    <row r="4593" spans="1:11" ht="21" x14ac:dyDescent="0.25">
      <c r="A4593" s="11" t="str">
        <f>HYPERLINK("https://rth.dk/resources/bsgatlas/details.php?id=BSGatlas-transcript-4592","BSGatlas-transcript-4592")</f>
        <v>BSGatlas-transcript-4592</v>
      </c>
      <c r="B4593" s="1" t="s">
        <v>4181</v>
      </c>
      <c r="C4593" s="3">
        <v>4039466</v>
      </c>
      <c r="D4593" s="3">
        <v>4040985</v>
      </c>
      <c r="E4593" s="1" t="s">
        <v>13</v>
      </c>
      <c r="F4593" s="1">
        <v>0</v>
      </c>
      <c r="G4593" s="1" t="s">
        <v>4372</v>
      </c>
      <c r="H4593" s="1" t="s">
        <v>4372</v>
      </c>
      <c r="I4593" s="1" t="s">
        <v>4373</v>
      </c>
      <c r="J4593" s="1" t="s">
        <v>11095</v>
      </c>
      <c r="K4593" s="1" t="s">
        <v>11097</v>
      </c>
    </row>
    <row r="4594" spans="1:11" ht="21" x14ac:dyDescent="0.25">
      <c r="A4594" s="11" t="str">
        <f>HYPERLINK("https://rth.dk/resources/bsgatlas/details.php?id=BSGatlas-transcript-4593","BSGatlas-transcript-4593")</f>
        <v>BSGatlas-transcript-4593</v>
      </c>
      <c r="B4594" s="1" t="s">
        <v>4182</v>
      </c>
      <c r="C4594" s="3">
        <v>4041009</v>
      </c>
      <c r="D4594" s="3">
        <v>4041173</v>
      </c>
      <c r="E4594" s="1" t="s">
        <v>13</v>
      </c>
      <c r="F4594" s="1">
        <v>0</v>
      </c>
      <c r="G4594" s="1" t="s">
        <v>4372</v>
      </c>
      <c r="H4594" s="1" t="s">
        <v>4372</v>
      </c>
      <c r="I4594" s="1" t="s">
        <v>4377</v>
      </c>
      <c r="J4594" s="1" t="s">
        <v>11098</v>
      </c>
      <c r="K4594" s="1" t="s">
        <v>318</v>
      </c>
    </row>
    <row r="4595" spans="1:11" ht="21" x14ac:dyDescent="0.25">
      <c r="A4595" s="11" t="str">
        <f>HYPERLINK("https://rth.dk/resources/bsgatlas/details.php?id=BSGatlas-transcript-4594","BSGatlas-transcript-4594")</f>
        <v>BSGatlas-transcript-4594</v>
      </c>
      <c r="B4595" s="1" t="s">
        <v>4182</v>
      </c>
      <c r="C4595" s="3">
        <v>4041009</v>
      </c>
      <c r="D4595" s="3">
        <v>4041381</v>
      </c>
      <c r="E4595" s="1" t="s">
        <v>13</v>
      </c>
      <c r="F4595" s="1">
        <v>0</v>
      </c>
      <c r="G4595" s="1" t="s">
        <v>4372</v>
      </c>
      <c r="H4595" s="1" t="s">
        <v>4372</v>
      </c>
      <c r="I4595" s="1" t="s">
        <v>4377</v>
      </c>
      <c r="J4595" s="1" t="s">
        <v>11099</v>
      </c>
      <c r="K4595" s="1" t="s">
        <v>318</v>
      </c>
    </row>
    <row r="4596" spans="1:11" ht="21" x14ac:dyDescent="0.25">
      <c r="A4596" s="11" t="str">
        <f>HYPERLINK("https://rth.dk/resources/bsgatlas/details.php?id=BSGatlas-transcript-4595","BSGatlas-transcript-4595")</f>
        <v>BSGatlas-transcript-4595</v>
      </c>
      <c r="B4596" s="1" t="s">
        <v>4183</v>
      </c>
      <c r="C4596" s="3">
        <v>4041451</v>
      </c>
      <c r="D4596" s="3">
        <v>4042018</v>
      </c>
      <c r="E4596" s="1" t="s">
        <v>9</v>
      </c>
      <c r="F4596" s="1">
        <v>0</v>
      </c>
      <c r="G4596" s="1" t="s">
        <v>4372</v>
      </c>
      <c r="H4596" s="1" t="s">
        <v>4372</v>
      </c>
      <c r="I4596" s="1" t="s">
        <v>4377</v>
      </c>
      <c r="J4596" s="1" t="s">
        <v>11100</v>
      </c>
      <c r="K4596" s="1" t="s">
        <v>11101</v>
      </c>
    </row>
    <row r="4597" spans="1:11" ht="21" x14ac:dyDescent="0.25">
      <c r="A4597" s="11" t="str">
        <f>HYPERLINK("https://rth.dk/resources/bsgatlas/details.php?id=BSGatlas-transcript-4596","BSGatlas-transcript-4596")</f>
        <v>BSGatlas-transcript-4596</v>
      </c>
      <c r="B4597" s="1" t="s">
        <v>11102</v>
      </c>
      <c r="C4597" s="3">
        <v>4041451</v>
      </c>
      <c r="D4597" s="3">
        <v>4049015</v>
      </c>
      <c r="E4597" s="1" t="s">
        <v>9</v>
      </c>
      <c r="F4597" s="1">
        <v>2</v>
      </c>
      <c r="G4597" s="1">
        <v>42</v>
      </c>
      <c r="H4597" s="1">
        <v>51</v>
      </c>
      <c r="I4597" s="1" t="s">
        <v>4373</v>
      </c>
      <c r="J4597" s="1" t="s">
        <v>11100</v>
      </c>
      <c r="K4597" s="1" t="s">
        <v>11103</v>
      </c>
    </row>
    <row r="4598" spans="1:11" ht="21" x14ac:dyDescent="0.25">
      <c r="A4598" s="11" t="str">
        <f>HYPERLINK("https://rth.dk/resources/bsgatlas/details.php?id=BSGatlas-transcript-4597","BSGatlas-transcript-4597")</f>
        <v>BSGatlas-transcript-4597</v>
      </c>
      <c r="B4598" s="1" t="s">
        <v>11104</v>
      </c>
      <c r="C4598" s="3">
        <v>4048959</v>
      </c>
      <c r="D4598" s="3">
        <v>4052304</v>
      </c>
      <c r="E4598" s="1" t="s">
        <v>13</v>
      </c>
      <c r="F4598" s="1">
        <v>2</v>
      </c>
      <c r="G4598" s="1">
        <v>32</v>
      </c>
      <c r="H4598" s="1">
        <v>51</v>
      </c>
      <c r="I4598" s="1" t="s">
        <v>4386</v>
      </c>
      <c r="J4598" s="1" t="s">
        <v>11105</v>
      </c>
      <c r="K4598" s="1" t="s">
        <v>11106</v>
      </c>
    </row>
    <row r="4599" spans="1:11" ht="21" x14ac:dyDescent="0.25">
      <c r="A4599" s="11" t="str">
        <f>HYPERLINK("https://rth.dk/resources/bsgatlas/details.php?id=BSGatlas-transcript-4598","BSGatlas-transcript-4598")</f>
        <v>BSGatlas-transcript-4598</v>
      </c>
      <c r="B4599" s="1" t="s">
        <v>11107</v>
      </c>
      <c r="C4599" s="3">
        <v>4048959</v>
      </c>
      <c r="D4599" s="3">
        <v>4053371</v>
      </c>
      <c r="E4599" s="1" t="s">
        <v>13</v>
      </c>
      <c r="F4599" s="1">
        <v>3</v>
      </c>
      <c r="G4599" s="1">
        <v>52</v>
      </c>
      <c r="H4599" s="1">
        <v>51</v>
      </c>
      <c r="I4599" s="1" t="s">
        <v>4382</v>
      </c>
      <c r="J4599" s="1" t="s">
        <v>11108</v>
      </c>
      <c r="K4599" s="1" t="s">
        <v>11106</v>
      </c>
    </row>
    <row r="4600" spans="1:11" ht="21" x14ac:dyDescent="0.25">
      <c r="A4600" s="11" t="str">
        <f>HYPERLINK("https://rth.dk/resources/bsgatlas/details.php?id=BSGatlas-transcript-4599","BSGatlas-transcript-4599")</f>
        <v>BSGatlas-transcript-4599</v>
      </c>
      <c r="B4600" s="1" t="s">
        <v>4191</v>
      </c>
      <c r="C4600" s="3">
        <v>4051559</v>
      </c>
      <c r="D4600" s="3">
        <v>4052304</v>
      </c>
      <c r="E4600" s="1" t="s">
        <v>13</v>
      </c>
      <c r="F4600" s="1">
        <v>0</v>
      </c>
      <c r="G4600" s="1" t="s">
        <v>4372</v>
      </c>
      <c r="H4600" s="1" t="s">
        <v>4372</v>
      </c>
      <c r="I4600" s="1" t="s">
        <v>4377</v>
      </c>
      <c r="J4600" s="1" t="s">
        <v>11105</v>
      </c>
      <c r="K4600" s="1" t="s">
        <v>11109</v>
      </c>
    </row>
    <row r="4601" spans="1:11" ht="21" x14ac:dyDescent="0.25">
      <c r="A4601" s="11" t="str">
        <f>HYPERLINK("https://rth.dk/resources/bsgatlas/details.php?id=BSGatlas-transcript-4600","BSGatlas-transcript-4600")</f>
        <v>BSGatlas-transcript-4600</v>
      </c>
      <c r="B4601" s="1" t="s">
        <v>11110</v>
      </c>
      <c r="C4601" s="3">
        <v>4051559</v>
      </c>
      <c r="D4601" s="3">
        <v>4053371</v>
      </c>
      <c r="E4601" s="1" t="s">
        <v>13</v>
      </c>
      <c r="F4601" s="1">
        <v>1</v>
      </c>
      <c r="G4601" s="1">
        <v>52</v>
      </c>
      <c r="H4601" s="1">
        <v>44</v>
      </c>
      <c r="I4601" s="1" t="s">
        <v>4377</v>
      </c>
      <c r="J4601" s="1" t="s">
        <v>11108</v>
      </c>
      <c r="K4601" s="1" t="s">
        <v>11109</v>
      </c>
    </row>
    <row r="4602" spans="1:11" ht="21" x14ac:dyDescent="0.25">
      <c r="A4602" s="11" t="str">
        <f>HYPERLINK("https://rth.dk/resources/bsgatlas/details.php?id=BSGatlas-transcript-4601","BSGatlas-transcript-4601")</f>
        <v>BSGatlas-transcript-4601</v>
      </c>
      <c r="B4602" s="1" t="s">
        <v>4192</v>
      </c>
      <c r="C4602" s="3">
        <v>4052379</v>
      </c>
      <c r="D4602" s="3">
        <v>4053371</v>
      </c>
      <c r="E4602" s="1" t="s">
        <v>13</v>
      </c>
      <c r="F4602" s="1">
        <v>0</v>
      </c>
      <c r="G4602" s="1" t="s">
        <v>4372</v>
      </c>
      <c r="H4602" s="1" t="s">
        <v>4372</v>
      </c>
      <c r="I4602" s="1" t="s">
        <v>4386</v>
      </c>
      <c r="J4602" s="1" t="s">
        <v>11108</v>
      </c>
      <c r="K4602" s="1" t="s">
        <v>318</v>
      </c>
    </row>
    <row r="4603" spans="1:11" ht="21" x14ac:dyDescent="0.25">
      <c r="A4603" s="11" t="str">
        <f>HYPERLINK("https://rth.dk/resources/bsgatlas/details.php?id=BSGatlas-transcript-4602","BSGatlas-transcript-4602")</f>
        <v>BSGatlas-transcript-4602</v>
      </c>
      <c r="B4603" s="1" t="s">
        <v>11111</v>
      </c>
      <c r="C4603" s="3">
        <v>4053454</v>
      </c>
      <c r="D4603" s="3">
        <v>4055466</v>
      </c>
      <c r="E4603" s="1" t="s">
        <v>13</v>
      </c>
      <c r="F4603" s="1">
        <v>1</v>
      </c>
      <c r="G4603" s="1" t="s">
        <v>4372</v>
      </c>
      <c r="H4603" s="1" t="s">
        <v>4372</v>
      </c>
      <c r="I4603" s="1" t="s">
        <v>4373</v>
      </c>
      <c r="J4603" s="1" t="s">
        <v>318</v>
      </c>
      <c r="K4603" s="1" t="s">
        <v>318</v>
      </c>
    </row>
    <row r="4604" spans="1:11" ht="21" x14ac:dyDescent="0.25">
      <c r="A4604" s="11" t="str">
        <f>HYPERLINK("https://rth.dk/resources/bsgatlas/details.php?id=BSGatlas-transcript-4603","BSGatlas-transcript-4603")</f>
        <v>BSGatlas-transcript-4603</v>
      </c>
      <c r="B4604" s="1" t="s">
        <v>11112</v>
      </c>
      <c r="C4604" s="3">
        <v>4055536</v>
      </c>
      <c r="D4604" s="3">
        <v>4062223</v>
      </c>
      <c r="E4604" s="1" t="s">
        <v>13</v>
      </c>
      <c r="F4604" s="1">
        <v>3</v>
      </c>
      <c r="G4604" s="1">
        <v>81</v>
      </c>
      <c r="H4604" s="1" t="s">
        <v>4372</v>
      </c>
      <c r="I4604" s="1" t="s">
        <v>4373</v>
      </c>
      <c r="J4604" s="1" t="s">
        <v>11113</v>
      </c>
      <c r="K4604" s="1" t="s">
        <v>318</v>
      </c>
    </row>
    <row r="4605" spans="1:11" ht="21" x14ac:dyDescent="0.25">
      <c r="A4605" s="11" t="str">
        <f>HYPERLINK("https://rth.dk/resources/bsgatlas/details.php?id=BSGatlas-transcript-4604","BSGatlas-transcript-4604")</f>
        <v>BSGatlas-transcript-4604</v>
      </c>
      <c r="B4605" s="1" t="s">
        <v>11112</v>
      </c>
      <c r="C4605" s="3">
        <v>4055536</v>
      </c>
      <c r="D4605" s="3">
        <v>4062224</v>
      </c>
      <c r="E4605" s="1" t="s">
        <v>13</v>
      </c>
      <c r="F4605" s="1">
        <v>3</v>
      </c>
      <c r="G4605" s="1">
        <v>82</v>
      </c>
      <c r="H4605" s="1" t="s">
        <v>4372</v>
      </c>
      <c r="I4605" s="1" t="s">
        <v>4373</v>
      </c>
      <c r="J4605" s="1" t="s">
        <v>11114</v>
      </c>
      <c r="K4605" s="1" t="s">
        <v>318</v>
      </c>
    </row>
    <row r="4606" spans="1:11" ht="21" x14ac:dyDescent="0.25">
      <c r="A4606" s="11" t="str">
        <f>HYPERLINK("https://rth.dk/resources/bsgatlas/details.php?id=BSGatlas-transcript-4605","BSGatlas-transcript-4605")</f>
        <v>BSGatlas-transcript-4605</v>
      </c>
      <c r="B4606" s="1" t="s">
        <v>11115</v>
      </c>
      <c r="C4606" s="3">
        <v>4062329</v>
      </c>
      <c r="D4606" s="3">
        <v>4063595</v>
      </c>
      <c r="E4606" s="1" t="s">
        <v>13</v>
      </c>
      <c r="F4606" s="1">
        <v>0</v>
      </c>
      <c r="G4606" s="1" t="s">
        <v>4372</v>
      </c>
      <c r="H4606" s="1" t="s">
        <v>4372</v>
      </c>
      <c r="I4606" s="1" t="s">
        <v>4373</v>
      </c>
      <c r="J4606" s="1" t="s">
        <v>11116</v>
      </c>
      <c r="K4606" s="1" t="s">
        <v>318</v>
      </c>
    </row>
    <row r="4607" spans="1:11" ht="21" x14ac:dyDescent="0.25">
      <c r="A4607" s="11" t="str">
        <f>HYPERLINK("https://rth.dk/resources/bsgatlas/details.php?id=BSGatlas-transcript-4606","BSGatlas-transcript-4606")</f>
        <v>BSGatlas-transcript-4606</v>
      </c>
      <c r="B4607" s="1" t="s">
        <v>4203</v>
      </c>
      <c r="C4607" s="3">
        <v>4062525</v>
      </c>
      <c r="D4607" s="3">
        <v>4063595</v>
      </c>
      <c r="E4607" s="1" t="s">
        <v>13</v>
      </c>
      <c r="F4607" s="1">
        <v>0</v>
      </c>
      <c r="G4607" s="1" t="s">
        <v>4372</v>
      </c>
      <c r="H4607" s="1" t="s">
        <v>4372</v>
      </c>
      <c r="I4607" s="1" t="s">
        <v>4377</v>
      </c>
      <c r="J4607" s="1" t="s">
        <v>11116</v>
      </c>
      <c r="K4607" s="1" t="s">
        <v>11117</v>
      </c>
    </row>
    <row r="4608" spans="1:11" ht="21" x14ac:dyDescent="0.25">
      <c r="A4608" s="11" t="str">
        <f>HYPERLINK("https://rth.dk/resources/bsgatlas/details.php?id=BSGatlas-transcript-4607","BSGatlas-transcript-4607")</f>
        <v>BSGatlas-transcript-4607</v>
      </c>
      <c r="B4608" s="1" t="s">
        <v>4204</v>
      </c>
      <c r="C4608" s="3">
        <v>4062713</v>
      </c>
      <c r="D4608" s="3">
        <v>4063346</v>
      </c>
      <c r="E4608" s="1" t="s">
        <v>9</v>
      </c>
      <c r="F4608" s="1">
        <v>0</v>
      </c>
      <c r="G4608" s="1" t="s">
        <v>4372</v>
      </c>
      <c r="H4608" s="1" t="s">
        <v>4372</v>
      </c>
      <c r="I4608" s="1" t="s">
        <v>4377</v>
      </c>
      <c r="J4608" s="1" t="s">
        <v>11118</v>
      </c>
      <c r="K4608" s="1" t="s">
        <v>318</v>
      </c>
    </row>
    <row r="4609" spans="1:11" ht="21" x14ac:dyDescent="0.25">
      <c r="A4609" s="11" t="str">
        <f>HYPERLINK("https://rth.dk/resources/bsgatlas/details.php?id=BSGatlas-transcript-4608","BSGatlas-transcript-4608")</f>
        <v>BSGatlas-transcript-4608</v>
      </c>
      <c r="B4609" s="1" t="s">
        <v>4205</v>
      </c>
      <c r="C4609" s="3">
        <v>4063654</v>
      </c>
      <c r="D4609" s="3">
        <v>4064549</v>
      </c>
      <c r="E4609" s="1" t="s">
        <v>13</v>
      </c>
      <c r="F4609" s="1">
        <v>0</v>
      </c>
      <c r="G4609" s="1" t="s">
        <v>4372</v>
      </c>
      <c r="H4609" s="1" t="s">
        <v>4372</v>
      </c>
      <c r="I4609" s="1" t="s">
        <v>4377</v>
      </c>
      <c r="J4609" s="1" t="s">
        <v>11119</v>
      </c>
      <c r="K4609" s="1" t="s">
        <v>11120</v>
      </c>
    </row>
    <row r="4610" spans="1:11" ht="21" x14ac:dyDescent="0.25">
      <c r="A4610" s="11" t="str">
        <f>HYPERLINK("https://rth.dk/resources/bsgatlas/details.php?id=BSGatlas-transcript-4609","BSGatlas-transcript-4609")</f>
        <v>BSGatlas-transcript-4609</v>
      </c>
      <c r="B4610" s="1" t="s">
        <v>11121</v>
      </c>
      <c r="C4610" s="3">
        <v>4063654</v>
      </c>
      <c r="D4610" s="3">
        <v>4065568</v>
      </c>
      <c r="E4610" s="1" t="s">
        <v>13</v>
      </c>
      <c r="F4610" s="1">
        <v>1</v>
      </c>
      <c r="G4610" s="1">
        <v>61</v>
      </c>
      <c r="H4610" s="1">
        <v>31</v>
      </c>
      <c r="I4610" s="1" t="s">
        <v>4373</v>
      </c>
      <c r="J4610" s="1" t="s">
        <v>11122</v>
      </c>
      <c r="K4610" s="1" t="s">
        <v>11120</v>
      </c>
    </row>
    <row r="4611" spans="1:11" ht="21" x14ac:dyDescent="0.25">
      <c r="A4611" s="11" t="str">
        <f>HYPERLINK("https://rth.dk/resources/bsgatlas/details.php?id=BSGatlas-transcript-4610","BSGatlas-transcript-4610")</f>
        <v>BSGatlas-transcript-4610</v>
      </c>
      <c r="B4611" s="1" t="s">
        <v>11121</v>
      </c>
      <c r="C4611" s="3">
        <v>4063654</v>
      </c>
      <c r="D4611" s="3">
        <v>4065980</v>
      </c>
      <c r="E4611" s="1" t="s">
        <v>13</v>
      </c>
      <c r="F4611" s="1">
        <v>1</v>
      </c>
      <c r="G4611" s="1">
        <v>473</v>
      </c>
      <c r="H4611" s="1">
        <v>31</v>
      </c>
      <c r="I4611" s="1" t="s">
        <v>4373</v>
      </c>
      <c r="J4611" s="1" t="s">
        <v>11123</v>
      </c>
      <c r="K4611" s="1" t="s">
        <v>11120</v>
      </c>
    </row>
    <row r="4612" spans="1:11" ht="21" x14ac:dyDescent="0.25">
      <c r="A4612" s="11" t="str">
        <f>HYPERLINK("https://rth.dk/resources/bsgatlas/details.php?id=BSGatlas-transcript-4611","BSGatlas-transcript-4611")</f>
        <v>BSGatlas-transcript-4611</v>
      </c>
      <c r="B4612" s="1" t="s">
        <v>11121</v>
      </c>
      <c r="C4612" s="3">
        <v>4063654</v>
      </c>
      <c r="D4612" s="3">
        <v>4066068</v>
      </c>
      <c r="E4612" s="1" t="s">
        <v>13</v>
      </c>
      <c r="F4612" s="1">
        <v>1</v>
      </c>
      <c r="G4612" s="1">
        <v>561</v>
      </c>
      <c r="H4612" s="1">
        <v>31</v>
      </c>
      <c r="I4612" s="1" t="s">
        <v>4373</v>
      </c>
      <c r="J4612" s="1" t="s">
        <v>11124</v>
      </c>
      <c r="K4612" s="1" t="s">
        <v>11120</v>
      </c>
    </row>
    <row r="4613" spans="1:11" ht="21" x14ac:dyDescent="0.25">
      <c r="A4613" s="11" t="str">
        <f>HYPERLINK("https://rth.dk/resources/bsgatlas/details.php?id=BSGatlas-transcript-4612","BSGatlas-transcript-4612")</f>
        <v>BSGatlas-transcript-4612</v>
      </c>
      <c r="B4613" s="1" t="s">
        <v>4208</v>
      </c>
      <c r="C4613" s="3">
        <v>4065552</v>
      </c>
      <c r="D4613" s="3">
        <v>4065998</v>
      </c>
      <c r="E4613" s="1" t="s">
        <v>9</v>
      </c>
      <c r="F4613" s="1">
        <v>0</v>
      </c>
      <c r="G4613" s="1" t="s">
        <v>4372</v>
      </c>
      <c r="H4613" s="1" t="s">
        <v>4372</v>
      </c>
      <c r="I4613" s="1" t="s">
        <v>4373</v>
      </c>
      <c r="J4613" s="1" t="s">
        <v>11125</v>
      </c>
      <c r="K4613" s="1" t="s">
        <v>11126</v>
      </c>
    </row>
    <row r="4614" spans="1:11" ht="21" x14ac:dyDescent="0.25">
      <c r="A4614" s="11" t="str">
        <f>HYPERLINK("https://rth.dk/resources/bsgatlas/details.php?id=BSGatlas-transcript-4613","BSGatlas-transcript-4613")</f>
        <v>BSGatlas-transcript-4613</v>
      </c>
      <c r="B4614" s="1" t="s">
        <v>4208</v>
      </c>
      <c r="C4614" s="3">
        <v>4065552</v>
      </c>
      <c r="D4614" s="3">
        <v>4066159</v>
      </c>
      <c r="E4614" s="1" t="s">
        <v>9</v>
      </c>
      <c r="F4614" s="1">
        <v>0</v>
      </c>
      <c r="G4614" s="1" t="s">
        <v>4372</v>
      </c>
      <c r="H4614" s="1" t="s">
        <v>4372</v>
      </c>
      <c r="I4614" s="1" t="s">
        <v>4373</v>
      </c>
      <c r="J4614" s="1" t="s">
        <v>11125</v>
      </c>
      <c r="K4614" s="1" t="s">
        <v>11127</v>
      </c>
    </row>
    <row r="4615" spans="1:11" ht="21" x14ac:dyDescent="0.25">
      <c r="A4615" s="11" t="str">
        <f>HYPERLINK("https://rth.dk/resources/bsgatlas/details.php?id=BSGatlas-transcript-4614","BSGatlas-transcript-4614")</f>
        <v>BSGatlas-transcript-4614</v>
      </c>
      <c r="B4615" s="1" t="s">
        <v>4209</v>
      </c>
      <c r="C4615" s="3">
        <v>4066177</v>
      </c>
      <c r="D4615" s="3">
        <v>4066598</v>
      </c>
      <c r="E4615" s="1" t="s">
        <v>9</v>
      </c>
      <c r="F4615" s="1">
        <v>0</v>
      </c>
      <c r="G4615" s="1" t="s">
        <v>4372</v>
      </c>
      <c r="H4615" s="1" t="s">
        <v>4372</v>
      </c>
      <c r="I4615" s="1" t="s">
        <v>4373</v>
      </c>
      <c r="J4615" s="1" t="s">
        <v>11128</v>
      </c>
      <c r="K4615" s="1" t="s">
        <v>11129</v>
      </c>
    </row>
    <row r="4616" spans="1:11" ht="21" x14ac:dyDescent="0.25">
      <c r="A4616" s="11" t="str">
        <f>HYPERLINK("https://rth.dk/resources/bsgatlas/details.php?id=BSGatlas-transcript-4615","BSGatlas-transcript-4615")</f>
        <v>BSGatlas-transcript-4615</v>
      </c>
      <c r="B4616" s="1" t="s">
        <v>4210</v>
      </c>
      <c r="C4616" s="3">
        <v>4066574</v>
      </c>
      <c r="D4616" s="3">
        <v>4067036</v>
      </c>
      <c r="E4616" s="1" t="s">
        <v>13</v>
      </c>
      <c r="F4616" s="1">
        <v>0</v>
      </c>
      <c r="G4616" s="1" t="s">
        <v>4372</v>
      </c>
      <c r="H4616" s="1" t="s">
        <v>4372</v>
      </c>
      <c r="I4616" s="1" t="s">
        <v>4373</v>
      </c>
      <c r="J4616" s="1" t="s">
        <v>11130</v>
      </c>
      <c r="K4616" s="1" t="s">
        <v>11131</v>
      </c>
    </row>
    <row r="4617" spans="1:11" ht="21" x14ac:dyDescent="0.25">
      <c r="A4617" s="11" t="str">
        <f>HYPERLINK("https://rth.dk/resources/bsgatlas/details.php?id=BSGatlas-transcript-4616","BSGatlas-transcript-4616")</f>
        <v>BSGatlas-transcript-4616</v>
      </c>
      <c r="B4617" s="1" t="s">
        <v>4210</v>
      </c>
      <c r="C4617" s="3">
        <v>4066574</v>
      </c>
      <c r="D4617" s="3">
        <v>4067124</v>
      </c>
      <c r="E4617" s="1" t="s">
        <v>13</v>
      </c>
      <c r="F4617" s="1">
        <v>0</v>
      </c>
      <c r="G4617" s="1" t="s">
        <v>4372</v>
      </c>
      <c r="H4617" s="1" t="s">
        <v>4372</v>
      </c>
      <c r="I4617" s="1" t="s">
        <v>4373</v>
      </c>
      <c r="J4617" s="1" t="s">
        <v>11132</v>
      </c>
      <c r="K4617" s="1" t="s">
        <v>11131</v>
      </c>
    </row>
    <row r="4618" spans="1:11" ht="21" x14ac:dyDescent="0.25">
      <c r="A4618" s="11" t="str">
        <f>HYPERLINK("https://rth.dk/resources/bsgatlas/details.php?id=BSGatlas-transcript-4617","BSGatlas-transcript-4617")</f>
        <v>BSGatlas-transcript-4617</v>
      </c>
      <c r="B4618" s="1" t="s">
        <v>4211</v>
      </c>
      <c r="C4618" s="3">
        <v>4067124</v>
      </c>
      <c r="D4618" s="3">
        <v>4068148</v>
      </c>
      <c r="E4618" s="1" t="s">
        <v>9</v>
      </c>
      <c r="F4618" s="1">
        <v>0</v>
      </c>
      <c r="G4618" s="1" t="s">
        <v>4372</v>
      </c>
      <c r="H4618" s="1" t="s">
        <v>4372</v>
      </c>
      <c r="I4618" s="1" t="s">
        <v>4373</v>
      </c>
      <c r="J4618" s="1" t="s">
        <v>11133</v>
      </c>
      <c r="K4618" s="1" t="s">
        <v>11134</v>
      </c>
    </row>
    <row r="4619" spans="1:11" ht="21" x14ac:dyDescent="0.25">
      <c r="A4619" s="11" t="str">
        <f>HYPERLINK("https://rth.dk/resources/bsgatlas/details.php?id=BSGatlas-transcript-4618","BSGatlas-transcript-4618")</f>
        <v>BSGatlas-transcript-4618</v>
      </c>
      <c r="B4619" s="1" t="s">
        <v>4211</v>
      </c>
      <c r="C4619" s="3">
        <v>4067124</v>
      </c>
      <c r="D4619" s="3">
        <v>4068148</v>
      </c>
      <c r="E4619" s="1" t="s">
        <v>9</v>
      </c>
      <c r="F4619" s="1">
        <v>0</v>
      </c>
      <c r="G4619" s="1" t="s">
        <v>4372</v>
      </c>
      <c r="H4619" s="1" t="s">
        <v>4372</v>
      </c>
      <c r="I4619" s="1" t="s">
        <v>4373</v>
      </c>
      <c r="J4619" s="1" t="s">
        <v>11133</v>
      </c>
      <c r="K4619" s="1" t="s">
        <v>11135</v>
      </c>
    </row>
    <row r="4620" spans="1:11" ht="21" x14ac:dyDescent="0.25">
      <c r="A4620" s="11" t="str">
        <f>HYPERLINK("https://rth.dk/resources/bsgatlas/details.php?id=BSGatlas-transcript-4619","BSGatlas-transcript-4619")</f>
        <v>BSGatlas-transcript-4619</v>
      </c>
      <c r="B4620" s="1" t="s">
        <v>4211</v>
      </c>
      <c r="C4620" s="3">
        <v>4067124</v>
      </c>
      <c r="D4620" s="3">
        <v>4068192</v>
      </c>
      <c r="E4620" s="1" t="s">
        <v>9</v>
      </c>
      <c r="F4620" s="1">
        <v>0</v>
      </c>
      <c r="G4620" s="1" t="s">
        <v>4372</v>
      </c>
      <c r="H4620" s="1" t="s">
        <v>4372</v>
      </c>
      <c r="I4620" s="1" t="s">
        <v>4373</v>
      </c>
      <c r="J4620" s="1" t="s">
        <v>11133</v>
      </c>
      <c r="K4620" s="1" t="s">
        <v>11136</v>
      </c>
    </row>
    <row r="4621" spans="1:11" ht="21" x14ac:dyDescent="0.25">
      <c r="A4621" s="11" t="str">
        <f>HYPERLINK("https://rth.dk/resources/bsgatlas/details.php?id=BSGatlas-transcript-4620","BSGatlas-transcript-4620")</f>
        <v>BSGatlas-transcript-4620</v>
      </c>
      <c r="B4621" s="1" t="s">
        <v>4211</v>
      </c>
      <c r="C4621" s="3">
        <v>4067124</v>
      </c>
      <c r="D4621" s="3">
        <v>4069000</v>
      </c>
      <c r="E4621" s="1" t="s">
        <v>9</v>
      </c>
      <c r="F4621" s="1">
        <v>0</v>
      </c>
      <c r="G4621" s="1" t="s">
        <v>4372</v>
      </c>
      <c r="H4621" s="1" t="s">
        <v>4372</v>
      </c>
      <c r="I4621" s="1" t="s">
        <v>4373</v>
      </c>
      <c r="J4621" s="1" t="s">
        <v>11133</v>
      </c>
      <c r="K4621" s="1" t="s">
        <v>11137</v>
      </c>
    </row>
    <row r="4622" spans="1:11" ht="21" x14ac:dyDescent="0.25">
      <c r="A4622" s="11" t="str">
        <f>HYPERLINK("https://rth.dk/resources/bsgatlas/details.php?id=BSGatlas-transcript-4621","BSGatlas-transcript-4621")</f>
        <v>BSGatlas-transcript-4621</v>
      </c>
      <c r="B4622" s="1" t="s">
        <v>4211</v>
      </c>
      <c r="C4622" s="3">
        <v>4067183</v>
      </c>
      <c r="D4622" s="3">
        <v>4068148</v>
      </c>
      <c r="E4622" s="1" t="s">
        <v>9</v>
      </c>
      <c r="F4622" s="1">
        <v>0</v>
      </c>
      <c r="G4622" s="1" t="s">
        <v>4372</v>
      </c>
      <c r="H4622" s="1" t="s">
        <v>4372</v>
      </c>
      <c r="I4622" s="1" t="s">
        <v>4373</v>
      </c>
      <c r="J4622" s="1" t="s">
        <v>11138</v>
      </c>
      <c r="K4622" s="1" t="s">
        <v>11134</v>
      </c>
    </row>
    <row r="4623" spans="1:11" ht="21" x14ac:dyDescent="0.25">
      <c r="A4623" s="11" t="str">
        <f>HYPERLINK("https://rth.dk/resources/bsgatlas/details.php?id=BSGatlas-transcript-4622","BSGatlas-transcript-4622")</f>
        <v>BSGatlas-transcript-4622</v>
      </c>
      <c r="B4623" s="1" t="s">
        <v>4211</v>
      </c>
      <c r="C4623" s="3">
        <v>4067183</v>
      </c>
      <c r="D4623" s="3">
        <v>4068148</v>
      </c>
      <c r="E4623" s="1" t="s">
        <v>9</v>
      </c>
      <c r="F4623" s="1">
        <v>0</v>
      </c>
      <c r="G4623" s="1" t="s">
        <v>4372</v>
      </c>
      <c r="H4623" s="1" t="s">
        <v>4372</v>
      </c>
      <c r="I4623" s="1" t="s">
        <v>4373</v>
      </c>
      <c r="J4623" s="1" t="s">
        <v>11138</v>
      </c>
      <c r="K4623" s="1" t="s">
        <v>11135</v>
      </c>
    </row>
    <row r="4624" spans="1:11" ht="21" x14ac:dyDescent="0.25">
      <c r="A4624" s="11" t="str">
        <f>HYPERLINK("https://rth.dk/resources/bsgatlas/details.php?id=BSGatlas-transcript-4623","BSGatlas-transcript-4623")</f>
        <v>BSGatlas-transcript-4623</v>
      </c>
      <c r="B4624" s="1" t="s">
        <v>4211</v>
      </c>
      <c r="C4624" s="3">
        <v>4067183</v>
      </c>
      <c r="D4624" s="3">
        <v>4068192</v>
      </c>
      <c r="E4624" s="1" t="s">
        <v>9</v>
      </c>
      <c r="F4624" s="1">
        <v>0</v>
      </c>
      <c r="G4624" s="1" t="s">
        <v>4372</v>
      </c>
      <c r="H4624" s="1" t="s">
        <v>4372</v>
      </c>
      <c r="I4624" s="1" t="s">
        <v>4373</v>
      </c>
      <c r="J4624" s="1" t="s">
        <v>11138</v>
      </c>
      <c r="K4624" s="1" t="s">
        <v>11136</v>
      </c>
    </row>
    <row r="4625" spans="1:11" ht="21" x14ac:dyDescent="0.25">
      <c r="A4625" s="11" t="str">
        <f>HYPERLINK("https://rth.dk/resources/bsgatlas/details.php?id=BSGatlas-transcript-4624","BSGatlas-transcript-4624")</f>
        <v>BSGatlas-transcript-4624</v>
      </c>
      <c r="B4625" s="1" t="s">
        <v>4211</v>
      </c>
      <c r="C4625" s="3">
        <v>4067183</v>
      </c>
      <c r="D4625" s="3">
        <v>4069000</v>
      </c>
      <c r="E4625" s="1" t="s">
        <v>9</v>
      </c>
      <c r="F4625" s="1">
        <v>0</v>
      </c>
      <c r="G4625" s="1" t="s">
        <v>4372</v>
      </c>
      <c r="H4625" s="1" t="s">
        <v>4372</v>
      </c>
      <c r="I4625" s="1" t="s">
        <v>4373</v>
      </c>
      <c r="J4625" s="1" t="s">
        <v>11138</v>
      </c>
      <c r="K4625" s="1" t="s">
        <v>11137</v>
      </c>
    </row>
    <row r="4626" spans="1:11" ht="21" x14ac:dyDescent="0.25">
      <c r="A4626" s="11" t="str">
        <f>HYPERLINK("https://rth.dk/resources/bsgatlas/details.php?id=BSGatlas-transcript-4625","BSGatlas-transcript-4625")</f>
        <v>BSGatlas-transcript-4625</v>
      </c>
      <c r="B4626" s="1" t="s">
        <v>11139</v>
      </c>
      <c r="C4626" s="3">
        <v>4068189</v>
      </c>
      <c r="D4626" s="3">
        <v>4071166</v>
      </c>
      <c r="E4626" s="1" t="s">
        <v>13</v>
      </c>
      <c r="F4626" s="1">
        <v>0</v>
      </c>
      <c r="G4626" s="1" t="s">
        <v>4372</v>
      </c>
      <c r="H4626" s="1" t="s">
        <v>4372</v>
      </c>
      <c r="I4626" s="1" t="s">
        <v>4386</v>
      </c>
      <c r="J4626" s="1" t="s">
        <v>318</v>
      </c>
      <c r="K4626" s="1" t="s">
        <v>11140</v>
      </c>
    </row>
    <row r="4627" spans="1:11" ht="21" x14ac:dyDescent="0.25">
      <c r="A4627" s="11" t="str">
        <f>HYPERLINK("https://rth.dk/resources/bsgatlas/details.php?id=BSGatlas-transcript-4626","BSGatlas-transcript-4626")</f>
        <v>BSGatlas-transcript-4626</v>
      </c>
      <c r="B4627" s="1" t="s">
        <v>11141</v>
      </c>
      <c r="C4627" s="3">
        <v>4071227</v>
      </c>
      <c r="D4627" s="3">
        <v>4073018</v>
      </c>
      <c r="E4627" s="1" t="s">
        <v>13</v>
      </c>
      <c r="F4627" s="1">
        <v>0</v>
      </c>
      <c r="G4627" s="1" t="s">
        <v>4372</v>
      </c>
      <c r="H4627" s="1" t="s">
        <v>4372</v>
      </c>
      <c r="I4627" s="1" t="s">
        <v>4373</v>
      </c>
      <c r="J4627" s="1" t="s">
        <v>11142</v>
      </c>
      <c r="K4627" s="1" t="s">
        <v>11143</v>
      </c>
    </row>
    <row r="4628" spans="1:11" ht="21" x14ac:dyDescent="0.25">
      <c r="A4628" s="11" t="str">
        <f>HYPERLINK("https://rth.dk/resources/bsgatlas/details.php?id=BSGatlas-transcript-4627","BSGatlas-transcript-4627")</f>
        <v>BSGatlas-transcript-4627</v>
      </c>
      <c r="B4628" s="1" t="s">
        <v>11144</v>
      </c>
      <c r="C4628" s="3">
        <v>4073054</v>
      </c>
      <c r="D4628" s="3">
        <v>4084574</v>
      </c>
      <c r="E4628" s="1" t="s">
        <v>13</v>
      </c>
      <c r="F4628" s="1">
        <v>8</v>
      </c>
      <c r="G4628" s="1">
        <v>192</v>
      </c>
      <c r="H4628" s="1">
        <v>28</v>
      </c>
      <c r="I4628" s="1" t="s">
        <v>4373</v>
      </c>
      <c r="J4628" s="1" t="s">
        <v>11145</v>
      </c>
      <c r="K4628" s="1" t="s">
        <v>11146</v>
      </c>
    </row>
    <row r="4629" spans="1:11" ht="21" x14ac:dyDescent="0.25">
      <c r="A4629" s="11" t="str">
        <f>HYPERLINK("https://rth.dk/resources/bsgatlas/details.php?id=BSGatlas-transcript-4628","BSGatlas-transcript-4628")</f>
        <v>BSGatlas-transcript-4628</v>
      </c>
      <c r="B4629" s="1" t="s">
        <v>11144</v>
      </c>
      <c r="C4629" s="3">
        <v>4073054</v>
      </c>
      <c r="D4629" s="3">
        <v>4084759</v>
      </c>
      <c r="E4629" s="1" t="s">
        <v>13</v>
      </c>
      <c r="F4629" s="1">
        <v>8</v>
      </c>
      <c r="G4629" s="1">
        <v>377</v>
      </c>
      <c r="H4629" s="1">
        <v>28</v>
      </c>
      <c r="I4629" s="1" t="s">
        <v>4373</v>
      </c>
      <c r="J4629" s="1" t="s">
        <v>11147</v>
      </c>
      <c r="K4629" s="1" t="s">
        <v>11146</v>
      </c>
    </row>
    <row r="4630" spans="1:11" ht="21" x14ac:dyDescent="0.25">
      <c r="A4630" s="11" t="str">
        <f>HYPERLINK("https://rth.dk/resources/bsgatlas/details.php?id=BSGatlas-transcript-4629","BSGatlas-transcript-4629")</f>
        <v>BSGatlas-transcript-4629</v>
      </c>
      <c r="B4630" s="1" t="s">
        <v>11148</v>
      </c>
      <c r="C4630" s="3">
        <v>4084417</v>
      </c>
      <c r="D4630" s="3">
        <v>4086588</v>
      </c>
      <c r="E4630" s="1" t="s">
        <v>9</v>
      </c>
      <c r="F4630" s="1">
        <v>1</v>
      </c>
      <c r="G4630" s="1">
        <v>383</v>
      </c>
      <c r="H4630" s="1">
        <v>49</v>
      </c>
      <c r="I4630" s="1" t="s">
        <v>4373</v>
      </c>
      <c r="J4630" s="1" t="s">
        <v>11149</v>
      </c>
      <c r="K4630" s="1" t="s">
        <v>11150</v>
      </c>
    </row>
    <row r="4631" spans="1:11" ht="21" x14ac:dyDescent="0.25">
      <c r="A4631" s="11" t="str">
        <f>HYPERLINK("https://rth.dk/resources/bsgatlas/details.php?id=BSGatlas-transcript-4630","BSGatlas-transcript-4630")</f>
        <v>BSGatlas-transcript-4630</v>
      </c>
      <c r="B4631" s="1" t="s">
        <v>11148</v>
      </c>
      <c r="C4631" s="3">
        <v>4084732</v>
      </c>
      <c r="D4631" s="3">
        <v>4086588</v>
      </c>
      <c r="E4631" s="1" t="s">
        <v>9</v>
      </c>
      <c r="F4631" s="1">
        <v>1</v>
      </c>
      <c r="G4631" s="1">
        <v>68</v>
      </c>
      <c r="H4631" s="1">
        <v>49</v>
      </c>
      <c r="I4631" s="1" t="s">
        <v>4373</v>
      </c>
      <c r="J4631" s="1" t="s">
        <v>11151</v>
      </c>
      <c r="K4631" s="1" t="s">
        <v>11150</v>
      </c>
    </row>
    <row r="4632" spans="1:11" ht="21" x14ac:dyDescent="0.25">
      <c r="A4632" s="11" t="str">
        <f>HYPERLINK("https://rth.dk/resources/bsgatlas/details.php?id=BSGatlas-transcript-4631","BSGatlas-transcript-4631")</f>
        <v>BSGatlas-transcript-4631</v>
      </c>
      <c r="B4632" s="1" t="s">
        <v>11148</v>
      </c>
      <c r="C4632" s="3">
        <v>4084770</v>
      </c>
      <c r="D4632" s="3">
        <v>4086588</v>
      </c>
      <c r="E4632" s="1" t="s">
        <v>9</v>
      </c>
      <c r="F4632" s="1">
        <v>1</v>
      </c>
      <c r="G4632" s="1">
        <v>30</v>
      </c>
      <c r="H4632" s="1">
        <v>49</v>
      </c>
      <c r="I4632" s="1" t="s">
        <v>4373</v>
      </c>
      <c r="J4632" s="1" t="s">
        <v>11152</v>
      </c>
      <c r="K4632" s="1" t="s">
        <v>11150</v>
      </c>
    </row>
    <row r="4633" spans="1:11" ht="21" x14ac:dyDescent="0.25">
      <c r="A4633" s="11" t="str">
        <f>HYPERLINK("https://rth.dk/resources/bsgatlas/details.php?id=BSGatlas-transcript-4632","BSGatlas-transcript-4632")</f>
        <v>BSGatlas-transcript-4632</v>
      </c>
      <c r="B4633" s="1" t="s">
        <v>4228</v>
      </c>
      <c r="C4633" s="3">
        <v>4085568</v>
      </c>
      <c r="D4633" s="3">
        <v>4086588</v>
      </c>
      <c r="E4633" s="1" t="s">
        <v>9</v>
      </c>
      <c r="F4633" s="1">
        <v>0</v>
      </c>
      <c r="G4633" s="1" t="s">
        <v>4372</v>
      </c>
      <c r="H4633" s="1" t="s">
        <v>4372</v>
      </c>
      <c r="I4633" s="1" t="s">
        <v>4377</v>
      </c>
      <c r="J4633" s="1" t="s">
        <v>11153</v>
      </c>
      <c r="K4633" s="1" t="s">
        <v>11150</v>
      </c>
    </row>
    <row r="4634" spans="1:11" ht="21" x14ac:dyDescent="0.25">
      <c r="A4634" s="11" t="str">
        <f>HYPERLINK("https://rth.dk/resources/bsgatlas/details.php?id=BSGatlas-transcript-4633","BSGatlas-transcript-4633")</f>
        <v>BSGatlas-transcript-4633</v>
      </c>
      <c r="B4634" s="1" t="s">
        <v>11154</v>
      </c>
      <c r="C4634" s="3">
        <v>4086646</v>
      </c>
      <c r="D4634" s="3">
        <v>4087816</v>
      </c>
      <c r="E4634" s="1" t="s">
        <v>9</v>
      </c>
      <c r="F4634" s="1">
        <v>0</v>
      </c>
      <c r="G4634" s="1" t="s">
        <v>4372</v>
      </c>
      <c r="H4634" s="1" t="s">
        <v>4372</v>
      </c>
      <c r="I4634" s="1" t="s">
        <v>4373</v>
      </c>
      <c r="J4634" s="1" t="s">
        <v>11155</v>
      </c>
      <c r="K4634" s="1" t="s">
        <v>11156</v>
      </c>
    </row>
    <row r="4635" spans="1:11" ht="21" x14ac:dyDescent="0.25">
      <c r="A4635" s="11" t="str">
        <f>HYPERLINK("https://rth.dk/resources/bsgatlas/details.php?id=BSGatlas-transcript-4634","BSGatlas-transcript-4634")</f>
        <v>BSGatlas-transcript-4634</v>
      </c>
      <c r="B4635" s="1" t="s">
        <v>4231</v>
      </c>
      <c r="C4635" s="3">
        <v>4087940</v>
      </c>
      <c r="D4635" s="3">
        <v>4089434</v>
      </c>
      <c r="E4635" s="1" t="s">
        <v>9</v>
      </c>
      <c r="F4635" s="1">
        <v>0</v>
      </c>
      <c r="G4635" s="1" t="s">
        <v>4372</v>
      </c>
      <c r="H4635" s="1" t="s">
        <v>4372</v>
      </c>
      <c r="I4635" s="1" t="s">
        <v>4373</v>
      </c>
      <c r="J4635" s="1" t="s">
        <v>11157</v>
      </c>
      <c r="K4635" s="1" t="s">
        <v>11158</v>
      </c>
    </row>
    <row r="4636" spans="1:11" ht="21" x14ac:dyDescent="0.25">
      <c r="A4636" s="11" t="str">
        <f>HYPERLINK("https://rth.dk/resources/bsgatlas/details.php?id=BSGatlas-transcript-4635","BSGatlas-transcript-4635")</f>
        <v>BSGatlas-transcript-4635</v>
      </c>
      <c r="B4636" s="1" t="s">
        <v>4231</v>
      </c>
      <c r="C4636" s="3">
        <v>4087940</v>
      </c>
      <c r="D4636" s="3">
        <v>4090001</v>
      </c>
      <c r="E4636" s="1" t="s">
        <v>9</v>
      </c>
      <c r="F4636" s="1">
        <v>0</v>
      </c>
      <c r="G4636" s="1" t="s">
        <v>4372</v>
      </c>
      <c r="H4636" s="1" t="s">
        <v>4372</v>
      </c>
      <c r="I4636" s="1" t="s">
        <v>4373</v>
      </c>
      <c r="J4636" s="1" t="s">
        <v>11157</v>
      </c>
      <c r="K4636" s="1" t="s">
        <v>11159</v>
      </c>
    </row>
    <row r="4637" spans="1:11" ht="21" x14ac:dyDescent="0.25">
      <c r="A4637" s="11" t="str">
        <f>HYPERLINK("https://rth.dk/resources/bsgatlas/details.php?id=BSGatlas-transcript-4636","BSGatlas-transcript-4636")</f>
        <v>BSGatlas-transcript-4636</v>
      </c>
      <c r="B4637" s="1" t="s">
        <v>4232</v>
      </c>
      <c r="C4637" s="3">
        <v>4089378</v>
      </c>
      <c r="D4637" s="3">
        <v>4091346</v>
      </c>
      <c r="E4637" s="1" t="s">
        <v>13</v>
      </c>
      <c r="F4637" s="1">
        <v>0</v>
      </c>
      <c r="G4637" s="1" t="s">
        <v>4372</v>
      </c>
      <c r="H4637" s="1" t="s">
        <v>4372</v>
      </c>
      <c r="I4637" s="1" t="s">
        <v>4373</v>
      </c>
      <c r="J4637" s="1" t="s">
        <v>11160</v>
      </c>
      <c r="K4637" s="1" t="s">
        <v>11161</v>
      </c>
    </row>
    <row r="4638" spans="1:11" ht="21" x14ac:dyDescent="0.25">
      <c r="A4638" s="11" t="str">
        <f>HYPERLINK("https://rth.dk/resources/bsgatlas/details.php?id=BSGatlas-transcript-4637","BSGatlas-transcript-4637")</f>
        <v>BSGatlas-transcript-4637</v>
      </c>
      <c r="B4638" s="1" t="s">
        <v>4232</v>
      </c>
      <c r="C4638" s="3">
        <v>4089378</v>
      </c>
      <c r="D4638" s="3">
        <v>4091407</v>
      </c>
      <c r="E4638" s="1" t="s">
        <v>13</v>
      </c>
      <c r="F4638" s="1">
        <v>0</v>
      </c>
      <c r="G4638" s="1" t="s">
        <v>4372</v>
      </c>
      <c r="H4638" s="1" t="s">
        <v>4372</v>
      </c>
      <c r="I4638" s="1" t="s">
        <v>4373</v>
      </c>
      <c r="J4638" s="1" t="s">
        <v>11162</v>
      </c>
      <c r="K4638" s="1" t="s">
        <v>11161</v>
      </c>
    </row>
    <row r="4639" spans="1:11" ht="21" x14ac:dyDescent="0.25">
      <c r="A4639" s="11" t="str">
        <f>HYPERLINK("https://rth.dk/resources/bsgatlas/details.php?id=BSGatlas-transcript-4638","BSGatlas-transcript-4638")</f>
        <v>BSGatlas-transcript-4638</v>
      </c>
      <c r="B4639" s="1" t="s">
        <v>4233</v>
      </c>
      <c r="C4639" s="3">
        <v>4091477</v>
      </c>
      <c r="D4639" s="3">
        <v>4091759</v>
      </c>
      <c r="E4639" s="1" t="s">
        <v>13</v>
      </c>
      <c r="F4639" s="1">
        <v>0</v>
      </c>
      <c r="G4639" s="1" t="s">
        <v>4372</v>
      </c>
      <c r="H4639" s="1" t="s">
        <v>4372</v>
      </c>
      <c r="I4639" s="1" t="s">
        <v>4386</v>
      </c>
      <c r="J4639" s="1" t="s">
        <v>11163</v>
      </c>
      <c r="K4639" s="1" t="s">
        <v>11164</v>
      </c>
    </row>
    <row r="4640" spans="1:11" ht="21" x14ac:dyDescent="0.25">
      <c r="A4640" s="11" t="str">
        <f>HYPERLINK("https://rth.dk/resources/bsgatlas/details.php?id=BSGatlas-transcript-4639","BSGatlas-transcript-4639")</f>
        <v>BSGatlas-transcript-4639</v>
      </c>
      <c r="B4640" s="1" t="s">
        <v>4234</v>
      </c>
      <c r="C4640" s="3">
        <v>4091813</v>
      </c>
      <c r="D4640" s="3">
        <v>4092699</v>
      </c>
      <c r="E4640" s="1" t="s">
        <v>9</v>
      </c>
      <c r="F4640" s="1">
        <v>0</v>
      </c>
      <c r="G4640" s="1" t="s">
        <v>4372</v>
      </c>
      <c r="H4640" s="1" t="s">
        <v>4372</v>
      </c>
      <c r="I4640" s="1" t="s">
        <v>4373</v>
      </c>
      <c r="J4640" s="1" t="s">
        <v>11165</v>
      </c>
      <c r="K4640" s="1" t="s">
        <v>11166</v>
      </c>
    </row>
    <row r="4641" spans="1:11" ht="21" x14ac:dyDescent="0.25">
      <c r="A4641" s="11" t="str">
        <f>HYPERLINK("https://rth.dk/resources/bsgatlas/details.php?id=BSGatlas-transcript-4640","BSGatlas-transcript-4640")</f>
        <v>BSGatlas-transcript-4640</v>
      </c>
      <c r="B4641" s="1" t="s">
        <v>4235</v>
      </c>
      <c r="C4641" s="3">
        <v>4092649</v>
      </c>
      <c r="D4641" s="3">
        <v>4093936</v>
      </c>
      <c r="E4641" s="1" t="s">
        <v>13</v>
      </c>
      <c r="F4641" s="1">
        <v>0</v>
      </c>
      <c r="G4641" s="1" t="s">
        <v>4372</v>
      </c>
      <c r="H4641" s="1" t="s">
        <v>4372</v>
      </c>
      <c r="I4641" s="1" t="s">
        <v>4373</v>
      </c>
      <c r="J4641" s="1" t="s">
        <v>11167</v>
      </c>
      <c r="K4641" s="1" t="s">
        <v>11168</v>
      </c>
    </row>
    <row r="4642" spans="1:11" ht="21" x14ac:dyDescent="0.25">
      <c r="A4642" s="11" t="str">
        <f>HYPERLINK("https://rth.dk/resources/bsgatlas/details.php?id=BSGatlas-transcript-4641","BSGatlas-transcript-4641")</f>
        <v>BSGatlas-transcript-4641</v>
      </c>
      <c r="B4642" s="1" t="s">
        <v>4236</v>
      </c>
      <c r="C4642" s="3">
        <v>4093980</v>
      </c>
      <c r="D4642" s="3">
        <v>4095368</v>
      </c>
      <c r="E4642" s="1" t="s">
        <v>9</v>
      </c>
      <c r="F4642" s="1">
        <v>0</v>
      </c>
      <c r="G4642" s="1" t="s">
        <v>4372</v>
      </c>
      <c r="H4642" s="1" t="s">
        <v>4372</v>
      </c>
      <c r="I4642" s="1" t="s">
        <v>4373</v>
      </c>
      <c r="J4642" s="1" t="s">
        <v>318</v>
      </c>
      <c r="K4642" s="1" t="s">
        <v>11169</v>
      </c>
    </row>
    <row r="4643" spans="1:11" ht="21" x14ac:dyDescent="0.25">
      <c r="A4643" s="11" t="str">
        <f>HYPERLINK("https://rth.dk/resources/bsgatlas/details.php?id=BSGatlas-transcript-4642","BSGatlas-transcript-4642")</f>
        <v>BSGatlas-transcript-4642</v>
      </c>
      <c r="B4643" s="1" t="s">
        <v>4236</v>
      </c>
      <c r="C4643" s="3">
        <v>4093980</v>
      </c>
      <c r="D4643" s="3">
        <v>4096919</v>
      </c>
      <c r="E4643" s="1" t="s">
        <v>9</v>
      </c>
      <c r="F4643" s="1">
        <v>0</v>
      </c>
      <c r="G4643" s="1" t="s">
        <v>4372</v>
      </c>
      <c r="H4643" s="1" t="s">
        <v>4372</v>
      </c>
      <c r="I4643" s="1" t="s">
        <v>4373</v>
      </c>
      <c r="J4643" s="1" t="s">
        <v>318</v>
      </c>
      <c r="K4643" s="1" t="s">
        <v>11170</v>
      </c>
    </row>
    <row r="4644" spans="1:11" ht="21" x14ac:dyDescent="0.25">
      <c r="A4644" s="11" t="str">
        <f>HYPERLINK("https://rth.dk/resources/bsgatlas/details.php?id=BSGatlas-transcript-4643","BSGatlas-transcript-4643")</f>
        <v>BSGatlas-transcript-4643</v>
      </c>
      <c r="B4644" s="1" t="s">
        <v>11171</v>
      </c>
      <c r="C4644" s="3">
        <v>4094689</v>
      </c>
      <c r="D4644" s="3">
        <v>4096948</v>
      </c>
      <c r="E4644" s="1" t="s">
        <v>13</v>
      </c>
      <c r="F4644" s="1">
        <v>1</v>
      </c>
      <c r="G4644" s="1">
        <v>42</v>
      </c>
      <c r="H4644" s="1">
        <v>668</v>
      </c>
      <c r="I4644" s="1" t="s">
        <v>4373</v>
      </c>
      <c r="J4644" s="1" t="s">
        <v>11172</v>
      </c>
      <c r="K4644" s="1" t="s">
        <v>11173</v>
      </c>
    </row>
    <row r="4645" spans="1:11" ht="21" x14ac:dyDescent="0.25">
      <c r="A4645" s="11" t="str">
        <f>HYPERLINK("https://rth.dk/resources/bsgatlas/details.php?id=BSGatlas-transcript-4644","BSGatlas-transcript-4644")</f>
        <v>BSGatlas-transcript-4644</v>
      </c>
      <c r="B4645" s="1" t="s">
        <v>11171</v>
      </c>
      <c r="C4645" s="3">
        <v>4094689</v>
      </c>
      <c r="D4645" s="3">
        <v>4097017</v>
      </c>
      <c r="E4645" s="1" t="s">
        <v>13</v>
      </c>
      <c r="F4645" s="1">
        <v>1</v>
      </c>
      <c r="G4645" s="1">
        <v>111</v>
      </c>
      <c r="H4645" s="1">
        <v>668</v>
      </c>
      <c r="I4645" s="1" t="s">
        <v>4373</v>
      </c>
      <c r="J4645" s="1" t="s">
        <v>11174</v>
      </c>
      <c r="K4645" s="1" t="s">
        <v>11173</v>
      </c>
    </row>
    <row r="4646" spans="1:11" ht="21" x14ac:dyDescent="0.25">
      <c r="A4646" s="11" t="str">
        <f>HYPERLINK("https://rth.dk/resources/bsgatlas/details.php?id=BSGatlas-transcript-4645","BSGatlas-transcript-4645")</f>
        <v>BSGatlas-transcript-4645</v>
      </c>
      <c r="B4646" s="1" t="s">
        <v>11171</v>
      </c>
      <c r="C4646" s="3">
        <v>4095317</v>
      </c>
      <c r="D4646" s="3">
        <v>4096948</v>
      </c>
      <c r="E4646" s="1" t="s">
        <v>13</v>
      </c>
      <c r="F4646" s="1">
        <v>1</v>
      </c>
      <c r="G4646" s="1">
        <v>42</v>
      </c>
      <c r="H4646" s="1">
        <v>40</v>
      </c>
      <c r="I4646" s="1" t="s">
        <v>4373</v>
      </c>
      <c r="J4646" s="1" t="s">
        <v>11172</v>
      </c>
      <c r="K4646" s="1" t="s">
        <v>11175</v>
      </c>
    </row>
    <row r="4647" spans="1:11" ht="21" x14ac:dyDescent="0.25">
      <c r="A4647" s="11" t="str">
        <f>HYPERLINK("https://rth.dk/resources/bsgatlas/details.php?id=BSGatlas-transcript-4646","BSGatlas-transcript-4646")</f>
        <v>BSGatlas-transcript-4646</v>
      </c>
      <c r="B4647" s="1" t="s">
        <v>11171</v>
      </c>
      <c r="C4647" s="3">
        <v>4095317</v>
      </c>
      <c r="D4647" s="3">
        <v>4097017</v>
      </c>
      <c r="E4647" s="1" t="s">
        <v>13</v>
      </c>
      <c r="F4647" s="1">
        <v>1</v>
      </c>
      <c r="G4647" s="1">
        <v>111</v>
      </c>
      <c r="H4647" s="1">
        <v>40</v>
      </c>
      <c r="I4647" s="1" t="s">
        <v>4373</v>
      </c>
      <c r="J4647" s="1" t="s">
        <v>11174</v>
      </c>
      <c r="K4647" s="1" t="s">
        <v>11175</v>
      </c>
    </row>
    <row r="4648" spans="1:11" ht="21" x14ac:dyDescent="0.25">
      <c r="A4648" s="11" t="str">
        <f>HYPERLINK("https://rth.dk/resources/bsgatlas/details.php?id=BSGatlas-transcript-4647","BSGatlas-transcript-4647")</f>
        <v>BSGatlas-transcript-4647</v>
      </c>
      <c r="B4648" s="1" t="s">
        <v>4238</v>
      </c>
      <c r="C4648" s="3">
        <v>4095915</v>
      </c>
      <c r="D4648" s="3">
        <v>4096948</v>
      </c>
      <c r="E4648" s="1" t="s">
        <v>13</v>
      </c>
      <c r="F4648" s="1">
        <v>0</v>
      </c>
      <c r="G4648" s="1" t="s">
        <v>4372</v>
      </c>
      <c r="H4648" s="1" t="s">
        <v>4372</v>
      </c>
      <c r="I4648" s="1" t="s">
        <v>4377</v>
      </c>
      <c r="J4648" s="1" t="s">
        <v>11172</v>
      </c>
      <c r="K4648" s="1" t="s">
        <v>11176</v>
      </c>
    </row>
    <row r="4649" spans="1:11" ht="21" x14ac:dyDescent="0.25">
      <c r="A4649" s="11" t="str">
        <f>HYPERLINK("https://rth.dk/resources/bsgatlas/details.php?id=BSGatlas-transcript-4648","BSGatlas-transcript-4648")</f>
        <v>BSGatlas-transcript-4648</v>
      </c>
      <c r="B4649" s="1" t="s">
        <v>4238</v>
      </c>
      <c r="C4649" s="3">
        <v>4095915</v>
      </c>
      <c r="D4649" s="3">
        <v>4097017</v>
      </c>
      <c r="E4649" s="1" t="s">
        <v>13</v>
      </c>
      <c r="F4649" s="1">
        <v>0</v>
      </c>
      <c r="G4649" s="1" t="s">
        <v>4372</v>
      </c>
      <c r="H4649" s="1" t="s">
        <v>4372</v>
      </c>
      <c r="I4649" s="1" t="s">
        <v>4377</v>
      </c>
      <c r="J4649" s="1" t="s">
        <v>11174</v>
      </c>
      <c r="K4649" s="1" t="s">
        <v>11176</v>
      </c>
    </row>
    <row r="4650" spans="1:11" ht="21" x14ac:dyDescent="0.25">
      <c r="A4650" s="11" t="str">
        <f>HYPERLINK("https://rth.dk/resources/bsgatlas/details.php?id=BSGatlas-transcript-4649","BSGatlas-transcript-4649")</f>
        <v>BSGatlas-transcript-4649</v>
      </c>
      <c r="B4650" s="1" t="s">
        <v>4239</v>
      </c>
      <c r="C4650" s="3">
        <v>4096997</v>
      </c>
      <c r="D4650" s="3">
        <v>4097409</v>
      </c>
      <c r="E4650" s="1" t="s">
        <v>9</v>
      </c>
      <c r="F4650" s="1">
        <v>0</v>
      </c>
      <c r="G4650" s="1" t="s">
        <v>4372</v>
      </c>
      <c r="H4650" s="1" t="s">
        <v>4372</v>
      </c>
      <c r="I4650" s="1" t="s">
        <v>4377</v>
      </c>
      <c r="J4650" s="1" t="s">
        <v>11177</v>
      </c>
      <c r="K4650" s="1" t="s">
        <v>11178</v>
      </c>
    </row>
    <row r="4651" spans="1:11" ht="21" x14ac:dyDescent="0.25">
      <c r="A4651" s="11" t="str">
        <f>HYPERLINK("https://rth.dk/resources/bsgatlas/details.php?id=BSGatlas-transcript-4650","BSGatlas-transcript-4650")</f>
        <v>BSGatlas-transcript-4650</v>
      </c>
      <c r="B4651" s="1" t="s">
        <v>11179</v>
      </c>
      <c r="C4651" s="3">
        <v>4097416</v>
      </c>
      <c r="D4651" s="3">
        <v>4098905</v>
      </c>
      <c r="E4651" s="1" t="s">
        <v>9</v>
      </c>
      <c r="F4651" s="1">
        <v>0</v>
      </c>
      <c r="G4651" s="1" t="s">
        <v>4372</v>
      </c>
      <c r="H4651" s="1" t="s">
        <v>4372</v>
      </c>
      <c r="I4651" s="1" t="s">
        <v>4386</v>
      </c>
      <c r="J4651" s="1" t="s">
        <v>318</v>
      </c>
      <c r="K4651" s="1" t="s">
        <v>318</v>
      </c>
    </row>
    <row r="4652" spans="1:11" ht="21" x14ac:dyDescent="0.25">
      <c r="A4652" s="11" t="str">
        <f>HYPERLINK("https://rth.dk/resources/bsgatlas/details.php?id=BSGatlas-transcript-4651","BSGatlas-transcript-4651")</f>
        <v>BSGatlas-transcript-4651</v>
      </c>
      <c r="B4652" s="1" t="s">
        <v>11180</v>
      </c>
      <c r="C4652" s="3">
        <v>4097416</v>
      </c>
      <c r="D4652" s="3">
        <v>4102433</v>
      </c>
      <c r="E4652" s="1" t="s">
        <v>9</v>
      </c>
      <c r="F4652" s="1">
        <v>1</v>
      </c>
      <c r="G4652" s="1" t="s">
        <v>4372</v>
      </c>
      <c r="H4652" s="1">
        <v>69</v>
      </c>
      <c r="I4652" s="1" t="s">
        <v>4373</v>
      </c>
      <c r="J4652" s="1" t="s">
        <v>318</v>
      </c>
      <c r="K4652" s="1" t="s">
        <v>11181</v>
      </c>
    </row>
    <row r="4653" spans="1:11" ht="21" x14ac:dyDescent="0.25">
      <c r="A4653" s="11" t="str">
        <f>HYPERLINK("https://rth.dk/resources/bsgatlas/details.php?id=BSGatlas-transcript-4652","BSGatlas-transcript-4652")</f>
        <v>BSGatlas-transcript-4652</v>
      </c>
      <c r="B4653" s="1" t="s">
        <v>4245</v>
      </c>
      <c r="C4653" s="3">
        <v>4102407</v>
      </c>
      <c r="D4653" s="3">
        <v>4103705</v>
      </c>
      <c r="E4653" s="1" t="s">
        <v>13</v>
      </c>
      <c r="F4653" s="1">
        <v>0</v>
      </c>
      <c r="G4653" s="1" t="s">
        <v>4372</v>
      </c>
      <c r="H4653" s="1" t="s">
        <v>4372</v>
      </c>
      <c r="I4653" s="1" t="s">
        <v>4377</v>
      </c>
      <c r="J4653" s="1" t="s">
        <v>11182</v>
      </c>
      <c r="K4653" s="1" t="s">
        <v>11183</v>
      </c>
    </row>
    <row r="4654" spans="1:11" ht="21" x14ac:dyDescent="0.25">
      <c r="A4654" s="11" t="str">
        <f>HYPERLINK("https://rth.dk/resources/bsgatlas/details.php?id=BSGatlas-transcript-4653","BSGatlas-transcript-4653")</f>
        <v>BSGatlas-transcript-4653</v>
      </c>
      <c r="B4654" s="1" t="s">
        <v>11184</v>
      </c>
      <c r="C4654" s="3">
        <v>4102407</v>
      </c>
      <c r="D4654" s="3">
        <v>4104229</v>
      </c>
      <c r="E4654" s="1" t="s">
        <v>13</v>
      </c>
      <c r="F4654" s="1">
        <v>1</v>
      </c>
      <c r="G4654" s="1">
        <v>43</v>
      </c>
      <c r="H4654" s="1">
        <v>23</v>
      </c>
      <c r="I4654" s="1" t="s">
        <v>4373</v>
      </c>
      <c r="J4654" s="1" t="s">
        <v>11185</v>
      </c>
      <c r="K4654" s="1" t="s">
        <v>11183</v>
      </c>
    </row>
    <row r="4655" spans="1:11" ht="21" x14ac:dyDescent="0.25">
      <c r="A4655" s="11" t="str">
        <f>HYPERLINK("https://rth.dk/resources/bsgatlas/details.php?id=BSGatlas-transcript-4654","BSGatlas-transcript-4654")</f>
        <v>BSGatlas-transcript-4654</v>
      </c>
      <c r="B4655" s="1" t="s">
        <v>4247</v>
      </c>
      <c r="C4655" s="3">
        <v>4104396</v>
      </c>
      <c r="D4655" s="3">
        <v>4104899</v>
      </c>
      <c r="E4655" s="1" t="s">
        <v>9</v>
      </c>
      <c r="F4655" s="1">
        <v>0</v>
      </c>
      <c r="G4655" s="1" t="s">
        <v>4372</v>
      </c>
      <c r="H4655" s="1" t="s">
        <v>4372</v>
      </c>
      <c r="I4655" s="1" t="s">
        <v>4373</v>
      </c>
      <c r="J4655" s="1" t="s">
        <v>11186</v>
      </c>
      <c r="K4655" s="1" t="s">
        <v>11187</v>
      </c>
    </row>
    <row r="4656" spans="1:11" ht="21" x14ac:dyDescent="0.25">
      <c r="A4656" s="11" t="str">
        <f>HYPERLINK("https://rth.dk/resources/bsgatlas/details.php?id=BSGatlas-transcript-4655","BSGatlas-transcript-4655")</f>
        <v>BSGatlas-transcript-4655</v>
      </c>
      <c r="B4656" s="1" t="s">
        <v>4247</v>
      </c>
      <c r="C4656" s="3">
        <v>4104396</v>
      </c>
      <c r="D4656" s="3">
        <v>4104949</v>
      </c>
      <c r="E4656" s="1" t="s">
        <v>9</v>
      </c>
      <c r="F4656" s="1">
        <v>0</v>
      </c>
      <c r="G4656" s="1" t="s">
        <v>4372</v>
      </c>
      <c r="H4656" s="1" t="s">
        <v>4372</v>
      </c>
      <c r="I4656" s="1" t="s">
        <v>4373</v>
      </c>
      <c r="J4656" s="1" t="s">
        <v>11186</v>
      </c>
      <c r="K4656" s="1" t="s">
        <v>11188</v>
      </c>
    </row>
    <row r="4657" spans="1:11" ht="21" x14ac:dyDescent="0.25">
      <c r="A4657" s="11" t="str">
        <f>HYPERLINK("https://rth.dk/resources/bsgatlas/details.php?id=BSGatlas-transcript-4656","BSGatlas-transcript-4656")</f>
        <v>BSGatlas-transcript-4656</v>
      </c>
      <c r="B4657" s="1" t="s">
        <v>4247</v>
      </c>
      <c r="C4657" s="3">
        <v>4104396</v>
      </c>
      <c r="D4657" s="3">
        <v>4105546</v>
      </c>
      <c r="E4657" s="1" t="s">
        <v>9</v>
      </c>
      <c r="F4657" s="1">
        <v>0</v>
      </c>
      <c r="G4657" s="1" t="s">
        <v>4372</v>
      </c>
      <c r="H4657" s="1" t="s">
        <v>4372</v>
      </c>
      <c r="I4657" s="1" t="s">
        <v>4373</v>
      </c>
      <c r="J4657" s="1" t="s">
        <v>11186</v>
      </c>
      <c r="K4657" s="1" t="s">
        <v>11189</v>
      </c>
    </row>
    <row r="4658" spans="1:11" ht="21" x14ac:dyDescent="0.25">
      <c r="A4658" s="11" t="str">
        <f>HYPERLINK("https://rth.dk/resources/bsgatlas/details.php?id=BSGatlas-transcript-4657","BSGatlas-transcript-4657")</f>
        <v>BSGatlas-transcript-4657</v>
      </c>
      <c r="B4658" s="1" t="s">
        <v>11190</v>
      </c>
      <c r="C4658" s="3">
        <v>4104894</v>
      </c>
      <c r="D4658" s="3">
        <v>4107332</v>
      </c>
      <c r="E4658" s="1" t="s">
        <v>13</v>
      </c>
      <c r="F4658" s="1">
        <v>1</v>
      </c>
      <c r="G4658" s="1">
        <v>75</v>
      </c>
      <c r="H4658" s="1">
        <v>36</v>
      </c>
      <c r="I4658" s="1" t="s">
        <v>4373</v>
      </c>
      <c r="J4658" s="1" t="s">
        <v>11191</v>
      </c>
      <c r="K4658" s="1" t="s">
        <v>11192</v>
      </c>
    </row>
    <row r="4659" spans="1:11" ht="21" x14ac:dyDescent="0.25">
      <c r="A4659" s="11" t="str">
        <f>HYPERLINK("https://rth.dk/resources/bsgatlas/details.php?id=BSGatlas-transcript-4658","BSGatlas-transcript-4658")</f>
        <v>BSGatlas-transcript-4658</v>
      </c>
      <c r="B4659" s="1" t="s">
        <v>4250</v>
      </c>
      <c r="C4659" s="3">
        <v>4107352</v>
      </c>
      <c r="D4659" s="3">
        <v>4107970</v>
      </c>
      <c r="E4659" s="1" t="s">
        <v>13</v>
      </c>
      <c r="F4659" s="1">
        <v>0</v>
      </c>
      <c r="G4659" s="1" t="s">
        <v>4372</v>
      </c>
      <c r="H4659" s="1" t="s">
        <v>4372</v>
      </c>
      <c r="I4659" s="1" t="s">
        <v>4373</v>
      </c>
      <c r="J4659" s="1" t="s">
        <v>11193</v>
      </c>
      <c r="K4659" s="1" t="s">
        <v>11194</v>
      </c>
    </row>
    <row r="4660" spans="1:11" ht="21" x14ac:dyDescent="0.25">
      <c r="A4660" s="11" t="str">
        <f>HYPERLINK("https://rth.dk/resources/bsgatlas/details.php?id=BSGatlas-transcript-4659","BSGatlas-transcript-4659")</f>
        <v>BSGatlas-transcript-4659</v>
      </c>
      <c r="B4660" s="1" t="s">
        <v>4251</v>
      </c>
      <c r="C4660" s="3">
        <v>4108026</v>
      </c>
      <c r="D4660" s="3">
        <v>4109188</v>
      </c>
      <c r="E4660" s="1" t="s">
        <v>9</v>
      </c>
      <c r="F4660" s="1">
        <v>0</v>
      </c>
      <c r="G4660" s="1" t="s">
        <v>4372</v>
      </c>
      <c r="H4660" s="1" t="s">
        <v>4372</v>
      </c>
      <c r="I4660" s="1" t="s">
        <v>4373</v>
      </c>
      <c r="J4660" s="1" t="s">
        <v>11195</v>
      </c>
      <c r="K4660" s="1" t="s">
        <v>11196</v>
      </c>
    </row>
    <row r="4661" spans="1:11" ht="21" x14ac:dyDescent="0.25">
      <c r="A4661" s="11" t="str">
        <f>HYPERLINK("https://rth.dk/resources/bsgatlas/details.php?id=BSGatlas-transcript-4660","BSGatlas-transcript-4660")</f>
        <v>BSGatlas-transcript-4660</v>
      </c>
      <c r="B4661" s="1" t="s">
        <v>4252</v>
      </c>
      <c r="C4661" s="3">
        <v>4109133</v>
      </c>
      <c r="D4661" s="3">
        <v>4109748</v>
      </c>
      <c r="E4661" s="1" t="s">
        <v>13</v>
      </c>
      <c r="F4661" s="1">
        <v>0</v>
      </c>
      <c r="G4661" s="1" t="s">
        <v>4372</v>
      </c>
      <c r="H4661" s="1" t="s">
        <v>4372</v>
      </c>
      <c r="I4661" s="1" t="s">
        <v>4373</v>
      </c>
      <c r="J4661" s="1" t="s">
        <v>11197</v>
      </c>
      <c r="K4661" s="1" t="s">
        <v>11198</v>
      </c>
    </row>
    <row r="4662" spans="1:11" ht="21" x14ac:dyDescent="0.25">
      <c r="A4662" s="11" t="str">
        <f>HYPERLINK("https://rth.dk/resources/bsgatlas/details.php?id=BSGatlas-transcript-4661","BSGatlas-transcript-4661")</f>
        <v>BSGatlas-transcript-4661</v>
      </c>
      <c r="B4662" s="1" t="s">
        <v>11199</v>
      </c>
      <c r="C4662" s="3">
        <v>4109676</v>
      </c>
      <c r="D4662" s="3">
        <v>4110955</v>
      </c>
      <c r="E4662" s="1" t="s">
        <v>9</v>
      </c>
      <c r="F4662" s="1">
        <v>0</v>
      </c>
      <c r="G4662" s="1" t="s">
        <v>4372</v>
      </c>
      <c r="H4662" s="1" t="s">
        <v>4372</v>
      </c>
      <c r="I4662" s="1" t="s">
        <v>4397</v>
      </c>
      <c r="J4662" s="1" t="s">
        <v>11200</v>
      </c>
      <c r="K4662" s="1" t="s">
        <v>11201</v>
      </c>
    </row>
    <row r="4663" spans="1:11" ht="21" x14ac:dyDescent="0.25">
      <c r="A4663" s="11" t="str">
        <f>HYPERLINK("https://rth.dk/resources/bsgatlas/details.php?id=BSGatlas-transcript-4662","BSGatlas-transcript-4662")</f>
        <v>BSGatlas-transcript-4662</v>
      </c>
      <c r="B4663" s="1" t="s">
        <v>4255</v>
      </c>
      <c r="C4663" s="3">
        <v>4109831</v>
      </c>
      <c r="D4663" s="3">
        <v>4112035</v>
      </c>
      <c r="E4663" s="1" t="s">
        <v>13</v>
      </c>
      <c r="F4663" s="1">
        <v>0</v>
      </c>
      <c r="G4663" s="1" t="s">
        <v>4372</v>
      </c>
      <c r="H4663" s="1" t="s">
        <v>4372</v>
      </c>
      <c r="I4663" s="1" t="s">
        <v>4386</v>
      </c>
      <c r="J4663" s="1" t="s">
        <v>11202</v>
      </c>
      <c r="K4663" s="1" t="s">
        <v>11203</v>
      </c>
    </row>
    <row r="4664" spans="1:11" ht="21" x14ac:dyDescent="0.25">
      <c r="A4664" s="11" t="str">
        <f>HYPERLINK("https://rth.dk/resources/bsgatlas/details.php?id=BSGatlas-transcript-4663","BSGatlas-transcript-4663")</f>
        <v>BSGatlas-transcript-4663</v>
      </c>
      <c r="B4664" s="1" t="s">
        <v>11204</v>
      </c>
      <c r="C4664" s="3">
        <v>4109831</v>
      </c>
      <c r="D4664" s="3">
        <v>4113261</v>
      </c>
      <c r="E4664" s="1" t="s">
        <v>13</v>
      </c>
      <c r="F4664" s="1">
        <v>1</v>
      </c>
      <c r="G4664" s="1">
        <v>41</v>
      </c>
      <c r="H4664" s="1">
        <v>1119</v>
      </c>
      <c r="I4664" s="1" t="s">
        <v>4373</v>
      </c>
      <c r="J4664" s="1" t="s">
        <v>11205</v>
      </c>
      <c r="K4664" s="1" t="s">
        <v>11203</v>
      </c>
    </row>
    <row r="4665" spans="1:11" ht="21" x14ac:dyDescent="0.25">
      <c r="A4665" s="11" t="str">
        <f>HYPERLINK("https://rth.dk/resources/bsgatlas/details.php?id=BSGatlas-transcript-4664","BSGatlas-transcript-4664")</f>
        <v>BSGatlas-transcript-4664</v>
      </c>
      <c r="B4665" s="1" t="s">
        <v>4254</v>
      </c>
      <c r="C4665" s="3">
        <v>4110217</v>
      </c>
      <c r="D4665" s="3">
        <v>4110955</v>
      </c>
      <c r="E4665" s="1" t="s">
        <v>9</v>
      </c>
      <c r="F4665" s="1">
        <v>0</v>
      </c>
      <c r="G4665" s="1" t="s">
        <v>4372</v>
      </c>
      <c r="H4665" s="1" t="s">
        <v>4372</v>
      </c>
      <c r="I4665" s="1" t="s">
        <v>4684</v>
      </c>
      <c r="J4665" s="1" t="s">
        <v>318</v>
      </c>
      <c r="K4665" s="1" t="s">
        <v>11201</v>
      </c>
    </row>
    <row r="4666" spans="1:11" ht="21" x14ac:dyDescent="0.25">
      <c r="A4666" s="11" t="str">
        <f>HYPERLINK("https://rth.dk/resources/bsgatlas/details.php?id=BSGatlas-transcript-4665","BSGatlas-transcript-4665")</f>
        <v>BSGatlas-transcript-4665</v>
      </c>
      <c r="B4666" s="1" t="s">
        <v>4255</v>
      </c>
      <c r="C4666" s="3">
        <v>4110903</v>
      </c>
      <c r="D4666" s="3">
        <v>4112035</v>
      </c>
      <c r="E4666" s="1" t="s">
        <v>13</v>
      </c>
      <c r="F4666" s="1">
        <v>0</v>
      </c>
      <c r="G4666" s="1" t="s">
        <v>4372</v>
      </c>
      <c r="H4666" s="1" t="s">
        <v>4372</v>
      </c>
      <c r="I4666" s="1" t="s">
        <v>4386</v>
      </c>
      <c r="J4666" s="1" t="s">
        <v>11202</v>
      </c>
      <c r="K4666" s="1" t="s">
        <v>11206</v>
      </c>
    </row>
    <row r="4667" spans="1:11" ht="21" x14ac:dyDescent="0.25">
      <c r="A4667" s="11" t="str">
        <f>HYPERLINK("https://rth.dk/resources/bsgatlas/details.php?id=BSGatlas-transcript-4666","BSGatlas-transcript-4666")</f>
        <v>BSGatlas-transcript-4666</v>
      </c>
      <c r="B4667" s="1" t="s">
        <v>11204</v>
      </c>
      <c r="C4667" s="3">
        <v>4110903</v>
      </c>
      <c r="D4667" s="3">
        <v>4113261</v>
      </c>
      <c r="E4667" s="1" t="s">
        <v>13</v>
      </c>
      <c r="F4667" s="1">
        <v>1</v>
      </c>
      <c r="G4667" s="1">
        <v>41</v>
      </c>
      <c r="H4667" s="1">
        <v>47</v>
      </c>
      <c r="I4667" s="1" t="s">
        <v>4373</v>
      </c>
      <c r="J4667" s="1" t="s">
        <v>11205</v>
      </c>
      <c r="K4667" s="1" t="s">
        <v>11206</v>
      </c>
    </row>
    <row r="4668" spans="1:11" ht="21" x14ac:dyDescent="0.25">
      <c r="A4668" s="11" t="str">
        <f>HYPERLINK("https://rth.dk/resources/bsgatlas/details.php?id=BSGatlas-transcript-4667","BSGatlas-transcript-4667")</f>
        <v>BSGatlas-transcript-4667</v>
      </c>
      <c r="B4668" s="1" t="s">
        <v>11207</v>
      </c>
      <c r="C4668" s="3">
        <v>4111963</v>
      </c>
      <c r="D4668" s="3">
        <v>4118539</v>
      </c>
      <c r="E4668" s="1" t="s">
        <v>9</v>
      </c>
      <c r="F4668" s="1">
        <v>2</v>
      </c>
      <c r="G4668" s="1">
        <v>1455</v>
      </c>
      <c r="H4668" s="1">
        <v>54</v>
      </c>
      <c r="I4668" s="1" t="s">
        <v>4373</v>
      </c>
      <c r="J4668" s="1" t="s">
        <v>11208</v>
      </c>
      <c r="K4668" s="1" t="s">
        <v>11209</v>
      </c>
    </row>
    <row r="4669" spans="1:11" ht="21" x14ac:dyDescent="0.25">
      <c r="A4669" s="11" t="str">
        <f>HYPERLINK("https://rth.dk/resources/bsgatlas/details.php?id=BSGatlas-transcript-4668","BSGatlas-transcript-4668")</f>
        <v>BSGatlas-transcript-4668</v>
      </c>
      <c r="B4669" s="1" t="s">
        <v>11207</v>
      </c>
      <c r="C4669" s="3">
        <v>4113383</v>
      </c>
      <c r="D4669" s="3">
        <v>4118539</v>
      </c>
      <c r="E4669" s="1" t="s">
        <v>9</v>
      </c>
      <c r="F4669" s="1">
        <v>2</v>
      </c>
      <c r="G4669" s="1">
        <v>35</v>
      </c>
      <c r="H4669" s="1">
        <v>54</v>
      </c>
      <c r="I4669" s="1" t="s">
        <v>4373</v>
      </c>
      <c r="J4669" s="1" t="s">
        <v>11210</v>
      </c>
      <c r="K4669" s="1" t="s">
        <v>11209</v>
      </c>
    </row>
    <row r="4670" spans="1:11" ht="21" x14ac:dyDescent="0.25">
      <c r="A4670" s="11" t="str">
        <f>HYPERLINK("https://rth.dk/resources/bsgatlas/details.php?id=BSGatlas-transcript-4669","BSGatlas-transcript-4669")</f>
        <v>BSGatlas-transcript-4669</v>
      </c>
      <c r="B4670" s="1" t="s">
        <v>4260</v>
      </c>
      <c r="C4670" s="3">
        <v>4116539</v>
      </c>
      <c r="D4670" s="3">
        <v>4118539</v>
      </c>
      <c r="E4670" s="1" t="s">
        <v>9</v>
      </c>
      <c r="F4670" s="1">
        <v>0</v>
      </c>
      <c r="G4670" s="1" t="s">
        <v>4372</v>
      </c>
      <c r="H4670" s="1" t="s">
        <v>4372</v>
      </c>
      <c r="I4670" s="1" t="s">
        <v>4386</v>
      </c>
      <c r="J4670" s="1" t="s">
        <v>11211</v>
      </c>
      <c r="K4670" s="1" t="s">
        <v>11209</v>
      </c>
    </row>
    <row r="4671" spans="1:11" ht="21" x14ac:dyDescent="0.25">
      <c r="A4671" s="11" t="str">
        <f>HYPERLINK("https://rth.dk/resources/bsgatlas/details.php?id=BSGatlas-transcript-4670","BSGatlas-transcript-4670")</f>
        <v>BSGatlas-transcript-4670</v>
      </c>
      <c r="B4671" s="1" t="s">
        <v>4260</v>
      </c>
      <c r="C4671" s="3">
        <v>4117054</v>
      </c>
      <c r="D4671" s="3">
        <v>4118539</v>
      </c>
      <c r="E4671" s="1" t="s">
        <v>9</v>
      </c>
      <c r="F4671" s="1">
        <v>0</v>
      </c>
      <c r="G4671" s="1" t="s">
        <v>4372</v>
      </c>
      <c r="H4671" s="1" t="s">
        <v>4372</v>
      </c>
      <c r="I4671" s="1" t="s">
        <v>4386</v>
      </c>
      <c r="J4671" s="1" t="s">
        <v>11212</v>
      </c>
      <c r="K4671" s="1" t="s">
        <v>11209</v>
      </c>
    </row>
    <row r="4672" spans="1:11" ht="21" x14ac:dyDescent="0.25">
      <c r="A4672" s="11" t="str">
        <f>HYPERLINK("https://rth.dk/resources/bsgatlas/details.php?id=BSGatlas-transcript-4671","BSGatlas-transcript-4671")</f>
        <v>BSGatlas-transcript-4671</v>
      </c>
      <c r="B4672" s="1" t="s">
        <v>4260</v>
      </c>
      <c r="C4672" s="3">
        <v>4117061</v>
      </c>
      <c r="D4672" s="3">
        <v>4118539</v>
      </c>
      <c r="E4672" s="1" t="s">
        <v>9</v>
      </c>
      <c r="F4672" s="1">
        <v>0</v>
      </c>
      <c r="G4672" s="1" t="s">
        <v>4372</v>
      </c>
      <c r="H4672" s="1" t="s">
        <v>4372</v>
      </c>
      <c r="I4672" s="1" t="s">
        <v>4386</v>
      </c>
      <c r="J4672" s="1" t="s">
        <v>11213</v>
      </c>
      <c r="K4672" s="1" t="s">
        <v>11209</v>
      </c>
    </row>
    <row r="4673" spans="1:11" ht="21" x14ac:dyDescent="0.25">
      <c r="A4673" s="11" t="str">
        <f>HYPERLINK("https://rth.dk/resources/bsgatlas/details.php?id=BSGatlas-transcript-4672","BSGatlas-transcript-4672")</f>
        <v>BSGatlas-transcript-4672</v>
      </c>
      <c r="B4673" s="1" t="s">
        <v>11214</v>
      </c>
      <c r="C4673" s="3">
        <v>4118585</v>
      </c>
      <c r="D4673" s="3">
        <v>4121113</v>
      </c>
      <c r="E4673" s="1" t="s">
        <v>9</v>
      </c>
      <c r="F4673" s="1">
        <v>0</v>
      </c>
      <c r="G4673" s="1" t="s">
        <v>4372</v>
      </c>
      <c r="H4673" s="1" t="s">
        <v>4372</v>
      </c>
      <c r="I4673" s="1" t="s">
        <v>4373</v>
      </c>
      <c r="J4673" s="1" t="s">
        <v>11215</v>
      </c>
      <c r="K4673" s="1" t="s">
        <v>11216</v>
      </c>
    </row>
    <row r="4674" spans="1:11" ht="21" x14ac:dyDescent="0.25">
      <c r="A4674" s="11" t="str">
        <f>HYPERLINK("https://rth.dk/resources/bsgatlas/details.php?id=BSGatlas-transcript-4673","BSGatlas-transcript-4673")</f>
        <v>BSGatlas-transcript-4673</v>
      </c>
      <c r="B4674" s="1" t="s">
        <v>11214</v>
      </c>
      <c r="C4674" s="3">
        <v>4118886</v>
      </c>
      <c r="D4674" s="3">
        <v>4121113</v>
      </c>
      <c r="E4674" s="1" t="s">
        <v>9</v>
      </c>
      <c r="F4674" s="1">
        <v>0</v>
      </c>
      <c r="G4674" s="1" t="s">
        <v>4372</v>
      </c>
      <c r="H4674" s="1" t="s">
        <v>4372</v>
      </c>
      <c r="I4674" s="1" t="s">
        <v>4373</v>
      </c>
      <c r="J4674" s="1" t="s">
        <v>11217</v>
      </c>
      <c r="K4674" s="1" t="s">
        <v>11216</v>
      </c>
    </row>
    <row r="4675" spans="1:11" ht="21" x14ac:dyDescent="0.25">
      <c r="A4675" s="11" t="str">
        <f>HYPERLINK("https://rth.dk/resources/bsgatlas/details.php?id=BSGatlas-transcript-4674","BSGatlas-transcript-4674")</f>
        <v>BSGatlas-transcript-4674</v>
      </c>
      <c r="B4675" s="1" t="s">
        <v>11214</v>
      </c>
      <c r="C4675" s="3">
        <v>4118950</v>
      </c>
      <c r="D4675" s="3">
        <v>4121113</v>
      </c>
      <c r="E4675" s="1" t="s">
        <v>9</v>
      </c>
      <c r="F4675" s="1">
        <v>0</v>
      </c>
      <c r="G4675" s="1" t="s">
        <v>4372</v>
      </c>
      <c r="H4675" s="1" t="s">
        <v>4372</v>
      </c>
      <c r="I4675" s="1" t="s">
        <v>4373</v>
      </c>
      <c r="J4675" s="1" t="s">
        <v>11218</v>
      </c>
      <c r="K4675" s="1" t="s">
        <v>11216</v>
      </c>
    </row>
    <row r="4676" spans="1:11" ht="21" x14ac:dyDescent="0.25">
      <c r="A4676" s="11" t="str">
        <f>HYPERLINK("https://rth.dk/resources/bsgatlas/details.php?id=BSGatlas-transcript-4675","BSGatlas-transcript-4675")</f>
        <v>BSGatlas-transcript-4675</v>
      </c>
      <c r="B4676" s="1" t="s">
        <v>11219</v>
      </c>
      <c r="C4676" s="3">
        <v>4120861</v>
      </c>
      <c r="D4676" s="3">
        <v>4122849</v>
      </c>
      <c r="E4676" s="1" t="s">
        <v>13</v>
      </c>
      <c r="F4676" s="1">
        <v>0</v>
      </c>
      <c r="G4676" s="1" t="s">
        <v>4372</v>
      </c>
      <c r="H4676" s="1" t="s">
        <v>4372</v>
      </c>
      <c r="I4676" s="1" t="s">
        <v>4373</v>
      </c>
      <c r="J4676" s="1" t="s">
        <v>318</v>
      </c>
      <c r="K4676" s="1" t="s">
        <v>11220</v>
      </c>
    </row>
    <row r="4677" spans="1:11" ht="21" x14ac:dyDescent="0.25">
      <c r="A4677" s="11" t="str">
        <f>HYPERLINK("https://rth.dk/resources/bsgatlas/details.php?id=BSGatlas-transcript-4676","BSGatlas-transcript-4676")</f>
        <v>BSGatlas-transcript-4676</v>
      </c>
      <c r="B4677" s="1" t="s">
        <v>11219</v>
      </c>
      <c r="C4677" s="3">
        <v>4121108</v>
      </c>
      <c r="D4677" s="3">
        <v>4122849</v>
      </c>
      <c r="E4677" s="1" t="s">
        <v>13</v>
      </c>
      <c r="F4677" s="1">
        <v>0</v>
      </c>
      <c r="G4677" s="1" t="s">
        <v>4372</v>
      </c>
      <c r="H4677" s="1" t="s">
        <v>4372</v>
      </c>
      <c r="I4677" s="1" t="s">
        <v>4373</v>
      </c>
      <c r="J4677" s="1" t="s">
        <v>318</v>
      </c>
      <c r="K4677" s="1" t="s">
        <v>11221</v>
      </c>
    </row>
    <row r="4678" spans="1:11" ht="21" x14ac:dyDescent="0.25">
      <c r="A4678" s="11" t="str">
        <f>HYPERLINK("https://rth.dk/resources/bsgatlas/details.php?id=BSGatlas-transcript-4677","BSGatlas-transcript-4677")</f>
        <v>BSGatlas-transcript-4677</v>
      </c>
      <c r="B4678" s="1" t="s">
        <v>4265</v>
      </c>
      <c r="C4678" s="3">
        <v>4122960</v>
      </c>
      <c r="D4678" s="3">
        <v>4123062</v>
      </c>
      <c r="E4678" s="1" t="s">
        <v>13</v>
      </c>
      <c r="F4678" s="1">
        <v>0</v>
      </c>
      <c r="G4678" s="1" t="s">
        <v>4372</v>
      </c>
      <c r="H4678" s="1" t="s">
        <v>4372</v>
      </c>
      <c r="I4678" s="1" t="s">
        <v>4377</v>
      </c>
      <c r="J4678" s="1" t="s">
        <v>11222</v>
      </c>
      <c r="K4678" s="1" t="s">
        <v>318</v>
      </c>
    </row>
    <row r="4679" spans="1:11" ht="21" x14ac:dyDescent="0.25">
      <c r="A4679" s="11" t="str">
        <f>HYPERLINK("https://rth.dk/resources/bsgatlas/details.php?id=BSGatlas-transcript-4678","BSGatlas-transcript-4678")</f>
        <v>BSGatlas-transcript-4678</v>
      </c>
      <c r="B4679" s="1" t="s">
        <v>4266</v>
      </c>
      <c r="C4679" s="3">
        <v>4123158</v>
      </c>
      <c r="D4679" s="3">
        <v>4123903</v>
      </c>
      <c r="E4679" s="1" t="s">
        <v>9</v>
      </c>
      <c r="F4679" s="1">
        <v>0</v>
      </c>
      <c r="G4679" s="1" t="s">
        <v>4372</v>
      </c>
      <c r="H4679" s="1" t="s">
        <v>4372</v>
      </c>
      <c r="I4679" s="1" t="s">
        <v>4382</v>
      </c>
      <c r="J4679" s="1" t="s">
        <v>11223</v>
      </c>
      <c r="K4679" s="1" t="s">
        <v>318</v>
      </c>
    </row>
    <row r="4680" spans="1:11" ht="21" x14ac:dyDescent="0.25">
      <c r="A4680" s="11" t="str">
        <f>HYPERLINK("https://rth.dk/resources/bsgatlas/details.php?id=BSGatlas-transcript-4679","BSGatlas-transcript-4679")</f>
        <v>BSGatlas-transcript-4679</v>
      </c>
      <c r="B4680" s="1" t="s">
        <v>11224</v>
      </c>
      <c r="C4680" s="3">
        <v>4123158</v>
      </c>
      <c r="D4680" s="3">
        <v>4124089</v>
      </c>
      <c r="E4680" s="1" t="s">
        <v>9</v>
      </c>
      <c r="F4680" s="1">
        <v>1</v>
      </c>
      <c r="G4680" s="1">
        <v>36</v>
      </c>
      <c r="H4680" s="1" t="s">
        <v>4372</v>
      </c>
      <c r="I4680" s="1" t="s">
        <v>4386</v>
      </c>
      <c r="J4680" s="1" t="s">
        <v>11223</v>
      </c>
      <c r="K4680" s="1" t="s">
        <v>11225</v>
      </c>
    </row>
    <row r="4681" spans="1:11" ht="21" x14ac:dyDescent="0.25">
      <c r="A4681" s="11" t="str">
        <f>HYPERLINK("https://rth.dk/resources/bsgatlas/details.php?id=BSGatlas-transcript-4680","BSGatlas-transcript-4680")</f>
        <v>BSGatlas-transcript-4680</v>
      </c>
      <c r="B4681" s="1" t="s">
        <v>11224</v>
      </c>
      <c r="C4681" s="3">
        <v>4123158</v>
      </c>
      <c r="D4681" s="3">
        <v>4124188</v>
      </c>
      <c r="E4681" s="1" t="s">
        <v>9</v>
      </c>
      <c r="F4681" s="1">
        <v>1</v>
      </c>
      <c r="G4681" s="1">
        <v>36</v>
      </c>
      <c r="H4681" s="1">
        <v>100</v>
      </c>
      <c r="I4681" s="1" t="s">
        <v>4386</v>
      </c>
      <c r="J4681" s="1" t="s">
        <v>11223</v>
      </c>
      <c r="K4681" s="1" t="s">
        <v>11226</v>
      </c>
    </row>
    <row r="4682" spans="1:11" ht="21" x14ac:dyDescent="0.25">
      <c r="A4682" s="11" t="str">
        <f>HYPERLINK("https://rth.dk/resources/bsgatlas/details.php?id=BSGatlas-transcript-4681","BSGatlas-transcript-4681")</f>
        <v>BSGatlas-transcript-4681</v>
      </c>
      <c r="B4682" s="1" t="s">
        <v>11227</v>
      </c>
      <c r="C4682" s="3">
        <v>4124176</v>
      </c>
      <c r="D4682" s="3">
        <v>4126500</v>
      </c>
      <c r="E4682" s="1" t="s">
        <v>13</v>
      </c>
      <c r="F4682" s="1">
        <v>2</v>
      </c>
      <c r="G4682" s="1" t="s">
        <v>4372</v>
      </c>
      <c r="H4682" s="1">
        <v>45</v>
      </c>
      <c r="I4682" s="1" t="s">
        <v>4377</v>
      </c>
      <c r="J4682" s="1" t="s">
        <v>11228</v>
      </c>
      <c r="K4682" s="1" t="s">
        <v>11229</v>
      </c>
    </row>
    <row r="4683" spans="1:11" ht="21" x14ac:dyDescent="0.25">
      <c r="A4683" s="11" t="str">
        <f>HYPERLINK("https://rth.dk/resources/bsgatlas/details.php?id=BSGatlas-transcript-4682","BSGatlas-transcript-4682")</f>
        <v>BSGatlas-transcript-4682</v>
      </c>
      <c r="B4683" s="1" t="s">
        <v>11230</v>
      </c>
      <c r="C4683" s="3">
        <v>4124176</v>
      </c>
      <c r="D4683" s="3">
        <v>4127672</v>
      </c>
      <c r="E4683" s="1" t="s">
        <v>13</v>
      </c>
      <c r="F4683" s="1">
        <v>3</v>
      </c>
      <c r="G4683" s="1">
        <v>26</v>
      </c>
      <c r="H4683" s="1">
        <v>45</v>
      </c>
      <c r="I4683" s="1" t="s">
        <v>4373</v>
      </c>
      <c r="J4683" s="1" t="s">
        <v>11231</v>
      </c>
      <c r="K4683" s="1" t="s">
        <v>11229</v>
      </c>
    </row>
    <row r="4684" spans="1:11" ht="21" x14ac:dyDescent="0.25">
      <c r="A4684" s="11" t="str">
        <f>HYPERLINK("https://rth.dk/resources/bsgatlas/details.php?id=BSGatlas-transcript-4683","BSGatlas-transcript-4683")</f>
        <v>BSGatlas-transcript-4683</v>
      </c>
      <c r="B4684" s="1" t="s">
        <v>4272</v>
      </c>
      <c r="C4684" s="3">
        <v>4127483</v>
      </c>
      <c r="D4684" s="3">
        <v>4127672</v>
      </c>
      <c r="E4684" s="1" t="s">
        <v>13</v>
      </c>
      <c r="F4684" s="1">
        <v>0</v>
      </c>
      <c r="G4684" s="1" t="s">
        <v>4372</v>
      </c>
      <c r="H4684" s="1" t="s">
        <v>4372</v>
      </c>
      <c r="I4684" s="1" t="s">
        <v>4377</v>
      </c>
      <c r="J4684" s="1" t="s">
        <v>11231</v>
      </c>
      <c r="K4684" s="1" t="s">
        <v>11232</v>
      </c>
    </row>
    <row r="4685" spans="1:11" ht="21" x14ac:dyDescent="0.25">
      <c r="A4685" s="11" t="str">
        <f>HYPERLINK("https://rth.dk/resources/bsgatlas/details.php?id=BSGatlas-transcript-4684","BSGatlas-transcript-4684")</f>
        <v>BSGatlas-transcript-4684</v>
      </c>
      <c r="B4685" s="1" t="s">
        <v>4273</v>
      </c>
      <c r="C4685" s="3">
        <v>4127484</v>
      </c>
      <c r="D4685" s="3">
        <v>4130392</v>
      </c>
      <c r="E4685" s="1" t="s">
        <v>9</v>
      </c>
      <c r="F4685" s="1">
        <v>0</v>
      </c>
      <c r="G4685" s="1" t="s">
        <v>4372</v>
      </c>
      <c r="H4685" s="1" t="s">
        <v>4372</v>
      </c>
      <c r="I4685" s="1" t="s">
        <v>4373</v>
      </c>
      <c r="J4685" s="1" t="s">
        <v>11233</v>
      </c>
      <c r="K4685" s="1" t="s">
        <v>11234</v>
      </c>
    </row>
    <row r="4686" spans="1:11" ht="21" x14ac:dyDescent="0.25">
      <c r="A4686" s="11" t="str">
        <f>HYPERLINK("https://rth.dk/resources/bsgatlas/details.php?id=BSGatlas-transcript-4685","BSGatlas-transcript-4685")</f>
        <v>BSGatlas-transcript-4685</v>
      </c>
      <c r="B4686" s="1" t="s">
        <v>4273</v>
      </c>
      <c r="C4686" s="3">
        <v>4127484</v>
      </c>
      <c r="D4686" s="3">
        <v>4131442</v>
      </c>
      <c r="E4686" s="1" t="s">
        <v>9</v>
      </c>
      <c r="F4686" s="1">
        <v>0</v>
      </c>
      <c r="G4686" s="1" t="s">
        <v>4372</v>
      </c>
      <c r="H4686" s="1" t="s">
        <v>4372</v>
      </c>
      <c r="I4686" s="1" t="s">
        <v>4373</v>
      </c>
      <c r="J4686" s="1" t="s">
        <v>11233</v>
      </c>
      <c r="K4686" s="1" t="s">
        <v>11235</v>
      </c>
    </row>
    <row r="4687" spans="1:11" ht="21" x14ac:dyDescent="0.25">
      <c r="A4687" s="11" t="str">
        <f>HYPERLINK("https://rth.dk/resources/bsgatlas/details.php?id=BSGatlas-transcript-4686","BSGatlas-transcript-4686")</f>
        <v>BSGatlas-transcript-4686</v>
      </c>
      <c r="B4687" s="1" t="s">
        <v>4273</v>
      </c>
      <c r="C4687" s="3">
        <v>4127561</v>
      </c>
      <c r="D4687" s="3">
        <v>4130392</v>
      </c>
      <c r="E4687" s="1" t="s">
        <v>9</v>
      </c>
      <c r="F4687" s="1">
        <v>0</v>
      </c>
      <c r="G4687" s="1" t="s">
        <v>4372</v>
      </c>
      <c r="H4687" s="1" t="s">
        <v>4372</v>
      </c>
      <c r="I4687" s="1" t="s">
        <v>4373</v>
      </c>
      <c r="J4687" s="1" t="s">
        <v>11236</v>
      </c>
      <c r="K4687" s="1" t="s">
        <v>11234</v>
      </c>
    </row>
    <row r="4688" spans="1:11" ht="21" x14ac:dyDescent="0.25">
      <c r="A4688" s="11" t="str">
        <f>HYPERLINK("https://rth.dk/resources/bsgatlas/details.php?id=BSGatlas-transcript-4687","BSGatlas-transcript-4687")</f>
        <v>BSGatlas-transcript-4687</v>
      </c>
      <c r="B4688" s="1" t="s">
        <v>4273</v>
      </c>
      <c r="C4688" s="3">
        <v>4127561</v>
      </c>
      <c r="D4688" s="3">
        <v>4131442</v>
      </c>
      <c r="E4688" s="1" t="s">
        <v>9</v>
      </c>
      <c r="F4688" s="1">
        <v>0</v>
      </c>
      <c r="G4688" s="1" t="s">
        <v>4372</v>
      </c>
      <c r="H4688" s="1" t="s">
        <v>4372</v>
      </c>
      <c r="I4688" s="1" t="s">
        <v>4373</v>
      </c>
      <c r="J4688" s="1" t="s">
        <v>11236</v>
      </c>
      <c r="K4688" s="1" t="s">
        <v>11235</v>
      </c>
    </row>
    <row r="4689" spans="1:11" ht="21" x14ac:dyDescent="0.25">
      <c r="A4689" s="11" t="str">
        <f>HYPERLINK("https://rth.dk/resources/bsgatlas/details.php?id=BSGatlas-transcript-4688","BSGatlas-transcript-4688")</f>
        <v>BSGatlas-transcript-4688</v>
      </c>
      <c r="B4689" s="1" t="s">
        <v>4273</v>
      </c>
      <c r="C4689" s="3">
        <v>4128024</v>
      </c>
      <c r="D4689" s="3">
        <v>4130392</v>
      </c>
      <c r="E4689" s="1" t="s">
        <v>9</v>
      </c>
      <c r="F4689" s="1">
        <v>0</v>
      </c>
      <c r="G4689" s="1" t="s">
        <v>4372</v>
      </c>
      <c r="H4689" s="1" t="s">
        <v>4372</v>
      </c>
      <c r="I4689" s="1" t="s">
        <v>4373</v>
      </c>
      <c r="J4689" s="1" t="s">
        <v>11237</v>
      </c>
      <c r="K4689" s="1" t="s">
        <v>11234</v>
      </c>
    </row>
    <row r="4690" spans="1:11" ht="21" x14ac:dyDescent="0.25">
      <c r="A4690" s="11" t="str">
        <f>HYPERLINK("https://rth.dk/resources/bsgatlas/details.php?id=BSGatlas-transcript-4689","BSGatlas-transcript-4689")</f>
        <v>BSGatlas-transcript-4689</v>
      </c>
      <c r="B4690" s="1" t="s">
        <v>4273</v>
      </c>
      <c r="C4690" s="3">
        <v>4128024</v>
      </c>
      <c r="D4690" s="3">
        <v>4131442</v>
      </c>
      <c r="E4690" s="1" t="s">
        <v>9</v>
      </c>
      <c r="F4690" s="1">
        <v>0</v>
      </c>
      <c r="G4690" s="1" t="s">
        <v>4372</v>
      </c>
      <c r="H4690" s="1" t="s">
        <v>4372</v>
      </c>
      <c r="I4690" s="1" t="s">
        <v>4373</v>
      </c>
      <c r="J4690" s="1" t="s">
        <v>11237</v>
      </c>
      <c r="K4690" s="1" t="s">
        <v>11235</v>
      </c>
    </row>
    <row r="4691" spans="1:11" ht="21" x14ac:dyDescent="0.25">
      <c r="A4691" s="11" t="str">
        <f>HYPERLINK("https://rth.dk/resources/bsgatlas/details.php?id=BSGatlas-transcript-4690","BSGatlas-transcript-4690")</f>
        <v>BSGatlas-transcript-4690</v>
      </c>
      <c r="B4691" s="1" t="s">
        <v>11238</v>
      </c>
      <c r="C4691" s="3">
        <v>4130224</v>
      </c>
      <c r="D4691" s="3">
        <v>4135223</v>
      </c>
      <c r="E4691" s="1" t="s">
        <v>13</v>
      </c>
      <c r="F4691" s="1">
        <v>2</v>
      </c>
      <c r="G4691" s="1">
        <v>58</v>
      </c>
      <c r="H4691" s="1">
        <v>355</v>
      </c>
      <c r="I4691" s="1" t="s">
        <v>4386</v>
      </c>
      <c r="J4691" s="1" t="s">
        <v>11239</v>
      </c>
      <c r="K4691" s="1" t="s">
        <v>11240</v>
      </c>
    </row>
    <row r="4692" spans="1:11" ht="21" x14ac:dyDescent="0.25">
      <c r="A4692" s="11" t="str">
        <f>HYPERLINK("https://rth.dk/resources/bsgatlas/details.php?id=BSGatlas-transcript-4691","BSGatlas-transcript-4691")</f>
        <v>BSGatlas-transcript-4691</v>
      </c>
      <c r="B4692" s="1" t="s">
        <v>11238</v>
      </c>
      <c r="C4692" s="3">
        <v>4130578</v>
      </c>
      <c r="D4692" s="3">
        <v>4135223</v>
      </c>
      <c r="E4692" s="1" t="s">
        <v>13</v>
      </c>
      <c r="F4692" s="1">
        <v>2</v>
      </c>
      <c r="G4692" s="1">
        <v>58</v>
      </c>
      <c r="H4692" s="1" t="s">
        <v>4372</v>
      </c>
      <c r="I4692" s="1" t="s">
        <v>4386</v>
      </c>
      <c r="J4692" s="1" t="s">
        <v>11239</v>
      </c>
      <c r="K4692" s="1" t="s">
        <v>11241</v>
      </c>
    </row>
    <row r="4693" spans="1:11" ht="21" x14ac:dyDescent="0.25">
      <c r="A4693" s="11" t="str">
        <f>HYPERLINK("https://rth.dk/resources/bsgatlas/details.php?id=BSGatlas-transcript-4692","BSGatlas-transcript-4692")</f>
        <v>BSGatlas-transcript-4692</v>
      </c>
      <c r="B4693" s="1" t="s">
        <v>4275</v>
      </c>
      <c r="C4693" s="3">
        <v>4132338</v>
      </c>
      <c r="D4693" s="3">
        <v>4132736</v>
      </c>
      <c r="E4693" s="1" t="s">
        <v>13</v>
      </c>
      <c r="F4693" s="1">
        <v>0</v>
      </c>
      <c r="G4693" s="1" t="s">
        <v>4372</v>
      </c>
      <c r="H4693" s="1" t="s">
        <v>4372</v>
      </c>
      <c r="I4693" s="1" t="s">
        <v>4386</v>
      </c>
      <c r="J4693" s="1" t="s">
        <v>318</v>
      </c>
      <c r="K4693" s="1" t="s">
        <v>318</v>
      </c>
    </row>
    <row r="4694" spans="1:11" ht="21" x14ac:dyDescent="0.25">
      <c r="A4694" s="11" t="str">
        <f>HYPERLINK("https://rth.dk/resources/bsgatlas/details.php?id=BSGatlas-transcript-4693","BSGatlas-transcript-4693")</f>
        <v>BSGatlas-transcript-4693</v>
      </c>
      <c r="B4694" s="1" t="s">
        <v>4279</v>
      </c>
      <c r="C4694" s="3">
        <v>4133453</v>
      </c>
      <c r="D4694" s="3">
        <v>4134502</v>
      </c>
      <c r="E4694" s="1" t="s">
        <v>9</v>
      </c>
      <c r="F4694" s="1">
        <v>0</v>
      </c>
      <c r="G4694" s="1" t="s">
        <v>4372</v>
      </c>
      <c r="H4694" s="1" t="s">
        <v>4372</v>
      </c>
      <c r="I4694" s="1" t="s">
        <v>4377</v>
      </c>
      <c r="J4694" s="1" t="s">
        <v>11242</v>
      </c>
      <c r="K4694" s="1" t="s">
        <v>318</v>
      </c>
    </row>
    <row r="4695" spans="1:11" ht="21" x14ac:dyDescent="0.25">
      <c r="A4695" s="11" t="str">
        <f>HYPERLINK("https://rth.dk/resources/bsgatlas/details.php?id=BSGatlas-transcript-4694","BSGatlas-transcript-4694")</f>
        <v>BSGatlas-transcript-4694</v>
      </c>
      <c r="B4695" s="1" t="s">
        <v>4277</v>
      </c>
      <c r="C4695" s="3">
        <v>4134436</v>
      </c>
      <c r="D4695" s="3">
        <v>4134915</v>
      </c>
      <c r="E4695" s="1" t="s">
        <v>13</v>
      </c>
      <c r="F4695" s="1">
        <v>0</v>
      </c>
      <c r="G4695" s="1" t="s">
        <v>4372</v>
      </c>
      <c r="H4695" s="1" t="s">
        <v>4372</v>
      </c>
      <c r="I4695" s="1" t="s">
        <v>4386</v>
      </c>
      <c r="J4695" s="1" t="s">
        <v>318</v>
      </c>
      <c r="K4695" s="1" t="s">
        <v>318</v>
      </c>
    </row>
    <row r="4696" spans="1:11" ht="21" x14ac:dyDescent="0.25">
      <c r="A4696" s="11" t="str">
        <f>HYPERLINK("https://rth.dk/resources/bsgatlas/details.php?id=BSGatlas-transcript-4695","BSGatlas-transcript-4695")</f>
        <v>BSGatlas-transcript-4695</v>
      </c>
      <c r="B4696" s="1" t="s">
        <v>4280</v>
      </c>
      <c r="C4696" s="3">
        <v>4135326</v>
      </c>
      <c r="D4696" s="3">
        <v>4135804</v>
      </c>
      <c r="E4696" s="1" t="s">
        <v>9</v>
      </c>
      <c r="F4696" s="1">
        <v>0</v>
      </c>
      <c r="G4696" s="1" t="s">
        <v>4372</v>
      </c>
      <c r="H4696" s="1" t="s">
        <v>4372</v>
      </c>
      <c r="I4696" s="1" t="s">
        <v>4373</v>
      </c>
      <c r="J4696" s="1" t="s">
        <v>11243</v>
      </c>
      <c r="K4696" s="1" t="s">
        <v>11244</v>
      </c>
    </row>
    <row r="4697" spans="1:11" ht="21" x14ac:dyDescent="0.25">
      <c r="A4697" s="11" t="str">
        <f>HYPERLINK("https://rth.dk/resources/bsgatlas/details.php?id=BSGatlas-transcript-4696","BSGatlas-transcript-4696")</f>
        <v>BSGatlas-transcript-4696</v>
      </c>
      <c r="B4697" s="1" t="s">
        <v>4281</v>
      </c>
      <c r="C4697" s="3">
        <v>4135751</v>
      </c>
      <c r="D4697" s="3">
        <v>4137052</v>
      </c>
      <c r="E4697" s="1" t="s">
        <v>13</v>
      </c>
      <c r="F4697" s="1">
        <v>0</v>
      </c>
      <c r="G4697" s="1" t="s">
        <v>4372</v>
      </c>
      <c r="H4697" s="1" t="s">
        <v>4372</v>
      </c>
      <c r="I4697" s="1" t="s">
        <v>4373</v>
      </c>
      <c r="J4697" s="1" t="s">
        <v>11245</v>
      </c>
      <c r="K4697" s="1" t="s">
        <v>11246</v>
      </c>
    </row>
    <row r="4698" spans="1:11" ht="21" x14ac:dyDescent="0.25">
      <c r="A4698" s="11" t="str">
        <f>HYPERLINK("https://rth.dk/resources/bsgatlas/details.php?id=BSGatlas-transcript-4697","BSGatlas-transcript-4697")</f>
        <v>BSGatlas-transcript-4697</v>
      </c>
      <c r="B4698" s="1" t="s">
        <v>4282</v>
      </c>
      <c r="C4698" s="3">
        <v>4137087</v>
      </c>
      <c r="D4698" s="3">
        <v>4137294</v>
      </c>
      <c r="E4698" s="1" t="s">
        <v>13</v>
      </c>
      <c r="F4698" s="1">
        <v>0</v>
      </c>
      <c r="G4698" s="1" t="s">
        <v>4372</v>
      </c>
      <c r="H4698" s="1" t="s">
        <v>4372</v>
      </c>
      <c r="I4698" s="1" t="s">
        <v>4386</v>
      </c>
      <c r="J4698" s="1" t="s">
        <v>11247</v>
      </c>
      <c r="K4698" s="1" t="s">
        <v>318</v>
      </c>
    </row>
    <row r="4699" spans="1:11" ht="21" x14ac:dyDescent="0.25">
      <c r="A4699" s="11" t="str">
        <f>HYPERLINK("https://rth.dk/resources/bsgatlas/details.php?id=BSGatlas-transcript-4698","BSGatlas-transcript-4698")</f>
        <v>BSGatlas-transcript-4698</v>
      </c>
      <c r="B4699" s="1" t="s">
        <v>4283</v>
      </c>
      <c r="C4699" s="3">
        <v>4137314</v>
      </c>
      <c r="D4699" s="3">
        <v>4137668</v>
      </c>
      <c r="E4699" s="1" t="s">
        <v>13</v>
      </c>
      <c r="F4699" s="1">
        <v>0</v>
      </c>
      <c r="G4699" s="1" t="s">
        <v>4372</v>
      </c>
      <c r="H4699" s="1" t="s">
        <v>4372</v>
      </c>
      <c r="I4699" s="1" t="s">
        <v>4377</v>
      </c>
      <c r="J4699" s="1" t="s">
        <v>11248</v>
      </c>
      <c r="K4699" s="1" t="s">
        <v>11249</v>
      </c>
    </row>
    <row r="4700" spans="1:11" ht="21" x14ac:dyDescent="0.25">
      <c r="A4700" s="11" t="str">
        <f>HYPERLINK("https://rth.dk/resources/bsgatlas/details.php?id=BSGatlas-transcript-4699","BSGatlas-transcript-4699")</f>
        <v>BSGatlas-transcript-4699</v>
      </c>
      <c r="B4700" s="1" t="s">
        <v>11250</v>
      </c>
      <c r="C4700" s="3">
        <v>4137314</v>
      </c>
      <c r="D4700" s="3">
        <v>4139585</v>
      </c>
      <c r="E4700" s="1" t="s">
        <v>13</v>
      </c>
      <c r="F4700" s="1">
        <v>0</v>
      </c>
      <c r="G4700" s="1" t="s">
        <v>4372</v>
      </c>
      <c r="H4700" s="1" t="s">
        <v>4372</v>
      </c>
      <c r="I4700" s="1" t="s">
        <v>4373</v>
      </c>
      <c r="J4700" s="1" t="s">
        <v>11251</v>
      </c>
      <c r="K4700" s="1" t="s">
        <v>11249</v>
      </c>
    </row>
    <row r="4701" spans="1:11" ht="21" x14ac:dyDescent="0.25">
      <c r="A4701" s="11" t="str">
        <f>HYPERLINK("https://rth.dk/resources/bsgatlas/details.php?id=BSGatlas-transcript-4700","BSGatlas-transcript-4700")</f>
        <v>BSGatlas-transcript-4700</v>
      </c>
      <c r="B4701" s="1" t="s">
        <v>4286</v>
      </c>
      <c r="C4701" s="3">
        <v>4139642</v>
      </c>
      <c r="D4701" s="3">
        <v>4140220</v>
      </c>
      <c r="E4701" s="1" t="s">
        <v>13</v>
      </c>
      <c r="F4701" s="1">
        <v>0</v>
      </c>
      <c r="G4701" s="1" t="s">
        <v>4372</v>
      </c>
      <c r="H4701" s="1" t="s">
        <v>4372</v>
      </c>
      <c r="I4701" s="1" t="s">
        <v>4373</v>
      </c>
      <c r="J4701" s="1" t="s">
        <v>11252</v>
      </c>
      <c r="K4701" s="1" t="s">
        <v>11253</v>
      </c>
    </row>
    <row r="4702" spans="1:11" ht="21" x14ac:dyDescent="0.25">
      <c r="A4702" s="11" t="str">
        <f>HYPERLINK("https://rth.dk/resources/bsgatlas/details.php?id=BSGatlas-transcript-4701","BSGatlas-transcript-4701")</f>
        <v>BSGatlas-transcript-4701</v>
      </c>
      <c r="B4702" s="1" t="s">
        <v>4286</v>
      </c>
      <c r="C4702" s="3">
        <v>4139642</v>
      </c>
      <c r="D4702" s="3">
        <v>4140497</v>
      </c>
      <c r="E4702" s="1" t="s">
        <v>13</v>
      </c>
      <c r="F4702" s="1">
        <v>0</v>
      </c>
      <c r="G4702" s="1" t="s">
        <v>4372</v>
      </c>
      <c r="H4702" s="1" t="s">
        <v>4372</v>
      </c>
      <c r="I4702" s="1" t="s">
        <v>4373</v>
      </c>
      <c r="J4702" s="1" t="s">
        <v>11254</v>
      </c>
      <c r="K4702" s="1" t="s">
        <v>11253</v>
      </c>
    </row>
    <row r="4703" spans="1:11" ht="21" x14ac:dyDescent="0.25">
      <c r="A4703" s="11" t="str">
        <f>HYPERLINK("https://rth.dk/resources/bsgatlas/details.php?id=BSGatlas-transcript-4702","BSGatlas-transcript-4702")</f>
        <v>BSGatlas-transcript-4702</v>
      </c>
      <c r="B4703" s="1" t="s">
        <v>11255</v>
      </c>
      <c r="C4703" s="3">
        <v>4140215</v>
      </c>
      <c r="D4703" s="3">
        <v>4141474</v>
      </c>
      <c r="E4703" s="1" t="s">
        <v>9</v>
      </c>
      <c r="F4703" s="1">
        <v>0</v>
      </c>
      <c r="G4703" s="1" t="s">
        <v>4372</v>
      </c>
      <c r="H4703" s="1" t="s">
        <v>4372</v>
      </c>
      <c r="I4703" s="1" t="s">
        <v>4373</v>
      </c>
      <c r="J4703" s="1" t="s">
        <v>11256</v>
      </c>
      <c r="K4703" s="1" t="s">
        <v>11257</v>
      </c>
    </row>
    <row r="4704" spans="1:11" ht="21" x14ac:dyDescent="0.25">
      <c r="A4704" s="11" t="str">
        <f>HYPERLINK("https://rth.dk/resources/bsgatlas/details.php?id=BSGatlas-transcript-4703","BSGatlas-transcript-4703")</f>
        <v>BSGatlas-transcript-4703</v>
      </c>
      <c r="B4704" s="1" t="s">
        <v>11255</v>
      </c>
      <c r="C4704" s="3">
        <v>4140215</v>
      </c>
      <c r="D4704" s="3">
        <v>4141560</v>
      </c>
      <c r="E4704" s="1" t="s">
        <v>9</v>
      </c>
      <c r="F4704" s="1">
        <v>0</v>
      </c>
      <c r="G4704" s="1" t="s">
        <v>4372</v>
      </c>
      <c r="H4704" s="1" t="s">
        <v>4372</v>
      </c>
      <c r="I4704" s="1" t="s">
        <v>4373</v>
      </c>
      <c r="J4704" s="1" t="s">
        <v>11256</v>
      </c>
      <c r="K4704" s="1" t="s">
        <v>11258</v>
      </c>
    </row>
    <row r="4705" spans="1:11" ht="21" x14ac:dyDescent="0.25">
      <c r="A4705" s="11" t="str">
        <f>HYPERLINK("https://rth.dk/resources/bsgatlas/details.php?id=BSGatlas-transcript-4704","BSGatlas-transcript-4704")</f>
        <v>BSGatlas-transcript-4704</v>
      </c>
      <c r="B4705" s="1" t="s">
        <v>4288</v>
      </c>
      <c r="C4705" s="3">
        <v>4141118</v>
      </c>
      <c r="D4705" s="3">
        <v>4141474</v>
      </c>
      <c r="E4705" s="1" t="s">
        <v>9</v>
      </c>
      <c r="F4705" s="1">
        <v>0</v>
      </c>
      <c r="G4705" s="1" t="s">
        <v>4372</v>
      </c>
      <c r="H4705" s="1" t="s">
        <v>4372</v>
      </c>
      <c r="I4705" s="1" t="s">
        <v>4377</v>
      </c>
      <c r="J4705" s="1" t="s">
        <v>11259</v>
      </c>
      <c r="K4705" s="1" t="s">
        <v>11257</v>
      </c>
    </row>
    <row r="4706" spans="1:11" ht="21" x14ac:dyDescent="0.25">
      <c r="A4706" s="11" t="str">
        <f>HYPERLINK("https://rth.dk/resources/bsgatlas/details.php?id=BSGatlas-transcript-4705","BSGatlas-transcript-4705")</f>
        <v>BSGatlas-transcript-4705</v>
      </c>
      <c r="B4706" s="1" t="s">
        <v>4288</v>
      </c>
      <c r="C4706" s="3">
        <v>4141118</v>
      </c>
      <c r="D4706" s="3">
        <v>4141560</v>
      </c>
      <c r="E4706" s="1" t="s">
        <v>9</v>
      </c>
      <c r="F4706" s="1">
        <v>0</v>
      </c>
      <c r="G4706" s="1" t="s">
        <v>4372</v>
      </c>
      <c r="H4706" s="1" t="s">
        <v>4372</v>
      </c>
      <c r="I4706" s="1" t="s">
        <v>4377</v>
      </c>
      <c r="J4706" s="1" t="s">
        <v>11259</v>
      </c>
      <c r="K4706" s="1" t="s">
        <v>11258</v>
      </c>
    </row>
    <row r="4707" spans="1:11" ht="21" x14ac:dyDescent="0.25">
      <c r="A4707" s="11" t="str">
        <f>HYPERLINK("https://rth.dk/resources/bsgatlas/details.php?id=BSGatlas-transcript-4706","BSGatlas-transcript-4706")</f>
        <v>BSGatlas-transcript-4706</v>
      </c>
      <c r="B4707" s="1" t="s">
        <v>11260</v>
      </c>
      <c r="C4707" s="3">
        <v>4141686</v>
      </c>
      <c r="D4707" s="3">
        <v>4145553</v>
      </c>
      <c r="E4707" s="1" t="s">
        <v>13</v>
      </c>
      <c r="F4707" s="1">
        <v>2</v>
      </c>
      <c r="G4707" s="1">
        <v>48</v>
      </c>
      <c r="H4707" s="1">
        <v>26</v>
      </c>
      <c r="I4707" s="1" t="s">
        <v>4373</v>
      </c>
      <c r="J4707" s="1" t="s">
        <v>11261</v>
      </c>
      <c r="K4707" s="1" t="s">
        <v>11262</v>
      </c>
    </row>
    <row r="4708" spans="1:11" ht="21" x14ac:dyDescent="0.25">
      <c r="A4708" s="11" t="str">
        <f>HYPERLINK("https://rth.dk/resources/bsgatlas/details.php?id=BSGatlas-transcript-4707","BSGatlas-transcript-4707")</f>
        <v>BSGatlas-transcript-4707</v>
      </c>
      <c r="B4708" s="1" t="s">
        <v>11260</v>
      </c>
      <c r="C4708" s="3">
        <v>4141711</v>
      </c>
      <c r="D4708" s="3">
        <v>4145553</v>
      </c>
      <c r="E4708" s="1" t="s">
        <v>13</v>
      </c>
      <c r="F4708" s="1">
        <v>2</v>
      </c>
      <c r="G4708" s="1">
        <v>48</v>
      </c>
      <c r="H4708" s="1" t="s">
        <v>4372</v>
      </c>
      <c r="I4708" s="1" t="s">
        <v>4373</v>
      </c>
      <c r="J4708" s="1" t="s">
        <v>11261</v>
      </c>
      <c r="K4708" s="1" t="s">
        <v>11263</v>
      </c>
    </row>
    <row r="4709" spans="1:11" ht="21" x14ac:dyDescent="0.25">
      <c r="A4709" s="11" t="str">
        <f>HYPERLINK("https://rth.dk/resources/bsgatlas/details.php?id=BSGatlas-transcript-4708","BSGatlas-transcript-4708")</f>
        <v>BSGatlas-transcript-4708</v>
      </c>
      <c r="B4709" s="1" t="s">
        <v>4292</v>
      </c>
      <c r="C4709" s="3">
        <v>4145713</v>
      </c>
      <c r="D4709" s="3">
        <v>4147532</v>
      </c>
      <c r="E4709" s="1" t="s">
        <v>9</v>
      </c>
      <c r="F4709" s="1">
        <v>0</v>
      </c>
      <c r="G4709" s="1" t="s">
        <v>4372</v>
      </c>
      <c r="H4709" s="1" t="s">
        <v>4372</v>
      </c>
      <c r="I4709" s="1" t="s">
        <v>4373</v>
      </c>
      <c r="J4709" s="1" t="s">
        <v>11264</v>
      </c>
      <c r="K4709" s="1" t="s">
        <v>11265</v>
      </c>
    </row>
    <row r="4710" spans="1:11" ht="21" x14ac:dyDescent="0.25">
      <c r="A4710" s="11" t="str">
        <f>HYPERLINK("https://rth.dk/resources/bsgatlas/details.php?id=BSGatlas-transcript-4709","BSGatlas-transcript-4709")</f>
        <v>BSGatlas-transcript-4709</v>
      </c>
      <c r="B4710" s="1" t="s">
        <v>4293</v>
      </c>
      <c r="C4710" s="3">
        <v>4147522</v>
      </c>
      <c r="D4710" s="3">
        <v>4148801</v>
      </c>
      <c r="E4710" s="1" t="s">
        <v>13</v>
      </c>
      <c r="F4710" s="1">
        <v>0</v>
      </c>
      <c r="G4710" s="1" t="s">
        <v>4372</v>
      </c>
      <c r="H4710" s="1" t="s">
        <v>4372</v>
      </c>
      <c r="I4710" s="1" t="s">
        <v>4386</v>
      </c>
      <c r="J4710" s="1" t="s">
        <v>11266</v>
      </c>
      <c r="K4710" s="1" t="s">
        <v>11267</v>
      </c>
    </row>
    <row r="4711" spans="1:11" ht="21" x14ac:dyDescent="0.25">
      <c r="A4711" s="11" t="str">
        <f>HYPERLINK("https://rth.dk/resources/bsgatlas/details.php?id=BSGatlas-transcript-4710","BSGatlas-transcript-4710")</f>
        <v>BSGatlas-transcript-4710</v>
      </c>
      <c r="B4711" s="1" t="s">
        <v>11268</v>
      </c>
      <c r="C4711" s="3">
        <v>4147522</v>
      </c>
      <c r="D4711" s="3">
        <v>4154500</v>
      </c>
      <c r="E4711" s="1" t="s">
        <v>13</v>
      </c>
      <c r="F4711" s="1">
        <v>2</v>
      </c>
      <c r="G4711" s="1">
        <v>98</v>
      </c>
      <c r="H4711" s="1">
        <v>46</v>
      </c>
      <c r="I4711" s="1" t="s">
        <v>4373</v>
      </c>
      <c r="J4711" s="1" t="s">
        <v>11269</v>
      </c>
      <c r="K4711" s="1" t="s">
        <v>11267</v>
      </c>
    </row>
    <row r="4712" spans="1:11" ht="21" x14ac:dyDescent="0.25">
      <c r="A4712" s="11" t="str">
        <f>HYPERLINK("https://rth.dk/resources/bsgatlas/details.php?id=BSGatlas-transcript-4711","BSGatlas-transcript-4711")</f>
        <v>BSGatlas-transcript-4711</v>
      </c>
      <c r="B4712" s="1" t="s">
        <v>11268</v>
      </c>
      <c r="C4712" s="3">
        <v>4147522</v>
      </c>
      <c r="D4712" s="3">
        <v>4154694</v>
      </c>
      <c r="E4712" s="1" t="s">
        <v>13</v>
      </c>
      <c r="F4712" s="1">
        <v>2</v>
      </c>
      <c r="G4712" s="1">
        <v>292</v>
      </c>
      <c r="H4712" s="1">
        <v>46</v>
      </c>
      <c r="I4712" s="1" t="s">
        <v>4373</v>
      </c>
      <c r="J4712" s="1" t="s">
        <v>11270</v>
      </c>
      <c r="K4712" s="1" t="s">
        <v>11267</v>
      </c>
    </row>
    <row r="4713" spans="1:11" ht="21" x14ac:dyDescent="0.25">
      <c r="A4713" s="11" t="str">
        <f>HYPERLINK("https://rth.dk/resources/bsgatlas/details.php?id=BSGatlas-transcript-4712","BSGatlas-transcript-4712")</f>
        <v>BSGatlas-transcript-4712</v>
      </c>
      <c r="B4713" s="1" t="s">
        <v>4293</v>
      </c>
      <c r="C4713" s="3">
        <v>4147567</v>
      </c>
      <c r="D4713" s="3">
        <v>4148801</v>
      </c>
      <c r="E4713" s="1" t="s">
        <v>13</v>
      </c>
      <c r="F4713" s="1">
        <v>0</v>
      </c>
      <c r="G4713" s="1" t="s">
        <v>4372</v>
      </c>
      <c r="H4713" s="1" t="s">
        <v>4372</v>
      </c>
      <c r="I4713" s="1" t="s">
        <v>4386</v>
      </c>
      <c r="J4713" s="1" t="s">
        <v>11266</v>
      </c>
      <c r="K4713" s="1" t="s">
        <v>11271</v>
      </c>
    </row>
    <row r="4714" spans="1:11" ht="21" x14ac:dyDescent="0.25">
      <c r="A4714" s="11" t="str">
        <f>HYPERLINK("https://rth.dk/resources/bsgatlas/details.php?id=BSGatlas-transcript-4713","BSGatlas-transcript-4713")</f>
        <v>BSGatlas-transcript-4713</v>
      </c>
      <c r="B4714" s="1" t="s">
        <v>11268</v>
      </c>
      <c r="C4714" s="3">
        <v>4147567</v>
      </c>
      <c r="D4714" s="3">
        <v>4154500</v>
      </c>
      <c r="E4714" s="1" t="s">
        <v>13</v>
      </c>
      <c r="F4714" s="1">
        <v>2</v>
      </c>
      <c r="G4714" s="1">
        <v>98</v>
      </c>
      <c r="H4714" s="1" t="s">
        <v>4372</v>
      </c>
      <c r="I4714" s="1" t="s">
        <v>4373</v>
      </c>
      <c r="J4714" s="1" t="s">
        <v>11269</v>
      </c>
      <c r="K4714" s="1" t="s">
        <v>11271</v>
      </c>
    </row>
    <row r="4715" spans="1:11" ht="21" x14ac:dyDescent="0.25">
      <c r="A4715" s="11" t="str">
        <f>HYPERLINK("https://rth.dk/resources/bsgatlas/details.php?id=BSGatlas-transcript-4714","BSGatlas-transcript-4714")</f>
        <v>BSGatlas-transcript-4714</v>
      </c>
      <c r="B4715" s="1" t="s">
        <v>11268</v>
      </c>
      <c r="C4715" s="3">
        <v>4147567</v>
      </c>
      <c r="D4715" s="3">
        <v>4154694</v>
      </c>
      <c r="E4715" s="1" t="s">
        <v>13</v>
      </c>
      <c r="F4715" s="1">
        <v>2</v>
      </c>
      <c r="G4715" s="1">
        <v>292</v>
      </c>
      <c r="H4715" s="1" t="s">
        <v>4372</v>
      </c>
      <c r="I4715" s="1" t="s">
        <v>4373</v>
      </c>
      <c r="J4715" s="1" t="s">
        <v>11270</v>
      </c>
      <c r="K4715" s="1" t="s">
        <v>11271</v>
      </c>
    </row>
    <row r="4716" spans="1:11" ht="21" x14ac:dyDescent="0.25">
      <c r="A4716" s="11" t="str">
        <f>HYPERLINK("https://rth.dk/resources/bsgatlas/details.php?id=BSGatlas-transcript-4715","BSGatlas-transcript-4715")</f>
        <v>BSGatlas-transcript-4715</v>
      </c>
      <c r="B4716" s="1" t="s">
        <v>4299</v>
      </c>
      <c r="C4716" s="3">
        <v>4154764</v>
      </c>
      <c r="D4716" s="3">
        <v>4154859</v>
      </c>
      <c r="E4716" s="1" t="s">
        <v>13</v>
      </c>
      <c r="F4716" s="1">
        <v>0</v>
      </c>
      <c r="G4716" s="1" t="s">
        <v>4372</v>
      </c>
      <c r="H4716" s="1" t="s">
        <v>4372</v>
      </c>
      <c r="I4716" s="1" t="s">
        <v>4377</v>
      </c>
      <c r="J4716" s="1" t="s">
        <v>318</v>
      </c>
      <c r="K4716" s="1" t="s">
        <v>11272</v>
      </c>
    </row>
    <row r="4717" spans="1:11" ht="21" x14ac:dyDescent="0.25">
      <c r="A4717" s="11" t="str">
        <f>HYPERLINK("https://rth.dk/resources/bsgatlas/details.php?id=BSGatlas-transcript-4716","BSGatlas-transcript-4716")</f>
        <v>BSGatlas-transcript-4716</v>
      </c>
      <c r="B4717" s="1" t="s">
        <v>4300</v>
      </c>
      <c r="C4717" s="3">
        <v>4155134</v>
      </c>
      <c r="D4717" s="3">
        <v>4155306</v>
      </c>
      <c r="E4717" s="1" t="s">
        <v>13</v>
      </c>
      <c r="F4717" s="1">
        <v>0</v>
      </c>
      <c r="G4717" s="1" t="s">
        <v>4372</v>
      </c>
      <c r="H4717" s="1" t="s">
        <v>4372</v>
      </c>
      <c r="I4717" s="1" t="s">
        <v>4377</v>
      </c>
      <c r="J4717" s="1" t="s">
        <v>11273</v>
      </c>
      <c r="K4717" s="1" t="s">
        <v>318</v>
      </c>
    </row>
    <row r="4718" spans="1:11" ht="21" x14ac:dyDescent="0.25">
      <c r="A4718" s="11" t="str">
        <f>HYPERLINK("https://rth.dk/resources/bsgatlas/details.php?id=BSGatlas-transcript-4717","BSGatlas-transcript-4717")</f>
        <v>BSGatlas-transcript-4717</v>
      </c>
      <c r="B4718" s="1" t="s">
        <v>4300</v>
      </c>
      <c r="C4718" s="3">
        <v>4155134</v>
      </c>
      <c r="D4718" s="3">
        <v>4155380</v>
      </c>
      <c r="E4718" s="1" t="s">
        <v>13</v>
      </c>
      <c r="F4718" s="1">
        <v>0</v>
      </c>
      <c r="G4718" s="1" t="s">
        <v>4372</v>
      </c>
      <c r="H4718" s="1" t="s">
        <v>4372</v>
      </c>
      <c r="I4718" s="1" t="s">
        <v>4377</v>
      </c>
      <c r="J4718" s="1" t="s">
        <v>11274</v>
      </c>
      <c r="K4718" s="1" t="s">
        <v>318</v>
      </c>
    </row>
    <row r="4719" spans="1:11" ht="21" x14ac:dyDescent="0.25">
      <c r="A4719" s="11" t="str">
        <f>HYPERLINK("https://rth.dk/resources/bsgatlas/details.php?id=BSGatlas-transcript-4718","BSGatlas-transcript-4718")</f>
        <v>BSGatlas-transcript-4718</v>
      </c>
      <c r="B4719" s="1" t="s">
        <v>4301</v>
      </c>
      <c r="C4719" s="3">
        <v>4155395</v>
      </c>
      <c r="D4719" s="3">
        <v>4156769</v>
      </c>
      <c r="E4719" s="1" t="s">
        <v>13</v>
      </c>
      <c r="F4719" s="1">
        <v>0</v>
      </c>
      <c r="G4719" s="1" t="s">
        <v>4372</v>
      </c>
      <c r="H4719" s="1" t="s">
        <v>4372</v>
      </c>
      <c r="I4719" s="1" t="s">
        <v>4373</v>
      </c>
      <c r="J4719" s="1" t="s">
        <v>11275</v>
      </c>
      <c r="K4719" s="1" t="s">
        <v>11276</v>
      </c>
    </row>
    <row r="4720" spans="1:11" ht="21" x14ac:dyDescent="0.25">
      <c r="A4720" s="11" t="str">
        <f>HYPERLINK("https://rth.dk/resources/bsgatlas/details.php?id=BSGatlas-transcript-4719","BSGatlas-transcript-4719")</f>
        <v>BSGatlas-transcript-4719</v>
      </c>
      <c r="B4720" s="1" t="s">
        <v>11277</v>
      </c>
      <c r="C4720" s="3">
        <v>4155395</v>
      </c>
      <c r="D4720" s="3">
        <v>4157350</v>
      </c>
      <c r="E4720" s="1" t="s">
        <v>13</v>
      </c>
      <c r="F4720" s="1">
        <v>1</v>
      </c>
      <c r="G4720" s="1" t="s">
        <v>4372</v>
      </c>
      <c r="H4720" s="1">
        <v>39</v>
      </c>
      <c r="I4720" s="1" t="s">
        <v>4386</v>
      </c>
      <c r="J4720" s="1" t="s">
        <v>11278</v>
      </c>
      <c r="K4720" s="1" t="s">
        <v>11276</v>
      </c>
    </row>
    <row r="4721" spans="1:11" ht="21" x14ac:dyDescent="0.25">
      <c r="A4721" s="11" t="str">
        <f>HYPERLINK("https://rth.dk/resources/bsgatlas/details.php?id=BSGatlas-transcript-4720","BSGatlas-transcript-4720")</f>
        <v>BSGatlas-transcript-4720</v>
      </c>
      <c r="B4721" s="1" t="s">
        <v>4301</v>
      </c>
      <c r="C4721" s="3">
        <v>4155433</v>
      </c>
      <c r="D4721" s="3">
        <v>4156769</v>
      </c>
      <c r="E4721" s="1" t="s">
        <v>13</v>
      </c>
      <c r="F4721" s="1">
        <v>0</v>
      </c>
      <c r="G4721" s="1" t="s">
        <v>4372</v>
      </c>
      <c r="H4721" s="1" t="s">
        <v>4372</v>
      </c>
      <c r="I4721" s="1" t="s">
        <v>4373</v>
      </c>
      <c r="J4721" s="1" t="s">
        <v>11275</v>
      </c>
      <c r="K4721" s="1" t="s">
        <v>11279</v>
      </c>
    </row>
    <row r="4722" spans="1:11" ht="21" x14ac:dyDescent="0.25">
      <c r="A4722" s="11" t="str">
        <f>HYPERLINK("https://rth.dk/resources/bsgatlas/details.php?id=BSGatlas-transcript-4721","BSGatlas-transcript-4721")</f>
        <v>BSGatlas-transcript-4721</v>
      </c>
      <c r="B4722" s="1" t="s">
        <v>11277</v>
      </c>
      <c r="C4722" s="3">
        <v>4155433</v>
      </c>
      <c r="D4722" s="3">
        <v>4157350</v>
      </c>
      <c r="E4722" s="1" t="s">
        <v>13</v>
      </c>
      <c r="F4722" s="1">
        <v>1</v>
      </c>
      <c r="G4722" s="1" t="s">
        <v>4372</v>
      </c>
      <c r="H4722" s="1" t="s">
        <v>4372</v>
      </c>
      <c r="I4722" s="1" t="s">
        <v>4386</v>
      </c>
      <c r="J4722" s="1" t="s">
        <v>11278</v>
      </c>
      <c r="K4722" s="1" t="s">
        <v>11279</v>
      </c>
    </row>
    <row r="4723" spans="1:11" ht="21" x14ac:dyDescent="0.25">
      <c r="A4723" s="11" t="str">
        <f>HYPERLINK("https://rth.dk/resources/bsgatlas/details.php?id=BSGatlas-transcript-4722","BSGatlas-transcript-4722")</f>
        <v>BSGatlas-transcript-4722</v>
      </c>
      <c r="B4723" s="1" t="s">
        <v>4303</v>
      </c>
      <c r="C4723" s="3">
        <v>4157434</v>
      </c>
      <c r="D4723" s="3">
        <v>4158880</v>
      </c>
      <c r="E4723" s="1" t="s">
        <v>13</v>
      </c>
      <c r="F4723" s="1">
        <v>0</v>
      </c>
      <c r="G4723" s="1" t="s">
        <v>4372</v>
      </c>
      <c r="H4723" s="1" t="s">
        <v>4372</v>
      </c>
      <c r="I4723" s="1" t="s">
        <v>4373</v>
      </c>
      <c r="J4723" s="1" t="s">
        <v>11280</v>
      </c>
      <c r="K4723" s="1" t="s">
        <v>11281</v>
      </c>
    </row>
    <row r="4724" spans="1:11" ht="21" x14ac:dyDescent="0.25">
      <c r="A4724" s="11" t="str">
        <f>HYPERLINK("https://rth.dk/resources/bsgatlas/details.php?id=BSGatlas-transcript-4723","BSGatlas-transcript-4723")</f>
        <v>BSGatlas-transcript-4723</v>
      </c>
      <c r="B4724" s="1" t="s">
        <v>4304</v>
      </c>
      <c r="C4724" s="3">
        <v>4158970</v>
      </c>
      <c r="D4724" s="3">
        <v>4159205</v>
      </c>
      <c r="E4724" s="1" t="s">
        <v>9</v>
      </c>
      <c r="F4724" s="1">
        <v>0</v>
      </c>
      <c r="G4724" s="1" t="s">
        <v>4372</v>
      </c>
      <c r="H4724" s="1" t="s">
        <v>4372</v>
      </c>
      <c r="I4724" s="1" t="s">
        <v>4373</v>
      </c>
      <c r="J4724" s="1" t="s">
        <v>11282</v>
      </c>
      <c r="K4724" s="1" t="s">
        <v>11283</v>
      </c>
    </row>
    <row r="4725" spans="1:11" ht="21" x14ac:dyDescent="0.25">
      <c r="A4725" s="11" t="str">
        <f>HYPERLINK("https://rth.dk/resources/bsgatlas/details.php?id=BSGatlas-transcript-4724","BSGatlas-transcript-4724")</f>
        <v>BSGatlas-transcript-4724</v>
      </c>
      <c r="B4725" s="1" t="s">
        <v>4304</v>
      </c>
      <c r="C4725" s="3">
        <v>4158970</v>
      </c>
      <c r="D4725" s="3">
        <v>4159248</v>
      </c>
      <c r="E4725" s="1" t="s">
        <v>9</v>
      </c>
      <c r="F4725" s="1">
        <v>0</v>
      </c>
      <c r="G4725" s="1" t="s">
        <v>4372</v>
      </c>
      <c r="H4725" s="1" t="s">
        <v>4372</v>
      </c>
      <c r="I4725" s="1" t="s">
        <v>4373</v>
      </c>
      <c r="J4725" s="1" t="s">
        <v>11282</v>
      </c>
      <c r="K4725" s="1" t="s">
        <v>11284</v>
      </c>
    </row>
    <row r="4726" spans="1:11" ht="21" x14ac:dyDescent="0.25">
      <c r="A4726" s="11" t="str">
        <f>HYPERLINK("https://rth.dk/resources/bsgatlas/details.php?id=BSGatlas-transcript-4725","BSGatlas-transcript-4725")</f>
        <v>BSGatlas-transcript-4725</v>
      </c>
      <c r="B4726" s="1" t="s">
        <v>4305</v>
      </c>
      <c r="C4726" s="3">
        <v>4159253</v>
      </c>
      <c r="D4726" s="3">
        <v>4159765</v>
      </c>
      <c r="E4726" s="1" t="s">
        <v>13</v>
      </c>
      <c r="F4726" s="1">
        <v>0</v>
      </c>
      <c r="G4726" s="1" t="s">
        <v>4372</v>
      </c>
      <c r="H4726" s="1" t="s">
        <v>4372</v>
      </c>
      <c r="I4726" s="1" t="s">
        <v>4547</v>
      </c>
      <c r="J4726" s="1" t="s">
        <v>11285</v>
      </c>
      <c r="K4726" s="1" t="s">
        <v>318</v>
      </c>
    </row>
    <row r="4727" spans="1:11" ht="21" x14ac:dyDescent="0.25">
      <c r="A4727" s="11" t="str">
        <f>HYPERLINK("https://rth.dk/resources/bsgatlas/details.php?id=BSGatlas-transcript-4726","BSGatlas-transcript-4726")</f>
        <v>BSGatlas-transcript-4726</v>
      </c>
      <c r="B4727" s="1" t="s">
        <v>11286</v>
      </c>
      <c r="C4727" s="3">
        <v>4159543</v>
      </c>
      <c r="D4727" s="3">
        <v>4161033</v>
      </c>
      <c r="E4727" s="1" t="s">
        <v>9</v>
      </c>
      <c r="F4727" s="1">
        <v>1</v>
      </c>
      <c r="G4727" s="1">
        <v>35</v>
      </c>
      <c r="H4727" s="1">
        <v>36</v>
      </c>
      <c r="I4727" s="1" t="s">
        <v>4373</v>
      </c>
      <c r="J4727" s="1" t="s">
        <v>11287</v>
      </c>
      <c r="K4727" s="1" t="s">
        <v>11288</v>
      </c>
    </row>
    <row r="4728" spans="1:11" ht="21" x14ac:dyDescent="0.25">
      <c r="A4728" s="11" t="str">
        <f>HYPERLINK("https://rth.dk/resources/bsgatlas/details.php?id=BSGatlas-transcript-4727","BSGatlas-transcript-4727")</f>
        <v>BSGatlas-transcript-4727</v>
      </c>
      <c r="B4728" s="1" t="s">
        <v>11289</v>
      </c>
      <c r="C4728" s="3">
        <v>4159543</v>
      </c>
      <c r="D4728" s="3">
        <v>4163160</v>
      </c>
      <c r="E4728" s="1" t="s">
        <v>9</v>
      </c>
      <c r="F4728" s="1">
        <v>2</v>
      </c>
      <c r="G4728" s="1">
        <v>35</v>
      </c>
      <c r="H4728" s="1" t="s">
        <v>4372</v>
      </c>
      <c r="I4728" s="1" t="s">
        <v>4386</v>
      </c>
      <c r="J4728" s="1" t="s">
        <v>11287</v>
      </c>
      <c r="K4728" s="1" t="s">
        <v>11290</v>
      </c>
    </row>
    <row r="4729" spans="1:11" ht="21" x14ac:dyDescent="0.25">
      <c r="A4729" s="11" t="str">
        <f>HYPERLINK("https://rth.dk/resources/bsgatlas/details.php?id=BSGatlas-transcript-4728","BSGatlas-transcript-4728")</f>
        <v>BSGatlas-transcript-4728</v>
      </c>
      <c r="B4729" s="1" t="s">
        <v>4308</v>
      </c>
      <c r="C4729" s="3">
        <v>4161103</v>
      </c>
      <c r="D4729" s="3">
        <v>4163160</v>
      </c>
      <c r="E4729" s="1" t="s">
        <v>9</v>
      </c>
      <c r="F4729" s="1">
        <v>0</v>
      </c>
      <c r="G4729" s="1" t="s">
        <v>4372</v>
      </c>
      <c r="H4729" s="1" t="s">
        <v>4372</v>
      </c>
      <c r="I4729" s="1" t="s">
        <v>4386</v>
      </c>
      <c r="J4729" s="1" t="s">
        <v>318</v>
      </c>
      <c r="K4729" s="1" t="s">
        <v>11290</v>
      </c>
    </row>
    <row r="4730" spans="1:11" ht="21" x14ac:dyDescent="0.25">
      <c r="A4730" s="11" t="str">
        <f>HYPERLINK("https://rth.dk/resources/bsgatlas/details.php?id=BSGatlas-transcript-4729","BSGatlas-transcript-4729")</f>
        <v>BSGatlas-transcript-4729</v>
      </c>
      <c r="B4730" s="1" t="s">
        <v>4309</v>
      </c>
      <c r="C4730" s="3">
        <v>4163151</v>
      </c>
      <c r="D4730" s="3">
        <v>4164127</v>
      </c>
      <c r="E4730" s="1" t="s">
        <v>13</v>
      </c>
      <c r="F4730" s="1">
        <v>0</v>
      </c>
      <c r="G4730" s="1" t="s">
        <v>4372</v>
      </c>
      <c r="H4730" s="1" t="s">
        <v>4372</v>
      </c>
      <c r="I4730" s="1" t="s">
        <v>4386</v>
      </c>
      <c r="J4730" s="1" t="s">
        <v>11291</v>
      </c>
      <c r="K4730" s="1" t="s">
        <v>11292</v>
      </c>
    </row>
    <row r="4731" spans="1:11" ht="21" x14ac:dyDescent="0.25">
      <c r="A4731" s="11" t="str">
        <f>HYPERLINK("https://rth.dk/resources/bsgatlas/details.php?id=BSGatlas-transcript-4730","BSGatlas-transcript-4730")</f>
        <v>BSGatlas-transcript-4730</v>
      </c>
      <c r="B4731" s="1" t="s">
        <v>11293</v>
      </c>
      <c r="C4731" s="3">
        <v>4163151</v>
      </c>
      <c r="D4731" s="3">
        <v>4166725</v>
      </c>
      <c r="E4731" s="1" t="s">
        <v>13</v>
      </c>
      <c r="F4731" s="1">
        <v>1</v>
      </c>
      <c r="G4731" s="1">
        <v>138</v>
      </c>
      <c r="H4731" s="1">
        <v>47</v>
      </c>
      <c r="I4731" s="1" t="s">
        <v>4373</v>
      </c>
      <c r="J4731" s="1" t="s">
        <v>11294</v>
      </c>
      <c r="K4731" s="1" t="s">
        <v>11292</v>
      </c>
    </row>
    <row r="4732" spans="1:11" ht="21" x14ac:dyDescent="0.25">
      <c r="A4732" s="11" t="str">
        <f>HYPERLINK("https://rth.dk/resources/bsgatlas/details.php?id=BSGatlas-transcript-4731","BSGatlas-transcript-4731")</f>
        <v>BSGatlas-transcript-4731</v>
      </c>
      <c r="B4732" s="1" t="s">
        <v>4312</v>
      </c>
      <c r="C4732" s="3">
        <v>4164565</v>
      </c>
      <c r="D4732" s="3">
        <v>4165231</v>
      </c>
      <c r="E4732" s="1" t="s">
        <v>9</v>
      </c>
      <c r="F4732" s="1">
        <v>0</v>
      </c>
      <c r="G4732" s="1" t="s">
        <v>4372</v>
      </c>
      <c r="H4732" s="1" t="s">
        <v>4372</v>
      </c>
      <c r="I4732" s="1" t="s">
        <v>4377</v>
      </c>
      <c r="J4732" s="1" t="s">
        <v>11295</v>
      </c>
      <c r="K4732" s="1" t="s">
        <v>318</v>
      </c>
    </row>
    <row r="4733" spans="1:11" ht="21" x14ac:dyDescent="0.25">
      <c r="A4733" s="11" t="str">
        <f>HYPERLINK("https://rth.dk/resources/bsgatlas/details.php?id=BSGatlas-transcript-4732","BSGatlas-transcript-4732")</f>
        <v>BSGatlas-transcript-4732</v>
      </c>
      <c r="B4733" s="1" t="s">
        <v>4313</v>
      </c>
      <c r="C4733" s="3">
        <v>4166815</v>
      </c>
      <c r="D4733" s="3">
        <v>4167020</v>
      </c>
      <c r="E4733" s="1" t="s">
        <v>13</v>
      </c>
      <c r="F4733" s="1">
        <v>0</v>
      </c>
      <c r="G4733" s="1" t="s">
        <v>4372</v>
      </c>
      <c r="H4733" s="1" t="s">
        <v>4372</v>
      </c>
      <c r="I4733" s="1" t="s">
        <v>4386</v>
      </c>
      <c r="J4733" s="1" t="s">
        <v>11296</v>
      </c>
      <c r="K4733" s="1" t="s">
        <v>11297</v>
      </c>
    </row>
    <row r="4734" spans="1:11" ht="21" x14ac:dyDescent="0.25">
      <c r="A4734" s="11" t="str">
        <f>HYPERLINK("https://rth.dk/resources/bsgatlas/details.php?id=BSGatlas-transcript-4733","BSGatlas-transcript-4733")</f>
        <v>BSGatlas-transcript-4733</v>
      </c>
      <c r="B4734" s="1" t="s">
        <v>4313</v>
      </c>
      <c r="C4734" s="3">
        <v>4166815</v>
      </c>
      <c r="D4734" s="3">
        <v>4167083</v>
      </c>
      <c r="E4734" s="1" t="s">
        <v>13</v>
      </c>
      <c r="F4734" s="1">
        <v>0</v>
      </c>
      <c r="G4734" s="1" t="s">
        <v>4372</v>
      </c>
      <c r="H4734" s="1" t="s">
        <v>4372</v>
      </c>
      <c r="I4734" s="1" t="s">
        <v>4386</v>
      </c>
      <c r="J4734" s="1" t="s">
        <v>11298</v>
      </c>
      <c r="K4734" s="1" t="s">
        <v>11297</v>
      </c>
    </row>
    <row r="4735" spans="1:11" ht="21" x14ac:dyDescent="0.25">
      <c r="A4735" s="11" t="str">
        <f>HYPERLINK("https://rth.dk/resources/bsgatlas/details.php?id=BSGatlas-transcript-4734","BSGatlas-transcript-4734")</f>
        <v>BSGatlas-transcript-4734</v>
      </c>
      <c r="B4735" s="1" t="s">
        <v>4314</v>
      </c>
      <c r="C4735" s="3">
        <v>4167082</v>
      </c>
      <c r="D4735" s="3">
        <v>4167639</v>
      </c>
      <c r="E4735" s="1" t="s">
        <v>9</v>
      </c>
      <c r="F4735" s="1">
        <v>0</v>
      </c>
      <c r="G4735" s="1" t="s">
        <v>4372</v>
      </c>
      <c r="H4735" s="1" t="s">
        <v>4372</v>
      </c>
      <c r="I4735" s="1" t="s">
        <v>4373</v>
      </c>
      <c r="J4735" s="1" t="s">
        <v>11299</v>
      </c>
      <c r="K4735" s="1" t="s">
        <v>11300</v>
      </c>
    </row>
    <row r="4736" spans="1:11" ht="21" x14ac:dyDescent="0.25">
      <c r="A4736" s="11" t="str">
        <f>HYPERLINK("https://rth.dk/resources/bsgatlas/details.php?id=BSGatlas-transcript-4735","BSGatlas-transcript-4735")</f>
        <v>BSGatlas-transcript-4735</v>
      </c>
      <c r="B4736" s="1" t="s">
        <v>4315</v>
      </c>
      <c r="C4736" s="3">
        <v>4167583</v>
      </c>
      <c r="D4736" s="3">
        <v>4168066</v>
      </c>
      <c r="E4736" s="1" t="s">
        <v>13</v>
      </c>
      <c r="F4736" s="1">
        <v>0</v>
      </c>
      <c r="G4736" s="1" t="s">
        <v>4372</v>
      </c>
      <c r="H4736" s="1" t="s">
        <v>4372</v>
      </c>
      <c r="I4736" s="1" t="s">
        <v>4373</v>
      </c>
      <c r="J4736" s="1" t="s">
        <v>11301</v>
      </c>
      <c r="K4736" s="1" t="s">
        <v>11302</v>
      </c>
    </row>
    <row r="4737" spans="1:11" ht="21" x14ac:dyDescent="0.25">
      <c r="A4737" s="11" t="str">
        <f>HYPERLINK("https://rth.dk/resources/bsgatlas/details.php?id=BSGatlas-transcript-4736","BSGatlas-transcript-4736")</f>
        <v>BSGatlas-transcript-4736</v>
      </c>
      <c r="B4737" s="1" t="s">
        <v>4315</v>
      </c>
      <c r="C4737" s="3">
        <v>4167583</v>
      </c>
      <c r="D4737" s="3">
        <v>4168183</v>
      </c>
      <c r="E4737" s="1" t="s">
        <v>13</v>
      </c>
      <c r="F4737" s="1">
        <v>0</v>
      </c>
      <c r="G4737" s="1" t="s">
        <v>4372</v>
      </c>
      <c r="H4737" s="1" t="s">
        <v>4372</v>
      </c>
      <c r="I4737" s="1" t="s">
        <v>4373</v>
      </c>
      <c r="J4737" s="1" t="s">
        <v>11303</v>
      </c>
      <c r="K4737" s="1" t="s">
        <v>11302</v>
      </c>
    </row>
    <row r="4738" spans="1:11" ht="21" x14ac:dyDescent="0.25">
      <c r="A4738" s="11" t="str">
        <f>HYPERLINK("https://rth.dk/resources/bsgatlas/details.php?id=BSGatlas-transcript-4737","BSGatlas-transcript-4737")</f>
        <v>BSGatlas-transcript-4737</v>
      </c>
      <c r="B4738" s="1" t="s">
        <v>4316</v>
      </c>
      <c r="C4738" s="3">
        <v>4168155</v>
      </c>
      <c r="D4738" s="3">
        <v>4169174</v>
      </c>
      <c r="E4738" s="1" t="s">
        <v>9</v>
      </c>
      <c r="F4738" s="1">
        <v>0</v>
      </c>
      <c r="G4738" s="1" t="s">
        <v>4372</v>
      </c>
      <c r="H4738" s="1" t="s">
        <v>4372</v>
      </c>
      <c r="I4738" s="1" t="s">
        <v>4373</v>
      </c>
      <c r="J4738" s="1" t="s">
        <v>11304</v>
      </c>
      <c r="K4738" s="1" t="s">
        <v>11305</v>
      </c>
    </row>
    <row r="4739" spans="1:11" ht="21" x14ac:dyDescent="0.25">
      <c r="A4739" s="11" t="str">
        <f>HYPERLINK("https://rth.dk/resources/bsgatlas/details.php?id=BSGatlas-transcript-4738","BSGatlas-transcript-4738")</f>
        <v>BSGatlas-transcript-4738</v>
      </c>
      <c r="B4739" s="1" t="s">
        <v>4317</v>
      </c>
      <c r="C4739" s="3">
        <v>4169126</v>
      </c>
      <c r="D4739" s="3">
        <v>4169942</v>
      </c>
      <c r="E4739" s="1" t="s">
        <v>13</v>
      </c>
      <c r="F4739" s="1">
        <v>0</v>
      </c>
      <c r="G4739" s="1" t="s">
        <v>4372</v>
      </c>
      <c r="H4739" s="1" t="s">
        <v>4372</v>
      </c>
      <c r="I4739" s="1" t="s">
        <v>4373</v>
      </c>
      <c r="J4739" s="1" t="s">
        <v>11306</v>
      </c>
      <c r="K4739" s="1" t="s">
        <v>11307</v>
      </c>
    </row>
    <row r="4740" spans="1:11" ht="21" x14ac:dyDescent="0.25">
      <c r="A4740" s="11" t="str">
        <f>HYPERLINK("https://rth.dk/resources/bsgatlas/details.php?id=BSGatlas-transcript-4739","BSGatlas-transcript-4739")</f>
        <v>BSGatlas-transcript-4739</v>
      </c>
      <c r="B4740" s="1" t="s">
        <v>4318</v>
      </c>
      <c r="C4740" s="3">
        <v>4169999</v>
      </c>
      <c r="D4740" s="3">
        <v>4171352</v>
      </c>
      <c r="E4740" s="1" t="s">
        <v>9</v>
      </c>
      <c r="F4740" s="1">
        <v>0</v>
      </c>
      <c r="G4740" s="1" t="s">
        <v>4372</v>
      </c>
      <c r="H4740" s="1" t="s">
        <v>4372</v>
      </c>
      <c r="I4740" s="1" t="s">
        <v>4386</v>
      </c>
      <c r="J4740" s="1" t="s">
        <v>11308</v>
      </c>
      <c r="K4740" s="1" t="s">
        <v>11309</v>
      </c>
    </row>
    <row r="4741" spans="1:11" ht="21" x14ac:dyDescent="0.25">
      <c r="A4741" s="11" t="str">
        <f>HYPERLINK("https://rth.dk/resources/bsgatlas/details.php?id=BSGatlas-transcript-4740","BSGatlas-transcript-4740")</f>
        <v>BSGatlas-transcript-4740</v>
      </c>
      <c r="B4741" s="1" t="s">
        <v>4318</v>
      </c>
      <c r="C4741" s="3">
        <v>4169999</v>
      </c>
      <c r="D4741" s="3">
        <v>4172089</v>
      </c>
      <c r="E4741" s="1" t="s">
        <v>9</v>
      </c>
      <c r="F4741" s="1">
        <v>0</v>
      </c>
      <c r="G4741" s="1" t="s">
        <v>4372</v>
      </c>
      <c r="H4741" s="1" t="s">
        <v>4372</v>
      </c>
      <c r="I4741" s="1" t="s">
        <v>4386</v>
      </c>
      <c r="J4741" s="1" t="s">
        <v>11308</v>
      </c>
      <c r="K4741" s="1" t="s">
        <v>11310</v>
      </c>
    </row>
    <row r="4742" spans="1:11" ht="21" x14ac:dyDescent="0.25">
      <c r="A4742" s="11" t="str">
        <f>HYPERLINK("https://rth.dk/resources/bsgatlas/details.php?id=BSGatlas-transcript-4741","BSGatlas-transcript-4741")</f>
        <v>BSGatlas-transcript-4741</v>
      </c>
      <c r="B4742" s="1" t="s">
        <v>4318</v>
      </c>
      <c r="C4742" s="3">
        <v>4170045</v>
      </c>
      <c r="D4742" s="3">
        <v>4171352</v>
      </c>
      <c r="E4742" s="1" t="s">
        <v>9</v>
      </c>
      <c r="F4742" s="1">
        <v>0</v>
      </c>
      <c r="G4742" s="1" t="s">
        <v>4372</v>
      </c>
      <c r="H4742" s="1" t="s">
        <v>4372</v>
      </c>
      <c r="I4742" s="1" t="s">
        <v>4386</v>
      </c>
      <c r="J4742" s="1" t="s">
        <v>11311</v>
      </c>
      <c r="K4742" s="1" t="s">
        <v>11309</v>
      </c>
    </row>
    <row r="4743" spans="1:11" ht="21" x14ac:dyDescent="0.25">
      <c r="A4743" s="11" t="str">
        <f>HYPERLINK("https://rth.dk/resources/bsgatlas/details.php?id=BSGatlas-transcript-4742","BSGatlas-transcript-4742")</f>
        <v>BSGatlas-transcript-4742</v>
      </c>
      <c r="B4743" s="1" t="s">
        <v>4318</v>
      </c>
      <c r="C4743" s="3">
        <v>4170045</v>
      </c>
      <c r="D4743" s="3">
        <v>4172089</v>
      </c>
      <c r="E4743" s="1" t="s">
        <v>9</v>
      </c>
      <c r="F4743" s="1">
        <v>0</v>
      </c>
      <c r="G4743" s="1" t="s">
        <v>4372</v>
      </c>
      <c r="H4743" s="1" t="s">
        <v>4372</v>
      </c>
      <c r="I4743" s="1" t="s">
        <v>4386</v>
      </c>
      <c r="J4743" s="1" t="s">
        <v>11311</v>
      </c>
      <c r="K4743" s="1" t="s">
        <v>11310</v>
      </c>
    </row>
    <row r="4744" spans="1:11" ht="21" x14ac:dyDescent="0.25">
      <c r="A4744" s="11" t="str">
        <f>HYPERLINK("https://rth.dk/resources/bsgatlas/details.php?id=BSGatlas-transcript-4743","BSGatlas-transcript-4743")</f>
        <v>BSGatlas-transcript-4743</v>
      </c>
      <c r="B4744" s="1" t="s">
        <v>4319</v>
      </c>
      <c r="C4744" s="3">
        <v>4171131</v>
      </c>
      <c r="D4744" s="3">
        <v>4171635</v>
      </c>
      <c r="E4744" s="1" t="s">
        <v>13</v>
      </c>
      <c r="F4744" s="1">
        <v>0</v>
      </c>
      <c r="G4744" s="1" t="s">
        <v>4372</v>
      </c>
      <c r="H4744" s="1" t="s">
        <v>4372</v>
      </c>
      <c r="I4744" s="1" t="s">
        <v>4377</v>
      </c>
      <c r="J4744" s="1" t="s">
        <v>11312</v>
      </c>
      <c r="K4744" s="1" t="s">
        <v>11313</v>
      </c>
    </row>
    <row r="4745" spans="1:11" ht="21" x14ac:dyDescent="0.25">
      <c r="A4745" s="11" t="str">
        <f>HYPERLINK("https://rth.dk/resources/bsgatlas/details.php?id=BSGatlas-transcript-4744","BSGatlas-transcript-4744")</f>
        <v>BSGatlas-transcript-4744</v>
      </c>
      <c r="B4745" s="1" t="s">
        <v>4319</v>
      </c>
      <c r="C4745" s="3">
        <v>4171396</v>
      </c>
      <c r="D4745" s="3">
        <v>4171635</v>
      </c>
      <c r="E4745" s="1" t="s">
        <v>13</v>
      </c>
      <c r="F4745" s="1">
        <v>0</v>
      </c>
      <c r="G4745" s="1" t="s">
        <v>4372</v>
      </c>
      <c r="H4745" s="1" t="s">
        <v>4372</v>
      </c>
      <c r="I4745" s="1" t="s">
        <v>4377</v>
      </c>
      <c r="J4745" s="1" t="s">
        <v>11312</v>
      </c>
      <c r="K4745" s="1" t="s">
        <v>11314</v>
      </c>
    </row>
    <row r="4746" spans="1:11" ht="21" x14ac:dyDescent="0.25">
      <c r="A4746" s="11" t="str">
        <f>HYPERLINK("https://rth.dk/resources/bsgatlas/details.php?id=BSGatlas-transcript-4745","BSGatlas-transcript-4745")</f>
        <v>BSGatlas-transcript-4745</v>
      </c>
      <c r="B4746" s="1" t="s">
        <v>4320</v>
      </c>
      <c r="C4746" s="3">
        <v>4172387</v>
      </c>
      <c r="D4746" s="3">
        <v>4172869</v>
      </c>
      <c r="E4746" s="1" t="s">
        <v>13</v>
      </c>
      <c r="F4746" s="1">
        <v>0</v>
      </c>
      <c r="G4746" s="1" t="s">
        <v>4372</v>
      </c>
      <c r="H4746" s="1" t="s">
        <v>4372</v>
      </c>
      <c r="I4746" s="1" t="s">
        <v>4377</v>
      </c>
      <c r="J4746" s="1" t="s">
        <v>11315</v>
      </c>
      <c r="K4746" s="1" t="s">
        <v>318</v>
      </c>
    </row>
    <row r="4747" spans="1:11" ht="21" x14ac:dyDescent="0.25">
      <c r="A4747" s="11" t="str">
        <f>HYPERLINK("https://rth.dk/resources/bsgatlas/details.php?id=BSGatlas-transcript-4746","BSGatlas-transcript-4746")</f>
        <v>BSGatlas-transcript-4746</v>
      </c>
      <c r="B4747" s="1" t="s">
        <v>4320</v>
      </c>
      <c r="C4747" s="3">
        <v>4172387</v>
      </c>
      <c r="D4747" s="3">
        <v>4172935</v>
      </c>
      <c r="E4747" s="1" t="s">
        <v>13</v>
      </c>
      <c r="F4747" s="1">
        <v>0</v>
      </c>
      <c r="G4747" s="1" t="s">
        <v>4372</v>
      </c>
      <c r="H4747" s="1" t="s">
        <v>4372</v>
      </c>
      <c r="I4747" s="1" t="s">
        <v>4377</v>
      </c>
      <c r="J4747" s="1" t="s">
        <v>11316</v>
      </c>
      <c r="K4747" s="1" t="s">
        <v>318</v>
      </c>
    </row>
    <row r="4748" spans="1:11" ht="21" x14ac:dyDescent="0.25">
      <c r="A4748" s="11" t="str">
        <f>HYPERLINK("https://rth.dk/resources/bsgatlas/details.php?id=BSGatlas-transcript-4747","BSGatlas-transcript-4747")</f>
        <v>BSGatlas-transcript-4747</v>
      </c>
      <c r="B4748" s="1" t="s">
        <v>4321</v>
      </c>
      <c r="C4748" s="3">
        <v>4172910</v>
      </c>
      <c r="D4748" s="3">
        <v>4173645</v>
      </c>
      <c r="E4748" s="1" t="s">
        <v>9</v>
      </c>
      <c r="F4748" s="1">
        <v>0</v>
      </c>
      <c r="G4748" s="1" t="s">
        <v>4372</v>
      </c>
      <c r="H4748" s="1" t="s">
        <v>4372</v>
      </c>
      <c r="I4748" s="1" t="s">
        <v>4377</v>
      </c>
      <c r="J4748" s="1" t="s">
        <v>11317</v>
      </c>
      <c r="K4748" s="1" t="s">
        <v>11318</v>
      </c>
    </row>
    <row r="4749" spans="1:11" ht="21" x14ac:dyDescent="0.25">
      <c r="A4749" s="11" t="str">
        <f>HYPERLINK("https://rth.dk/resources/bsgatlas/details.php?id=BSGatlas-transcript-4748","BSGatlas-transcript-4748")</f>
        <v>BSGatlas-transcript-4748</v>
      </c>
      <c r="B4749" s="1" t="s">
        <v>11319</v>
      </c>
      <c r="C4749" s="3">
        <v>4172910</v>
      </c>
      <c r="D4749" s="3">
        <v>4174641</v>
      </c>
      <c r="E4749" s="1" t="s">
        <v>9</v>
      </c>
      <c r="F4749" s="1">
        <v>1</v>
      </c>
      <c r="G4749" s="1">
        <v>205</v>
      </c>
      <c r="H4749" s="1">
        <v>222</v>
      </c>
      <c r="I4749" s="1" t="s">
        <v>4377</v>
      </c>
      <c r="J4749" s="1" t="s">
        <v>11317</v>
      </c>
      <c r="K4749" s="1" t="s">
        <v>11320</v>
      </c>
    </row>
    <row r="4750" spans="1:11" ht="21" x14ac:dyDescent="0.25">
      <c r="A4750" s="11" t="str">
        <f>HYPERLINK("https://rth.dk/resources/bsgatlas/details.php?id=BSGatlas-transcript-4749","BSGatlas-transcript-4749")</f>
        <v>BSGatlas-transcript-4749</v>
      </c>
      <c r="B4750" s="1" t="s">
        <v>11321</v>
      </c>
      <c r="C4750" s="3">
        <v>4172910</v>
      </c>
      <c r="D4750" s="3">
        <v>4176863</v>
      </c>
      <c r="E4750" s="1" t="s">
        <v>9</v>
      </c>
      <c r="F4750" s="1">
        <v>1</v>
      </c>
      <c r="G4750" s="1">
        <v>205</v>
      </c>
      <c r="H4750" s="1">
        <v>339</v>
      </c>
      <c r="I4750" s="1" t="s">
        <v>4373</v>
      </c>
      <c r="J4750" s="1" t="s">
        <v>11317</v>
      </c>
      <c r="K4750" s="1" t="s">
        <v>11322</v>
      </c>
    </row>
    <row r="4751" spans="1:11" ht="21" x14ac:dyDescent="0.25">
      <c r="A4751" s="11" t="str">
        <f>HYPERLINK("https://rth.dk/resources/bsgatlas/details.php?id=BSGatlas-transcript-4750","BSGatlas-transcript-4750")</f>
        <v>BSGatlas-transcript-4750</v>
      </c>
      <c r="B4751" s="1" t="s">
        <v>4326</v>
      </c>
      <c r="C4751" s="3">
        <v>4176841</v>
      </c>
      <c r="D4751" s="3">
        <v>4177716</v>
      </c>
      <c r="E4751" s="1" t="s">
        <v>13</v>
      </c>
      <c r="F4751" s="1">
        <v>0</v>
      </c>
      <c r="G4751" s="1" t="s">
        <v>4372</v>
      </c>
      <c r="H4751" s="1" t="s">
        <v>4372</v>
      </c>
      <c r="I4751" s="1" t="s">
        <v>4386</v>
      </c>
      <c r="J4751" s="1" t="s">
        <v>11323</v>
      </c>
      <c r="K4751" s="1" t="s">
        <v>11324</v>
      </c>
    </row>
    <row r="4752" spans="1:11" ht="21" x14ac:dyDescent="0.25">
      <c r="A4752" s="11" t="str">
        <f>HYPERLINK("https://rth.dk/resources/bsgatlas/details.php?id=BSGatlas-transcript-4751","BSGatlas-transcript-4751")</f>
        <v>BSGatlas-transcript-4751</v>
      </c>
      <c r="B4752" s="1" t="s">
        <v>11325</v>
      </c>
      <c r="C4752" s="3">
        <v>4176841</v>
      </c>
      <c r="D4752" s="3">
        <v>4178145</v>
      </c>
      <c r="E4752" s="1" t="s">
        <v>13</v>
      </c>
      <c r="F4752" s="1">
        <v>1</v>
      </c>
      <c r="G4752" s="1" t="s">
        <v>4372</v>
      </c>
      <c r="H4752" s="1">
        <v>60</v>
      </c>
      <c r="I4752" s="1" t="s">
        <v>4373</v>
      </c>
      <c r="J4752" s="1" t="s">
        <v>318</v>
      </c>
      <c r="K4752" s="1" t="s">
        <v>11324</v>
      </c>
    </row>
    <row r="4753" spans="1:11" ht="21" x14ac:dyDescent="0.25">
      <c r="A4753" s="11" t="str">
        <f>HYPERLINK("https://rth.dk/resources/bsgatlas/details.php?id=BSGatlas-transcript-4752","BSGatlas-transcript-4752")</f>
        <v>BSGatlas-transcript-4752</v>
      </c>
      <c r="B4753" s="1" t="s">
        <v>4328</v>
      </c>
      <c r="C4753" s="3">
        <v>4178245</v>
      </c>
      <c r="D4753" s="3">
        <v>4179130</v>
      </c>
      <c r="E4753" s="1" t="s">
        <v>9</v>
      </c>
      <c r="F4753" s="1">
        <v>0</v>
      </c>
      <c r="G4753" s="1" t="s">
        <v>4372</v>
      </c>
      <c r="H4753" s="1" t="s">
        <v>4372</v>
      </c>
      <c r="I4753" s="1" t="s">
        <v>4373</v>
      </c>
      <c r="J4753" s="1" t="s">
        <v>11326</v>
      </c>
      <c r="K4753" s="1" t="s">
        <v>11327</v>
      </c>
    </row>
    <row r="4754" spans="1:11" ht="21" x14ac:dyDescent="0.25">
      <c r="A4754" s="11" t="str">
        <f>HYPERLINK("https://rth.dk/resources/bsgatlas/details.php?id=BSGatlas-transcript-4753","BSGatlas-transcript-4753")</f>
        <v>BSGatlas-transcript-4753</v>
      </c>
      <c r="B4754" s="1" t="s">
        <v>4328</v>
      </c>
      <c r="C4754" s="3">
        <v>4178245</v>
      </c>
      <c r="D4754" s="3">
        <v>4179166</v>
      </c>
      <c r="E4754" s="1" t="s">
        <v>9</v>
      </c>
      <c r="F4754" s="1">
        <v>0</v>
      </c>
      <c r="G4754" s="1" t="s">
        <v>4372</v>
      </c>
      <c r="H4754" s="1" t="s">
        <v>4372</v>
      </c>
      <c r="I4754" s="1" t="s">
        <v>4373</v>
      </c>
      <c r="J4754" s="1" t="s">
        <v>11326</v>
      </c>
      <c r="K4754" s="1" t="s">
        <v>11328</v>
      </c>
    </row>
    <row r="4755" spans="1:11" ht="21" x14ac:dyDescent="0.25">
      <c r="A4755" s="11" t="str">
        <f>HYPERLINK("https://rth.dk/resources/bsgatlas/details.php?id=BSGatlas-transcript-4754","BSGatlas-transcript-4754")</f>
        <v>BSGatlas-transcript-4754</v>
      </c>
      <c r="B4755" s="1" t="s">
        <v>4329</v>
      </c>
      <c r="C4755" s="3">
        <v>4179120</v>
      </c>
      <c r="D4755" s="3">
        <v>4180484</v>
      </c>
      <c r="E4755" s="1" t="s">
        <v>13</v>
      </c>
      <c r="F4755" s="1">
        <v>0</v>
      </c>
      <c r="G4755" s="1" t="s">
        <v>4372</v>
      </c>
      <c r="H4755" s="1" t="s">
        <v>4372</v>
      </c>
      <c r="I4755" s="1" t="s">
        <v>4373</v>
      </c>
      <c r="J4755" s="1" t="s">
        <v>11329</v>
      </c>
      <c r="K4755" s="1" t="s">
        <v>11330</v>
      </c>
    </row>
    <row r="4756" spans="1:11" ht="21" x14ac:dyDescent="0.25">
      <c r="A4756" s="11" t="str">
        <f>HYPERLINK("https://rth.dk/resources/bsgatlas/details.php?id=BSGatlas-transcript-4755","BSGatlas-transcript-4755")</f>
        <v>BSGatlas-transcript-4755</v>
      </c>
      <c r="B4756" s="1" t="s">
        <v>4329</v>
      </c>
      <c r="C4756" s="3">
        <v>4179163</v>
      </c>
      <c r="D4756" s="3">
        <v>4180484</v>
      </c>
      <c r="E4756" s="1" t="s">
        <v>13</v>
      </c>
      <c r="F4756" s="1">
        <v>0</v>
      </c>
      <c r="G4756" s="1" t="s">
        <v>4372</v>
      </c>
      <c r="H4756" s="1" t="s">
        <v>4372</v>
      </c>
      <c r="I4756" s="1" t="s">
        <v>4373</v>
      </c>
      <c r="J4756" s="1" t="s">
        <v>11329</v>
      </c>
      <c r="K4756" s="1" t="s">
        <v>11331</v>
      </c>
    </row>
    <row r="4757" spans="1:11" ht="21" x14ac:dyDescent="0.25">
      <c r="A4757" s="11" t="str">
        <f>HYPERLINK("https://rth.dk/resources/bsgatlas/details.php?id=BSGatlas-transcript-4756","BSGatlas-transcript-4756")</f>
        <v>BSGatlas-transcript-4756</v>
      </c>
      <c r="B4757" s="1" t="s">
        <v>11332</v>
      </c>
      <c r="C4757" s="3">
        <v>4180515</v>
      </c>
      <c r="D4757" s="3">
        <v>4182461</v>
      </c>
      <c r="E4757" s="1" t="s">
        <v>9</v>
      </c>
      <c r="F4757" s="1">
        <v>1</v>
      </c>
      <c r="G4757" s="1">
        <v>50</v>
      </c>
      <c r="H4757" s="1" t="s">
        <v>4372</v>
      </c>
      <c r="I4757" s="1" t="s">
        <v>4373</v>
      </c>
      <c r="J4757" s="1" t="s">
        <v>11333</v>
      </c>
      <c r="K4757" s="1" t="s">
        <v>11334</v>
      </c>
    </row>
    <row r="4758" spans="1:11" ht="21" x14ac:dyDescent="0.25">
      <c r="A4758" s="11" t="str">
        <f>HYPERLINK("https://rth.dk/resources/bsgatlas/details.php?id=BSGatlas-transcript-4757","BSGatlas-transcript-4757")</f>
        <v>BSGatlas-transcript-4757</v>
      </c>
      <c r="B4758" s="1" t="s">
        <v>11332</v>
      </c>
      <c r="C4758" s="3">
        <v>4180515</v>
      </c>
      <c r="D4758" s="3">
        <v>4182569</v>
      </c>
      <c r="E4758" s="1" t="s">
        <v>9</v>
      </c>
      <c r="F4758" s="1">
        <v>1</v>
      </c>
      <c r="G4758" s="1">
        <v>50</v>
      </c>
      <c r="H4758" s="1">
        <v>109</v>
      </c>
      <c r="I4758" s="1" t="s">
        <v>4373</v>
      </c>
      <c r="J4758" s="1" t="s">
        <v>11333</v>
      </c>
      <c r="K4758" s="1" t="s">
        <v>11335</v>
      </c>
    </row>
    <row r="4759" spans="1:11" ht="21" x14ac:dyDescent="0.25">
      <c r="A4759" s="11" t="str">
        <f>HYPERLINK("https://rth.dk/resources/bsgatlas/details.php?id=BSGatlas-transcript-4758","BSGatlas-transcript-4758")</f>
        <v>BSGatlas-transcript-4758</v>
      </c>
      <c r="B4759" s="1" t="s">
        <v>4333</v>
      </c>
      <c r="C4759" s="3">
        <v>4183445</v>
      </c>
      <c r="D4759" s="3">
        <v>4183952</v>
      </c>
      <c r="E4759" s="1" t="s">
        <v>13</v>
      </c>
      <c r="F4759" s="1">
        <v>0</v>
      </c>
      <c r="G4759" s="1" t="s">
        <v>4372</v>
      </c>
      <c r="H4759" s="1" t="s">
        <v>4372</v>
      </c>
      <c r="I4759" s="1" t="s">
        <v>4377</v>
      </c>
      <c r="J4759" s="1" t="s">
        <v>11336</v>
      </c>
      <c r="K4759" s="1" t="s">
        <v>318</v>
      </c>
    </row>
    <row r="4760" spans="1:11" ht="21" x14ac:dyDescent="0.25">
      <c r="A4760" s="11" t="str">
        <f>HYPERLINK("https://rth.dk/resources/bsgatlas/details.php?id=BSGatlas-transcript-4759","BSGatlas-transcript-4759")</f>
        <v>BSGatlas-transcript-4759</v>
      </c>
      <c r="B4760" s="1" t="s">
        <v>11337</v>
      </c>
      <c r="C4760" s="3">
        <v>4183945</v>
      </c>
      <c r="D4760" s="3">
        <v>4185065</v>
      </c>
      <c r="E4760" s="1" t="s">
        <v>9</v>
      </c>
      <c r="F4760" s="1">
        <v>0</v>
      </c>
      <c r="G4760" s="1" t="s">
        <v>4372</v>
      </c>
      <c r="H4760" s="1" t="s">
        <v>4372</v>
      </c>
      <c r="I4760" s="1" t="s">
        <v>4373</v>
      </c>
      <c r="J4760" s="1" t="s">
        <v>11338</v>
      </c>
      <c r="K4760" s="1" t="s">
        <v>318</v>
      </c>
    </row>
    <row r="4761" spans="1:11" ht="21" x14ac:dyDescent="0.25">
      <c r="A4761" s="11" t="str">
        <f>HYPERLINK("https://rth.dk/resources/bsgatlas/details.php?id=BSGatlas-transcript-4760","BSGatlas-transcript-4760")</f>
        <v>BSGatlas-transcript-4760</v>
      </c>
      <c r="B4761" s="1" t="s">
        <v>4336</v>
      </c>
      <c r="C4761" s="3">
        <v>4185160</v>
      </c>
      <c r="D4761" s="3">
        <v>4186509</v>
      </c>
      <c r="E4761" s="1" t="s">
        <v>13</v>
      </c>
      <c r="F4761" s="1">
        <v>0</v>
      </c>
      <c r="G4761" s="1" t="s">
        <v>4372</v>
      </c>
      <c r="H4761" s="1" t="s">
        <v>4372</v>
      </c>
      <c r="I4761" s="1" t="s">
        <v>4547</v>
      </c>
      <c r="J4761" s="1" t="s">
        <v>11339</v>
      </c>
      <c r="K4761" s="1" t="s">
        <v>318</v>
      </c>
    </row>
    <row r="4762" spans="1:11" ht="21" x14ac:dyDescent="0.25">
      <c r="A4762" s="11" t="str">
        <f>HYPERLINK("https://rth.dk/resources/bsgatlas/details.php?id=BSGatlas-transcript-4761","BSGatlas-transcript-4761")</f>
        <v>BSGatlas-transcript-4761</v>
      </c>
      <c r="B4762" s="1" t="s">
        <v>4337</v>
      </c>
      <c r="C4762" s="3">
        <v>4185751</v>
      </c>
      <c r="D4762" s="3">
        <v>4186448</v>
      </c>
      <c r="E4762" s="1" t="s">
        <v>9</v>
      </c>
      <c r="F4762" s="1">
        <v>0</v>
      </c>
      <c r="G4762" s="1" t="s">
        <v>4372</v>
      </c>
      <c r="H4762" s="1" t="s">
        <v>4372</v>
      </c>
      <c r="I4762" s="1" t="s">
        <v>4386</v>
      </c>
      <c r="J4762" s="1" t="s">
        <v>11340</v>
      </c>
      <c r="K4762" s="1" t="s">
        <v>318</v>
      </c>
    </row>
    <row r="4763" spans="1:11" ht="21" x14ac:dyDescent="0.25">
      <c r="A4763" s="11" t="str">
        <f>HYPERLINK("https://rth.dk/resources/bsgatlas/details.php?id=BSGatlas-transcript-4762","BSGatlas-transcript-4762")</f>
        <v>BSGatlas-transcript-4762</v>
      </c>
      <c r="B4763" s="1" t="s">
        <v>4337</v>
      </c>
      <c r="C4763" s="3">
        <v>4185817</v>
      </c>
      <c r="D4763" s="3">
        <v>4186448</v>
      </c>
      <c r="E4763" s="1" t="s">
        <v>9</v>
      </c>
      <c r="F4763" s="1">
        <v>0</v>
      </c>
      <c r="G4763" s="1" t="s">
        <v>4372</v>
      </c>
      <c r="H4763" s="1" t="s">
        <v>4372</v>
      </c>
      <c r="I4763" s="1" t="s">
        <v>4386</v>
      </c>
      <c r="J4763" s="1" t="s">
        <v>11341</v>
      </c>
      <c r="K4763" s="1" t="s">
        <v>318</v>
      </c>
    </row>
    <row r="4764" spans="1:11" ht="21" x14ac:dyDescent="0.25">
      <c r="A4764" s="11" t="str">
        <f>HYPERLINK("https://rth.dk/resources/bsgatlas/details.php?id=BSGatlas-transcript-4763","BSGatlas-transcript-4763")</f>
        <v>BSGatlas-transcript-4763</v>
      </c>
      <c r="B4764" s="1" t="s">
        <v>11342</v>
      </c>
      <c r="C4764" s="3">
        <v>4187621</v>
      </c>
      <c r="D4764" s="3">
        <v>4189176</v>
      </c>
      <c r="E4764" s="1" t="s">
        <v>13</v>
      </c>
      <c r="F4764" s="1">
        <v>1</v>
      </c>
      <c r="G4764" s="1">
        <v>24</v>
      </c>
      <c r="H4764" s="1">
        <v>61</v>
      </c>
      <c r="I4764" s="1" t="s">
        <v>4373</v>
      </c>
      <c r="J4764" s="1" t="s">
        <v>11343</v>
      </c>
      <c r="K4764" s="1" t="s">
        <v>11344</v>
      </c>
    </row>
    <row r="4765" spans="1:11" ht="21" x14ac:dyDescent="0.25">
      <c r="A4765" s="11" t="str">
        <f>HYPERLINK("https://rth.dk/resources/bsgatlas/details.php?id=BSGatlas-transcript-4764","BSGatlas-transcript-4764")</f>
        <v>BSGatlas-transcript-4764</v>
      </c>
      <c r="B4765" s="1" t="s">
        <v>4340</v>
      </c>
      <c r="C4765" s="3">
        <v>4189369</v>
      </c>
      <c r="D4765" s="3">
        <v>4189676</v>
      </c>
      <c r="E4765" s="1" t="s">
        <v>9</v>
      </c>
      <c r="F4765" s="1">
        <v>0</v>
      </c>
      <c r="G4765" s="1" t="s">
        <v>4372</v>
      </c>
      <c r="H4765" s="1" t="s">
        <v>4372</v>
      </c>
      <c r="I4765" s="1" t="s">
        <v>4373</v>
      </c>
      <c r="J4765" s="1" t="s">
        <v>11345</v>
      </c>
      <c r="K4765" s="1" t="s">
        <v>11346</v>
      </c>
    </row>
    <row r="4766" spans="1:11" ht="21" x14ac:dyDescent="0.25">
      <c r="A4766" s="11" t="str">
        <f>HYPERLINK("https://rth.dk/resources/bsgatlas/details.php?id=BSGatlas-transcript-4765","BSGatlas-transcript-4765")</f>
        <v>BSGatlas-transcript-4765</v>
      </c>
      <c r="B4766" s="1" t="s">
        <v>4340</v>
      </c>
      <c r="C4766" s="3">
        <v>4189369</v>
      </c>
      <c r="D4766" s="3">
        <v>4189742</v>
      </c>
      <c r="E4766" s="1" t="s">
        <v>9</v>
      </c>
      <c r="F4766" s="1">
        <v>0</v>
      </c>
      <c r="G4766" s="1" t="s">
        <v>4372</v>
      </c>
      <c r="H4766" s="1" t="s">
        <v>4372</v>
      </c>
      <c r="I4766" s="1" t="s">
        <v>4373</v>
      </c>
      <c r="J4766" s="1" t="s">
        <v>11345</v>
      </c>
      <c r="K4766" s="1" t="s">
        <v>11347</v>
      </c>
    </row>
    <row r="4767" spans="1:11" ht="21" x14ac:dyDescent="0.25">
      <c r="A4767" s="11" t="str">
        <f>HYPERLINK("https://rth.dk/resources/bsgatlas/details.php?id=BSGatlas-transcript-4766","BSGatlas-transcript-4766")</f>
        <v>BSGatlas-transcript-4766</v>
      </c>
      <c r="B4767" s="1" t="s">
        <v>11348</v>
      </c>
      <c r="C4767" s="3">
        <v>4189777</v>
      </c>
      <c r="D4767" s="3">
        <v>4193298</v>
      </c>
      <c r="E4767" s="1" t="s">
        <v>9</v>
      </c>
      <c r="F4767" s="1">
        <v>1</v>
      </c>
      <c r="G4767" s="1">
        <v>20</v>
      </c>
      <c r="H4767" s="1">
        <v>32</v>
      </c>
      <c r="I4767" s="1" t="s">
        <v>4386</v>
      </c>
      <c r="J4767" s="1" t="s">
        <v>11349</v>
      </c>
      <c r="K4767" s="1" t="s">
        <v>11350</v>
      </c>
    </row>
    <row r="4768" spans="1:11" ht="21" x14ac:dyDescent="0.25">
      <c r="A4768" s="11" t="str">
        <f>HYPERLINK("https://rth.dk/resources/bsgatlas/details.php?id=BSGatlas-transcript-4767","BSGatlas-transcript-4767")</f>
        <v>BSGatlas-transcript-4767</v>
      </c>
      <c r="B4768" s="1" t="s">
        <v>4343</v>
      </c>
      <c r="C4768" s="3">
        <v>4191163</v>
      </c>
      <c r="D4768" s="3">
        <v>4193298</v>
      </c>
      <c r="E4768" s="1" t="s">
        <v>9</v>
      </c>
      <c r="F4768" s="1">
        <v>0</v>
      </c>
      <c r="G4768" s="1" t="s">
        <v>4372</v>
      </c>
      <c r="H4768" s="1" t="s">
        <v>4372</v>
      </c>
      <c r="I4768" s="1" t="s">
        <v>4373</v>
      </c>
      <c r="J4768" s="1" t="s">
        <v>11351</v>
      </c>
      <c r="K4768" s="1" t="s">
        <v>11350</v>
      </c>
    </row>
    <row r="4769" spans="1:11" ht="21" x14ac:dyDescent="0.25">
      <c r="A4769" s="11" t="str">
        <f>HYPERLINK("https://rth.dk/resources/bsgatlas/details.php?id=BSGatlas-transcript-4768","BSGatlas-transcript-4768")</f>
        <v>BSGatlas-transcript-4768</v>
      </c>
      <c r="B4769" s="1" t="s">
        <v>4344</v>
      </c>
      <c r="C4769" s="3">
        <v>4192893</v>
      </c>
      <c r="D4769" s="3">
        <v>4194208</v>
      </c>
      <c r="E4769" s="1" t="s">
        <v>13</v>
      </c>
      <c r="F4769" s="1">
        <v>0</v>
      </c>
      <c r="G4769" s="1" t="s">
        <v>4372</v>
      </c>
      <c r="H4769" s="1" t="s">
        <v>4372</v>
      </c>
      <c r="I4769" s="1" t="s">
        <v>4373</v>
      </c>
      <c r="J4769" s="1" t="s">
        <v>11352</v>
      </c>
      <c r="K4769" s="1" t="s">
        <v>11353</v>
      </c>
    </row>
    <row r="4770" spans="1:11" ht="21" x14ac:dyDescent="0.25">
      <c r="A4770" s="11" t="str">
        <f>HYPERLINK("https://rth.dk/resources/bsgatlas/details.php?id=BSGatlas-transcript-4769","BSGatlas-transcript-4769")</f>
        <v>BSGatlas-transcript-4769</v>
      </c>
      <c r="B4770" s="1" t="s">
        <v>4344</v>
      </c>
      <c r="C4770" s="3">
        <v>4192893</v>
      </c>
      <c r="D4770" s="3">
        <v>4195451</v>
      </c>
      <c r="E4770" s="1" t="s">
        <v>13</v>
      </c>
      <c r="F4770" s="1">
        <v>0</v>
      </c>
      <c r="G4770" s="1" t="s">
        <v>4372</v>
      </c>
      <c r="H4770" s="1" t="s">
        <v>4372</v>
      </c>
      <c r="I4770" s="1" t="s">
        <v>4373</v>
      </c>
      <c r="J4770" s="1" t="s">
        <v>11354</v>
      </c>
      <c r="K4770" s="1" t="s">
        <v>11353</v>
      </c>
    </row>
    <row r="4771" spans="1:11" ht="21" x14ac:dyDescent="0.25">
      <c r="A4771" s="11" t="str">
        <f>HYPERLINK("https://rth.dk/resources/bsgatlas/details.php?id=BSGatlas-transcript-4770","BSGatlas-transcript-4770")</f>
        <v>BSGatlas-transcript-4770</v>
      </c>
      <c r="B4771" s="1" t="s">
        <v>4344</v>
      </c>
      <c r="C4771" s="3">
        <v>4193264</v>
      </c>
      <c r="D4771" s="3">
        <v>4194208</v>
      </c>
      <c r="E4771" s="1" t="s">
        <v>13</v>
      </c>
      <c r="F4771" s="1">
        <v>0</v>
      </c>
      <c r="G4771" s="1" t="s">
        <v>4372</v>
      </c>
      <c r="H4771" s="1" t="s">
        <v>4372</v>
      </c>
      <c r="I4771" s="1" t="s">
        <v>4373</v>
      </c>
      <c r="J4771" s="1" t="s">
        <v>11352</v>
      </c>
      <c r="K4771" s="1" t="s">
        <v>11355</v>
      </c>
    </row>
    <row r="4772" spans="1:11" ht="21" x14ac:dyDescent="0.25">
      <c r="A4772" s="11" t="str">
        <f>HYPERLINK("https://rth.dk/resources/bsgatlas/details.php?id=BSGatlas-transcript-4771","BSGatlas-transcript-4771")</f>
        <v>BSGatlas-transcript-4771</v>
      </c>
      <c r="B4772" s="1" t="s">
        <v>4344</v>
      </c>
      <c r="C4772" s="3">
        <v>4193264</v>
      </c>
      <c r="D4772" s="3">
        <v>4195451</v>
      </c>
      <c r="E4772" s="1" t="s">
        <v>13</v>
      </c>
      <c r="F4772" s="1">
        <v>0</v>
      </c>
      <c r="G4772" s="1" t="s">
        <v>4372</v>
      </c>
      <c r="H4772" s="1" t="s">
        <v>4372</v>
      </c>
      <c r="I4772" s="1" t="s">
        <v>4373</v>
      </c>
      <c r="J4772" s="1" t="s">
        <v>11354</v>
      </c>
      <c r="K4772" s="1" t="s">
        <v>11355</v>
      </c>
    </row>
    <row r="4773" spans="1:11" ht="21" x14ac:dyDescent="0.25">
      <c r="A4773" s="11" t="str">
        <f>HYPERLINK("https://rth.dk/resources/bsgatlas/details.php?id=BSGatlas-transcript-4772","BSGatlas-transcript-4772")</f>
        <v>BSGatlas-transcript-4772</v>
      </c>
      <c r="B4773" s="1" t="s">
        <v>4345</v>
      </c>
      <c r="C4773" s="3">
        <v>4194331</v>
      </c>
      <c r="D4773" s="3">
        <v>4195744</v>
      </c>
      <c r="E4773" s="1" t="s">
        <v>9</v>
      </c>
      <c r="F4773" s="1">
        <v>0</v>
      </c>
      <c r="G4773" s="1" t="s">
        <v>4372</v>
      </c>
      <c r="H4773" s="1" t="s">
        <v>4372</v>
      </c>
      <c r="I4773" s="1" t="s">
        <v>4397</v>
      </c>
      <c r="J4773" s="1" t="s">
        <v>11356</v>
      </c>
      <c r="K4773" s="1" t="s">
        <v>318</v>
      </c>
    </row>
    <row r="4774" spans="1:11" ht="21" x14ac:dyDescent="0.25">
      <c r="A4774" s="11" t="str">
        <f>HYPERLINK("https://rth.dk/resources/bsgatlas/details.php?id=BSGatlas-transcript-4773","BSGatlas-transcript-4773")</f>
        <v>BSGatlas-transcript-4773</v>
      </c>
      <c r="B4774" s="1" t="s">
        <v>4346</v>
      </c>
      <c r="C4774" s="3">
        <v>4196786</v>
      </c>
      <c r="D4774" s="3">
        <v>4197779</v>
      </c>
      <c r="E4774" s="1" t="s">
        <v>13</v>
      </c>
      <c r="F4774" s="1">
        <v>0</v>
      </c>
      <c r="G4774" s="1" t="s">
        <v>4372</v>
      </c>
      <c r="H4774" s="1" t="s">
        <v>4372</v>
      </c>
      <c r="I4774" s="1" t="s">
        <v>4684</v>
      </c>
      <c r="J4774" s="1" t="s">
        <v>11357</v>
      </c>
      <c r="K4774" s="1" t="s">
        <v>318</v>
      </c>
    </row>
    <row r="4775" spans="1:11" ht="21" x14ac:dyDescent="0.25">
      <c r="A4775" s="11" t="str">
        <f>HYPERLINK("https://rth.dk/resources/bsgatlas/details.php?id=BSGatlas-transcript-4774","BSGatlas-transcript-4774")</f>
        <v>BSGatlas-transcript-4774</v>
      </c>
      <c r="B4775" s="1" t="s">
        <v>11358</v>
      </c>
      <c r="C4775" s="3">
        <v>4196786</v>
      </c>
      <c r="D4775" s="3">
        <v>4198538</v>
      </c>
      <c r="E4775" s="1" t="s">
        <v>13</v>
      </c>
      <c r="F4775" s="1">
        <v>1</v>
      </c>
      <c r="G4775" s="1" t="s">
        <v>4372</v>
      </c>
      <c r="H4775" s="1" t="s">
        <v>4372</v>
      </c>
      <c r="I4775" s="1" t="s">
        <v>4397</v>
      </c>
      <c r="J4775" s="1" t="s">
        <v>318</v>
      </c>
      <c r="K4775" s="1" t="s">
        <v>318</v>
      </c>
    </row>
    <row r="4776" spans="1:11" ht="21" x14ac:dyDescent="0.25">
      <c r="A4776" s="11" t="str">
        <f>HYPERLINK("https://rth.dk/resources/bsgatlas/details.php?id=BSGatlas-transcript-4775","BSGatlas-transcript-4775")</f>
        <v>BSGatlas-transcript-4775</v>
      </c>
      <c r="B4776" s="1" t="s">
        <v>4348</v>
      </c>
      <c r="C4776" s="3">
        <v>4197741</v>
      </c>
      <c r="D4776" s="3">
        <v>4198574</v>
      </c>
      <c r="E4776" s="1" t="s">
        <v>9</v>
      </c>
      <c r="F4776" s="1">
        <v>0</v>
      </c>
      <c r="G4776" s="1" t="s">
        <v>4372</v>
      </c>
      <c r="H4776" s="1" t="s">
        <v>4372</v>
      </c>
      <c r="I4776" s="1" t="s">
        <v>4377</v>
      </c>
      <c r="J4776" s="1" t="s">
        <v>11359</v>
      </c>
      <c r="K4776" s="1" t="s">
        <v>11360</v>
      </c>
    </row>
    <row r="4777" spans="1:11" ht="21" x14ac:dyDescent="0.25">
      <c r="A4777" s="11" t="str">
        <f>HYPERLINK("https://rth.dk/resources/bsgatlas/details.php?id=BSGatlas-transcript-4776","BSGatlas-transcript-4776")</f>
        <v>BSGatlas-transcript-4776</v>
      </c>
      <c r="B4777" s="1" t="s">
        <v>11361</v>
      </c>
      <c r="C4777" s="3">
        <v>4198549</v>
      </c>
      <c r="D4777" s="3">
        <v>4199799</v>
      </c>
      <c r="E4777" s="1" t="s">
        <v>13</v>
      </c>
      <c r="F4777" s="1">
        <v>2</v>
      </c>
      <c r="G4777" s="1">
        <v>68</v>
      </c>
      <c r="H4777" s="1">
        <v>55</v>
      </c>
      <c r="I4777" s="1" t="s">
        <v>4397</v>
      </c>
      <c r="J4777" s="1" t="s">
        <v>11362</v>
      </c>
      <c r="K4777" s="1" t="s">
        <v>11363</v>
      </c>
    </row>
    <row r="4778" spans="1:11" ht="21" x14ac:dyDescent="0.25">
      <c r="A4778" s="11" t="str">
        <f>HYPERLINK("https://rth.dk/resources/bsgatlas/details.php?id=BSGatlas-transcript-4777","BSGatlas-transcript-4777")</f>
        <v>BSGatlas-transcript-4777</v>
      </c>
      <c r="B4778" s="1" t="s">
        <v>11364</v>
      </c>
      <c r="C4778" s="3">
        <v>4198549</v>
      </c>
      <c r="D4778" s="3">
        <v>4201006</v>
      </c>
      <c r="E4778" s="1" t="s">
        <v>13</v>
      </c>
      <c r="F4778" s="1">
        <v>3</v>
      </c>
      <c r="G4778" s="1">
        <v>64</v>
      </c>
      <c r="H4778" s="1">
        <v>55</v>
      </c>
      <c r="I4778" s="1" t="s">
        <v>4373</v>
      </c>
      <c r="J4778" s="1" t="s">
        <v>11365</v>
      </c>
      <c r="K4778" s="1" t="s">
        <v>11363</v>
      </c>
    </row>
    <row r="4779" spans="1:11" ht="21" x14ac:dyDescent="0.25">
      <c r="A4779" s="11" t="str">
        <f>HYPERLINK("https://rth.dk/resources/bsgatlas/details.php?id=BSGatlas-transcript-4778","BSGatlas-transcript-4778")</f>
        <v>BSGatlas-transcript-4778</v>
      </c>
      <c r="B4779" s="1" t="s">
        <v>11366</v>
      </c>
      <c r="C4779" s="3">
        <v>4198549</v>
      </c>
      <c r="D4779" s="3">
        <v>4203330</v>
      </c>
      <c r="E4779" s="1" t="s">
        <v>13</v>
      </c>
      <c r="F4779" s="1">
        <v>5</v>
      </c>
      <c r="G4779" s="1" t="s">
        <v>4372</v>
      </c>
      <c r="H4779" s="1">
        <v>55</v>
      </c>
      <c r="I4779" s="1" t="s">
        <v>4386</v>
      </c>
      <c r="J4779" s="1" t="s">
        <v>11367</v>
      </c>
      <c r="K4779" s="1" t="s">
        <v>11363</v>
      </c>
    </row>
    <row r="4780" spans="1:11" ht="21" x14ac:dyDescent="0.25">
      <c r="A4780" s="11" t="str">
        <f>HYPERLINK("https://rth.dk/resources/bsgatlas/details.php?id=BSGatlas-transcript-4779","BSGatlas-transcript-4779")</f>
        <v>BSGatlas-transcript-4779</v>
      </c>
      <c r="B4780" s="1" t="s">
        <v>11366</v>
      </c>
      <c r="C4780" s="3">
        <v>4198549</v>
      </c>
      <c r="D4780" s="3">
        <v>4203367</v>
      </c>
      <c r="E4780" s="1" t="s">
        <v>13</v>
      </c>
      <c r="F4780" s="1">
        <v>5</v>
      </c>
      <c r="G4780" s="1">
        <v>38</v>
      </c>
      <c r="H4780" s="1">
        <v>55</v>
      </c>
      <c r="I4780" s="1" t="s">
        <v>4386</v>
      </c>
      <c r="J4780" s="1" t="s">
        <v>11368</v>
      </c>
      <c r="K4780" s="1" t="s">
        <v>11363</v>
      </c>
    </row>
    <row r="4781" spans="1:11" ht="21" x14ac:dyDescent="0.25">
      <c r="A4781" s="11" t="str">
        <f>HYPERLINK("https://rth.dk/resources/bsgatlas/details.php?id=BSGatlas-transcript-4780","BSGatlas-transcript-4780")</f>
        <v>BSGatlas-transcript-4780</v>
      </c>
      <c r="B4781" s="1" t="s">
        <v>11361</v>
      </c>
      <c r="C4781" s="3">
        <v>4198603</v>
      </c>
      <c r="D4781" s="3">
        <v>4199799</v>
      </c>
      <c r="E4781" s="1" t="s">
        <v>13</v>
      </c>
      <c r="F4781" s="1">
        <v>2</v>
      </c>
      <c r="G4781" s="1">
        <v>68</v>
      </c>
      <c r="H4781" s="1" t="s">
        <v>4372</v>
      </c>
      <c r="I4781" s="1" t="s">
        <v>4397</v>
      </c>
      <c r="J4781" s="1" t="s">
        <v>11362</v>
      </c>
      <c r="K4781" s="1" t="s">
        <v>11369</v>
      </c>
    </row>
    <row r="4782" spans="1:11" ht="21" x14ac:dyDescent="0.25">
      <c r="A4782" s="11" t="str">
        <f>HYPERLINK("https://rth.dk/resources/bsgatlas/details.php?id=BSGatlas-transcript-4781","BSGatlas-transcript-4781")</f>
        <v>BSGatlas-transcript-4781</v>
      </c>
      <c r="B4782" s="1" t="s">
        <v>11364</v>
      </c>
      <c r="C4782" s="3">
        <v>4198603</v>
      </c>
      <c r="D4782" s="3">
        <v>4201006</v>
      </c>
      <c r="E4782" s="1" t="s">
        <v>13</v>
      </c>
      <c r="F4782" s="1">
        <v>3</v>
      </c>
      <c r="G4782" s="1">
        <v>64</v>
      </c>
      <c r="H4782" s="1" t="s">
        <v>4372</v>
      </c>
      <c r="I4782" s="1" t="s">
        <v>4373</v>
      </c>
      <c r="J4782" s="1" t="s">
        <v>11365</v>
      </c>
      <c r="K4782" s="1" t="s">
        <v>11369</v>
      </c>
    </row>
    <row r="4783" spans="1:11" ht="21" x14ac:dyDescent="0.25">
      <c r="A4783" s="11" t="str">
        <f>HYPERLINK("https://rth.dk/resources/bsgatlas/details.php?id=BSGatlas-transcript-4782","BSGatlas-transcript-4782")</f>
        <v>BSGatlas-transcript-4782</v>
      </c>
      <c r="B4783" s="1" t="s">
        <v>11366</v>
      </c>
      <c r="C4783" s="3">
        <v>4198603</v>
      </c>
      <c r="D4783" s="3">
        <v>4203330</v>
      </c>
      <c r="E4783" s="1" t="s">
        <v>13</v>
      </c>
      <c r="F4783" s="1">
        <v>5</v>
      </c>
      <c r="G4783" s="1" t="s">
        <v>4372</v>
      </c>
      <c r="H4783" s="1" t="s">
        <v>4372</v>
      </c>
      <c r="I4783" s="1" t="s">
        <v>4386</v>
      </c>
      <c r="J4783" s="1" t="s">
        <v>11367</v>
      </c>
      <c r="K4783" s="1" t="s">
        <v>11369</v>
      </c>
    </row>
    <row r="4784" spans="1:11" ht="21" x14ac:dyDescent="0.25">
      <c r="A4784" s="11" t="str">
        <f>HYPERLINK("https://rth.dk/resources/bsgatlas/details.php?id=BSGatlas-transcript-4783","BSGatlas-transcript-4783")</f>
        <v>BSGatlas-transcript-4783</v>
      </c>
      <c r="B4784" s="1" t="s">
        <v>11366</v>
      </c>
      <c r="C4784" s="3">
        <v>4198603</v>
      </c>
      <c r="D4784" s="3">
        <v>4203367</v>
      </c>
      <c r="E4784" s="1" t="s">
        <v>13</v>
      </c>
      <c r="F4784" s="1">
        <v>5</v>
      </c>
      <c r="G4784" s="1">
        <v>38</v>
      </c>
      <c r="H4784" s="1" t="s">
        <v>4372</v>
      </c>
      <c r="I4784" s="1" t="s">
        <v>4386</v>
      </c>
      <c r="J4784" s="1" t="s">
        <v>11368</v>
      </c>
      <c r="K4784" s="1" t="s">
        <v>11369</v>
      </c>
    </row>
    <row r="4785" spans="1:11" ht="21" x14ac:dyDescent="0.25">
      <c r="A4785" s="11" t="str">
        <f>HYPERLINK("https://rth.dk/resources/bsgatlas/details.php?id=BSGatlas-transcript-4784","BSGatlas-transcript-4784")</f>
        <v>BSGatlas-transcript-4784</v>
      </c>
      <c r="B4785" s="1" t="s">
        <v>4355</v>
      </c>
      <c r="C4785" s="3">
        <v>4203364</v>
      </c>
      <c r="D4785" s="3">
        <v>4204476</v>
      </c>
      <c r="E4785" s="1" t="s">
        <v>13</v>
      </c>
      <c r="F4785" s="1">
        <v>0</v>
      </c>
      <c r="G4785" s="1" t="s">
        <v>4372</v>
      </c>
      <c r="H4785" s="1" t="s">
        <v>4372</v>
      </c>
      <c r="I4785" s="1" t="s">
        <v>4373</v>
      </c>
      <c r="J4785" s="1" t="s">
        <v>11370</v>
      </c>
      <c r="K4785" s="1" t="s">
        <v>11371</v>
      </c>
    </row>
    <row r="4786" spans="1:11" ht="21" x14ac:dyDescent="0.25">
      <c r="A4786" s="11" t="str">
        <f>HYPERLINK("https://rth.dk/resources/bsgatlas/details.php?id=BSGatlas-transcript-4785","BSGatlas-transcript-4785")</f>
        <v>BSGatlas-transcript-4785</v>
      </c>
      <c r="B4786" s="1" t="s">
        <v>11372</v>
      </c>
      <c r="C4786" s="3">
        <v>4204594</v>
      </c>
      <c r="D4786" s="3">
        <v>4207210</v>
      </c>
      <c r="E4786" s="1" t="s">
        <v>13</v>
      </c>
      <c r="F4786" s="1">
        <v>0</v>
      </c>
      <c r="G4786" s="1" t="s">
        <v>4372</v>
      </c>
      <c r="H4786" s="1" t="s">
        <v>4372</v>
      </c>
      <c r="I4786" s="1" t="s">
        <v>4373</v>
      </c>
      <c r="J4786" s="1" t="s">
        <v>11373</v>
      </c>
      <c r="K4786" s="1" t="s">
        <v>11374</v>
      </c>
    </row>
    <row r="4787" spans="1:11" ht="21" x14ac:dyDescent="0.25">
      <c r="A4787" s="11" t="str">
        <f>HYPERLINK("https://rth.dk/resources/bsgatlas/details.php?id=BSGatlas-transcript-4786","BSGatlas-transcript-4786")</f>
        <v>BSGatlas-transcript-4786</v>
      </c>
      <c r="B4787" s="1" t="s">
        <v>11372</v>
      </c>
      <c r="C4787" s="3">
        <v>4204594</v>
      </c>
      <c r="D4787" s="3">
        <v>4207302</v>
      </c>
      <c r="E4787" s="1" t="s">
        <v>13</v>
      </c>
      <c r="F4787" s="1">
        <v>0</v>
      </c>
      <c r="G4787" s="1" t="s">
        <v>4372</v>
      </c>
      <c r="H4787" s="1" t="s">
        <v>4372</v>
      </c>
      <c r="I4787" s="1" t="s">
        <v>4373</v>
      </c>
      <c r="J4787" s="1" t="s">
        <v>11375</v>
      </c>
      <c r="K4787" s="1" t="s">
        <v>11374</v>
      </c>
    </row>
    <row r="4788" spans="1:11" ht="21" x14ac:dyDescent="0.25">
      <c r="A4788" s="11" t="str">
        <f>HYPERLINK("https://rth.dk/resources/bsgatlas/details.php?id=BSGatlas-transcript-4787","BSGatlas-transcript-4787")</f>
        <v>BSGatlas-transcript-4787</v>
      </c>
      <c r="B4788" s="1" t="s">
        <v>4358</v>
      </c>
      <c r="C4788" s="3">
        <v>4204832</v>
      </c>
      <c r="D4788" s="3">
        <v>4205561</v>
      </c>
      <c r="E4788" s="1" t="s">
        <v>9</v>
      </c>
      <c r="F4788" s="1">
        <v>0</v>
      </c>
      <c r="G4788" s="1" t="s">
        <v>4372</v>
      </c>
      <c r="H4788" s="1" t="s">
        <v>4372</v>
      </c>
      <c r="I4788" s="1" t="s">
        <v>4373</v>
      </c>
      <c r="J4788" s="1" t="s">
        <v>11376</v>
      </c>
      <c r="K4788" s="1" t="s">
        <v>11377</v>
      </c>
    </row>
    <row r="4789" spans="1:11" ht="21" x14ac:dyDescent="0.25">
      <c r="A4789" s="11" t="str">
        <f>HYPERLINK("https://rth.dk/resources/bsgatlas/details.php?id=BSGatlas-transcript-4788","BSGatlas-transcript-4788")</f>
        <v>BSGatlas-transcript-4788</v>
      </c>
      <c r="B4789" s="1" t="s">
        <v>11372</v>
      </c>
      <c r="C4789" s="3">
        <v>4205511</v>
      </c>
      <c r="D4789" s="3">
        <v>4207210</v>
      </c>
      <c r="E4789" s="1" t="s">
        <v>13</v>
      </c>
      <c r="F4789" s="1">
        <v>0</v>
      </c>
      <c r="G4789" s="1" t="s">
        <v>4372</v>
      </c>
      <c r="H4789" s="1" t="s">
        <v>4372</v>
      </c>
      <c r="I4789" s="1" t="s">
        <v>4373</v>
      </c>
      <c r="J4789" s="1" t="s">
        <v>11373</v>
      </c>
      <c r="K4789" s="1" t="s">
        <v>11378</v>
      </c>
    </row>
    <row r="4790" spans="1:11" ht="21" x14ac:dyDescent="0.25">
      <c r="A4790" s="11" t="str">
        <f>HYPERLINK("https://rth.dk/resources/bsgatlas/details.php?id=BSGatlas-transcript-4789","BSGatlas-transcript-4789")</f>
        <v>BSGatlas-transcript-4789</v>
      </c>
      <c r="B4790" s="1" t="s">
        <v>11372</v>
      </c>
      <c r="C4790" s="3">
        <v>4205511</v>
      </c>
      <c r="D4790" s="3">
        <v>4207302</v>
      </c>
      <c r="E4790" s="1" t="s">
        <v>13</v>
      </c>
      <c r="F4790" s="1">
        <v>0</v>
      </c>
      <c r="G4790" s="1" t="s">
        <v>4372</v>
      </c>
      <c r="H4790" s="1" t="s">
        <v>4372</v>
      </c>
      <c r="I4790" s="1" t="s">
        <v>4373</v>
      </c>
      <c r="J4790" s="1" t="s">
        <v>11375</v>
      </c>
      <c r="K4790" s="1" t="s">
        <v>11378</v>
      </c>
    </row>
    <row r="4791" spans="1:11" ht="21" x14ac:dyDescent="0.25">
      <c r="A4791" s="11" t="str">
        <f>HYPERLINK("https://rth.dk/resources/bsgatlas/details.php?id=BSGatlas-transcript-4790","BSGatlas-transcript-4790")</f>
        <v>BSGatlas-transcript-4790</v>
      </c>
      <c r="B4791" s="1" t="s">
        <v>4359</v>
      </c>
      <c r="C4791" s="3">
        <v>4205529</v>
      </c>
      <c r="D4791" s="3">
        <v>4207846</v>
      </c>
      <c r="E4791" s="1" t="s">
        <v>9</v>
      </c>
      <c r="F4791" s="1">
        <v>0</v>
      </c>
      <c r="G4791" s="1" t="s">
        <v>4372</v>
      </c>
      <c r="H4791" s="1" t="s">
        <v>4372</v>
      </c>
      <c r="I4791" s="1" t="s">
        <v>4373</v>
      </c>
      <c r="J4791" s="1" t="s">
        <v>11379</v>
      </c>
      <c r="K4791" s="1" t="s">
        <v>11380</v>
      </c>
    </row>
    <row r="4792" spans="1:11" ht="21" x14ac:dyDescent="0.25">
      <c r="A4792" s="11" t="str">
        <f>HYPERLINK("https://rth.dk/resources/bsgatlas/details.php?id=BSGatlas-transcript-4791","BSGatlas-transcript-4791")</f>
        <v>BSGatlas-transcript-4791</v>
      </c>
      <c r="B4792" s="1" t="s">
        <v>4359</v>
      </c>
      <c r="C4792" s="3">
        <v>4205529</v>
      </c>
      <c r="D4792" s="3">
        <v>4207909</v>
      </c>
      <c r="E4792" s="1" t="s">
        <v>9</v>
      </c>
      <c r="F4792" s="1">
        <v>0</v>
      </c>
      <c r="G4792" s="1" t="s">
        <v>4372</v>
      </c>
      <c r="H4792" s="1" t="s">
        <v>4372</v>
      </c>
      <c r="I4792" s="1" t="s">
        <v>4373</v>
      </c>
      <c r="J4792" s="1" t="s">
        <v>11379</v>
      </c>
      <c r="K4792" s="1" t="s">
        <v>11381</v>
      </c>
    </row>
    <row r="4793" spans="1:11" ht="21" x14ac:dyDescent="0.25">
      <c r="A4793" s="11" t="str">
        <f>HYPERLINK("https://rth.dk/resources/bsgatlas/details.php?id=BSGatlas-transcript-4792","BSGatlas-transcript-4792")</f>
        <v>BSGatlas-transcript-4792</v>
      </c>
      <c r="B4793" s="1" t="s">
        <v>11372</v>
      </c>
      <c r="C4793" s="3">
        <v>4205556</v>
      </c>
      <c r="D4793" s="3">
        <v>4207210</v>
      </c>
      <c r="E4793" s="1" t="s">
        <v>13</v>
      </c>
      <c r="F4793" s="1">
        <v>0</v>
      </c>
      <c r="G4793" s="1" t="s">
        <v>4372</v>
      </c>
      <c r="H4793" s="1" t="s">
        <v>4372</v>
      </c>
      <c r="I4793" s="1" t="s">
        <v>4373</v>
      </c>
      <c r="J4793" s="1" t="s">
        <v>11373</v>
      </c>
      <c r="K4793" s="1" t="s">
        <v>11382</v>
      </c>
    </row>
    <row r="4794" spans="1:11" ht="21" x14ac:dyDescent="0.25">
      <c r="A4794" s="11" t="str">
        <f>HYPERLINK("https://rth.dk/resources/bsgatlas/details.php?id=BSGatlas-transcript-4793","BSGatlas-transcript-4793")</f>
        <v>BSGatlas-transcript-4793</v>
      </c>
      <c r="B4794" s="1" t="s">
        <v>11372</v>
      </c>
      <c r="C4794" s="3">
        <v>4205556</v>
      </c>
      <c r="D4794" s="3">
        <v>4207302</v>
      </c>
      <c r="E4794" s="1" t="s">
        <v>13</v>
      </c>
      <c r="F4794" s="1">
        <v>0</v>
      </c>
      <c r="G4794" s="1" t="s">
        <v>4372</v>
      </c>
      <c r="H4794" s="1" t="s">
        <v>4372</v>
      </c>
      <c r="I4794" s="1" t="s">
        <v>4373</v>
      </c>
      <c r="J4794" s="1" t="s">
        <v>11375</v>
      </c>
      <c r="K4794" s="1" t="s">
        <v>11382</v>
      </c>
    </row>
    <row r="4795" spans="1:11" ht="21" x14ac:dyDescent="0.25">
      <c r="A4795" s="11" t="str">
        <f>HYPERLINK("https://rth.dk/resources/bsgatlas/details.php?id=BSGatlas-transcript-4794","BSGatlas-transcript-4794")</f>
        <v>BSGatlas-transcript-4794</v>
      </c>
      <c r="B4795" s="1" t="s">
        <v>4359</v>
      </c>
      <c r="C4795" s="3">
        <v>4207355</v>
      </c>
      <c r="D4795" s="3">
        <v>4207846</v>
      </c>
      <c r="E4795" s="1" t="s">
        <v>9</v>
      </c>
      <c r="F4795" s="1">
        <v>0</v>
      </c>
      <c r="G4795" s="1" t="s">
        <v>4372</v>
      </c>
      <c r="H4795" s="1" t="s">
        <v>4372</v>
      </c>
      <c r="I4795" s="1" t="s">
        <v>4373</v>
      </c>
      <c r="J4795" s="1" t="s">
        <v>11383</v>
      </c>
      <c r="K4795" s="1" t="s">
        <v>11380</v>
      </c>
    </row>
    <row r="4796" spans="1:11" ht="21" x14ac:dyDescent="0.25">
      <c r="A4796" s="11" t="str">
        <f>HYPERLINK("https://rth.dk/resources/bsgatlas/details.php?id=BSGatlas-transcript-4795","BSGatlas-transcript-4795")</f>
        <v>BSGatlas-transcript-4795</v>
      </c>
      <c r="B4796" s="1" t="s">
        <v>4359</v>
      </c>
      <c r="C4796" s="3">
        <v>4207355</v>
      </c>
      <c r="D4796" s="3">
        <v>4207909</v>
      </c>
      <c r="E4796" s="1" t="s">
        <v>9</v>
      </c>
      <c r="F4796" s="1">
        <v>0</v>
      </c>
      <c r="G4796" s="1" t="s">
        <v>4372</v>
      </c>
      <c r="H4796" s="1" t="s">
        <v>4372</v>
      </c>
      <c r="I4796" s="1" t="s">
        <v>4373</v>
      </c>
      <c r="J4796" s="1" t="s">
        <v>11383</v>
      </c>
      <c r="K4796" s="1" t="s">
        <v>11381</v>
      </c>
    </row>
    <row r="4797" spans="1:11" ht="21" x14ac:dyDescent="0.25">
      <c r="A4797" s="11" t="str">
        <f>HYPERLINK("https://rth.dk/resources/bsgatlas/details.php?id=BSGatlas-transcript-4796","BSGatlas-transcript-4796")</f>
        <v>BSGatlas-transcript-4796</v>
      </c>
      <c r="B4797" s="1" t="s">
        <v>11384</v>
      </c>
      <c r="C4797" s="3">
        <v>4207857</v>
      </c>
      <c r="D4797" s="3">
        <v>4213020</v>
      </c>
      <c r="E4797" s="1" t="s">
        <v>13</v>
      </c>
      <c r="F4797" s="1">
        <v>2</v>
      </c>
      <c r="G4797" s="1">
        <v>132</v>
      </c>
      <c r="H4797" s="1">
        <v>41</v>
      </c>
      <c r="I4797" s="1" t="s">
        <v>4373</v>
      </c>
      <c r="J4797" s="1" t="s">
        <v>11385</v>
      </c>
      <c r="K4797" s="1" t="s">
        <v>11386</v>
      </c>
    </row>
    <row r="4798" spans="1:11" ht="21" x14ac:dyDescent="0.25">
      <c r="A4798" s="11" t="str">
        <f>HYPERLINK("https://rth.dk/resources/bsgatlas/details.php?id=BSGatlas-transcript-4797","BSGatlas-transcript-4797")</f>
        <v>BSGatlas-transcript-4797</v>
      </c>
      <c r="B4798" s="1" t="s">
        <v>11384</v>
      </c>
      <c r="C4798" s="3">
        <v>4207857</v>
      </c>
      <c r="D4798" s="3">
        <v>4213085</v>
      </c>
      <c r="E4798" s="1" t="s">
        <v>13</v>
      </c>
      <c r="F4798" s="1">
        <v>2</v>
      </c>
      <c r="G4798" s="1">
        <v>197</v>
      </c>
      <c r="H4798" s="1">
        <v>41</v>
      </c>
      <c r="I4798" s="1" t="s">
        <v>4373</v>
      </c>
      <c r="J4798" s="1" t="s">
        <v>11387</v>
      </c>
      <c r="K4798" s="1" t="s">
        <v>11386</v>
      </c>
    </row>
    <row r="4799" spans="1:11" ht="21" x14ac:dyDescent="0.25">
      <c r="A4799" s="11" t="str">
        <f>HYPERLINK("https://rth.dk/resources/bsgatlas/details.php?id=BSGatlas-transcript-4798","BSGatlas-transcript-4798")</f>
        <v>BSGatlas-transcript-4798</v>
      </c>
      <c r="B4799" s="1" t="s">
        <v>11388</v>
      </c>
      <c r="C4799" s="3">
        <v>4213150</v>
      </c>
      <c r="D4799" s="3">
        <v>4214654</v>
      </c>
      <c r="E4799" s="1" t="s">
        <v>13</v>
      </c>
      <c r="F4799" s="1">
        <v>0</v>
      </c>
      <c r="G4799" s="1" t="s">
        <v>4372</v>
      </c>
      <c r="H4799" s="1" t="s">
        <v>4372</v>
      </c>
      <c r="I4799" s="1" t="s">
        <v>4373</v>
      </c>
      <c r="J4799" s="1" t="s">
        <v>11389</v>
      </c>
      <c r="K4799" s="1" t="s">
        <v>11390</v>
      </c>
    </row>
    <row r="4800" spans="1:11" ht="21" x14ac:dyDescent="0.25">
      <c r="A4800" s="11" t="str">
        <f>HYPERLINK("https://rth.dk/resources/bsgatlas/details.php?id=BSGatlas-transcript-4799","BSGatlas-transcript-4799")</f>
        <v>BSGatlas-transcript-4799</v>
      </c>
      <c r="B4800" s="1" t="s">
        <v>11391</v>
      </c>
      <c r="C4800" s="3">
        <v>4213150</v>
      </c>
      <c r="D4800" s="3">
        <v>4215426</v>
      </c>
      <c r="E4800" s="1" t="s">
        <v>13</v>
      </c>
      <c r="F4800" s="1">
        <v>2</v>
      </c>
      <c r="G4800" s="1">
        <v>38</v>
      </c>
      <c r="H4800" s="1">
        <v>51</v>
      </c>
      <c r="I4800" s="1" t="s">
        <v>4386</v>
      </c>
      <c r="J4800" s="1" t="s">
        <v>11392</v>
      </c>
      <c r="K4800" s="1" t="s">
        <v>11390</v>
      </c>
    </row>
    <row r="4801" spans="1:11" ht="21" x14ac:dyDescent="0.25">
      <c r="A4801" s="11" t="str">
        <f>HYPERLINK("https://rth.dk/resources/bsgatlas/details.php?id=BSGatlas-transcript-4800","BSGatlas-transcript-4800")</f>
        <v>BSGatlas-transcript-4800</v>
      </c>
      <c r="B4801" s="1" t="s">
        <v>11391</v>
      </c>
      <c r="C4801" s="3">
        <v>4213150</v>
      </c>
      <c r="D4801" s="3">
        <v>4215495</v>
      </c>
      <c r="E4801" s="1" t="s">
        <v>13</v>
      </c>
      <c r="F4801" s="1">
        <v>2</v>
      </c>
      <c r="G4801" s="1">
        <v>107</v>
      </c>
      <c r="H4801" s="1">
        <v>51</v>
      </c>
      <c r="I4801" s="1" t="s">
        <v>4386</v>
      </c>
      <c r="J4801" s="1" t="s">
        <v>11393</v>
      </c>
      <c r="K4801" s="1" t="s">
        <v>11390</v>
      </c>
    </row>
    <row r="4802" spans="1:11" ht="21" x14ac:dyDescent="0.25">
      <c r="A4802" s="11" t="str">
        <f>HYPERLINK("https://rth.dk/resources/bsgatlas/details.php?id=BSGatlas-transcript-4801","BSGatlas-transcript-4801")</f>
        <v>BSGatlas-transcript-4801</v>
      </c>
      <c r="B4802" s="1" t="s">
        <v>4368</v>
      </c>
      <c r="C4802" s="3">
        <v>4213186</v>
      </c>
      <c r="D4802" s="3">
        <v>4215471</v>
      </c>
      <c r="E4802" s="1" t="s">
        <v>9</v>
      </c>
      <c r="F4802" s="1">
        <v>0</v>
      </c>
      <c r="G4802" s="1" t="s">
        <v>4372</v>
      </c>
      <c r="H4802" s="1" t="s">
        <v>4372</v>
      </c>
      <c r="I4802" s="1" t="s">
        <v>4377</v>
      </c>
      <c r="J4802" s="1" t="s">
        <v>11394</v>
      </c>
      <c r="K4802" s="1" t="s">
        <v>318</v>
      </c>
    </row>
    <row r="4803" spans="1:11" ht="21" x14ac:dyDescent="0.25">
      <c r="A4803" s="11" t="str">
        <f>HYPERLINK("https://rth.dk/resources/bsgatlas/details.php?id=BSGatlas-transcript-4802","BSGatlas-transcript-4802")</f>
        <v>BSGatlas-transcript-4802</v>
      </c>
      <c r="B4803" s="1" t="s">
        <v>4367</v>
      </c>
      <c r="C4803" s="3">
        <v>4215217</v>
      </c>
      <c r="D4803" s="3">
        <v>4215426</v>
      </c>
      <c r="E4803" s="1" t="s">
        <v>13</v>
      </c>
      <c r="F4803" s="1">
        <v>0</v>
      </c>
      <c r="G4803" s="1" t="s">
        <v>4372</v>
      </c>
      <c r="H4803" s="1" t="s">
        <v>4372</v>
      </c>
      <c r="I4803" s="1" t="s">
        <v>4373</v>
      </c>
      <c r="J4803" s="1" t="s">
        <v>11392</v>
      </c>
      <c r="K4803" s="1" t="s">
        <v>11395</v>
      </c>
    </row>
    <row r="4804" spans="1:11" ht="21" x14ac:dyDescent="0.25">
      <c r="A4804" s="11" t="str">
        <f>HYPERLINK("https://rth.dk/resources/bsgatlas/details.php?id=BSGatlas-transcript-4803","BSGatlas-transcript-4803")</f>
        <v>BSGatlas-transcript-4803</v>
      </c>
      <c r="B4804" s="1" t="s">
        <v>4367</v>
      </c>
      <c r="C4804" s="3">
        <v>4215217</v>
      </c>
      <c r="D4804" s="3">
        <v>4215495</v>
      </c>
      <c r="E4804" s="1" t="s">
        <v>13</v>
      </c>
      <c r="F4804" s="1">
        <v>0</v>
      </c>
      <c r="G4804" s="1" t="s">
        <v>4372</v>
      </c>
      <c r="H4804" s="1" t="s">
        <v>4372</v>
      </c>
      <c r="I4804" s="1" t="s">
        <v>4373</v>
      </c>
      <c r="J4804" s="1" t="s">
        <v>11393</v>
      </c>
      <c r="K4804" s="1" t="s">
        <v>11395</v>
      </c>
    </row>
    <row r="4805" spans="1:11" ht="21" x14ac:dyDescent="0.25">
      <c r="A4805" s="11" t="str">
        <f>HYPERLINK("https://rth.dk/resources/bsgatlas/details.php?id=BSGatlas-transcript-4804","BSGatlas-transcript-4804")</f>
        <v>BSGatlas-transcript-4804</v>
      </c>
      <c r="B4805" s="1" t="s">
        <v>4369</v>
      </c>
      <c r="C4805" s="3">
        <v>4215473</v>
      </c>
      <c r="D4805" s="3">
        <v>4215670</v>
      </c>
      <c r="E4805" s="1" t="s">
        <v>9</v>
      </c>
      <c r="F4805" s="1">
        <v>0</v>
      </c>
      <c r="G4805" s="1" t="s">
        <v>4372</v>
      </c>
      <c r="H4805" s="1" t="s">
        <v>4372</v>
      </c>
      <c r="I4805" s="1" t="s">
        <v>4377</v>
      </c>
      <c r="J4805" s="1" t="s">
        <v>11396</v>
      </c>
      <c r="K4805" s="1" t="s">
        <v>318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89075-81BD-264C-B408-785A05AF8D30}">
  <dimension ref="A1:G2826"/>
  <sheetViews>
    <sheetView zoomScale="125" workbookViewId="0">
      <selection activeCell="F12" sqref="F12"/>
    </sheetView>
  </sheetViews>
  <sheetFormatPr baseColWidth="10" defaultRowHeight="16" x14ac:dyDescent="0.2"/>
  <cols>
    <col min="1" max="1" width="24.5" bestFit="1" customWidth="1"/>
    <col min="2" max="3" width="11.83203125" style="4" bestFit="1" customWidth="1"/>
    <col min="4" max="5" width="11" bestFit="1" customWidth="1"/>
    <col min="6" max="6" width="23.5" bestFit="1" customWidth="1"/>
    <col min="7" max="7" width="21.83203125" bestFit="1" customWidth="1"/>
  </cols>
  <sheetData>
    <row r="1" spans="1:7" ht="21" x14ac:dyDescent="0.25">
      <c r="A1" s="1" t="s">
        <v>11753</v>
      </c>
      <c r="B1" s="3" t="s">
        <v>4</v>
      </c>
      <c r="C1" s="3" t="s">
        <v>5</v>
      </c>
      <c r="D1" s="1" t="s">
        <v>6</v>
      </c>
      <c r="E1" s="1" t="s">
        <v>11754</v>
      </c>
      <c r="F1" s="1" t="s">
        <v>11755</v>
      </c>
      <c r="G1" s="1" t="s">
        <v>11756</v>
      </c>
    </row>
    <row r="2" spans="1:7" ht="21" x14ac:dyDescent="0.25">
      <c r="A2" s="2" t="str">
        <f>HYPERLINK("https://rth.dk/resources/bsgatlas/details.php?id=BSGatlas-5'UTR-1","BSGatlas-5'UTR-1")</f>
        <v>BSGatlas-5'UTR-1</v>
      </c>
      <c r="B2" s="3">
        <v>1</v>
      </c>
      <c r="C2" s="3">
        <v>410</v>
      </c>
      <c r="D2" s="1" t="s">
        <v>9</v>
      </c>
      <c r="E2" s="1">
        <v>410</v>
      </c>
      <c r="F2" s="1" t="s">
        <v>11757</v>
      </c>
      <c r="G2" s="1" t="s">
        <v>4374</v>
      </c>
    </row>
    <row r="3" spans="1:7" ht="21" x14ac:dyDescent="0.25">
      <c r="A3" s="2" t="str">
        <f>HYPERLINK("https://rth.dk/resources/bsgatlas/details.php?id=BSGatlas-5'UTR-2","BSGatlas-5'UTR-2")</f>
        <v>BSGatlas-5'UTR-2</v>
      </c>
      <c r="B3" s="3">
        <v>157</v>
      </c>
      <c r="C3" s="3">
        <v>410</v>
      </c>
      <c r="D3" s="1" t="s">
        <v>9</v>
      </c>
      <c r="E3" s="1">
        <v>254</v>
      </c>
      <c r="F3" s="1" t="s">
        <v>11757</v>
      </c>
      <c r="G3" s="1" t="s">
        <v>4379</v>
      </c>
    </row>
    <row r="4" spans="1:7" ht="21" x14ac:dyDescent="0.25">
      <c r="A4" s="2" t="str">
        <f>HYPERLINK("https://rth.dk/resources/bsgatlas/details.php?id=BSGatlas-5'UTR-3","BSGatlas-5'UTR-3")</f>
        <v>BSGatlas-5'UTR-3</v>
      </c>
      <c r="B4" s="3">
        <v>3180</v>
      </c>
      <c r="C4" s="3">
        <v>3206</v>
      </c>
      <c r="D4" s="1" t="s">
        <v>9</v>
      </c>
      <c r="E4" s="1">
        <v>27</v>
      </c>
      <c r="F4" s="1" t="s">
        <v>11758</v>
      </c>
      <c r="G4" s="1" t="s">
        <v>4383</v>
      </c>
    </row>
    <row r="5" spans="1:7" ht="21" x14ac:dyDescent="0.25">
      <c r="A5" s="2" t="str">
        <f>HYPERLINK("https://rth.dk/resources/bsgatlas/details.php?id=BSGatlas-5'UTR-4","BSGatlas-5'UTR-4")</f>
        <v>BSGatlas-5'UTR-4</v>
      </c>
      <c r="B5" s="3">
        <v>6916</v>
      </c>
      <c r="C5" s="3">
        <v>6994</v>
      </c>
      <c r="D5" s="1" t="s">
        <v>9</v>
      </c>
      <c r="E5" s="1">
        <v>79</v>
      </c>
      <c r="F5" s="1" t="s">
        <v>11759</v>
      </c>
      <c r="G5" s="1" t="s">
        <v>4391</v>
      </c>
    </row>
    <row r="6" spans="1:7" ht="21" x14ac:dyDescent="0.25">
      <c r="A6" s="2" t="str">
        <f>HYPERLINK("https://rth.dk/resources/bsgatlas/details.php?id=BSGatlas-5'UTR-5","BSGatlas-5'UTR-5")</f>
        <v>BSGatlas-5'UTR-5</v>
      </c>
      <c r="B6" s="3">
        <v>9374</v>
      </c>
      <c r="C6" s="3">
        <v>9810</v>
      </c>
      <c r="D6" s="1" t="s">
        <v>9</v>
      </c>
      <c r="E6" s="1">
        <v>437</v>
      </c>
      <c r="F6" s="1" t="s">
        <v>11760</v>
      </c>
      <c r="G6" s="1" t="s">
        <v>4393</v>
      </c>
    </row>
    <row r="7" spans="1:7" ht="21" x14ac:dyDescent="0.25">
      <c r="A7" s="2" t="str">
        <f>HYPERLINK("https://rth.dk/resources/bsgatlas/details.php?id=BSGatlas-5'UTR-6","BSGatlas-5'UTR-6")</f>
        <v>BSGatlas-5'UTR-6</v>
      </c>
      <c r="B7" s="3">
        <v>9540</v>
      </c>
      <c r="C7" s="3">
        <v>9810</v>
      </c>
      <c r="D7" s="1" t="s">
        <v>9</v>
      </c>
      <c r="E7" s="1">
        <v>271</v>
      </c>
      <c r="F7" s="1" t="s">
        <v>11760</v>
      </c>
      <c r="G7" s="1" t="s">
        <v>4395</v>
      </c>
    </row>
    <row r="8" spans="1:7" ht="21" x14ac:dyDescent="0.25">
      <c r="A8" s="2" t="str">
        <f>HYPERLINK("https://rth.dk/resources/bsgatlas/details.php?id=BSGatlas-5'UTR-7","BSGatlas-5'UTR-7")</f>
        <v>BSGatlas-5'UTR-7</v>
      </c>
      <c r="B8" s="3">
        <v>9637</v>
      </c>
      <c r="C8" s="3">
        <v>9810</v>
      </c>
      <c r="D8" s="1" t="s">
        <v>9</v>
      </c>
      <c r="E8" s="1">
        <v>174</v>
      </c>
      <c r="F8" s="1" t="s">
        <v>11760</v>
      </c>
      <c r="G8" s="1" t="s">
        <v>4396</v>
      </c>
    </row>
    <row r="9" spans="1:7" ht="21" x14ac:dyDescent="0.25">
      <c r="A9" s="2" t="str">
        <f>HYPERLINK("https://rth.dk/resources/bsgatlas/details.php?id=BSGatlas-5'UTR-8","BSGatlas-5'UTR-8")</f>
        <v>BSGatlas-5'UTR-8</v>
      </c>
      <c r="B9" s="3">
        <v>15794</v>
      </c>
      <c r="C9" s="3">
        <v>15875</v>
      </c>
      <c r="D9" s="1" t="s">
        <v>13</v>
      </c>
      <c r="E9" s="1">
        <v>82</v>
      </c>
      <c r="F9" s="1" t="s">
        <v>11761</v>
      </c>
      <c r="G9" s="1" t="s">
        <v>4398</v>
      </c>
    </row>
    <row r="10" spans="1:7" ht="21" x14ac:dyDescent="0.25">
      <c r="A10" s="2" t="str">
        <f>HYPERLINK("https://rth.dk/resources/bsgatlas/details.php?id=BSGatlas-5'UTR-9","BSGatlas-5'UTR-9")</f>
        <v>BSGatlas-5'UTR-9</v>
      </c>
      <c r="B10" s="3">
        <v>15794</v>
      </c>
      <c r="C10" s="3">
        <v>15985</v>
      </c>
      <c r="D10" s="1" t="s">
        <v>13</v>
      </c>
      <c r="E10" s="1">
        <v>192</v>
      </c>
      <c r="F10" s="1" t="s">
        <v>11761</v>
      </c>
      <c r="G10" s="1" t="s">
        <v>4399</v>
      </c>
    </row>
    <row r="11" spans="1:7" ht="21" x14ac:dyDescent="0.25">
      <c r="A11" s="2" t="str">
        <f>HYPERLINK("https://rth.dk/resources/bsgatlas/details.php?id=BSGatlas-5'UTR-10","BSGatlas-5'UTR-10")</f>
        <v>BSGatlas-5'UTR-10</v>
      </c>
      <c r="B11" s="3">
        <v>15870</v>
      </c>
      <c r="C11" s="3">
        <v>15915</v>
      </c>
      <c r="D11" s="1" t="s">
        <v>9</v>
      </c>
      <c r="E11" s="1">
        <v>46</v>
      </c>
      <c r="F11" s="1" t="s">
        <v>11762</v>
      </c>
      <c r="G11" s="1" t="s">
        <v>4400</v>
      </c>
    </row>
    <row r="12" spans="1:7" ht="21" x14ac:dyDescent="0.25">
      <c r="A12" s="2" t="str">
        <f>HYPERLINK("https://rth.dk/resources/bsgatlas/details.php?id=BSGatlas-5'UTR-11","BSGatlas-5'UTR-11")</f>
        <v>BSGatlas-5'UTR-11</v>
      </c>
      <c r="B12" s="3">
        <v>17453</v>
      </c>
      <c r="C12" s="3">
        <v>17534</v>
      </c>
      <c r="D12" s="1" t="s">
        <v>9</v>
      </c>
      <c r="E12" s="1">
        <v>82</v>
      </c>
      <c r="F12" s="1" t="s">
        <v>11763</v>
      </c>
      <c r="G12" s="1" t="s">
        <v>4405</v>
      </c>
    </row>
    <row r="13" spans="1:7" ht="21" x14ac:dyDescent="0.25">
      <c r="A13" s="2" t="str">
        <f>HYPERLINK("https://rth.dk/resources/bsgatlas/details.php?id=BSGatlas-5'UTR-12","BSGatlas-5'UTR-12")</f>
        <v>BSGatlas-5'UTR-12</v>
      </c>
      <c r="B13" s="3">
        <v>18976</v>
      </c>
      <c r="C13" s="3">
        <v>19062</v>
      </c>
      <c r="D13" s="1" t="s">
        <v>9</v>
      </c>
      <c r="E13" s="1">
        <v>87</v>
      </c>
      <c r="F13" s="1" t="s">
        <v>11764</v>
      </c>
      <c r="G13" s="1" t="s">
        <v>4412</v>
      </c>
    </row>
    <row r="14" spans="1:7" ht="21" x14ac:dyDescent="0.25">
      <c r="A14" s="2" t="str">
        <f>HYPERLINK("https://rth.dk/resources/bsgatlas/details.php?id=BSGatlas-5'UTR-13","BSGatlas-5'UTR-13")</f>
        <v>BSGatlas-5'UTR-13</v>
      </c>
      <c r="B14" s="3">
        <v>22268</v>
      </c>
      <c r="C14" s="3">
        <v>22291</v>
      </c>
      <c r="D14" s="1" t="s">
        <v>9</v>
      </c>
      <c r="E14" s="1">
        <v>24</v>
      </c>
      <c r="F14" s="1" t="s">
        <v>11765</v>
      </c>
      <c r="G14" s="1" t="s">
        <v>4416</v>
      </c>
    </row>
    <row r="15" spans="1:7" ht="21" x14ac:dyDescent="0.25">
      <c r="A15" s="2" t="str">
        <f>HYPERLINK("https://rth.dk/resources/bsgatlas/details.php?id=BSGatlas-5'UTR-14","BSGatlas-5'UTR-14")</f>
        <v>BSGatlas-5'UTR-14</v>
      </c>
      <c r="B15" s="3">
        <v>23769</v>
      </c>
      <c r="C15" s="3">
        <v>23828</v>
      </c>
      <c r="D15" s="1" t="s">
        <v>13</v>
      </c>
      <c r="E15" s="1">
        <v>60</v>
      </c>
      <c r="F15" s="1" t="s">
        <v>11766</v>
      </c>
      <c r="G15" s="1" t="s">
        <v>4421</v>
      </c>
    </row>
    <row r="16" spans="1:7" ht="21" x14ac:dyDescent="0.25">
      <c r="A16" s="2" t="str">
        <f>HYPERLINK("https://rth.dk/resources/bsgatlas/details.php?id=BSGatlas-5'UTR-15","BSGatlas-5'UTR-15")</f>
        <v>BSGatlas-5'UTR-15</v>
      </c>
      <c r="B16" s="3">
        <v>25151</v>
      </c>
      <c r="C16" s="3">
        <v>25184</v>
      </c>
      <c r="D16" s="1" t="s">
        <v>13</v>
      </c>
      <c r="E16" s="1">
        <v>34</v>
      </c>
      <c r="F16" s="1" t="s">
        <v>11767</v>
      </c>
      <c r="G16" s="1" t="s">
        <v>4423</v>
      </c>
    </row>
    <row r="17" spans="1:7" ht="21" x14ac:dyDescent="0.25">
      <c r="A17" s="2" t="str">
        <f>HYPERLINK("https://rth.dk/resources/bsgatlas/details.php?id=BSGatlas-5'UTR-16","BSGatlas-5'UTR-16")</f>
        <v>BSGatlas-5'UTR-16</v>
      </c>
      <c r="B17" s="3">
        <v>25657</v>
      </c>
      <c r="C17" s="3">
        <v>25852</v>
      </c>
      <c r="D17" s="1" t="s">
        <v>9</v>
      </c>
      <c r="E17" s="1">
        <v>196</v>
      </c>
      <c r="F17" s="1" t="s">
        <v>11768</v>
      </c>
      <c r="G17" s="1" t="s">
        <v>4428</v>
      </c>
    </row>
    <row r="18" spans="1:7" ht="21" x14ac:dyDescent="0.25">
      <c r="A18" s="2" t="str">
        <f>HYPERLINK("https://rth.dk/resources/bsgatlas/details.php?id=BSGatlas-5'UTR-17","BSGatlas-5'UTR-17")</f>
        <v>BSGatlas-5'UTR-17</v>
      </c>
      <c r="B18" s="3">
        <v>25766</v>
      </c>
      <c r="C18" s="3">
        <v>25810</v>
      </c>
      <c r="D18" s="1" t="s">
        <v>13</v>
      </c>
      <c r="E18" s="1">
        <v>45</v>
      </c>
      <c r="F18" s="1" t="s">
        <v>11769</v>
      </c>
      <c r="G18" s="1" t="s">
        <v>4426</v>
      </c>
    </row>
    <row r="19" spans="1:7" ht="21" x14ac:dyDescent="0.25">
      <c r="A19" s="2" t="str">
        <f>HYPERLINK("https://rth.dk/resources/bsgatlas/details.php?id=BSGatlas-5'UTR-18","BSGatlas-5'UTR-18")</f>
        <v>BSGatlas-5'UTR-18</v>
      </c>
      <c r="B19" s="3">
        <v>26779</v>
      </c>
      <c r="C19" s="3">
        <v>26814</v>
      </c>
      <c r="D19" s="1" t="s">
        <v>9</v>
      </c>
      <c r="E19" s="1">
        <v>36</v>
      </c>
      <c r="F19" s="1" t="s">
        <v>11770</v>
      </c>
      <c r="G19" s="1" t="s">
        <v>4432</v>
      </c>
    </row>
    <row r="20" spans="1:7" ht="21" x14ac:dyDescent="0.25">
      <c r="A20" s="2" t="str">
        <f>HYPERLINK("https://rth.dk/resources/bsgatlas/details.php?id=BSGatlas-5'UTR-19","BSGatlas-5'UTR-19")</f>
        <v>BSGatlas-5'UTR-19</v>
      </c>
      <c r="B20" s="3">
        <v>28383</v>
      </c>
      <c r="C20" s="3">
        <v>28529</v>
      </c>
      <c r="D20" s="1" t="s">
        <v>9</v>
      </c>
      <c r="E20" s="1">
        <v>147</v>
      </c>
      <c r="F20" s="1" t="s">
        <v>11771</v>
      </c>
      <c r="G20" s="1" t="s">
        <v>11772</v>
      </c>
    </row>
    <row r="21" spans="1:7" ht="21" x14ac:dyDescent="0.25">
      <c r="A21" s="2" t="str">
        <f>HYPERLINK("https://rth.dk/resources/bsgatlas/details.php?id=BSGatlas-5'UTR-20","BSGatlas-5'UTR-20")</f>
        <v>BSGatlas-5'UTR-20</v>
      </c>
      <c r="B21" s="3">
        <v>29744</v>
      </c>
      <c r="C21" s="3">
        <v>29772</v>
      </c>
      <c r="D21" s="1" t="s">
        <v>9</v>
      </c>
      <c r="E21" s="1">
        <v>29</v>
      </c>
      <c r="F21" s="1" t="s">
        <v>11773</v>
      </c>
      <c r="G21" s="1" t="s">
        <v>4433</v>
      </c>
    </row>
    <row r="22" spans="1:7" ht="21" x14ac:dyDescent="0.25">
      <c r="A22" s="2" t="str">
        <f>HYPERLINK("https://rth.dk/resources/bsgatlas/details.php?id=BSGatlas-5'UTR-21","BSGatlas-5'UTR-21")</f>
        <v>BSGatlas-5'UTR-21</v>
      </c>
      <c r="B22" s="3">
        <v>30085</v>
      </c>
      <c r="C22" s="3">
        <v>30279</v>
      </c>
      <c r="D22" s="1" t="s">
        <v>9</v>
      </c>
      <c r="E22" s="1">
        <v>195</v>
      </c>
      <c r="F22" s="1" t="s">
        <v>11774</v>
      </c>
      <c r="G22" s="1" t="s">
        <v>4435</v>
      </c>
    </row>
    <row r="23" spans="1:7" ht="21" x14ac:dyDescent="0.25">
      <c r="A23" s="2" t="str">
        <f>HYPERLINK("https://rth.dk/resources/bsgatlas/details.php?id=BSGatlas-5'UTR-22","BSGatlas-5'UTR-22")</f>
        <v>BSGatlas-5'UTR-22</v>
      </c>
      <c r="B23" s="3">
        <v>30168</v>
      </c>
      <c r="C23" s="3">
        <v>30279</v>
      </c>
      <c r="D23" s="1" t="s">
        <v>9</v>
      </c>
      <c r="E23" s="1">
        <v>112</v>
      </c>
      <c r="F23" s="1" t="s">
        <v>11774</v>
      </c>
      <c r="G23" s="1" t="s">
        <v>4437</v>
      </c>
    </row>
    <row r="24" spans="1:7" ht="21" x14ac:dyDescent="0.25">
      <c r="A24" s="2" t="str">
        <f>HYPERLINK("https://rth.dk/resources/bsgatlas/details.php?id=BSGatlas-5'UTR-23","BSGatlas-5'UTR-23")</f>
        <v>BSGatlas-5'UTR-23</v>
      </c>
      <c r="B24" s="3">
        <v>35460</v>
      </c>
      <c r="C24" s="3">
        <v>35531</v>
      </c>
      <c r="D24" s="1" t="s">
        <v>9</v>
      </c>
      <c r="E24" s="1">
        <v>72</v>
      </c>
      <c r="F24" s="1" t="s">
        <v>11775</v>
      </c>
      <c r="G24" s="1" t="s">
        <v>4438</v>
      </c>
    </row>
    <row r="25" spans="1:7" ht="21" x14ac:dyDescent="0.25">
      <c r="A25" s="2" t="str">
        <f>HYPERLINK("https://rth.dk/resources/bsgatlas/details.php?id=BSGatlas-5'UTR-24","BSGatlas-5'UTR-24")</f>
        <v>BSGatlas-5'UTR-24</v>
      </c>
      <c r="B25" s="3">
        <v>35797</v>
      </c>
      <c r="C25" s="3">
        <v>35845</v>
      </c>
      <c r="D25" s="1" t="s">
        <v>9</v>
      </c>
      <c r="E25" s="1">
        <v>49</v>
      </c>
      <c r="F25" s="1" t="s">
        <v>11776</v>
      </c>
      <c r="G25" s="1" t="s">
        <v>4441</v>
      </c>
    </row>
    <row r="26" spans="1:7" ht="21" x14ac:dyDescent="0.25">
      <c r="A26" s="2" t="str">
        <f>HYPERLINK("https://rth.dk/resources/bsgatlas/details.php?id=BSGatlas-5'UTR-25","BSGatlas-5'UTR-25")</f>
        <v>BSGatlas-5'UTR-25</v>
      </c>
      <c r="B26" s="3">
        <v>39112</v>
      </c>
      <c r="C26" s="3">
        <v>39159</v>
      </c>
      <c r="D26" s="1" t="s">
        <v>9</v>
      </c>
      <c r="E26" s="1">
        <v>48</v>
      </c>
      <c r="F26" s="1" t="s">
        <v>11777</v>
      </c>
      <c r="G26" s="1" t="s">
        <v>4447</v>
      </c>
    </row>
    <row r="27" spans="1:7" ht="21" x14ac:dyDescent="0.25">
      <c r="A27" s="2" t="str">
        <f>HYPERLINK("https://rth.dk/resources/bsgatlas/details.php?id=BSGatlas-5'UTR-26","BSGatlas-5'UTR-26")</f>
        <v>BSGatlas-5'UTR-26</v>
      </c>
      <c r="B27" s="3">
        <v>39823</v>
      </c>
      <c r="C27" s="3">
        <v>39871</v>
      </c>
      <c r="D27" s="1" t="s">
        <v>9</v>
      </c>
      <c r="E27" s="1">
        <v>49</v>
      </c>
      <c r="F27" s="1" t="s">
        <v>11778</v>
      </c>
      <c r="G27" s="1" t="s">
        <v>4449</v>
      </c>
    </row>
    <row r="28" spans="1:7" ht="21" x14ac:dyDescent="0.25">
      <c r="A28" s="2" t="str">
        <f>HYPERLINK("https://rth.dk/resources/bsgatlas/details.php?id=BSGatlas-5'UTR-27","BSGatlas-5'UTR-27")</f>
        <v>BSGatlas-5'UTR-27</v>
      </c>
      <c r="B28" s="3">
        <v>45138</v>
      </c>
      <c r="C28" s="3">
        <v>45207</v>
      </c>
      <c r="D28" s="1" t="s">
        <v>13</v>
      </c>
      <c r="E28" s="1">
        <v>70</v>
      </c>
      <c r="F28" s="1" t="s">
        <v>11779</v>
      </c>
      <c r="G28" s="1" t="s">
        <v>4450</v>
      </c>
    </row>
    <row r="29" spans="1:7" ht="21" x14ac:dyDescent="0.25">
      <c r="A29" s="2" t="str">
        <f>HYPERLINK("https://rth.dk/resources/bsgatlas/details.php?id=BSGatlas-5'UTR-28","BSGatlas-5'UTR-28")</f>
        <v>BSGatlas-5'UTR-28</v>
      </c>
      <c r="B29" s="3">
        <v>45138</v>
      </c>
      <c r="C29" s="3">
        <v>45221</v>
      </c>
      <c r="D29" s="1" t="s">
        <v>13</v>
      </c>
      <c r="E29" s="1">
        <v>84</v>
      </c>
      <c r="F29" s="1" t="s">
        <v>11779</v>
      </c>
      <c r="G29" s="1" t="s">
        <v>4452</v>
      </c>
    </row>
    <row r="30" spans="1:7" ht="21" x14ac:dyDescent="0.25">
      <c r="A30" s="2" t="str">
        <f>HYPERLINK("https://rth.dk/resources/bsgatlas/details.php?id=BSGatlas-5'UTR-29","BSGatlas-5'UTR-29")</f>
        <v>BSGatlas-5'UTR-29</v>
      </c>
      <c r="B30" s="3">
        <v>45138</v>
      </c>
      <c r="C30" s="3">
        <v>45399</v>
      </c>
      <c r="D30" s="1" t="s">
        <v>13</v>
      </c>
      <c r="E30" s="1">
        <v>262</v>
      </c>
      <c r="F30" s="1" t="s">
        <v>11779</v>
      </c>
      <c r="G30" s="1" t="s">
        <v>4453</v>
      </c>
    </row>
    <row r="31" spans="1:7" ht="21" x14ac:dyDescent="0.25">
      <c r="A31" s="2" t="str">
        <f>HYPERLINK("https://rth.dk/resources/bsgatlas/details.php?id=BSGatlas-5'UTR-30","BSGatlas-5'UTR-30")</f>
        <v>BSGatlas-5'UTR-30</v>
      </c>
      <c r="B31" s="3">
        <v>45138</v>
      </c>
      <c r="C31" s="3">
        <v>46389</v>
      </c>
      <c r="D31" s="1" t="s">
        <v>13</v>
      </c>
      <c r="E31" s="1">
        <v>1252</v>
      </c>
      <c r="F31" s="1" t="s">
        <v>11779</v>
      </c>
      <c r="G31" s="1" t="s">
        <v>4454</v>
      </c>
    </row>
    <row r="32" spans="1:7" ht="21" x14ac:dyDescent="0.25">
      <c r="A32" s="2" t="str">
        <f>HYPERLINK("https://rth.dk/resources/bsgatlas/details.php?id=BSGatlas-5'UTR-31","BSGatlas-5'UTR-31")</f>
        <v>BSGatlas-5'UTR-31</v>
      </c>
      <c r="B32" s="3">
        <v>45524</v>
      </c>
      <c r="C32" s="3">
        <v>45633</v>
      </c>
      <c r="D32" s="1" t="s">
        <v>9</v>
      </c>
      <c r="E32" s="1">
        <v>110</v>
      </c>
      <c r="F32" s="1" t="s">
        <v>11780</v>
      </c>
      <c r="G32" s="1" t="s">
        <v>4455</v>
      </c>
    </row>
    <row r="33" spans="1:7" ht="21" x14ac:dyDescent="0.25">
      <c r="A33" s="2" t="str">
        <f>HYPERLINK("https://rth.dk/resources/bsgatlas/details.php?id=BSGatlas-5'UTR-32","BSGatlas-5'UTR-32")</f>
        <v>BSGatlas-5'UTR-32</v>
      </c>
      <c r="B33" s="3">
        <v>48556</v>
      </c>
      <c r="C33" s="3">
        <v>48629</v>
      </c>
      <c r="D33" s="1" t="s">
        <v>9</v>
      </c>
      <c r="E33" s="1">
        <v>74</v>
      </c>
      <c r="F33" s="1" t="s">
        <v>11781</v>
      </c>
      <c r="G33" s="1" t="s">
        <v>4460</v>
      </c>
    </row>
    <row r="34" spans="1:7" ht="21" x14ac:dyDescent="0.25">
      <c r="A34" s="2" t="str">
        <f>HYPERLINK("https://rth.dk/resources/bsgatlas/details.php?id=BSGatlas-5'UTR-33","BSGatlas-5'UTR-33")</f>
        <v>BSGatlas-5'UTR-33</v>
      </c>
      <c r="B34" s="3">
        <v>49987</v>
      </c>
      <c r="C34" s="3">
        <v>50087</v>
      </c>
      <c r="D34" s="1" t="s">
        <v>9</v>
      </c>
      <c r="E34" s="1">
        <v>101</v>
      </c>
      <c r="F34" s="1" t="s">
        <v>11782</v>
      </c>
      <c r="G34" s="1" t="s">
        <v>4466</v>
      </c>
    </row>
    <row r="35" spans="1:7" ht="21" x14ac:dyDescent="0.25">
      <c r="A35" s="2" t="str">
        <f>HYPERLINK("https://rth.dk/resources/bsgatlas/details.php?id=BSGatlas-5'UTR-34","BSGatlas-5'UTR-34")</f>
        <v>BSGatlas-5'UTR-34</v>
      </c>
      <c r="B35" s="3">
        <v>51571</v>
      </c>
      <c r="C35" s="3">
        <v>51680</v>
      </c>
      <c r="D35" s="1" t="s">
        <v>9</v>
      </c>
      <c r="E35" s="1">
        <v>110</v>
      </c>
      <c r="F35" s="1" t="s">
        <v>11783</v>
      </c>
      <c r="G35" s="1" t="s">
        <v>4469</v>
      </c>
    </row>
    <row r="36" spans="1:7" ht="21" x14ac:dyDescent="0.25">
      <c r="A36" s="2" t="str">
        <f>HYPERLINK("https://rth.dk/resources/bsgatlas/details.php?id=BSGatlas-5'UTR-35","BSGatlas-5'UTR-35")</f>
        <v>BSGatlas-5'UTR-35</v>
      </c>
      <c r="B36" s="3">
        <v>52649</v>
      </c>
      <c r="C36" s="3">
        <v>52763</v>
      </c>
      <c r="D36" s="1" t="s">
        <v>9</v>
      </c>
      <c r="E36" s="1">
        <v>115</v>
      </c>
      <c r="F36" s="1" t="s">
        <v>11784</v>
      </c>
      <c r="G36" s="1" t="s">
        <v>4471</v>
      </c>
    </row>
    <row r="37" spans="1:7" ht="21" x14ac:dyDescent="0.25">
      <c r="A37" s="2" t="str">
        <f>HYPERLINK("https://rth.dk/resources/bsgatlas/details.php?id=BSGatlas-5'UTR-36","BSGatlas-5'UTR-36")</f>
        <v>BSGatlas-5'UTR-36</v>
      </c>
      <c r="B37" s="3">
        <v>52721</v>
      </c>
      <c r="C37" s="3">
        <v>52763</v>
      </c>
      <c r="D37" s="1" t="s">
        <v>9</v>
      </c>
      <c r="E37" s="1">
        <v>43</v>
      </c>
      <c r="F37" s="1" t="s">
        <v>11784</v>
      </c>
      <c r="G37" s="1" t="s">
        <v>4474</v>
      </c>
    </row>
    <row r="38" spans="1:7" ht="21" x14ac:dyDescent="0.25">
      <c r="A38" s="2" t="str">
        <f>HYPERLINK("https://rth.dk/resources/bsgatlas/details.php?id=BSGatlas-5'UTR-37","BSGatlas-5'UTR-37")</f>
        <v>BSGatlas-5'UTR-37</v>
      </c>
      <c r="B38" s="3">
        <v>52748</v>
      </c>
      <c r="C38" s="3">
        <v>52763</v>
      </c>
      <c r="D38" s="1" t="s">
        <v>9</v>
      </c>
      <c r="E38" s="1">
        <v>16</v>
      </c>
      <c r="F38" s="1" t="s">
        <v>11784</v>
      </c>
      <c r="G38" s="1" t="s">
        <v>4475</v>
      </c>
    </row>
    <row r="39" spans="1:7" ht="21" x14ac:dyDescent="0.25">
      <c r="A39" s="2" t="str">
        <f>HYPERLINK("https://rth.dk/resources/bsgatlas/details.php?id=BSGatlas-5'UTR-38","BSGatlas-5'UTR-38")</f>
        <v>BSGatlas-5'UTR-38</v>
      </c>
      <c r="B39" s="3">
        <v>53122</v>
      </c>
      <c r="C39" s="3">
        <v>53183</v>
      </c>
      <c r="D39" s="1" t="s">
        <v>9</v>
      </c>
      <c r="E39" s="1">
        <v>62</v>
      </c>
      <c r="F39" s="1" t="s">
        <v>11785</v>
      </c>
      <c r="G39" s="1" t="s">
        <v>4476</v>
      </c>
    </row>
    <row r="40" spans="1:7" ht="21" x14ac:dyDescent="0.25">
      <c r="A40" s="2" t="str">
        <f>HYPERLINK("https://rth.dk/resources/bsgatlas/details.php?id=BSGatlas-5'UTR-39","BSGatlas-5'UTR-39")</f>
        <v>BSGatlas-5'UTR-39</v>
      </c>
      <c r="B40" s="3">
        <v>53469</v>
      </c>
      <c r="C40" s="3">
        <v>53516</v>
      </c>
      <c r="D40" s="1" t="s">
        <v>9</v>
      </c>
      <c r="E40" s="1">
        <v>48</v>
      </c>
      <c r="F40" s="1" t="s">
        <v>11786</v>
      </c>
      <c r="G40" s="1" t="s">
        <v>4480</v>
      </c>
    </row>
    <row r="41" spans="1:7" ht="21" x14ac:dyDescent="0.25">
      <c r="A41" s="2" t="str">
        <f>HYPERLINK("https://rth.dk/resources/bsgatlas/details.php?id=BSGatlas-5'UTR-40","BSGatlas-5'UTR-40")</f>
        <v>BSGatlas-5'UTR-40</v>
      </c>
      <c r="B41" s="3">
        <v>55830</v>
      </c>
      <c r="C41" s="3">
        <v>55866</v>
      </c>
      <c r="D41" s="1" t="s">
        <v>9</v>
      </c>
      <c r="E41" s="1">
        <v>37</v>
      </c>
      <c r="F41" s="1" t="s">
        <v>11787</v>
      </c>
      <c r="G41" s="1" t="s">
        <v>4483</v>
      </c>
    </row>
    <row r="42" spans="1:7" ht="21" x14ac:dyDescent="0.25">
      <c r="A42" s="2" t="str">
        <f>HYPERLINK("https://rth.dk/resources/bsgatlas/details.php?id=BSGatlas-5'UTR-41","BSGatlas-5'UTR-41")</f>
        <v>BSGatlas-5'UTR-41</v>
      </c>
      <c r="B42" s="3">
        <v>55831</v>
      </c>
      <c r="C42" s="3">
        <v>55866</v>
      </c>
      <c r="D42" s="1" t="s">
        <v>9</v>
      </c>
      <c r="E42" s="1">
        <v>36</v>
      </c>
      <c r="F42" s="1" t="s">
        <v>11787</v>
      </c>
      <c r="G42" s="1" t="s">
        <v>4486</v>
      </c>
    </row>
    <row r="43" spans="1:7" ht="21" x14ac:dyDescent="0.25">
      <c r="A43" s="2" t="str">
        <f>HYPERLINK("https://rth.dk/resources/bsgatlas/details.php?id=BSGatlas-5'UTR-42","BSGatlas-5'UTR-42")</f>
        <v>BSGatlas-5'UTR-42</v>
      </c>
      <c r="B43" s="3">
        <v>56324</v>
      </c>
      <c r="C43" s="3">
        <v>56352</v>
      </c>
      <c r="D43" s="1" t="s">
        <v>9</v>
      </c>
      <c r="E43" s="1">
        <v>29</v>
      </c>
      <c r="F43" s="1" t="s">
        <v>11788</v>
      </c>
      <c r="G43" s="1" t="s">
        <v>4488</v>
      </c>
    </row>
    <row r="44" spans="1:7" ht="21" x14ac:dyDescent="0.25">
      <c r="A44" s="2" t="str">
        <f>HYPERLINK("https://rth.dk/resources/bsgatlas/details.php?id=BSGatlas-5'UTR-43","BSGatlas-5'UTR-43")</f>
        <v>BSGatlas-5'UTR-43</v>
      </c>
      <c r="B44" s="3">
        <v>58748</v>
      </c>
      <c r="C44" s="3">
        <v>58783</v>
      </c>
      <c r="D44" s="1" t="s">
        <v>9</v>
      </c>
      <c r="E44" s="1">
        <v>36</v>
      </c>
      <c r="F44" s="1" t="s">
        <v>11789</v>
      </c>
      <c r="G44" s="1" t="s">
        <v>4493</v>
      </c>
    </row>
    <row r="45" spans="1:7" ht="21" x14ac:dyDescent="0.25">
      <c r="A45" s="2" t="str">
        <f>HYPERLINK("https://rth.dk/resources/bsgatlas/details.php?id=BSGatlas-5'UTR-44","BSGatlas-5'UTR-44")</f>
        <v>BSGatlas-5'UTR-44</v>
      </c>
      <c r="B45" s="3">
        <v>64016</v>
      </c>
      <c r="C45" s="3">
        <v>64099</v>
      </c>
      <c r="D45" s="1" t="s">
        <v>9</v>
      </c>
      <c r="E45" s="1">
        <v>84</v>
      </c>
      <c r="F45" s="1" t="s">
        <v>11790</v>
      </c>
      <c r="G45" s="1" t="s">
        <v>4499</v>
      </c>
    </row>
    <row r="46" spans="1:7" ht="21" x14ac:dyDescent="0.25">
      <c r="A46" s="2" t="str">
        <f>HYPERLINK("https://rth.dk/resources/bsgatlas/details.php?id=BSGatlas-5'UTR-45","BSGatlas-5'UTR-45")</f>
        <v>BSGatlas-5'UTR-45</v>
      </c>
      <c r="B46" s="3">
        <v>64746</v>
      </c>
      <c r="C46" s="3">
        <v>64817</v>
      </c>
      <c r="D46" s="1" t="s">
        <v>9</v>
      </c>
      <c r="E46" s="1">
        <v>72</v>
      </c>
      <c r="F46" s="1" t="s">
        <v>11791</v>
      </c>
      <c r="G46" s="1" t="s">
        <v>4501</v>
      </c>
    </row>
    <row r="47" spans="1:7" ht="21" x14ac:dyDescent="0.25">
      <c r="A47" s="2" t="str">
        <f>HYPERLINK("https://rth.dk/resources/bsgatlas/details.php?id=BSGatlas-5'UTR-46","BSGatlas-5'UTR-46")</f>
        <v>BSGatlas-5'UTR-46</v>
      </c>
      <c r="B47" s="3">
        <v>66322</v>
      </c>
      <c r="C47" s="3">
        <v>66405</v>
      </c>
      <c r="D47" s="1" t="s">
        <v>9</v>
      </c>
      <c r="E47" s="1">
        <v>84</v>
      </c>
      <c r="F47" s="1" t="s">
        <v>11792</v>
      </c>
      <c r="G47" s="1" t="s">
        <v>4505</v>
      </c>
    </row>
    <row r="48" spans="1:7" ht="21" x14ac:dyDescent="0.25">
      <c r="A48" s="2" t="str">
        <f>HYPERLINK("https://rth.dk/resources/bsgatlas/details.php?id=BSGatlas-5'UTR-47","BSGatlas-5'UTR-47")</f>
        <v>BSGatlas-5'UTR-47</v>
      </c>
      <c r="B48" s="3">
        <v>68178</v>
      </c>
      <c r="C48" s="3">
        <v>68216</v>
      </c>
      <c r="D48" s="1" t="s">
        <v>9</v>
      </c>
      <c r="E48" s="1">
        <v>39</v>
      </c>
      <c r="F48" s="1" t="s">
        <v>11793</v>
      </c>
      <c r="G48" s="1" t="s">
        <v>4508</v>
      </c>
    </row>
    <row r="49" spans="1:7" ht="21" x14ac:dyDescent="0.25">
      <c r="A49" s="2" t="str">
        <f>HYPERLINK("https://rth.dk/resources/bsgatlas/details.php?id=BSGatlas-5'UTR-48","BSGatlas-5'UTR-48")</f>
        <v>BSGatlas-5'UTR-48</v>
      </c>
      <c r="B49" s="3">
        <v>69054</v>
      </c>
      <c r="C49" s="3">
        <v>69168</v>
      </c>
      <c r="D49" s="1" t="s">
        <v>9</v>
      </c>
      <c r="E49" s="1">
        <v>115</v>
      </c>
      <c r="F49" s="1" t="s">
        <v>11794</v>
      </c>
      <c r="G49" s="1" t="s">
        <v>4510</v>
      </c>
    </row>
    <row r="50" spans="1:7" ht="21" x14ac:dyDescent="0.25">
      <c r="A50" s="2" t="str">
        <f>HYPERLINK("https://rth.dk/resources/bsgatlas/details.php?id=BSGatlas-5'UTR-49","BSGatlas-5'UTR-49")</f>
        <v>BSGatlas-5'UTR-49</v>
      </c>
      <c r="B50" s="3">
        <v>69105</v>
      </c>
      <c r="C50" s="3">
        <v>69168</v>
      </c>
      <c r="D50" s="1" t="s">
        <v>9</v>
      </c>
      <c r="E50" s="1">
        <v>64</v>
      </c>
      <c r="F50" s="1" t="s">
        <v>11794</v>
      </c>
      <c r="G50" s="1" t="s">
        <v>4511</v>
      </c>
    </row>
    <row r="51" spans="1:7" ht="21" x14ac:dyDescent="0.25">
      <c r="A51" s="2" t="str">
        <f>HYPERLINK("https://rth.dk/resources/bsgatlas/details.php?id=BSGatlas-5'UTR-50","BSGatlas-5'UTR-50")</f>
        <v>BSGatlas-5'UTR-50</v>
      </c>
      <c r="B51" s="3">
        <v>70156</v>
      </c>
      <c r="C51" s="3">
        <v>70180</v>
      </c>
      <c r="D51" s="1" t="s">
        <v>9</v>
      </c>
      <c r="E51" s="1">
        <v>25</v>
      </c>
      <c r="F51" s="1" t="s">
        <v>11795</v>
      </c>
      <c r="G51" s="1" t="s">
        <v>4512</v>
      </c>
    </row>
    <row r="52" spans="1:7" ht="21" x14ac:dyDescent="0.25">
      <c r="A52" s="2" t="str">
        <f>HYPERLINK("https://rth.dk/resources/bsgatlas/details.php?id=BSGatlas-5'UTR-51","BSGatlas-5'UTR-51")</f>
        <v>BSGatlas-5'UTR-51</v>
      </c>
      <c r="B52" s="3">
        <v>70509</v>
      </c>
      <c r="C52" s="3">
        <v>70538</v>
      </c>
      <c r="D52" s="1" t="s">
        <v>9</v>
      </c>
      <c r="E52" s="1">
        <v>30</v>
      </c>
      <c r="F52" s="1" t="s">
        <v>11796</v>
      </c>
      <c r="G52" s="1" t="s">
        <v>4515</v>
      </c>
    </row>
    <row r="53" spans="1:7" ht="21" x14ac:dyDescent="0.25">
      <c r="A53" s="2" t="str">
        <f>HYPERLINK("https://rth.dk/resources/bsgatlas/details.php?id=BSGatlas-5'UTR-52","BSGatlas-5'UTR-52")</f>
        <v>BSGatlas-5'UTR-52</v>
      </c>
      <c r="B53" s="3">
        <v>72031</v>
      </c>
      <c r="C53" s="3">
        <v>73106</v>
      </c>
      <c r="D53" s="1" t="s">
        <v>9</v>
      </c>
      <c r="E53" s="1">
        <v>1076</v>
      </c>
      <c r="F53" s="1" t="s">
        <v>11797</v>
      </c>
      <c r="G53" s="1" t="s">
        <v>4521</v>
      </c>
    </row>
    <row r="54" spans="1:7" ht="21" x14ac:dyDescent="0.25">
      <c r="A54" s="2" t="str">
        <f>HYPERLINK("https://rth.dk/resources/bsgatlas/details.php?id=BSGatlas-5'UTR-53","BSGatlas-5'UTR-53")</f>
        <v>BSGatlas-5'UTR-53</v>
      </c>
      <c r="B54" s="3">
        <v>73065</v>
      </c>
      <c r="C54" s="3">
        <v>73106</v>
      </c>
      <c r="D54" s="1" t="s">
        <v>9</v>
      </c>
      <c r="E54" s="1">
        <v>42</v>
      </c>
      <c r="F54" s="1" t="s">
        <v>11797</v>
      </c>
      <c r="G54" s="1" t="s">
        <v>4522</v>
      </c>
    </row>
    <row r="55" spans="1:7" ht="21" x14ac:dyDescent="0.25">
      <c r="A55" s="2" t="str">
        <f>HYPERLINK("https://rth.dk/resources/bsgatlas/details.php?id=BSGatlas-5'UTR-54","BSGatlas-5'UTR-54")</f>
        <v>BSGatlas-5'UTR-54</v>
      </c>
      <c r="B55" s="3">
        <v>74385</v>
      </c>
      <c r="C55" s="3">
        <v>74929</v>
      </c>
      <c r="D55" s="1" t="s">
        <v>9</v>
      </c>
      <c r="E55" s="1">
        <v>545</v>
      </c>
      <c r="F55" s="1" t="s">
        <v>11798</v>
      </c>
      <c r="G55" s="1" t="s">
        <v>4524</v>
      </c>
    </row>
    <row r="56" spans="1:7" ht="21" x14ac:dyDescent="0.25">
      <c r="A56" s="2" t="str">
        <f>HYPERLINK("https://rth.dk/resources/bsgatlas/details.php?id=BSGatlas-5'UTR-55","BSGatlas-5'UTR-55")</f>
        <v>BSGatlas-5'UTR-55</v>
      </c>
      <c r="B56" s="3">
        <v>74886</v>
      </c>
      <c r="C56" s="3">
        <v>74929</v>
      </c>
      <c r="D56" s="1" t="s">
        <v>9</v>
      </c>
      <c r="E56" s="1">
        <v>44</v>
      </c>
      <c r="F56" s="1" t="s">
        <v>11798</v>
      </c>
      <c r="G56" s="1" t="s">
        <v>4525</v>
      </c>
    </row>
    <row r="57" spans="1:7" ht="21" x14ac:dyDescent="0.25">
      <c r="A57" s="2" t="str">
        <f>HYPERLINK("https://rth.dk/resources/bsgatlas/details.php?id=BSGatlas-5'UTR-56","BSGatlas-5'UTR-56")</f>
        <v>BSGatlas-5'UTR-56</v>
      </c>
      <c r="B57" s="3">
        <v>75749</v>
      </c>
      <c r="C57" s="3">
        <v>76344</v>
      </c>
      <c r="D57" s="1" t="s">
        <v>9</v>
      </c>
      <c r="E57" s="1">
        <v>596</v>
      </c>
      <c r="F57" s="1" t="s">
        <v>11799</v>
      </c>
      <c r="G57" s="1" t="s">
        <v>4527</v>
      </c>
    </row>
    <row r="58" spans="1:7" ht="21" x14ac:dyDescent="0.25">
      <c r="A58" s="2" t="str">
        <f>HYPERLINK("https://rth.dk/resources/bsgatlas/details.php?id=BSGatlas-5'UTR-57","BSGatlas-5'UTR-57")</f>
        <v>BSGatlas-5'UTR-57</v>
      </c>
      <c r="B58" s="3">
        <v>76954</v>
      </c>
      <c r="C58" s="3">
        <v>76984</v>
      </c>
      <c r="D58" s="1" t="s">
        <v>9</v>
      </c>
      <c r="E58" s="1">
        <v>31</v>
      </c>
      <c r="F58" s="1" t="s">
        <v>11800</v>
      </c>
      <c r="G58" s="1" t="s">
        <v>4528</v>
      </c>
    </row>
    <row r="59" spans="1:7" ht="21" x14ac:dyDescent="0.25">
      <c r="A59" s="2" t="str">
        <f>HYPERLINK("https://rth.dk/resources/bsgatlas/details.php?id=BSGatlas-5'UTR-58","BSGatlas-5'UTR-58")</f>
        <v>BSGatlas-5'UTR-58</v>
      </c>
      <c r="B59" s="3">
        <v>79027</v>
      </c>
      <c r="C59" s="3">
        <v>79092</v>
      </c>
      <c r="D59" s="1" t="s">
        <v>9</v>
      </c>
      <c r="E59" s="1">
        <v>66</v>
      </c>
      <c r="F59" s="1" t="s">
        <v>11801</v>
      </c>
      <c r="G59" s="1" t="s">
        <v>4530</v>
      </c>
    </row>
    <row r="60" spans="1:7" ht="21" x14ac:dyDescent="0.25">
      <c r="A60" s="2" t="str">
        <f>HYPERLINK("https://rth.dk/resources/bsgatlas/details.php?id=BSGatlas-5'UTR-59","BSGatlas-5'UTR-59")</f>
        <v>BSGatlas-5'UTR-59</v>
      </c>
      <c r="B60" s="3">
        <v>81448</v>
      </c>
      <c r="C60" s="3">
        <v>81771</v>
      </c>
      <c r="D60" s="1" t="s">
        <v>9</v>
      </c>
      <c r="E60" s="1">
        <v>324</v>
      </c>
      <c r="F60" s="1" t="s">
        <v>11802</v>
      </c>
      <c r="G60" s="1" t="s">
        <v>4533</v>
      </c>
    </row>
    <row r="61" spans="1:7" ht="21" x14ac:dyDescent="0.25">
      <c r="A61" s="2" t="str">
        <f>HYPERLINK("https://rth.dk/resources/bsgatlas/details.php?id=BSGatlas-5'UTR-60","BSGatlas-5'UTR-60")</f>
        <v>BSGatlas-5'UTR-60</v>
      </c>
      <c r="B61" s="3">
        <v>81731</v>
      </c>
      <c r="C61" s="3">
        <v>81771</v>
      </c>
      <c r="D61" s="1" t="s">
        <v>9</v>
      </c>
      <c r="E61" s="1">
        <v>41</v>
      </c>
      <c r="F61" s="1" t="s">
        <v>11802</v>
      </c>
      <c r="G61" s="1" t="s">
        <v>4534</v>
      </c>
    </row>
    <row r="62" spans="1:7" ht="21" x14ac:dyDescent="0.25">
      <c r="A62" s="2" t="str">
        <f>HYPERLINK("https://rth.dk/resources/bsgatlas/details.php?id=BSGatlas-5'UTR-61","BSGatlas-5'UTR-61")</f>
        <v>BSGatlas-5'UTR-61</v>
      </c>
      <c r="B62" s="3">
        <v>82768</v>
      </c>
      <c r="C62" s="3">
        <v>82864</v>
      </c>
      <c r="D62" s="1" t="s">
        <v>9</v>
      </c>
      <c r="E62" s="1">
        <v>97</v>
      </c>
      <c r="F62" s="1" t="s">
        <v>11803</v>
      </c>
      <c r="G62" s="1" t="s">
        <v>4536</v>
      </c>
    </row>
    <row r="63" spans="1:7" ht="21" x14ac:dyDescent="0.25">
      <c r="A63" s="2" t="str">
        <f>HYPERLINK("https://rth.dk/resources/bsgatlas/details.php?id=BSGatlas-5'UTR-62","BSGatlas-5'UTR-62")</f>
        <v>BSGatlas-5'UTR-62</v>
      </c>
      <c r="B63" s="3">
        <v>82831</v>
      </c>
      <c r="C63" s="3">
        <v>82864</v>
      </c>
      <c r="D63" s="1" t="s">
        <v>9</v>
      </c>
      <c r="E63" s="1">
        <v>34</v>
      </c>
      <c r="F63" s="1" t="s">
        <v>11803</v>
      </c>
      <c r="G63" s="1" t="s">
        <v>4540</v>
      </c>
    </row>
    <row r="64" spans="1:7" ht="21" x14ac:dyDescent="0.25">
      <c r="A64" s="2" t="str">
        <f>HYPERLINK("https://rth.dk/resources/bsgatlas/details.php?id=BSGatlas-5'UTR-63","BSGatlas-5'UTR-63")</f>
        <v>BSGatlas-5'UTR-63</v>
      </c>
      <c r="B64" s="3">
        <v>83692</v>
      </c>
      <c r="C64" s="3">
        <v>84290</v>
      </c>
      <c r="D64" s="1" t="s">
        <v>9</v>
      </c>
      <c r="E64" s="1">
        <v>599</v>
      </c>
      <c r="F64" s="1" t="s">
        <v>11804</v>
      </c>
      <c r="G64" s="1" t="s">
        <v>4542</v>
      </c>
    </row>
    <row r="65" spans="1:7" ht="21" x14ac:dyDescent="0.25">
      <c r="A65" s="2" t="str">
        <f>HYPERLINK("https://rth.dk/resources/bsgatlas/details.php?id=BSGatlas-5'UTR-64","BSGatlas-5'UTR-64")</f>
        <v>BSGatlas-5'UTR-64</v>
      </c>
      <c r="B65" s="3">
        <v>84066</v>
      </c>
      <c r="C65" s="3">
        <v>84290</v>
      </c>
      <c r="D65" s="1" t="s">
        <v>9</v>
      </c>
      <c r="E65" s="1">
        <v>225</v>
      </c>
      <c r="F65" s="1" t="s">
        <v>11804</v>
      </c>
      <c r="G65" s="1" t="s">
        <v>4544</v>
      </c>
    </row>
    <row r="66" spans="1:7" ht="21" x14ac:dyDescent="0.25">
      <c r="A66" s="2" t="str">
        <f>HYPERLINK("https://rth.dk/resources/bsgatlas/details.php?id=BSGatlas-5'UTR-65","BSGatlas-5'UTR-65")</f>
        <v>BSGatlas-5'UTR-65</v>
      </c>
      <c r="B66" s="3">
        <v>90318</v>
      </c>
      <c r="C66" s="3">
        <v>90536</v>
      </c>
      <c r="D66" s="1" t="s">
        <v>9</v>
      </c>
      <c r="E66" s="1">
        <v>219</v>
      </c>
      <c r="F66" s="1" t="s">
        <v>11805</v>
      </c>
      <c r="G66" s="1" t="s">
        <v>4548</v>
      </c>
    </row>
    <row r="67" spans="1:7" ht="21" x14ac:dyDescent="0.25">
      <c r="A67" s="2" t="str">
        <f>HYPERLINK("https://rth.dk/resources/bsgatlas/details.php?id=BSGatlas-5'UTR-66","BSGatlas-5'UTR-66")</f>
        <v>BSGatlas-5'UTR-66</v>
      </c>
      <c r="B67" s="3">
        <v>101291</v>
      </c>
      <c r="C67" s="3">
        <v>101449</v>
      </c>
      <c r="D67" s="1" t="s">
        <v>9</v>
      </c>
      <c r="E67" s="1">
        <v>159</v>
      </c>
      <c r="F67" s="1" t="s">
        <v>11806</v>
      </c>
      <c r="G67" s="1" t="s">
        <v>4550</v>
      </c>
    </row>
    <row r="68" spans="1:7" ht="21" x14ac:dyDescent="0.25">
      <c r="A68" s="2" t="str">
        <f>HYPERLINK("https://rth.dk/resources/bsgatlas/details.php?id=BSGatlas-5'UTR-67","BSGatlas-5'UTR-67")</f>
        <v>BSGatlas-5'UTR-67</v>
      </c>
      <c r="B68" s="3">
        <v>101360</v>
      </c>
      <c r="C68" s="3">
        <v>101449</v>
      </c>
      <c r="D68" s="1" t="s">
        <v>9</v>
      </c>
      <c r="E68" s="1">
        <v>90</v>
      </c>
      <c r="F68" s="1" t="s">
        <v>11806</v>
      </c>
      <c r="G68" s="1" t="s">
        <v>4554</v>
      </c>
    </row>
    <row r="69" spans="1:7" ht="21" x14ac:dyDescent="0.25">
      <c r="A69" s="2" t="str">
        <f>HYPERLINK("https://rth.dk/resources/bsgatlas/details.php?id=BSGatlas-5'UTR-68","BSGatlas-5'UTR-68")</f>
        <v>BSGatlas-5'UTR-68</v>
      </c>
      <c r="B69" s="3">
        <v>101409</v>
      </c>
      <c r="C69" s="3">
        <v>101449</v>
      </c>
      <c r="D69" s="1" t="s">
        <v>9</v>
      </c>
      <c r="E69" s="1">
        <v>41</v>
      </c>
      <c r="F69" s="1" t="s">
        <v>11806</v>
      </c>
      <c r="G69" s="1" t="s">
        <v>4555</v>
      </c>
    </row>
    <row r="70" spans="1:7" ht="21" x14ac:dyDescent="0.25">
      <c r="A70" s="2" t="str">
        <f>HYPERLINK("https://rth.dk/resources/bsgatlas/details.php?id=BSGatlas-5'UTR-69","BSGatlas-5'UTR-69")</f>
        <v>BSGatlas-5'UTR-69</v>
      </c>
      <c r="B70" s="3">
        <v>108598</v>
      </c>
      <c r="C70" s="3">
        <v>108674</v>
      </c>
      <c r="D70" s="1" t="s">
        <v>9</v>
      </c>
      <c r="E70" s="1">
        <v>77</v>
      </c>
      <c r="F70" s="1" t="s">
        <v>11807</v>
      </c>
      <c r="G70" s="1" t="s">
        <v>4559</v>
      </c>
    </row>
    <row r="71" spans="1:7" ht="21" x14ac:dyDescent="0.25">
      <c r="A71" s="2" t="str">
        <f>HYPERLINK("https://rth.dk/resources/bsgatlas/details.php?id=BSGatlas-5'UTR-70","BSGatlas-5'UTR-70")</f>
        <v>BSGatlas-5'UTR-70</v>
      </c>
      <c r="B71" s="3">
        <v>111003</v>
      </c>
      <c r="C71" s="3">
        <v>111047</v>
      </c>
      <c r="D71" s="1" t="s">
        <v>9</v>
      </c>
      <c r="E71" s="1">
        <v>45</v>
      </c>
      <c r="F71" s="1" t="s">
        <v>11808</v>
      </c>
      <c r="G71" s="1" t="s">
        <v>4561</v>
      </c>
    </row>
    <row r="72" spans="1:7" ht="21" x14ac:dyDescent="0.25">
      <c r="A72" s="2" t="str">
        <f>HYPERLINK("https://rth.dk/resources/bsgatlas/details.php?id=BSGatlas-5'UTR-71","BSGatlas-5'UTR-71")</f>
        <v>BSGatlas-5'UTR-71</v>
      </c>
      <c r="B72" s="3">
        <v>111999</v>
      </c>
      <c r="C72" s="3">
        <v>112800</v>
      </c>
      <c r="D72" s="1" t="s">
        <v>9</v>
      </c>
      <c r="E72" s="1">
        <v>802</v>
      </c>
      <c r="F72" s="1" t="s">
        <v>11809</v>
      </c>
      <c r="G72" s="1" t="s">
        <v>11810</v>
      </c>
    </row>
    <row r="73" spans="1:7" ht="21" x14ac:dyDescent="0.25">
      <c r="A73" s="2" t="str">
        <f>HYPERLINK("https://rth.dk/resources/bsgatlas/details.php?id=BSGatlas-5'UTR-72","BSGatlas-5'UTR-72")</f>
        <v>BSGatlas-5'UTR-72</v>
      </c>
      <c r="B73" s="3">
        <v>116575</v>
      </c>
      <c r="C73" s="3">
        <v>116600</v>
      </c>
      <c r="D73" s="1" t="s">
        <v>9</v>
      </c>
      <c r="E73" s="1">
        <v>26</v>
      </c>
      <c r="F73" s="1" t="s">
        <v>11811</v>
      </c>
      <c r="G73" s="1" t="s">
        <v>4564</v>
      </c>
    </row>
    <row r="74" spans="1:7" ht="21" x14ac:dyDescent="0.25">
      <c r="A74" s="2" t="str">
        <f>HYPERLINK("https://rth.dk/resources/bsgatlas/details.php?id=BSGatlas-5'UTR-73","BSGatlas-5'UTR-73")</f>
        <v>BSGatlas-5'UTR-73</v>
      </c>
      <c r="B74" s="3">
        <v>118452</v>
      </c>
      <c r="C74" s="3">
        <v>118591</v>
      </c>
      <c r="D74" s="1" t="s">
        <v>9</v>
      </c>
      <c r="E74" s="1">
        <v>140</v>
      </c>
      <c r="F74" s="1" t="s">
        <v>11812</v>
      </c>
      <c r="G74" s="1" t="s">
        <v>4567</v>
      </c>
    </row>
    <row r="75" spans="1:7" ht="21" x14ac:dyDescent="0.25">
      <c r="A75" s="2" t="str">
        <f>HYPERLINK("https://rth.dk/resources/bsgatlas/details.php?id=BSGatlas-5'UTR-74","BSGatlas-5'UTR-74")</f>
        <v>BSGatlas-5'UTR-74</v>
      </c>
      <c r="B75" s="3">
        <v>121706</v>
      </c>
      <c r="C75" s="3">
        <v>121919</v>
      </c>
      <c r="D75" s="1" t="s">
        <v>9</v>
      </c>
      <c r="E75" s="1">
        <v>214</v>
      </c>
      <c r="F75" s="1" t="s">
        <v>11813</v>
      </c>
      <c r="G75" s="1" t="s">
        <v>4573</v>
      </c>
    </row>
    <row r="76" spans="1:7" ht="21" x14ac:dyDescent="0.25">
      <c r="A76" s="2" t="str">
        <f>HYPERLINK("https://rth.dk/resources/bsgatlas/details.php?id=BSGatlas-5'UTR-75","BSGatlas-5'UTR-75")</f>
        <v>BSGatlas-5'UTR-75</v>
      </c>
      <c r="B76" s="3">
        <v>129285</v>
      </c>
      <c r="C76" s="3">
        <v>129340</v>
      </c>
      <c r="D76" s="1" t="s">
        <v>9</v>
      </c>
      <c r="E76" s="1">
        <v>56</v>
      </c>
      <c r="F76" s="1" t="s">
        <v>11814</v>
      </c>
      <c r="G76" s="1" t="s">
        <v>4576</v>
      </c>
    </row>
    <row r="77" spans="1:7" ht="21" x14ac:dyDescent="0.25">
      <c r="A77" s="2" t="str">
        <f>HYPERLINK("https://rth.dk/resources/bsgatlas/details.php?id=BSGatlas-5'UTR-76","BSGatlas-5'UTR-76")</f>
        <v>BSGatlas-5'UTR-76</v>
      </c>
      <c r="B77" s="3">
        <v>134136</v>
      </c>
      <c r="C77" s="3">
        <v>134171</v>
      </c>
      <c r="D77" s="1" t="s">
        <v>9</v>
      </c>
      <c r="E77" s="1">
        <v>36</v>
      </c>
      <c r="F77" s="1" t="s">
        <v>11815</v>
      </c>
      <c r="G77" s="1" t="s">
        <v>4578</v>
      </c>
    </row>
    <row r="78" spans="1:7" ht="21" x14ac:dyDescent="0.25">
      <c r="A78" s="2" t="str">
        <f>HYPERLINK("https://rth.dk/resources/bsgatlas/details.php?id=BSGatlas-5'UTR-77","BSGatlas-5'UTR-77")</f>
        <v>BSGatlas-5'UTR-77</v>
      </c>
      <c r="B78" s="3">
        <v>135170</v>
      </c>
      <c r="C78" s="3">
        <v>135364</v>
      </c>
      <c r="D78" s="1" t="s">
        <v>9</v>
      </c>
      <c r="E78" s="1">
        <v>195</v>
      </c>
      <c r="F78" s="1" t="s">
        <v>11816</v>
      </c>
      <c r="G78" s="1" t="s">
        <v>4580</v>
      </c>
    </row>
    <row r="79" spans="1:7" ht="21" x14ac:dyDescent="0.25">
      <c r="A79" s="2" t="str">
        <f>HYPERLINK("https://rth.dk/resources/bsgatlas/details.php?id=BSGatlas-5'UTR-78","BSGatlas-5'UTR-78")</f>
        <v>BSGatlas-5'UTR-78</v>
      </c>
      <c r="B79" s="3">
        <v>153507</v>
      </c>
      <c r="C79" s="3">
        <v>153529</v>
      </c>
      <c r="D79" s="1" t="s">
        <v>13</v>
      </c>
      <c r="E79" s="1">
        <v>23</v>
      </c>
      <c r="F79" s="1" t="s">
        <v>11817</v>
      </c>
      <c r="G79" s="1" t="s">
        <v>4586</v>
      </c>
    </row>
    <row r="80" spans="1:7" ht="21" x14ac:dyDescent="0.25">
      <c r="A80" s="2" t="str">
        <f>HYPERLINK("https://rth.dk/resources/bsgatlas/details.php?id=BSGatlas-5'UTR-79","BSGatlas-5'UTR-79")</f>
        <v>BSGatlas-5'UTR-79</v>
      </c>
      <c r="B80" s="3">
        <v>153725</v>
      </c>
      <c r="C80" s="3">
        <v>153842</v>
      </c>
      <c r="D80" s="1" t="s">
        <v>9</v>
      </c>
      <c r="E80" s="1">
        <v>118</v>
      </c>
      <c r="F80" s="1" t="s">
        <v>11818</v>
      </c>
      <c r="G80" s="1" t="s">
        <v>4588</v>
      </c>
    </row>
    <row r="81" spans="1:7" ht="21" x14ac:dyDescent="0.25">
      <c r="A81" s="2" t="str">
        <f>HYPERLINK("https://rth.dk/resources/bsgatlas/details.php?id=BSGatlas-5'UTR-80","BSGatlas-5'UTR-80")</f>
        <v>BSGatlas-5'UTR-80</v>
      </c>
      <c r="B81" s="3">
        <v>154838</v>
      </c>
      <c r="C81" s="3">
        <v>155156</v>
      </c>
      <c r="D81" s="1" t="s">
        <v>9</v>
      </c>
      <c r="E81" s="1">
        <v>319</v>
      </c>
      <c r="F81" s="1" t="s">
        <v>11819</v>
      </c>
      <c r="G81" s="1" t="s">
        <v>4589</v>
      </c>
    </row>
    <row r="82" spans="1:7" ht="21" x14ac:dyDescent="0.25">
      <c r="A82" s="2" t="str">
        <f>HYPERLINK("https://rth.dk/resources/bsgatlas/details.php?id=BSGatlas-5'UTR-81","BSGatlas-5'UTR-81")</f>
        <v>BSGatlas-5'UTR-81</v>
      </c>
      <c r="B82" s="3">
        <v>155121</v>
      </c>
      <c r="C82" s="3">
        <v>155156</v>
      </c>
      <c r="D82" s="1" t="s">
        <v>9</v>
      </c>
      <c r="E82" s="1">
        <v>36</v>
      </c>
      <c r="F82" s="1" t="s">
        <v>11819</v>
      </c>
      <c r="G82" s="1" t="s">
        <v>4591</v>
      </c>
    </row>
    <row r="83" spans="1:7" ht="21" x14ac:dyDescent="0.25">
      <c r="A83" s="2" t="str">
        <f>HYPERLINK("https://rth.dk/resources/bsgatlas/details.php?id=BSGatlas-5'UTR-82","BSGatlas-5'UTR-82")</f>
        <v>BSGatlas-5'UTR-82</v>
      </c>
      <c r="B83" s="3">
        <v>156089</v>
      </c>
      <c r="C83" s="3">
        <v>156109</v>
      </c>
      <c r="D83" s="1" t="s">
        <v>9</v>
      </c>
      <c r="E83" s="1">
        <v>21</v>
      </c>
      <c r="F83" s="1" t="s">
        <v>11820</v>
      </c>
      <c r="G83" s="1" t="s">
        <v>4593</v>
      </c>
    </row>
    <row r="84" spans="1:7" ht="21" x14ac:dyDescent="0.25">
      <c r="A84" s="2" t="str">
        <f>HYPERLINK("https://rth.dk/resources/bsgatlas/details.php?id=BSGatlas-5'UTR-83","BSGatlas-5'UTR-83")</f>
        <v>BSGatlas-5'UTR-83</v>
      </c>
      <c r="B84" s="3">
        <v>156588</v>
      </c>
      <c r="C84" s="3">
        <v>156612</v>
      </c>
      <c r="D84" s="1" t="s">
        <v>9</v>
      </c>
      <c r="E84" s="1">
        <v>25</v>
      </c>
      <c r="F84" s="1" t="s">
        <v>11821</v>
      </c>
      <c r="G84" s="1" t="s">
        <v>4595</v>
      </c>
    </row>
    <row r="85" spans="1:7" ht="21" x14ac:dyDescent="0.25">
      <c r="A85" s="2" t="str">
        <f>HYPERLINK("https://rth.dk/resources/bsgatlas/details.php?id=BSGatlas-5'UTR-84","BSGatlas-5'UTR-84")</f>
        <v>BSGatlas-5'UTR-84</v>
      </c>
      <c r="B85" s="3">
        <v>157370</v>
      </c>
      <c r="C85" s="3">
        <v>157421</v>
      </c>
      <c r="D85" s="1" t="s">
        <v>9</v>
      </c>
      <c r="E85" s="1">
        <v>52</v>
      </c>
      <c r="F85" s="1" t="s">
        <v>11822</v>
      </c>
      <c r="G85" s="1" t="s">
        <v>4596</v>
      </c>
    </row>
    <row r="86" spans="1:7" ht="21" x14ac:dyDescent="0.25">
      <c r="A86" s="2" t="str">
        <f>HYPERLINK("https://rth.dk/resources/bsgatlas/details.php?id=BSGatlas-5'UTR-85","BSGatlas-5'UTR-85")</f>
        <v>BSGatlas-5'UTR-85</v>
      </c>
      <c r="B86" s="3">
        <v>159072</v>
      </c>
      <c r="C86" s="3">
        <v>159100</v>
      </c>
      <c r="D86" s="1" t="s">
        <v>13</v>
      </c>
      <c r="E86" s="1">
        <v>29</v>
      </c>
      <c r="F86" s="1" t="s">
        <v>11823</v>
      </c>
      <c r="G86" s="1" t="s">
        <v>4598</v>
      </c>
    </row>
    <row r="87" spans="1:7" ht="21" x14ac:dyDescent="0.25">
      <c r="A87" s="2" t="str">
        <f>HYPERLINK("https://rth.dk/resources/bsgatlas/details.php?id=BSGatlas-5'UTR-86","BSGatlas-5'UTR-86")</f>
        <v>BSGatlas-5'UTR-86</v>
      </c>
      <c r="B87" s="3">
        <v>160543</v>
      </c>
      <c r="C87" s="3">
        <v>160581</v>
      </c>
      <c r="D87" s="1" t="s">
        <v>13</v>
      </c>
      <c r="E87" s="1">
        <v>39</v>
      </c>
      <c r="F87" s="1" t="s">
        <v>11824</v>
      </c>
      <c r="G87" s="1" t="s">
        <v>4601</v>
      </c>
    </row>
    <row r="88" spans="1:7" ht="21" x14ac:dyDescent="0.25">
      <c r="A88" s="2" t="str">
        <f>HYPERLINK("https://rth.dk/resources/bsgatlas/details.php?id=BSGatlas-5'UTR-87","BSGatlas-5'UTR-87")</f>
        <v>BSGatlas-5'UTR-87</v>
      </c>
      <c r="B88" s="3">
        <v>160675</v>
      </c>
      <c r="C88" s="3">
        <v>160893</v>
      </c>
      <c r="D88" s="1" t="s">
        <v>9</v>
      </c>
      <c r="E88" s="1">
        <v>219</v>
      </c>
      <c r="F88" s="1" t="s">
        <v>11825</v>
      </c>
      <c r="G88" s="1" t="s">
        <v>4604</v>
      </c>
    </row>
    <row r="89" spans="1:7" ht="21" x14ac:dyDescent="0.25">
      <c r="A89" s="2" t="str">
        <f>HYPERLINK("https://rth.dk/resources/bsgatlas/details.php?id=BSGatlas-5'UTR-88","BSGatlas-5'UTR-88")</f>
        <v>BSGatlas-5'UTR-88</v>
      </c>
      <c r="B89" s="3">
        <v>176926</v>
      </c>
      <c r="C89" s="3">
        <v>177083</v>
      </c>
      <c r="D89" s="1" t="s">
        <v>9</v>
      </c>
      <c r="E89" s="1">
        <v>158</v>
      </c>
      <c r="F89" s="1" t="s">
        <v>11826</v>
      </c>
      <c r="G89" s="1" t="s">
        <v>4605</v>
      </c>
    </row>
    <row r="90" spans="1:7" ht="21" x14ac:dyDescent="0.25">
      <c r="A90" s="2" t="str">
        <f>HYPERLINK("https://rth.dk/resources/bsgatlas/details.php?id=BSGatlas-5'UTR-89","BSGatlas-5'UTR-89")</f>
        <v>BSGatlas-5'UTR-89</v>
      </c>
      <c r="B90" s="3">
        <v>178598</v>
      </c>
      <c r="C90" s="3">
        <v>178665</v>
      </c>
      <c r="D90" s="1" t="s">
        <v>9</v>
      </c>
      <c r="E90" s="1">
        <v>68</v>
      </c>
      <c r="F90" s="1" t="s">
        <v>11827</v>
      </c>
      <c r="G90" s="1" t="s">
        <v>4607</v>
      </c>
    </row>
    <row r="91" spans="1:7" ht="21" x14ac:dyDescent="0.25">
      <c r="A91" s="2" t="str">
        <f>HYPERLINK("https://rth.dk/resources/bsgatlas/details.php?id=BSGatlas-5'UTR-90","BSGatlas-5'UTR-90")</f>
        <v>BSGatlas-5'UTR-90</v>
      </c>
      <c r="B91" s="3">
        <v>183323</v>
      </c>
      <c r="C91" s="3">
        <v>183358</v>
      </c>
      <c r="D91" s="1" t="s">
        <v>13</v>
      </c>
      <c r="E91" s="1">
        <v>36</v>
      </c>
      <c r="F91" s="1" t="s">
        <v>11828</v>
      </c>
      <c r="G91" s="1" t="s">
        <v>4610</v>
      </c>
    </row>
    <row r="92" spans="1:7" ht="21" x14ac:dyDescent="0.25">
      <c r="A92" s="2" t="str">
        <f>HYPERLINK("https://rth.dk/resources/bsgatlas/details.php?id=BSGatlas-5'UTR-91","BSGatlas-5'UTR-91")</f>
        <v>BSGatlas-5'UTR-91</v>
      </c>
      <c r="B92" s="3">
        <v>183323</v>
      </c>
      <c r="C92" s="3">
        <v>183361</v>
      </c>
      <c r="D92" s="1" t="s">
        <v>13</v>
      </c>
      <c r="E92" s="1">
        <v>39</v>
      </c>
      <c r="F92" s="1" t="s">
        <v>11828</v>
      </c>
      <c r="G92" s="1" t="s">
        <v>4612</v>
      </c>
    </row>
    <row r="93" spans="1:7" ht="21" x14ac:dyDescent="0.25">
      <c r="A93" s="2" t="str">
        <f>HYPERLINK("https://rth.dk/resources/bsgatlas/details.php?id=BSGatlas-5'UTR-92","BSGatlas-5'UTR-92")</f>
        <v>BSGatlas-5'UTR-92</v>
      </c>
      <c r="B93" s="3">
        <v>183323</v>
      </c>
      <c r="C93" s="3">
        <v>183364</v>
      </c>
      <c r="D93" s="1" t="s">
        <v>13</v>
      </c>
      <c r="E93" s="1">
        <v>42</v>
      </c>
      <c r="F93" s="1" t="s">
        <v>11828</v>
      </c>
      <c r="G93" s="1" t="s">
        <v>4613</v>
      </c>
    </row>
    <row r="94" spans="1:7" ht="21" x14ac:dyDescent="0.25">
      <c r="A94" s="2" t="str">
        <f>HYPERLINK("https://rth.dk/resources/bsgatlas/details.php?id=BSGatlas-5'UTR-93","BSGatlas-5'UTR-93")</f>
        <v>BSGatlas-5'UTR-93</v>
      </c>
      <c r="B94" s="3">
        <v>185003</v>
      </c>
      <c r="C94" s="3">
        <v>185056</v>
      </c>
      <c r="D94" s="1" t="s">
        <v>13</v>
      </c>
      <c r="E94" s="1">
        <v>54</v>
      </c>
      <c r="F94" s="1" t="s">
        <v>11829</v>
      </c>
      <c r="G94" s="1" t="s">
        <v>4614</v>
      </c>
    </row>
    <row r="95" spans="1:7" ht="21" x14ac:dyDescent="0.25">
      <c r="A95" s="2" t="str">
        <f>HYPERLINK("https://rth.dk/resources/bsgatlas/details.php?id=BSGatlas-5'UTR-94","BSGatlas-5'UTR-94")</f>
        <v>BSGatlas-5'UTR-94</v>
      </c>
      <c r="B95" s="3">
        <v>192965</v>
      </c>
      <c r="C95" s="3">
        <v>193009</v>
      </c>
      <c r="D95" s="1" t="s">
        <v>13</v>
      </c>
      <c r="E95" s="1">
        <v>45</v>
      </c>
      <c r="F95" s="1" t="s">
        <v>11830</v>
      </c>
      <c r="G95" s="1" t="s">
        <v>4616</v>
      </c>
    </row>
    <row r="96" spans="1:7" ht="21" x14ac:dyDescent="0.25">
      <c r="A96" s="2" t="str">
        <f>HYPERLINK("https://rth.dk/resources/bsgatlas/details.php?id=BSGatlas-5'UTR-95","BSGatlas-5'UTR-95")</f>
        <v>BSGatlas-5'UTR-95</v>
      </c>
      <c r="B96" s="3">
        <v>194025</v>
      </c>
      <c r="C96" s="3">
        <v>194072</v>
      </c>
      <c r="D96" s="1" t="s">
        <v>13</v>
      </c>
      <c r="E96" s="1">
        <v>48</v>
      </c>
      <c r="F96" s="1" t="s">
        <v>11831</v>
      </c>
      <c r="G96" s="1" t="s">
        <v>4619</v>
      </c>
    </row>
    <row r="97" spans="1:7" ht="21" x14ac:dyDescent="0.25">
      <c r="A97" s="2" t="str">
        <f>HYPERLINK("https://rth.dk/resources/bsgatlas/details.php?id=BSGatlas-5'UTR-96","BSGatlas-5'UTR-96")</f>
        <v>BSGatlas-5'UTR-96</v>
      </c>
      <c r="B97" s="3">
        <v>194178</v>
      </c>
      <c r="C97" s="3">
        <v>194204</v>
      </c>
      <c r="D97" s="1" t="s">
        <v>9</v>
      </c>
      <c r="E97" s="1">
        <v>27</v>
      </c>
      <c r="F97" s="1" t="s">
        <v>11832</v>
      </c>
      <c r="G97" s="1" t="s">
        <v>4621</v>
      </c>
    </row>
    <row r="98" spans="1:7" ht="21" x14ac:dyDescent="0.25">
      <c r="A98" s="2" t="str">
        <f>HYPERLINK("https://rth.dk/resources/bsgatlas/details.php?id=BSGatlas-5'UTR-97","BSGatlas-5'UTR-97")</f>
        <v>BSGatlas-5'UTR-97</v>
      </c>
      <c r="B98" s="3">
        <v>194788</v>
      </c>
      <c r="C98" s="3">
        <v>194849</v>
      </c>
      <c r="D98" s="1" t="s">
        <v>9</v>
      </c>
      <c r="E98" s="1">
        <v>62</v>
      </c>
      <c r="F98" s="1" t="s">
        <v>11833</v>
      </c>
      <c r="G98" s="1" t="s">
        <v>4624</v>
      </c>
    </row>
    <row r="99" spans="1:7" ht="21" x14ac:dyDescent="0.25">
      <c r="A99" s="2" t="str">
        <f>HYPERLINK("https://rth.dk/resources/bsgatlas/details.php?id=BSGatlas-5'UTR-98","BSGatlas-5'UTR-98")</f>
        <v>BSGatlas-5'UTR-98</v>
      </c>
      <c r="B99" s="3">
        <v>194821</v>
      </c>
      <c r="C99" s="3">
        <v>194849</v>
      </c>
      <c r="D99" s="1" t="s">
        <v>9</v>
      </c>
      <c r="E99" s="1">
        <v>29</v>
      </c>
      <c r="F99" s="1" t="s">
        <v>11833</v>
      </c>
      <c r="G99" s="1" t="s">
        <v>4626</v>
      </c>
    </row>
    <row r="100" spans="1:7" ht="21" x14ac:dyDescent="0.25">
      <c r="A100" s="2" t="str">
        <f>HYPERLINK("https://rth.dk/resources/bsgatlas/details.php?id=BSGatlas-5'UTR-99","BSGatlas-5'UTR-99")</f>
        <v>BSGatlas-5'UTR-99</v>
      </c>
      <c r="B100" s="3">
        <v>196132</v>
      </c>
      <c r="C100" s="3">
        <v>196213</v>
      </c>
      <c r="D100" s="1" t="s">
        <v>9</v>
      </c>
      <c r="E100" s="1">
        <v>82</v>
      </c>
      <c r="F100" s="1" t="s">
        <v>11834</v>
      </c>
      <c r="G100" s="1" t="s">
        <v>4628</v>
      </c>
    </row>
    <row r="101" spans="1:7" ht="21" x14ac:dyDescent="0.25">
      <c r="A101" s="2" t="str">
        <f>HYPERLINK("https://rth.dk/resources/bsgatlas/details.php?id=BSGatlas-5'UTR-100","BSGatlas-5'UTR-100")</f>
        <v>BSGatlas-5'UTR-100</v>
      </c>
      <c r="B101" s="3">
        <v>199878</v>
      </c>
      <c r="C101" s="3">
        <v>200277</v>
      </c>
      <c r="D101" s="1" t="s">
        <v>9</v>
      </c>
      <c r="E101" s="1">
        <v>400</v>
      </c>
      <c r="F101" s="1" t="s">
        <v>11835</v>
      </c>
      <c r="G101" s="1" t="s">
        <v>4632</v>
      </c>
    </row>
    <row r="102" spans="1:7" ht="21" x14ac:dyDescent="0.25">
      <c r="A102" s="2" t="str">
        <f>HYPERLINK("https://rth.dk/resources/bsgatlas/details.php?id=BSGatlas-5'UTR-101","BSGatlas-5'UTR-101")</f>
        <v>BSGatlas-5'UTR-101</v>
      </c>
      <c r="B102" s="3">
        <v>199957</v>
      </c>
      <c r="C102" s="3">
        <v>200277</v>
      </c>
      <c r="D102" s="1" t="s">
        <v>9</v>
      </c>
      <c r="E102" s="1">
        <v>321</v>
      </c>
      <c r="F102" s="1" t="s">
        <v>11835</v>
      </c>
      <c r="G102" s="1" t="s">
        <v>4633</v>
      </c>
    </row>
    <row r="103" spans="1:7" ht="21" x14ac:dyDescent="0.25">
      <c r="A103" s="2" t="str">
        <f>HYPERLINK("https://rth.dk/resources/bsgatlas/details.php?id=BSGatlas-5'UTR-102","BSGatlas-5'UTR-102")</f>
        <v>BSGatlas-5'UTR-102</v>
      </c>
      <c r="B103" s="3">
        <v>200014</v>
      </c>
      <c r="C103" s="3">
        <v>200277</v>
      </c>
      <c r="D103" s="1" t="s">
        <v>9</v>
      </c>
      <c r="E103" s="1">
        <v>264</v>
      </c>
      <c r="F103" s="1" t="s">
        <v>11835</v>
      </c>
      <c r="G103" s="1" t="s">
        <v>4634</v>
      </c>
    </row>
    <row r="104" spans="1:7" ht="21" x14ac:dyDescent="0.25">
      <c r="A104" s="2" t="str">
        <f>HYPERLINK("https://rth.dk/resources/bsgatlas/details.php?id=BSGatlas-5'UTR-103","BSGatlas-5'UTR-103")</f>
        <v>BSGatlas-5'UTR-103</v>
      </c>
      <c r="B104" s="3">
        <v>203458</v>
      </c>
      <c r="C104" s="3">
        <v>203507</v>
      </c>
      <c r="D104" s="1" t="s">
        <v>13</v>
      </c>
      <c r="E104" s="1">
        <v>50</v>
      </c>
      <c r="F104" s="1" t="s">
        <v>11836</v>
      </c>
      <c r="G104" s="1" t="s">
        <v>4635</v>
      </c>
    </row>
    <row r="105" spans="1:7" ht="21" x14ac:dyDescent="0.25">
      <c r="A105" s="2" t="str">
        <f>HYPERLINK("https://rth.dk/resources/bsgatlas/details.php?id=BSGatlas-5'UTR-104","BSGatlas-5'UTR-104")</f>
        <v>BSGatlas-5'UTR-104</v>
      </c>
      <c r="B105" s="3">
        <v>203608</v>
      </c>
      <c r="C105" s="3">
        <v>203729</v>
      </c>
      <c r="D105" s="1" t="s">
        <v>9</v>
      </c>
      <c r="E105" s="1">
        <v>122</v>
      </c>
      <c r="F105" s="1" t="s">
        <v>11837</v>
      </c>
      <c r="G105" s="1" t="s">
        <v>4638</v>
      </c>
    </row>
    <row r="106" spans="1:7" ht="21" x14ac:dyDescent="0.25">
      <c r="A106" s="2" t="str">
        <f>HYPERLINK("https://rth.dk/resources/bsgatlas/details.php?id=BSGatlas-5'UTR-105","BSGatlas-5'UTR-105")</f>
        <v>BSGatlas-5'UTR-105</v>
      </c>
      <c r="B106" s="3">
        <v>211414</v>
      </c>
      <c r="C106" s="3">
        <v>211429</v>
      </c>
      <c r="D106" s="1" t="s">
        <v>9</v>
      </c>
      <c r="E106" s="1">
        <v>16</v>
      </c>
      <c r="F106" s="1" t="s">
        <v>11838</v>
      </c>
      <c r="G106" s="1" t="s">
        <v>4643</v>
      </c>
    </row>
    <row r="107" spans="1:7" ht="21" x14ac:dyDescent="0.25">
      <c r="A107" s="2" t="str">
        <f>HYPERLINK("https://rth.dk/resources/bsgatlas/details.php?id=BSGatlas-5'UTR-106","BSGatlas-5'UTR-106")</f>
        <v>BSGatlas-5'UTR-106</v>
      </c>
      <c r="B107" s="3">
        <v>213888</v>
      </c>
      <c r="C107" s="3">
        <v>213941</v>
      </c>
      <c r="D107" s="1" t="s">
        <v>9</v>
      </c>
      <c r="E107" s="1">
        <v>54</v>
      </c>
      <c r="F107" s="1" t="s">
        <v>11839</v>
      </c>
      <c r="G107" s="1" t="s">
        <v>4650</v>
      </c>
    </row>
    <row r="108" spans="1:7" ht="21" x14ac:dyDescent="0.25">
      <c r="A108" s="2" t="str">
        <f>HYPERLINK("https://rth.dk/resources/bsgatlas/details.php?id=BSGatlas-5'UTR-107","BSGatlas-5'UTR-107")</f>
        <v>BSGatlas-5'UTR-107</v>
      </c>
      <c r="B108" s="3">
        <v>216321</v>
      </c>
      <c r="C108" s="3">
        <v>216913</v>
      </c>
      <c r="D108" s="1" t="s">
        <v>9</v>
      </c>
      <c r="E108" s="1">
        <v>593</v>
      </c>
      <c r="F108" s="1" t="s">
        <v>11840</v>
      </c>
      <c r="G108" s="1" t="s">
        <v>4655</v>
      </c>
    </row>
    <row r="109" spans="1:7" ht="21" x14ac:dyDescent="0.25">
      <c r="A109" s="2" t="str">
        <f>HYPERLINK("https://rth.dk/resources/bsgatlas/details.php?id=BSGatlas-5'UTR-108","BSGatlas-5'UTR-108")</f>
        <v>BSGatlas-5'UTR-108</v>
      </c>
      <c r="B109" s="3">
        <v>221861</v>
      </c>
      <c r="C109" s="3">
        <v>221950</v>
      </c>
      <c r="D109" s="1" t="s">
        <v>9</v>
      </c>
      <c r="E109" s="1">
        <v>90</v>
      </c>
      <c r="F109" s="1" t="s">
        <v>11841</v>
      </c>
      <c r="G109" s="1" t="s">
        <v>4656</v>
      </c>
    </row>
    <row r="110" spans="1:7" ht="21" x14ac:dyDescent="0.25">
      <c r="A110" s="2" t="str">
        <f>HYPERLINK("https://rth.dk/resources/bsgatlas/details.php?id=BSGatlas-5'UTR-109","BSGatlas-5'UTR-109")</f>
        <v>BSGatlas-5'UTR-109</v>
      </c>
      <c r="B110" s="3">
        <v>222945</v>
      </c>
      <c r="C110" s="3">
        <v>222971</v>
      </c>
      <c r="D110" s="1" t="s">
        <v>9</v>
      </c>
      <c r="E110" s="1">
        <v>27</v>
      </c>
      <c r="F110" s="1" t="s">
        <v>11842</v>
      </c>
      <c r="G110" s="1" t="s">
        <v>4657</v>
      </c>
    </row>
    <row r="111" spans="1:7" ht="21" x14ac:dyDescent="0.25">
      <c r="A111" s="2" t="str">
        <f>HYPERLINK("https://rth.dk/resources/bsgatlas/details.php?id=BSGatlas-5'UTR-110","BSGatlas-5'UTR-110")</f>
        <v>BSGatlas-5'UTR-110</v>
      </c>
      <c r="B111" s="3">
        <v>223989</v>
      </c>
      <c r="C111" s="3">
        <v>224181</v>
      </c>
      <c r="D111" s="1" t="s">
        <v>13</v>
      </c>
      <c r="E111" s="1">
        <v>193</v>
      </c>
      <c r="F111" s="1" t="s">
        <v>11843</v>
      </c>
      <c r="G111" s="1" t="s">
        <v>4659</v>
      </c>
    </row>
    <row r="112" spans="1:7" ht="21" x14ac:dyDescent="0.25">
      <c r="A112" s="2" t="str">
        <f>HYPERLINK("https://rth.dk/resources/bsgatlas/details.php?id=BSGatlas-5'UTR-111","BSGatlas-5'UTR-111")</f>
        <v>BSGatlas-5'UTR-111</v>
      </c>
      <c r="B112" s="3">
        <v>224932</v>
      </c>
      <c r="C112" s="3">
        <v>224970</v>
      </c>
      <c r="D112" s="1" t="s">
        <v>13</v>
      </c>
      <c r="E112" s="1">
        <v>39</v>
      </c>
      <c r="F112" s="1" t="s">
        <v>11844</v>
      </c>
      <c r="G112" s="1" t="s">
        <v>4660</v>
      </c>
    </row>
    <row r="113" spans="1:7" ht="21" x14ac:dyDescent="0.25">
      <c r="A113" s="2" t="str">
        <f>HYPERLINK("https://rth.dk/resources/bsgatlas/details.php?id=BSGatlas-5'UTR-112","BSGatlas-5'UTR-112")</f>
        <v>BSGatlas-5'UTR-112</v>
      </c>
      <c r="B113" s="3">
        <v>225023</v>
      </c>
      <c r="C113" s="3">
        <v>225064</v>
      </c>
      <c r="D113" s="1" t="s">
        <v>9</v>
      </c>
      <c r="E113" s="1">
        <v>42</v>
      </c>
      <c r="F113" s="1" t="s">
        <v>11845</v>
      </c>
      <c r="G113" s="1" t="s">
        <v>4662</v>
      </c>
    </row>
    <row r="114" spans="1:7" ht="21" x14ac:dyDescent="0.25">
      <c r="A114" s="2" t="str">
        <f>HYPERLINK("https://rth.dk/resources/bsgatlas/details.php?id=BSGatlas-5'UTR-113","BSGatlas-5'UTR-113")</f>
        <v>BSGatlas-5'UTR-113</v>
      </c>
      <c r="B114" s="3">
        <v>226436</v>
      </c>
      <c r="C114" s="3">
        <v>226566</v>
      </c>
      <c r="D114" s="1" t="s">
        <v>9</v>
      </c>
      <c r="E114" s="1">
        <v>131</v>
      </c>
      <c r="F114" s="1" t="s">
        <v>11846</v>
      </c>
      <c r="G114" s="1" t="s">
        <v>4664</v>
      </c>
    </row>
    <row r="115" spans="1:7" ht="21" x14ac:dyDescent="0.25">
      <c r="A115" s="2" t="str">
        <f>HYPERLINK("https://rth.dk/resources/bsgatlas/details.php?id=BSGatlas-5'UTR-114","BSGatlas-5'UTR-114")</f>
        <v>BSGatlas-5'UTR-114</v>
      </c>
      <c r="B115" s="3">
        <v>228021</v>
      </c>
      <c r="C115" s="3">
        <v>228066</v>
      </c>
      <c r="D115" s="1" t="s">
        <v>9</v>
      </c>
      <c r="E115" s="1">
        <v>46</v>
      </c>
      <c r="F115" s="1" t="s">
        <v>11847</v>
      </c>
      <c r="G115" s="1" t="s">
        <v>4667</v>
      </c>
    </row>
    <row r="116" spans="1:7" ht="21" x14ac:dyDescent="0.25">
      <c r="A116" s="2" t="str">
        <f>HYPERLINK("https://rth.dk/resources/bsgatlas/details.php?id=BSGatlas-5'UTR-115","BSGatlas-5'UTR-115")</f>
        <v>BSGatlas-5'UTR-115</v>
      </c>
      <c r="B116" s="3">
        <v>229352</v>
      </c>
      <c r="C116" s="3">
        <v>229382</v>
      </c>
      <c r="D116" s="1" t="s">
        <v>13</v>
      </c>
      <c r="E116" s="1">
        <v>31</v>
      </c>
      <c r="F116" s="1" t="s">
        <v>11848</v>
      </c>
      <c r="G116" s="1" t="s">
        <v>4669</v>
      </c>
    </row>
    <row r="117" spans="1:7" ht="21" x14ac:dyDescent="0.25">
      <c r="A117" s="2" t="str">
        <f>HYPERLINK("https://rth.dk/resources/bsgatlas/details.php?id=BSGatlas-5'UTR-116","BSGatlas-5'UTR-116")</f>
        <v>BSGatlas-5'UTR-116</v>
      </c>
      <c r="B117" s="3">
        <v>229493</v>
      </c>
      <c r="C117" s="3">
        <v>229525</v>
      </c>
      <c r="D117" s="1" t="s">
        <v>9</v>
      </c>
      <c r="E117" s="1">
        <v>33</v>
      </c>
      <c r="F117" s="1" t="s">
        <v>11849</v>
      </c>
      <c r="G117" s="1" t="s">
        <v>4671</v>
      </c>
    </row>
    <row r="118" spans="1:7" ht="21" x14ac:dyDescent="0.25">
      <c r="A118" s="2" t="str">
        <f>HYPERLINK("https://rth.dk/resources/bsgatlas/details.php?id=BSGatlas-5'UTR-117","BSGatlas-5'UTR-117")</f>
        <v>BSGatlas-5'UTR-117</v>
      </c>
      <c r="B118" s="3">
        <v>231079</v>
      </c>
      <c r="C118" s="3">
        <v>231118</v>
      </c>
      <c r="D118" s="1" t="s">
        <v>13</v>
      </c>
      <c r="E118" s="1">
        <v>40</v>
      </c>
      <c r="F118" s="1" t="s">
        <v>11850</v>
      </c>
      <c r="G118" s="1" t="s">
        <v>4674</v>
      </c>
    </row>
    <row r="119" spans="1:7" ht="21" x14ac:dyDescent="0.25">
      <c r="A119" s="2" t="str">
        <f>HYPERLINK("https://rth.dk/resources/bsgatlas/details.php?id=BSGatlas-5'UTR-118","BSGatlas-5'UTR-118")</f>
        <v>BSGatlas-5'UTR-118</v>
      </c>
      <c r="B119" s="3">
        <v>231288</v>
      </c>
      <c r="C119" s="3">
        <v>231348</v>
      </c>
      <c r="D119" s="1" t="s">
        <v>9</v>
      </c>
      <c r="E119" s="1">
        <v>61</v>
      </c>
      <c r="F119" s="1" t="s">
        <v>11851</v>
      </c>
      <c r="G119" s="1" t="s">
        <v>4676</v>
      </c>
    </row>
    <row r="120" spans="1:7" ht="21" x14ac:dyDescent="0.25">
      <c r="A120" s="2" t="str">
        <f>HYPERLINK("https://rth.dk/resources/bsgatlas/details.php?id=BSGatlas-5'UTR-119","BSGatlas-5'UTR-119")</f>
        <v>BSGatlas-5'UTR-119</v>
      </c>
      <c r="B120" s="3">
        <v>233895</v>
      </c>
      <c r="C120" s="3">
        <v>233928</v>
      </c>
      <c r="D120" s="1" t="s">
        <v>13</v>
      </c>
      <c r="E120" s="1">
        <v>34</v>
      </c>
      <c r="F120" s="1" t="s">
        <v>11852</v>
      </c>
      <c r="G120" s="1" t="s">
        <v>4679</v>
      </c>
    </row>
    <row r="121" spans="1:7" ht="21" x14ac:dyDescent="0.25">
      <c r="A121" s="2" t="str">
        <f>HYPERLINK("https://rth.dk/resources/bsgatlas/details.php?id=BSGatlas-5'UTR-120","BSGatlas-5'UTR-120")</f>
        <v>BSGatlas-5'UTR-120</v>
      </c>
      <c r="B121" s="3">
        <v>235328</v>
      </c>
      <c r="C121" s="3">
        <v>235401</v>
      </c>
      <c r="D121" s="1" t="s">
        <v>13</v>
      </c>
      <c r="E121" s="1">
        <v>74</v>
      </c>
      <c r="F121" s="1" t="s">
        <v>11853</v>
      </c>
      <c r="G121" s="1" t="s">
        <v>4682</v>
      </c>
    </row>
    <row r="122" spans="1:7" ht="21" x14ac:dyDescent="0.25">
      <c r="A122" s="2" t="str">
        <f>HYPERLINK("https://rth.dk/resources/bsgatlas/details.php?id=BSGatlas-5'UTR-121","BSGatlas-5'UTR-121")</f>
        <v>BSGatlas-5'UTR-121</v>
      </c>
      <c r="B122" s="3">
        <v>235328</v>
      </c>
      <c r="C122" s="3">
        <v>235483</v>
      </c>
      <c r="D122" s="1" t="s">
        <v>13</v>
      </c>
      <c r="E122" s="1">
        <v>156</v>
      </c>
      <c r="F122" s="1" t="s">
        <v>11853</v>
      </c>
      <c r="G122" s="1" t="s">
        <v>4683</v>
      </c>
    </row>
    <row r="123" spans="1:7" ht="21" x14ac:dyDescent="0.25">
      <c r="A123" s="2" t="str">
        <f>HYPERLINK("https://rth.dk/resources/bsgatlas/details.php?id=BSGatlas-5'UTR-122","BSGatlas-5'UTR-122")</f>
        <v>BSGatlas-5'UTR-122</v>
      </c>
      <c r="B123" s="3">
        <v>235904</v>
      </c>
      <c r="C123" s="3">
        <v>235965</v>
      </c>
      <c r="D123" s="1" t="s">
        <v>9</v>
      </c>
      <c r="E123" s="1">
        <v>62</v>
      </c>
      <c r="F123" s="1" t="s">
        <v>11854</v>
      </c>
      <c r="G123" s="1" t="s">
        <v>4690</v>
      </c>
    </row>
    <row r="124" spans="1:7" ht="21" x14ac:dyDescent="0.25">
      <c r="A124" s="2" t="str">
        <f>HYPERLINK("https://rth.dk/resources/bsgatlas/details.php?id=BSGatlas-5'UTR-123","BSGatlas-5'UTR-123")</f>
        <v>BSGatlas-5'UTR-123</v>
      </c>
      <c r="B124" s="3">
        <v>238476</v>
      </c>
      <c r="C124" s="3">
        <v>238569</v>
      </c>
      <c r="D124" s="1" t="s">
        <v>13</v>
      </c>
      <c r="E124" s="1">
        <v>94</v>
      </c>
      <c r="F124" s="1" t="s">
        <v>11855</v>
      </c>
      <c r="G124" s="1" t="s">
        <v>4692</v>
      </c>
    </row>
    <row r="125" spans="1:7" ht="21" x14ac:dyDescent="0.25">
      <c r="A125" s="2" t="str">
        <f>HYPERLINK("https://rth.dk/resources/bsgatlas/details.php?id=BSGatlas-5'UTR-124","BSGatlas-5'UTR-124")</f>
        <v>BSGatlas-5'UTR-124</v>
      </c>
      <c r="B125" s="3">
        <v>241842</v>
      </c>
      <c r="C125" s="3">
        <v>241889</v>
      </c>
      <c r="D125" s="1" t="s">
        <v>13</v>
      </c>
      <c r="E125" s="1">
        <v>48</v>
      </c>
      <c r="F125" s="1" t="s">
        <v>11856</v>
      </c>
      <c r="G125" s="1" t="s">
        <v>4695</v>
      </c>
    </row>
    <row r="126" spans="1:7" ht="21" x14ac:dyDescent="0.25">
      <c r="A126" s="2" t="str">
        <f>HYPERLINK("https://rth.dk/resources/bsgatlas/details.php?id=BSGatlas-5'UTR-125","BSGatlas-5'UTR-125")</f>
        <v>BSGatlas-5'UTR-125</v>
      </c>
      <c r="B126" s="3">
        <v>243661</v>
      </c>
      <c r="C126" s="3">
        <v>243695</v>
      </c>
      <c r="D126" s="1" t="s">
        <v>13</v>
      </c>
      <c r="E126" s="1">
        <v>35</v>
      </c>
      <c r="F126" s="1" t="s">
        <v>11857</v>
      </c>
      <c r="G126" s="1" t="s">
        <v>4697</v>
      </c>
    </row>
    <row r="127" spans="1:7" ht="21" x14ac:dyDescent="0.25">
      <c r="A127" s="2" t="str">
        <f>HYPERLINK("https://rth.dk/resources/bsgatlas/details.php?id=BSGatlas-5'UTR-126","BSGatlas-5'UTR-126")</f>
        <v>BSGatlas-5'UTR-126</v>
      </c>
      <c r="B127" s="3">
        <v>243871</v>
      </c>
      <c r="C127" s="3">
        <v>243892</v>
      </c>
      <c r="D127" s="1" t="s">
        <v>9</v>
      </c>
      <c r="E127" s="1">
        <v>22</v>
      </c>
      <c r="F127" s="1" t="s">
        <v>11858</v>
      </c>
      <c r="G127" s="1" t="s">
        <v>4698</v>
      </c>
    </row>
    <row r="128" spans="1:7" ht="21" x14ac:dyDescent="0.25">
      <c r="A128" s="2" t="str">
        <f>HYPERLINK("https://rth.dk/resources/bsgatlas/details.php?id=BSGatlas-5'UTR-127","BSGatlas-5'UTR-127")</f>
        <v>BSGatlas-5'UTR-127</v>
      </c>
      <c r="B128" s="3">
        <v>245121</v>
      </c>
      <c r="C128" s="3">
        <v>245190</v>
      </c>
      <c r="D128" s="1" t="s">
        <v>9</v>
      </c>
      <c r="E128" s="1">
        <v>70</v>
      </c>
      <c r="F128" s="1" t="s">
        <v>11859</v>
      </c>
      <c r="G128" s="1" t="s">
        <v>4700</v>
      </c>
    </row>
    <row r="129" spans="1:7" ht="21" x14ac:dyDescent="0.25">
      <c r="A129" s="2" t="str">
        <f>HYPERLINK("https://rth.dk/resources/bsgatlas/details.php?id=BSGatlas-5'UTR-128","BSGatlas-5'UTR-128")</f>
        <v>BSGatlas-5'UTR-128</v>
      </c>
      <c r="B129" s="3">
        <v>246583</v>
      </c>
      <c r="C129" s="3">
        <v>246658</v>
      </c>
      <c r="D129" s="1" t="s">
        <v>9</v>
      </c>
      <c r="E129" s="1">
        <v>76</v>
      </c>
      <c r="F129" s="1" t="s">
        <v>11860</v>
      </c>
      <c r="G129" s="1" t="s">
        <v>4705</v>
      </c>
    </row>
    <row r="130" spans="1:7" ht="21" x14ac:dyDescent="0.25">
      <c r="A130" s="2" t="str">
        <f>HYPERLINK("https://rth.dk/resources/bsgatlas/details.php?id=BSGatlas-5'UTR-129","BSGatlas-5'UTR-129")</f>
        <v>BSGatlas-5'UTR-129</v>
      </c>
      <c r="B130" s="3">
        <v>247711</v>
      </c>
      <c r="C130" s="3">
        <v>247744</v>
      </c>
      <c r="D130" s="1" t="s">
        <v>9</v>
      </c>
      <c r="E130" s="1">
        <v>34</v>
      </c>
      <c r="F130" s="1" t="s">
        <v>11861</v>
      </c>
      <c r="G130" s="1" t="s">
        <v>4710</v>
      </c>
    </row>
    <row r="131" spans="1:7" ht="21" x14ac:dyDescent="0.25">
      <c r="A131" s="2" t="str">
        <f>HYPERLINK("https://rth.dk/resources/bsgatlas/details.php?id=BSGatlas-5'UTR-130","BSGatlas-5'UTR-130")</f>
        <v>BSGatlas-5'UTR-130</v>
      </c>
      <c r="B131" s="3">
        <v>249934</v>
      </c>
      <c r="C131" s="3">
        <v>249979</v>
      </c>
      <c r="D131" s="1" t="s">
        <v>9</v>
      </c>
      <c r="E131" s="1">
        <v>46</v>
      </c>
      <c r="F131" s="1" t="s">
        <v>11862</v>
      </c>
      <c r="G131" s="1" t="s">
        <v>4711</v>
      </c>
    </row>
    <row r="132" spans="1:7" ht="21" x14ac:dyDescent="0.25">
      <c r="A132" s="2" t="str">
        <f>HYPERLINK("https://rth.dk/resources/bsgatlas/details.php?id=BSGatlas-5'UTR-131","BSGatlas-5'UTR-131")</f>
        <v>BSGatlas-5'UTR-131</v>
      </c>
      <c r="B132" s="3">
        <v>251385</v>
      </c>
      <c r="C132" s="3">
        <v>251427</v>
      </c>
      <c r="D132" s="1" t="s">
        <v>9</v>
      </c>
      <c r="E132" s="1">
        <v>43</v>
      </c>
      <c r="F132" s="1" t="s">
        <v>11863</v>
      </c>
      <c r="G132" s="1" t="s">
        <v>4717</v>
      </c>
    </row>
    <row r="133" spans="1:7" ht="21" x14ac:dyDescent="0.25">
      <c r="A133" s="2" t="str">
        <f>HYPERLINK("https://rth.dk/resources/bsgatlas/details.php?id=BSGatlas-5'UTR-132","BSGatlas-5'UTR-132")</f>
        <v>BSGatlas-5'UTR-132</v>
      </c>
      <c r="B133" s="3">
        <v>252460</v>
      </c>
      <c r="C133" s="3">
        <v>252514</v>
      </c>
      <c r="D133" s="1" t="s">
        <v>9</v>
      </c>
      <c r="E133" s="1">
        <v>55</v>
      </c>
      <c r="F133" s="1" t="s">
        <v>11864</v>
      </c>
      <c r="G133" s="1" t="s">
        <v>4718</v>
      </c>
    </row>
    <row r="134" spans="1:7" ht="21" x14ac:dyDescent="0.25">
      <c r="A134" s="2" t="str">
        <f>HYPERLINK("https://rth.dk/resources/bsgatlas/details.php?id=BSGatlas-5'UTR-133","BSGatlas-5'UTR-133")</f>
        <v>BSGatlas-5'UTR-133</v>
      </c>
      <c r="B134" s="3">
        <v>254762</v>
      </c>
      <c r="C134" s="3">
        <v>254805</v>
      </c>
      <c r="D134" s="1" t="s">
        <v>13</v>
      </c>
      <c r="E134" s="1">
        <v>44</v>
      </c>
      <c r="F134" s="1" t="s">
        <v>11865</v>
      </c>
      <c r="G134" s="1" t="s">
        <v>4719</v>
      </c>
    </row>
    <row r="135" spans="1:7" ht="21" x14ac:dyDescent="0.25">
      <c r="A135" s="2" t="str">
        <f>HYPERLINK("https://rth.dk/resources/bsgatlas/details.php?id=BSGatlas-5'UTR-134","BSGatlas-5'UTR-134")</f>
        <v>BSGatlas-5'UTR-134</v>
      </c>
      <c r="B135" s="3">
        <v>254762</v>
      </c>
      <c r="C135" s="3">
        <v>254849</v>
      </c>
      <c r="D135" s="1" t="s">
        <v>13</v>
      </c>
      <c r="E135" s="1">
        <v>88</v>
      </c>
      <c r="F135" s="1" t="s">
        <v>11865</v>
      </c>
      <c r="G135" s="1" t="s">
        <v>4721</v>
      </c>
    </row>
    <row r="136" spans="1:7" ht="21" x14ac:dyDescent="0.25">
      <c r="A136" s="2" t="str">
        <f>HYPERLINK("https://rth.dk/resources/bsgatlas/details.php?id=BSGatlas-5'UTR-135","BSGatlas-5'UTR-135")</f>
        <v>BSGatlas-5'UTR-135</v>
      </c>
      <c r="B136" s="3">
        <v>256685</v>
      </c>
      <c r="C136" s="3">
        <v>257791</v>
      </c>
      <c r="D136" s="1" t="s">
        <v>9</v>
      </c>
      <c r="E136" s="1">
        <v>1107</v>
      </c>
      <c r="F136" s="1" t="s">
        <v>11866</v>
      </c>
      <c r="G136" s="1" t="s">
        <v>4727</v>
      </c>
    </row>
    <row r="137" spans="1:7" ht="21" x14ac:dyDescent="0.25">
      <c r="A137" s="2" t="str">
        <f>HYPERLINK("https://rth.dk/resources/bsgatlas/details.php?id=BSGatlas-5'UTR-136","BSGatlas-5'UTR-136")</f>
        <v>BSGatlas-5'UTR-136</v>
      </c>
      <c r="B137" s="3">
        <v>257545</v>
      </c>
      <c r="C137" s="3">
        <v>257791</v>
      </c>
      <c r="D137" s="1" t="s">
        <v>9</v>
      </c>
      <c r="E137" s="1">
        <v>247</v>
      </c>
      <c r="F137" s="1" t="s">
        <v>11866</v>
      </c>
      <c r="G137" s="1" t="s">
        <v>4729</v>
      </c>
    </row>
    <row r="138" spans="1:7" ht="21" x14ac:dyDescent="0.25">
      <c r="A138" s="2" t="str">
        <f>HYPERLINK("https://rth.dk/resources/bsgatlas/details.php?id=BSGatlas-5'UTR-137","BSGatlas-5'UTR-137")</f>
        <v>BSGatlas-5'UTR-137</v>
      </c>
      <c r="B138" s="3">
        <v>257572</v>
      </c>
      <c r="C138" s="3">
        <v>257635</v>
      </c>
      <c r="D138" s="1" t="s">
        <v>13</v>
      </c>
      <c r="E138" s="1">
        <v>64</v>
      </c>
      <c r="F138" s="1" t="s">
        <v>11867</v>
      </c>
      <c r="G138" s="1" t="s">
        <v>4723</v>
      </c>
    </row>
    <row r="139" spans="1:7" ht="21" x14ac:dyDescent="0.25">
      <c r="A139" s="2" t="str">
        <f>HYPERLINK("https://rth.dk/resources/bsgatlas/details.php?id=BSGatlas-5'UTR-138","BSGatlas-5'UTR-138")</f>
        <v>BSGatlas-5'UTR-138</v>
      </c>
      <c r="B139" s="3">
        <v>257572</v>
      </c>
      <c r="C139" s="3">
        <v>258596</v>
      </c>
      <c r="D139" s="1" t="s">
        <v>13</v>
      </c>
      <c r="E139" s="1">
        <v>1025</v>
      </c>
      <c r="F139" s="1" t="s">
        <v>11867</v>
      </c>
      <c r="G139" s="1" t="s">
        <v>4725</v>
      </c>
    </row>
    <row r="140" spans="1:7" ht="21" x14ac:dyDescent="0.25">
      <c r="A140" s="2" t="str">
        <f>HYPERLINK("https://rth.dk/resources/bsgatlas/details.php?id=BSGatlas-5'UTR-139","BSGatlas-5'UTR-139")</f>
        <v>BSGatlas-5'UTR-139</v>
      </c>
      <c r="B140" s="3">
        <v>257750</v>
      </c>
      <c r="C140" s="3">
        <v>257791</v>
      </c>
      <c r="D140" s="1" t="s">
        <v>9</v>
      </c>
      <c r="E140" s="1">
        <v>42</v>
      </c>
      <c r="F140" s="1" t="s">
        <v>11866</v>
      </c>
      <c r="G140" s="1" t="s">
        <v>4730</v>
      </c>
    </row>
    <row r="141" spans="1:7" ht="21" x14ac:dyDescent="0.25">
      <c r="A141" s="2" t="str">
        <f>HYPERLINK("https://rth.dk/resources/bsgatlas/details.php?id=BSGatlas-5'UTR-140","BSGatlas-5'UTR-140")</f>
        <v>BSGatlas-5'UTR-140</v>
      </c>
      <c r="B141" s="3">
        <v>258492</v>
      </c>
      <c r="C141" s="3">
        <v>258532</v>
      </c>
      <c r="D141" s="1" t="s">
        <v>9</v>
      </c>
      <c r="E141" s="1">
        <v>41</v>
      </c>
      <c r="F141" s="1" t="s">
        <v>11868</v>
      </c>
      <c r="G141" s="1" t="s">
        <v>4731</v>
      </c>
    </row>
    <row r="142" spans="1:7" ht="21" x14ac:dyDescent="0.25">
      <c r="A142" s="2" t="str">
        <f>HYPERLINK("https://rth.dk/resources/bsgatlas/details.php?id=BSGatlas-5'UTR-141","BSGatlas-5'UTR-141")</f>
        <v>BSGatlas-5'UTR-141</v>
      </c>
      <c r="B142" s="3">
        <v>258889</v>
      </c>
      <c r="C142" s="3">
        <v>259016</v>
      </c>
      <c r="D142" s="1" t="s">
        <v>9</v>
      </c>
      <c r="E142" s="1">
        <v>128</v>
      </c>
      <c r="F142" s="1" t="s">
        <v>11869</v>
      </c>
      <c r="G142" s="1" t="s">
        <v>4732</v>
      </c>
    </row>
    <row r="143" spans="1:7" ht="21" x14ac:dyDescent="0.25">
      <c r="A143" s="2" t="str">
        <f>HYPERLINK("https://rth.dk/resources/bsgatlas/details.php?id=BSGatlas-5'UTR-142","BSGatlas-5'UTR-142")</f>
        <v>BSGatlas-5'UTR-142</v>
      </c>
      <c r="B143" s="3">
        <v>261535</v>
      </c>
      <c r="C143" s="3">
        <v>261647</v>
      </c>
      <c r="D143" s="1" t="s">
        <v>13</v>
      </c>
      <c r="E143" s="1">
        <v>113</v>
      </c>
      <c r="F143" s="1" t="s">
        <v>11870</v>
      </c>
      <c r="G143" s="1" t="s">
        <v>4734</v>
      </c>
    </row>
    <row r="144" spans="1:7" ht="21" x14ac:dyDescent="0.25">
      <c r="A144" s="2" t="str">
        <f>HYPERLINK("https://rth.dk/resources/bsgatlas/details.php?id=BSGatlas-5'UTR-143","BSGatlas-5'UTR-143")</f>
        <v>BSGatlas-5'UTR-143</v>
      </c>
      <c r="B144" s="3">
        <v>262603</v>
      </c>
      <c r="C144" s="3">
        <v>262658</v>
      </c>
      <c r="D144" s="1" t="s">
        <v>13</v>
      </c>
      <c r="E144" s="1">
        <v>56</v>
      </c>
      <c r="F144" s="1" t="s">
        <v>11871</v>
      </c>
      <c r="G144" s="1" t="s">
        <v>4737</v>
      </c>
    </row>
    <row r="145" spans="1:7" ht="21" x14ac:dyDescent="0.25">
      <c r="A145" s="2" t="str">
        <f>HYPERLINK("https://rth.dk/resources/bsgatlas/details.php?id=BSGatlas-5'UTR-144","BSGatlas-5'UTR-144")</f>
        <v>BSGatlas-5'UTR-144</v>
      </c>
      <c r="B145" s="3">
        <v>265174</v>
      </c>
      <c r="C145" s="3">
        <v>265269</v>
      </c>
      <c r="D145" s="1" t="s">
        <v>13</v>
      </c>
      <c r="E145" s="1">
        <v>96</v>
      </c>
      <c r="F145" s="1" t="s">
        <v>11872</v>
      </c>
      <c r="G145" s="1" t="s">
        <v>4740</v>
      </c>
    </row>
    <row r="146" spans="1:7" ht="21" x14ac:dyDescent="0.25">
      <c r="A146" s="2" t="str">
        <f>HYPERLINK("https://rth.dk/resources/bsgatlas/details.php?id=BSGatlas-5'UTR-145","BSGatlas-5'UTR-145")</f>
        <v>BSGatlas-5'UTR-145</v>
      </c>
      <c r="B146" s="3">
        <v>265279</v>
      </c>
      <c r="C146" s="3">
        <v>265476</v>
      </c>
      <c r="D146" s="1" t="s">
        <v>9</v>
      </c>
      <c r="E146" s="1">
        <v>198</v>
      </c>
      <c r="F146" s="1" t="s">
        <v>11873</v>
      </c>
      <c r="G146" s="1" t="s">
        <v>4743</v>
      </c>
    </row>
    <row r="147" spans="1:7" ht="21" x14ac:dyDescent="0.25">
      <c r="A147" s="2" t="str">
        <f>HYPERLINK("https://rth.dk/resources/bsgatlas/details.php?id=BSGatlas-5'UTR-146","BSGatlas-5'UTR-146")</f>
        <v>BSGatlas-5'UTR-146</v>
      </c>
      <c r="B147" s="3">
        <v>267772</v>
      </c>
      <c r="C147" s="3">
        <v>267890</v>
      </c>
      <c r="D147" s="1" t="s">
        <v>9</v>
      </c>
      <c r="E147" s="1">
        <v>119</v>
      </c>
      <c r="F147" s="1" t="s">
        <v>11874</v>
      </c>
      <c r="G147" s="1" t="s">
        <v>4746</v>
      </c>
    </row>
    <row r="148" spans="1:7" ht="21" x14ac:dyDescent="0.25">
      <c r="A148" s="2" t="str">
        <f>HYPERLINK("https://rth.dk/resources/bsgatlas/details.php?id=BSGatlas-5'UTR-147","BSGatlas-5'UTR-147")</f>
        <v>BSGatlas-5'UTR-147</v>
      </c>
      <c r="B148" s="3">
        <v>273206</v>
      </c>
      <c r="C148" s="3">
        <v>273237</v>
      </c>
      <c r="D148" s="1" t="s">
        <v>9</v>
      </c>
      <c r="E148" s="1">
        <v>32</v>
      </c>
      <c r="F148" s="1" t="s">
        <v>11875</v>
      </c>
      <c r="G148" s="1" t="s">
        <v>4749</v>
      </c>
    </row>
    <row r="149" spans="1:7" ht="21" x14ac:dyDescent="0.25">
      <c r="A149" s="2" t="str">
        <f>HYPERLINK("https://rth.dk/resources/bsgatlas/details.php?id=BSGatlas-5'UTR-148","BSGatlas-5'UTR-148")</f>
        <v>BSGatlas-5'UTR-148</v>
      </c>
      <c r="B149" s="3">
        <v>276798</v>
      </c>
      <c r="C149" s="3">
        <v>277160</v>
      </c>
      <c r="D149" s="1" t="s">
        <v>9</v>
      </c>
      <c r="E149" s="1">
        <v>363</v>
      </c>
      <c r="F149" s="1" t="s">
        <v>11876</v>
      </c>
      <c r="G149" s="1" t="s">
        <v>4750</v>
      </c>
    </row>
    <row r="150" spans="1:7" ht="21" x14ac:dyDescent="0.25">
      <c r="A150" s="2" t="str">
        <f>HYPERLINK("https://rth.dk/resources/bsgatlas/details.php?id=BSGatlas-5'UTR-149","BSGatlas-5'UTR-149")</f>
        <v>BSGatlas-5'UTR-149</v>
      </c>
      <c r="B150" s="3">
        <v>277298</v>
      </c>
      <c r="C150" s="3">
        <v>277342</v>
      </c>
      <c r="D150" s="1" t="s">
        <v>9</v>
      </c>
      <c r="E150" s="1">
        <v>45</v>
      </c>
      <c r="F150" s="1" t="s">
        <v>11877</v>
      </c>
      <c r="G150" s="1" t="s">
        <v>4755</v>
      </c>
    </row>
    <row r="151" spans="1:7" ht="21" x14ac:dyDescent="0.25">
      <c r="A151" s="2" t="str">
        <f>HYPERLINK("https://rth.dk/resources/bsgatlas/details.php?id=BSGatlas-5'UTR-150","BSGatlas-5'UTR-150")</f>
        <v>BSGatlas-5'UTR-150</v>
      </c>
      <c r="B151" s="3">
        <v>278308</v>
      </c>
      <c r="C151" s="3">
        <v>278377</v>
      </c>
      <c r="D151" s="1" t="s">
        <v>9</v>
      </c>
      <c r="E151" s="1">
        <v>70</v>
      </c>
      <c r="F151" s="1" t="s">
        <v>11878</v>
      </c>
      <c r="G151" s="1" t="s">
        <v>4757</v>
      </c>
    </row>
    <row r="152" spans="1:7" ht="21" x14ac:dyDescent="0.25">
      <c r="A152" s="2" t="str">
        <f>HYPERLINK("https://rth.dk/resources/bsgatlas/details.php?id=BSGatlas-5'UTR-151","BSGatlas-5'UTR-151")</f>
        <v>BSGatlas-5'UTR-151</v>
      </c>
      <c r="B152" s="3">
        <v>282155</v>
      </c>
      <c r="C152" s="3">
        <v>282200</v>
      </c>
      <c r="D152" s="1" t="s">
        <v>13</v>
      </c>
      <c r="E152" s="1">
        <v>46</v>
      </c>
      <c r="F152" s="1" t="s">
        <v>11879</v>
      </c>
      <c r="G152" s="1" t="s">
        <v>4762</v>
      </c>
    </row>
    <row r="153" spans="1:7" ht="21" x14ac:dyDescent="0.25">
      <c r="A153" s="2" t="str">
        <f>HYPERLINK("https://rth.dk/resources/bsgatlas/details.php?id=BSGatlas-5'UTR-152","BSGatlas-5'UTR-152")</f>
        <v>BSGatlas-5'UTR-152</v>
      </c>
      <c r="B153" s="3">
        <v>282155</v>
      </c>
      <c r="C153" s="3">
        <v>282445</v>
      </c>
      <c r="D153" s="1" t="s">
        <v>13</v>
      </c>
      <c r="E153" s="1">
        <v>291</v>
      </c>
      <c r="F153" s="1" t="s">
        <v>11879</v>
      </c>
      <c r="G153" s="1" t="s">
        <v>4764</v>
      </c>
    </row>
    <row r="154" spans="1:7" ht="21" x14ac:dyDescent="0.25">
      <c r="A154" s="2" t="str">
        <f>HYPERLINK("https://rth.dk/resources/bsgatlas/details.php?id=BSGatlas-5'UTR-153","BSGatlas-5'UTR-153")</f>
        <v>BSGatlas-5'UTR-153</v>
      </c>
      <c r="B154" s="3">
        <v>282155</v>
      </c>
      <c r="C154" s="3">
        <v>283231</v>
      </c>
      <c r="D154" s="1" t="s">
        <v>13</v>
      </c>
      <c r="E154" s="1">
        <v>1077</v>
      </c>
      <c r="F154" s="1" t="s">
        <v>11879</v>
      </c>
      <c r="G154" s="1" t="s">
        <v>4765</v>
      </c>
    </row>
    <row r="155" spans="1:7" ht="21" x14ac:dyDescent="0.25">
      <c r="A155" s="2" t="str">
        <f>HYPERLINK("https://rth.dk/resources/bsgatlas/details.php?id=BSGatlas-5'UTR-154","BSGatlas-5'UTR-154")</f>
        <v>BSGatlas-5'UTR-154</v>
      </c>
      <c r="B155" s="3">
        <v>282155</v>
      </c>
      <c r="C155" s="3">
        <v>284071</v>
      </c>
      <c r="D155" s="1" t="s">
        <v>13</v>
      </c>
      <c r="E155" s="1">
        <v>1917</v>
      </c>
      <c r="F155" s="1" t="s">
        <v>11879</v>
      </c>
      <c r="G155" s="1" t="s">
        <v>4766</v>
      </c>
    </row>
    <row r="156" spans="1:7" ht="21" x14ac:dyDescent="0.25">
      <c r="A156" s="2" t="str">
        <f>HYPERLINK("https://rth.dk/resources/bsgatlas/details.php?id=BSGatlas-5'UTR-155","BSGatlas-5'UTR-155")</f>
        <v>BSGatlas-5'UTR-155</v>
      </c>
      <c r="B156" s="3">
        <v>282446</v>
      </c>
      <c r="C156" s="3">
        <v>282469</v>
      </c>
      <c r="D156" s="1" t="s">
        <v>9</v>
      </c>
      <c r="E156" s="1">
        <v>24</v>
      </c>
      <c r="F156" s="1" t="s">
        <v>11880</v>
      </c>
      <c r="G156" s="1" t="s">
        <v>4767</v>
      </c>
    </row>
    <row r="157" spans="1:7" ht="21" x14ac:dyDescent="0.25">
      <c r="A157" s="2" t="str">
        <f>HYPERLINK("https://rth.dk/resources/bsgatlas/details.php?id=BSGatlas-5'UTR-156","BSGatlas-5'UTR-156")</f>
        <v>BSGatlas-5'UTR-156</v>
      </c>
      <c r="B157" s="3">
        <v>282963</v>
      </c>
      <c r="C157" s="3">
        <v>283003</v>
      </c>
      <c r="D157" s="1" t="s">
        <v>9</v>
      </c>
      <c r="E157" s="1">
        <v>41</v>
      </c>
      <c r="F157" s="1" t="s">
        <v>11881</v>
      </c>
      <c r="G157" s="1" t="s">
        <v>4770</v>
      </c>
    </row>
    <row r="158" spans="1:7" ht="21" x14ac:dyDescent="0.25">
      <c r="A158" s="2" t="str">
        <f>HYPERLINK("https://rth.dk/resources/bsgatlas/details.php?id=BSGatlas-5'UTR-157","BSGatlas-5'UTR-157")</f>
        <v>BSGatlas-5'UTR-157</v>
      </c>
      <c r="B158" s="3">
        <v>283984</v>
      </c>
      <c r="C158" s="3">
        <v>284011</v>
      </c>
      <c r="D158" s="1" t="s">
        <v>9</v>
      </c>
      <c r="E158" s="1">
        <v>28</v>
      </c>
      <c r="F158" s="1" t="s">
        <v>11882</v>
      </c>
      <c r="G158" s="1" t="s">
        <v>4773</v>
      </c>
    </row>
    <row r="159" spans="1:7" ht="21" x14ac:dyDescent="0.25">
      <c r="A159" s="2" t="str">
        <f>HYPERLINK("https://rth.dk/resources/bsgatlas/details.php?id=BSGatlas-5'UTR-158","BSGatlas-5'UTR-158")</f>
        <v>BSGatlas-5'UTR-158</v>
      </c>
      <c r="B159" s="3">
        <v>287420</v>
      </c>
      <c r="C159" s="3">
        <v>287449</v>
      </c>
      <c r="D159" s="1" t="s">
        <v>13</v>
      </c>
      <c r="E159" s="1">
        <v>30</v>
      </c>
      <c r="F159" s="1" t="s">
        <v>11883</v>
      </c>
      <c r="G159" s="1" t="s">
        <v>4775</v>
      </c>
    </row>
    <row r="160" spans="1:7" ht="21" x14ac:dyDescent="0.25">
      <c r="A160" s="2" t="str">
        <f>HYPERLINK("https://rth.dk/resources/bsgatlas/details.php?id=BSGatlas-5'UTR-159","BSGatlas-5'UTR-159")</f>
        <v>BSGatlas-5'UTR-159</v>
      </c>
      <c r="B160" s="3">
        <v>287420</v>
      </c>
      <c r="C160" s="3">
        <v>287845</v>
      </c>
      <c r="D160" s="1" t="s">
        <v>13</v>
      </c>
      <c r="E160" s="1">
        <v>426</v>
      </c>
      <c r="F160" s="1" t="s">
        <v>11883</v>
      </c>
      <c r="G160" s="1" t="s">
        <v>4777</v>
      </c>
    </row>
    <row r="161" spans="1:7" ht="21" x14ac:dyDescent="0.25">
      <c r="A161" s="2" t="str">
        <f>HYPERLINK("https://rth.dk/resources/bsgatlas/details.php?id=BSGatlas-5'UTR-160","BSGatlas-5'UTR-160")</f>
        <v>BSGatlas-5'UTR-160</v>
      </c>
      <c r="B161" s="3">
        <v>287471</v>
      </c>
      <c r="C161" s="3">
        <v>287499</v>
      </c>
      <c r="D161" s="1" t="s">
        <v>9</v>
      </c>
      <c r="E161" s="1">
        <v>29</v>
      </c>
      <c r="F161" s="1" t="s">
        <v>11884</v>
      </c>
      <c r="G161" s="1" t="s">
        <v>4778</v>
      </c>
    </row>
    <row r="162" spans="1:7" ht="21" x14ac:dyDescent="0.25">
      <c r="A162" s="2" t="str">
        <f>HYPERLINK("https://rth.dk/resources/bsgatlas/details.php?id=BSGatlas-5'UTR-161","BSGatlas-5'UTR-161")</f>
        <v>BSGatlas-5'UTR-161</v>
      </c>
      <c r="B162" s="3">
        <v>290698</v>
      </c>
      <c r="C162" s="3">
        <v>290740</v>
      </c>
      <c r="D162" s="1" t="s">
        <v>13</v>
      </c>
      <c r="E162" s="1">
        <v>43</v>
      </c>
      <c r="F162" s="1" t="s">
        <v>11885</v>
      </c>
      <c r="G162" s="1" t="s">
        <v>4781</v>
      </c>
    </row>
    <row r="163" spans="1:7" ht="21" x14ac:dyDescent="0.25">
      <c r="A163" s="2" t="str">
        <f>HYPERLINK("https://rth.dk/resources/bsgatlas/details.php?id=BSGatlas-5'UTR-162","BSGatlas-5'UTR-162")</f>
        <v>BSGatlas-5'UTR-162</v>
      </c>
      <c r="B163" s="3">
        <v>290888</v>
      </c>
      <c r="C163" s="3">
        <v>290915</v>
      </c>
      <c r="D163" s="1" t="s">
        <v>9</v>
      </c>
      <c r="E163" s="1">
        <v>28</v>
      </c>
      <c r="F163" s="1" t="s">
        <v>11886</v>
      </c>
      <c r="G163" s="1" t="s">
        <v>4783</v>
      </c>
    </row>
    <row r="164" spans="1:7" ht="21" x14ac:dyDescent="0.25">
      <c r="A164" s="2" t="str">
        <f>HYPERLINK("https://rth.dk/resources/bsgatlas/details.php?id=BSGatlas-5'UTR-163","BSGatlas-5'UTR-163")</f>
        <v>BSGatlas-5'UTR-163</v>
      </c>
      <c r="B164" s="3">
        <v>292159</v>
      </c>
      <c r="C164" s="3">
        <v>292205</v>
      </c>
      <c r="D164" s="1" t="s">
        <v>9</v>
      </c>
      <c r="E164" s="1">
        <v>47</v>
      </c>
      <c r="F164" s="1" t="s">
        <v>11887</v>
      </c>
      <c r="G164" s="1" t="s">
        <v>4786</v>
      </c>
    </row>
    <row r="165" spans="1:7" ht="21" x14ac:dyDescent="0.25">
      <c r="A165" s="2" t="str">
        <f>HYPERLINK("https://rth.dk/resources/bsgatlas/details.php?id=BSGatlas-5'UTR-164","BSGatlas-5'UTR-164")</f>
        <v>BSGatlas-5'UTR-164</v>
      </c>
      <c r="B165" s="3">
        <v>293264</v>
      </c>
      <c r="C165" s="3">
        <v>293301</v>
      </c>
      <c r="D165" s="1" t="s">
        <v>13</v>
      </c>
      <c r="E165" s="1">
        <v>38</v>
      </c>
      <c r="F165" s="1" t="s">
        <v>11888</v>
      </c>
      <c r="G165" s="1" t="s">
        <v>4788</v>
      </c>
    </row>
    <row r="166" spans="1:7" ht="21" x14ac:dyDescent="0.25">
      <c r="A166" s="2" t="str">
        <f>HYPERLINK("https://rth.dk/resources/bsgatlas/details.php?id=BSGatlas-5'UTR-165","BSGatlas-5'UTR-165")</f>
        <v>BSGatlas-5'UTR-165</v>
      </c>
      <c r="B166" s="3">
        <v>293466</v>
      </c>
      <c r="C166" s="3">
        <v>293499</v>
      </c>
      <c r="D166" s="1" t="s">
        <v>9</v>
      </c>
      <c r="E166" s="1">
        <v>34</v>
      </c>
      <c r="F166" s="1" t="s">
        <v>11889</v>
      </c>
      <c r="G166" s="1" t="s">
        <v>4790</v>
      </c>
    </row>
    <row r="167" spans="1:7" ht="21" x14ac:dyDescent="0.25">
      <c r="A167" s="2" t="str">
        <f>HYPERLINK("https://rth.dk/resources/bsgatlas/details.php?id=BSGatlas-5'UTR-166","BSGatlas-5'UTR-166")</f>
        <v>BSGatlas-5'UTR-166</v>
      </c>
      <c r="B167" s="3">
        <v>296285</v>
      </c>
      <c r="C167" s="3">
        <v>296315</v>
      </c>
      <c r="D167" s="1" t="s">
        <v>13</v>
      </c>
      <c r="E167" s="1">
        <v>31</v>
      </c>
      <c r="F167" s="1" t="s">
        <v>11890</v>
      </c>
      <c r="G167" s="1" t="s">
        <v>4794</v>
      </c>
    </row>
    <row r="168" spans="1:7" ht="21" x14ac:dyDescent="0.25">
      <c r="A168" s="2" t="str">
        <f>HYPERLINK("https://rth.dk/resources/bsgatlas/details.php?id=BSGatlas-5'UTR-167","BSGatlas-5'UTR-167")</f>
        <v>BSGatlas-5'UTR-167</v>
      </c>
      <c r="B168" s="3">
        <v>296394</v>
      </c>
      <c r="C168" s="3">
        <v>296429</v>
      </c>
      <c r="D168" s="1" t="s">
        <v>9</v>
      </c>
      <c r="E168" s="1">
        <v>36</v>
      </c>
      <c r="F168" s="1" t="s">
        <v>11891</v>
      </c>
      <c r="G168" s="1" t="s">
        <v>4797</v>
      </c>
    </row>
    <row r="169" spans="1:7" ht="21" x14ac:dyDescent="0.25">
      <c r="A169" s="2" t="str">
        <f>HYPERLINK("https://rth.dk/resources/bsgatlas/details.php?id=BSGatlas-5'UTR-168","BSGatlas-5'UTR-168")</f>
        <v>BSGatlas-5'UTR-168</v>
      </c>
      <c r="B169" s="3">
        <v>298401</v>
      </c>
      <c r="C169" s="3">
        <v>298466</v>
      </c>
      <c r="D169" s="1" t="s">
        <v>9</v>
      </c>
      <c r="E169" s="1">
        <v>66</v>
      </c>
      <c r="F169" s="1" t="s">
        <v>11892</v>
      </c>
      <c r="G169" s="1" t="s">
        <v>4799</v>
      </c>
    </row>
    <row r="170" spans="1:7" ht="21" x14ac:dyDescent="0.25">
      <c r="A170" s="2" t="str">
        <f>HYPERLINK("https://rth.dk/resources/bsgatlas/details.php?id=BSGatlas-5'UTR-169","BSGatlas-5'UTR-169")</f>
        <v>BSGatlas-5'UTR-169</v>
      </c>
      <c r="B170" s="3">
        <v>300656</v>
      </c>
      <c r="C170" s="3">
        <v>300698</v>
      </c>
      <c r="D170" s="1" t="s">
        <v>13</v>
      </c>
      <c r="E170" s="1">
        <v>43</v>
      </c>
      <c r="F170" s="1" t="s">
        <v>11893</v>
      </c>
      <c r="G170" s="1" t="s">
        <v>4802</v>
      </c>
    </row>
    <row r="171" spans="1:7" ht="21" x14ac:dyDescent="0.25">
      <c r="A171" s="2" t="str">
        <f>HYPERLINK("https://rth.dk/resources/bsgatlas/details.php?id=BSGatlas-5'UTR-170","BSGatlas-5'UTR-170")</f>
        <v>BSGatlas-5'UTR-170</v>
      </c>
      <c r="B171" s="3">
        <v>300656</v>
      </c>
      <c r="C171" s="3">
        <v>302299</v>
      </c>
      <c r="D171" s="1" t="s">
        <v>13</v>
      </c>
      <c r="E171" s="1">
        <v>1644</v>
      </c>
      <c r="F171" s="1" t="s">
        <v>11893</v>
      </c>
      <c r="G171" s="1" t="s">
        <v>4803</v>
      </c>
    </row>
    <row r="172" spans="1:7" ht="21" x14ac:dyDescent="0.25">
      <c r="A172" s="2" t="str">
        <f>HYPERLINK("https://rth.dk/resources/bsgatlas/details.php?id=BSGatlas-5'UTR-171","BSGatlas-5'UTR-171")</f>
        <v>BSGatlas-5'UTR-171</v>
      </c>
      <c r="B172" s="3">
        <v>302355</v>
      </c>
      <c r="C172" s="3">
        <v>302435</v>
      </c>
      <c r="D172" s="1" t="s">
        <v>9</v>
      </c>
      <c r="E172" s="1">
        <v>81</v>
      </c>
      <c r="F172" s="1" t="s">
        <v>11894</v>
      </c>
      <c r="G172" s="1" t="s">
        <v>4805</v>
      </c>
    </row>
    <row r="173" spans="1:7" ht="21" x14ac:dyDescent="0.25">
      <c r="A173" s="2" t="str">
        <f>HYPERLINK("https://rth.dk/resources/bsgatlas/details.php?id=BSGatlas-5'UTR-172","BSGatlas-5'UTR-172")</f>
        <v>BSGatlas-5'UTR-172</v>
      </c>
      <c r="B173" s="3">
        <v>304307</v>
      </c>
      <c r="C173" s="3">
        <v>304390</v>
      </c>
      <c r="D173" s="1" t="s">
        <v>13</v>
      </c>
      <c r="E173" s="1">
        <v>84</v>
      </c>
      <c r="F173" s="1" t="s">
        <v>11895</v>
      </c>
      <c r="G173" s="1" t="s">
        <v>4806</v>
      </c>
    </row>
    <row r="174" spans="1:7" ht="21" x14ac:dyDescent="0.25">
      <c r="A174" s="2" t="str">
        <f>HYPERLINK("https://rth.dk/resources/bsgatlas/details.php?id=BSGatlas-5'UTR-173","BSGatlas-5'UTR-173")</f>
        <v>BSGatlas-5'UTR-173</v>
      </c>
      <c r="B174" s="3">
        <v>304379</v>
      </c>
      <c r="C174" s="3">
        <v>304430</v>
      </c>
      <c r="D174" s="1" t="s">
        <v>9</v>
      </c>
      <c r="E174" s="1">
        <v>52</v>
      </c>
      <c r="F174" s="1" t="s">
        <v>11896</v>
      </c>
      <c r="G174" s="1" t="s">
        <v>4807</v>
      </c>
    </row>
    <row r="175" spans="1:7" ht="21" x14ac:dyDescent="0.25">
      <c r="A175" s="2" t="str">
        <f>HYPERLINK("https://rth.dk/resources/bsgatlas/details.php?id=BSGatlas-5'UTR-174","BSGatlas-5'UTR-174")</f>
        <v>BSGatlas-5'UTR-174</v>
      </c>
      <c r="B175" s="3">
        <v>305616</v>
      </c>
      <c r="C175" s="3">
        <v>305658</v>
      </c>
      <c r="D175" s="1" t="s">
        <v>9</v>
      </c>
      <c r="E175" s="1">
        <v>43</v>
      </c>
      <c r="F175" s="1" t="s">
        <v>11897</v>
      </c>
      <c r="G175" s="1" t="s">
        <v>4810</v>
      </c>
    </row>
    <row r="176" spans="1:7" ht="21" x14ac:dyDescent="0.25">
      <c r="A176" s="2" t="str">
        <f>HYPERLINK("https://rth.dk/resources/bsgatlas/details.php?id=BSGatlas-5'UTR-175","BSGatlas-5'UTR-175")</f>
        <v>BSGatlas-5'UTR-175</v>
      </c>
      <c r="B176" s="3">
        <v>307459</v>
      </c>
      <c r="C176" s="3">
        <v>308332</v>
      </c>
      <c r="D176" s="1" t="s">
        <v>9</v>
      </c>
      <c r="E176" s="1">
        <v>874</v>
      </c>
      <c r="F176" s="1" t="s">
        <v>11898</v>
      </c>
      <c r="G176" s="1" t="s">
        <v>4813</v>
      </c>
    </row>
    <row r="177" spans="1:7" ht="21" x14ac:dyDescent="0.25">
      <c r="A177" s="2" t="str">
        <f>HYPERLINK("https://rth.dk/resources/bsgatlas/details.php?id=BSGatlas-5'UTR-176","BSGatlas-5'UTR-176")</f>
        <v>BSGatlas-5'UTR-176</v>
      </c>
      <c r="B177" s="3">
        <v>308272</v>
      </c>
      <c r="C177" s="3">
        <v>308332</v>
      </c>
      <c r="D177" s="1" t="s">
        <v>9</v>
      </c>
      <c r="E177" s="1">
        <v>61</v>
      </c>
      <c r="F177" s="1" t="s">
        <v>11898</v>
      </c>
      <c r="G177" s="1" t="s">
        <v>4817</v>
      </c>
    </row>
    <row r="178" spans="1:7" ht="21" x14ac:dyDescent="0.25">
      <c r="A178" s="2" t="str">
        <f>HYPERLINK("https://rth.dk/resources/bsgatlas/details.php?id=BSGatlas-5'UTR-177","BSGatlas-5'UTR-177")</f>
        <v>BSGatlas-5'UTR-177</v>
      </c>
      <c r="B178" s="3">
        <v>308911</v>
      </c>
      <c r="C178" s="3">
        <v>309347</v>
      </c>
      <c r="D178" s="1" t="s">
        <v>9</v>
      </c>
      <c r="E178" s="1">
        <v>437</v>
      </c>
      <c r="F178" s="1" t="s">
        <v>11899</v>
      </c>
      <c r="G178" s="1" t="s">
        <v>4819</v>
      </c>
    </row>
    <row r="179" spans="1:7" ht="21" x14ac:dyDescent="0.25">
      <c r="A179" s="2" t="str">
        <f>HYPERLINK("https://rth.dk/resources/bsgatlas/details.php?id=BSGatlas-5'UTR-178","BSGatlas-5'UTR-178")</f>
        <v>BSGatlas-5'UTR-178</v>
      </c>
      <c r="B179" s="3">
        <v>311859</v>
      </c>
      <c r="C179" s="3">
        <v>312159</v>
      </c>
      <c r="D179" s="1" t="s">
        <v>9</v>
      </c>
      <c r="E179" s="1">
        <v>301</v>
      </c>
      <c r="F179" s="1" t="s">
        <v>11900</v>
      </c>
      <c r="G179" s="1" t="s">
        <v>4822</v>
      </c>
    </row>
    <row r="180" spans="1:7" ht="21" x14ac:dyDescent="0.25">
      <c r="A180" s="2" t="str">
        <f>HYPERLINK("https://rth.dk/resources/bsgatlas/details.php?id=BSGatlas-5'UTR-179","BSGatlas-5'UTR-179")</f>
        <v>BSGatlas-5'UTR-179</v>
      </c>
      <c r="B180" s="3">
        <v>311875</v>
      </c>
      <c r="C180" s="3">
        <v>311915</v>
      </c>
      <c r="D180" s="1" t="s">
        <v>13</v>
      </c>
      <c r="E180" s="1">
        <v>41</v>
      </c>
      <c r="F180" s="1" t="s">
        <v>11901</v>
      </c>
      <c r="G180" s="1" t="s">
        <v>4820</v>
      </c>
    </row>
    <row r="181" spans="1:7" ht="21" x14ac:dyDescent="0.25">
      <c r="A181" s="2" t="str">
        <f>HYPERLINK("https://rth.dk/resources/bsgatlas/details.php?id=BSGatlas-5'UTR-180","BSGatlas-5'UTR-180")</f>
        <v>BSGatlas-5'UTR-180</v>
      </c>
      <c r="B181" s="3">
        <v>312067</v>
      </c>
      <c r="C181" s="3">
        <v>312159</v>
      </c>
      <c r="D181" s="1" t="s">
        <v>9</v>
      </c>
      <c r="E181" s="1">
        <v>93</v>
      </c>
      <c r="F181" s="1" t="s">
        <v>11900</v>
      </c>
      <c r="G181" s="1" t="s">
        <v>4827</v>
      </c>
    </row>
    <row r="182" spans="1:7" ht="21" x14ac:dyDescent="0.25">
      <c r="A182" s="2" t="str">
        <f>HYPERLINK("https://rth.dk/resources/bsgatlas/details.php?id=BSGatlas-5'UTR-181","BSGatlas-5'UTR-181")</f>
        <v>BSGatlas-5'UTR-181</v>
      </c>
      <c r="B182" s="3">
        <v>312080</v>
      </c>
      <c r="C182" s="3">
        <v>312159</v>
      </c>
      <c r="D182" s="1" t="s">
        <v>9</v>
      </c>
      <c r="E182" s="1">
        <v>80</v>
      </c>
      <c r="F182" s="1" t="s">
        <v>11900</v>
      </c>
      <c r="G182" s="1" t="s">
        <v>4828</v>
      </c>
    </row>
    <row r="183" spans="1:7" ht="21" x14ac:dyDescent="0.25">
      <c r="A183" s="2" t="str">
        <f>HYPERLINK("https://rth.dk/resources/bsgatlas/details.php?id=BSGatlas-5'UTR-182","BSGatlas-5'UTR-182")</f>
        <v>BSGatlas-5'UTR-182</v>
      </c>
      <c r="B183" s="3">
        <v>317687</v>
      </c>
      <c r="C183" s="3">
        <v>317725</v>
      </c>
      <c r="D183" s="1" t="s">
        <v>9</v>
      </c>
      <c r="E183" s="1">
        <v>39</v>
      </c>
      <c r="F183" s="1" t="s">
        <v>11902</v>
      </c>
      <c r="G183" s="1" t="s">
        <v>4829</v>
      </c>
    </row>
    <row r="184" spans="1:7" ht="21" x14ac:dyDescent="0.25">
      <c r="A184" s="2" t="str">
        <f>HYPERLINK("https://rth.dk/resources/bsgatlas/details.php?id=BSGatlas-5'UTR-183","BSGatlas-5'UTR-183")</f>
        <v>BSGatlas-5'UTR-183</v>
      </c>
      <c r="B184" s="3">
        <v>320952</v>
      </c>
      <c r="C184" s="3">
        <v>321013</v>
      </c>
      <c r="D184" s="1" t="s">
        <v>9</v>
      </c>
      <c r="E184" s="1">
        <v>62</v>
      </c>
      <c r="F184" s="1" t="s">
        <v>11903</v>
      </c>
      <c r="G184" s="1" t="s">
        <v>4835</v>
      </c>
    </row>
    <row r="185" spans="1:7" ht="21" x14ac:dyDescent="0.25">
      <c r="A185" s="2" t="str">
        <f>HYPERLINK("https://rth.dk/resources/bsgatlas/details.php?id=BSGatlas-5'UTR-184","BSGatlas-5'UTR-184")</f>
        <v>BSGatlas-5'UTR-184</v>
      </c>
      <c r="B185" s="3">
        <v>320989</v>
      </c>
      <c r="C185" s="3">
        <v>321013</v>
      </c>
      <c r="D185" s="1" t="s">
        <v>9</v>
      </c>
      <c r="E185" s="1">
        <v>25</v>
      </c>
      <c r="F185" s="1" t="s">
        <v>11903</v>
      </c>
      <c r="G185" s="1" t="s">
        <v>4838</v>
      </c>
    </row>
    <row r="186" spans="1:7" ht="21" x14ac:dyDescent="0.25">
      <c r="A186" s="2" t="str">
        <f>HYPERLINK("https://rth.dk/resources/bsgatlas/details.php?id=BSGatlas-5'UTR-185","BSGatlas-5'UTR-185")</f>
        <v>BSGatlas-5'UTR-185</v>
      </c>
      <c r="B186" s="3">
        <v>320990</v>
      </c>
      <c r="C186" s="3">
        <v>321013</v>
      </c>
      <c r="D186" s="1" t="s">
        <v>9</v>
      </c>
      <c r="E186" s="1">
        <v>24</v>
      </c>
      <c r="F186" s="1" t="s">
        <v>11903</v>
      </c>
      <c r="G186" s="1" t="s">
        <v>4839</v>
      </c>
    </row>
    <row r="187" spans="1:7" ht="21" x14ac:dyDescent="0.25">
      <c r="A187" s="2" t="str">
        <f>HYPERLINK("https://rth.dk/resources/bsgatlas/details.php?id=BSGatlas-5'UTR-186","BSGatlas-5'UTR-186")</f>
        <v>BSGatlas-5'UTR-186</v>
      </c>
      <c r="B187" s="3">
        <v>325189</v>
      </c>
      <c r="C187" s="3">
        <v>325266</v>
      </c>
      <c r="D187" s="1" t="s">
        <v>13</v>
      </c>
      <c r="E187" s="1">
        <v>78</v>
      </c>
      <c r="F187" s="1" t="s">
        <v>11904</v>
      </c>
      <c r="G187" s="1" t="s">
        <v>4840</v>
      </c>
    </row>
    <row r="188" spans="1:7" ht="21" x14ac:dyDescent="0.25">
      <c r="A188" s="2" t="str">
        <f>HYPERLINK("https://rth.dk/resources/bsgatlas/details.php?id=BSGatlas-5'UTR-187","BSGatlas-5'UTR-187")</f>
        <v>BSGatlas-5'UTR-187</v>
      </c>
      <c r="B188" s="3">
        <v>325280</v>
      </c>
      <c r="C188" s="3">
        <v>325339</v>
      </c>
      <c r="D188" s="1" t="s">
        <v>9</v>
      </c>
      <c r="E188" s="1">
        <v>60</v>
      </c>
      <c r="F188" s="1" t="s">
        <v>11905</v>
      </c>
      <c r="G188" s="1" t="s">
        <v>4842</v>
      </c>
    </row>
    <row r="189" spans="1:7" ht="21" x14ac:dyDescent="0.25">
      <c r="A189" s="2" t="str">
        <f>HYPERLINK("https://rth.dk/resources/bsgatlas/details.php?id=BSGatlas-5'UTR-188","BSGatlas-5'UTR-188")</f>
        <v>BSGatlas-5'UTR-188</v>
      </c>
      <c r="B189" s="3">
        <v>326116</v>
      </c>
      <c r="C189" s="3">
        <v>326888</v>
      </c>
      <c r="D189" s="1" t="s">
        <v>9</v>
      </c>
      <c r="E189" s="1">
        <v>773</v>
      </c>
      <c r="F189" s="1" t="s">
        <v>11906</v>
      </c>
      <c r="G189" s="1" t="s">
        <v>4844</v>
      </c>
    </row>
    <row r="190" spans="1:7" ht="21" x14ac:dyDescent="0.25">
      <c r="A190" s="2" t="str">
        <f>HYPERLINK("https://rth.dk/resources/bsgatlas/details.php?id=BSGatlas-5'UTR-189","BSGatlas-5'UTR-189")</f>
        <v>BSGatlas-5'UTR-189</v>
      </c>
      <c r="B190" s="3">
        <v>326846</v>
      </c>
      <c r="C190" s="3">
        <v>326888</v>
      </c>
      <c r="D190" s="1" t="s">
        <v>9</v>
      </c>
      <c r="E190" s="1">
        <v>43</v>
      </c>
      <c r="F190" s="1" t="s">
        <v>11906</v>
      </c>
      <c r="G190" s="1" t="s">
        <v>4847</v>
      </c>
    </row>
    <row r="191" spans="1:7" ht="21" x14ac:dyDescent="0.25">
      <c r="A191" s="2" t="str">
        <f>HYPERLINK("https://rth.dk/resources/bsgatlas/details.php?id=BSGatlas-5'UTR-190","BSGatlas-5'UTR-190")</f>
        <v>BSGatlas-5'UTR-190</v>
      </c>
      <c r="B191" s="3">
        <v>327282</v>
      </c>
      <c r="C191" s="3">
        <v>327618</v>
      </c>
      <c r="D191" s="1" t="s">
        <v>9</v>
      </c>
      <c r="E191" s="1">
        <v>337</v>
      </c>
      <c r="F191" s="1" t="s">
        <v>11907</v>
      </c>
      <c r="G191" s="1" t="s">
        <v>4848</v>
      </c>
    </row>
    <row r="192" spans="1:7" ht="21" x14ac:dyDescent="0.25">
      <c r="A192" s="2" t="str">
        <f>HYPERLINK("https://rth.dk/resources/bsgatlas/details.php?id=BSGatlas-5'UTR-191","BSGatlas-5'UTR-191")</f>
        <v>BSGatlas-5'UTR-191</v>
      </c>
      <c r="B192" s="3">
        <v>327497</v>
      </c>
      <c r="C192" s="3">
        <v>327618</v>
      </c>
      <c r="D192" s="1" t="s">
        <v>9</v>
      </c>
      <c r="E192" s="1">
        <v>122</v>
      </c>
      <c r="F192" s="1" t="s">
        <v>11907</v>
      </c>
      <c r="G192" s="1" t="s">
        <v>4849</v>
      </c>
    </row>
    <row r="193" spans="1:7" ht="21" x14ac:dyDescent="0.25">
      <c r="A193" s="2" t="str">
        <f>HYPERLINK("https://rth.dk/resources/bsgatlas/details.php?id=BSGatlas-5'UTR-192","BSGatlas-5'UTR-192")</f>
        <v>BSGatlas-5'UTR-192</v>
      </c>
      <c r="B193" s="3">
        <v>329715</v>
      </c>
      <c r="C193" s="3">
        <v>329774</v>
      </c>
      <c r="D193" s="1" t="s">
        <v>9</v>
      </c>
      <c r="E193" s="1">
        <v>60</v>
      </c>
      <c r="F193" s="1" t="s">
        <v>11908</v>
      </c>
      <c r="G193" s="1" t="s">
        <v>4850</v>
      </c>
    </row>
    <row r="194" spans="1:7" ht="21" x14ac:dyDescent="0.25">
      <c r="A194" s="2" t="str">
        <f>HYPERLINK("https://rth.dk/resources/bsgatlas/details.php?id=BSGatlas-5'UTR-193","BSGatlas-5'UTR-193")</f>
        <v>BSGatlas-5'UTR-193</v>
      </c>
      <c r="B194" s="3">
        <v>333979</v>
      </c>
      <c r="C194" s="3">
        <v>334062</v>
      </c>
      <c r="D194" s="1" t="s">
        <v>13</v>
      </c>
      <c r="E194" s="1">
        <v>84</v>
      </c>
      <c r="F194" s="1" t="s">
        <v>11909</v>
      </c>
      <c r="G194" s="1" t="s">
        <v>4856</v>
      </c>
    </row>
    <row r="195" spans="1:7" ht="21" x14ac:dyDescent="0.25">
      <c r="A195" s="2" t="str">
        <f>HYPERLINK("https://rth.dk/resources/bsgatlas/details.php?id=BSGatlas-5'UTR-194","BSGatlas-5'UTR-194")</f>
        <v>BSGatlas-5'UTR-194</v>
      </c>
      <c r="B195" s="3">
        <v>334027</v>
      </c>
      <c r="C195" s="3">
        <v>334092</v>
      </c>
      <c r="D195" s="1" t="s">
        <v>9</v>
      </c>
      <c r="E195" s="1">
        <v>66</v>
      </c>
      <c r="F195" s="1" t="s">
        <v>11910</v>
      </c>
      <c r="G195" s="1" t="s">
        <v>4859</v>
      </c>
    </row>
    <row r="196" spans="1:7" ht="21" x14ac:dyDescent="0.25">
      <c r="A196" s="2" t="str">
        <f>HYPERLINK("https://rth.dk/resources/bsgatlas/details.php?id=BSGatlas-5'UTR-195","BSGatlas-5'UTR-195")</f>
        <v>BSGatlas-5'UTR-195</v>
      </c>
      <c r="B196" s="3">
        <v>334600</v>
      </c>
      <c r="C196" s="3">
        <v>334630</v>
      </c>
      <c r="D196" s="1" t="s">
        <v>9</v>
      </c>
      <c r="E196" s="1">
        <v>31</v>
      </c>
      <c r="F196" s="1" t="s">
        <v>11911</v>
      </c>
      <c r="G196" s="1" t="s">
        <v>4862</v>
      </c>
    </row>
    <row r="197" spans="1:7" ht="21" x14ac:dyDescent="0.25">
      <c r="A197" s="2" t="str">
        <f>HYPERLINK("https://rth.dk/resources/bsgatlas/details.php?id=BSGatlas-5'UTR-196","BSGatlas-5'UTR-196")</f>
        <v>BSGatlas-5'UTR-196</v>
      </c>
      <c r="B197" s="3">
        <v>335301</v>
      </c>
      <c r="C197" s="3">
        <v>335329</v>
      </c>
      <c r="D197" s="1" t="s">
        <v>9</v>
      </c>
      <c r="E197" s="1">
        <v>29</v>
      </c>
      <c r="F197" s="1" t="s">
        <v>11912</v>
      </c>
      <c r="G197" s="1" t="s">
        <v>4863</v>
      </c>
    </row>
    <row r="198" spans="1:7" ht="21" x14ac:dyDescent="0.25">
      <c r="A198" s="2" t="str">
        <f>HYPERLINK("https://rth.dk/resources/bsgatlas/details.php?id=BSGatlas-5'UTR-197","BSGatlas-5'UTR-197")</f>
        <v>BSGatlas-5'UTR-197</v>
      </c>
      <c r="B198" s="3">
        <v>337432</v>
      </c>
      <c r="C198" s="3">
        <v>337469</v>
      </c>
      <c r="D198" s="1" t="s">
        <v>13</v>
      </c>
      <c r="E198" s="1">
        <v>38</v>
      </c>
      <c r="F198" s="1" t="s">
        <v>11913</v>
      </c>
      <c r="G198" s="1" t="s">
        <v>4864</v>
      </c>
    </row>
    <row r="199" spans="1:7" ht="21" x14ac:dyDescent="0.25">
      <c r="A199" s="2" t="str">
        <f>HYPERLINK("https://rth.dk/resources/bsgatlas/details.php?id=BSGatlas-5'UTR-198","BSGatlas-5'UTR-198")</f>
        <v>BSGatlas-5'UTR-198</v>
      </c>
      <c r="B199" s="3">
        <v>337525</v>
      </c>
      <c r="C199" s="3">
        <v>337562</v>
      </c>
      <c r="D199" s="1" t="s">
        <v>9</v>
      </c>
      <c r="E199" s="1">
        <v>38</v>
      </c>
      <c r="F199" s="1" t="s">
        <v>11914</v>
      </c>
      <c r="G199" s="1" t="s">
        <v>4866</v>
      </c>
    </row>
    <row r="200" spans="1:7" ht="21" x14ac:dyDescent="0.25">
      <c r="A200" s="2" t="str">
        <f>HYPERLINK("https://rth.dk/resources/bsgatlas/details.php?id=BSGatlas-5'UTR-199","BSGatlas-5'UTR-199")</f>
        <v>BSGatlas-5'UTR-199</v>
      </c>
      <c r="B200" s="3">
        <v>338204</v>
      </c>
      <c r="C200" s="3">
        <v>338288</v>
      </c>
      <c r="D200" s="1" t="s">
        <v>9</v>
      </c>
      <c r="E200" s="1">
        <v>85</v>
      </c>
      <c r="F200" s="1" t="s">
        <v>11915</v>
      </c>
      <c r="G200" s="1" t="s">
        <v>4867</v>
      </c>
    </row>
    <row r="201" spans="1:7" ht="21" x14ac:dyDescent="0.25">
      <c r="A201" s="2" t="str">
        <f>HYPERLINK("https://rth.dk/resources/bsgatlas/details.php?id=BSGatlas-5'UTR-200","BSGatlas-5'UTR-200")</f>
        <v>BSGatlas-5'UTR-200</v>
      </c>
      <c r="B201" s="3">
        <v>338255</v>
      </c>
      <c r="C201" s="3">
        <v>338288</v>
      </c>
      <c r="D201" s="1" t="s">
        <v>9</v>
      </c>
      <c r="E201" s="1">
        <v>34</v>
      </c>
      <c r="F201" s="1" t="s">
        <v>11915</v>
      </c>
      <c r="G201" s="1" t="s">
        <v>4870</v>
      </c>
    </row>
    <row r="202" spans="1:7" ht="21" x14ac:dyDescent="0.25">
      <c r="A202" s="2" t="str">
        <f>HYPERLINK("https://rth.dk/resources/bsgatlas/details.php?id=BSGatlas-5'UTR-201","BSGatlas-5'UTR-201")</f>
        <v>BSGatlas-5'UTR-201</v>
      </c>
      <c r="B202" s="3">
        <v>339749</v>
      </c>
      <c r="C202" s="3">
        <v>339779</v>
      </c>
      <c r="D202" s="1" t="s">
        <v>13</v>
      </c>
      <c r="E202" s="1">
        <v>31</v>
      </c>
      <c r="F202" s="1" t="s">
        <v>11916</v>
      </c>
      <c r="G202" s="1" t="s">
        <v>4871</v>
      </c>
    </row>
    <row r="203" spans="1:7" ht="21" x14ac:dyDescent="0.25">
      <c r="A203" s="2" t="str">
        <f>HYPERLINK("https://rth.dk/resources/bsgatlas/details.php?id=BSGatlas-5'UTR-202","BSGatlas-5'UTR-202")</f>
        <v>BSGatlas-5'UTR-202</v>
      </c>
      <c r="B203" s="3">
        <v>339881</v>
      </c>
      <c r="C203" s="3">
        <v>340025</v>
      </c>
      <c r="D203" s="1" t="s">
        <v>9</v>
      </c>
      <c r="E203" s="1">
        <v>145</v>
      </c>
      <c r="F203" s="1" t="s">
        <v>11917</v>
      </c>
      <c r="G203" s="1" t="s">
        <v>4876</v>
      </c>
    </row>
    <row r="204" spans="1:7" ht="21" x14ac:dyDescent="0.25">
      <c r="A204" s="2" t="str">
        <f>HYPERLINK("https://rth.dk/resources/bsgatlas/details.php?id=BSGatlas-5'UTR-203","BSGatlas-5'UTR-203")</f>
        <v>BSGatlas-5'UTR-203</v>
      </c>
      <c r="B204" s="3">
        <v>339989</v>
      </c>
      <c r="C204" s="3">
        <v>340025</v>
      </c>
      <c r="D204" s="1" t="s">
        <v>9</v>
      </c>
      <c r="E204" s="1">
        <v>37</v>
      </c>
      <c r="F204" s="1" t="s">
        <v>11917</v>
      </c>
      <c r="G204" s="1" t="s">
        <v>4878</v>
      </c>
    </row>
    <row r="205" spans="1:7" ht="21" x14ac:dyDescent="0.25">
      <c r="A205" s="2" t="str">
        <f>HYPERLINK("https://rth.dk/resources/bsgatlas/details.php?id=BSGatlas-5'UTR-204","BSGatlas-5'UTR-204")</f>
        <v>BSGatlas-5'UTR-204</v>
      </c>
      <c r="B205" s="3">
        <v>341374</v>
      </c>
      <c r="C205" s="3">
        <v>341412</v>
      </c>
      <c r="D205" s="1" t="s">
        <v>13</v>
      </c>
      <c r="E205" s="1">
        <v>39</v>
      </c>
      <c r="F205" s="1" t="s">
        <v>11918</v>
      </c>
      <c r="G205" s="1" t="s">
        <v>4879</v>
      </c>
    </row>
    <row r="206" spans="1:7" ht="21" x14ac:dyDescent="0.25">
      <c r="A206" s="2" t="str">
        <f>HYPERLINK("https://rth.dk/resources/bsgatlas/details.php?id=BSGatlas-5'UTR-205","BSGatlas-5'UTR-205")</f>
        <v>BSGatlas-5'UTR-205</v>
      </c>
      <c r="B206" s="3">
        <v>341441</v>
      </c>
      <c r="C206" s="3">
        <v>341492</v>
      </c>
      <c r="D206" s="1" t="s">
        <v>9</v>
      </c>
      <c r="E206" s="1">
        <v>52</v>
      </c>
      <c r="F206" s="1" t="s">
        <v>11919</v>
      </c>
      <c r="G206" s="1" t="s">
        <v>4882</v>
      </c>
    </row>
    <row r="207" spans="1:7" ht="21" x14ac:dyDescent="0.25">
      <c r="A207" s="2" t="str">
        <f>HYPERLINK("https://rth.dk/resources/bsgatlas/details.php?id=BSGatlas-5'UTR-206","BSGatlas-5'UTR-206")</f>
        <v>BSGatlas-5'UTR-206</v>
      </c>
      <c r="B207" s="3">
        <v>344499</v>
      </c>
      <c r="C207" s="3">
        <v>344551</v>
      </c>
      <c r="D207" s="1" t="s">
        <v>9</v>
      </c>
      <c r="E207" s="1">
        <v>53</v>
      </c>
      <c r="F207" s="1" t="s">
        <v>11920</v>
      </c>
      <c r="G207" s="1" t="s">
        <v>4890</v>
      </c>
    </row>
    <row r="208" spans="1:7" ht="21" x14ac:dyDescent="0.25">
      <c r="A208" s="2" t="str">
        <f>HYPERLINK("https://rth.dk/resources/bsgatlas/details.php?id=BSGatlas-5'UTR-207","BSGatlas-5'UTR-207")</f>
        <v>BSGatlas-5'UTR-207</v>
      </c>
      <c r="B208" s="3">
        <v>346478</v>
      </c>
      <c r="C208" s="3">
        <v>347150</v>
      </c>
      <c r="D208" s="1" t="s">
        <v>9</v>
      </c>
      <c r="E208" s="1">
        <v>673</v>
      </c>
      <c r="F208" s="1" t="s">
        <v>11921</v>
      </c>
      <c r="G208" s="1" t="s">
        <v>4894</v>
      </c>
    </row>
    <row r="209" spans="1:7" ht="21" x14ac:dyDescent="0.25">
      <c r="A209" s="2" t="str">
        <f>HYPERLINK("https://rth.dk/resources/bsgatlas/details.php?id=BSGatlas-5'UTR-208","BSGatlas-5'UTR-208")</f>
        <v>BSGatlas-5'UTR-208</v>
      </c>
      <c r="B209" s="3">
        <v>346589</v>
      </c>
      <c r="C209" s="3">
        <v>347150</v>
      </c>
      <c r="D209" s="1" t="s">
        <v>9</v>
      </c>
      <c r="E209" s="1">
        <v>562</v>
      </c>
      <c r="F209" s="1" t="s">
        <v>11921</v>
      </c>
      <c r="G209" s="1" t="s">
        <v>4895</v>
      </c>
    </row>
    <row r="210" spans="1:7" ht="21" x14ac:dyDescent="0.25">
      <c r="A210" s="2" t="str">
        <f>HYPERLINK("https://rth.dk/resources/bsgatlas/details.php?id=BSGatlas-5'UTR-209","BSGatlas-5'UTR-209")</f>
        <v>BSGatlas-5'UTR-209</v>
      </c>
      <c r="B210" s="3">
        <v>347029</v>
      </c>
      <c r="C210" s="3">
        <v>347150</v>
      </c>
      <c r="D210" s="1" t="s">
        <v>9</v>
      </c>
      <c r="E210" s="1">
        <v>122</v>
      </c>
      <c r="F210" s="1" t="s">
        <v>11921</v>
      </c>
      <c r="G210" s="1" t="s">
        <v>4896</v>
      </c>
    </row>
    <row r="211" spans="1:7" ht="21" x14ac:dyDescent="0.25">
      <c r="A211" s="2" t="str">
        <f>HYPERLINK("https://rth.dk/resources/bsgatlas/details.php?id=BSGatlas-5'UTR-210","BSGatlas-5'UTR-210")</f>
        <v>BSGatlas-5'UTR-210</v>
      </c>
      <c r="B211" s="3">
        <v>348694</v>
      </c>
      <c r="C211" s="3">
        <v>348724</v>
      </c>
      <c r="D211" s="1" t="s">
        <v>9</v>
      </c>
      <c r="E211" s="1">
        <v>31</v>
      </c>
      <c r="F211" s="1" t="s">
        <v>11922</v>
      </c>
      <c r="G211" s="1" t="s">
        <v>4898</v>
      </c>
    </row>
    <row r="212" spans="1:7" ht="21" x14ac:dyDescent="0.25">
      <c r="A212" s="2" t="str">
        <f>HYPERLINK("https://rth.dk/resources/bsgatlas/details.php?id=BSGatlas-5'UTR-211","BSGatlas-5'UTR-211")</f>
        <v>BSGatlas-5'UTR-211</v>
      </c>
      <c r="B212" s="3">
        <v>351742</v>
      </c>
      <c r="C212" s="3">
        <v>351794</v>
      </c>
      <c r="D212" s="1" t="s">
        <v>13</v>
      </c>
      <c r="E212" s="1">
        <v>53</v>
      </c>
      <c r="F212" s="1" t="s">
        <v>11923</v>
      </c>
      <c r="G212" s="1" t="s">
        <v>4900</v>
      </c>
    </row>
    <row r="213" spans="1:7" ht="21" x14ac:dyDescent="0.25">
      <c r="A213" s="2" t="str">
        <f>HYPERLINK("https://rth.dk/resources/bsgatlas/details.php?id=BSGatlas-5'UTR-212","BSGatlas-5'UTR-212")</f>
        <v>BSGatlas-5'UTR-212</v>
      </c>
      <c r="B213" s="3">
        <v>352696</v>
      </c>
      <c r="C213" s="3">
        <v>352735</v>
      </c>
      <c r="D213" s="1" t="s">
        <v>13</v>
      </c>
      <c r="E213" s="1">
        <v>40</v>
      </c>
      <c r="F213" s="1" t="s">
        <v>11924</v>
      </c>
      <c r="G213" s="1" t="s">
        <v>4903</v>
      </c>
    </row>
    <row r="214" spans="1:7" ht="21" x14ac:dyDescent="0.25">
      <c r="A214" s="2" t="str">
        <f>HYPERLINK("https://rth.dk/resources/bsgatlas/details.php?id=BSGatlas-5'UTR-213","BSGatlas-5'UTR-213")</f>
        <v>BSGatlas-5'UTR-213</v>
      </c>
      <c r="B214" s="3">
        <v>352696</v>
      </c>
      <c r="C214" s="3">
        <v>352803</v>
      </c>
      <c r="D214" s="1" t="s">
        <v>13</v>
      </c>
      <c r="E214" s="1">
        <v>108</v>
      </c>
      <c r="F214" s="1" t="s">
        <v>11924</v>
      </c>
      <c r="G214" s="1" t="s">
        <v>4904</v>
      </c>
    </row>
    <row r="215" spans="1:7" ht="21" x14ac:dyDescent="0.25">
      <c r="A215" s="2" t="str">
        <f>HYPERLINK("https://rth.dk/resources/bsgatlas/details.php?id=BSGatlas-5'UTR-214","BSGatlas-5'UTR-214")</f>
        <v>BSGatlas-5'UTR-214</v>
      </c>
      <c r="B215" s="3">
        <v>352794</v>
      </c>
      <c r="C215" s="3">
        <v>352858</v>
      </c>
      <c r="D215" s="1" t="s">
        <v>9</v>
      </c>
      <c r="E215" s="1">
        <v>65</v>
      </c>
      <c r="F215" s="1" t="s">
        <v>11925</v>
      </c>
      <c r="G215" s="1" t="s">
        <v>4906</v>
      </c>
    </row>
    <row r="216" spans="1:7" ht="21" x14ac:dyDescent="0.25">
      <c r="A216" s="2" t="str">
        <f>HYPERLINK("https://rth.dk/resources/bsgatlas/details.php?id=BSGatlas-5'UTR-215","BSGatlas-5'UTR-215")</f>
        <v>BSGatlas-5'UTR-215</v>
      </c>
      <c r="B216" s="3">
        <v>358181</v>
      </c>
      <c r="C216" s="3">
        <v>358211</v>
      </c>
      <c r="D216" s="1" t="s">
        <v>13</v>
      </c>
      <c r="E216" s="1">
        <v>31</v>
      </c>
      <c r="F216" s="1" t="s">
        <v>11926</v>
      </c>
      <c r="G216" s="1" t="s">
        <v>4912</v>
      </c>
    </row>
    <row r="217" spans="1:7" ht="21" x14ac:dyDescent="0.25">
      <c r="A217" s="2" t="str">
        <f>HYPERLINK("https://rth.dk/resources/bsgatlas/details.php?id=BSGatlas-5'UTR-216","BSGatlas-5'UTR-216")</f>
        <v>BSGatlas-5'UTR-216</v>
      </c>
      <c r="B217" s="3">
        <v>362757</v>
      </c>
      <c r="C217" s="3">
        <v>362797</v>
      </c>
      <c r="D217" s="1" t="s">
        <v>13</v>
      </c>
      <c r="E217" s="1">
        <v>41</v>
      </c>
      <c r="F217" s="1" t="s">
        <v>11927</v>
      </c>
      <c r="G217" s="1" t="s">
        <v>4914</v>
      </c>
    </row>
    <row r="218" spans="1:7" ht="21" x14ac:dyDescent="0.25">
      <c r="A218" s="2" t="str">
        <f>HYPERLINK("https://rth.dk/resources/bsgatlas/details.php?id=BSGatlas-5'UTR-217","BSGatlas-5'UTR-217")</f>
        <v>BSGatlas-5'UTR-217</v>
      </c>
      <c r="B218" s="3">
        <v>362897</v>
      </c>
      <c r="C218" s="3">
        <v>362937</v>
      </c>
      <c r="D218" s="1" t="s">
        <v>9</v>
      </c>
      <c r="E218" s="1">
        <v>41</v>
      </c>
      <c r="F218" s="1" t="s">
        <v>11928</v>
      </c>
      <c r="G218" s="1" t="s">
        <v>4915</v>
      </c>
    </row>
    <row r="219" spans="1:7" ht="21" x14ac:dyDescent="0.25">
      <c r="A219" s="2" t="str">
        <f>HYPERLINK("https://rth.dk/resources/bsgatlas/details.php?id=BSGatlas-5'UTR-218","BSGatlas-5'UTR-218")</f>
        <v>BSGatlas-5'UTR-218</v>
      </c>
      <c r="B219" s="3">
        <v>364221</v>
      </c>
      <c r="C219" s="3">
        <v>364259</v>
      </c>
      <c r="D219" s="1" t="s">
        <v>9</v>
      </c>
      <c r="E219" s="1">
        <v>39</v>
      </c>
      <c r="F219" s="1" t="s">
        <v>11929</v>
      </c>
      <c r="G219" s="1" t="s">
        <v>4918</v>
      </c>
    </row>
    <row r="220" spans="1:7" ht="21" x14ac:dyDescent="0.25">
      <c r="A220" s="2" t="str">
        <f>HYPERLINK("https://rth.dk/resources/bsgatlas/details.php?id=BSGatlas-5'UTR-219","BSGatlas-5'UTR-219")</f>
        <v>BSGatlas-5'UTR-219</v>
      </c>
      <c r="B220" s="3">
        <v>365802</v>
      </c>
      <c r="C220" s="3">
        <v>365850</v>
      </c>
      <c r="D220" s="1" t="s">
        <v>9</v>
      </c>
      <c r="E220" s="1">
        <v>49</v>
      </c>
      <c r="F220" s="1" t="s">
        <v>11930</v>
      </c>
      <c r="G220" s="1" t="s">
        <v>4921</v>
      </c>
    </row>
    <row r="221" spans="1:7" ht="21" x14ac:dyDescent="0.25">
      <c r="A221" s="2" t="str">
        <f>HYPERLINK("https://rth.dk/resources/bsgatlas/details.php?id=BSGatlas-5'UTR-220","BSGatlas-5'UTR-220")</f>
        <v>BSGatlas-5'UTR-220</v>
      </c>
      <c r="B221" s="3">
        <v>368858</v>
      </c>
      <c r="C221" s="3">
        <v>368892</v>
      </c>
      <c r="D221" s="1" t="s">
        <v>13</v>
      </c>
      <c r="E221" s="1">
        <v>35</v>
      </c>
      <c r="F221" s="1" t="s">
        <v>11931</v>
      </c>
      <c r="G221" s="1" t="s">
        <v>4923</v>
      </c>
    </row>
    <row r="222" spans="1:7" ht="21" x14ac:dyDescent="0.25">
      <c r="A222" s="2" t="str">
        <f>HYPERLINK("https://rth.dk/resources/bsgatlas/details.php?id=BSGatlas-5'UTR-221","BSGatlas-5'UTR-221")</f>
        <v>BSGatlas-5'UTR-221</v>
      </c>
      <c r="B222" s="3">
        <v>368964</v>
      </c>
      <c r="C222" s="3">
        <v>369020</v>
      </c>
      <c r="D222" s="1" t="s">
        <v>9</v>
      </c>
      <c r="E222" s="1">
        <v>57</v>
      </c>
      <c r="F222" s="1" t="s">
        <v>11932</v>
      </c>
      <c r="G222" s="1" t="s">
        <v>4925</v>
      </c>
    </row>
    <row r="223" spans="1:7" ht="21" x14ac:dyDescent="0.25">
      <c r="A223" s="2" t="str">
        <f>HYPERLINK("https://rth.dk/resources/bsgatlas/details.php?id=BSGatlas-5'UTR-222","BSGatlas-5'UTR-222")</f>
        <v>BSGatlas-5'UTR-222</v>
      </c>
      <c r="B223" s="3">
        <v>369188</v>
      </c>
      <c r="C223" s="3">
        <v>369236</v>
      </c>
      <c r="D223" s="1" t="s">
        <v>9</v>
      </c>
      <c r="E223" s="1">
        <v>49</v>
      </c>
      <c r="F223" s="1" t="s">
        <v>11933</v>
      </c>
      <c r="G223" s="1" t="s">
        <v>4926</v>
      </c>
    </row>
    <row r="224" spans="1:7" ht="21" x14ac:dyDescent="0.25">
      <c r="A224" s="2" t="str">
        <f>HYPERLINK("https://rth.dk/resources/bsgatlas/details.php?id=BSGatlas-5'UTR-223","BSGatlas-5'UTR-223")</f>
        <v>BSGatlas-5'UTR-223</v>
      </c>
      <c r="B224" s="3">
        <v>369746</v>
      </c>
      <c r="C224" s="3">
        <v>369773</v>
      </c>
      <c r="D224" s="1" t="s">
        <v>9</v>
      </c>
      <c r="E224" s="1">
        <v>28</v>
      </c>
      <c r="F224" s="1" t="s">
        <v>11934</v>
      </c>
      <c r="G224" s="1" t="s">
        <v>4928</v>
      </c>
    </row>
    <row r="225" spans="1:7" ht="21" x14ac:dyDescent="0.25">
      <c r="A225" s="2" t="str">
        <f>HYPERLINK("https://rth.dk/resources/bsgatlas/details.php?id=BSGatlas-5'UTR-224","BSGatlas-5'UTR-224")</f>
        <v>BSGatlas-5'UTR-224</v>
      </c>
      <c r="B225" s="3">
        <v>370218</v>
      </c>
      <c r="C225" s="3">
        <v>370259</v>
      </c>
      <c r="D225" s="1" t="s">
        <v>9</v>
      </c>
      <c r="E225" s="1">
        <v>42</v>
      </c>
      <c r="F225" s="1" t="s">
        <v>11935</v>
      </c>
      <c r="G225" s="1" t="s">
        <v>4930</v>
      </c>
    </row>
    <row r="226" spans="1:7" ht="21" x14ac:dyDescent="0.25">
      <c r="A226" s="2" t="str">
        <f>HYPERLINK("https://rth.dk/resources/bsgatlas/details.php?id=BSGatlas-5'UTR-225","BSGatlas-5'UTR-225")</f>
        <v>BSGatlas-5'UTR-225</v>
      </c>
      <c r="B226" s="3">
        <v>372127</v>
      </c>
      <c r="C226" s="3">
        <v>372164</v>
      </c>
      <c r="D226" s="1" t="s">
        <v>13</v>
      </c>
      <c r="E226" s="1">
        <v>38</v>
      </c>
      <c r="F226" s="1" t="s">
        <v>11936</v>
      </c>
      <c r="G226" s="1" t="s">
        <v>4932</v>
      </c>
    </row>
    <row r="227" spans="1:7" ht="21" x14ac:dyDescent="0.25">
      <c r="A227" s="2" t="str">
        <f>HYPERLINK("https://rth.dk/resources/bsgatlas/details.php?id=BSGatlas-5'UTR-226","BSGatlas-5'UTR-226")</f>
        <v>BSGatlas-5'UTR-226</v>
      </c>
      <c r="B227" s="3">
        <v>372603</v>
      </c>
      <c r="C227" s="3">
        <v>372626</v>
      </c>
      <c r="D227" s="1" t="s">
        <v>13</v>
      </c>
      <c r="E227" s="1">
        <v>24</v>
      </c>
      <c r="F227" s="1" t="s">
        <v>11937</v>
      </c>
      <c r="G227" s="1" t="s">
        <v>4935</v>
      </c>
    </row>
    <row r="228" spans="1:7" ht="21" x14ac:dyDescent="0.25">
      <c r="A228" s="2" t="str">
        <f>HYPERLINK("https://rth.dk/resources/bsgatlas/details.php?id=BSGatlas-5'UTR-227","BSGatlas-5'UTR-227")</f>
        <v>BSGatlas-5'UTR-227</v>
      </c>
      <c r="B228" s="3">
        <v>372603</v>
      </c>
      <c r="C228" s="3">
        <v>372846</v>
      </c>
      <c r="D228" s="1" t="s">
        <v>13</v>
      </c>
      <c r="E228" s="1">
        <v>244</v>
      </c>
      <c r="F228" s="1" t="s">
        <v>11937</v>
      </c>
      <c r="G228" s="1" t="s">
        <v>4936</v>
      </c>
    </row>
    <row r="229" spans="1:7" ht="21" x14ac:dyDescent="0.25">
      <c r="A229" s="2" t="str">
        <f>HYPERLINK("https://rth.dk/resources/bsgatlas/details.php?id=BSGatlas-5'UTR-228","BSGatlas-5'UTR-228")</f>
        <v>BSGatlas-5'UTR-228</v>
      </c>
      <c r="B229" s="3">
        <v>374492</v>
      </c>
      <c r="C229" s="3">
        <v>374531</v>
      </c>
      <c r="D229" s="1" t="s">
        <v>13</v>
      </c>
      <c r="E229" s="1">
        <v>40</v>
      </c>
      <c r="F229" s="1" t="s">
        <v>11938</v>
      </c>
      <c r="G229" s="1" t="s">
        <v>4938</v>
      </c>
    </row>
    <row r="230" spans="1:7" ht="21" x14ac:dyDescent="0.25">
      <c r="A230" s="2" t="str">
        <f>HYPERLINK("https://rth.dk/resources/bsgatlas/details.php?id=BSGatlas-5'UTR-229","BSGatlas-5'UTR-229")</f>
        <v>BSGatlas-5'UTR-229</v>
      </c>
      <c r="B230" s="3">
        <v>375798</v>
      </c>
      <c r="C230" s="3">
        <v>375839</v>
      </c>
      <c r="D230" s="1" t="s">
        <v>13</v>
      </c>
      <c r="E230" s="1">
        <v>42</v>
      </c>
      <c r="F230" s="1" t="s">
        <v>11939</v>
      </c>
      <c r="G230" s="1" t="s">
        <v>4940</v>
      </c>
    </row>
    <row r="231" spans="1:7" ht="21" x14ac:dyDescent="0.25">
      <c r="A231" s="2" t="str">
        <f>HYPERLINK("https://rth.dk/resources/bsgatlas/details.php?id=BSGatlas-5'UTR-230","BSGatlas-5'UTR-230")</f>
        <v>BSGatlas-5'UTR-230</v>
      </c>
      <c r="B231" s="3">
        <v>375946</v>
      </c>
      <c r="C231" s="3">
        <v>376032</v>
      </c>
      <c r="D231" s="1" t="s">
        <v>9</v>
      </c>
      <c r="E231" s="1">
        <v>87</v>
      </c>
      <c r="F231" s="1" t="s">
        <v>11940</v>
      </c>
      <c r="G231" s="1" t="s">
        <v>4942</v>
      </c>
    </row>
    <row r="232" spans="1:7" ht="21" x14ac:dyDescent="0.25">
      <c r="A232" s="2" t="str">
        <f>HYPERLINK("https://rth.dk/resources/bsgatlas/details.php?id=BSGatlas-5'UTR-231","BSGatlas-5'UTR-231")</f>
        <v>BSGatlas-5'UTR-231</v>
      </c>
      <c r="B232" s="3">
        <v>403164</v>
      </c>
      <c r="C232" s="3">
        <v>403217</v>
      </c>
      <c r="D232" s="1" t="s">
        <v>9</v>
      </c>
      <c r="E232" s="1">
        <v>54</v>
      </c>
      <c r="F232" s="1" t="s">
        <v>11941</v>
      </c>
      <c r="G232" s="1" t="s">
        <v>4947</v>
      </c>
    </row>
    <row r="233" spans="1:7" ht="21" x14ac:dyDescent="0.25">
      <c r="A233" s="2" t="str">
        <f>HYPERLINK("https://rth.dk/resources/bsgatlas/details.php?id=BSGatlas-5'UTR-232","BSGatlas-5'UTR-232")</f>
        <v>BSGatlas-5'UTR-232</v>
      </c>
      <c r="B233" s="3">
        <v>405015</v>
      </c>
      <c r="C233" s="3">
        <v>405046</v>
      </c>
      <c r="D233" s="1" t="s">
        <v>13</v>
      </c>
      <c r="E233" s="1">
        <v>32</v>
      </c>
      <c r="F233" s="1" t="s">
        <v>11942</v>
      </c>
      <c r="G233" s="1" t="s">
        <v>4951</v>
      </c>
    </row>
    <row r="234" spans="1:7" ht="21" x14ac:dyDescent="0.25">
      <c r="A234" s="2" t="str">
        <f>HYPERLINK("https://rth.dk/resources/bsgatlas/details.php?id=BSGatlas-5'UTR-233","BSGatlas-5'UTR-233")</f>
        <v>BSGatlas-5'UTR-233</v>
      </c>
      <c r="B234" s="3">
        <v>406007</v>
      </c>
      <c r="C234" s="3">
        <v>406053</v>
      </c>
      <c r="D234" s="1" t="s">
        <v>13</v>
      </c>
      <c r="E234" s="1">
        <v>47</v>
      </c>
      <c r="F234" s="1" t="s">
        <v>11943</v>
      </c>
      <c r="G234" s="1" t="s">
        <v>4953</v>
      </c>
    </row>
    <row r="235" spans="1:7" ht="21" x14ac:dyDescent="0.25">
      <c r="A235" s="2" t="str">
        <f>HYPERLINK("https://rth.dk/resources/bsgatlas/details.php?id=BSGatlas-5'UTR-234","BSGatlas-5'UTR-234")</f>
        <v>BSGatlas-5'UTR-234</v>
      </c>
      <c r="B235" s="3">
        <v>408135</v>
      </c>
      <c r="C235" s="3">
        <v>408174</v>
      </c>
      <c r="D235" s="1" t="s">
        <v>13</v>
      </c>
      <c r="E235" s="1">
        <v>40</v>
      </c>
      <c r="F235" s="1" t="s">
        <v>11944</v>
      </c>
      <c r="G235" s="1" t="s">
        <v>4954</v>
      </c>
    </row>
    <row r="236" spans="1:7" ht="21" x14ac:dyDescent="0.25">
      <c r="A236" s="2" t="str">
        <f>HYPERLINK("https://rth.dk/resources/bsgatlas/details.php?id=BSGatlas-5'UTR-235","BSGatlas-5'UTR-235")</f>
        <v>BSGatlas-5'UTR-235</v>
      </c>
      <c r="B236" s="3">
        <v>408887</v>
      </c>
      <c r="C236" s="3">
        <v>408919</v>
      </c>
      <c r="D236" s="1" t="s">
        <v>13</v>
      </c>
      <c r="E236" s="1">
        <v>33</v>
      </c>
      <c r="F236" s="1" t="s">
        <v>11945</v>
      </c>
      <c r="G236" s="1" t="s">
        <v>4955</v>
      </c>
    </row>
    <row r="237" spans="1:7" ht="21" x14ac:dyDescent="0.25">
      <c r="A237" s="2" t="str">
        <f>HYPERLINK("https://rth.dk/resources/bsgatlas/details.php?id=BSGatlas-5'UTR-236","BSGatlas-5'UTR-236")</f>
        <v>BSGatlas-5'UTR-236</v>
      </c>
      <c r="B237" s="3">
        <v>411462</v>
      </c>
      <c r="C237" s="3">
        <v>411523</v>
      </c>
      <c r="D237" s="1" t="s">
        <v>13</v>
      </c>
      <c r="E237" s="1">
        <v>62</v>
      </c>
      <c r="F237" s="1" t="s">
        <v>11946</v>
      </c>
      <c r="G237" s="1" t="s">
        <v>4958</v>
      </c>
    </row>
    <row r="238" spans="1:7" ht="21" x14ac:dyDescent="0.25">
      <c r="A238" s="2" t="str">
        <f>HYPERLINK("https://rth.dk/resources/bsgatlas/details.php?id=BSGatlas-5'UTR-237","BSGatlas-5'UTR-237")</f>
        <v>BSGatlas-5'UTR-237</v>
      </c>
      <c r="B238" s="3">
        <v>412450</v>
      </c>
      <c r="C238" s="3">
        <v>412525</v>
      </c>
      <c r="D238" s="1" t="s">
        <v>13</v>
      </c>
      <c r="E238" s="1">
        <v>76</v>
      </c>
      <c r="F238" s="1" t="s">
        <v>11947</v>
      </c>
      <c r="G238" s="1" t="s">
        <v>4963</v>
      </c>
    </row>
    <row r="239" spans="1:7" ht="21" x14ac:dyDescent="0.25">
      <c r="A239" s="2" t="str">
        <f>HYPERLINK("https://rth.dk/resources/bsgatlas/details.php?id=BSGatlas-5'UTR-238","BSGatlas-5'UTR-238")</f>
        <v>BSGatlas-5'UTR-238</v>
      </c>
      <c r="B239" s="3">
        <v>415291</v>
      </c>
      <c r="C239" s="3">
        <v>415350</v>
      </c>
      <c r="D239" s="1" t="s">
        <v>9</v>
      </c>
      <c r="E239" s="1">
        <v>60</v>
      </c>
      <c r="F239" s="1" t="s">
        <v>11948</v>
      </c>
      <c r="G239" s="1" t="s">
        <v>4967</v>
      </c>
    </row>
    <row r="240" spans="1:7" ht="21" x14ac:dyDescent="0.25">
      <c r="A240" s="2" t="str">
        <f>HYPERLINK("https://rth.dk/resources/bsgatlas/details.php?id=BSGatlas-5'UTR-239","BSGatlas-5'UTR-239")</f>
        <v>BSGatlas-5'UTR-239</v>
      </c>
      <c r="B240" s="3">
        <v>417713</v>
      </c>
      <c r="C240" s="3">
        <v>417761</v>
      </c>
      <c r="D240" s="1" t="s">
        <v>13</v>
      </c>
      <c r="E240" s="1">
        <v>49</v>
      </c>
      <c r="F240" s="1" t="s">
        <v>11949</v>
      </c>
      <c r="G240" s="1" t="s">
        <v>4969</v>
      </c>
    </row>
    <row r="241" spans="1:7" ht="21" x14ac:dyDescent="0.25">
      <c r="A241" s="2" t="str">
        <f>HYPERLINK("https://rth.dk/resources/bsgatlas/details.php?id=BSGatlas-5'UTR-240","BSGatlas-5'UTR-240")</f>
        <v>BSGatlas-5'UTR-240</v>
      </c>
      <c r="B241" s="3">
        <v>417713</v>
      </c>
      <c r="C241" s="3">
        <v>418277</v>
      </c>
      <c r="D241" s="1" t="s">
        <v>13</v>
      </c>
      <c r="E241" s="1">
        <v>565</v>
      </c>
      <c r="F241" s="1" t="s">
        <v>11949</v>
      </c>
      <c r="G241" s="1" t="s">
        <v>4971</v>
      </c>
    </row>
    <row r="242" spans="1:7" ht="21" x14ac:dyDescent="0.25">
      <c r="A242" s="2" t="str">
        <f>HYPERLINK("https://rth.dk/resources/bsgatlas/details.php?id=BSGatlas-5'UTR-241","BSGatlas-5'UTR-241")</f>
        <v>BSGatlas-5'UTR-241</v>
      </c>
      <c r="B242" s="3">
        <v>417751</v>
      </c>
      <c r="C242" s="3">
        <v>417993</v>
      </c>
      <c r="D242" s="1" t="s">
        <v>9</v>
      </c>
      <c r="E242" s="1">
        <v>243</v>
      </c>
      <c r="F242" s="1" t="s">
        <v>11950</v>
      </c>
      <c r="G242" s="1" t="s">
        <v>4972</v>
      </c>
    </row>
    <row r="243" spans="1:7" ht="21" x14ac:dyDescent="0.25">
      <c r="A243" s="2" t="str">
        <f>HYPERLINK("https://rth.dk/resources/bsgatlas/details.php?id=BSGatlas-5'UTR-242","BSGatlas-5'UTR-242")</f>
        <v>BSGatlas-5'UTR-242</v>
      </c>
      <c r="B243" s="3">
        <v>417954</v>
      </c>
      <c r="C243" s="3">
        <v>417993</v>
      </c>
      <c r="D243" s="1" t="s">
        <v>9</v>
      </c>
      <c r="E243" s="1">
        <v>40</v>
      </c>
      <c r="F243" s="1" t="s">
        <v>11950</v>
      </c>
      <c r="G243" s="1" t="s">
        <v>4974</v>
      </c>
    </row>
    <row r="244" spans="1:7" ht="21" x14ac:dyDescent="0.25">
      <c r="A244" s="2" t="str">
        <f>HYPERLINK("https://rth.dk/resources/bsgatlas/details.php?id=BSGatlas-5'UTR-243","BSGatlas-5'UTR-243")</f>
        <v>BSGatlas-5'UTR-243</v>
      </c>
      <c r="B244" s="3">
        <v>419984</v>
      </c>
      <c r="C244" s="3">
        <v>420005</v>
      </c>
      <c r="D244" s="1" t="s">
        <v>13</v>
      </c>
      <c r="E244" s="1">
        <v>22</v>
      </c>
      <c r="F244" s="1" t="s">
        <v>11951</v>
      </c>
      <c r="G244" s="1" t="s">
        <v>4975</v>
      </c>
    </row>
    <row r="245" spans="1:7" ht="21" x14ac:dyDescent="0.25">
      <c r="A245" s="2" t="str">
        <f>HYPERLINK("https://rth.dk/resources/bsgatlas/details.php?id=BSGatlas-5'UTR-244","BSGatlas-5'UTR-244")</f>
        <v>BSGatlas-5'UTR-244</v>
      </c>
      <c r="B245" s="3">
        <v>420089</v>
      </c>
      <c r="C245" s="3">
        <v>420110</v>
      </c>
      <c r="D245" s="1" t="s">
        <v>9</v>
      </c>
      <c r="E245" s="1">
        <v>22</v>
      </c>
      <c r="F245" s="1" t="s">
        <v>11952</v>
      </c>
      <c r="G245" s="1" t="s">
        <v>4977</v>
      </c>
    </row>
    <row r="246" spans="1:7" ht="21" x14ac:dyDescent="0.25">
      <c r="A246" s="2" t="str">
        <f>HYPERLINK("https://rth.dk/resources/bsgatlas/details.php?id=BSGatlas-5'UTR-245","BSGatlas-5'UTR-245")</f>
        <v>BSGatlas-5'UTR-245</v>
      </c>
      <c r="B246" s="3">
        <v>426537</v>
      </c>
      <c r="C246" s="3">
        <v>426577</v>
      </c>
      <c r="D246" s="1" t="s">
        <v>9</v>
      </c>
      <c r="E246" s="1">
        <v>41</v>
      </c>
      <c r="F246" s="1" t="s">
        <v>11953</v>
      </c>
      <c r="G246" s="1" t="s">
        <v>4981</v>
      </c>
    </row>
    <row r="247" spans="1:7" ht="21" x14ac:dyDescent="0.25">
      <c r="A247" s="2" t="str">
        <f>HYPERLINK("https://rth.dk/resources/bsgatlas/details.php?id=BSGatlas-5'UTR-246","BSGatlas-5'UTR-246")</f>
        <v>BSGatlas-5'UTR-246</v>
      </c>
      <c r="B247" s="3">
        <v>428799</v>
      </c>
      <c r="C247" s="3">
        <v>428831</v>
      </c>
      <c r="D247" s="1" t="s">
        <v>9</v>
      </c>
      <c r="E247" s="1">
        <v>33</v>
      </c>
      <c r="F247" s="1" t="s">
        <v>11954</v>
      </c>
      <c r="G247" s="1" t="s">
        <v>4984</v>
      </c>
    </row>
    <row r="248" spans="1:7" ht="21" x14ac:dyDescent="0.25">
      <c r="A248" s="2" t="str">
        <f>HYPERLINK("https://rth.dk/resources/bsgatlas/details.php?id=BSGatlas-5'UTR-247","BSGatlas-5'UTR-247")</f>
        <v>BSGatlas-5'UTR-247</v>
      </c>
      <c r="B248" s="3">
        <v>429697</v>
      </c>
      <c r="C248" s="3">
        <v>429963</v>
      </c>
      <c r="D248" s="1" t="s">
        <v>9</v>
      </c>
      <c r="E248" s="1">
        <v>267</v>
      </c>
      <c r="F248" s="1" t="s">
        <v>11955</v>
      </c>
      <c r="G248" s="1" t="s">
        <v>4989</v>
      </c>
    </row>
    <row r="249" spans="1:7" ht="21" x14ac:dyDescent="0.25">
      <c r="A249" s="2" t="str">
        <f>HYPERLINK("https://rth.dk/resources/bsgatlas/details.php?id=BSGatlas-5'UTR-248","BSGatlas-5'UTR-248")</f>
        <v>BSGatlas-5'UTR-248</v>
      </c>
      <c r="B249" s="3">
        <v>429880</v>
      </c>
      <c r="C249" s="3">
        <v>429963</v>
      </c>
      <c r="D249" s="1" t="s">
        <v>9</v>
      </c>
      <c r="E249" s="1">
        <v>84</v>
      </c>
      <c r="F249" s="1" t="s">
        <v>11955</v>
      </c>
      <c r="G249" s="1" t="s">
        <v>4990</v>
      </c>
    </row>
    <row r="250" spans="1:7" ht="21" x14ac:dyDescent="0.25">
      <c r="A250" s="2" t="str">
        <f>HYPERLINK("https://rth.dk/resources/bsgatlas/details.php?id=BSGatlas-5'UTR-249","BSGatlas-5'UTR-249")</f>
        <v>BSGatlas-5'UTR-249</v>
      </c>
      <c r="B250" s="3">
        <v>430469</v>
      </c>
      <c r="C250" s="3">
        <v>430501</v>
      </c>
      <c r="D250" s="1" t="s">
        <v>13</v>
      </c>
      <c r="E250" s="1">
        <v>33</v>
      </c>
      <c r="F250" s="1" t="s">
        <v>11956</v>
      </c>
      <c r="G250" s="1" t="s">
        <v>4987</v>
      </c>
    </row>
    <row r="251" spans="1:7" ht="21" x14ac:dyDescent="0.25">
      <c r="A251" s="2" t="str">
        <f>HYPERLINK("https://rth.dk/resources/bsgatlas/details.php?id=BSGatlas-5'UTR-250","BSGatlas-5'UTR-250")</f>
        <v>BSGatlas-5'UTR-250</v>
      </c>
      <c r="B251" s="3">
        <v>431987</v>
      </c>
      <c r="C251" s="3">
        <v>432039</v>
      </c>
      <c r="D251" s="1" t="s">
        <v>13</v>
      </c>
      <c r="E251" s="1">
        <v>53</v>
      </c>
      <c r="F251" s="1" t="s">
        <v>11957</v>
      </c>
      <c r="G251" s="1" t="s">
        <v>4993</v>
      </c>
    </row>
    <row r="252" spans="1:7" ht="21" x14ac:dyDescent="0.25">
      <c r="A252" s="2" t="str">
        <f>HYPERLINK("https://rth.dk/resources/bsgatlas/details.php?id=BSGatlas-5'UTR-251","BSGatlas-5'UTR-251")</f>
        <v>BSGatlas-5'UTR-251</v>
      </c>
      <c r="B252" s="3">
        <v>432210</v>
      </c>
      <c r="C252" s="3">
        <v>432372</v>
      </c>
      <c r="D252" s="1" t="s">
        <v>9</v>
      </c>
      <c r="E252" s="1">
        <v>163</v>
      </c>
      <c r="F252" s="1" t="s">
        <v>11958</v>
      </c>
      <c r="G252" s="1" t="s">
        <v>4996</v>
      </c>
    </row>
    <row r="253" spans="1:7" ht="21" x14ac:dyDescent="0.25">
      <c r="A253" s="2" t="str">
        <f>HYPERLINK("https://rth.dk/resources/bsgatlas/details.php?id=BSGatlas-5'UTR-252","BSGatlas-5'UTR-252")</f>
        <v>BSGatlas-5'UTR-252</v>
      </c>
      <c r="B253" s="3">
        <v>432271</v>
      </c>
      <c r="C253" s="3">
        <v>432372</v>
      </c>
      <c r="D253" s="1" t="s">
        <v>9</v>
      </c>
      <c r="E253" s="1">
        <v>102</v>
      </c>
      <c r="F253" s="1" t="s">
        <v>11958</v>
      </c>
      <c r="G253" s="1" t="s">
        <v>4998</v>
      </c>
    </row>
    <row r="254" spans="1:7" ht="21" x14ac:dyDescent="0.25">
      <c r="A254" s="2" t="str">
        <f>HYPERLINK("https://rth.dk/resources/bsgatlas/details.php?id=BSGatlas-5'UTR-253","BSGatlas-5'UTR-253")</f>
        <v>BSGatlas-5'UTR-253</v>
      </c>
      <c r="B254" s="3">
        <v>438352</v>
      </c>
      <c r="C254" s="3">
        <v>438427</v>
      </c>
      <c r="D254" s="1" t="s">
        <v>13</v>
      </c>
      <c r="E254" s="1">
        <v>76</v>
      </c>
      <c r="F254" s="1" t="s">
        <v>11959</v>
      </c>
      <c r="G254" s="1" t="s">
        <v>5000</v>
      </c>
    </row>
    <row r="255" spans="1:7" ht="21" x14ac:dyDescent="0.25">
      <c r="A255" s="2" t="str">
        <f>HYPERLINK("https://rth.dk/resources/bsgatlas/details.php?id=BSGatlas-5'UTR-254","BSGatlas-5'UTR-254")</f>
        <v>BSGatlas-5'UTR-254</v>
      </c>
      <c r="B255" s="3">
        <v>439569</v>
      </c>
      <c r="C255" s="3">
        <v>439629</v>
      </c>
      <c r="D255" s="1" t="s">
        <v>13</v>
      </c>
      <c r="E255" s="1">
        <v>61</v>
      </c>
      <c r="F255" s="1" t="s">
        <v>11960</v>
      </c>
      <c r="G255" s="1" t="s">
        <v>5004</v>
      </c>
    </row>
    <row r="256" spans="1:7" ht="21" x14ac:dyDescent="0.25">
      <c r="A256" s="2" t="str">
        <f>HYPERLINK("https://rth.dk/resources/bsgatlas/details.php?id=BSGatlas-5'UTR-255","BSGatlas-5'UTR-255")</f>
        <v>BSGatlas-5'UTR-255</v>
      </c>
      <c r="B256" s="3">
        <v>439569</v>
      </c>
      <c r="C256" s="3">
        <v>440355</v>
      </c>
      <c r="D256" s="1" t="s">
        <v>13</v>
      </c>
      <c r="E256" s="1">
        <v>787</v>
      </c>
      <c r="F256" s="1" t="s">
        <v>11960</v>
      </c>
      <c r="G256" s="1" t="s">
        <v>5006</v>
      </c>
    </row>
    <row r="257" spans="1:7" ht="21" x14ac:dyDescent="0.25">
      <c r="A257" s="2" t="str">
        <f>HYPERLINK("https://rth.dk/resources/bsgatlas/details.php?id=BSGatlas-5'UTR-256","BSGatlas-5'UTR-256")</f>
        <v>BSGatlas-5'UTR-256</v>
      </c>
      <c r="B257" s="3">
        <v>439575</v>
      </c>
      <c r="C257" s="3">
        <v>439709</v>
      </c>
      <c r="D257" s="1" t="s">
        <v>9</v>
      </c>
      <c r="E257" s="1">
        <v>135</v>
      </c>
      <c r="F257" s="1" t="s">
        <v>11961</v>
      </c>
      <c r="G257" s="1" t="s">
        <v>5007</v>
      </c>
    </row>
    <row r="258" spans="1:7" ht="21" x14ac:dyDescent="0.25">
      <c r="A258" s="2" t="str">
        <f>HYPERLINK("https://rth.dk/resources/bsgatlas/details.php?id=BSGatlas-5'UTR-257","BSGatlas-5'UTR-257")</f>
        <v>BSGatlas-5'UTR-257</v>
      </c>
      <c r="B258" s="3">
        <v>439686</v>
      </c>
      <c r="C258" s="3">
        <v>439709</v>
      </c>
      <c r="D258" s="1" t="s">
        <v>9</v>
      </c>
      <c r="E258" s="1">
        <v>24</v>
      </c>
      <c r="F258" s="1" t="s">
        <v>11961</v>
      </c>
      <c r="G258" s="1" t="s">
        <v>5009</v>
      </c>
    </row>
    <row r="259" spans="1:7" ht="21" x14ac:dyDescent="0.25">
      <c r="A259" s="2" t="str">
        <f>HYPERLINK("https://rth.dk/resources/bsgatlas/details.php?id=BSGatlas-5'UTR-258","BSGatlas-5'UTR-258")</f>
        <v>BSGatlas-5'UTR-258</v>
      </c>
      <c r="B259" s="3">
        <v>441464</v>
      </c>
      <c r="C259" s="3">
        <v>441510</v>
      </c>
      <c r="D259" s="1" t="s">
        <v>13</v>
      </c>
      <c r="E259" s="1">
        <v>47</v>
      </c>
      <c r="F259" s="1" t="s">
        <v>11962</v>
      </c>
      <c r="G259" s="1" t="s">
        <v>5010</v>
      </c>
    </row>
    <row r="260" spans="1:7" ht="21" x14ac:dyDescent="0.25">
      <c r="A260" s="2" t="str">
        <f>HYPERLINK("https://rth.dk/resources/bsgatlas/details.php?id=BSGatlas-5'UTR-259","BSGatlas-5'UTR-259")</f>
        <v>BSGatlas-5'UTR-259</v>
      </c>
      <c r="B260" s="3">
        <v>441543</v>
      </c>
      <c r="C260" s="3">
        <v>441571</v>
      </c>
      <c r="D260" s="1" t="s">
        <v>9</v>
      </c>
      <c r="E260" s="1">
        <v>29</v>
      </c>
      <c r="F260" s="1" t="s">
        <v>11963</v>
      </c>
      <c r="G260" s="1" t="s">
        <v>5013</v>
      </c>
    </row>
    <row r="261" spans="1:7" ht="21" x14ac:dyDescent="0.25">
      <c r="A261" s="2" t="str">
        <f>HYPERLINK("https://rth.dk/resources/bsgatlas/details.php?id=BSGatlas-5'UTR-260","BSGatlas-5'UTR-260")</f>
        <v>BSGatlas-5'UTR-260</v>
      </c>
      <c r="B261" s="3">
        <v>442793</v>
      </c>
      <c r="C261" s="3">
        <v>442950</v>
      </c>
      <c r="D261" s="1" t="s">
        <v>9</v>
      </c>
      <c r="E261" s="1">
        <v>158</v>
      </c>
      <c r="F261" s="1" t="s">
        <v>11964</v>
      </c>
      <c r="G261" s="1" t="s">
        <v>5015</v>
      </c>
    </row>
    <row r="262" spans="1:7" ht="21" x14ac:dyDescent="0.25">
      <c r="A262" s="2" t="str">
        <f>HYPERLINK("https://rth.dk/resources/bsgatlas/details.php?id=BSGatlas-5'UTR-261","BSGatlas-5'UTR-261")</f>
        <v>BSGatlas-5'UTR-261</v>
      </c>
      <c r="B262" s="3">
        <v>442914</v>
      </c>
      <c r="C262" s="3">
        <v>442950</v>
      </c>
      <c r="D262" s="1" t="s">
        <v>9</v>
      </c>
      <c r="E262" s="1">
        <v>37</v>
      </c>
      <c r="F262" s="1" t="s">
        <v>11964</v>
      </c>
      <c r="G262" s="1" t="s">
        <v>5016</v>
      </c>
    </row>
    <row r="263" spans="1:7" ht="21" x14ac:dyDescent="0.25">
      <c r="A263" s="2" t="str">
        <f>HYPERLINK("https://rth.dk/resources/bsgatlas/details.php?id=BSGatlas-5'UTR-262","BSGatlas-5'UTR-262")</f>
        <v>BSGatlas-5'UTR-262</v>
      </c>
      <c r="B263" s="3">
        <v>444430</v>
      </c>
      <c r="C263" s="3">
        <v>444461</v>
      </c>
      <c r="D263" s="1" t="s">
        <v>9</v>
      </c>
      <c r="E263" s="1">
        <v>32</v>
      </c>
      <c r="F263" s="1" t="s">
        <v>11965</v>
      </c>
      <c r="G263" s="1" t="s">
        <v>5017</v>
      </c>
    </row>
    <row r="264" spans="1:7" ht="21" x14ac:dyDescent="0.25">
      <c r="A264" s="2" t="str">
        <f>HYPERLINK("https://rth.dk/resources/bsgatlas/details.php?id=BSGatlas-5'UTR-263","BSGatlas-5'UTR-263")</f>
        <v>BSGatlas-5'UTR-263</v>
      </c>
      <c r="B264" s="3">
        <v>449033</v>
      </c>
      <c r="C264" s="3">
        <v>449070</v>
      </c>
      <c r="D264" s="1" t="s">
        <v>13</v>
      </c>
      <c r="E264" s="1">
        <v>38</v>
      </c>
      <c r="F264" s="1" t="s">
        <v>11966</v>
      </c>
      <c r="G264" s="1" t="s">
        <v>5023</v>
      </c>
    </row>
    <row r="265" spans="1:7" ht="21" x14ac:dyDescent="0.25">
      <c r="A265" s="2" t="str">
        <f>HYPERLINK("https://rth.dk/resources/bsgatlas/details.php?id=BSGatlas-5'UTR-264","BSGatlas-5'UTR-264")</f>
        <v>BSGatlas-5'UTR-264</v>
      </c>
      <c r="B265" s="3">
        <v>449167</v>
      </c>
      <c r="C265" s="3">
        <v>449198</v>
      </c>
      <c r="D265" s="1" t="s">
        <v>9</v>
      </c>
      <c r="E265" s="1">
        <v>32</v>
      </c>
      <c r="F265" s="1" t="s">
        <v>11967</v>
      </c>
      <c r="G265" s="1" t="s">
        <v>5025</v>
      </c>
    </row>
    <row r="266" spans="1:7" ht="21" x14ac:dyDescent="0.25">
      <c r="A266" s="2" t="str">
        <f>HYPERLINK("https://rth.dk/resources/bsgatlas/details.php?id=BSGatlas-5'UTR-265","BSGatlas-5'UTR-265")</f>
        <v>BSGatlas-5'UTR-265</v>
      </c>
      <c r="B266" s="3">
        <v>449641</v>
      </c>
      <c r="C266" s="3">
        <v>449724</v>
      </c>
      <c r="D266" s="1" t="s">
        <v>9</v>
      </c>
      <c r="E266" s="1">
        <v>84</v>
      </c>
      <c r="F266" s="1" t="s">
        <v>11968</v>
      </c>
      <c r="G266" s="1" t="s">
        <v>5028</v>
      </c>
    </row>
    <row r="267" spans="1:7" ht="21" x14ac:dyDescent="0.25">
      <c r="A267" s="2" t="str">
        <f>HYPERLINK("https://rth.dk/resources/bsgatlas/details.php?id=BSGatlas-5'UTR-266","BSGatlas-5'UTR-266")</f>
        <v>BSGatlas-5'UTR-266</v>
      </c>
      <c r="B267" s="3">
        <v>452789</v>
      </c>
      <c r="C267" s="3">
        <v>452830</v>
      </c>
      <c r="D267" s="1" t="s">
        <v>9</v>
      </c>
      <c r="E267" s="1">
        <v>42</v>
      </c>
      <c r="F267" s="1" t="s">
        <v>11969</v>
      </c>
      <c r="G267" s="1" t="s">
        <v>5030</v>
      </c>
    </row>
    <row r="268" spans="1:7" ht="21" x14ac:dyDescent="0.25">
      <c r="A268" s="2" t="str">
        <f>HYPERLINK("https://rth.dk/resources/bsgatlas/details.php?id=BSGatlas-5'UTR-267","BSGatlas-5'UTR-267")</f>
        <v>BSGatlas-5'UTR-267</v>
      </c>
      <c r="B268" s="3">
        <v>453994</v>
      </c>
      <c r="C268" s="3">
        <v>454029</v>
      </c>
      <c r="D268" s="1" t="s">
        <v>9</v>
      </c>
      <c r="E268" s="1">
        <v>36</v>
      </c>
      <c r="F268" s="1" t="s">
        <v>11970</v>
      </c>
      <c r="G268" s="1" t="s">
        <v>5033</v>
      </c>
    </row>
    <row r="269" spans="1:7" ht="21" x14ac:dyDescent="0.25">
      <c r="A269" s="2" t="str">
        <f>HYPERLINK("https://rth.dk/resources/bsgatlas/details.php?id=BSGatlas-5'UTR-268","BSGatlas-5'UTR-268")</f>
        <v>BSGatlas-5'UTR-268</v>
      </c>
      <c r="B269" s="3">
        <v>455260</v>
      </c>
      <c r="C269" s="3">
        <v>455301</v>
      </c>
      <c r="D269" s="1" t="s">
        <v>13</v>
      </c>
      <c r="E269" s="1">
        <v>42</v>
      </c>
      <c r="F269" s="1" t="s">
        <v>11971</v>
      </c>
      <c r="G269" s="1" t="s">
        <v>5035</v>
      </c>
    </row>
    <row r="270" spans="1:7" ht="21" x14ac:dyDescent="0.25">
      <c r="A270" s="2" t="str">
        <f>HYPERLINK("https://rth.dk/resources/bsgatlas/details.php?id=BSGatlas-5'UTR-269","BSGatlas-5'UTR-269")</f>
        <v>BSGatlas-5'UTR-269</v>
      </c>
      <c r="B270" s="3">
        <v>455319</v>
      </c>
      <c r="C270" s="3">
        <v>455346</v>
      </c>
      <c r="D270" s="1" t="s">
        <v>9</v>
      </c>
      <c r="E270" s="1">
        <v>28</v>
      </c>
      <c r="F270" s="1" t="s">
        <v>11972</v>
      </c>
      <c r="G270" s="1" t="s">
        <v>5036</v>
      </c>
    </row>
    <row r="271" spans="1:7" ht="21" x14ac:dyDescent="0.25">
      <c r="A271" s="2" t="str">
        <f>HYPERLINK("https://rth.dk/resources/bsgatlas/details.php?id=BSGatlas-5'UTR-270","BSGatlas-5'UTR-270")</f>
        <v>BSGatlas-5'UTR-270</v>
      </c>
      <c r="B271" s="3">
        <v>455935</v>
      </c>
      <c r="C271" s="3">
        <v>455967</v>
      </c>
      <c r="D271" s="1" t="s">
        <v>13</v>
      </c>
      <c r="E271" s="1">
        <v>33</v>
      </c>
      <c r="F271" s="1" t="s">
        <v>11973</v>
      </c>
      <c r="G271" s="1" t="s">
        <v>5039</v>
      </c>
    </row>
    <row r="272" spans="1:7" ht="21" x14ac:dyDescent="0.25">
      <c r="A272" s="2" t="str">
        <f>HYPERLINK("https://rth.dk/resources/bsgatlas/details.php?id=BSGatlas-5'UTR-271","BSGatlas-5'UTR-271")</f>
        <v>BSGatlas-5'UTR-271</v>
      </c>
      <c r="B272" s="3">
        <v>456021</v>
      </c>
      <c r="C272" s="3">
        <v>456068</v>
      </c>
      <c r="D272" s="1" t="s">
        <v>9</v>
      </c>
      <c r="E272" s="1">
        <v>48</v>
      </c>
      <c r="F272" s="1" t="s">
        <v>11974</v>
      </c>
      <c r="G272" s="1" t="s">
        <v>5041</v>
      </c>
    </row>
    <row r="273" spans="1:7" ht="21" x14ac:dyDescent="0.25">
      <c r="A273" s="2" t="str">
        <f>HYPERLINK("https://rth.dk/resources/bsgatlas/details.php?id=BSGatlas-5'UTR-272","BSGatlas-5'UTR-272")</f>
        <v>BSGatlas-5'UTR-272</v>
      </c>
      <c r="B273" s="3">
        <v>456926</v>
      </c>
      <c r="C273" s="3">
        <v>457023</v>
      </c>
      <c r="D273" s="1" t="s">
        <v>9</v>
      </c>
      <c r="E273" s="1">
        <v>98</v>
      </c>
      <c r="F273" s="1" t="s">
        <v>11975</v>
      </c>
      <c r="G273" s="1" t="s">
        <v>5045</v>
      </c>
    </row>
    <row r="274" spans="1:7" ht="21" x14ac:dyDescent="0.25">
      <c r="A274" s="2" t="str">
        <f>HYPERLINK("https://rth.dk/resources/bsgatlas/details.php?id=BSGatlas-5'UTR-273","BSGatlas-5'UTR-273")</f>
        <v>BSGatlas-5'UTR-273</v>
      </c>
      <c r="B274" s="3">
        <v>461239</v>
      </c>
      <c r="C274" s="3">
        <v>461615</v>
      </c>
      <c r="D274" s="1" t="s">
        <v>9</v>
      </c>
      <c r="E274" s="1">
        <v>377</v>
      </c>
      <c r="F274" s="1" t="s">
        <v>11976</v>
      </c>
      <c r="G274" s="1" t="s">
        <v>5050</v>
      </c>
    </row>
    <row r="275" spans="1:7" ht="21" x14ac:dyDescent="0.25">
      <c r="A275" s="2" t="str">
        <f>HYPERLINK("https://rth.dk/resources/bsgatlas/details.php?id=BSGatlas-5'UTR-274","BSGatlas-5'UTR-274")</f>
        <v>BSGatlas-5'UTR-274</v>
      </c>
      <c r="B275" s="3">
        <v>462398</v>
      </c>
      <c r="C275" s="3">
        <v>462431</v>
      </c>
      <c r="D275" s="1" t="s">
        <v>9</v>
      </c>
      <c r="E275" s="1">
        <v>34</v>
      </c>
      <c r="F275" s="1" t="s">
        <v>11977</v>
      </c>
      <c r="G275" s="1" t="s">
        <v>5051</v>
      </c>
    </row>
    <row r="276" spans="1:7" ht="21" x14ac:dyDescent="0.25">
      <c r="A276" s="2" t="str">
        <f>HYPERLINK("https://rth.dk/resources/bsgatlas/details.php?id=BSGatlas-5'UTR-275","BSGatlas-5'UTR-275")</f>
        <v>BSGatlas-5'UTR-275</v>
      </c>
      <c r="B276" s="3">
        <v>463169</v>
      </c>
      <c r="C276" s="3">
        <v>463245</v>
      </c>
      <c r="D276" s="1" t="s">
        <v>9</v>
      </c>
      <c r="E276" s="1">
        <v>77</v>
      </c>
      <c r="F276" s="1" t="s">
        <v>11978</v>
      </c>
      <c r="G276" s="1" t="s">
        <v>5054</v>
      </c>
    </row>
    <row r="277" spans="1:7" ht="21" x14ac:dyDescent="0.25">
      <c r="A277" s="2" t="str">
        <f>HYPERLINK("https://rth.dk/resources/bsgatlas/details.php?id=BSGatlas-5'UTR-276","BSGatlas-5'UTR-276")</f>
        <v>BSGatlas-5'UTR-276</v>
      </c>
      <c r="B277" s="3">
        <v>463783</v>
      </c>
      <c r="C277" s="3">
        <v>463820</v>
      </c>
      <c r="D277" s="1" t="s">
        <v>13</v>
      </c>
      <c r="E277" s="1">
        <v>38</v>
      </c>
      <c r="F277" s="1" t="s">
        <v>11979</v>
      </c>
      <c r="G277" s="1" t="s">
        <v>5052</v>
      </c>
    </row>
    <row r="278" spans="1:7" ht="21" x14ac:dyDescent="0.25">
      <c r="A278" s="2" t="str">
        <f>HYPERLINK("https://rth.dk/resources/bsgatlas/details.php?id=BSGatlas-5'UTR-277","BSGatlas-5'UTR-277")</f>
        <v>BSGatlas-5'UTR-277</v>
      </c>
      <c r="B278" s="3">
        <v>463903</v>
      </c>
      <c r="C278" s="3">
        <v>463934</v>
      </c>
      <c r="D278" s="1" t="s">
        <v>9</v>
      </c>
      <c r="E278" s="1">
        <v>32</v>
      </c>
      <c r="F278" s="1" t="s">
        <v>11980</v>
      </c>
      <c r="G278" s="1" t="s">
        <v>5057</v>
      </c>
    </row>
    <row r="279" spans="1:7" ht="21" x14ac:dyDescent="0.25">
      <c r="A279" s="2" t="str">
        <f>HYPERLINK("https://rth.dk/resources/bsgatlas/details.php?id=BSGatlas-5'UTR-278","BSGatlas-5'UTR-278")</f>
        <v>BSGatlas-5'UTR-278</v>
      </c>
      <c r="B279" s="3">
        <v>467042</v>
      </c>
      <c r="C279" s="3">
        <v>467130</v>
      </c>
      <c r="D279" s="1" t="s">
        <v>9</v>
      </c>
      <c r="E279" s="1">
        <v>89</v>
      </c>
      <c r="F279" s="1" t="s">
        <v>11981</v>
      </c>
      <c r="G279" s="1" t="s">
        <v>5059</v>
      </c>
    </row>
    <row r="280" spans="1:7" ht="21" x14ac:dyDescent="0.25">
      <c r="A280" s="2" t="str">
        <f>HYPERLINK("https://rth.dk/resources/bsgatlas/details.php?id=BSGatlas-5'UTR-279","BSGatlas-5'UTR-279")</f>
        <v>BSGatlas-5'UTR-279</v>
      </c>
      <c r="B280" s="3">
        <v>469275</v>
      </c>
      <c r="C280" s="3">
        <v>469426</v>
      </c>
      <c r="D280" s="1" t="s">
        <v>9</v>
      </c>
      <c r="E280" s="1">
        <v>152</v>
      </c>
      <c r="F280" s="1" t="s">
        <v>11982</v>
      </c>
      <c r="G280" s="1" t="s">
        <v>5061</v>
      </c>
    </row>
    <row r="281" spans="1:7" ht="21" x14ac:dyDescent="0.25">
      <c r="A281" s="2" t="str">
        <f>HYPERLINK("https://rth.dk/resources/bsgatlas/details.php?id=BSGatlas-5'UTR-280","BSGatlas-5'UTR-280")</f>
        <v>BSGatlas-5'UTR-280</v>
      </c>
      <c r="B281" s="3">
        <v>469369</v>
      </c>
      <c r="C281" s="3">
        <v>469426</v>
      </c>
      <c r="D281" s="1" t="s">
        <v>9</v>
      </c>
      <c r="E281" s="1">
        <v>58</v>
      </c>
      <c r="F281" s="1" t="s">
        <v>11982</v>
      </c>
      <c r="G281" s="1" t="s">
        <v>5063</v>
      </c>
    </row>
    <row r="282" spans="1:7" ht="21" x14ac:dyDescent="0.25">
      <c r="A282" s="2" t="str">
        <f>HYPERLINK("https://rth.dk/resources/bsgatlas/details.php?id=BSGatlas-5'UTR-281","BSGatlas-5'UTR-281")</f>
        <v>BSGatlas-5'UTR-281</v>
      </c>
      <c r="B282" s="3">
        <v>471502</v>
      </c>
      <c r="C282" s="3">
        <v>471583</v>
      </c>
      <c r="D282" s="1" t="s">
        <v>13</v>
      </c>
      <c r="E282" s="1">
        <v>82</v>
      </c>
      <c r="F282" s="1" t="s">
        <v>11983</v>
      </c>
      <c r="G282" s="1" t="s">
        <v>5064</v>
      </c>
    </row>
    <row r="283" spans="1:7" ht="21" x14ac:dyDescent="0.25">
      <c r="A283" s="2" t="str">
        <f>HYPERLINK("https://rth.dk/resources/bsgatlas/details.php?id=BSGatlas-5'UTR-282","BSGatlas-5'UTR-282")</f>
        <v>BSGatlas-5'UTR-282</v>
      </c>
      <c r="B283" s="3">
        <v>471679</v>
      </c>
      <c r="C283" s="3">
        <v>471709</v>
      </c>
      <c r="D283" s="1" t="s">
        <v>9</v>
      </c>
      <c r="E283" s="1">
        <v>31</v>
      </c>
      <c r="F283" s="1" t="s">
        <v>11984</v>
      </c>
      <c r="G283" s="1" t="s">
        <v>5067</v>
      </c>
    </row>
    <row r="284" spans="1:7" ht="21" x14ac:dyDescent="0.25">
      <c r="A284" s="2" t="str">
        <f>HYPERLINK("https://rth.dk/resources/bsgatlas/details.php?id=BSGatlas-5'UTR-283","BSGatlas-5'UTR-283")</f>
        <v>BSGatlas-5'UTR-283</v>
      </c>
      <c r="B284" s="3">
        <v>473140</v>
      </c>
      <c r="C284" s="3">
        <v>473174</v>
      </c>
      <c r="D284" s="1" t="s">
        <v>9</v>
      </c>
      <c r="E284" s="1">
        <v>35</v>
      </c>
      <c r="F284" s="1" t="s">
        <v>11985</v>
      </c>
      <c r="G284" s="1" t="s">
        <v>5071</v>
      </c>
    </row>
    <row r="285" spans="1:7" ht="21" x14ac:dyDescent="0.25">
      <c r="A285" s="2" t="str">
        <f>HYPERLINK("https://rth.dk/resources/bsgatlas/details.php?id=BSGatlas-5'UTR-284","BSGatlas-5'UTR-284")</f>
        <v>BSGatlas-5'UTR-284</v>
      </c>
      <c r="B285" s="3">
        <v>473775</v>
      </c>
      <c r="C285" s="3">
        <v>473803</v>
      </c>
      <c r="D285" s="1" t="s">
        <v>9</v>
      </c>
      <c r="E285" s="1">
        <v>29</v>
      </c>
      <c r="F285" s="1" t="s">
        <v>11986</v>
      </c>
      <c r="G285" s="1" t="s">
        <v>5072</v>
      </c>
    </row>
    <row r="286" spans="1:7" ht="21" x14ac:dyDescent="0.25">
      <c r="A286" s="2" t="str">
        <f>HYPERLINK("https://rth.dk/resources/bsgatlas/details.php?id=BSGatlas-5'UTR-285","BSGatlas-5'UTR-285")</f>
        <v>BSGatlas-5'UTR-285</v>
      </c>
      <c r="B286" s="3">
        <v>474698</v>
      </c>
      <c r="C286" s="3">
        <v>474731</v>
      </c>
      <c r="D286" s="1" t="s">
        <v>9</v>
      </c>
      <c r="E286" s="1">
        <v>34</v>
      </c>
      <c r="F286" s="1" t="s">
        <v>11987</v>
      </c>
      <c r="G286" s="1" t="s">
        <v>5077</v>
      </c>
    </row>
    <row r="287" spans="1:7" ht="21" x14ac:dyDescent="0.25">
      <c r="A287" s="2" t="str">
        <f>HYPERLINK("https://rth.dk/resources/bsgatlas/details.php?id=BSGatlas-5'UTR-286","BSGatlas-5'UTR-286")</f>
        <v>BSGatlas-5'UTR-286</v>
      </c>
      <c r="B287" s="3">
        <v>475874</v>
      </c>
      <c r="C287" s="3">
        <v>475918</v>
      </c>
      <c r="D287" s="1" t="s">
        <v>13</v>
      </c>
      <c r="E287" s="1">
        <v>45</v>
      </c>
      <c r="F287" s="1" t="s">
        <v>11988</v>
      </c>
      <c r="G287" s="1" t="s">
        <v>5079</v>
      </c>
    </row>
    <row r="288" spans="1:7" ht="21" x14ac:dyDescent="0.25">
      <c r="A288" s="2" t="str">
        <f>HYPERLINK("https://rth.dk/resources/bsgatlas/details.php?id=BSGatlas-5'UTR-287","BSGatlas-5'UTR-287")</f>
        <v>BSGatlas-5'UTR-287</v>
      </c>
      <c r="B288" s="3">
        <v>475908</v>
      </c>
      <c r="C288" s="3">
        <v>476059</v>
      </c>
      <c r="D288" s="1" t="s">
        <v>9</v>
      </c>
      <c r="E288" s="1">
        <v>152</v>
      </c>
      <c r="F288" s="1" t="s">
        <v>11989</v>
      </c>
      <c r="G288" s="1" t="s">
        <v>5081</v>
      </c>
    </row>
    <row r="289" spans="1:7" ht="21" x14ac:dyDescent="0.25">
      <c r="A289" s="2" t="str">
        <f>HYPERLINK("https://rth.dk/resources/bsgatlas/details.php?id=BSGatlas-5'UTR-288","BSGatlas-5'UTR-288")</f>
        <v>BSGatlas-5'UTR-288</v>
      </c>
      <c r="B289" s="3">
        <v>476033</v>
      </c>
      <c r="C289" s="3">
        <v>476059</v>
      </c>
      <c r="D289" s="1" t="s">
        <v>9</v>
      </c>
      <c r="E289" s="1">
        <v>27</v>
      </c>
      <c r="F289" s="1" t="s">
        <v>11989</v>
      </c>
      <c r="G289" s="1" t="s">
        <v>5084</v>
      </c>
    </row>
    <row r="290" spans="1:7" ht="21" x14ac:dyDescent="0.25">
      <c r="A290" s="2" t="str">
        <f>HYPERLINK("https://rth.dk/resources/bsgatlas/details.php?id=BSGatlas-5'UTR-289","BSGatlas-5'UTR-289")</f>
        <v>BSGatlas-5'UTR-289</v>
      </c>
      <c r="B290" s="3">
        <v>476502</v>
      </c>
      <c r="C290" s="3">
        <v>476558</v>
      </c>
      <c r="D290" s="1" t="s">
        <v>9</v>
      </c>
      <c r="E290" s="1">
        <v>57</v>
      </c>
      <c r="F290" s="1" t="s">
        <v>11990</v>
      </c>
      <c r="G290" s="1" t="s">
        <v>5085</v>
      </c>
    </row>
    <row r="291" spans="1:7" ht="21" x14ac:dyDescent="0.25">
      <c r="A291" s="2" t="str">
        <f>HYPERLINK("https://rth.dk/resources/bsgatlas/details.php?id=BSGatlas-5'UTR-290","BSGatlas-5'UTR-290")</f>
        <v>BSGatlas-5'UTR-290</v>
      </c>
      <c r="B291" s="3">
        <v>478812</v>
      </c>
      <c r="C291" s="3">
        <v>478944</v>
      </c>
      <c r="D291" s="1" t="s">
        <v>9</v>
      </c>
      <c r="E291" s="1">
        <v>133</v>
      </c>
      <c r="F291" s="1" t="s">
        <v>11991</v>
      </c>
      <c r="G291" s="1" t="s">
        <v>5087</v>
      </c>
    </row>
    <row r="292" spans="1:7" ht="21" x14ac:dyDescent="0.25">
      <c r="A292" s="2" t="str">
        <f>HYPERLINK("https://rth.dk/resources/bsgatlas/details.php?id=BSGatlas-5'UTR-291","BSGatlas-5'UTR-291")</f>
        <v>BSGatlas-5'UTR-291</v>
      </c>
      <c r="B292" s="3">
        <v>486082</v>
      </c>
      <c r="C292" s="3">
        <v>486432</v>
      </c>
      <c r="D292" s="1" t="s">
        <v>9</v>
      </c>
      <c r="E292" s="1">
        <v>351</v>
      </c>
      <c r="F292" s="1" t="s">
        <v>11992</v>
      </c>
      <c r="G292" s="1" t="s">
        <v>5089</v>
      </c>
    </row>
    <row r="293" spans="1:7" ht="21" x14ac:dyDescent="0.25">
      <c r="A293" s="2" t="str">
        <f>HYPERLINK("https://rth.dk/resources/bsgatlas/details.php?id=BSGatlas-5'UTR-292","BSGatlas-5'UTR-292")</f>
        <v>BSGatlas-5'UTR-292</v>
      </c>
      <c r="B293" s="3">
        <v>488811</v>
      </c>
      <c r="C293" s="3">
        <v>488830</v>
      </c>
      <c r="D293" s="1" t="s">
        <v>9</v>
      </c>
      <c r="E293" s="1">
        <v>20</v>
      </c>
      <c r="F293" s="1" t="s">
        <v>11993</v>
      </c>
      <c r="G293" s="1" t="s">
        <v>5092</v>
      </c>
    </row>
    <row r="294" spans="1:7" ht="21" x14ac:dyDescent="0.25">
      <c r="A294" s="2" t="str">
        <f>HYPERLINK("https://rth.dk/resources/bsgatlas/details.php?id=BSGatlas-5'UTR-293","BSGatlas-5'UTR-293")</f>
        <v>BSGatlas-5'UTR-293</v>
      </c>
      <c r="B294" s="3">
        <v>491043</v>
      </c>
      <c r="C294" s="3">
        <v>491077</v>
      </c>
      <c r="D294" s="1" t="s">
        <v>13</v>
      </c>
      <c r="E294" s="1">
        <v>35</v>
      </c>
      <c r="F294" s="1" t="s">
        <v>11994</v>
      </c>
      <c r="G294" s="1" t="s">
        <v>5098</v>
      </c>
    </row>
    <row r="295" spans="1:7" ht="21" x14ac:dyDescent="0.25">
      <c r="A295" s="2" t="str">
        <f>HYPERLINK("https://rth.dk/resources/bsgatlas/details.php?id=BSGatlas-5'UTR-294","BSGatlas-5'UTR-294")</f>
        <v>BSGatlas-5'UTR-294</v>
      </c>
      <c r="B295" s="3">
        <v>492424</v>
      </c>
      <c r="C295" s="3">
        <v>492498</v>
      </c>
      <c r="D295" s="1" t="s">
        <v>13</v>
      </c>
      <c r="E295" s="1">
        <v>75</v>
      </c>
      <c r="F295" s="1" t="s">
        <v>11995</v>
      </c>
      <c r="G295" s="1" t="s">
        <v>5100</v>
      </c>
    </row>
    <row r="296" spans="1:7" ht="21" x14ac:dyDescent="0.25">
      <c r="A296" s="2" t="str">
        <f>HYPERLINK("https://rth.dk/resources/bsgatlas/details.php?id=BSGatlas-5'UTR-295","BSGatlas-5'UTR-295")</f>
        <v>BSGatlas-5'UTR-295</v>
      </c>
      <c r="B296" s="3">
        <v>492424</v>
      </c>
      <c r="C296" s="3">
        <v>492577</v>
      </c>
      <c r="D296" s="1" t="s">
        <v>13</v>
      </c>
      <c r="E296" s="1">
        <v>154</v>
      </c>
      <c r="F296" s="1" t="s">
        <v>11995</v>
      </c>
      <c r="G296" s="1" t="s">
        <v>5102</v>
      </c>
    </row>
    <row r="297" spans="1:7" ht="21" x14ac:dyDescent="0.25">
      <c r="A297" s="2" t="str">
        <f>HYPERLINK("https://rth.dk/resources/bsgatlas/details.php?id=BSGatlas-5'UTR-296","BSGatlas-5'UTR-296")</f>
        <v>BSGatlas-5'UTR-296</v>
      </c>
      <c r="B297" s="3">
        <v>493441</v>
      </c>
      <c r="C297" s="3">
        <v>493477</v>
      </c>
      <c r="D297" s="1" t="s">
        <v>13</v>
      </c>
      <c r="E297" s="1">
        <v>37</v>
      </c>
      <c r="F297" s="1" t="s">
        <v>11996</v>
      </c>
      <c r="G297" s="1" t="s">
        <v>5105</v>
      </c>
    </row>
    <row r="298" spans="1:7" ht="21" x14ac:dyDescent="0.25">
      <c r="A298" s="2" t="str">
        <f>HYPERLINK("https://rth.dk/resources/bsgatlas/details.php?id=BSGatlas-5'UTR-297","BSGatlas-5'UTR-297")</f>
        <v>BSGatlas-5'UTR-297</v>
      </c>
      <c r="B298" s="3">
        <v>493441</v>
      </c>
      <c r="C298" s="3">
        <v>494928</v>
      </c>
      <c r="D298" s="1" t="s">
        <v>13</v>
      </c>
      <c r="E298" s="1">
        <v>1488</v>
      </c>
      <c r="F298" s="1" t="s">
        <v>11996</v>
      </c>
      <c r="G298" s="1" t="s">
        <v>5106</v>
      </c>
    </row>
    <row r="299" spans="1:7" ht="21" x14ac:dyDescent="0.25">
      <c r="A299" s="2" t="str">
        <f>HYPERLINK("https://rth.dk/resources/bsgatlas/details.php?id=BSGatlas-5'UTR-298","BSGatlas-5'UTR-298")</f>
        <v>BSGatlas-5'UTR-298</v>
      </c>
      <c r="B299" s="3">
        <v>493510</v>
      </c>
      <c r="C299" s="3">
        <v>493559</v>
      </c>
      <c r="D299" s="1" t="s">
        <v>9</v>
      </c>
      <c r="E299" s="1">
        <v>50</v>
      </c>
      <c r="F299" s="1" t="s">
        <v>11997</v>
      </c>
      <c r="G299" s="1" t="s">
        <v>5108</v>
      </c>
    </row>
    <row r="300" spans="1:7" ht="21" x14ac:dyDescent="0.25">
      <c r="A300" s="2" t="str">
        <f>HYPERLINK("https://rth.dk/resources/bsgatlas/details.php?id=BSGatlas-5'UTR-299","BSGatlas-5'UTR-299")</f>
        <v>BSGatlas-5'UTR-299</v>
      </c>
      <c r="B300" s="3">
        <v>494479</v>
      </c>
      <c r="C300" s="3">
        <v>494506</v>
      </c>
      <c r="D300" s="1" t="s">
        <v>9</v>
      </c>
      <c r="E300" s="1">
        <v>28</v>
      </c>
      <c r="F300" s="1" t="s">
        <v>11998</v>
      </c>
      <c r="G300" s="1" t="s">
        <v>5110</v>
      </c>
    </row>
    <row r="301" spans="1:7" ht="21" x14ac:dyDescent="0.25">
      <c r="A301" s="2" t="str">
        <f>HYPERLINK("https://rth.dk/resources/bsgatlas/details.php?id=BSGatlas-5'UTR-300","BSGatlas-5'UTR-300")</f>
        <v>BSGatlas-5'UTR-300</v>
      </c>
      <c r="B301" s="3">
        <v>494982</v>
      </c>
      <c r="C301" s="3">
        <v>495009</v>
      </c>
      <c r="D301" s="1" t="s">
        <v>9</v>
      </c>
      <c r="E301" s="1">
        <v>28</v>
      </c>
      <c r="F301" s="1" t="s">
        <v>11999</v>
      </c>
      <c r="G301" s="1" t="s">
        <v>5117</v>
      </c>
    </row>
    <row r="302" spans="1:7" ht="21" x14ac:dyDescent="0.25">
      <c r="A302" s="2" t="str">
        <f>HYPERLINK("https://rth.dk/resources/bsgatlas/details.php?id=BSGatlas-5'UTR-301","BSGatlas-5'UTR-301")</f>
        <v>BSGatlas-5'UTR-301</v>
      </c>
      <c r="B302" s="3">
        <v>496561</v>
      </c>
      <c r="C302" s="3">
        <v>496586</v>
      </c>
      <c r="D302" s="1" t="s">
        <v>13</v>
      </c>
      <c r="E302" s="1">
        <v>26</v>
      </c>
      <c r="F302" s="1" t="s">
        <v>12000</v>
      </c>
      <c r="G302" s="1" t="s">
        <v>5112</v>
      </c>
    </row>
    <row r="303" spans="1:7" ht="21" x14ac:dyDescent="0.25">
      <c r="A303" s="2" t="str">
        <f>HYPERLINK("https://rth.dk/resources/bsgatlas/details.php?id=BSGatlas-5'UTR-302","BSGatlas-5'UTR-302")</f>
        <v>BSGatlas-5'UTR-302</v>
      </c>
      <c r="B303" s="3">
        <v>496981</v>
      </c>
      <c r="C303" s="3">
        <v>497768</v>
      </c>
      <c r="D303" s="1" t="s">
        <v>9</v>
      </c>
      <c r="E303" s="1">
        <v>788</v>
      </c>
      <c r="F303" s="1" t="s">
        <v>12001</v>
      </c>
      <c r="G303" s="1" t="s">
        <v>5122</v>
      </c>
    </row>
    <row r="304" spans="1:7" ht="21" x14ac:dyDescent="0.25">
      <c r="A304" s="2" t="str">
        <f>HYPERLINK("https://rth.dk/resources/bsgatlas/details.php?id=BSGatlas-5'UTR-303","BSGatlas-5'UTR-303")</f>
        <v>BSGatlas-5'UTR-303</v>
      </c>
      <c r="B304" s="3">
        <v>497698</v>
      </c>
      <c r="C304" s="3">
        <v>497716</v>
      </c>
      <c r="D304" s="1" t="s">
        <v>13</v>
      </c>
      <c r="E304" s="1">
        <v>19</v>
      </c>
      <c r="F304" s="1" t="s">
        <v>12002</v>
      </c>
      <c r="G304" s="1" t="s">
        <v>5115</v>
      </c>
    </row>
    <row r="305" spans="1:7" ht="21" x14ac:dyDescent="0.25">
      <c r="A305" s="2" t="str">
        <f>HYPERLINK("https://rth.dk/resources/bsgatlas/details.php?id=BSGatlas-5'UTR-304","BSGatlas-5'UTR-304")</f>
        <v>BSGatlas-5'UTR-304</v>
      </c>
      <c r="B305" s="3">
        <v>500124</v>
      </c>
      <c r="C305" s="3">
        <v>500166</v>
      </c>
      <c r="D305" s="1" t="s">
        <v>9</v>
      </c>
      <c r="E305" s="1">
        <v>43</v>
      </c>
      <c r="F305" s="1" t="s">
        <v>12003</v>
      </c>
      <c r="G305" s="1" t="s">
        <v>5124</v>
      </c>
    </row>
    <row r="306" spans="1:7" ht="21" x14ac:dyDescent="0.25">
      <c r="A306" s="2" t="str">
        <f>HYPERLINK("https://rth.dk/resources/bsgatlas/details.php?id=BSGatlas-5'UTR-305","BSGatlas-5'UTR-305")</f>
        <v>BSGatlas-5'UTR-305</v>
      </c>
      <c r="B306" s="3">
        <v>501517</v>
      </c>
      <c r="C306" s="3">
        <v>501579</v>
      </c>
      <c r="D306" s="1" t="s">
        <v>9</v>
      </c>
      <c r="E306" s="1">
        <v>63</v>
      </c>
      <c r="F306" s="1" t="s">
        <v>12004</v>
      </c>
      <c r="G306" s="1" t="s">
        <v>5125</v>
      </c>
    </row>
    <row r="307" spans="1:7" ht="21" x14ac:dyDescent="0.25">
      <c r="A307" s="2" t="str">
        <f>HYPERLINK("https://rth.dk/resources/bsgatlas/details.php?id=BSGatlas-5'UTR-306","BSGatlas-5'UTR-306")</f>
        <v>BSGatlas-5'UTR-306</v>
      </c>
      <c r="B307" s="3">
        <v>504658</v>
      </c>
      <c r="C307" s="3">
        <v>504689</v>
      </c>
      <c r="D307" s="1" t="s">
        <v>9</v>
      </c>
      <c r="E307" s="1">
        <v>32</v>
      </c>
      <c r="F307" s="1" t="s">
        <v>12005</v>
      </c>
      <c r="G307" s="1" t="s">
        <v>5127</v>
      </c>
    </row>
    <row r="308" spans="1:7" ht="21" x14ac:dyDescent="0.25">
      <c r="A308" s="2" t="str">
        <f>HYPERLINK("https://rth.dk/resources/bsgatlas/details.php?id=BSGatlas-5'UTR-307","BSGatlas-5'UTR-307")</f>
        <v>BSGatlas-5'UTR-307</v>
      </c>
      <c r="B308" s="3">
        <v>505114</v>
      </c>
      <c r="C308" s="3">
        <v>505152</v>
      </c>
      <c r="D308" s="1" t="s">
        <v>9</v>
      </c>
      <c r="E308" s="1">
        <v>39</v>
      </c>
      <c r="F308" s="1" t="s">
        <v>12006</v>
      </c>
      <c r="G308" s="1" t="s">
        <v>5129</v>
      </c>
    </row>
    <row r="309" spans="1:7" ht="21" x14ac:dyDescent="0.25">
      <c r="A309" s="2" t="str">
        <f>HYPERLINK("https://rth.dk/resources/bsgatlas/details.php?id=BSGatlas-5'UTR-308","BSGatlas-5'UTR-308")</f>
        <v>BSGatlas-5'UTR-308</v>
      </c>
      <c r="B309" s="3">
        <v>506619</v>
      </c>
      <c r="C309" s="3">
        <v>506672</v>
      </c>
      <c r="D309" s="1" t="s">
        <v>13</v>
      </c>
      <c r="E309" s="1">
        <v>54</v>
      </c>
      <c r="F309" s="1" t="s">
        <v>12007</v>
      </c>
      <c r="G309" s="1" t="s">
        <v>5133</v>
      </c>
    </row>
    <row r="310" spans="1:7" ht="21" x14ac:dyDescent="0.25">
      <c r="A310" s="2" t="str">
        <f>HYPERLINK("https://rth.dk/resources/bsgatlas/details.php?id=BSGatlas-5'UTR-309","BSGatlas-5'UTR-309")</f>
        <v>BSGatlas-5'UTR-309</v>
      </c>
      <c r="B310" s="3">
        <v>506836</v>
      </c>
      <c r="C310" s="3">
        <v>506866</v>
      </c>
      <c r="D310" s="1" t="s">
        <v>9</v>
      </c>
      <c r="E310" s="1">
        <v>31</v>
      </c>
      <c r="F310" s="1" t="s">
        <v>12008</v>
      </c>
      <c r="G310" s="1" t="s">
        <v>5134</v>
      </c>
    </row>
    <row r="311" spans="1:7" ht="21" x14ac:dyDescent="0.25">
      <c r="A311" s="2" t="str">
        <f>HYPERLINK("https://rth.dk/resources/bsgatlas/details.php?id=BSGatlas-5'UTR-310","BSGatlas-5'UTR-310")</f>
        <v>BSGatlas-5'UTR-310</v>
      </c>
      <c r="B311" s="3">
        <v>508073</v>
      </c>
      <c r="C311" s="3">
        <v>508109</v>
      </c>
      <c r="D311" s="1" t="s">
        <v>13</v>
      </c>
      <c r="E311" s="1">
        <v>37</v>
      </c>
      <c r="F311" s="1" t="s">
        <v>12009</v>
      </c>
      <c r="G311" s="1" t="s">
        <v>5137</v>
      </c>
    </row>
    <row r="312" spans="1:7" ht="21" x14ac:dyDescent="0.25">
      <c r="A312" s="2" t="str">
        <f>HYPERLINK("https://rth.dk/resources/bsgatlas/details.php?id=BSGatlas-5'UTR-311","BSGatlas-5'UTR-311")</f>
        <v>BSGatlas-5'UTR-311</v>
      </c>
      <c r="B312" s="3">
        <v>508090</v>
      </c>
      <c r="C312" s="3">
        <v>508248</v>
      </c>
      <c r="D312" s="1" t="s">
        <v>9</v>
      </c>
      <c r="E312" s="1">
        <v>159</v>
      </c>
      <c r="F312" s="1" t="s">
        <v>12010</v>
      </c>
      <c r="G312" s="1" t="s">
        <v>5139</v>
      </c>
    </row>
    <row r="313" spans="1:7" ht="21" x14ac:dyDescent="0.25">
      <c r="A313" s="2" t="str">
        <f>HYPERLINK("https://rth.dk/resources/bsgatlas/details.php?id=BSGatlas-5'UTR-312","BSGatlas-5'UTR-312")</f>
        <v>BSGatlas-5'UTR-312</v>
      </c>
      <c r="B313" s="3">
        <v>510818</v>
      </c>
      <c r="C313" s="3">
        <v>511157</v>
      </c>
      <c r="D313" s="1" t="s">
        <v>9</v>
      </c>
      <c r="E313" s="1">
        <v>340</v>
      </c>
      <c r="F313" s="1" t="s">
        <v>12011</v>
      </c>
      <c r="G313" s="1" t="s">
        <v>5142</v>
      </c>
    </row>
    <row r="314" spans="1:7" ht="21" x14ac:dyDescent="0.25">
      <c r="A314" s="2" t="str">
        <f>HYPERLINK("https://rth.dk/resources/bsgatlas/details.php?id=BSGatlas-5'UTR-313","BSGatlas-5'UTR-313")</f>
        <v>BSGatlas-5'UTR-313</v>
      </c>
      <c r="B314" s="3">
        <v>510862</v>
      </c>
      <c r="C314" s="3">
        <v>511157</v>
      </c>
      <c r="D314" s="1" t="s">
        <v>9</v>
      </c>
      <c r="E314" s="1">
        <v>296</v>
      </c>
      <c r="F314" s="1" t="s">
        <v>12011</v>
      </c>
      <c r="G314" s="1" t="s">
        <v>5144</v>
      </c>
    </row>
    <row r="315" spans="1:7" ht="21" x14ac:dyDescent="0.25">
      <c r="A315" s="2" t="str">
        <f>HYPERLINK("https://rth.dk/resources/bsgatlas/details.php?id=BSGatlas-5'UTR-314","BSGatlas-5'UTR-314")</f>
        <v>BSGatlas-5'UTR-314</v>
      </c>
      <c r="B315" s="3">
        <v>511038</v>
      </c>
      <c r="C315" s="3">
        <v>511157</v>
      </c>
      <c r="D315" s="1" t="s">
        <v>9</v>
      </c>
      <c r="E315" s="1">
        <v>120</v>
      </c>
      <c r="F315" s="1" t="s">
        <v>12011</v>
      </c>
      <c r="G315" s="1" t="s">
        <v>5145</v>
      </c>
    </row>
    <row r="316" spans="1:7" ht="21" x14ac:dyDescent="0.25">
      <c r="A316" s="2" t="str">
        <f>HYPERLINK("https://rth.dk/resources/bsgatlas/details.php?id=BSGatlas-5'UTR-315","BSGatlas-5'UTR-315")</f>
        <v>BSGatlas-5'UTR-315</v>
      </c>
      <c r="B316" s="3">
        <v>512787</v>
      </c>
      <c r="C316" s="3">
        <v>512814</v>
      </c>
      <c r="D316" s="1" t="s">
        <v>9</v>
      </c>
      <c r="E316" s="1">
        <v>28</v>
      </c>
      <c r="F316" s="1" t="s">
        <v>12012</v>
      </c>
      <c r="G316" s="1" t="s">
        <v>5147</v>
      </c>
    </row>
    <row r="317" spans="1:7" ht="21" x14ac:dyDescent="0.25">
      <c r="A317" s="2" t="str">
        <f>HYPERLINK("https://rth.dk/resources/bsgatlas/details.php?id=BSGatlas-5'UTR-316","BSGatlas-5'UTR-316")</f>
        <v>BSGatlas-5'UTR-316</v>
      </c>
      <c r="B317" s="3">
        <v>515108</v>
      </c>
      <c r="C317" s="3">
        <v>515710</v>
      </c>
      <c r="D317" s="1" t="s">
        <v>9</v>
      </c>
      <c r="E317" s="1">
        <v>603</v>
      </c>
      <c r="F317" s="1" t="s">
        <v>12013</v>
      </c>
      <c r="G317" s="1" t="s">
        <v>5154</v>
      </c>
    </row>
    <row r="318" spans="1:7" ht="21" x14ac:dyDescent="0.25">
      <c r="A318" s="2" t="str">
        <f>HYPERLINK("https://rth.dk/resources/bsgatlas/details.php?id=BSGatlas-5'UTR-317","BSGatlas-5'UTR-317")</f>
        <v>BSGatlas-5'UTR-317</v>
      </c>
      <c r="B318" s="3">
        <v>515615</v>
      </c>
      <c r="C318" s="3">
        <v>515649</v>
      </c>
      <c r="D318" s="1" t="s">
        <v>13</v>
      </c>
      <c r="E318" s="1">
        <v>35</v>
      </c>
      <c r="F318" s="1" t="s">
        <v>12014</v>
      </c>
      <c r="G318" s="1" t="s">
        <v>5149</v>
      </c>
    </row>
    <row r="319" spans="1:7" ht="21" x14ac:dyDescent="0.25">
      <c r="A319" s="2" t="str">
        <f>HYPERLINK("https://rth.dk/resources/bsgatlas/details.php?id=BSGatlas-5'UTR-318","BSGatlas-5'UTR-318")</f>
        <v>BSGatlas-5'UTR-318</v>
      </c>
      <c r="B319" s="3">
        <v>516115</v>
      </c>
      <c r="C319" s="3">
        <v>516241</v>
      </c>
      <c r="D319" s="1" t="s">
        <v>9</v>
      </c>
      <c r="E319" s="1">
        <v>127</v>
      </c>
      <c r="F319" s="1" t="s">
        <v>12015</v>
      </c>
      <c r="G319" s="1" t="s">
        <v>5156</v>
      </c>
    </row>
    <row r="320" spans="1:7" ht="21" x14ac:dyDescent="0.25">
      <c r="A320" s="2" t="str">
        <f>HYPERLINK("https://rth.dk/resources/bsgatlas/details.php?id=BSGatlas-5'UTR-319","BSGatlas-5'UTR-319")</f>
        <v>BSGatlas-5'UTR-319</v>
      </c>
      <c r="B320" s="3">
        <v>517330</v>
      </c>
      <c r="C320" s="3">
        <v>517372</v>
      </c>
      <c r="D320" s="1" t="s">
        <v>9</v>
      </c>
      <c r="E320" s="1">
        <v>43</v>
      </c>
      <c r="F320" s="1" t="s">
        <v>12016</v>
      </c>
      <c r="G320" s="1" t="s">
        <v>5158</v>
      </c>
    </row>
    <row r="321" spans="1:7" ht="21" x14ac:dyDescent="0.25">
      <c r="A321" s="2" t="str">
        <f>HYPERLINK("https://rth.dk/resources/bsgatlas/details.php?id=BSGatlas-5'UTR-320","BSGatlas-5'UTR-320")</f>
        <v>BSGatlas-5'UTR-320</v>
      </c>
      <c r="B321" s="3">
        <v>518496</v>
      </c>
      <c r="C321" s="3">
        <v>518657</v>
      </c>
      <c r="D321" s="1" t="s">
        <v>9</v>
      </c>
      <c r="E321" s="1">
        <v>162</v>
      </c>
      <c r="F321" s="1" t="s">
        <v>12017</v>
      </c>
      <c r="G321" s="1" t="s">
        <v>5162</v>
      </c>
    </row>
    <row r="322" spans="1:7" ht="21" x14ac:dyDescent="0.25">
      <c r="A322" s="2" t="str">
        <f>HYPERLINK("https://rth.dk/resources/bsgatlas/details.php?id=BSGatlas-5'UTR-321","BSGatlas-5'UTR-321")</f>
        <v>BSGatlas-5'UTR-321</v>
      </c>
      <c r="B322" s="3">
        <v>518591</v>
      </c>
      <c r="C322" s="3">
        <v>518657</v>
      </c>
      <c r="D322" s="1" t="s">
        <v>9</v>
      </c>
      <c r="E322" s="1">
        <v>67</v>
      </c>
      <c r="F322" s="1" t="s">
        <v>12017</v>
      </c>
      <c r="G322" s="1" t="s">
        <v>5163</v>
      </c>
    </row>
    <row r="323" spans="1:7" ht="21" x14ac:dyDescent="0.25">
      <c r="A323" s="2" t="str">
        <f>HYPERLINK("https://rth.dk/resources/bsgatlas/details.php?id=BSGatlas-5'UTR-322","BSGatlas-5'UTR-322")</f>
        <v>BSGatlas-5'UTR-322</v>
      </c>
      <c r="B323" s="3">
        <v>519362</v>
      </c>
      <c r="C323" s="3">
        <v>519408</v>
      </c>
      <c r="D323" s="1" t="s">
        <v>9</v>
      </c>
      <c r="E323" s="1">
        <v>47</v>
      </c>
      <c r="F323" s="1" t="s">
        <v>12018</v>
      </c>
      <c r="G323" s="1" t="s">
        <v>5169</v>
      </c>
    </row>
    <row r="324" spans="1:7" ht="21" x14ac:dyDescent="0.25">
      <c r="A324" s="2" t="str">
        <f>HYPERLINK("https://rth.dk/resources/bsgatlas/details.php?id=BSGatlas-5'UTR-323","BSGatlas-5'UTR-323")</f>
        <v>BSGatlas-5'UTR-323</v>
      </c>
      <c r="B324" s="3">
        <v>519559</v>
      </c>
      <c r="C324" s="3">
        <v>520160</v>
      </c>
      <c r="D324" s="1" t="s">
        <v>13</v>
      </c>
      <c r="E324" s="1">
        <v>602</v>
      </c>
      <c r="F324" s="1" t="s">
        <v>12019</v>
      </c>
      <c r="G324" s="1" t="s">
        <v>5166</v>
      </c>
    </row>
    <row r="325" spans="1:7" ht="21" x14ac:dyDescent="0.25">
      <c r="A325" s="2" t="str">
        <f>HYPERLINK("https://rth.dk/resources/bsgatlas/details.php?id=BSGatlas-5'UTR-324","BSGatlas-5'UTR-324")</f>
        <v>BSGatlas-5'UTR-324</v>
      </c>
      <c r="B325" s="3">
        <v>519559</v>
      </c>
      <c r="C325" s="3">
        <v>520765</v>
      </c>
      <c r="D325" s="1" t="s">
        <v>13</v>
      </c>
      <c r="E325" s="1">
        <v>1207</v>
      </c>
      <c r="F325" s="1" t="s">
        <v>12019</v>
      </c>
      <c r="G325" s="1" t="s">
        <v>5167</v>
      </c>
    </row>
    <row r="326" spans="1:7" ht="21" x14ac:dyDescent="0.25">
      <c r="A326" s="2" t="str">
        <f>HYPERLINK("https://rth.dk/resources/bsgatlas/details.php?id=BSGatlas-5'UTR-325","BSGatlas-5'UTR-325")</f>
        <v>BSGatlas-5'UTR-325</v>
      </c>
      <c r="B326" s="3">
        <v>522056</v>
      </c>
      <c r="C326" s="3">
        <v>522088</v>
      </c>
      <c r="D326" s="1" t="s">
        <v>9</v>
      </c>
      <c r="E326" s="1">
        <v>33</v>
      </c>
      <c r="F326" s="1" t="s">
        <v>12020</v>
      </c>
      <c r="G326" s="1" t="s">
        <v>5173</v>
      </c>
    </row>
    <row r="327" spans="1:7" ht="21" x14ac:dyDescent="0.25">
      <c r="A327" s="2" t="str">
        <f>HYPERLINK("https://rth.dk/resources/bsgatlas/details.php?id=BSGatlas-5'UTR-326","BSGatlas-5'UTR-326")</f>
        <v>BSGatlas-5'UTR-326</v>
      </c>
      <c r="B327" s="3">
        <v>524326</v>
      </c>
      <c r="C327" s="3">
        <v>524360</v>
      </c>
      <c r="D327" s="1" t="s">
        <v>9</v>
      </c>
      <c r="E327" s="1">
        <v>35</v>
      </c>
      <c r="F327" s="1" t="s">
        <v>12021</v>
      </c>
      <c r="G327" s="1" t="s">
        <v>5174</v>
      </c>
    </row>
    <row r="328" spans="1:7" ht="21" x14ac:dyDescent="0.25">
      <c r="A328" s="2" t="str">
        <f>HYPERLINK("https://rth.dk/resources/bsgatlas/details.php?id=BSGatlas-5'UTR-327","BSGatlas-5'UTR-327")</f>
        <v>BSGatlas-5'UTR-327</v>
      </c>
      <c r="B328" s="3">
        <v>525697</v>
      </c>
      <c r="C328" s="3">
        <v>525743</v>
      </c>
      <c r="D328" s="1" t="s">
        <v>9</v>
      </c>
      <c r="E328" s="1">
        <v>47</v>
      </c>
      <c r="F328" s="1" t="s">
        <v>12022</v>
      </c>
      <c r="G328" s="1" t="s">
        <v>5180</v>
      </c>
    </row>
    <row r="329" spans="1:7" ht="21" x14ac:dyDescent="0.25">
      <c r="A329" s="2" t="str">
        <f>HYPERLINK("https://rth.dk/resources/bsgatlas/details.php?id=BSGatlas-5'UTR-328","BSGatlas-5'UTR-328")</f>
        <v>BSGatlas-5'UTR-328</v>
      </c>
      <c r="B329" s="3">
        <v>527912</v>
      </c>
      <c r="C329" s="3">
        <v>528129</v>
      </c>
      <c r="D329" s="1" t="s">
        <v>9</v>
      </c>
      <c r="E329" s="1">
        <v>218</v>
      </c>
      <c r="F329" s="1" t="s">
        <v>12023</v>
      </c>
      <c r="G329" s="1" t="s">
        <v>5181</v>
      </c>
    </row>
    <row r="330" spans="1:7" ht="21" x14ac:dyDescent="0.25">
      <c r="A330" s="2" t="str">
        <f>HYPERLINK("https://rth.dk/resources/bsgatlas/details.php?id=BSGatlas-5'UTR-329","BSGatlas-5'UTR-329")</f>
        <v>BSGatlas-5'UTR-329</v>
      </c>
      <c r="B330" s="3">
        <v>528616</v>
      </c>
      <c r="C330" s="3">
        <v>528703</v>
      </c>
      <c r="D330" s="1" t="s">
        <v>9</v>
      </c>
      <c r="E330" s="1">
        <v>88</v>
      </c>
      <c r="F330" s="1" t="s">
        <v>12024</v>
      </c>
      <c r="G330" s="1" t="s">
        <v>5182</v>
      </c>
    </row>
    <row r="331" spans="1:7" ht="21" x14ac:dyDescent="0.25">
      <c r="A331" s="2" t="str">
        <f>HYPERLINK("https://rth.dk/resources/bsgatlas/details.php?id=BSGatlas-5'UTR-330","BSGatlas-5'UTR-330")</f>
        <v>BSGatlas-5'UTR-330</v>
      </c>
      <c r="B331" s="3">
        <v>531513</v>
      </c>
      <c r="C331" s="3">
        <v>531554</v>
      </c>
      <c r="D331" s="1" t="s">
        <v>13</v>
      </c>
      <c r="E331" s="1">
        <v>42</v>
      </c>
      <c r="F331" s="1" t="s">
        <v>12025</v>
      </c>
      <c r="G331" s="1" t="s">
        <v>5184</v>
      </c>
    </row>
    <row r="332" spans="1:7" ht="21" x14ac:dyDescent="0.25">
      <c r="A332" s="2" t="str">
        <f>HYPERLINK("https://rth.dk/resources/bsgatlas/details.php?id=BSGatlas-5'UTR-331","BSGatlas-5'UTR-331")</f>
        <v>BSGatlas-5'UTR-331</v>
      </c>
      <c r="B332" s="3">
        <v>531740</v>
      </c>
      <c r="C332" s="3">
        <v>531787</v>
      </c>
      <c r="D332" s="1" t="s">
        <v>9</v>
      </c>
      <c r="E332" s="1">
        <v>48</v>
      </c>
      <c r="F332" s="1" t="s">
        <v>12026</v>
      </c>
      <c r="G332" s="1" t="s">
        <v>5192</v>
      </c>
    </row>
    <row r="333" spans="1:7" ht="21" x14ac:dyDescent="0.25">
      <c r="A333" s="2" t="str">
        <f>HYPERLINK("https://rth.dk/resources/bsgatlas/details.php?id=BSGatlas-5'UTR-332","BSGatlas-5'UTR-332")</f>
        <v>BSGatlas-5'UTR-332</v>
      </c>
      <c r="B333" s="3">
        <v>532604</v>
      </c>
      <c r="C333" s="3">
        <v>532758</v>
      </c>
      <c r="D333" s="1" t="s">
        <v>9</v>
      </c>
      <c r="E333" s="1">
        <v>155</v>
      </c>
      <c r="F333" s="1" t="s">
        <v>12027</v>
      </c>
      <c r="G333" s="1" t="s">
        <v>5200</v>
      </c>
    </row>
    <row r="334" spans="1:7" ht="21" x14ac:dyDescent="0.25">
      <c r="A334" s="2" t="str">
        <f>HYPERLINK("https://rth.dk/resources/bsgatlas/details.php?id=BSGatlas-5'UTR-333","BSGatlas-5'UTR-333")</f>
        <v>BSGatlas-5'UTR-333</v>
      </c>
      <c r="B334" s="3">
        <v>537526</v>
      </c>
      <c r="C334" s="3">
        <v>538061</v>
      </c>
      <c r="D334" s="1" t="s">
        <v>9</v>
      </c>
      <c r="E334" s="1">
        <v>536</v>
      </c>
      <c r="F334" s="1" t="s">
        <v>12028</v>
      </c>
      <c r="G334" s="1" t="s">
        <v>5204</v>
      </c>
    </row>
    <row r="335" spans="1:7" ht="21" x14ac:dyDescent="0.25">
      <c r="A335" s="2" t="str">
        <f>HYPERLINK("https://rth.dk/resources/bsgatlas/details.php?id=BSGatlas-5'UTR-334","BSGatlas-5'UTR-334")</f>
        <v>BSGatlas-5'UTR-334</v>
      </c>
      <c r="B335" s="3">
        <v>545564</v>
      </c>
      <c r="C335" s="3">
        <v>545595</v>
      </c>
      <c r="D335" s="1" t="s">
        <v>9</v>
      </c>
      <c r="E335" s="1">
        <v>32</v>
      </c>
      <c r="F335" s="1" t="s">
        <v>12029</v>
      </c>
      <c r="G335" s="1" t="s">
        <v>5205</v>
      </c>
    </row>
    <row r="336" spans="1:7" ht="21" x14ac:dyDescent="0.25">
      <c r="A336" s="2" t="str">
        <f>HYPERLINK("https://rth.dk/resources/bsgatlas/details.php?id=BSGatlas-5'UTR-335","BSGatlas-5'UTR-335")</f>
        <v>BSGatlas-5'UTR-335</v>
      </c>
      <c r="B336" s="3">
        <v>546966</v>
      </c>
      <c r="C336" s="3">
        <v>547029</v>
      </c>
      <c r="D336" s="1" t="s">
        <v>13</v>
      </c>
      <c r="E336" s="1">
        <v>64</v>
      </c>
      <c r="F336" s="1" t="s">
        <v>12030</v>
      </c>
      <c r="G336" s="1" t="s">
        <v>5206</v>
      </c>
    </row>
    <row r="337" spans="1:7" ht="21" x14ac:dyDescent="0.25">
      <c r="A337" s="2" t="str">
        <f>HYPERLINK("https://rth.dk/resources/bsgatlas/details.php?id=BSGatlas-5'UTR-336","BSGatlas-5'UTR-336")</f>
        <v>BSGatlas-5'UTR-336</v>
      </c>
      <c r="B337" s="3">
        <v>548192</v>
      </c>
      <c r="C337" s="3">
        <v>548438</v>
      </c>
      <c r="D337" s="1" t="s">
        <v>9</v>
      </c>
      <c r="E337" s="1">
        <v>247</v>
      </c>
      <c r="F337" s="1" t="s">
        <v>12031</v>
      </c>
      <c r="G337" s="1" t="s">
        <v>5211</v>
      </c>
    </row>
    <row r="338" spans="1:7" ht="21" x14ac:dyDescent="0.25">
      <c r="A338" s="2" t="str">
        <f>HYPERLINK("https://rth.dk/resources/bsgatlas/details.php?id=BSGatlas-5'UTR-337","BSGatlas-5'UTR-337")</f>
        <v>BSGatlas-5'UTR-337</v>
      </c>
      <c r="B338" s="3">
        <v>548334</v>
      </c>
      <c r="C338" s="3">
        <v>548438</v>
      </c>
      <c r="D338" s="1" t="s">
        <v>9</v>
      </c>
      <c r="E338" s="1">
        <v>105</v>
      </c>
      <c r="F338" s="1" t="s">
        <v>12031</v>
      </c>
      <c r="G338" s="1" t="s">
        <v>5212</v>
      </c>
    </row>
    <row r="339" spans="1:7" ht="21" x14ac:dyDescent="0.25">
      <c r="A339" s="2" t="str">
        <f>HYPERLINK("https://rth.dk/resources/bsgatlas/details.php?id=BSGatlas-5'UTR-338","BSGatlas-5'UTR-338")</f>
        <v>BSGatlas-5'UTR-338</v>
      </c>
      <c r="B339" s="3">
        <v>548395</v>
      </c>
      <c r="C339" s="3">
        <v>548438</v>
      </c>
      <c r="D339" s="1" t="s">
        <v>9</v>
      </c>
      <c r="E339" s="1">
        <v>44</v>
      </c>
      <c r="F339" s="1" t="s">
        <v>12031</v>
      </c>
      <c r="G339" s="1" t="s">
        <v>5213</v>
      </c>
    </row>
    <row r="340" spans="1:7" ht="21" x14ac:dyDescent="0.25">
      <c r="A340" s="2" t="str">
        <f>HYPERLINK("https://rth.dk/resources/bsgatlas/details.php?id=BSGatlas-5'UTR-339","BSGatlas-5'UTR-339")</f>
        <v>BSGatlas-5'UTR-339</v>
      </c>
      <c r="B340" s="3">
        <v>551073</v>
      </c>
      <c r="C340" s="3">
        <v>551519</v>
      </c>
      <c r="D340" s="1" t="s">
        <v>9</v>
      </c>
      <c r="E340" s="1">
        <v>447</v>
      </c>
      <c r="F340" s="1" t="s">
        <v>12032</v>
      </c>
      <c r="G340" s="1" t="s">
        <v>5218</v>
      </c>
    </row>
    <row r="341" spans="1:7" ht="21" x14ac:dyDescent="0.25">
      <c r="A341" s="2" t="str">
        <f>HYPERLINK("https://rth.dk/resources/bsgatlas/details.php?id=BSGatlas-5'UTR-340","BSGatlas-5'UTR-340")</f>
        <v>BSGatlas-5'UTR-340</v>
      </c>
      <c r="B341" s="3">
        <v>553661</v>
      </c>
      <c r="C341" s="3">
        <v>553711</v>
      </c>
      <c r="D341" s="1" t="s">
        <v>9</v>
      </c>
      <c r="E341" s="1">
        <v>51</v>
      </c>
      <c r="F341" s="1" t="s">
        <v>12033</v>
      </c>
      <c r="G341" s="1" t="s">
        <v>5220</v>
      </c>
    </row>
    <row r="342" spans="1:7" ht="21" x14ac:dyDescent="0.25">
      <c r="A342" s="2" t="str">
        <f>HYPERLINK("https://rth.dk/resources/bsgatlas/details.php?id=BSGatlas-5'UTR-341","BSGatlas-5'UTR-341")</f>
        <v>BSGatlas-5'UTR-341</v>
      </c>
      <c r="B342" s="3">
        <v>556002</v>
      </c>
      <c r="C342" s="3">
        <v>556562</v>
      </c>
      <c r="D342" s="1" t="s">
        <v>9</v>
      </c>
      <c r="E342" s="1">
        <v>561</v>
      </c>
      <c r="F342" s="1" t="s">
        <v>12034</v>
      </c>
      <c r="G342" s="1" t="s">
        <v>5221</v>
      </c>
    </row>
    <row r="343" spans="1:7" ht="21" x14ac:dyDescent="0.25">
      <c r="A343" s="2" t="str">
        <f>HYPERLINK("https://rth.dk/resources/bsgatlas/details.php?id=BSGatlas-5'UTR-342","BSGatlas-5'UTR-342")</f>
        <v>BSGatlas-5'UTR-342</v>
      </c>
      <c r="B343" s="3">
        <v>557818</v>
      </c>
      <c r="C343" s="3">
        <v>557873</v>
      </c>
      <c r="D343" s="1" t="s">
        <v>9</v>
      </c>
      <c r="E343" s="1">
        <v>56</v>
      </c>
      <c r="F343" s="1" t="s">
        <v>12035</v>
      </c>
      <c r="G343" s="1" t="s">
        <v>5222</v>
      </c>
    </row>
    <row r="344" spans="1:7" ht="21" x14ac:dyDescent="0.25">
      <c r="A344" s="2" t="str">
        <f>HYPERLINK("https://rth.dk/resources/bsgatlas/details.php?id=BSGatlas-5'UTR-343","BSGatlas-5'UTR-343")</f>
        <v>BSGatlas-5'UTR-343</v>
      </c>
      <c r="B344" s="3">
        <v>559146</v>
      </c>
      <c r="C344" s="3">
        <v>559264</v>
      </c>
      <c r="D344" s="1" t="s">
        <v>9</v>
      </c>
      <c r="E344" s="1">
        <v>119</v>
      </c>
      <c r="F344" s="1" t="s">
        <v>12036</v>
      </c>
      <c r="G344" s="1" t="s">
        <v>5224</v>
      </c>
    </row>
    <row r="345" spans="1:7" ht="21" x14ac:dyDescent="0.25">
      <c r="A345" s="2" t="str">
        <f>HYPERLINK("https://rth.dk/resources/bsgatlas/details.php?id=BSGatlas-5'UTR-344","BSGatlas-5'UTR-344")</f>
        <v>BSGatlas-5'UTR-344</v>
      </c>
      <c r="B345" s="3">
        <v>560612</v>
      </c>
      <c r="C345" s="3">
        <v>560664</v>
      </c>
      <c r="D345" s="1" t="s">
        <v>13</v>
      </c>
      <c r="E345" s="1">
        <v>53</v>
      </c>
      <c r="F345" s="1" t="s">
        <v>12037</v>
      </c>
      <c r="G345" s="1" t="s">
        <v>5230</v>
      </c>
    </row>
    <row r="346" spans="1:7" ht="21" x14ac:dyDescent="0.25">
      <c r="A346" s="2" t="str">
        <f>HYPERLINK("https://rth.dk/resources/bsgatlas/details.php?id=BSGatlas-5'UTR-345","BSGatlas-5'UTR-345")</f>
        <v>BSGatlas-5'UTR-345</v>
      </c>
      <c r="B346" s="3">
        <v>562389</v>
      </c>
      <c r="C346" s="3">
        <v>562523</v>
      </c>
      <c r="D346" s="1" t="s">
        <v>13</v>
      </c>
      <c r="E346" s="1">
        <v>135</v>
      </c>
      <c r="F346" s="1" t="s">
        <v>12038</v>
      </c>
      <c r="G346" s="1" t="s">
        <v>5233</v>
      </c>
    </row>
    <row r="347" spans="1:7" ht="21" x14ac:dyDescent="0.25">
      <c r="A347" s="2" t="str">
        <f>HYPERLINK("https://rth.dk/resources/bsgatlas/details.php?id=BSGatlas-5'UTR-346","BSGatlas-5'UTR-346")</f>
        <v>BSGatlas-5'UTR-346</v>
      </c>
      <c r="B347" s="3">
        <v>564486</v>
      </c>
      <c r="C347" s="3">
        <v>564591</v>
      </c>
      <c r="D347" s="1" t="s">
        <v>13</v>
      </c>
      <c r="E347" s="1">
        <v>106</v>
      </c>
      <c r="F347" s="1" t="s">
        <v>12039</v>
      </c>
      <c r="G347" s="1" t="s">
        <v>5234</v>
      </c>
    </row>
    <row r="348" spans="1:7" ht="21" x14ac:dyDescent="0.25">
      <c r="A348" s="2" t="str">
        <f>HYPERLINK("https://rth.dk/resources/bsgatlas/details.php?id=BSGatlas-5'UTR-347","BSGatlas-5'UTR-347")</f>
        <v>BSGatlas-5'UTR-347</v>
      </c>
      <c r="B348" s="3">
        <v>564674</v>
      </c>
      <c r="C348" s="3">
        <v>564713</v>
      </c>
      <c r="D348" s="1" t="s">
        <v>9</v>
      </c>
      <c r="E348" s="1">
        <v>40</v>
      </c>
      <c r="F348" s="1" t="s">
        <v>12040</v>
      </c>
      <c r="G348" s="1" t="s">
        <v>5235</v>
      </c>
    </row>
    <row r="349" spans="1:7" ht="21" x14ac:dyDescent="0.25">
      <c r="A349" s="2" t="str">
        <f>HYPERLINK("https://rth.dk/resources/bsgatlas/details.php?id=BSGatlas-5'UTR-348","BSGatlas-5'UTR-348")</f>
        <v>BSGatlas-5'UTR-348</v>
      </c>
      <c r="B349" s="3">
        <v>567540</v>
      </c>
      <c r="C349" s="3">
        <v>567662</v>
      </c>
      <c r="D349" s="1" t="s">
        <v>9</v>
      </c>
      <c r="E349" s="1">
        <v>123</v>
      </c>
      <c r="F349" s="1" t="s">
        <v>12041</v>
      </c>
      <c r="G349" s="1" t="s">
        <v>5237</v>
      </c>
    </row>
    <row r="350" spans="1:7" ht="21" x14ac:dyDescent="0.25">
      <c r="A350" s="2" t="str">
        <f>HYPERLINK("https://rth.dk/resources/bsgatlas/details.php?id=BSGatlas-5'UTR-349","BSGatlas-5'UTR-349")</f>
        <v>BSGatlas-5'UTR-349</v>
      </c>
      <c r="B350" s="3">
        <v>568211</v>
      </c>
      <c r="C350" s="3">
        <v>568345</v>
      </c>
      <c r="D350" s="1" t="s">
        <v>9</v>
      </c>
      <c r="E350" s="1">
        <v>135</v>
      </c>
      <c r="F350" s="1" t="s">
        <v>12042</v>
      </c>
      <c r="G350" s="1" t="s">
        <v>5239</v>
      </c>
    </row>
    <row r="351" spans="1:7" ht="21" x14ac:dyDescent="0.25">
      <c r="A351" s="2" t="str">
        <f>HYPERLINK("https://rth.dk/resources/bsgatlas/details.php?id=BSGatlas-5'UTR-350","BSGatlas-5'UTR-350")</f>
        <v>BSGatlas-5'UTR-350</v>
      </c>
      <c r="B351" s="3">
        <v>569949</v>
      </c>
      <c r="C351" s="3">
        <v>570005</v>
      </c>
      <c r="D351" s="1" t="s">
        <v>13</v>
      </c>
      <c r="E351" s="1">
        <v>57</v>
      </c>
      <c r="F351" s="1" t="s">
        <v>12043</v>
      </c>
      <c r="G351" s="1" t="s">
        <v>5241</v>
      </c>
    </row>
    <row r="352" spans="1:7" ht="21" x14ac:dyDescent="0.25">
      <c r="A352" s="2" t="str">
        <f>HYPERLINK("https://rth.dk/resources/bsgatlas/details.php?id=BSGatlas-5'UTR-351","BSGatlas-5'UTR-351")</f>
        <v>BSGatlas-5'UTR-351</v>
      </c>
      <c r="B352" s="3">
        <v>571234</v>
      </c>
      <c r="C352" s="3">
        <v>571323</v>
      </c>
      <c r="D352" s="1" t="s">
        <v>13</v>
      </c>
      <c r="E352" s="1">
        <v>90</v>
      </c>
      <c r="F352" s="1" t="s">
        <v>12044</v>
      </c>
      <c r="G352" s="1" t="s">
        <v>5243</v>
      </c>
    </row>
    <row r="353" spans="1:7" ht="21" x14ac:dyDescent="0.25">
      <c r="A353" s="2" t="str">
        <f>HYPERLINK("https://rth.dk/resources/bsgatlas/details.php?id=BSGatlas-5'UTR-352","BSGatlas-5'UTR-352")</f>
        <v>BSGatlas-5'UTR-352</v>
      </c>
      <c r="B353" s="3">
        <v>571313</v>
      </c>
      <c r="C353" s="3">
        <v>571389</v>
      </c>
      <c r="D353" s="1" t="s">
        <v>9</v>
      </c>
      <c r="E353" s="1">
        <v>77</v>
      </c>
      <c r="F353" s="1" t="s">
        <v>12045</v>
      </c>
      <c r="G353" s="1" t="s">
        <v>5244</v>
      </c>
    </row>
    <row r="354" spans="1:7" ht="21" x14ac:dyDescent="0.25">
      <c r="A354" s="2" t="str">
        <f>HYPERLINK("https://rth.dk/resources/bsgatlas/details.php?id=BSGatlas-5'UTR-353","BSGatlas-5'UTR-353")</f>
        <v>BSGatlas-5'UTR-353</v>
      </c>
      <c r="B354" s="3">
        <v>572940</v>
      </c>
      <c r="C354" s="3">
        <v>572974</v>
      </c>
      <c r="D354" s="1" t="s">
        <v>9</v>
      </c>
      <c r="E354" s="1">
        <v>35</v>
      </c>
      <c r="F354" s="1" t="s">
        <v>12046</v>
      </c>
      <c r="G354" s="1" t="s">
        <v>5245</v>
      </c>
    </row>
    <row r="355" spans="1:7" ht="21" x14ac:dyDescent="0.25">
      <c r="A355" s="2" t="str">
        <f>HYPERLINK("https://rth.dk/resources/bsgatlas/details.php?id=BSGatlas-5'UTR-354","BSGatlas-5'UTR-354")</f>
        <v>BSGatlas-5'UTR-354</v>
      </c>
      <c r="B355" s="3">
        <v>574435</v>
      </c>
      <c r="C355" s="3">
        <v>574469</v>
      </c>
      <c r="D355" s="1" t="s">
        <v>13</v>
      </c>
      <c r="E355" s="1">
        <v>35</v>
      </c>
      <c r="F355" s="1" t="s">
        <v>12047</v>
      </c>
      <c r="G355" s="1" t="s">
        <v>5247</v>
      </c>
    </row>
    <row r="356" spans="1:7" ht="21" x14ac:dyDescent="0.25">
      <c r="A356" s="2" t="str">
        <f>HYPERLINK("https://rth.dk/resources/bsgatlas/details.php?id=BSGatlas-5'UTR-355","BSGatlas-5'UTR-355")</f>
        <v>BSGatlas-5'UTR-355</v>
      </c>
      <c r="B356" s="3">
        <v>574656</v>
      </c>
      <c r="C356" s="3">
        <v>574690</v>
      </c>
      <c r="D356" s="1" t="s">
        <v>9</v>
      </c>
      <c r="E356" s="1">
        <v>35</v>
      </c>
      <c r="F356" s="1" t="s">
        <v>12048</v>
      </c>
      <c r="G356" s="1" t="s">
        <v>5249</v>
      </c>
    </row>
    <row r="357" spans="1:7" ht="21" x14ac:dyDescent="0.25">
      <c r="A357" s="2" t="str">
        <f>HYPERLINK("https://rth.dk/resources/bsgatlas/details.php?id=BSGatlas-5'UTR-356","BSGatlas-5'UTR-356")</f>
        <v>BSGatlas-5'UTR-356</v>
      </c>
      <c r="B357" s="3">
        <v>576098</v>
      </c>
      <c r="C357" s="3">
        <v>576165</v>
      </c>
      <c r="D357" s="1" t="s">
        <v>13</v>
      </c>
      <c r="E357" s="1">
        <v>68</v>
      </c>
      <c r="F357" s="1" t="s">
        <v>12049</v>
      </c>
      <c r="G357" s="1" t="s">
        <v>5252</v>
      </c>
    </row>
    <row r="358" spans="1:7" ht="21" x14ac:dyDescent="0.25">
      <c r="A358" s="2" t="str">
        <f>HYPERLINK("https://rth.dk/resources/bsgatlas/details.php?id=BSGatlas-5'UTR-357","BSGatlas-5'UTR-357")</f>
        <v>BSGatlas-5'UTR-357</v>
      </c>
      <c r="B358" s="3">
        <v>576175</v>
      </c>
      <c r="C358" s="3">
        <v>576209</v>
      </c>
      <c r="D358" s="1" t="s">
        <v>9</v>
      </c>
      <c r="E358" s="1">
        <v>35</v>
      </c>
      <c r="F358" s="1" t="s">
        <v>12050</v>
      </c>
      <c r="G358" s="1" t="s">
        <v>5254</v>
      </c>
    </row>
    <row r="359" spans="1:7" ht="21" x14ac:dyDescent="0.25">
      <c r="A359" s="2" t="str">
        <f>HYPERLINK("https://rth.dk/resources/bsgatlas/details.php?id=BSGatlas-5'UTR-358","BSGatlas-5'UTR-358")</f>
        <v>BSGatlas-5'UTR-358</v>
      </c>
      <c r="B359" s="3">
        <v>578287</v>
      </c>
      <c r="C359" s="3">
        <v>578337</v>
      </c>
      <c r="D359" s="1" t="s">
        <v>9</v>
      </c>
      <c r="E359" s="1">
        <v>51</v>
      </c>
      <c r="F359" s="1" t="s">
        <v>12051</v>
      </c>
      <c r="G359" s="1" t="s">
        <v>5256</v>
      </c>
    </row>
    <row r="360" spans="1:7" ht="21" x14ac:dyDescent="0.25">
      <c r="A360" s="2" t="str">
        <f>HYPERLINK("https://rth.dk/resources/bsgatlas/details.php?id=BSGatlas-5'UTR-359","BSGatlas-5'UTR-359")</f>
        <v>BSGatlas-5'UTR-359</v>
      </c>
      <c r="B360" s="3">
        <v>579354</v>
      </c>
      <c r="C360" s="3">
        <v>579541</v>
      </c>
      <c r="D360" s="1" t="s">
        <v>9</v>
      </c>
      <c r="E360" s="1">
        <v>188</v>
      </c>
      <c r="F360" s="1" t="s">
        <v>12052</v>
      </c>
      <c r="G360" s="1" t="s">
        <v>5259</v>
      </c>
    </row>
    <row r="361" spans="1:7" ht="21" x14ac:dyDescent="0.25">
      <c r="A361" s="2" t="str">
        <f>HYPERLINK("https://rth.dk/resources/bsgatlas/details.php?id=BSGatlas-5'UTR-360","BSGatlas-5'UTR-360")</f>
        <v>BSGatlas-5'UTR-360</v>
      </c>
      <c r="B361" s="3">
        <v>581676</v>
      </c>
      <c r="C361" s="3">
        <v>581694</v>
      </c>
      <c r="D361" s="1" t="s">
        <v>9</v>
      </c>
      <c r="E361" s="1">
        <v>19</v>
      </c>
      <c r="F361" s="1" t="s">
        <v>12053</v>
      </c>
      <c r="G361" s="1" t="s">
        <v>5261</v>
      </c>
    </row>
    <row r="362" spans="1:7" ht="21" x14ac:dyDescent="0.25">
      <c r="A362" s="2" t="str">
        <f>HYPERLINK("https://rth.dk/resources/bsgatlas/details.php?id=BSGatlas-5'UTR-361","BSGatlas-5'UTR-361")</f>
        <v>BSGatlas-5'UTR-361</v>
      </c>
      <c r="B362" s="3">
        <v>585778</v>
      </c>
      <c r="C362" s="3">
        <v>585821</v>
      </c>
      <c r="D362" s="1" t="s">
        <v>13</v>
      </c>
      <c r="E362" s="1">
        <v>44</v>
      </c>
      <c r="F362" s="1" t="s">
        <v>12054</v>
      </c>
      <c r="G362" s="1" t="s">
        <v>5263</v>
      </c>
    </row>
    <row r="363" spans="1:7" ht="21" x14ac:dyDescent="0.25">
      <c r="A363" s="2" t="str">
        <f>HYPERLINK("https://rth.dk/resources/bsgatlas/details.php?id=BSGatlas-5'UTR-362","BSGatlas-5'UTR-362")</f>
        <v>BSGatlas-5'UTR-362</v>
      </c>
      <c r="B363" s="3">
        <v>585834</v>
      </c>
      <c r="C363" s="3">
        <v>585868</v>
      </c>
      <c r="D363" s="1" t="s">
        <v>9</v>
      </c>
      <c r="E363" s="1">
        <v>35</v>
      </c>
      <c r="F363" s="1" t="s">
        <v>12055</v>
      </c>
      <c r="G363" s="1" t="s">
        <v>5264</v>
      </c>
    </row>
    <row r="364" spans="1:7" ht="21" x14ac:dyDescent="0.25">
      <c r="A364" s="2" t="str">
        <f>HYPERLINK("https://rth.dk/resources/bsgatlas/details.php?id=BSGatlas-5'UTR-363","BSGatlas-5'UTR-363")</f>
        <v>BSGatlas-5'UTR-363</v>
      </c>
      <c r="B364" s="3">
        <v>587071</v>
      </c>
      <c r="C364" s="3">
        <v>587118</v>
      </c>
      <c r="D364" s="1" t="s">
        <v>13</v>
      </c>
      <c r="E364" s="1">
        <v>48</v>
      </c>
      <c r="F364" s="1" t="s">
        <v>12056</v>
      </c>
      <c r="G364" s="1" t="s">
        <v>5266</v>
      </c>
    </row>
    <row r="365" spans="1:7" ht="21" x14ac:dyDescent="0.25">
      <c r="A365" s="2" t="str">
        <f>HYPERLINK("https://rth.dk/resources/bsgatlas/details.php?id=BSGatlas-5'UTR-364","BSGatlas-5'UTR-364")</f>
        <v>BSGatlas-5'UTR-364</v>
      </c>
      <c r="B365" s="3">
        <v>587461</v>
      </c>
      <c r="C365" s="3">
        <v>587744</v>
      </c>
      <c r="D365" s="1" t="s">
        <v>9</v>
      </c>
      <c r="E365" s="1">
        <v>284</v>
      </c>
      <c r="F365" s="1" t="s">
        <v>12057</v>
      </c>
      <c r="G365" s="1" t="s">
        <v>5269</v>
      </c>
    </row>
    <row r="366" spans="1:7" ht="21" x14ac:dyDescent="0.25">
      <c r="A366" s="2" t="str">
        <f>HYPERLINK("https://rth.dk/resources/bsgatlas/details.php?id=BSGatlas-5'UTR-365","BSGatlas-5'UTR-365")</f>
        <v>BSGatlas-5'UTR-365</v>
      </c>
      <c r="B366" s="3">
        <v>589681</v>
      </c>
      <c r="C366" s="3">
        <v>589717</v>
      </c>
      <c r="D366" s="1" t="s">
        <v>9</v>
      </c>
      <c r="E366" s="1">
        <v>37</v>
      </c>
      <c r="F366" s="1" t="s">
        <v>12058</v>
      </c>
      <c r="G366" s="1" t="s">
        <v>5271</v>
      </c>
    </row>
    <row r="367" spans="1:7" ht="21" x14ac:dyDescent="0.25">
      <c r="A367" s="2" t="str">
        <f>HYPERLINK("https://rth.dk/resources/bsgatlas/details.php?id=BSGatlas-5'UTR-366","BSGatlas-5'UTR-366")</f>
        <v>BSGatlas-5'UTR-366</v>
      </c>
      <c r="B367" s="3">
        <v>593205</v>
      </c>
      <c r="C367" s="3">
        <v>593301</v>
      </c>
      <c r="D367" s="1" t="s">
        <v>13</v>
      </c>
      <c r="E367" s="1">
        <v>97</v>
      </c>
      <c r="F367" s="1" t="s">
        <v>12059</v>
      </c>
      <c r="G367" s="1" t="s">
        <v>5274</v>
      </c>
    </row>
    <row r="368" spans="1:7" ht="21" x14ac:dyDescent="0.25">
      <c r="A368" s="2" t="str">
        <f>HYPERLINK("https://rth.dk/resources/bsgatlas/details.php?id=BSGatlas-5'UTR-367","BSGatlas-5'UTR-367")</f>
        <v>BSGatlas-5'UTR-367</v>
      </c>
      <c r="B368" s="3">
        <v>594096</v>
      </c>
      <c r="C368" s="3">
        <v>594123</v>
      </c>
      <c r="D368" s="1" t="s">
        <v>13</v>
      </c>
      <c r="E368" s="1">
        <v>28</v>
      </c>
      <c r="F368" s="1" t="s">
        <v>12060</v>
      </c>
      <c r="G368" s="1" t="s">
        <v>5277</v>
      </c>
    </row>
    <row r="369" spans="1:7" ht="21" x14ac:dyDescent="0.25">
      <c r="A369" s="2" t="str">
        <f>HYPERLINK("https://rth.dk/resources/bsgatlas/details.php?id=BSGatlas-5'UTR-368","BSGatlas-5'UTR-368")</f>
        <v>BSGatlas-5'UTR-368</v>
      </c>
      <c r="B369" s="3">
        <v>594998</v>
      </c>
      <c r="C369" s="3">
        <v>595040</v>
      </c>
      <c r="D369" s="1" t="s">
        <v>13</v>
      </c>
      <c r="E369" s="1">
        <v>43</v>
      </c>
      <c r="F369" s="1" t="s">
        <v>12061</v>
      </c>
      <c r="G369" s="1" t="s">
        <v>5279</v>
      </c>
    </row>
    <row r="370" spans="1:7" ht="21" x14ac:dyDescent="0.25">
      <c r="A370" s="2" t="str">
        <f>HYPERLINK("https://rth.dk/resources/bsgatlas/details.php?id=BSGatlas-5'UTR-369","BSGatlas-5'UTR-369")</f>
        <v>BSGatlas-5'UTR-369</v>
      </c>
      <c r="B370" s="3">
        <v>596002</v>
      </c>
      <c r="C370" s="3">
        <v>596093</v>
      </c>
      <c r="D370" s="1" t="s">
        <v>13</v>
      </c>
      <c r="E370" s="1">
        <v>92</v>
      </c>
      <c r="F370" s="1" t="s">
        <v>12062</v>
      </c>
      <c r="G370" s="1" t="s">
        <v>5280</v>
      </c>
    </row>
    <row r="371" spans="1:7" ht="21" x14ac:dyDescent="0.25">
      <c r="A371" s="2" t="str">
        <f>HYPERLINK("https://rth.dk/resources/bsgatlas/details.php?id=BSGatlas-5'UTR-370","BSGatlas-5'UTR-370")</f>
        <v>BSGatlas-5'UTR-370</v>
      </c>
      <c r="B371" s="3">
        <v>596320</v>
      </c>
      <c r="C371" s="3">
        <v>596478</v>
      </c>
      <c r="D371" s="1" t="s">
        <v>9</v>
      </c>
      <c r="E371" s="1">
        <v>159</v>
      </c>
      <c r="F371" s="1" t="s">
        <v>12063</v>
      </c>
      <c r="G371" s="1" t="s">
        <v>5283</v>
      </c>
    </row>
    <row r="372" spans="1:7" ht="21" x14ac:dyDescent="0.25">
      <c r="A372" s="2" t="str">
        <f>HYPERLINK("https://rth.dk/resources/bsgatlas/details.php?id=BSGatlas-5'UTR-371","BSGatlas-5'UTR-371")</f>
        <v>BSGatlas-5'UTR-371</v>
      </c>
      <c r="B372" s="3">
        <v>596833</v>
      </c>
      <c r="C372" s="3">
        <v>597114</v>
      </c>
      <c r="D372" s="1" t="s">
        <v>9</v>
      </c>
      <c r="E372" s="1">
        <v>282</v>
      </c>
      <c r="F372" s="1" t="s">
        <v>12064</v>
      </c>
      <c r="G372" s="1" t="s">
        <v>5286</v>
      </c>
    </row>
    <row r="373" spans="1:7" ht="21" x14ac:dyDescent="0.25">
      <c r="A373" s="2" t="str">
        <f>HYPERLINK("https://rth.dk/resources/bsgatlas/details.php?id=BSGatlas-5'UTR-372","BSGatlas-5'UTR-372")</f>
        <v>BSGatlas-5'UTR-372</v>
      </c>
      <c r="B373" s="3">
        <v>596860</v>
      </c>
      <c r="C373" s="3">
        <v>597114</v>
      </c>
      <c r="D373" s="1" t="s">
        <v>9</v>
      </c>
      <c r="E373" s="1">
        <v>255</v>
      </c>
      <c r="F373" s="1" t="s">
        <v>12064</v>
      </c>
      <c r="G373" s="1" t="s">
        <v>5288</v>
      </c>
    </row>
    <row r="374" spans="1:7" ht="21" x14ac:dyDescent="0.25">
      <c r="A374" s="2" t="str">
        <f>HYPERLINK("https://rth.dk/resources/bsgatlas/details.php?id=BSGatlas-5'UTR-373","BSGatlas-5'UTR-373")</f>
        <v>BSGatlas-5'UTR-373</v>
      </c>
      <c r="B374" s="3">
        <v>598065</v>
      </c>
      <c r="C374" s="3">
        <v>598154</v>
      </c>
      <c r="D374" s="1" t="s">
        <v>9</v>
      </c>
      <c r="E374" s="1">
        <v>90</v>
      </c>
      <c r="F374" s="1" t="s">
        <v>12065</v>
      </c>
      <c r="G374" s="1" t="s">
        <v>5289</v>
      </c>
    </row>
    <row r="375" spans="1:7" ht="21" x14ac:dyDescent="0.25">
      <c r="A375" s="2" t="str">
        <f>HYPERLINK("https://rth.dk/resources/bsgatlas/details.php?id=BSGatlas-5'UTR-374","BSGatlas-5'UTR-374")</f>
        <v>BSGatlas-5'UTR-374</v>
      </c>
      <c r="B375" s="3">
        <v>598659</v>
      </c>
      <c r="C375" s="3">
        <v>598729</v>
      </c>
      <c r="D375" s="1" t="s">
        <v>9</v>
      </c>
      <c r="E375" s="1">
        <v>71</v>
      </c>
      <c r="F375" s="1" t="s">
        <v>12066</v>
      </c>
      <c r="G375" s="1" t="s">
        <v>5290</v>
      </c>
    </row>
    <row r="376" spans="1:7" ht="21" x14ac:dyDescent="0.25">
      <c r="A376" s="2" t="str">
        <f>HYPERLINK("https://rth.dk/resources/bsgatlas/details.php?id=BSGatlas-5'UTR-375","BSGatlas-5'UTR-375")</f>
        <v>BSGatlas-5'UTR-375</v>
      </c>
      <c r="B376" s="3">
        <v>599187</v>
      </c>
      <c r="C376" s="3">
        <v>601019</v>
      </c>
      <c r="D376" s="1" t="s">
        <v>9</v>
      </c>
      <c r="E376" s="1">
        <v>1833</v>
      </c>
      <c r="F376" s="1" t="s">
        <v>12067</v>
      </c>
      <c r="G376" s="1" t="s">
        <v>5294</v>
      </c>
    </row>
    <row r="377" spans="1:7" ht="21" x14ac:dyDescent="0.25">
      <c r="A377" s="2" t="str">
        <f>HYPERLINK("https://rth.dk/resources/bsgatlas/details.php?id=BSGatlas-5'UTR-376","BSGatlas-5'UTR-376")</f>
        <v>BSGatlas-5'UTR-376</v>
      </c>
      <c r="B377" s="3">
        <v>600105</v>
      </c>
      <c r="C377" s="3">
        <v>600143</v>
      </c>
      <c r="D377" s="1" t="s">
        <v>13</v>
      </c>
      <c r="E377" s="1">
        <v>39</v>
      </c>
      <c r="F377" s="1" t="s">
        <v>12068</v>
      </c>
      <c r="G377" s="1" t="s">
        <v>5296</v>
      </c>
    </row>
    <row r="378" spans="1:7" ht="21" x14ac:dyDescent="0.25">
      <c r="A378" s="2" t="str">
        <f>HYPERLINK("https://rth.dk/resources/bsgatlas/details.php?id=BSGatlas-5'UTR-377","BSGatlas-5'UTR-377")</f>
        <v>BSGatlas-5'UTR-377</v>
      </c>
      <c r="B378" s="3">
        <v>600956</v>
      </c>
      <c r="C378" s="3">
        <v>601019</v>
      </c>
      <c r="D378" s="1" t="s">
        <v>9</v>
      </c>
      <c r="E378" s="1">
        <v>64</v>
      </c>
      <c r="F378" s="1" t="s">
        <v>12067</v>
      </c>
      <c r="G378" s="1" t="s">
        <v>5300</v>
      </c>
    </row>
    <row r="379" spans="1:7" ht="21" x14ac:dyDescent="0.25">
      <c r="A379" s="2" t="str">
        <f>HYPERLINK("https://rth.dk/resources/bsgatlas/details.php?id=BSGatlas-5'UTR-378","BSGatlas-5'UTR-378")</f>
        <v>BSGatlas-5'UTR-378</v>
      </c>
      <c r="B379" s="3">
        <v>602713</v>
      </c>
      <c r="C379" s="3">
        <v>602739</v>
      </c>
      <c r="D379" s="1" t="s">
        <v>13</v>
      </c>
      <c r="E379" s="1">
        <v>27</v>
      </c>
      <c r="F379" s="1" t="s">
        <v>12069</v>
      </c>
      <c r="G379" s="1" t="s">
        <v>5302</v>
      </c>
    </row>
    <row r="380" spans="1:7" ht="21" x14ac:dyDescent="0.25">
      <c r="A380" s="2" t="str">
        <f>HYPERLINK("https://rth.dk/resources/bsgatlas/details.php?id=BSGatlas-5'UTR-379","BSGatlas-5'UTR-379")</f>
        <v>BSGatlas-5'UTR-379</v>
      </c>
      <c r="B380" s="3">
        <v>602963</v>
      </c>
      <c r="C380" s="3">
        <v>603012</v>
      </c>
      <c r="D380" s="1" t="s">
        <v>9</v>
      </c>
      <c r="E380" s="1">
        <v>50</v>
      </c>
      <c r="F380" s="1" t="s">
        <v>12070</v>
      </c>
      <c r="G380" s="1" t="s">
        <v>5304</v>
      </c>
    </row>
    <row r="381" spans="1:7" ht="21" x14ac:dyDescent="0.25">
      <c r="A381" s="2" t="str">
        <f>HYPERLINK("https://rth.dk/resources/bsgatlas/details.php?id=BSGatlas-5'UTR-380","BSGatlas-5'UTR-380")</f>
        <v>BSGatlas-5'UTR-380</v>
      </c>
      <c r="B381" s="3">
        <v>608075</v>
      </c>
      <c r="C381" s="3">
        <v>608140</v>
      </c>
      <c r="D381" s="1" t="s">
        <v>13</v>
      </c>
      <c r="E381" s="1">
        <v>66</v>
      </c>
      <c r="F381" s="1" t="s">
        <v>12071</v>
      </c>
      <c r="G381" s="1" t="s">
        <v>5310</v>
      </c>
    </row>
    <row r="382" spans="1:7" ht="21" x14ac:dyDescent="0.25">
      <c r="A382" s="2" t="str">
        <f>HYPERLINK("https://rth.dk/resources/bsgatlas/details.php?id=BSGatlas-5'UTR-381","BSGatlas-5'UTR-381")</f>
        <v>BSGatlas-5'UTR-381</v>
      </c>
      <c r="B382" s="3">
        <v>608764</v>
      </c>
      <c r="C382" s="3">
        <v>608809</v>
      </c>
      <c r="D382" s="1" t="s">
        <v>13</v>
      </c>
      <c r="E382" s="1">
        <v>46</v>
      </c>
      <c r="F382" s="1" t="s">
        <v>12072</v>
      </c>
      <c r="G382" s="1" t="s">
        <v>5312</v>
      </c>
    </row>
    <row r="383" spans="1:7" ht="21" x14ac:dyDescent="0.25">
      <c r="A383" s="2" t="str">
        <f>HYPERLINK("https://rth.dk/resources/bsgatlas/details.php?id=BSGatlas-5'UTR-382","BSGatlas-5'UTR-382")</f>
        <v>BSGatlas-5'UTR-382</v>
      </c>
      <c r="B383" s="3">
        <v>608886</v>
      </c>
      <c r="C383" s="3">
        <v>608933</v>
      </c>
      <c r="D383" s="1" t="s">
        <v>9</v>
      </c>
      <c r="E383" s="1">
        <v>48</v>
      </c>
      <c r="F383" s="1" t="s">
        <v>12073</v>
      </c>
      <c r="G383" s="1" t="s">
        <v>5315</v>
      </c>
    </row>
    <row r="384" spans="1:7" ht="21" x14ac:dyDescent="0.25">
      <c r="A384" s="2" t="str">
        <f>HYPERLINK("https://rth.dk/resources/bsgatlas/details.php?id=BSGatlas-5'UTR-383","BSGatlas-5'UTR-383")</f>
        <v>BSGatlas-5'UTR-383</v>
      </c>
      <c r="B384" s="3">
        <v>613552</v>
      </c>
      <c r="C384" s="3">
        <v>613641</v>
      </c>
      <c r="D384" s="1" t="s">
        <v>9</v>
      </c>
      <c r="E384" s="1">
        <v>90</v>
      </c>
      <c r="F384" s="1" t="s">
        <v>12074</v>
      </c>
      <c r="G384" s="1" t="s">
        <v>5321</v>
      </c>
    </row>
    <row r="385" spans="1:7" ht="21" x14ac:dyDescent="0.25">
      <c r="A385" s="2" t="str">
        <f>HYPERLINK("https://rth.dk/resources/bsgatlas/details.php?id=BSGatlas-5'UTR-384","BSGatlas-5'UTR-384")</f>
        <v>BSGatlas-5'UTR-384</v>
      </c>
      <c r="B385" s="3">
        <v>615622</v>
      </c>
      <c r="C385" s="3">
        <v>615761</v>
      </c>
      <c r="D385" s="1" t="s">
        <v>13</v>
      </c>
      <c r="E385" s="1">
        <v>140</v>
      </c>
      <c r="F385" s="1" t="s">
        <v>12075</v>
      </c>
      <c r="G385" s="1" t="s">
        <v>5323</v>
      </c>
    </row>
    <row r="386" spans="1:7" ht="21" x14ac:dyDescent="0.25">
      <c r="A386" s="2" t="str">
        <f>HYPERLINK("https://rth.dk/resources/bsgatlas/details.php?id=BSGatlas-5'UTR-385","BSGatlas-5'UTR-385")</f>
        <v>BSGatlas-5'UTR-385</v>
      </c>
      <c r="B386" s="3">
        <v>615818</v>
      </c>
      <c r="C386" s="3">
        <v>615871</v>
      </c>
      <c r="D386" s="1" t="s">
        <v>9</v>
      </c>
      <c r="E386" s="1">
        <v>54</v>
      </c>
      <c r="F386" s="1" t="s">
        <v>12076</v>
      </c>
      <c r="G386" s="1" t="s">
        <v>5324</v>
      </c>
    </row>
    <row r="387" spans="1:7" ht="21" x14ac:dyDescent="0.25">
      <c r="A387" s="2" t="str">
        <f>HYPERLINK("https://rth.dk/resources/bsgatlas/details.php?id=BSGatlas-5'UTR-386","BSGatlas-5'UTR-386")</f>
        <v>BSGatlas-5'UTR-386</v>
      </c>
      <c r="B387" s="3">
        <v>616631</v>
      </c>
      <c r="C387" s="3">
        <v>616672</v>
      </c>
      <c r="D387" s="1" t="s">
        <v>9</v>
      </c>
      <c r="E387" s="1">
        <v>42</v>
      </c>
      <c r="F387" s="1" t="s">
        <v>12077</v>
      </c>
      <c r="G387" s="1" t="s">
        <v>5325</v>
      </c>
    </row>
    <row r="388" spans="1:7" ht="21" x14ac:dyDescent="0.25">
      <c r="A388" s="2" t="str">
        <f>HYPERLINK("https://rth.dk/resources/bsgatlas/details.php?id=BSGatlas-5'UTR-387","BSGatlas-5'UTR-387")</f>
        <v>BSGatlas-5'UTR-387</v>
      </c>
      <c r="B388" s="3">
        <v>618045</v>
      </c>
      <c r="C388" s="3">
        <v>618095</v>
      </c>
      <c r="D388" s="1" t="s">
        <v>9</v>
      </c>
      <c r="E388" s="1">
        <v>51</v>
      </c>
      <c r="F388" s="1" t="s">
        <v>12078</v>
      </c>
      <c r="G388" s="1" t="s">
        <v>5327</v>
      </c>
    </row>
    <row r="389" spans="1:7" ht="21" x14ac:dyDescent="0.25">
      <c r="A389" s="2" t="str">
        <f>HYPERLINK("https://rth.dk/resources/bsgatlas/details.php?id=BSGatlas-5'UTR-388","BSGatlas-5'UTR-388")</f>
        <v>BSGatlas-5'UTR-388</v>
      </c>
      <c r="B389" s="3">
        <v>621485</v>
      </c>
      <c r="C389" s="3">
        <v>621522</v>
      </c>
      <c r="D389" s="1" t="s">
        <v>13</v>
      </c>
      <c r="E389" s="1">
        <v>38</v>
      </c>
      <c r="F389" s="1" t="s">
        <v>12079</v>
      </c>
      <c r="G389" s="1" t="s">
        <v>5330</v>
      </c>
    </row>
    <row r="390" spans="1:7" ht="21" x14ac:dyDescent="0.25">
      <c r="A390" s="2" t="str">
        <f>HYPERLINK("https://rth.dk/resources/bsgatlas/details.php?id=BSGatlas-5'UTR-389","BSGatlas-5'UTR-389")</f>
        <v>BSGatlas-5'UTR-389</v>
      </c>
      <c r="B390" s="3">
        <v>621485</v>
      </c>
      <c r="C390" s="3">
        <v>621604</v>
      </c>
      <c r="D390" s="1" t="s">
        <v>13</v>
      </c>
      <c r="E390" s="1">
        <v>120</v>
      </c>
      <c r="F390" s="1" t="s">
        <v>12079</v>
      </c>
      <c r="G390" s="1" t="s">
        <v>5332</v>
      </c>
    </row>
    <row r="391" spans="1:7" ht="21" x14ac:dyDescent="0.25">
      <c r="A391" s="2" t="str">
        <f>HYPERLINK("https://rth.dk/resources/bsgatlas/details.php?id=BSGatlas-5'UTR-390","BSGatlas-5'UTR-390")</f>
        <v>BSGatlas-5'UTR-390</v>
      </c>
      <c r="B391" s="3">
        <v>621713</v>
      </c>
      <c r="C391" s="3">
        <v>621847</v>
      </c>
      <c r="D391" s="1" t="s">
        <v>9</v>
      </c>
      <c r="E391" s="1">
        <v>135</v>
      </c>
      <c r="F391" s="1" t="s">
        <v>12080</v>
      </c>
      <c r="G391" s="1" t="s">
        <v>5334</v>
      </c>
    </row>
    <row r="392" spans="1:7" ht="21" x14ac:dyDescent="0.25">
      <c r="A392" s="2" t="str">
        <f>HYPERLINK("https://rth.dk/resources/bsgatlas/details.php?id=BSGatlas-5'UTR-391","BSGatlas-5'UTR-391")</f>
        <v>BSGatlas-5'UTR-391</v>
      </c>
      <c r="B392" s="3">
        <v>622988</v>
      </c>
      <c r="C392" s="3">
        <v>623373</v>
      </c>
      <c r="D392" s="1" t="s">
        <v>9</v>
      </c>
      <c r="E392" s="1">
        <v>386</v>
      </c>
      <c r="F392" s="1" t="s">
        <v>12081</v>
      </c>
      <c r="G392" s="1" t="s">
        <v>5339</v>
      </c>
    </row>
    <row r="393" spans="1:7" ht="21" x14ac:dyDescent="0.25">
      <c r="A393" s="2" t="str">
        <f>HYPERLINK("https://rth.dk/resources/bsgatlas/details.php?id=BSGatlas-5'UTR-392","BSGatlas-5'UTR-392")</f>
        <v>BSGatlas-5'UTR-392</v>
      </c>
      <c r="B393" s="3">
        <v>623290</v>
      </c>
      <c r="C393" s="3">
        <v>623329</v>
      </c>
      <c r="D393" s="1" t="s">
        <v>13</v>
      </c>
      <c r="E393" s="1">
        <v>40</v>
      </c>
      <c r="F393" s="1" t="s">
        <v>12082</v>
      </c>
      <c r="G393" s="1" t="s">
        <v>5337</v>
      </c>
    </row>
    <row r="394" spans="1:7" ht="21" x14ac:dyDescent="0.25">
      <c r="A394" s="2" t="str">
        <f>HYPERLINK("https://rth.dk/resources/bsgatlas/details.php?id=BSGatlas-5'UTR-393","BSGatlas-5'UTR-393")</f>
        <v>BSGatlas-5'UTR-393</v>
      </c>
      <c r="B394" s="3">
        <v>624406</v>
      </c>
      <c r="C394" s="3">
        <v>624492</v>
      </c>
      <c r="D394" s="1" t="s">
        <v>9</v>
      </c>
      <c r="E394" s="1">
        <v>87</v>
      </c>
      <c r="F394" s="1" t="s">
        <v>12083</v>
      </c>
      <c r="G394" s="1" t="s">
        <v>5341</v>
      </c>
    </row>
    <row r="395" spans="1:7" ht="21" x14ac:dyDescent="0.25">
      <c r="A395" s="2" t="str">
        <f>HYPERLINK("https://rth.dk/resources/bsgatlas/details.php?id=BSGatlas-5'UTR-394","BSGatlas-5'UTR-394")</f>
        <v>BSGatlas-5'UTR-394</v>
      </c>
      <c r="B395" s="3">
        <v>624462</v>
      </c>
      <c r="C395" s="3">
        <v>624492</v>
      </c>
      <c r="D395" s="1" t="s">
        <v>9</v>
      </c>
      <c r="E395" s="1">
        <v>31</v>
      </c>
      <c r="F395" s="1" t="s">
        <v>12083</v>
      </c>
      <c r="G395" s="1" t="s">
        <v>5343</v>
      </c>
    </row>
    <row r="396" spans="1:7" ht="21" x14ac:dyDescent="0.25">
      <c r="A396" s="2" t="str">
        <f>HYPERLINK("https://rth.dk/resources/bsgatlas/details.php?id=BSGatlas-5'UTR-395","BSGatlas-5'UTR-395")</f>
        <v>BSGatlas-5'UTR-395</v>
      </c>
      <c r="B396" s="3">
        <v>626291</v>
      </c>
      <c r="C396" s="3">
        <v>626470</v>
      </c>
      <c r="D396" s="1" t="s">
        <v>13</v>
      </c>
      <c r="E396" s="1">
        <v>180</v>
      </c>
      <c r="F396" s="1" t="s">
        <v>12084</v>
      </c>
      <c r="G396" s="1" t="s">
        <v>5344</v>
      </c>
    </row>
    <row r="397" spans="1:7" ht="21" x14ac:dyDescent="0.25">
      <c r="A397" s="2" t="str">
        <f>HYPERLINK("https://rth.dk/resources/bsgatlas/details.php?id=BSGatlas-5'UTR-396","BSGatlas-5'UTR-396")</f>
        <v>BSGatlas-5'UTR-396</v>
      </c>
      <c r="B397" s="3">
        <v>626591</v>
      </c>
      <c r="C397" s="3">
        <v>626622</v>
      </c>
      <c r="D397" s="1" t="s">
        <v>9</v>
      </c>
      <c r="E397" s="1">
        <v>32</v>
      </c>
      <c r="F397" s="1" t="s">
        <v>12085</v>
      </c>
      <c r="G397" s="1" t="s">
        <v>5348</v>
      </c>
    </row>
    <row r="398" spans="1:7" ht="21" x14ac:dyDescent="0.25">
      <c r="A398" s="2" t="str">
        <f>HYPERLINK("https://rth.dk/resources/bsgatlas/details.php?id=BSGatlas-5'UTR-397","BSGatlas-5'UTR-397")</f>
        <v>BSGatlas-5'UTR-397</v>
      </c>
      <c r="B398" s="3">
        <v>630116</v>
      </c>
      <c r="C398" s="3">
        <v>630170</v>
      </c>
      <c r="D398" s="1" t="s">
        <v>9</v>
      </c>
      <c r="E398" s="1">
        <v>55</v>
      </c>
      <c r="F398" s="1" t="s">
        <v>12086</v>
      </c>
      <c r="G398" s="1" t="s">
        <v>5351</v>
      </c>
    </row>
    <row r="399" spans="1:7" ht="21" x14ac:dyDescent="0.25">
      <c r="A399" s="2" t="str">
        <f>HYPERLINK("https://rth.dk/resources/bsgatlas/details.php?id=BSGatlas-5'UTR-398","BSGatlas-5'UTR-398")</f>
        <v>BSGatlas-5'UTR-398</v>
      </c>
      <c r="B399" s="3">
        <v>634776</v>
      </c>
      <c r="C399" s="3">
        <v>634817</v>
      </c>
      <c r="D399" s="1" t="s">
        <v>13</v>
      </c>
      <c r="E399" s="1">
        <v>42</v>
      </c>
      <c r="F399" s="1" t="s">
        <v>12087</v>
      </c>
      <c r="G399" s="1" t="s">
        <v>5354</v>
      </c>
    </row>
    <row r="400" spans="1:7" ht="21" x14ac:dyDescent="0.25">
      <c r="A400" s="2" t="str">
        <f>HYPERLINK("https://rth.dk/resources/bsgatlas/details.php?id=BSGatlas-5'UTR-399","BSGatlas-5'UTR-399")</f>
        <v>BSGatlas-5'UTR-399</v>
      </c>
      <c r="B400" s="3">
        <v>634920</v>
      </c>
      <c r="C400" s="3">
        <v>635109</v>
      </c>
      <c r="D400" s="1" t="s">
        <v>9</v>
      </c>
      <c r="E400" s="1">
        <v>190</v>
      </c>
      <c r="F400" s="1" t="s">
        <v>12088</v>
      </c>
      <c r="G400" s="1" t="s">
        <v>5356</v>
      </c>
    </row>
    <row r="401" spans="1:7" ht="21" x14ac:dyDescent="0.25">
      <c r="A401" s="2" t="str">
        <f>HYPERLINK("https://rth.dk/resources/bsgatlas/details.php?id=BSGatlas-5'UTR-400","BSGatlas-5'UTR-400")</f>
        <v>BSGatlas-5'UTR-400</v>
      </c>
      <c r="B401" s="3">
        <v>634978</v>
      </c>
      <c r="C401" s="3">
        <v>635109</v>
      </c>
      <c r="D401" s="1" t="s">
        <v>9</v>
      </c>
      <c r="E401" s="1">
        <v>132</v>
      </c>
      <c r="F401" s="1" t="s">
        <v>12088</v>
      </c>
      <c r="G401" s="1" t="s">
        <v>5358</v>
      </c>
    </row>
    <row r="402" spans="1:7" ht="21" x14ac:dyDescent="0.25">
      <c r="A402" s="2" t="str">
        <f>HYPERLINK("https://rth.dk/resources/bsgatlas/details.php?id=BSGatlas-5'UTR-401","BSGatlas-5'UTR-401")</f>
        <v>BSGatlas-5'UTR-401</v>
      </c>
      <c r="B402" s="3">
        <v>635022</v>
      </c>
      <c r="C402" s="3">
        <v>635109</v>
      </c>
      <c r="D402" s="1" t="s">
        <v>9</v>
      </c>
      <c r="E402" s="1">
        <v>88</v>
      </c>
      <c r="F402" s="1" t="s">
        <v>12088</v>
      </c>
      <c r="G402" s="1" t="s">
        <v>5359</v>
      </c>
    </row>
    <row r="403" spans="1:7" ht="21" x14ac:dyDescent="0.25">
      <c r="A403" s="2" t="str">
        <f>HYPERLINK("https://rth.dk/resources/bsgatlas/details.php?id=BSGatlas-5'UTR-402","BSGatlas-5'UTR-402")</f>
        <v>BSGatlas-5'UTR-402</v>
      </c>
      <c r="B403" s="3">
        <v>640606</v>
      </c>
      <c r="C403" s="3">
        <v>640662</v>
      </c>
      <c r="D403" s="1" t="s">
        <v>9</v>
      </c>
      <c r="E403" s="1">
        <v>57</v>
      </c>
      <c r="F403" s="1" t="s">
        <v>12089</v>
      </c>
      <c r="G403" s="1" t="s">
        <v>5363</v>
      </c>
    </row>
    <row r="404" spans="1:7" ht="21" x14ac:dyDescent="0.25">
      <c r="A404" s="2" t="str">
        <f>HYPERLINK("https://rth.dk/resources/bsgatlas/details.php?id=BSGatlas-5'UTR-403","BSGatlas-5'UTR-403")</f>
        <v>BSGatlas-5'UTR-403</v>
      </c>
      <c r="B404" s="3">
        <v>646218</v>
      </c>
      <c r="C404" s="3">
        <v>646582</v>
      </c>
      <c r="D404" s="1" t="s">
        <v>9</v>
      </c>
      <c r="E404" s="1">
        <v>365</v>
      </c>
      <c r="F404" s="1" t="s">
        <v>12090</v>
      </c>
      <c r="G404" s="1" t="s">
        <v>5368</v>
      </c>
    </row>
    <row r="405" spans="1:7" ht="21" x14ac:dyDescent="0.25">
      <c r="A405" s="2" t="str">
        <f>HYPERLINK("https://rth.dk/resources/bsgatlas/details.php?id=BSGatlas-5'UTR-404","BSGatlas-5'UTR-404")</f>
        <v>BSGatlas-5'UTR-404</v>
      </c>
      <c r="B405" s="3">
        <v>646411</v>
      </c>
      <c r="C405" s="3">
        <v>646582</v>
      </c>
      <c r="D405" s="1" t="s">
        <v>9</v>
      </c>
      <c r="E405" s="1">
        <v>172</v>
      </c>
      <c r="F405" s="1" t="s">
        <v>12090</v>
      </c>
      <c r="G405" s="1" t="s">
        <v>5370</v>
      </c>
    </row>
    <row r="406" spans="1:7" ht="21" x14ac:dyDescent="0.25">
      <c r="A406" s="2" t="str">
        <f>HYPERLINK("https://rth.dk/resources/bsgatlas/details.php?id=BSGatlas-5'UTR-405","BSGatlas-5'UTR-405")</f>
        <v>BSGatlas-5'UTR-405</v>
      </c>
      <c r="B406" s="3">
        <v>646456</v>
      </c>
      <c r="C406" s="3">
        <v>646488</v>
      </c>
      <c r="D406" s="1" t="s">
        <v>13</v>
      </c>
      <c r="E406" s="1">
        <v>33</v>
      </c>
      <c r="F406" s="1" t="s">
        <v>12091</v>
      </c>
      <c r="G406" s="1" t="s">
        <v>5365</v>
      </c>
    </row>
    <row r="407" spans="1:7" ht="21" x14ac:dyDescent="0.25">
      <c r="A407" s="2" t="str">
        <f>HYPERLINK("https://rth.dk/resources/bsgatlas/details.php?id=BSGatlas-5'UTR-406","BSGatlas-5'UTR-406")</f>
        <v>BSGatlas-5'UTR-406</v>
      </c>
      <c r="B407" s="3">
        <v>647628</v>
      </c>
      <c r="C407" s="3">
        <v>647760</v>
      </c>
      <c r="D407" s="1" t="s">
        <v>9</v>
      </c>
      <c r="E407" s="1">
        <v>133</v>
      </c>
      <c r="F407" s="1" t="s">
        <v>12092</v>
      </c>
      <c r="G407" s="1" t="s">
        <v>5372</v>
      </c>
    </row>
    <row r="408" spans="1:7" ht="21" x14ac:dyDescent="0.25">
      <c r="A408" s="2" t="str">
        <f>HYPERLINK("https://rth.dk/resources/bsgatlas/details.php?id=BSGatlas-5'UTR-407","BSGatlas-5'UTR-407")</f>
        <v>BSGatlas-5'UTR-407</v>
      </c>
      <c r="B408" s="3">
        <v>649344</v>
      </c>
      <c r="C408" s="3">
        <v>649903</v>
      </c>
      <c r="D408" s="1" t="s">
        <v>9</v>
      </c>
      <c r="E408" s="1">
        <v>560</v>
      </c>
      <c r="F408" s="1" t="s">
        <v>12093</v>
      </c>
      <c r="G408" s="1" t="s">
        <v>5377</v>
      </c>
    </row>
    <row r="409" spans="1:7" ht="21" x14ac:dyDescent="0.25">
      <c r="A409" s="2" t="str">
        <f>HYPERLINK("https://rth.dk/resources/bsgatlas/details.php?id=BSGatlas-5'UTR-408","BSGatlas-5'UTR-408")</f>
        <v>BSGatlas-5'UTR-408</v>
      </c>
      <c r="B409" s="3">
        <v>649664</v>
      </c>
      <c r="C409" s="3">
        <v>649721</v>
      </c>
      <c r="D409" s="1" t="s">
        <v>13</v>
      </c>
      <c r="E409" s="1">
        <v>58</v>
      </c>
      <c r="F409" s="1" t="s">
        <v>12094</v>
      </c>
      <c r="G409" s="1" t="s">
        <v>5374</v>
      </c>
    </row>
    <row r="410" spans="1:7" ht="21" x14ac:dyDescent="0.25">
      <c r="A410" s="2" t="str">
        <f>HYPERLINK("https://rth.dk/resources/bsgatlas/details.php?id=BSGatlas-5'UTR-409","BSGatlas-5'UTR-409")</f>
        <v>BSGatlas-5'UTR-409</v>
      </c>
      <c r="B410" s="3">
        <v>649696</v>
      </c>
      <c r="C410" s="3">
        <v>649903</v>
      </c>
      <c r="D410" s="1" t="s">
        <v>9</v>
      </c>
      <c r="E410" s="1">
        <v>208</v>
      </c>
      <c r="F410" s="1" t="s">
        <v>12093</v>
      </c>
      <c r="G410" s="1" t="s">
        <v>5379</v>
      </c>
    </row>
    <row r="411" spans="1:7" ht="21" x14ac:dyDescent="0.25">
      <c r="A411" s="2" t="str">
        <f>HYPERLINK("https://rth.dk/resources/bsgatlas/details.php?id=BSGatlas-5'UTR-410","BSGatlas-5'UTR-410")</f>
        <v>BSGatlas-5'UTR-410</v>
      </c>
      <c r="B411" s="3">
        <v>649837</v>
      </c>
      <c r="C411" s="3">
        <v>649903</v>
      </c>
      <c r="D411" s="1" t="s">
        <v>9</v>
      </c>
      <c r="E411" s="1">
        <v>67</v>
      </c>
      <c r="F411" s="1" t="s">
        <v>12093</v>
      </c>
      <c r="G411" s="1" t="s">
        <v>5380</v>
      </c>
    </row>
    <row r="412" spans="1:7" ht="21" x14ac:dyDescent="0.25">
      <c r="A412" s="2" t="str">
        <f>HYPERLINK("https://rth.dk/resources/bsgatlas/details.php?id=BSGatlas-5'UTR-411","BSGatlas-5'UTR-411")</f>
        <v>BSGatlas-5'UTR-411</v>
      </c>
      <c r="B412" s="3">
        <v>655138</v>
      </c>
      <c r="C412" s="3">
        <v>655223</v>
      </c>
      <c r="D412" s="1" t="s">
        <v>9</v>
      </c>
      <c r="E412" s="1">
        <v>86</v>
      </c>
      <c r="F412" s="1" t="s">
        <v>12095</v>
      </c>
      <c r="G412" s="1" t="s">
        <v>5382</v>
      </c>
    </row>
    <row r="413" spans="1:7" ht="21" x14ac:dyDescent="0.25">
      <c r="A413" s="2" t="str">
        <f>HYPERLINK("https://rth.dk/resources/bsgatlas/details.php?id=BSGatlas-5'UTR-412","BSGatlas-5'UTR-412")</f>
        <v>BSGatlas-5'UTR-412</v>
      </c>
      <c r="B413" s="3">
        <v>659332</v>
      </c>
      <c r="C413" s="3">
        <v>659558</v>
      </c>
      <c r="D413" s="1" t="s">
        <v>13</v>
      </c>
      <c r="E413" s="1">
        <v>227</v>
      </c>
      <c r="F413" s="1" t="s">
        <v>12096</v>
      </c>
      <c r="G413" s="1" t="s">
        <v>5388</v>
      </c>
    </row>
    <row r="414" spans="1:7" ht="21" x14ac:dyDescent="0.25">
      <c r="A414" s="2" t="str">
        <f>HYPERLINK("https://rth.dk/resources/bsgatlas/details.php?id=BSGatlas-5'UTR-413","BSGatlas-5'UTR-413")</f>
        <v>BSGatlas-5'UTR-413</v>
      </c>
      <c r="B414" s="3">
        <v>659560</v>
      </c>
      <c r="C414" s="3">
        <v>659623</v>
      </c>
      <c r="D414" s="1" t="s">
        <v>9</v>
      </c>
      <c r="E414" s="1">
        <v>64</v>
      </c>
      <c r="F414" s="1" t="s">
        <v>12097</v>
      </c>
      <c r="G414" s="1" t="s">
        <v>5390</v>
      </c>
    </row>
    <row r="415" spans="1:7" ht="21" x14ac:dyDescent="0.25">
      <c r="A415" s="2" t="str">
        <f>HYPERLINK("https://rth.dk/resources/bsgatlas/details.php?id=BSGatlas-5'UTR-414","BSGatlas-5'UTR-414")</f>
        <v>BSGatlas-5'UTR-414</v>
      </c>
      <c r="B415" s="3">
        <v>667264</v>
      </c>
      <c r="C415" s="3">
        <v>667304</v>
      </c>
      <c r="D415" s="1" t="s">
        <v>13</v>
      </c>
      <c r="E415" s="1">
        <v>41</v>
      </c>
      <c r="F415" s="1" t="s">
        <v>12098</v>
      </c>
      <c r="G415" s="1" t="s">
        <v>5394</v>
      </c>
    </row>
    <row r="416" spans="1:7" ht="21" x14ac:dyDescent="0.25">
      <c r="A416" s="2" t="str">
        <f>HYPERLINK("https://rth.dk/resources/bsgatlas/details.php?id=BSGatlas-5'UTR-415","BSGatlas-5'UTR-415")</f>
        <v>BSGatlas-5'UTR-415</v>
      </c>
      <c r="B416" s="3">
        <v>667402</v>
      </c>
      <c r="C416" s="3">
        <v>667466</v>
      </c>
      <c r="D416" s="1" t="s">
        <v>9</v>
      </c>
      <c r="E416" s="1">
        <v>65</v>
      </c>
      <c r="F416" s="1" t="s">
        <v>12099</v>
      </c>
      <c r="G416" s="1" t="s">
        <v>5398</v>
      </c>
    </row>
    <row r="417" spans="1:7" ht="21" x14ac:dyDescent="0.25">
      <c r="A417" s="2" t="str">
        <f>HYPERLINK("https://rth.dk/resources/bsgatlas/details.php?id=BSGatlas-5'UTR-416","BSGatlas-5'UTR-416")</f>
        <v>BSGatlas-5'UTR-416</v>
      </c>
      <c r="B417" s="3">
        <v>670045</v>
      </c>
      <c r="C417" s="3">
        <v>670087</v>
      </c>
      <c r="D417" s="1" t="s">
        <v>9</v>
      </c>
      <c r="E417" s="1">
        <v>43</v>
      </c>
      <c r="F417" s="1" t="s">
        <v>12100</v>
      </c>
      <c r="G417" s="1" t="s">
        <v>5401</v>
      </c>
    </row>
    <row r="418" spans="1:7" ht="21" x14ac:dyDescent="0.25">
      <c r="A418" s="2" t="str">
        <f>HYPERLINK("https://rth.dk/resources/bsgatlas/details.php?id=BSGatlas-5'UTR-417","BSGatlas-5'UTR-417")</f>
        <v>BSGatlas-5'UTR-417</v>
      </c>
      <c r="B418" s="3">
        <v>671209</v>
      </c>
      <c r="C418" s="3">
        <v>671245</v>
      </c>
      <c r="D418" s="1" t="s">
        <v>9</v>
      </c>
      <c r="E418" s="1">
        <v>37</v>
      </c>
      <c r="F418" s="1" t="s">
        <v>12101</v>
      </c>
      <c r="G418" s="1" t="s">
        <v>5402</v>
      </c>
    </row>
    <row r="419" spans="1:7" ht="21" x14ac:dyDescent="0.25">
      <c r="A419" s="2" t="str">
        <f>HYPERLINK("https://rth.dk/resources/bsgatlas/details.php?id=BSGatlas-5'UTR-418","BSGatlas-5'UTR-418")</f>
        <v>BSGatlas-5'UTR-418</v>
      </c>
      <c r="B419" s="3">
        <v>675857</v>
      </c>
      <c r="C419" s="3">
        <v>675907</v>
      </c>
      <c r="D419" s="1" t="s">
        <v>13</v>
      </c>
      <c r="E419" s="1">
        <v>51</v>
      </c>
      <c r="F419" s="1" t="s">
        <v>12102</v>
      </c>
      <c r="G419" s="1" t="s">
        <v>5406</v>
      </c>
    </row>
    <row r="420" spans="1:7" ht="21" x14ac:dyDescent="0.25">
      <c r="A420" s="2" t="str">
        <f>HYPERLINK("https://rth.dk/resources/bsgatlas/details.php?id=BSGatlas-5'UTR-419","BSGatlas-5'UTR-419")</f>
        <v>BSGatlas-5'UTR-419</v>
      </c>
      <c r="B420" s="3">
        <v>676154</v>
      </c>
      <c r="C420" s="3">
        <v>676442</v>
      </c>
      <c r="D420" s="1" t="s">
        <v>9</v>
      </c>
      <c r="E420" s="1">
        <v>289</v>
      </c>
      <c r="F420" s="1" t="s">
        <v>12103</v>
      </c>
      <c r="G420" s="1" t="s">
        <v>5408</v>
      </c>
    </row>
    <row r="421" spans="1:7" ht="21" x14ac:dyDescent="0.25">
      <c r="A421" s="2" t="str">
        <f>HYPERLINK("https://rth.dk/resources/bsgatlas/details.php?id=BSGatlas-5'UTR-420","BSGatlas-5'UTR-420")</f>
        <v>BSGatlas-5'UTR-420</v>
      </c>
      <c r="B421" s="3">
        <v>678515</v>
      </c>
      <c r="C421" s="3">
        <v>679390</v>
      </c>
      <c r="D421" s="1" t="s">
        <v>9</v>
      </c>
      <c r="E421" s="1">
        <v>876</v>
      </c>
      <c r="F421" s="1" t="s">
        <v>12104</v>
      </c>
      <c r="G421" s="1" t="s">
        <v>5411</v>
      </c>
    </row>
    <row r="422" spans="1:7" ht="21" x14ac:dyDescent="0.25">
      <c r="A422" s="2" t="str">
        <f>HYPERLINK("https://rth.dk/resources/bsgatlas/details.php?id=BSGatlas-5'UTR-421","BSGatlas-5'UTR-421")</f>
        <v>BSGatlas-5'UTR-421</v>
      </c>
      <c r="B422" s="3">
        <v>679052</v>
      </c>
      <c r="C422" s="3">
        <v>679390</v>
      </c>
      <c r="D422" s="1" t="s">
        <v>9</v>
      </c>
      <c r="E422" s="1">
        <v>339</v>
      </c>
      <c r="F422" s="1" t="s">
        <v>12104</v>
      </c>
      <c r="G422" s="1" t="s">
        <v>5416</v>
      </c>
    </row>
    <row r="423" spans="1:7" ht="21" x14ac:dyDescent="0.25">
      <c r="A423" s="2" t="str">
        <f>HYPERLINK("https://rth.dk/resources/bsgatlas/details.php?id=BSGatlas-5'UTR-422","BSGatlas-5'UTR-422")</f>
        <v>BSGatlas-5'UTR-422</v>
      </c>
      <c r="B423" s="3">
        <v>679220</v>
      </c>
      <c r="C423" s="3">
        <v>679246</v>
      </c>
      <c r="D423" s="1" t="s">
        <v>13</v>
      </c>
      <c r="E423" s="1">
        <v>27</v>
      </c>
      <c r="F423" s="1" t="s">
        <v>12105</v>
      </c>
      <c r="G423" s="1" t="s">
        <v>5417</v>
      </c>
    </row>
    <row r="424" spans="1:7" ht="21" x14ac:dyDescent="0.25">
      <c r="A424" s="2" t="str">
        <f>HYPERLINK("https://rth.dk/resources/bsgatlas/details.php?id=BSGatlas-5'UTR-423","BSGatlas-5'UTR-423")</f>
        <v>BSGatlas-5'UTR-423</v>
      </c>
      <c r="B424" s="3">
        <v>679351</v>
      </c>
      <c r="C424" s="3">
        <v>679390</v>
      </c>
      <c r="D424" s="1" t="s">
        <v>9</v>
      </c>
      <c r="E424" s="1">
        <v>40</v>
      </c>
      <c r="F424" s="1" t="s">
        <v>12104</v>
      </c>
      <c r="G424" s="1" t="s">
        <v>5418</v>
      </c>
    </row>
    <row r="425" spans="1:7" ht="21" x14ac:dyDescent="0.25">
      <c r="A425" s="2" t="str">
        <f>HYPERLINK("https://rth.dk/resources/bsgatlas/details.php?id=BSGatlas-5'UTR-424","BSGatlas-5'UTR-424")</f>
        <v>BSGatlas-5'UTR-424</v>
      </c>
      <c r="B425" s="3">
        <v>681464</v>
      </c>
      <c r="C425" s="3">
        <v>681508</v>
      </c>
      <c r="D425" s="1" t="s">
        <v>13</v>
      </c>
      <c r="E425" s="1">
        <v>45</v>
      </c>
      <c r="F425" s="1" t="s">
        <v>12106</v>
      </c>
      <c r="G425" s="1" t="s">
        <v>5420</v>
      </c>
    </row>
    <row r="426" spans="1:7" ht="21" x14ac:dyDescent="0.25">
      <c r="A426" s="2" t="str">
        <f>HYPERLINK("https://rth.dk/resources/bsgatlas/details.php?id=BSGatlas-5'UTR-425","BSGatlas-5'UTR-425")</f>
        <v>BSGatlas-5'UTR-425</v>
      </c>
      <c r="B426" s="3">
        <v>683364</v>
      </c>
      <c r="C426" s="3">
        <v>683390</v>
      </c>
      <c r="D426" s="1" t="s">
        <v>13</v>
      </c>
      <c r="E426" s="1">
        <v>27</v>
      </c>
      <c r="F426" s="1" t="s">
        <v>12107</v>
      </c>
      <c r="G426" s="1" t="s">
        <v>5424</v>
      </c>
    </row>
    <row r="427" spans="1:7" ht="21" x14ac:dyDescent="0.25">
      <c r="A427" s="2" t="str">
        <f>HYPERLINK("https://rth.dk/resources/bsgatlas/details.php?id=BSGatlas-5'UTR-426","BSGatlas-5'UTR-426")</f>
        <v>BSGatlas-5'UTR-426</v>
      </c>
      <c r="B427" s="3">
        <v>685003</v>
      </c>
      <c r="C427" s="3">
        <v>685038</v>
      </c>
      <c r="D427" s="1" t="s">
        <v>13</v>
      </c>
      <c r="E427" s="1">
        <v>36</v>
      </c>
      <c r="F427" s="1" t="s">
        <v>12108</v>
      </c>
      <c r="G427" s="1" t="s">
        <v>5425</v>
      </c>
    </row>
    <row r="428" spans="1:7" ht="21" x14ac:dyDescent="0.25">
      <c r="A428" s="2" t="str">
        <f>HYPERLINK("https://rth.dk/resources/bsgatlas/details.php?id=BSGatlas-5'UTR-427","BSGatlas-5'UTR-427")</f>
        <v>BSGatlas-5'UTR-427</v>
      </c>
      <c r="B428" s="3">
        <v>686564</v>
      </c>
      <c r="C428" s="3">
        <v>686596</v>
      </c>
      <c r="D428" s="1" t="s">
        <v>13</v>
      </c>
      <c r="E428" s="1">
        <v>33</v>
      </c>
      <c r="F428" s="1" t="s">
        <v>12109</v>
      </c>
      <c r="G428" s="1" t="s">
        <v>5427</v>
      </c>
    </row>
    <row r="429" spans="1:7" ht="21" x14ac:dyDescent="0.25">
      <c r="A429" s="2" t="str">
        <f>HYPERLINK("https://rth.dk/resources/bsgatlas/details.php?id=BSGatlas-5'UTR-428","BSGatlas-5'UTR-428")</f>
        <v>BSGatlas-5'UTR-428</v>
      </c>
      <c r="B429" s="3">
        <v>686564</v>
      </c>
      <c r="C429" s="3">
        <v>686608</v>
      </c>
      <c r="D429" s="1" t="s">
        <v>13</v>
      </c>
      <c r="E429" s="1">
        <v>45</v>
      </c>
      <c r="F429" s="1" t="s">
        <v>12109</v>
      </c>
      <c r="G429" s="1" t="s">
        <v>5429</v>
      </c>
    </row>
    <row r="430" spans="1:7" ht="21" x14ac:dyDescent="0.25">
      <c r="A430" s="2" t="str">
        <f>HYPERLINK("https://rth.dk/resources/bsgatlas/details.php?id=BSGatlas-5'UTR-429","BSGatlas-5'UTR-429")</f>
        <v>BSGatlas-5'UTR-429</v>
      </c>
      <c r="B430" s="3">
        <v>686919</v>
      </c>
      <c r="C430" s="3">
        <v>686962</v>
      </c>
      <c r="D430" s="1" t="s">
        <v>9</v>
      </c>
      <c r="E430" s="1">
        <v>44</v>
      </c>
      <c r="F430" s="1" t="s">
        <v>12110</v>
      </c>
      <c r="G430" s="1" t="s">
        <v>5430</v>
      </c>
    </row>
    <row r="431" spans="1:7" ht="21" x14ac:dyDescent="0.25">
      <c r="A431" s="2" t="str">
        <f>HYPERLINK("https://rth.dk/resources/bsgatlas/details.php?id=BSGatlas-5'UTR-430","BSGatlas-5'UTR-430")</f>
        <v>BSGatlas-5'UTR-430</v>
      </c>
      <c r="B431" s="3">
        <v>688138</v>
      </c>
      <c r="C431" s="3">
        <v>688184</v>
      </c>
      <c r="D431" s="1" t="s">
        <v>9</v>
      </c>
      <c r="E431" s="1">
        <v>47</v>
      </c>
      <c r="F431" s="1" t="s">
        <v>12111</v>
      </c>
      <c r="G431" s="1" t="s">
        <v>5432</v>
      </c>
    </row>
    <row r="432" spans="1:7" ht="21" x14ac:dyDescent="0.25">
      <c r="A432" s="2" t="str">
        <f>HYPERLINK("https://rth.dk/resources/bsgatlas/details.php?id=BSGatlas-5'UTR-431","BSGatlas-5'UTR-431")</f>
        <v>BSGatlas-5'UTR-431</v>
      </c>
      <c r="B432" s="3">
        <v>692609</v>
      </c>
      <c r="C432" s="3">
        <v>692740</v>
      </c>
      <c r="D432" s="1" t="s">
        <v>9</v>
      </c>
      <c r="E432" s="1">
        <v>132</v>
      </c>
      <c r="F432" s="1" t="s">
        <v>12112</v>
      </c>
      <c r="G432" s="1" t="s">
        <v>5434</v>
      </c>
    </row>
    <row r="433" spans="1:7" ht="21" x14ac:dyDescent="0.25">
      <c r="A433" s="2" t="str">
        <f>HYPERLINK("https://rth.dk/resources/bsgatlas/details.php?id=BSGatlas-5'UTR-432","BSGatlas-5'UTR-432")</f>
        <v>BSGatlas-5'UTR-432</v>
      </c>
      <c r="B433" s="3">
        <v>694418</v>
      </c>
      <c r="C433" s="3">
        <v>694662</v>
      </c>
      <c r="D433" s="1" t="s">
        <v>9</v>
      </c>
      <c r="E433" s="1">
        <v>245</v>
      </c>
      <c r="F433" s="1" t="s">
        <v>12113</v>
      </c>
      <c r="G433" s="1" t="s">
        <v>5437</v>
      </c>
    </row>
    <row r="434" spans="1:7" ht="21" x14ac:dyDescent="0.25">
      <c r="A434" s="2" t="str">
        <f>HYPERLINK("https://rth.dk/resources/bsgatlas/details.php?id=BSGatlas-5'UTR-433","BSGatlas-5'UTR-433")</f>
        <v>BSGatlas-5'UTR-433</v>
      </c>
      <c r="B434" s="3">
        <v>696054</v>
      </c>
      <c r="C434" s="3">
        <v>696195</v>
      </c>
      <c r="D434" s="1" t="s">
        <v>9</v>
      </c>
      <c r="E434" s="1">
        <v>142</v>
      </c>
      <c r="F434" s="1" t="s">
        <v>12114</v>
      </c>
      <c r="G434" s="1" t="s">
        <v>5440</v>
      </c>
    </row>
    <row r="435" spans="1:7" ht="21" x14ac:dyDescent="0.25">
      <c r="A435" s="2" t="str">
        <f>HYPERLINK("https://rth.dk/resources/bsgatlas/details.php?id=BSGatlas-5'UTR-434","BSGatlas-5'UTR-434")</f>
        <v>BSGatlas-5'UTR-434</v>
      </c>
      <c r="B435" s="3">
        <v>697093</v>
      </c>
      <c r="C435" s="3">
        <v>697157</v>
      </c>
      <c r="D435" s="1" t="s">
        <v>9</v>
      </c>
      <c r="E435" s="1">
        <v>65</v>
      </c>
      <c r="F435" s="1" t="s">
        <v>12115</v>
      </c>
      <c r="G435" s="1" t="s">
        <v>5442</v>
      </c>
    </row>
    <row r="436" spans="1:7" ht="21" x14ac:dyDescent="0.25">
      <c r="A436" s="2" t="str">
        <f>HYPERLINK("https://rth.dk/resources/bsgatlas/details.php?id=BSGatlas-5'UTR-435","BSGatlas-5'UTR-435")</f>
        <v>BSGatlas-5'UTR-435</v>
      </c>
      <c r="B436" s="3">
        <v>697399</v>
      </c>
      <c r="C436" s="3">
        <v>697538</v>
      </c>
      <c r="D436" s="1" t="s">
        <v>9</v>
      </c>
      <c r="E436" s="1">
        <v>140</v>
      </c>
      <c r="F436" s="1" t="s">
        <v>12116</v>
      </c>
      <c r="G436" s="1" t="s">
        <v>5445</v>
      </c>
    </row>
    <row r="437" spans="1:7" ht="21" x14ac:dyDescent="0.25">
      <c r="A437" s="2" t="str">
        <f>HYPERLINK("https://rth.dk/resources/bsgatlas/details.php?id=BSGatlas-5'UTR-436","BSGatlas-5'UTR-436")</f>
        <v>BSGatlas-5'UTR-436</v>
      </c>
      <c r="B437" s="3">
        <v>697487</v>
      </c>
      <c r="C437" s="3">
        <v>697538</v>
      </c>
      <c r="D437" s="1" t="s">
        <v>9</v>
      </c>
      <c r="E437" s="1">
        <v>52</v>
      </c>
      <c r="F437" s="1" t="s">
        <v>12116</v>
      </c>
      <c r="G437" s="1" t="s">
        <v>5447</v>
      </c>
    </row>
    <row r="438" spans="1:7" ht="21" x14ac:dyDescent="0.25">
      <c r="A438" s="2" t="str">
        <f>HYPERLINK("https://rth.dk/resources/bsgatlas/details.php?id=BSGatlas-5'UTR-437","BSGatlas-5'UTR-437")</f>
        <v>BSGatlas-5'UTR-437</v>
      </c>
      <c r="B438" s="3">
        <v>698370</v>
      </c>
      <c r="C438" s="3">
        <v>698612</v>
      </c>
      <c r="D438" s="1" t="s">
        <v>9</v>
      </c>
      <c r="E438" s="1">
        <v>243</v>
      </c>
      <c r="F438" s="1" t="s">
        <v>12117</v>
      </c>
      <c r="G438" s="1" t="s">
        <v>5450</v>
      </c>
    </row>
    <row r="439" spans="1:7" ht="21" x14ac:dyDescent="0.25">
      <c r="A439" s="2" t="str">
        <f>HYPERLINK("https://rth.dk/resources/bsgatlas/details.php?id=BSGatlas-5'UTR-438","BSGatlas-5'UTR-438")</f>
        <v>BSGatlas-5'UTR-438</v>
      </c>
      <c r="B439" s="3">
        <v>711875</v>
      </c>
      <c r="C439" s="3">
        <v>711954</v>
      </c>
      <c r="D439" s="1" t="s">
        <v>13</v>
      </c>
      <c r="E439" s="1">
        <v>80</v>
      </c>
      <c r="F439" s="1" t="s">
        <v>12118</v>
      </c>
      <c r="G439" s="1" t="s">
        <v>5456</v>
      </c>
    </row>
    <row r="440" spans="1:7" ht="21" x14ac:dyDescent="0.25">
      <c r="A440" s="2" t="str">
        <f>HYPERLINK("https://rth.dk/resources/bsgatlas/details.php?id=BSGatlas-5'UTR-439","BSGatlas-5'UTR-439")</f>
        <v>BSGatlas-5'UTR-439</v>
      </c>
      <c r="B440" s="3">
        <v>713535</v>
      </c>
      <c r="C440" s="3">
        <v>713956</v>
      </c>
      <c r="D440" s="1" t="s">
        <v>13</v>
      </c>
      <c r="E440" s="1">
        <v>422</v>
      </c>
      <c r="F440" s="1" t="s">
        <v>12119</v>
      </c>
      <c r="G440" s="1" t="s">
        <v>5459</v>
      </c>
    </row>
    <row r="441" spans="1:7" ht="21" x14ac:dyDescent="0.25">
      <c r="A441" s="2" t="str">
        <f>HYPERLINK("https://rth.dk/resources/bsgatlas/details.php?id=BSGatlas-5'UTR-440","BSGatlas-5'UTR-440")</f>
        <v>BSGatlas-5'UTR-440</v>
      </c>
      <c r="B441" s="3">
        <v>713619</v>
      </c>
      <c r="C441" s="3">
        <v>713664</v>
      </c>
      <c r="D441" s="1" t="s">
        <v>9</v>
      </c>
      <c r="E441" s="1">
        <v>46</v>
      </c>
      <c r="F441" s="1" t="s">
        <v>12120</v>
      </c>
      <c r="G441" s="1" t="s">
        <v>5462</v>
      </c>
    </row>
    <row r="442" spans="1:7" ht="21" x14ac:dyDescent="0.25">
      <c r="A442" s="2" t="str">
        <f>HYPERLINK("https://rth.dk/resources/bsgatlas/details.php?id=BSGatlas-5'UTR-441","BSGatlas-5'UTR-441")</f>
        <v>BSGatlas-5'UTR-441</v>
      </c>
      <c r="B442" s="3">
        <v>715398</v>
      </c>
      <c r="C442" s="3">
        <v>715433</v>
      </c>
      <c r="D442" s="1" t="s">
        <v>9</v>
      </c>
      <c r="E442" s="1">
        <v>36</v>
      </c>
      <c r="F442" s="1" t="s">
        <v>12121</v>
      </c>
      <c r="G442" s="1" t="s">
        <v>5466</v>
      </c>
    </row>
    <row r="443" spans="1:7" ht="21" x14ac:dyDescent="0.25">
      <c r="A443" s="2" t="str">
        <f>HYPERLINK("https://rth.dk/resources/bsgatlas/details.php?id=BSGatlas-5'UTR-442","BSGatlas-5'UTR-442")</f>
        <v>BSGatlas-5'UTR-442</v>
      </c>
      <c r="B443" s="3">
        <v>718357</v>
      </c>
      <c r="C443" s="3">
        <v>718390</v>
      </c>
      <c r="D443" s="1" t="s">
        <v>13</v>
      </c>
      <c r="E443" s="1">
        <v>34</v>
      </c>
      <c r="F443" s="1" t="s">
        <v>12122</v>
      </c>
      <c r="G443" s="1" t="s">
        <v>5468</v>
      </c>
    </row>
    <row r="444" spans="1:7" ht="21" x14ac:dyDescent="0.25">
      <c r="A444" s="2" t="str">
        <f>HYPERLINK("https://rth.dk/resources/bsgatlas/details.php?id=BSGatlas-5'UTR-443","BSGatlas-5'UTR-443")</f>
        <v>BSGatlas-5'UTR-443</v>
      </c>
      <c r="B444" s="3">
        <v>718571</v>
      </c>
      <c r="C444" s="3">
        <v>718622</v>
      </c>
      <c r="D444" s="1" t="s">
        <v>9</v>
      </c>
      <c r="E444" s="1">
        <v>52</v>
      </c>
      <c r="F444" s="1" t="s">
        <v>12123</v>
      </c>
      <c r="G444" s="1" t="s">
        <v>5471</v>
      </c>
    </row>
    <row r="445" spans="1:7" ht="21" x14ac:dyDescent="0.25">
      <c r="A445" s="2" t="str">
        <f>HYPERLINK("https://rth.dk/resources/bsgatlas/details.php?id=BSGatlas-5'UTR-444","BSGatlas-5'UTR-444")</f>
        <v>BSGatlas-5'UTR-444</v>
      </c>
      <c r="B445" s="3">
        <v>724870</v>
      </c>
      <c r="C445" s="3">
        <v>724987</v>
      </c>
      <c r="D445" s="1" t="s">
        <v>9</v>
      </c>
      <c r="E445" s="1">
        <v>118</v>
      </c>
      <c r="F445" s="1" t="s">
        <v>12124</v>
      </c>
      <c r="G445" s="1" t="s">
        <v>5473</v>
      </c>
    </row>
    <row r="446" spans="1:7" ht="21" x14ac:dyDescent="0.25">
      <c r="A446" s="2" t="str">
        <f>HYPERLINK("https://rth.dk/resources/bsgatlas/details.php?id=BSGatlas-5'UTR-445","BSGatlas-5'UTR-445")</f>
        <v>BSGatlas-5'UTR-445</v>
      </c>
      <c r="B446" s="3">
        <v>726733</v>
      </c>
      <c r="C446" s="3">
        <v>726774</v>
      </c>
      <c r="D446" s="1" t="s">
        <v>13</v>
      </c>
      <c r="E446" s="1">
        <v>42</v>
      </c>
      <c r="F446" s="1" t="s">
        <v>12125</v>
      </c>
      <c r="G446" s="1" t="s">
        <v>5475</v>
      </c>
    </row>
    <row r="447" spans="1:7" ht="21" x14ac:dyDescent="0.25">
      <c r="A447" s="2" t="str">
        <f>HYPERLINK("https://rth.dk/resources/bsgatlas/details.php?id=BSGatlas-5'UTR-446","BSGatlas-5'UTR-446")</f>
        <v>BSGatlas-5'UTR-446</v>
      </c>
      <c r="B447" s="3">
        <v>728318</v>
      </c>
      <c r="C447" s="3">
        <v>728431</v>
      </c>
      <c r="D447" s="1" t="s">
        <v>13</v>
      </c>
      <c r="E447" s="1">
        <v>114</v>
      </c>
      <c r="F447" s="1" t="s">
        <v>12126</v>
      </c>
      <c r="G447" s="1" t="s">
        <v>5480</v>
      </c>
    </row>
    <row r="448" spans="1:7" ht="21" x14ac:dyDescent="0.25">
      <c r="A448" s="2" t="str">
        <f>HYPERLINK("https://rth.dk/resources/bsgatlas/details.php?id=BSGatlas-5'UTR-447","BSGatlas-5'UTR-447")</f>
        <v>BSGatlas-5'UTR-447</v>
      </c>
      <c r="B448" s="3">
        <v>728318</v>
      </c>
      <c r="C448" s="3">
        <v>728444</v>
      </c>
      <c r="D448" s="1" t="s">
        <v>13</v>
      </c>
      <c r="E448" s="1">
        <v>127</v>
      </c>
      <c r="F448" s="1" t="s">
        <v>12126</v>
      </c>
      <c r="G448" s="1" t="s">
        <v>5481</v>
      </c>
    </row>
    <row r="449" spans="1:7" ht="21" x14ac:dyDescent="0.25">
      <c r="A449" s="2" t="str">
        <f>HYPERLINK("https://rth.dk/resources/bsgatlas/details.php?id=BSGatlas-5'UTR-448","BSGatlas-5'UTR-448")</f>
        <v>BSGatlas-5'UTR-448</v>
      </c>
      <c r="B449" s="3">
        <v>728598</v>
      </c>
      <c r="C449" s="3">
        <v>728732</v>
      </c>
      <c r="D449" s="1" t="s">
        <v>9</v>
      </c>
      <c r="E449" s="1">
        <v>135</v>
      </c>
      <c r="F449" s="1" t="s">
        <v>12127</v>
      </c>
      <c r="G449" s="1" t="s">
        <v>5483</v>
      </c>
    </row>
    <row r="450" spans="1:7" ht="21" x14ac:dyDescent="0.25">
      <c r="A450" s="2" t="str">
        <f>HYPERLINK("https://rth.dk/resources/bsgatlas/details.php?id=BSGatlas-5'UTR-449","BSGatlas-5'UTR-449")</f>
        <v>BSGatlas-5'UTR-449</v>
      </c>
      <c r="B450" s="3">
        <v>732646</v>
      </c>
      <c r="C450" s="3">
        <v>732955</v>
      </c>
      <c r="D450" s="1" t="s">
        <v>9</v>
      </c>
      <c r="E450" s="1">
        <v>310</v>
      </c>
      <c r="F450" s="1" t="s">
        <v>12128</v>
      </c>
      <c r="G450" s="1" t="s">
        <v>5487</v>
      </c>
    </row>
    <row r="451" spans="1:7" ht="21" x14ac:dyDescent="0.25">
      <c r="A451" s="2" t="str">
        <f>HYPERLINK("https://rth.dk/resources/bsgatlas/details.php?id=BSGatlas-5'UTR-450","BSGatlas-5'UTR-450")</f>
        <v>BSGatlas-5'UTR-450</v>
      </c>
      <c r="B451" s="3">
        <v>732823</v>
      </c>
      <c r="C451" s="3">
        <v>732905</v>
      </c>
      <c r="D451" s="1" t="s">
        <v>13</v>
      </c>
      <c r="E451" s="1">
        <v>83</v>
      </c>
      <c r="F451" s="1" t="s">
        <v>12129</v>
      </c>
      <c r="G451" s="1" t="s">
        <v>5485</v>
      </c>
    </row>
    <row r="452" spans="1:7" ht="21" x14ac:dyDescent="0.25">
      <c r="A452" s="2" t="str">
        <f>HYPERLINK("https://rth.dk/resources/bsgatlas/details.php?id=BSGatlas-5'UTR-451","BSGatlas-5'UTR-451")</f>
        <v>BSGatlas-5'UTR-451</v>
      </c>
      <c r="B452" s="3">
        <v>732898</v>
      </c>
      <c r="C452" s="3">
        <v>732955</v>
      </c>
      <c r="D452" s="1" t="s">
        <v>9</v>
      </c>
      <c r="E452" s="1">
        <v>58</v>
      </c>
      <c r="F452" s="1" t="s">
        <v>12128</v>
      </c>
      <c r="G452" s="1" t="s">
        <v>5489</v>
      </c>
    </row>
    <row r="453" spans="1:7" ht="21" x14ac:dyDescent="0.25">
      <c r="A453" s="2" t="str">
        <f>HYPERLINK("https://rth.dk/resources/bsgatlas/details.php?id=BSGatlas-5'UTR-452","BSGatlas-5'UTR-452")</f>
        <v>BSGatlas-5'UTR-452</v>
      </c>
      <c r="B453" s="3">
        <v>736378</v>
      </c>
      <c r="C453" s="3">
        <v>736436</v>
      </c>
      <c r="D453" s="1" t="s">
        <v>9</v>
      </c>
      <c r="E453" s="1">
        <v>59</v>
      </c>
      <c r="F453" s="1" t="s">
        <v>12130</v>
      </c>
      <c r="G453" s="1" t="s">
        <v>5491</v>
      </c>
    </row>
    <row r="454" spans="1:7" ht="21" x14ac:dyDescent="0.25">
      <c r="A454" s="2" t="str">
        <f>HYPERLINK("https://rth.dk/resources/bsgatlas/details.php?id=BSGatlas-5'UTR-453","BSGatlas-5'UTR-453")</f>
        <v>BSGatlas-5'UTR-453</v>
      </c>
      <c r="B454" s="3">
        <v>747534</v>
      </c>
      <c r="C454" s="3">
        <v>747928</v>
      </c>
      <c r="D454" s="1" t="s">
        <v>13</v>
      </c>
      <c r="E454" s="1">
        <v>395</v>
      </c>
      <c r="F454" s="1" t="s">
        <v>12131</v>
      </c>
      <c r="G454" s="1" t="s">
        <v>5495</v>
      </c>
    </row>
    <row r="455" spans="1:7" ht="21" x14ac:dyDescent="0.25">
      <c r="A455" s="2" t="str">
        <f>HYPERLINK("https://rth.dk/resources/bsgatlas/details.php?id=BSGatlas-5'UTR-454","BSGatlas-5'UTR-454")</f>
        <v>BSGatlas-5'UTR-454</v>
      </c>
      <c r="B455" s="3">
        <v>749563</v>
      </c>
      <c r="C455" s="3">
        <v>749600</v>
      </c>
      <c r="D455" s="1" t="s">
        <v>13</v>
      </c>
      <c r="E455" s="1">
        <v>38</v>
      </c>
      <c r="F455" s="1" t="s">
        <v>12132</v>
      </c>
      <c r="G455" s="1" t="s">
        <v>5498</v>
      </c>
    </row>
    <row r="456" spans="1:7" ht="21" x14ac:dyDescent="0.25">
      <c r="A456" s="2" t="str">
        <f>HYPERLINK("https://rth.dk/resources/bsgatlas/details.php?id=BSGatlas-5'UTR-455","BSGatlas-5'UTR-455")</f>
        <v>BSGatlas-5'UTR-455</v>
      </c>
      <c r="B456" s="3">
        <v>750928</v>
      </c>
      <c r="C456" s="3">
        <v>750959</v>
      </c>
      <c r="D456" s="1" t="s">
        <v>9</v>
      </c>
      <c r="E456" s="1">
        <v>32</v>
      </c>
      <c r="F456" s="1" t="s">
        <v>12133</v>
      </c>
      <c r="G456" s="1" t="s">
        <v>5499</v>
      </c>
    </row>
    <row r="457" spans="1:7" ht="21" x14ac:dyDescent="0.25">
      <c r="A457" s="2" t="str">
        <f>HYPERLINK("https://rth.dk/resources/bsgatlas/details.php?id=BSGatlas-5'UTR-456","BSGatlas-5'UTR-456")</f>
        <v>BSGatlas-5'UTR-456</v>
      </c>
      <c r="B457" s="3">
        <v>752359</v>
      </c>
      <c r="C457" s="3">
        <v>752412</v>
      </c>
      <c r="D457" s="1" t="s">
        <v>9</v>
      </c>
      <c r="E457" s="1">
        <v>54</v>
      </c>
      <c r="F457" s="1" t="s">
        <v>12134</v>
      </c>
      <c r="G457" s="1" t="s">
        <v>5503</v>
      </c>
    </row>
    <row r="458" spans="1:7" ht="21" x14ac:dyDescent="0.25">
      <c r="A458" s="2" t="str">
        <f>HYPERLINK("https://rth.dk/resources/bsgatlas/details.php?id=BSGatlas-5'UTR-457","BSGatlas-5'UTR-457")</f>
        <v>BSGatlas-5'UTR-457</v>
      </c>
      <c r="B458" s="3">
        <v>753020</v>
      </c>
      <c r="C458" s="3">
        <v>753265</v>
      </c>
      <c r="D458" s="1" t="s">
        <v>9</v>
      </c>
      <c r="E458" s="1">
        <v>246</v>
      </c>
      <c r="F458" s="1" t="s">
        <v>12135</v>
      </c>
      <c r="G458" s="1" t="s">
        <v>5505</v>
      </c>
    </row>
    <row r="459" spans="1:7" ht="21" x14ac:dyDescent="0.25">
      <c r="A459" s="2" t="str">
        <f>HYPERLINK("https://rth.dk/resources/bsgatlas/details.php?id=BSGatlas-5'UTR-458","BSGatlas-5'UTR-458")</f>
        <v>BSGatlas-5'UTR-458</v>
      </c>
      <c r="B459" s="3">
        <v>753226</v>
      </c>
      <c r="C459" s="3">
        <v>753265</v>
      </c>
      <c r="D459" s="1" t="s">
        <v>9</v>
      </c>
      <c r="E459" s="1">
        <v>40</v>
      </c>
      <c r="F459" s="1" t="s">
        <v>12135</v>
      </c>
      <c r="G459" s="1" t="s">
        <v>5507</v>
      </c>
    </row>
    <row r="460" spans="1:7" ht="21" x14ac:dyDescent="0.25">
      <c r="A460" s="2" t="str">
        <f>HYPERLINK("https://rth.dk/resources/bsgatlas/details.php?id=BSGatlas-5'UTR-459","BSGatlas-5'UTR-459")</f>
        <v>BSGatlas-5'UTR-459</v>
      </c>
      <c r="B460" s="3">
        <v>753790</v>
      </c>
      <c r="C460" s="3">
        <v>753817</v>
      </c>
      <c r="D460" s="1" t="s">
        <v>9</v>
      </c>
      <c r="E460" s="1">
        <v>28</v>
      </c>
      <c r="F460" s="1" t="s">
        <v>12136</v>
      </c>
      <c r="G460" s="1" t="s">
        <v>5508</v>
      </c>
    </row>
    <row r="461" spans="1:7" ht="21" x14ac:dyDescent="0.25">
      <c r="A461" s="2" t="str">
        <f>HYPERLINK("https://rth.dk/resources/bsgatlas/details.php?id=BSGatlas-5'UTR-460","BSGatlas-5'UTR-460")</f>
        <v>BSGatlas-5'UTR-460</v>
      </c>
      <c r="B461" s="3">
        <v>755877</v>
      </c>
      <c r="C461" s="3">
        <v>755907</v>
      </c>
      <c r="D461" s="1" t="s">
        <v>9</v>
      </c>
      <c r="E461" s="1">
        <v>31</v>
      </c>
      <c r="F461" s="1" t="s">
        <v>12137</v>
      </c>
      <c r="G461" s="1" t="s">
        <v>5513</v>
      </c>
    </row>
    <row r="462" spans="1:7" ht="21" x14ac:dyDescent="0.25">
      <c r="A462" s="2" t="str">
        <f>HYPERLINK("https://rth.dk/resources/bsgatlas/details.php?id=BSGatlas-5'UTR-461","BSGatlas-5'UTR-461")</f>
        <v>BSGatlas-5'UTR-461</v>
      </c>
      <c r="B462" s="3">
        <v>757067</v>
      </c>
      <c r="C462" s="3">
        <v>757111</v>
      </c>
      <c r="D462" s="1" t="s">
        <v>9</v>
      </c>
      <c r="E462" s="1">
        <v>45</v>
      </c>
      <c r="F462" s="1" t="s">
        <v>12138</v>
      </c>
      <c r="G462" s="1" t="s">
        <v>5516</v>
      </c>
    </row>
    <row r="463" spans="1:7" ht="21" x14ac:dyDescent="0.25">
      <c r="A463" s="2" t="str">
        <f>HYPERLINK("https://rth.dk/resources/bsgatlas/details.php?id=BSGatlas-5'UTR-462","BSGatlas-5'UTR-462")</f>
        <v>BSGatlas-5'UTR-462</v>
      </c>
      <c r="B463" s="3">
        <v>758046</v>
      </c>
      <c r="C463" s="3">
        <v>758093</v>
      </c>
      <c r="D463" s="1" t="s">
        <v>9</v>
      </c>
      <c r="E463" s="1">
        <v>48</v>
      </c>
      <c r="F463" s="1" t="s">
        <v>12139</v>
      </c>
      <c r="G463" s="1" t="s">
        <v>5518</v>
      </c>
    </row>
    <row r="464" spans="1:7" ht="21" x14ac:dyDescent="0.25">
      <c r="A464" s="2" t="str">
        <f>HYPERLINK("https://rth.dk/resources/bsgatlas/details.php?id=BSGatlas-5'UTR-463","BSGatlas-5'UTR-463")</f>
        <v>BSGatlas-5'UTR-463</v>
      </c>
      <c r="B464" s="3">
        <v>761622</v>
      </c>
      <c r="C464" s="3">
        <v>761662</v>
      </c>
      <c r="D464" s="1" t="s">
        <v>9</v>
      </c>
      <c r="E464" s="1">
        <v>41</v>
      </c>
      <c r="F464" s="1" t="s">
        <v>12140</v>
      </c>
      <c r="G464" s="1" t="s">
        <v>5520</v>
      </c>
    </row>
    <row r="465" spans="1:7" ht="21" x14ac:dyDescent="0.25">
      <c r="A465" s="2" t="str">
        <f>HYPERLINK("https://rth.dk/resources/bsgatlas/details.php?id=BSGatlas-5'UTR-464","BSGatlas-5'UTR-464")</f>
        <v>BSGatlas-5'UTR-464</v>
      </c>
      <c r="B465" s="3">
        <v>782720</v>
      </c>
      <c r="C465" s="3">
        <v>782958</v>
      </c>
      <c r="D465" s="1" t="s">
        <v>9</v>
      </c>
      <c r="E465" s="1">
        <v>239</v>
      </c>
      <c r="F465" s="1" t="s">
        <v>12141</v>
      </c>
      <c r="G465" s="1" t="s">
        <v>5523</v>
      </c>
    </row>
    <row r="466" spans="1:7" ht="21" x14ac:dyDescent="0.25">
      <c r="A466" s="2" t="str">
        <f>HYPERLINK("https://rth.dk/resources/bsgatlas/details.php?id=BSGatlas-5'UTR-465","BSGatlas-5'UTR-465")</f>
        <v>BSGatlas-5'UTR-465</v>
      </c>
      <c r="B466" s="3">
        <v>785439</v>
      </c>
      <c r="C466" s="3">
        <v>785465</v>
      </c>
      <c r="D466" s="1" t="s">
        <v>13</v>
      </c>
      <c r="E466" s="1">
        <v>27</v>
      </c>
      <c r="F466" s="1" t="s">
        <v>12142</v>
      </c>
      <c r="G466" s="1" t="s">
        <v>5526</v>
      </c>
    </row>
    <row r="467" spans="1:7" ht="21" x14ac:dyDescent="0.25">
      <c r="A467" s="2" t="str">
        <f>HYPERLINK("https://rth.dk/resources/bsgatlas/details.php?id=BSGatlas-5'UTR-466","BSGatlas-5'UTR-466")</f>
        <v>BSGatlas-5'UTR-466</v>
      </c>
      <c r="B467" s="3">
        <v>785905</v>
      </c>
      <c r="C467" s="3">
        <v>785942</v>
      </c>
      <c r="D467" s="1" t="s">
        <v>13</v>
      </c>
      <c r="E467" s="1">
        <v>38</v>
      </c>
      <c r="F467" s="1" t="s">
        <v>12143</v>
      </c>
      <c r="G467" s="1" t="s">
        <v>5529</v>
      </c>
    </row>
    <row r="468" spans="1:7" ht="21" x14ac:dyDescent="0.25">
      <c r="A468" s="2" t="str">
        <f>HYPERLINK("https://rth.dk/resources/bsgatlas/details.php?id=BSGatlas-5'UTR-467","BSGatlas-5'UTR-467")</f>
        <v>BSGatlas-5'UTR-467</v>
      </c>
      <c r="B468" s="3">
        <v>786640</v>
      </c>
      <c r="C468" s="3">
        <v>786689</v>
      </c>
      <c r="D468" s="1" t="s">
        <v>9</v>
      </c>
      <c r="E468" s="1">
        <v>50</v>
      </c>
      <c r="F468" s="1" t="s">
        <v>12144</v>
      </c>
      <c r="G468" s="1" t="s">
        <v>5533</v>
      </c>
    </row>
    <row r="469" spans="1:7" ht="21" x14ac:dyDescent="0.25">
      <c r="A469" s="2" t="str">
        <f>HYPERLINK("https://rth.dk/resources/bsgatlas/details.php?id=BSGatlas-5'UTR-468","BSGatlas-5'UTR-468")</f>
        <v>BSGatlas-5'UTR-468</v>
      </c>
      <c r="B469" s="3">
        <v>787660</v>
      </c>
      <c r="C469" s="3">
        <v>787715</v>
      </c>
      <c r="D469" s="1" t="s">
        <v>9</v>
      </c>
      <c r="E469" s="1">
        <v>56</v>
      </c>
      <c r="F469" s="1" t="s">
        <v>12145</v>
      </c>
      <c r="G469" s="1" t="s">
        <v>5536</v>
      </c>
    </row>
    <row r="470" spans="1:7" ht="21" x14ac:dyDescent="0.25">
      <c r="A470" s="2" t="str">
        <f>HYPERLINK("https://rth.dk/resources/bsgatlas/details.php?id=BSGatlas-5'UTR-469","BSGatlas-5'UTR-469")</f>
        <v>BSGatlas-5'UTR-469</v>
      </c>
      <c r="B470" s="3">
        <v>787948</v>
      </c>
      <c r="C470" s="3">
        <v>787992</v>
      </c>
      <c r="D470" s="1" t="s">
        <v>9</v>
      </c>
      <c r="E470" s="1">
        <v>45</v>
      </c>
      <c r="F470" s="1" t="s">
        <v>12146</v>
      </c>
      <c r="G470" s="1" t="s">
        <v>5540</v>
      </c>
    </row>
    <row r="471" spans="1:7" ht="21" x14ac:dyDescent="0.25">
      <c r="A471" s="2" t="str">
        <f>HYPERLINK("https://rth.dk/resources/bsgatlas/details.php?id=BSGatlas-5'UTR-470","BSGatlas-5'UTR-470")</f>
        <v>BSGatlas-5'UTR-470</v>
      </c>
      <c r="B471" s="3">
        <v>790155</v>
      </c>
      <c r="C471" s="3">
        <v>790188</v>
      </c>
      <c r="D471" s="1" t="s">
        <v>13</v>
      </c>
      <c r="E471" s="1">
        <v>34</v>
      </c>
      <c r="F471" s="1" t="s">
        <v>12147</v>
      </c>
      <c r="G471" s="1" t="s">
        <v>5542</v>
      </c>
    </row>
    <row r="472" spans="1:7" ht="21" x14ac:dyDescent="0.25">
      <c r="A472" s="2" t="str">
        <f>HYPERLINK("https://rth.dk/resources/bsgatlas/details.php?id=BSGatlas-5'UTR-471","BSGatlas-5'UTR-471")</f>
        <v>BSGatlas-5'UTR-471</v>
      </c>
      <c r="B472" s="3">
        <v>792532</v>
      </c>
      <c r="C472" s="3">
        <v>792589</v>
      </c>
      <c r="D472" s="1" t="s">
        <v>13</v>
      </c>
      <c r="E472" s="1">
        <v>58</v>
      </c>
      <c r="F472" s="1" t="s">
        <v>12148</v>
      </c>
      <c r="G472" s="1" t="s">
        <v>5544</v>
      </c>
    </row>
    <row r="473" spans="1:7" ht="21" x14ac:dyDescent="0.25">
      <c r="A473" s="2" t="str">
        <f>HYPERLINK("https://rth.dk/resources/bsgatlas/details.php?id=BSGatlas-5'UTR-472","BSGatlas-5'UTR-472")</f>
        <v>BSGatlas-5'UTR-472</v>
      </c>
      <c r="B473" s="3">
        <v>792642</v>
      </c>
      <c r="C473" s="3">
        <v>792682</v>
      </c>
      <c r="D473" s="1" t="s">
        <v>9</v>
      </c>
      <c r="E473" s="1">
        <v>41</v>
      </c>
      <c r="F473" s="1" t="s">
        <v>12149</v>
      </c>
      <c r="G473" s="1" t="s">
        <v>5546</v>
      </c>
    </row>
    <row r="474" spans="1:7" ht="21" x14ac:dyDescent="0.25">
      <c r="A474" s="2" t="str">
        <f>HYPERLINK("https://rth.dk/resources/bsgatlas/details.php?id=BSGatlas-5'UTR-473","BSGatlas-5'UTR-473")</f>
        <v>BSGatlas-5'UTR-473</v>
      </c>
      <c r="B474" s="3">
        <v>795959</v>
      </c>
      <c r="C474" s="3">
        <v>796025</v>
      </c>
      <c r="D474" s="1" t="s">
        <v>9</v>
      </c>
      <c r="E474" s="1">
        <v>67</v>
      </c>
      <c r="F474" s="1" t="s">
        <v>12150</v>
      </c>
      <c r="G474" s="1" t="s">
        <v>5548</v>
      </c>
    </row>
    <row r="475" spans="1:7" ht="21" x14ac:dyDescent="0.25">
      <c r="A475" s="2" t="str">
        <f>HYPERLINK("https://rth.dk/resources/bsgatlas/details.php?id=BSGatlas-5'UTR-474","BSGatlas-5'UTR-474")</f>
        <v>BSGatlas-5'UTR-474</v>
      </c>
      <c r="B475" s="3">
        <v>796008</v>
      </c>
      <c r="C475" s="3">
        <v>796025</v>
      </c>
      <c r="D475" s="1" t="s">
        <v>9</v>
      </c>
      <c r="E475" s="1">
        <v>18</v>
      </c>
      <c r="F475" s="1" t="s">
        <v>12150</v>
      </c>
      <c r="G475" s="1" t="s">
        <v>5549</v>
      </c>
    </row>
    <row r="476" spans="1:7" ht="21" x14ac:dyDescent="0.25">
      <c r="A476" s="2" t="str">
        <f>HYPERLINK("https://rth.dk/resources/bsgatlas/details.php?id=BSGatlas-5'UTR-475","BSGatlas-5'UTR-475")</f>
        <v>BSGatlas-5'UTR-475</v>
      </c>
      <c r="B476" s="3">
        <v>798360</v>
      </c>
      <c r="C476" s="3">
        <v>798469</v>
      </c>
      <c r="D476" s="1" t="s">
        <v>9</v>
      </c>
      <c r="E476" s="1">
        <v>110</v>
      </c>
      <c r="F476" s="1" t="s">
        <v>12151</v>
      </c>
      <c r="G476" s="1" t="s">
        <v>5552</v>
      </c>
    </row>
    <row r="477" spans="1:7" ht="21" x14ac:dyDescent="0.25">
      <c r="A477" s="2" t="str">
        <f>HYPERLINK("https://rth.dk/resources/bsgatlas/details.php?id=BSGatlas-5'UTR-476","BSGatlas-5'UTR-476")</f>
        <v>BSGatlas-5'UTR-476</v>
      </c>
      <c r="B477" s="3">
        <v>801046</v>
      </c>
      <c r="C477" s="3">
        <v>801172</v>
      </c>
      <c r="D477" s="1" t="s">
        <v>9</v>
      </c>
      <c r="E477" s="1">
        <v>127</v>
      </c>
      <c r="F477" s="1" t="s">
        <v>12152</v>
      </c>
      <c r="G477" s="1" t="s">
        <v>5556</v>
      </c>
    </row>
    <row r="478" spans="1:7" ht="21" x14ac:dyDescent="0.25">
      <c r="A478" s="2" t="str">
        <f>HYPERLINK("https://rth.dk/resources/bsgatlas/details.php?id=BSGatlas-5'UTR-477","BSGatlas-5'UTR-477")</f>
        <v>BSGatlas-5'UTR-477</v>
      </c>
      <c r="B478" s="3">
        <v>801926</v>
      </c>
      <c r="C478" s="3">
        <v>802351</v>
      </c>
      <c r="D478" s="1" t="s">
        <v>9</v>
      </c>
      <c r="E478" s="1">
        <v>426</v>
      </c>
      <c r="F478" s="1" t="s">
        <v>12153</v>
      </c>
      <c r="G478" s="1" t="s">
        <v>5558</v>
      </c>
    </row>
    <row r="479" spans="1:7" ht="21" x14ac:dyDescent="0.25">
      <c r="A479" s="2" t="str">
        <f>HYPERLINK("https://rth.dk/resources/bsgatlas/details.php?id=BSGatlas-5'UTR-478","BSGatlas-5'UTR-478")</f>
        <v>BSGatlas-5'UTR-478</v>
      </c>
      <c r="B479" s="3">
        <v>804546</v>
      </c>
      <c r="C479" s="3">
        <v>804593</v>
      </c>
      <c r="D479" s="1" t="s">
        <v>13</v>
      </c>
      <c r="E479" s="1">
        <v>48</v>
      </c>
      <c r="F479" s="1" t="s">
        <v>12154</v>
      </c>
      <c r="G479" s="1" t="s">
        <v>5559</v>
      </c>
    </row>
    <row r="480" spans="1:7" ht="21" x14ac:dyDescent="0.25">
      <c r="A480" s="2" t="str">
        <f>HYPERLINK("https://rth.dk/resources/bsgatlas/details.php?id=BSGatlas-5'UTR-479","BSGatlas-5'UTR-479")</f>
        <v>BSGatlas-5'UTR-479</v>
      </c>
      <c r="B480" s="3">
        <v>805364</v>
      </c>
      <c r="C480" s="3">
        <v>805410</v>
      </c>
      <c r="D480" s="1" t="s">
        <v>13</v>
      </c>
      <c r="E480" s="1">
        <v>47</v>
      </c>
      <c r="F480" s="1" t="s">
        <v>12155</v>
      </c>
      <c r="G480" s="1" t="s">
        <v>5561</v>
      </c>
    </row>
    <row r="481" spans="1:7" ht="21" x14ac:dyDescent="0.25">
      <c r="A481" s="2" t="str">
        <f>HYPERLINK("https://rth.dk/resources/bsgatlas/details.php?id=BSGatlas-5'UTR-480","BSGatlas-5'UTR-480")</f>
        <v>BSGatlas-5'UTR-480</v>
      </c>
      <c r="B481" s="3">
        <v>806841</v>
      </c>
      <c r="C481" s="3">
        <v>806907</v>
      </c>
      <c r="D481" s="1" t="s">
        <v>13</v>
      </c>
      <c r="E481" s="1">
        <v>67</v>
      </c>
      <c r="F481" s="1" t="s">
        <v>12156</v>
      </c>
      <c r="G481" s="1" t="s">
        <v>5564</v>
      </c>
    </row>
    <row r="482" spans="1:7" ht="21" x14ac:dyDescent="0.25">
      <c r="A482" s="2" t="str">
        <f>HYPERLINK("https://rth.dk/resources/bsgatlas/details.php?id=BSGatlas-5'UTR-481","BSGatlas-5'UTR-481")</f>
        <v>BSGatlas-5'UTR-481</v>
      </c>
      <c r="B482" s="3">
        <v>806841</v>
      </c>
      <c r="C482" s="3">
        <v>807898</v>
      </c>
      <c r="D482" s="1" t="s">
        <v>13</v>
      </c>
      <c r="E482" s="1">
        <v>1058</v>
      </c>
      <c r="F482" s="1" t="s">
        <v>12156</v>
      </c>
      <c r="G482" s="1" t="s">
        <v>5565</v>
      </c>
    </row>
    <row r="483" spans="1:7" ht="21" x14ac:dyDescent="0.25">
      <c r="A483" s="2" t="str">
        <f>HYPERLINK("https://rth.dk/resources/bsgatlas/details.php?id=BSGatlas-5'UTR-482","BSGatlas-5'UTR-482")</f>
        <v>BSGatlas-5'UTR-482</v>
      </c>
      <c r="B483" s="3">
        <v>807024</v>
      </c>
      <c r="C483" s="3">
        <v>807091</v>
      </c>
      <c r="D483" s="1" t="s">
        <v>9</v>
      </c>
      <c r="E483" s="1">
        <v>68</v>
      </c>
      <c r="F483" s="1" t="s">
        <v>12157</v>
      </c>
      <c r="G483" s="1" t="s">
        <v>5569</v>
      </c>
    </row>
    <row r="484" spans="1:7" ht="21" x14ac:dyDescent="0.25">
      <c r="A484" s="2" t="str">
        <f>HYPERLINK("https://rth.dk/resources/bsgatlas/details.php?id=BSGatlas-5'UTR-483","BSGatlas-5'UTR-483")</f>
        <v>BSGatlas-5'UTR-483</v>
      </c>
      <c r="B484" s="3">
        <v>809516</v>
      </c>
      <c r="C484" s="3">
        <v>809557</v>
      </c>
      <c r="D484" s="1" t="s">
        <v>9</v>
      </c>
      <c r="E484" s="1">
        <v>42</v>
      </c>
      <c r="F484" s="1" t="s">
        <v>12158</v>
      </c>
      <c r="G484" s="1" t="s">
        <v>5571</v>
      </c>
    </row>
    <row r="485" spans="1:7" ht="21" x14ac:dyDescent="0.25">
      <c r="A485" s="2" t="str">
        <f>HYPERLINK("https://rth.dk/resources/bsgatlas/details.php?id=BSGatlas-5'UTR-484","BSGatlas-5'UTR-484")</f>
        <v>BSGatlas-5'UTR-484</v>
      </c>
      <c r="B485" s="3">
        <v>811518</v>
      </c>
      <c r="C485" s="3">
        <v>811569</v>
      </c>
      <c r="D485" s="1" t="s">
        <v>9</v>
      </c>
      <c r="E485" s="1">
        <v>52</v>
      </c>
      <c r="F485" s="1" t="s">
        <v>12159</v>
      </c>
      <c r="G485" s="1" t="s">
        <v>5573</v>
      </c>
    </row>
    <row r="486" spans="1:7" ht="21" x14ac:dyDescent="0.25">
      <c r="A486" s="2" t="str">
        <f>HYPERLINK("https://rth.dk/resources/bsgatlas/details.php?id=BSGatlas-5'UTR-485","BSGatlas-5'UTR-485")</f>
        <v>BSGatlas-5'UTR-485</v>
      </c>
      <c r="B486" s="3">
        <v>812116</v>
      </c>
      <c r="C486" s="3">
        <v>812140</v>
      </c>
      <c r="D486" s="1" t="s">
        <v>9</v>
      </c>
      <c r="E486" s="1">
        <v>25</v>
      </c>
      <c r="F486" s="1" t="s">
        <v>12160</v>
      </c>
      <c r="G486" s="1" t="s">
        <v>5576</v>
      </c>
    </row>
    <row r="487" spans="1:7" ht="21" x14ac:dyDescent="0.25">
      <c r="A487" s="2" t="str">
        <f>HYPERLINK("https://rth.dk/resources/bsgatlas/details.php?id=BSGatlas-5'UTR-486","BSGatlas-5'UTR-486")</f>
        <v>BSGatlas-5'UTR-486</v>
      </c>
      <c r="B487" s="3">
        <v>815808</v>
      </c>
      <c r="C487" s="3">
        <v>816113</v>
      </c>
      <c r="D487" s="1" t="s">
        <v>9</v>
      </c>
      <c r="E487" s="1">
        <v>306</v>
      </c>
      <c r="F487" s="1" t="s">
        <v>12161</v>
      </c>
      <c r="G487" s="1" t="s">
        <v>5585</v>
      </c>
    </row>
    <row r="488" spans="1:7" ht="21" x14ac:dyDescent="0.25">
      <c r="A488" s="2" t="str">
        <f>HYPERLINK("https://rth.dk/resources/bsgatlas/details.php?id=BSGatlas-5'UTR-487","BSGatlas-5'UTR-487")</f>
        <v>BSGatlas-5'UTR-487</v>
      </c>
      <c r="B488" s="3">
        <v>815940</v>
      </c>
      <c r="C488" s="3">
        <v>815994</v>
      </c>
      <c r="D488" s="1" t="s">
        <v>13</v>
      </c>
      <c r="E488" s="1">
        <v>55</v>
      </c>
      <c r="F488" s="1" t="s">
        <v>12162</v>
      </c>
      <c r="G488" s="1" t="s">
        <v>5581</v>
      </c>
    </row>
    <row r="489" spans="1:7" ht="21" x14ac:dyDescent="0.25">
      <c r="A489" s="2" t="str">
        <f>HYPERLINK("https://rth.dk/resources/bsgatlas/details.php?id=BSGatlas-5'UTR-488","BSGatlas-5'UTR-488")</f>
        <v>BSGatlas-5'UTR-488</v>
      </c>
      <c r="B489" s="3">
        <v>816072</v>
      </c>
      <c r="C489" s="3">
        <v>816113</v>
      </c>
      <c r="D489" s="1" t="s">
        <v>9</v>
      </c>
      <c r="E489" s="1">
        <v>42</v>
      </c>
      <c r="F489" s="1" t="s">
        <v>12161</v>
      </c>
      <c r="G489" s="1" t="s">
        <v>5587</v>
      </c>
    </row>
    <row r="490" spans="1:7" ht="21" x14ac:dyDescent="0.25">
      <c r="A490" s="2" t="str">
        <f>HYPERLINK("https://rth.dk/resources/bsgatlas/details.php?id=BSGatlas-5'UTR-489","BSGatlas-5'UTR-489")</f>
        <v>BSGatlas-5'UTR-489</v>
      </c>
      <c r="B490" s="3">
        <v>818829</v>
      </c>
      <c r="C490" s="3">
        <v>818854</v>
      </c>
      <c r="D490" s="1" t="s">
        <v>13</v>
      </c>
      <c r="E490" s="1">
        <v>26</v>
      </c>
      <c r="F490" s="1" t="s">
        <v>12163</v>
      </c>
      <c r="G490" s="1" t="s">
        <v>5589</v>
      </c>
    </row>
    <row r="491" spans="1:7" ht="21" x14ac:dyDescent="0.25">
      <c r="A491" s="2" t="str">
        <f>HYPERLINK("https://rth.dk/resources/bsgatlas/details.php?id=BSGatlas-5'UTR-490","BSGatlas-5'UTR-490")</f>
        <v>BSGatlas-5'UTR-490</v>
      </c>
      <c r="B491" s="3">
        <v>820531</v>
      </c>
      <c r="C491" s="3">
        <v>820575</v>
      </c>
      <c r="D491" s="1" t="s">
        <v>13</v>
      </c>
      <c r="E491" s="1">
        <v>45</v>
      </c>
      <c r="F491" s="1" t="s">
        <v>12164</v>
      </c>
      <c r="G491" s="1" t="s">
        <v>5592</v>
      </c>
    </row>
    <row r="492" spans="1:7" ht="21" x14ac:dyDescent="0.25">
      <c r="A492" s="2" t="str">
        <f>HYPERLINK("https://rth.dk/resources/bsgatlas/details.php?id=BSGatlas-5'UTR-491","BSGatlas-5'UTR-491")</f>
        <v>BSGatlas-5'UTR-491</v>
      </c>
      <c r="B492" s="3">
        <v>820648</v>
      </c>
      <c r="C492" s="3">
        <v>820666</v>
      </c>
      <c r="D492" s="1" t="s">
        <v>9</v>
      </c>
      <c r="E492" s="1">
        <v>19</v>
      </c>
      <c r="F492" s="1" t="s">
        <v>12165</v>
      </c>
      <c r="G492" s="1" t="s">
        <v>5594</v>
      </c>
    </row>
    <row r="493" spans="1:7" ht="21" x14ac:dyDescent="0.25">
      <c r="A493" s="2" t="str">
        <f>HYPERLINK("https://rth.dk/resources/bsgatlas/details.php?id=BSGatlas-5'UTR-492","BSGatlas-5'UTR-492")</f>
        <v>BSGatlas-5'UTR-492</v>
      </c>
      <c r="B493" s="3">
        <v>825715</v>
      </c>
      <c r="C493" s="3">
        <v>825806</v>
      </c>
      <c r="D493" s="1" t="s">
        <v>13</v>
      </c>
      <c r="E493" s="1">
        <v>92</v>
      </c>
      <c r="F493" s="1" t="s">
        <v>12166</v>
      </c>
      <c r="G493" s="1" t="s">
        <v>5601</v>
      </c>
    </row>
    <row r="494" spans="1:7" ht="21" x14ac:dyDescent="0.25">
      <c r="A494" s="2" t="str">
        <f>HYPERLINK("https://rth.dk/resources/bsgatlas/details.php?id=BSGatlas-5'UTR-493","BSGatlas-5'UTR-493")</f>
        <v>BSGatlas-5'UTR-493</v>
      </c>
      <c r="B494" s="3">
        <v>826093</v>
      </c>
      <c r="C494" s="3">
        <v>827252</v>
      </c>
      <c r="D494" s="1" t="s">
        <v>9</v>
      </c>
      <c r="E494" s="1">
        <v>1160</v>
      </c>
      <c r="F494" s="1" t="s">
        <v>12167</v>
      </c>
      <c r="G494" s="1" t="s">
        <v>5610</v>
      </c>
    </row>
    <row r="495" spans="1:7" ht="21" x14ac:dyDescent="0.25">
      <c r="A495" s="2" t="str">
        <f>HYPERLINK("https://rth.dk/resources/bsgatlas/details.php?id=BSGatlas-5'UTR-494","BSGatlas-5'UTR-494")</f>
        <v>BSGatlas-5'UTR-494</v>
      </c>
      <c r="B495" s="3">
        <v>826720</v>
      </c>
      <c r="C495" s="3">
        <v>827252</v>
      </c>
      <c r="D495" s="1" t="s">
        <v>9</v>
      </c>
      <c r="E495" s="1">
        <v>533</v>
      </c>
      <c r="F495" s="1" t="s">
        <v>12167</v>
      </c>
      <c r="G495" s="1" t="s">
        <v>5612</v>
      </c>
    </row>
    <row r="496" spans="1:7" ht="21" x14ac:dyDescent="0.25">
      <c r="A496" s="2" t="str">
        <f>HYPERLINK("https://rth.dk/resources/bsgatlas/details.php?id=BSGatlas-5'UTR-495","BSGatlas-5'UTR-495")</f>
        <v>BSGatlas-5'UTR-495</v>
      </c>
      <c r="B496" s="3">
        <v>826734</v>
      </c>
      <c r="C496" s="3">
        <v>826783</v>
      </c>
      <c r="D496" s="1" t="s">
        <v>13</v>
      </c>
      <c r="E496" s="1">
        <v>50</v>
      </c>
      <c r="F496" s="1" t="s">
        <v>12168</v>
      </c>
      <c r="G496" s="1" t="s">
        <v>5603</v>
      </c>
    </row>
    <row r="497" spans="1:7" ht="21" x14ac:dyDescent="0.25">
      <c r="A497" s="2" t="str">
        <f>HYPERLINK("https://rth.dk/resources/bsgatlas/details.php?id=BSGatlas-5'UTR-496","BSGatlas-5'UTR-496")</f>
        <v>BSGatlas-5'UTR-496</v>
      </c>
      <c r="B497" s="3">
        <v>827211</v>
      </c>
      <c r="C497" s="3">
        <v>827324</v>
      </c>
      <c r="D497" s="1" t="s">
        <v>13</v>
      </c>
      <c r="E497" s="1">
        <v>114</v>
      </c>
      <c r="F497" s="1" t="s">
        <v>12169</v>
      </c>
      <c r="G497" s="1" t="s">
        <v>5605</v>
      </c>
    </row>
    <row r="498" spans="1:7" ht="21" x14ac:dyDescent="0.25">
      <c r="A498" s="2" t="str">
        <f>HYPERLINK("https://rth.dk/resources/bsgatlas/details.php?id=BSGatlas-5'UTR-497","BSGatlas-5'UTR-497")</f>
        <v>BSGatlas-5'UTR-497</v>
      </c>
      <c r="B498" s="3">
        <v>827412</v>
      </c>
      <c r="C498" s="3">
        <v>827455</v>
      </c>
      <c r="D498" s="1" t="s">
        <v>9</v>
      </c>
      <c r="E498" s="1">
        <v>44</v>
      </c>
      <c r="F498" s="1" t="s">
        <v>12170</v>
      </c>
      <c r="G498" s="1" t="s">
        <v>5613</v>
      </c>
    </row>
    <row r="499" spans="1:7" ht="21" x14ac:dyDescent="0.25">
      <c r="A499" s="2" t="str">
        <f>HYPERLINK("https://rth.dk/resources/bsgatlas/details.php?id=BSGatlas-5'UTR-498","BSGatlas-5'UTR-498")</f>
        <v>BSGatlas-5'UTR-498</v>
      </c>
      <c r="B499" s="3">
        <v>827925</v>
      </c>
      <c r="C499" s="3">
        <v>827993</v>
      </c>
      <c r="D499" s="1" t="s">
        <v>9</v>
      </c>
      <c r="E499" s="1">
        <v>69</v>
      </c>
      <c r="F499" s="1" t="s">
        <v>12171</v>
      </c>
      <c r="G499" s="1" t="s">
        <v>5614</v>
      </c>
    </row>
    <row r="500" spans="1:7" ht="21" x14ac:dyDescent="0.25">
      <c r="A500" s="2" t="str">
        <f>HYPERLINK("https://rth.dk/resources/bsgatlas/details.php?id=BSGatlas-5'UTR-499","BSGatlas-5'UTR-499")</f>
        <v>BSGatlas-5'UTR-499</v>
      </c>
      <c r="B500" s="3">
        <v>829334</v>
      </c>
      <c r="C500" s="3">
        <v>829382</v>
      </c>
      <c r="D500" s="1" t="s">
        <v>9</v>
      </c>
      <c r="E500" s="1">
        <v>49</v>
      </c>
      <c r="F500" s="1" t="s">
        <v>12172</v>
      </c>
      <c r="G500" s="1" t="s">
        <v>5616</v>
      </c>
    </row>
    <row r="501" spans="1:7" ht="21" x14ac:dyDescent="0.25">
      <c r="A501" s="2" t="str">
        <f>HYPERLINK("https://rth.dk/resources/bsgatlas/details.php?id=BSGatlas-5'UTR-500","BSGatlas-5'UTR-500")</f>
        <v>BSGatlas-5'UTR-500</v>
      </c>
      <c r="B501" s="3">
        <v>830920</v>
      </c>
      <c r="C501" s="3">
        <v>830945</v>
      </c>
      <c r="D501" s="1" t="s">
        <v>9</v>
      </c>
      <c r="E501" s="1">
        <v>26</v>
      </c>
      <c r="F501" s="1" t="s">
        <v>12173</v>
      </c>
      <c r="G501" s="1" t="s">
        <v>5619</v>
      </c>
    </row>
    <row r="502" spans="1:7" ht="21" x14ac:dyDescent="0.25">
      <c r="A502" s="2" t="str">
        <f>HYPERLINK("https://rth.dk/resources/bsgatlas/details.php?id=BSGatlas-5'UTR-501","BSGatlas-5'UTR-501")</f>
        <v>BSGatlas-5'UTR-501</v>
      </c>
      <c r="B502" s="3">
        <v>834312</v>
      </c>
      <c r="C502" s="3">
        <v>834383</v>
      </c>
      <c r="D502" s="1" t="s">
        <v>9</v>
      </c>
      <c r="E502" s="1">
        <v>72</v>
      </c>
      <c r="F502" s="1" t="s">
        <v>12174</v>
      </c>
      <c r="G502" s="1" t="s">
        <v>5623</v>
      </c>
    </row>
    <row r="503" spans="1:7" ht="21" x14ac:dyDescent="0.25">
      <c r="A503" s="2" t="str">
        <f>HYPERLINK("https://rth.dk/resources/bsgatlas/details.php?id=BSGatlas-5'UTR-502","BSGatlas-5'UTR-502")</f>
        <v>BSGatlas-5'UTR-502</v>
      </c>
      <c r="B503" s="3">
        <v>835702</v>
      </c>
      <c r="C503" s="3">
        <v>835740</v>
      </c>
      <c r="D503" s="1" t="s">
        <v>9</v>
      </c>
      <c r="E503" s="1">
        <v>39</v>
      </c>
      <c r="F503" s="1" t="s">
        <v>12175</v>
      </c>
      <c r="G503" s="1" t="s">
        <v>5625</v>
      </c>
    </row>
    <row r="504" spans="1:7" ht="21" x14ac:dyDescent="0.25">
      <c r="A504" s="2" t="str">
        <f>HYPERLINK("https://rth.dk/resources/bsgatlas/details.php?id=BSGatlas-5'UTR-503","BSGatlas-5'UTR-503")</f>
        <v>BSGatlas-5'UTR-503</v>
      </c>
      <c r="B504" s="3">
        <v>836620</v>
      </c>
      <c r="C504" s="3">
        <v>836653</v>
      </c>
      <c r="D504" s="1" t="s">
        <v>9</v>
      </c>
      <c r="E504" s="1">
        <v>34</v>
      </c>
      <c r="F504" s="1" t="s">
        <v>12176</v>
      </c>
      <c r="G504" s="1" t="s">
        <v>5627</v>
      </c>
    </row>
    <row r="505" spans="1:7" ht="21" x14ac:dyDescent="0.25">
      <c r="A505" s="2" t="str">
        <f>HYPERLINK("https://rth.dk/resources/bsgatlas/details.php?id=BSGatlas-5'UTR-504","BSGatlas-5'UTR-504")</f>
        <v>BSGatlas-5'UTR-504</v>
      </c>
      <c r="B505" s="3">
        <v>838010</v>
      </c>
      <c r="C505" s="3">
        <v>838038</v>
      </c>
      <c r="D505" s="1" t="s">
        <v>13</v>
      </c>
      <c r="E505" s="1">
        <v>29</v>
      </c>
      <c r="F505" s="1" t="s">
        <v>12177</v>
      </c>
      <c r="G505" s="1" t="s">
        <v>5629</v>
      </c>
    </row>
    <row r="506" spans="1:7" ht="21" x14ac:dyDescent="0.25">
      <c r="A506" s="2" t="str">
        <f>HYPERLINK("https://rth.dk/resources/bsgatlas/details.php?id=BSGatlas-5'UTR-505","BSGatlas-5'UTR-505")</f>
        <v>BSGatlas-5'UTR-505</v>
      </c>
      <c r="B506" s="3">
        <v>838920</v>
      </c>
      <c r="C506" s="3">
        <v>839051</v>
      </c>
      <c r="D506" s="1" t="s">
        <v>13</v>
      </c>
      <c r="E506" s="1">
        <v>132</v>
      </c>
      <c r="F506" s="1" t="s">
        <v>12178</v>
      </c>
      <c r="G506" s="1" t="s">
        <v>5631</v>
      </c>
    </row>
    <row r="507" spans="1:7" ht="21" x14ac:dyDescent="0.25">
      <c r="A507" s="2" t="str">
        <f>HYPERLINK("https://rth.dk/resources/bsgatlas/details.php?id=BSGatlas-5'UTR-506","BSGatlas-5'UTR-506")</f>
        <v>BSGatlas-5'UTR-506</v>
      </c>
      <c r="B507" s="3">
        <v>840484</v>
      </c>
      <c r="C507" s="3">
        <v>840515</v>
      </c>
      <c r="D507" s="1" t="s">
        <v>13</v>
      </c>
      <c r="E507" s="1">
        <v>32</v>
      </c>
      <c r="F507" s="1" t="s">
        <v>12179</v>
      </c>
      <c r="G507" s="1" t="s">
        <v>5635</v>
      </c>
    </row>
    <row r="508" spans="1:7" ht="21" x14ac:dyDescent="0.25">
      <c r="A508" s="2" t="str">
        <f>HYPERLINK("https://rth.dk/resources/bsgatlas/details.php?id=BSGatlas-5'UTR-507","BSGatlas-5'UTR-507")</f>
        <v>BSGatlas-5'UTR-507</v>
      </c>
      <c r="B508" s="3">
        <v>840484</v>
      </c>
      <c r="C508" s="3">
        <v>841664</v>
      </c>
      <c r="D508" s="1" t="s">
        <v>13</v>
      </c>
      <c r="E508" s="1">
        <v>1181</v>
      </c>
      <c r="F508" s="1" t="s">
        <v>12179</v>
      </c>
      <c r="G508" s="1" t="s">
        <v>5636</v>
      </c>
    </row>
    <row r="509" spans="1:7" ht="21" x14ac:dyDescent="0.25">
      <c r="A509" s="2" t="str">
        <f>HYPERLINK("https://rth.dk/resources/bsgatlas/details.php?id=BSGatlas-5'UTR-508","BSGatlas-5'UTR-508")</f>
        <v>BSGatlas-5'UTR-508</v>
      </c>
      <c r="B509" s="3">
        <v>840626</v>
      </c>
      <c r="C509" s="3">
        <v>840656</v>
      </c>
      <c r="D509" s="1" t="s">
        <v>9</v>
      </c>
      <c r="E509" s="1">
        <v>31</v>
      </c>
      <c r="F509" s="1" t="s">
        <v>12180</v>
      </c>
      <c r="G509" s="1" t="s">
        <v>5639</v>
      </c>
    </row>
    <row r="510" spans="1:7" ht="21" x14ac:dyDescent="0.25">
      <c r="A510" s="2" t="str">
        <f>HYPERLINK("https://rth.dk/resources/bsgatlas/details.php?id=BSGatlas-5'UTR-509","BSGatlas-5'UTR-509")</f>
        <v>BSGatlas-5'UTR-509</v>
      </c>
      <c r="B510" s="3">
        <v>843132</v>
      </c>
      <c r="C510" s="3">
        <v>844097</v>
      </c>
      <c r="D510" s="1" t="s">
        <v>9</v>
      </c>
      <c r="E510" s="1">
        <v>966</v>
      </c>
      <c r="F510" s="1" t="s">
        <v>12181</v>
      </c>
      <c r="G510" s="1" t="s">
        <v>5647</v>
      </c>
    </row>
    <row r="511" spans="1:7" ht="21" x14ac:dyDescent="0.25">
      <c r="A511" s="2" t="str">
        <f>HYPERLINK("https://rth.dk/resources/bsgatlas/details.php?id=BSGatlas-5'UTR-510","BSGatlas-5'UTR-510")</f>
        <v>BSGatlas-5'UTR-510</v>
      </c>
      <c r="B511" s="3">
        <v>843996</v>
      </c>
      <c r="C511" s="3">
        <v>844071</v>
      </c>
      <c r="D511" s="1" t="s">
        <v>13</v>
      </c>
      <c r="E511" s="1">
        <v>76</v>
      </c>
      <c r="F511" s="1" t="s">
        <v>12182</v>
      </c>
      <c r="G511" s="1" t="s">
        <v>5642</v>
      </c>
    </row>
    <row r="512" spans="1:7" ht="21" x14ac:dyDescent="0.25">
      <c r="A512" s="2" t="str">
        <f>HYPERLINK("https://rth.dk/resources/bsgatlas/details.php?id=BSGatlas-5'UTR-511","BSGatlas-5'UTR-511")</f>
        <v>BSGatlas-5'UTR-511</v>
      </c>
      <c r="B512" s="3">
        <v>843996</v>
      </c>
      <c r="C512" s="3">
        <v>844608</v>
      </c>
      <c r="D512" s="1" t="s">
        <v>13</v>
      </c>
      <c r="E512" s="1">
        <v>613</v>
      </c>
      <c r="F512" s="1" t="s">
        <v>12182</v>
      </c>
      <c r="G512" s="1" t="s">
        <v>5644</v>
      </c>
    </row>
    <row r="513" spans="1:7" ht="21" x14ac:dyDescent="0.25">
      <c r="A513" s="2" t="str">
        <f>HYPERLINK("https://rth.dk/resources/bsgatlas/details.php?id=BSGatlas-5'UTR-512","BSGatlas-5'UTR-512")</f>
        <v>BSGatlas-5'UTR-512</v>
      </c>
      <c r="B513" s="3">
        <v>843996</v>
      </c>
      <c r="C513" s="3">
        <v>844837</v>
      </c>
      <c r="D513" s="1" t="s">
        <v>13</v>
      </c>
      <c r="E513" s="1">
        <v>842</v>
      </c>
      <c r="F513" s="1" t="s">
        <v>12182</v>
      </c>
      <c r="G513" s="1" t="s">
        <v>5645</v>
      </c>
    </row>
    <row r="514" spans="1:7" ht="21" x14ac:dyDescent="0.25">
      <c r="A514" s="2" t="str">
        <f>HYPERLINK("https://rth.dk/resources/bsgatlas/details.php?id=BSGatlas-5'UTR-513","BSGatlas-5'UTR-513")</f>
        <v>BSGatlas-5'UTR-513</v>
      </c>
      <c r="B514" s="3">
        <v>844212</v>
      </c>
      <c r="C514" s="3">
        <v>844253</v>
      </c>
      <c r="D514" s="1" t="s">
        <v>9</v>
      </c>
      <c r="E514" s="1">
        <v>42</v>
      </c>
      <c r="F514" s="1" t="s">
        <v>12183</v>
      </c>
      <c r="G514" s="1" t="s">
        <v>5650</v>
      </c>
    </row>
    <row r="515" spans="1:7" ht="21" x14ac:dyDescent="0.25">
      <c r="A515" s="2" t="str">
        <f>HYPERLINK("https://rth.dk/resources/bsgatlas/details.php?id=BSGatlas-5'UTR-514","BSGatlas-5'UTR-514")</f>
        <v>BSGatlas-5'UTR-514</v>
      </c>
      <c r="B515" s="3">
        <v>844748</v>
      </c>
      <c r="C515" s="3">
        <v>844770</v>
      </c>
      <c r="D515" s="1" t="s">
        <v>9</v>
      </c>
      <c r="E515" s="1">
        <v>23</v>
      </c>
      <c r="F515" s="1" t="s">
        <v>12184</v>
      </c>
      <c r="G515" s="1" t="s">
        <v>5651</v>
      </c>
    </row>
    <row r="516" spans="1:7" ht="21" x14ac:dyDescent="0.25">
      <c r="A516" s="2" t="str">
        <f>HYPERLINK("https://rth.dk/resources/bsgatlas/details.php?id=BSGatlas-5'UTR-515","BSGatlas-5'UTR-515")</f>
        <v>BSGatlas-5'UTR-515</v>
      </c>
      <c r="B516" s="3">
        <v>850174</v>
      </c>
      <c r="C516" s="3">
        <v>850227</v>
      </c>
      <c r="D516" s="1" t="s">
        <v>13</v>
      </c>
      <c r="E516" s="1">
        <v>54</v>
      </c>
      <c r="F516" s="1" t="s">
        <v>12185</v>
      </c>
      <c r="G516" s="1" t="s">
        <v>5653</v>
      </c>
    </row>
    <row r="517" spans="1:7" ht="21" x14ac:dyDescent="0.25">
      <c r="A517" s="2" t="str">
        <f>HYPERLINK("https://rth.dk/resources/bsgatlas/details.php?id=BSGatlas-5'UTR-516","BSGatlas-5'UTR-516")</f>
        <v>BSGatlas-5'UTR-516</v>
      </c>
      <c r="B517" s="3">
        <v>850174</v>
      </c>
      <c r="C517" s="3">
        <v>850425</v>
      </c>
      <c r="D517" s="1" t="s">
        <v>13</v>
      </c>
      <c r="E517" s="1">
        <v>252</v>
      </c>
      <c r="F517" s="1" t="s">
        <v>12185</v>
      </c>
      <c r="G517" s="1" t="s">
        <v>5655</v>
      </c>
    </row>
    <row r="518" spans="1:7" ht="21" x14ac:dyDescent="0.25">
      <c r="A518" s="2" t="str">
        <f>HYPERLINK("https://rth.dk/resources/bsgatlas/details.php?id=BSGatlas-5'UTR-517","BSGatlas-5'UTR-517")</f>
        <v>BSGatlas-5'UTR-517</v>
      </c>
      <c r="B518" s="3">
        <v>850174</v>
      </c>
      <c r="C518" s="3">
        <v>852163</v>
      </c>
      <c r="D518" s="1" t="s">
        <v>13</v>
      </c>
      <c r="E518" s="1">
        <v>1990</v>
      </c>
      <c r="F518" s="1" t="s">
        <v>12185</v>
      </c>
      <c r="G518" s="1" t="s">
        <v>5656</v>
      </c>
    </row>
    <row r="519" spans="1:7" ht="21" x14ac:dyDescent="0.25">
      <c r="A519" s="2" t="str">
        <f>HYPERLINK("https://rth.dk/resources/bsgatlas/details.php?id=BSGatlas-5'UTR-518","BSGatlas-5'UTR-518")</f>
        <v>BSGatlas-5'UTR-518</v>
      </c>
      <c r="B519" s="3">
        <v>850321</v>
      </c>
      <c r="C519" s="3">
        <v>850367</v>
      </c>
      <c r="D519" s="1" t="s">
        <v>9</v>
      </c>
      <c r="E519" s="1">
        <v>47</v>
      </c>
      <c r="F519" s="1" t="s">
        <v>12186</v>
      </c>
      <c r="G519" s="1" t="s">
        <v>5658</v>
      </c>
    </row>
    <row r="520" spans="1:7" ht="21" x14ac:dyDescent="0.25">
      <c r="A520" s="2" t="str">
        <f>HYPERLINK("https://rth.dk/resources/bsgatlas/details.php?id=BSGatlas-5'UTR-519","BSGatlas-5'UTR-519")</f>
        <v>BSGatlas-5'UTR-519</v>
      </c>
      <c r="B520" s="3">
        <v>853531</v>
      </c>
      <c r="C520" s="3">
        <v>853556</v>
      </c>
      <c r="D520" s="1" t="s">
        <v>9</v>
      </c>
      <c r="E520" s="1">
        <v>26</v>
      </c>
      <c r="F520" s="1" t="s">
        <v>12187</v>
      </c>
      <c r="G520" s="1" t="s">
        <v>5660</v>
      </c>
    </row>
    <row r="521" spans="1:7" ht="21" x14ac:dyDescent="0.25">
      <c r="A521" s="2" t="str">
        <f>HYPERLINK("https://rth.dk/resources/bsgatlas/details.php?id=BSGatlas-5'UTR-520","BSGatlas-5'UTR-520")</f>
        <v>BSGatlas-5'UTR-520</v>
      </c>
      <c r="B521" s="3">
        <v>854375</v>
      </c>
      <c r="C521" s="3">
        <v>854412</v>
      </c>
      <c r="D521" s="1" t="s">
        <v>9</v>
      </c>
      <c r="E521" s="1">
        <v>38</v>
      </c>
      <c r="F521" s="1" t="s">
        <v>12188</v>
      </c>
      <c r="G521" s="1" t="s">
        <v>5661</v>
      </c>
    </row>
    <row r="522" spans="1:7" ht="21" x14ac:dyDescent="0.25">
      <c r="A522" s="2" t="str">
        <f>HYPERLINK("https://rth.dk/resources/bsgatlas/details.php?id=BSGatlas-5'UTR-521","BSGatlas-5'UTR-521")</f>
        <v>BSGatlas-5'UTR-521</v>
      </c>
      <c r="B522" s="3">
        <v>859502</v>
      </c>
      <c r="C522" s="3">
        <v>859552</v>
      </c>
      <c r="D522" s="1" t="s">
        <v>13</v>
      </c>
      <c r="E522" s="1">
        <v>51</v>
      </c>
      <c r="F522" s="1" t="s">
        <v>12189</v>
      </c>
      <c r="G522" s="1" t="s">
        <v>5664</v>
      </c>
    </row>
    <row r="523" spans="1:7" ht="21" x14ac:dyDescent="0.25">
      <c r="A523" s="2" t="str">
        <f>HYPERLINK("https://rth.dk/resources/bsgatlas/details.php?id=BSGatlas-5'UTR-522","BSGatlas-5'UTR-522")</f>
        <v>BSGatlas-5'UTR-522</v>
      </c>
      <c r="B523" s="3">
        <v>859702</v>
      </c>
      <c r="C523" s="3">
        <v>859745</v>
      </c>
      <c r="D523" s="1" t="s">
        <v>9</v>
      </c>
      <c r="E523" s="1">
        <v>44</v>
      </c>
      <c r="F523" s="1" t="s">
        <v>12190</v>
      </c>
      <c r="G523" s="1" t="s">
        <v>5666</v>
      </c>
    </row>
    <row r="524" spans="1:7" ht="21" x14ac:dyDescent="0.25">
      <c r="A524" s="2" t="str">
        <f>HYPERLINK("https://rth.dk/resources/bsgatlas/details.php?id=BSGatlas-5'UTR-523","BSGatlas-5'UTR-523")</f>
        <v>BSGatlas-5'UTR-523</v>
      </c>
      <c r="B524" s="3">
        <v>861801</v>
      </c>
      <c r="C524" s="3">
        <v>861847</v>
      </c>
      <c r="D524" s="1" t="s">
        <v>13</v>
      </c>
      <c r="E524" s="1">
        <v>47</v>
      </c>
      <c r="F524" s="1" t="s">
        <v>12191</v>
      </c>
      <c r="G524" s="1" t="s">
        <v>5669</v>
      </c>
    </row>
    <row r="525" spans="1:7" ht="21" x14ac:dyDescent="0.25">
      <c r="A525" s="2" t="str">
        <f>HYPERLINK("https://rth.dk/resources/bsgatlas/details.php?id=BSGatlas-5'UTR-524","BSGatlas-5'UTR-524")</f>
        <v>BSGatlas-5'UTR-524</v>
      </c>
      <c r="B525" s="3">
        <v>861953</v>
      </c>
      <c r="C525" s="3">
        <v>862004</v>
      </c>
      <c r="D525" s="1" t="s">
        <v>9</v>
      </c>
      <c r="E525" s="1">
        <v>52</v>
      </c>
      <c r="F525" s="1" t="s">
        <v>12192</v>
      </c>
      <c r="G525" s="1" t="s">
        <v>5673</v>
      </c>
    </row>
    <row r="526" spans="1:7" ht="21" x14ac:dyDescent="0.25">
      <c r="A526" s="2" t="str">
        <f>HYPERLINK("https://rth.dk/resources/bsgatlas/details.php?id=BSGatlas-5'UTR-525","BSGatlas-5'UTR-525")</f>
        <v>BSGatlas-5'UTR-525</v>
      </c>
      <c r="B526" s="3">
        <v>864500</v>
      </c>
      <c r="C526" s="3">
        <v>865205</v>
      </c>
      <c r="D526" s="1" t="s">
        <v>9</v>
      </c>
      <c r="E526" s="1">
        <v>706</v>
      </c>
      <c r="F526" s="1" t="s">
        <v>12193</v>
      </c>
      <c r="G526" s="1" t="s">
        <v>5681</v>
      </c>
    </row>
    <row r="527" spans="1:7" ht="21" x14ac:dyDescent="0.25">
      <c r="A527" s="2" t="str">
        <f>HYPERLINK("https://rth.dk/resources/bsgatlas/details.php?id=BSGatlas-5'UTR-526","BSGatlas-5'UTR-526")</f>
        <v>BSGatlas-5'UTR-526</v>
      </c>
      <c r="B527" s="3">
        <v>865037</v>
      </c>
      <c r="C527" s="3">
        <v>865077</v>
      </c>
      <c r="D527" s="1" t="s">
        <v>13</v>
      </c>
      <c r="E527" s="1">
        <v>41</v>
      </c>
      <c r="F527" s="1" t="s">
        <v>12194</v>
      </c>
      <c r="G527" s="1" t="s">
        <v>5677</v>
      </c>
    </row>
    <row r="528" spans="1:7" ht="21" x14ac:dyDescent="0.25">
      <c r="A528" s="2" t="str">
        <f>HYPERLINK("https://rth.dk/resources/bsgatlas/details.php?id=BSGatlas-5'UTR-527","BSGatlas-5'UTR-527")</f>
        <v>BSGatlas-5'UTR-527</v>
      </c>
      <c r="B528" s="3">
        <v>865155</v>
      </c>
      <c r="C528" s="3">
        <v>865205</v>
      </c>
      <c r="D528" s="1" t="s">
        <v>9</v>
      </c>
      <c r="E528" s="1">
        <v>51</v>
      </c>
      <c r="F528" s="1" t="s">
        <v>12193</v>
      </c>
      <c r="G528" s="1" t="s">
        <v>5683</v>
      </c>
    </row>
    <row r="529" spans="1:7" ht="21" x14ac:dyDescent="0.25">
      <c r="A529" s="2" t="str">
        <f>HYPERLINK("https://rth.dk/resources/bsgatlas/details.php?id=BSGatlas-5'UTR-528","BSGatlas-5'UTR-528")</f>
        <v>BSGatlas-5'UTR-528</v>
      </c>
      <c r="B529" s="3">
        <v>866299</v>
      </c>
      <c r="C529" s="3">
        <v>866331</v>
      </c>
      <c r="D529" s="1" t="s">
        <v>9</v>
      </c>
      <c r="E529" s="1">
        <v>33</v>
      </c>
      <c r="F529" s="1" t="s">
        <v>12195</v>
      </c>
      <c r="G529" s="1" t="s">
        <v>5684</v>
      </c>
    </row>
    <row r="530" spans="1:7" ht="21" x14ac:dyDescent="0.25">
      <c r="A530" s="2" t="str">
        <f>HYPERLINK("https://rth.dk/resources/bsgatlas/details.php?id=BSGatlas-5'UTR-529","BSGatlas-5'UTR-529")</f>
        <v>BSGatlas-5'UTR-529</v>
      </c>
      <c r="B530" s="3">
        <v>869128</v>
      </c>
      <c r="C530" s="3">
        <v>869187</v>
      </c>
      <c r="D530" s="1" t="s">
        <v>13</v>
      </c>
      <c r="E530" s="1">
        <v>60</v>
      </c>
      <c r="F530" s="1" t="s">
        <v>12196</v>
      </c>
      <c r="G530" s="1" t="s">
        <v>5686</v>
      </c>
    </row>
    <row r="531" spans="1:7" ht="21" x14ac:dyDescent="0.25">
      <c r="A531" s="2" t="str">
        <f>HYPERLINK("https://rth.dk/resources/bsgatlas/details.php?id=BSGatlas-5'UTR-530","BSGatlas-5'UTR-530")</f>
        <v>BSGatlas-5'UTR-530</v>
      </c>
      <c r="B531" s="3">
        <v>869247</v>
      </c>
      <c r="C531" s="3">
        <v>869273</v>
      </c>
      <c r="D531" s="1" t="s">
        <v>9</v>
      </c>
      <c r="E531" s="1">
        <v>27</v>
      </c>
      <c r="F531" s="1" t="s">
        <v>12197</v>
      </c>
      <c r="G531" s="1" t="s">
        <v>5688</v>
      </c>
    </row>
    <row r="532" spans="1:7" ht="21" x14ac:dyDescent="0.25">
      <c r="A532" s="2" t="str">
        <f>HYPERLINK("https://rth.dk/resources/bsgatlas/details.php?id=BSGatlas-5'UTR-531","BSGatlas-5'UTR-531")</f>
        <v>BSGatlas-5'UTR-531</v>
      </c>
      <c r="B532" s="3">
        <v>869513</v>
      </c>
      <c r="C532" s="3">
        <v>869559</v>
      </c>
      <c r="D532" s="1" t="s">
        <v>9</v>
      </c>
      <c r="E532" s="1">
        <v>47</v>
      </c>
      <c r="F532" s="1" t="s">
        <v>12198</v>
      </c>
      <c r="G532" s="1" t="s">
        <v>5690</v>
      </c>
    </row>
    <row r="533" spans="1:7" ht="21" x14ac:dyDescent="0.25">
      <c r="A533" s="2" t="str">
        <f>HYPERLINK("https://rth.dk/resources/bsgatlas/details.php?id=BSGatlas-5'UTR-532","BSGatlas-5'UTR-532")</f>
        <v>BSGatlas-5'UTR-532</v>
      </c>
      <c r="B533" s="3">
        <v>871248</v>
      </c>
      <c r="C533" s="3">
        <v>871282</v>
      </c>
      <c r="D533" s="1" t="s">
        <v>13</v>
      </c>
      <c r="E533" s="1">
        <v>35</v>
      </c>
      <c r="F533" s="1" t="s">
        <v>12199</v>
      </c>
      <c r="G533" s="1" t="s">
        <v>5692</v>
      </c>
    </row>
    <row r="534" spans="1:7" ht="21" x14ac:dyDescent="0.25">
      <c r="A534" s="2" t="str">
        <f>HYPERLINK("https://rth.dk/resources/bsgatlas/details.php?id=BSGatlas-5'UTR-533","BSGatlas-5'UTR-533")</f>
        <v>BSGatlas-5'UTR-533</v>
      </c>
      <c r="B534" s="3">
        <v>872394</v>
      </c>
      <c r="C534" s="3">
        <v>872425</v>
      </c>
      <c r="D534" s="1" t="s">
        <v>9</v>
      </c>
      <c r="E534" s="1">
        <v>32</v>
      </c>
      <c r="F534" s="1" t="s">
        <v>12200</v>
      </c>
      <c r="G534" s="1" t="s">
        <v>5697</v>
      </c>
    </row>
    <row r="535" spans="1:7" ht="21" x14ac:dyDescent="0.25">
      <c r="A535" s="2" t="str">
        <f>HYPERLINK("https://rth.dk/resources/bsgatlas/details.php?id=BSGatlas-5'UTR-534","BSGatlas-5'UTR-534")</f>
        <v>BSGatlas-5'UTR-534</v>
      </c>
      <c r="B535" s="3">
        <v>875137</v>
      </c>
      <c r="C535" s="3">
        <v>875428</v>
      </c>
      <c r="D535" s="1" t="s">
        <v>9</v>
      </c>
      <c r="E535" s="1">
        <v>292</v>
      </c>
      <c r="F535" s="1" t="s">
        <v>12201</v>
      </c>
      <c r="G535" s="1" t="s">
        <v>5700</v>
      </c>
    </row>
    <row r="536" spans="1:7" ht="21" x14ac:dyDescent="0.25">
      <c r="A536" s="2" t="str">
        <f>HYPERLINK("https://rth.dk/resources/bsgatlas/details.php?id=BSGatlas-5'UTR-535","BSGatlas-5'UTR-535")</f>
        <v>BSGatlas-5'UTR-535</v>
      </c>
      <c r="B536" s="3">
        <v>876178</v>
      </c>
      <c r="C536" s="3">
        <v>876426</v>
      </c>
      <c r="D536" s="1" t="s">
        <v>9</v>
      </c>
      <c r="E536" s="1">
        <v>249</v>
      </c>
      <c r="F536" s="1" t="s">
        <v>12202</v>
      </c>
      <c r="G536" s="1" t="s">
        <v>5701</v>
      </c>
    </row>
    <row r="537" spans="1:7" ht="21" x14ac:dyDescent="0.25">
      <c r="A537" s="2" t="str">
        <f>HYPERLINK("https://rth.dk/resources/bsgatlas/details.php?id=BSGatlas-5'UTR-536","BSGatlas-5'UTR-536")</f>
        <v>BSGatlas-5'UTR-536</v>
      </c>
      <c r="B537" s="3">
        <v>877564</v>
      </c>
      <c r="C537" s="3">
        <v>877599</v>
      </c>
      <c r="D537" s="1" t="s">
        <v>9</v>
      </c>
      <c r="E537" s="1">
        <v>36</v>
      </c>
      <c r="F537" s="1" t="s">
        <v>12203</v>
      </c>
      <c r="G537" s="1" t="s">
        <v>5704</v>
      </c>
    </row>
    <row r="538" spans="1:7" ht="21" x14ac:dyDescent="0.25">
      <c r="A538" s="2" t="str">
        <f>HYPERLINK("https://rth.dk/resources/bsgatlas/details.php?id=BSGatlas-5'UTR-537","BSGatlas-5'UTR-537")</f>
        <v>BSGatlas-5'UTR-537</v>
      </c>
      <c r="B538" s="3">
        <v>878974</v>
      </c>
      <c r="C538" s="3">
        <v>879002</v>
      </c>
      <c r="D538" s="1" t="s">
        <v>9</v>
      </c>
      <c r="E538" s="1">
        <v>29</v>
      </c>
      <c r="F538" s="1" t="s">
        <v>12204</v>
      </c>
      <c r="G538" s="1" t="s">
        <v>5708</v>
      </c>
    </row>
    <row r="539" spans="1:7" ht="21" x14ac:dyDescent="0.25">
      <c r="A539" s="2" t="str">
        <f>HYPERLINK("https://rth.dk/resources/bsgatlas/details.php?id=BSGatlas-5'UTR-538","BSGatlas-5'UTR-538")</f>
        <v>BSGatlas-5'UTR-538</v>
      </c>
      <c r="B539" s="3">
        <v>883717</v>
      </c>
      <c r="C539" s="3">
        <v>883758</v>
      </c>
      <c r="D539" s="1" t="s">
        <v>9</v>
      </c>
      <c r="E539" s="1">
        <v>42</v>
      </c>
      <c r="F539" s="1" t="s">
        <v>12205</v>
      </c>
      <c r="G539" s="1" t="s">
        <v>5711</v>
      </c>
    </row>
    <row r="540" spans="1:7" ht="21" x14ac:dyDescent="0.25">
      <c r="A540" s="2" t="str">
        <f>HYPERLINK("https://rth.dk/resources/bsgatlas/details.php?id=BSGatlas-5'UTR-539","BSGatlas-5'UTR-539")</f>
        <v>BSGatlas-5'UTR-539</v>
      </c>
      <c r="B540" s="3">
        <v>885613</v>
      </c>
      <c r="C540" s="3">
        <v>885629</v>
      </c>
      <c r="D540" s="1" t="s">
        <v>9</v>
      </c>
      <c r="E540" s="1">
        <v>17</v>
      </c>
      <c r="F540" s="1" t="s">
        <v>12206</v>
      </c>
      <c r="G540" s="1" t="s">
        <v>5713</v>
      </c>
    </row>
    <row r="541" spans="1:7" ht="21" x14ac:dyDescent="0.25">
      <c r="A541" s="2" t="str">
        <f>HYPERLINK("https://rth.dk/resources/bsgatlas/details.php?id=BSGatlas-5'UTR-540","BSGatlas-5'UTR-540")</f>
        <v>BSGatlas-5'UTR-540</v>
      </c>
      <c r="B541" s="3">
        <v>889686</v>
      </c>
      <c r="C541" s="3">
        <v>889747</v>
      </c>
      <c r="D541" s="1" t="s">
        <v>13</v>
      </c>
      <c r="E541" s="1">
        <v>62</v>
      </c>
      <c r="F541" s="1" t="s">
        <v>12207</v>
      </c>
      <c r="G541" s="1" t="s">
        <v>5715</v>
      </c>
    </row>
    <row r="542" spans="1:7" ht="21" x14ac:dyDescent="0.25">
      <c r="A542" s="2" t="str">
        <f>HYPERLINK("https://rth.dk/resources/bsgatlas/details.php?id=BSGatlas-5'UTR-541","BSGatlas-5'UTR-541")</f>
        <v>BSGatlas-5'UTR-541</v>
      </c>
      <c r="B542" s="3">
        <v>889686</v>
      </c>
      <c r="C542" s="3">
        <v>891610</v>
      </c>
      <c r="D542" s="1" t="s">
        <v>13</v>
      </c>
      <c r="E542" s="1">
        <v>1925</v>
      </c>
      <c r="F542" s="1" t="s">
        <v>12207</v>
      </c>
      <c r="G542" s="1" t="s">
        <v>5717</v>
      </c>
    </row>
    <row r="543" spans="1:7" ht="21" x14ac:dyDescent="0.25">
      <c r="A543" s="2" t="str">
        <f>HYPERLINK("https://rth.dk/resources/bsgatlas/details.php?id=BSGatlas-5'UTR-542","BSGatlas-5'UTR-542")</f>
        <v>BSGatlas-5'UTR-542</v>
      </c>
      <c r="B543" s="3">
        <v>889996</v>
      </c>
      <c r="C543" s="3">
        <v>890022</v>
      </c>
      <c r="D543" s="1" t="s">
        <v>9</v>
      </c>
      <c r="E543" s="1">
        <v>27</v>
      </c>
      <c r="F543" s="1" t="s">
        <v>12208</v>
      </c>
      <c r="G543" s="1" t="s">
        <v>5720</v>
      </c>
    </row>
    <row r="544" spans="1:7" ht="21" x14ac:dyDescent="0.25">
      <c r="A544" s="2" t="str">
        <f>HYPERLINK("https://rth.dk/resources/bsgatlas/details.php?id=BSGatlas-5'UTR-543","BSGatlas-5'UTR-543")</f>
        <v>BSGatlas-5'UTR-543</v>
      </c>
      <c r="B544" s="3">
        <v>891402</v>
      </c>
      <c r="C544" s="3">
        <v>891436</v>
      </c>
      <c r="D544" s="1" t="s">
        <v>9</v>
      </c>
      <c r="E544" s="1">
        <v>35</v>
      </c>
      <c r="F544" s="1" t="s">
        <v>12209</v>
      </c>
      <c r="G544" s="1" t="s">
        <v>5723</v>
      </c>
    </row>
    <row r="545" spans="1:7" ht="21" x14ac:dyDescent="0.25">
      <c r="A545" s="2" t="str">
        <f>HYPERLINK("https://rth.dk/resources/bsgatlas/details.php?id=BSGatlas-5'UTR-544","BSGatlas-5'UTR-544")</f>
        <v>BSGatlas-5'UTR-544</v>
      </c>
      <c r="B545" s="3">
        <v>893857</v>
      </c>
      <c r="C545" s="3">
        <v>893904</v>
      </c>
      <c r="D545" s="1" t="s">
        <v>9</v>
      </c>
      <c r="E545" s="1">
        <v>48</v>
      </c>
      <c r="F545" s="1" t="s">
        <v>12210</v>
      </c>
      <c r="G545" s="1" t="s">
        <v>5725</v>
      </c>
    </row>
    <row r="546" spans="1:7" ht="21" x14ac:dyDescent="0.25">
      <c r="A546" s="2" t="str">
        <f>HYPERLINK("https://rth.dk/resources/bsgatlas/details.php?id=BSGatlas-5'UTR-545","BSGatlas-5'UTR-545")</f>
        <v>BSGatlas-5'UTR-545</v>
      </c>
      <c r="B546" s="3">
        <v>897540</v>
      </c>
      <c r="C546" s="3">
        <v>897588</v>
      </c>
      <c r="D546" s="1" t="s">
        <v>9</v>
      </c>
      <c r="E546" s="1">
        <v>49</v>
      </c>
      <c r="F546" s="1" t="s">
        <v>12211</v>
      </c>
      <c r="G546" s="1" t="s">
        <v>5728</v>
      </c>
    </row>
    <row r="547" spans="1:7" ht="21" x14ac:dyDescent="0.25">
      <c r="A547" s="2" t="str">
        <f>HYPERLINK("https://rth.dk/resources/bsgatlas/details.php?id=BSGatlas-5'UTR-546","BSGatlas-5'UTR-546")</f>
        <v>BSGatlas-5'UTR-546</v>
      </c>
      <c r="B547" s="3">
        <v>903786</v>
      </c>
      <c r="C547" s="3">
        <v>903811</v>
      </c>
      <c r="D547" s="1" t="s">
        <v>9</v>
      </c>
      <c r="E547" s="1">
        <v>26</v>
      </c>
      <c r="F547" s="1" t="s">
        <v>12212</v>
      </c>
      <c r="G547" s="1" t="s">
        <v>5733</v>
      </c>
    </row>
    <row r="548" spans="1:7" ht="21" x14ac:dyDescent="0.25">
      <c r="A548" s="2" t="str">
        <f>HYPERLINK("https://rth.dk/resources/bsgatlas/details.php?id=BSGatlas-5'UTR-547","BSGatlas-5'UTR-547")</f>
        <v>BSGatlas-5'UTR-547</v>
      </c>
      <c r="B548" s="3">
        <v>909746</v>
      </c>
      <c r="C548" s="3">
        <v>909826</v>
      </c>
      <c r="D548" s="1" t="s">
        <v>13</v>
      </c>
      <c r="E548" s="1">
        <v>81</v>
      </c>
      <c r="F548" s="1" t="s">
        <v>12213</v>
      </c>
      <c r="G548" s="1" t="s">
        <v>5736</v>
      </c>
    </row>
    <row r="549" spans="1:7" ht="21" x14ac:dyDescent="0.25">
      <c r="A549" s="2" t="str">
        <f>HYPERLINK("https://rth.dk/resources/bsgatlas/details.php?id=BSGatlas-5'UTR-548","BSGatlas-5'UTR-548")</f>
        <v>BSGatlas-5'UTR-548</v>
      </c>
      <c r="B549" s="3">
        <v>909975</v>
      </c>
      <c r="C549" s="3">
        <v>910019</v>
      </c>
      <c r="D549" s="1" t="s">
        <v>9</v>
      </c>
      <c r="E549" s="1">
        <v>45</v>
      </c>
      <c r="F549" s="1" t="s">
        <v>12214</v>
      </c>
      <c r="G549" s="1" t="s">
        <v>5738</v>
      </c>
    </row>
    <row r="550" spans="1:7" ht="21" x14ac:dyDescent="0.25">
      <c r="A550" s="2" t="str">
        <f>HYPERLINK("https://rth.dk/resources/bsgatlas/details.php?id=BSGatlas-5'UTR-549","BSGatlas-5'UTR-549")</f>
        <v>BSGatlas-5'UTR-549</v>
      </c>
      <c r="B550" s="3">
        <v>910795</v>
      </c>
      <c r="C550" s="3">
        <v>910840</v>
      </c>
      <c r="D550" s="1" t="s">
        <v>9</v>
      </c>
      <c r="E550" s="1">
        <v>46</v>
      </c>
      <c r="F550" s="1" t="s">
        <v>12215</v>
      </c>
      <c r="G550" s="1" t="s">
        <v>5741</v>
      </c>
    </row>
    <row r="551" spans="1:7" ht="21" x14ac:dyDescent="0.25">
      <c r="A551" s="2" t="str">
        <f>HYPERLINK("https://rth.dk/resources/bsgatlas/details.php?id=BSGatlas-5'UTR-550","BSGatlas-5'UTR-550")</f>
        <v>BSGatlas-5'UTR-550</v>
      </c>
      <c r="B551" s="3">
        <v>912581</v>
      </c>
      <c r="C551" s="3">
        <v>912620</v>
      </c>
      <c r="D551" s="1" t="s">
        <v>13</v>
      </c>
      <c r="E551" s="1">
        <v>40</v>
      </c>
      <c r="F551" s="1" t="s">
        <v>12216</v>
      </c>
      <c r="G551" s="1" t="s">
        <v>5744</v>
      </c>
    </row>
    <row r="552" spans="1:7" ht="21" x14ac:dyDescent="0.25">
      <c r="A552" s="2" t="str">
        <f>HYPERLINK("https://rth.dk/resources/bsgatlas/details.php?id=BSGatlas-5'UTR-551","BSGatlas-5'UTR-551")</f>
        <v>BSGatlas-5'UTR-551</v>
      </c>
      <c r="B552" s="3">
        <v>913800</v>
      </c>
      <c r="C552" s="3">
        <v>913852</v>
      </c>
      <c r="D552" s="1" t="s">
        <v>13</v>
      </c>
      <c r="E552" s="1">
        <v>53</v>
      </c>
      <c r="F552" s="1" t="s">
        <v>12217</v>
      </c>
      <c r="G552" s="1" t="s">
        <v>5747</v>
      </c>
    </row>
    <row r="553" spans="1:7" ht="21" x14ac:dyDescent="0.25">
      <c r="A553" s="2" t="str">
        <f>HYPERLINK("https://rth.dk/resources/bsgatlas/details.php?id=BSGatlas-5'UTR-552","BSGatlas-5'UTR-552")</f>
        <v>BSGatlas-5'UTR-552</v>
      </c>
      <c r="B553" s="3">
        <v>913884</v>
      </c>
      <c r="C553" s="3">
        <v>913924</v>
      </c>
      <c r="D553" s="1" t="s">
        <v>9</v>
      </c>
      <c r="E553" s="1">
        <v>41</v>
      </c>
      <c r="F553" s="1" t="s">
        <v>12218</v>
      </c>
      <c r="G553" s="1" t="s">
        <v>5748</v>
      </c>
    </row>
    <row r="554" spans="1:7" ht="21" x14ac:dyDescent="0.25">
      <c r="A554" s="2" t="str">
        <f>HYPERLINK("https://rth.dk/resources/bsgatlas/details.php?id=BSGatlas-5'UTR-553","BSGatlas-5'UTR-553")</f>
        <v>BSGatlas-5'UTR-553</v>
      </c>
      <c r="B554" s="3">
        <v>916013</v>
      </c>
      <c r="C554" s="3">
        <v>916052</v>
      </c>
      <c r="D554" s="1" t="s">
        <v>13</v>
      </c>
      <c r="E554" s="1">
        <v>40</v>
      </c>
      <c r="F554" s="1" t="s">
        <v>12219</v>
      </c>
      <c r="G554" s="1" t="s">
        <v>5750</v>
      </c>
    </row>
    <row r="555" spans="1:7" ht="21" x14ac:dyDescent="0.25">
      <c r="A555" s="2" t="str">
        <f>HYPERLINK("https://rth.dk/resources/bsgatlas/details.php?id=BSGatlas-5'UTR-554","BSGatlas-5'UTR-554")</f>
        <v>BSGatlas-5'UTR-554</v>
      </c>
      <c r="B555" s="3">
        <v>916606</v>
      </c>
      <c r="C555" s="3">
        <v>916647</v>
      </c>
      <c r="D555" s="1" t="s">
        <v>13</v>
      </c>
      <c r="E555" s="1">
        <v>42</v>
      </c>
      <c r="F555" s="1" t="s">
        <v>12220</v>
      </c>
      <c r="G555" s="1" t="s">
        <v>5751</v>
      </c>
    </row>
    <row r="556" spans="1:7" ht="21" x14ac:dyDescent="0.25">
      <c r="A556" s="2" t="str">
        <f>HYPERLINK("https://rth.dk/resources/bsgatlas/details.php?id=BSGatlas-5'UTR-555","BSGatlas-5'UTR-555")</f>
        <v>BSGatlas-5'UTR-555</v>
      </c>
      <c r="B556" s="3">
        <v>916721</v>
      </c>
      <c r="C556" s="3">
        <v>916778</v>
      </c>
      <c r="D556" s="1" t="s">
        <v>9</v>
      </c>
      <c r="E556" s="1">
        <v>58</v>
      </c>
      <c r="F556" s="1" t="s">
        <v>12221</v>
      </c>
      <c r="G556" s="1" t="s">
        <v>5753</v>
      </c>
    </row>
    <row r="557" spans="1:7" ht="21" x14ac:dyDescent="0.25">
      <c r="A557" s="2" t="str">
        <f>HYPERLINK("https://rth.dk/resources/bsgatlas/details.php?id=BSGatlas-5'UTR-556","BSGatlas-5'UTR-556")</f>
        <v>BSGatlas-5'UTR-556</v>
      </c>
      <c r="B557" s="3">
        <v>920343</v>
      </c>
      <c r="C557" s="3">
        <v>920387</v>
      </c>
      <c r="D557" s="1" t="s">
        <v>13</v>
      </c>
      <c r="E557" s="1">
        <v>45</v>
      </c>
      <c r="F557" s="1" t="s">
        <v>12222</v>
      </c>
      <c r="G557" s="1" t="s">
        <v>5755</v>
      </c>
    </row>
    <row r="558" spans="1:7" ht="21" x14ac:dyDescent="0.25">
      <c r="A558" s="2" t="str">
        <f>HYPERLINK("https://rth.dk/resources/bsgatlas/details.php?id=BSGatlas-5'UTR-557","BSGatlas-5'UTR-557")</f>
        <v>BSGatlas-5'UTR-557</v>
      </c>
      <c r="B558" s="3">
        <v>920382</v>
      </c>
      <c r="C558" s="3">
        <v>920474</v>
      </c>
      <c r="D558" s="1" t="s">
        <v>9</v>
      </c>
      <c r="E558" s="1">
        <v>93</v>
      </c>
      <c r="F558" s="1" t="s">
        <v>12223</v>
      </c>
      <c r="G558" s="1" t="s">
        <v>5758</v>
      </c>
    </row>
    <row r="559" spans="1:7" ht="21" x14ac:dyDescent="0.25">
      <c r="A559" s="2" t="str">
        <f>HYPERLINK("https://rth.dk/resources/bsgatlas/details.php?id=BSGatlas-5'UTR-558","BSGatlas-5'UTR-558")</f>
        <v>BSGatlas-5'UTR-558</v>
      </c>
      <c r="B559" s="3">
        <v>922575</v>
      </c>
      <c r="C559" s="3">
        <v>922618</v>
      </c>
      <c r="D559" s="1" t="s">
        <v>9</v>
      </c>
      <c r="E559" s="1">
        <v>44</v>
      </c>
      <c r="F559" s="1" t="s">
        <v>12224</v>
      </c>
      <c r="G559" s="1" t="s">
        <v>5761</v>
      </c>
    </row>
    <row r="560" spans="1:7" ht="21" x14ac:dyDescent="0.25">
      <c r="A560" s="2" t="str">
        <f>HYPERLINK("https://rth.dk/resources/bsgatlas/details.php?id=BSGatlas-5'UTR-559","BSGatlas-5'UTR-559")</f>
        <v>BSGatlas-5'UTR-559</v>
      </c>
      <c r="B560" s="3">
        <v>923542</v>
      </c>
      <c r="C560" s="3">
        <v>923587</v>
      </c>
      <c r="D560" s="1" t="s">
        <v>9</v>
      </c>
      <c r="E560" s="1">
        <v>46</v>
      </c>
      <c r="F560" s="1" t="s">
        <v>12225</v>
      </c>
      <c r="G560" s="1" t="s">
        <v>5764</v>
      </c>
    </row>
    <row r="561" spans="1:7" ht="21" x14ac:dyDescent="0.25">
      <c r="A561" s="2" t="str">
        <f>HYPERLINK("https://rth.dk/resources/bsgatlas/details.php?id=BSGatlas-5'UTR-560","BSGatlas-5'UTR-560")</f>
        <v>BSGatlas-5'UTR-560</v>
      </c>
      <c r="B561" s="3">
        <v>924401</v>
      </c>
      <c r="C561" s="3">
        <v>924433</v>
      </c>
      <c r="D561" s="1" t="s">
        <v>13</v>
      </c>
      <c r="E561" s="1">
        <v>33</v>
      </c>
      <c r="F561" s="1" t="s">
        <v>12226</v>
      </c>
      <c r="G561" s="1" t="s">
        <v>5765</v>
      </c>
    </row>
    <row r="562" spans="1:7" ht="21" x14ac:dyDescent="0.25">
      <c r="A562" s="2" t="str">
        <f>HYPERLINK("https://rth.dk/resources/bsgatlas/details.php?id=BSGatlas-5'UTR-561","BSGatlas-5'UTR-561")</f>
        <v>BSGatlas-5'UTR-561</v>
      </c>
      <c r="B562" s="3">
        <v>924578</v>
      </c>
      <c r="C562" s="3">
        <v>924609</v>
      </c>
      <c r="D562" s="1" t="s">
        <v>13</v>
      </c>
      <c r="E562" s="1">
        <v>32</v>
      </c>
      <c r="F562" s="1" t="s">
        <v>12227</v>
      </c>
      <c r="G562" s="1" t="s">
        <v>5768</v>
      </c>
    </row>
    <row r="563" spans="1:7" ht="21" x14ac:dyDescent="0.25">
      <c r="A563" s="2" t="str">
        <f>HYPERLINK("https://rth.dk/resources/bsgatlas/details.php?id=BSGatlas-5'UTR-562","BSGatlas-5'UTR-562")</f>
        <v>BSGatlas-5'UTR-562</v>
      </c>
      <c r="B563" s="3">
        <v>925460</v>
      </c>
      <c r="C563" s="3">
        <v>925633</v>
      </c>
      <c r="D563" s="1" t="s">
        <v>9</v>
      </c>
      <c r="E563" s="1">
        <v>174</v>
      </c>
      <c r="F563" s="1" t="s">
        <v>12228</v>
      </c>
      <c r="G563" s="1" t="s">
        <v>5772</v>
      </c>
    </row>
    <row r="564" spans="1:7" ht="21" x14ac:dyDescent="0.25">
      <c r="A564" s="2" t="str">
        <f>HYPERLINK("https://rth.dk/resources/bsgatlas/details.php?id=BSGatlas-5'UTR-563","BSGatlas-5'UTR-563")</f>
        <v>BSGatlas-5'UTR-563</v>
      </c>
      <c r="B564" s="3">
        <v>925544</v>
      </c>
      <c r="C564" s="3">
        <v>925580</v>
      </c>
      <c r="D564" s="1" t="s">
        <v>13</v>
      </c>
      <c r="E564" s="1">
        <v>37</v>
      </c>
      <c r="F564" s="1" t="s">
        <v>12229</v>
      </c>
      <c r="G564" s="1" t="s">
        <v>5770</v>
      </c>
    </row>
    <row r="565" spans="1:7" ht="21" x14ac:dyDescent="0.25">
      <c r="A565" s="2" t="str">
        <f>HYPERLINK("https://rth.dk/resources/bsgatlas/details.php?id=BSGatlas-5'UTR-564","BSGatlas-5'UTR-564")</f>
        <v>BSGatlas-5'UTR-564</v>
      </c>
      <c r="B565" s="3">
        <v>926843</v>
      </c>
      <c r="C565" s="3">
        <v>926886</v>
      </c>
      <c r="D565" s="1" t="s">
        <v>9</v>
      </c>
      <c r="E565" s="1">
        <v>44</v>
      </c>
      <c r="F565" s="1" t="s">
        <v>12230</v>
      </c>
      <c r="G565" s="1" t="s">
        <v>5774</v>
      </c>
    </row>
    <row r="566" spans="1:7" ht="21" x14ac:dyDescent="0.25">
      <c r="A566" s="2" t="str">
        <f>HYPERLINK("https://rth.dk/resources/bsgatlas/details.php?id=BSGatlas-5'UTR-565","BSGatlas-5'UTR-565")</f>
        <v>BSGatlas-5'UTR-565</v>
      </c>
      <c r="B566" s="3">
        <v>928264</v>
      </c>
      <c r="C566" s="3">
        <v>928317</v>
      </c>
      <c r="D566" s="1" t="s">
        <v>13</v>
      </c>
      <c r="E566" s="1">
        <v>54</v>
      </c>
      <c r="F566" s="1" t="s">
        <v>12231</v>
      </c>
      <c r="G566" s="1" t="s">
        <v>5776</v>
      </c>
    </row>
    <row r="567" spans="1:7" ht="21" x14ac:dyDescent="0.25">
      <c r="A567" s="2" t="str">
        <f>HYPERLINK("https://rth.dk/resources/bsgatlas/details.php?id=BSGatlas-5'UTR-566","BSGatlas-5'UTR-566")</f>
        <v>BSGatlas-5'UTR-566</v>
      </c>
      <c r="B567" s="3">
        <v>928316</v>
      </c>
      <c r="C567" s="3">
        <v>928389</v>
      </c>
      <c r="D567" s="1" t="s">
        <v>9</v>
      </c>
      <c r="E567" s="1">
        <v>74</v>
      </c>
      <c r="F567" s="1" t="s">
        <v>12232</v>
      </c>
      <c r="G567" s="1" t="s">
        <v>5778</v>
      </c>
    </row>
    <row r="568" spans="1:7" ht="21" x14ac:dyDescent="0.25">
      <c r="A568" s="2" t="str">
        <f>HYPERLINK("https://rth.dk/resources/bsgatlas/details.php?id=BSGatlas-5'UTR-567","BSGatlas-5'UTR-567")</f>
        <v>BSGatlas-5'UTR-567</v>
      </c>
      <c r="B568" s="3">
        <v>928757</v>
      </c>
      <c r="C568" s="3">
        <v>928803</v>
      </c>
      <c r="D568" s="1" t="s">
        <v>9</v>
      </c>
      <c r="E568" s="1">
        <v>47</v>
      </c>
      <c r="F568" s="1" t="s">
        <v>12233</v>
      </c>
      <c r="G568" s="1" t="s">
        <v>5781</v>
      </c>
    </row>
    <row r="569" spans="1:7" ht="21" x14ac:dyDescent="0.25">
      <c r="A569" s="2" t="str">
        <f>HYPERLINK("https://rth.dk/resources/bsgatlas/details.php?id=BSGatlas-5'UTR-568","BSGatlas-5'UTR-568")</f>
        <v>BSGatlas-5'UTR-568</v>
      </c>
      <c r="B569" s="3">
        <v>929390</v>
      </c>
      <c r="C569" s="3">
        <v>929406</v>
      </c>
      <c r="D569" s="1" t="s">
        <v>9</v>
      </c>
      <c r="E569" s="1">
        <v>17</v>
      </c>
      <c r="F569" s="1" t="s">
        <v>12234</v>
      </c>
      <c r="G569" s="1" t="s">
        <v>5784</v>
      </c>
    </row>
    <row r="570" spans="1:7" ht="21" x14ac:dyDescent="0.25">
      <c r="A570" s="2" t="str">
        <f>HYPERLINK("https://rth.dk/resources/bsgatlas/details.php?id=BSGatlas-5'UTR-569","BSGatlas-5'UTR-569")</f>
        <v>BSGatlas-5'UTR-569</v>
      </c>
      <c r="B570" s="3">
        <v>930738</v>
      </c>
      <c r="C570" s="3">
        <v>930818</v>
      </c>
      <c r="D570" s="1" t="s">
        <v>9</v>
      </c>
      <c r="E570" s="1">
        <v>81</v>
      </c>
      <c r="F570" s="1" t="s">
        <v>12235</v>
      </c>
      <c r="G570" s="1" t="s">
        <v>5785</v>
      </c>
    </row>
    <row r="571" spans="1:7" ht="21" x14ac:dyDescent="0.25">
      <c r="A571" s="2" t="str">
        <f>HYPERLINK("https://rth.dk/resources/bsgatlas/details.php?id=BSGatlas-5'UTR-570","BSGatlas-5'UTR-570")</f>
        <v>BSGatlas-5'UTR-570</v>
      </c>
      <c r="B571" s="3">
        <v>930753</v>
      </c>
      <c r="C571" s="3">
        <v>930818</v>
      </c>
      <c r="D571" s="1" t="s">
        <v>9</v>
      </c>
      <c r="E571" s="1">
        <v>66</v>
      </c>
      <c r="F571" s="1" t="s">
        <v>12235</v>
      </c>
      <c r="G571" s="1" t="s">
        <v>5789</v>
      </c>
    </row>
    <row r="572" spans="1:7" ht="21" x14ac:dyDescent="0.25">
      <c r="A572" s="2" t="str">
        <f>HYPERLINK("https://rth.dk/resources/bsgatlas/details.php?id=BSGatlas-5'UTR-571","BSGatlas-5'UTR-571")</f>
        <v>BSGatlas-5'UTR-571</v>
      </c>
      <c r="B572" s="3">
        <v>934940</v>
      </c>
      <c r="C572" s="3">
        <v>935656</v>
      </c>
      <c r="D572" s="1" t="s">
        <v>9</v>
      </c>
      <c r="E572" s="1">
        <v>717</v>
      </c>
      <c r="F572" s="1" t="s">
        <v>12236</v>
      </c>
      <c r="G572" s="1" t="s">
        <v>5792</v>
      </c>
    </row>
    <row r="573" spans="1:7" ht="21" x14ac:dyDescent="0.25">
      <c r="A573" s="2" t="str">
        <f>HYPERLINK("https://rth.dk/resources/bsgatlas/details.php?id=BSGatlas-5'UTR-572","BSGatlas-5'UTR-572")</f>
        <v>BSGatlas-5'UTR-572</v>
      </c>
      <c r="B573" s="3">
        <v>935440</v>
      </c>
      <c r="C573" s="3">
        <v>935587</v>
      </c>
      <c r="D573" s="1" t="s">
        <v>13</v>
      </c>
      <c r="E573" s="1">
        <v>148</v>
      </c>
      <c r="F573" s="1" t="s">
        <v>12237</v>
      </c>
      <c r="G573" s="1" t="s">
        <v>5790</v>
      </c>
    </row>
    <row r="574" spans="1:7" ht="21" x14ac:dyDescent="0.25">
      <c r="A574" s="2" t="str">
        <f>HYPERLINK("https://rth.dk/resources/bsgatlas/details.php?id=BSGatlas-5'UTR-573","BSGatlas-5'UTR-573")</f>
        <v>BSGatlas-5'UTR-573</v>
      </c>
      <c r="B574" s="3">
        <v>935582</v>
      </c>
      <c r="C574" s="3">
        <v>935656</v>
      </c>
      <c r="D574" s="1" t="s">
        <v>9</v>
      </c>
      <c r="E574" s="1">
        <v>75</v>
      </c>
      <c r="F574" s="1" t="s">
        <v>12236</v>
      </c>
      <c r="G574" s="1" t="s">
        <v>5796</v>
      </c>
    </row>
    <row r="575" spans="1:7" ht="21" x14ac:dyDescent="0.25">
      <c r="A575" s="2" t="str">
        <f>HYPERLINK("https://rth.dk/resources/bsgatlas/details.php?id=BSGatlas-5'UTR-574","BSGatlas-5'UTR-574")</f>
        <v>BSGatlas-5'UTR-574</v>
      </c>
      <c r="B575" s="3">
        <v>936639</v>
      </c>
      <c r="C575" s="3">
        <v>937079</v>
      </c>
      <c r="D575" s="1" t="s">
        <v>9</v>
      </c>
      <c r="E575" s="1">
        <v>441</v>
      </c>
      <c r="F575" s="1" t="s">
        <v>12238</v>
      </c>
      <c r="G575" s="1" t="s">
        <v>5801</v>
      </c>
    </row>
    <row r="576" spans="1:7" ht="21" x14ac:dyDescent="0.25">
      <c r="A576" s="2" t="str">
        <f>HYPERLINK("https://rth.dk/resources/bsgatlas/details.php?id=BSGatlas-5'UTR-575","BSGatlas-5'UTR-575")</f>
        <v>BSGatlas-5'UTR-575</v>
      </c>
      <c r="B576" s="3">
        <v>936838</v>
      </c>
      <c r="C576" s="3">
        <v>937079</v>
      </c>
      <c r="D576" s="1" t="s">
        <v>9</v>
      </c>
      <c r="E576" s="1">
        <v>242</v>
      </c>
      <c r="F576" s="1" t="s">
        <v>12238</v>
      </c>
      <c r="G576" s="1" t="s">
        <v>5802</v>
      </c>
    </row>
    <row r="577" spans="1:7" ht="21" x14ac:dyDescent="0.25">
      <c r="A577" s="2" t="str">
        <f>HYPERLINK("https://rth.dk/resources/bsgatlas/details.php?id=BSGatlas-5'UTR-576","BSGatlas-5'UTR-576")</f>
        <v>BSGatlas-5'UTR-576</v>
      </c>
      <c r="B577" s="3">
        <v>936907</v>
      </c>
      <c r="C577" s="3">
        <v>937079</v>
      </c>
      <c r="D577" s="1" t="s">
        <v>9</v>
      </c>
      <c r="E577" s="1">
        <v>173</v>
      </c>
      <c r="F577" s="1" t="s">
        <v>12238</v>
      </c>
      <c r="G577" s="1" t="s">
        <v>5803</v>
      </c>
    </row>
    <row r="578" spans="1:7" ht="21" x14ac:dyDescent="0.25">
      <c r="A578" s="2" t="str">
        <f>HYPERLINK("https://rth.dk/resources/bsgatlas/details.php?id=BSGatlas-5'UTR-577","BSGatlas-5'UTR-577")</f>
        <v>BSGatlas-5'UTR-577</v>
      </c>
      <c r="B578" s="3">
        <v>936997</v>
      </c>
      <c r="C578" s="3">
        <v>937023</v>
      </c>
      <c r="D578" s="1" t="s">
        <v>13</v>
      </c>
      <c r="E578" s="1">
        <v>27</v>
      </c>
      <c r="F578" s="1" t="s">
        <v>12239</v>
      </c>
      <c r="G578" s="1" t="s">
        <v>5797</v>
      </c>
    </row>
    <row r="579" spans="1:7" ht="21" x14ac:dyDescent="0.25">
      <c r="A579" s="2" t="str">
        <f>HYPERLINK("https://rth.dk/resources/bsgatlas/details.php?id=BSGatlas-5'UTR-578","BSGatlas-5'UTR-578")</f>
        <v>BSGatlas-5'UTR-578</v>
      </c>
      <c r="B579" s="3">
        <v>936997</v>
      </c>
      <c r="C579" s="3">
        <v>937898</v>
      </c>
      <c r="D579" s="1" t="s">
        <v>13</v>
      </c>
      <c r="E579" s="1">
        <v>902</v>
      </c>
      <c r="F579" s="1" t="s">
        <v>12239</v>
      </c>
      <c r="G579" s="1" t="s">
        <v>5799</v>
      </c>
    </row>
    <row r="580" spans="1:7" ht="21" x14ac:dyDescent="0.25">
      <c r="A580" s="2" t="str">
        <f>HYPERLINK("https://rth.dk/resources/bsgatlas/details.php?id=BSGatlas-5'UTR-579","BSGatlas-5'UTR-579")</f>
        <v>BSGatlas-5'UTR-579</v>
      </c>
      <c r="B580" s="3">
        <v>937885</v>
      </c>
      <c r="C580" s="3">
        <v>937900</v>
      </c>
      <c r="D580" s="1" t="s">
        <v>9</v>
      </c>
      <c r="E580" s="1">
        <v>16</v>
      </c>
      <c r="F580" s="1" t="s">
        <v>12240</v>
      </c>
      <c r="G580" s="1" t="s">
        <v>5804</v>
      </c>
    </row>
    <row r="581" spans="1:7" ht="21" x14ac:dyDescent="0.25">
      <c r="A581" s="2" t="str">
        <f>HYPERLINK("https://rth.dk/resources/bsgatlas/details.php?id=BSGatlas-5'UTR-580","BSGatlas-5'UTR-580")</f>
        <v>BSGatlas-5'UTR-580</v>
      </c>
      <c r="B581" s="3">
        <v>938656</v>
      </c>
      <c r="C581" s="3">
        <v>938731</v>
      </c>
      <c r="D581" s="1" t="s">
        <v>9</v>
      </c>
      <c r="E581" s="1">
        <v>76</v>
      </c>
      <c r="F581" s="1" t="s">
        <v>12241</v>
      </c>
      <c r="G581" s="1" t="s">
        <v>5807</v>
      </c>
    </row>
    <row r="582" spans="1:7" ht="21" x14ac:dyDescent="0.25">
      <c r="A582" s="2" t="str">
        <f>HYPERLINK("https://rth.dk/resources/bsgatlas/details.php?id=BSGatlas-5'UTR-581","BSGatlas-5'UTR-581")</f>
        <v>BSGatlas-5'UTR-581</v>
      </c>
      <c r="B582" s="3">
        <v>942229</v>
      </c>
      <c r="C582" s="3">
        <v>942327</v>
      </c>
      <c r="D582" s="1" t="s">
        <v>13</v>
      </c>
      <c r="E582" s="1">
        <v>99</v>
      </c>
      <c r="F582" s="1" t="s">
        <v>12242</v>
      </c>
      <c r="G582" s="1" t="s">
        <v>5811</v>
      </c>
    </row>
    <row r="583" spans="1:7" ht="21" x14ac:dyDescent="0.25">
      <c r="A583" s="2" t="str">
        <f>HYPERLINK("https://rth.dk/resources/bsgatlas/details.php?id=BSGatlas-5'UTR-582","BSGatlas-5'UTR-582")</f>
        <v>BSGatlas-5'UTR-582</v>
      </c>
      <c r="B583" s="3">
        <v>943738</v>
      </c>
      <c r="C583" s="3">
        <v>943785</v>
      </c>
      <c r="D583" s="1" t="s">
        <v>13</v>
      </c>
      <c r="E583" s="1">
        <v>48</v>
      </c>
      <c r="F583" s="1" t="s">
        <v>12243</v>
      </c>
      <c r="G583" s="1" t="s">
        <v>5813</v>
      </c>
    </row>
    <row r="584" spans="1:7" ht="21" x14ac:dyDescent="0.25">
      <c r="A584" s="2" t="str">
        <f>HYPERLINK("https://rth.dk/resources/bsgatlas/details.php?id=BSGatlas-5'UTR-583","BSGatlas-5'UTR-583")</f>
        <v>BSGatlas-5'UTR-583</v>
      </c>
      <c r="B584" s="3">
        <v>943738</v>
      </c>
      <c r="C584" s="3">
        <v>944498</v>
      </c>
      <c r="D584" s="1" t="s">
        <v>13</v>
      </c>
      <c r="E584" s="1">
        <v>761</v>
      </c>
      <c r="F584" s="1" t="s">
        <v>12243</v>
      </c>
      <c r="G584" s="1" t="s">
        <v>5815</v>
      </c>
    </row>
    <row r="585" spans="1:7" ht="21" x14ac:dyDescent="0.25">
      <c r="A585" s="2" t="str">
        <f>HYPERLINK("https://rth.dk/resources/bsgatlas/details.php?id=BSGatlas-5'UTR-584","BSGatlas-5'UTR-584")</f>
        <v>BSGatlas-5'UTR-584</v>
      </c>
      <c r="B585" s="3">
        <v>943852</v>
      </c>
      <c r="C585" s="3">
        <v>943891</v>
      </c>
      <c r="D585" s="1" t="s">
        <v>9</v>
      </c>
      <c r="E585" s="1">
        <v>40</v>
      </c>
      <c r="F585" s="1" t="s">
        <v>12244</v>
      </c>
      <c r="G585" s="1" t="s">
        <v>5817</v>
      </c>
    </row>
    <row r="586" spans="1:7" ht="21" x14ac:dyDescent="0.25">
      <c r="A586" s="2" t="str">
        <f>HYPERLINK("https://rth.dk/resources/bsgatlas/details.php?id=BSGatlas-5'UTR-585","BSGatlas-5'UTR-585")</f>
        <v>BSGatlas-5'UTR-585</v>
      </c>
      <c r="B586" s="3">
        <v>944440</v>
      </c>
      <c r="C586" s="3">
        <v>944487</v>
      </c>
      <c r="D586" s="1" t="s">
        <v>9</v>
      </c>
      <c r="E586" s="1">
        <v>48</v>
      </c>
      <c r="F586" s="1" t="s">
        <v>12245</v>
      </c>
      <c r="G586" s="1" t="s">
        <v>5819</v>
      </c>
    </row>
    <row r="587" spans="1:7" ht="21" x14ac:dyDescent="0.25">
      <c r="A587" s="2" t="str">
        <f>HYPERLINK("https://rth.dk/resources/bsgatlas/details.php?id=BSGatlas-5'UTR-586","BSGatlas-5'UTR-586")</f>
        <v>BSGatlas-5'UTR-586</v>
      </c>
      <c r="B587" s="3">
        <v>945312</v>
      </c>
      <c r="C587" s="3">
        <v>945334</v>
      </c>
      <c r="D587" s="1" t="s">
        <v>13</v>
      </c>
      <c r="E587" s="1">
        <v>23</v>
      </c>
      <c r="F587" s="1" t="s">
        <v>12246</v>
      </c>
      <c r="G587" s="1" t="s">
        <v>5820</v>
      </c>
    </row>
    <row r="588" spans="1:7" ht="21" x14ac:dyDescent="0.25">
      <c r="A588" s="2" t="str">
        <f>HYPERLINK("https://rth.dk/resources/bsgatlas/details.php?id=BSGatlas-5'UTR-587","BSGatlas-5'UTR-587")</f>
        <v>BSGatlas-5'UTR-587</v>
      </c>
      <c r="B588" s="3">
        <v>945324</v>
      </c>
      <c r="C588" s="3">
        <v>945520</v>
      </c>
      <c r="D588" s="1" t="s">
        <v>9</v>
      </c>
      <c r="E588" s="1">
        <v>197</v>
      </c>
      <c r="F588" s="1" t="s">
        <v>12247</v>
      </c>
      <c r="G588" s="1" t="s">
        <v>5823</v>
      </c>
    </row>
    <row r="589" spans="1:7" ht="21" x14ac:dyDescent="0.25">
      <c r="A589" s="2" t="str">
        <f>HYPERLINK("https://rth.dk/resources/bsgatlas/details.php?id=BSGatlas-5'UTR-588","BSGatlas-5'UTR-588")</f>
        <v>BSGatlas-5'UTR-588</v>
      </c>
      <c r="B589" s="3">
        <v>945417</v>
      </c>
      <c r="C589" s="3">
        <v>945520</v>
      </c>
      <c r="D589" s="1" t="s">
        <v>9</v>
      </c>
      <c r="E589" s="1">
        <v>104</v>
      </c>
      <c r="F589" s="1" t="s">
        <v>12247</v>
      </c>
      <c r="G589" s="1" t="s">
        <v>5832</v>
      </c>
    </row>
    <row r="590" spans="1:7" ht="21" x14ac:dyDescent="0.25">
      <c r="A590" s="2" t="str">
        <f>HYPERLINK("https://rth.dk/resources/bsgatlas/details.php?id=BSGatlas-5'UTR-589","BSGatlas-5'UTR-589")</f>
        <v>BSGatlas-5'UTR-589</v>
      </c>
      <c r="B590" s="3">
        <v>946424</v>
      </c>
      <c r="C590" s="3">
        <v>946696</v>
      </c>
      <c r="D590" s="1" t="s">
        <v>9</v>
      </c>
      <c r="E590" s="1">
        <v>273</v>
      </c>
      <c r="F590" s="1" t="s">
        <v>12248</v>
      </c>
      <c r="G590" s="1" t="s">
        <v>5834</v>
      </c>
    </row>
    <row r="591" spans="1:7" ht="21" x14ac:dyDescent="0.25">
      <c r="A591" s="2" t="str">
        <f>HYPERLINK("https://rth.dk/resources/bsgatlas/details.php?id=BSGatlas-5'UTR-590","BSGatlas-5'UTR-590")</f>
        <v>BSGatlas-5'UTR-590</v>
      </c>
      <c r="B591" s="3">
        <v>946521</v>
      </c>
      <c r="C591" s="3">
        <v>946696</v>
      </c>
      <c r="D591" s="1" t="s">
        <v>9</v>
      </c>
      <c r="E591" s="1">
        <v>176</v>
      </c>
      <c r="F591" s="1" t="s">
        <v>12248</v>
      </c>
      <c r="G591" s="1" t="s">
        <v>5839</v>
      </c>
    </row>
    <row r="592" spans="1:7" ht="21" x14ac:dyDescent="0.25">
      <c r="A592" s="2" t="str">
        <f>HYPERLINK("https://rth.dk/resources/bsgatlas/details.php?id=BSGatlas-5'UTR-591","BSGatlas-5'UTR-591")</f>
        <v>BSGatlas-5'UTR-591</v>
      </c>
      <c r="B592" s="3">
        <v>953185</v>
      </c>
      <c r="C592" s="3">
        <v>953212</v>
      </c>
      <c r="D592" s="1" t="s">
        <v>9</v>
      </c>
      <c r="E592" s="1">
        <v>28</v>
      </c>
      <c r="F592" s="1" t="s">
        <v>12249</v>
      </c>
      <c r="G592" s="1" t="s">
        <v>5844</v>
      </c>
    </row>
    <row r="593" spans="1:7" ht="21" x14ac:dyDescent="0.25">
      <c r="A593" s="2" t="str">
        <f>HYPERLINK("https://rth.dk/resources/bsgatlas/details.php?id=BSGatlas-5'UTR-592","BSGatlas-5'UTR-592")</f>
        <v>BSGatlas-5'UTR-592</v>
      </c>
      <c r="B593" s="3">
        <v>954149</v>
      </c>
      <c r="C593" s="3">
        <v>954198</v>
      </c>
      <c r="D593" s="1" t="s">
        <v>13</v>
      </c>
      <c r="E593" s="1">
        <v>50</v>
      </c>
      <c r="F593" s="1" t="s">
        <v>12250</v>
      </c>
      <c r="G593" s="1" t="s">
        <v>5845</v>
      </c>
    </row>
    <row r="594" spans="1:7" ht="21" x14ac:dyDescent="0.25">
      <c r="A594" s="2" t="str">
        <f>HYPERLINK("https://rth.dk/resources/bsgatlas/details.php?id=BSGatlas-5'UTR-593","BSGatlas-5'UTR-593")</f>
        <v>BSGatlas-5'UTR-593</v>
      </c>
      <c r="B594" s="3">
        <v>954257</v>
      </c>
      <c r="C594" s="3">
        <v>954291</v>
      </c>
      <c r="D594" s="1" t="s">
        <v>9</v>
      </c>
      <c r="E594" s="1">
        <v>35</v>
      </c>
      <c r="F594" s="1" t="s">
        <v>12251</v>
      </c>
      <c r="G594" s="1" t="s">
        <v>5848</v>
      </c>
    </row>
    <row r="595" spans="1:7" ht="21" x14ac:dyDescent="0.25">
      <c r="A595" s="2" t="str">
        <f>HYPERLINK("https://rth.dk/resources/bsgatlas/details.php?id=BSGatlas-5'UTR-594","BSGatlas-5'UTR-594")</f>
        <v>BSGatlas-5'UTR-594</v>
      </c>
      <c r="B595" s="3">
        <v>954851</v>
      </c>
      <c r="C595" s="3">
        <v>955629</v>
      </c>
      <c r="D595" s="1" t="s">
        <v>13</v>
      </c>
      <c r="E595" s="1">
        <v>779</v>
      </c>
      <c r="F595" s="1" t="s">
        <v>12252</v>
      </c>
      <c r="G595" s="1" t="s">
        <v>5852</v>
      </c>
    </row>
    <row r="596" spans="1:7" ht="21" x14ac:dyDescent="0.25">
      <c r="A596" s="2" t="str">
        <f>HYPERLINK("https://rth.dk/resources/bsgatlas/details.php?id=BSGatlas-5'UTR-595","BSGatlas-5'UTR-595")</f>
        <v>BSGatlas-5'UTR-595</v>
      </c>
      <c r="B596" s="3">
        <v>954860</v>
      </c>
      <c r="C596" s="3">
        <v>954893</v>
      </c>
      <c r="D596" s="1" t="s">
        <v>9</v>
      </c>
      <c r="E596" s="1">
        <v>34</v>
      </c>
      <c r="F596" s="1" t="s">
        <v>12253</v>
      </c>
      <c r="G596" s="1" t="s">
        <v>5853</v>
      </c>
    </row>
    <row r="597" spans="1:7" ht="21" x14ac:dyDescent="0.25">
      <c r="A597" s="2" t="str">
        <f>HYPERLINK("https://rth.dk/resources/bsgatlas/details.php?id=BSGatlas-5'UTR-596","BSGatlas-5'UTR-596")</f>
        <v>BSGatlas-5'UTR-596</v>
      </c>
      <c r="B597" s="3">
        <v>955662</v>
      </c>
      <c r="C597" s="3">
        <v>955895</v>
      </c>
      <c r="D597" s="1" t="s">
        <v>9</v>
      </c>
      <c r="E597" s="1">
        <v>234</v>
      </c>
      <c r="F597" s="1" t="s">
        <v>12254</v>
      </c>
      <c r="G597" s="1" t="s">
        <v>5855</v>
      </c>
    </row>
    <row r="598" spans="1:7" ht="21" x14ac:dyDescent="0.25">
      <c r="A598" s="2" t="str">
        <f>HYPERLINK("https://rth.dk/resources/bsgatlas/details.php?id=BSGatlas-5'UTR-597","BSGatlas-5'UTR-597")</f>
        <v>BSGatlas-5'UTR-597</v>
      </c>
      <c r="B598" s="3">
        <v>959060</v>
      </c>
      <c r="C598" s="3">
        <v>959105</v>
      </c>
      <c r="D598" s="1" t="s">
        <v>13</v>
      </c>
      <c r="E598" s="1">
        <v>46</v>
      </c>
      <c r="F598" s="1" t="s">
        <v>12255</v>
      </c>
      <c r="G598" s="1" t="s">
        <v>5859</v>
      </c>
    </row>
    <row r="599" spans="1:7" ht="21" x14ac:dyDescent="0.25">
      <c r="A599" s="2" t="str">
        <f>HYPERLINK("https://rth.dk/resources/bsgatlas/details.php?id=BSGatlas-5'UTR-598","BSGatlas-5'UTR-598")</f>
        <v>BSGatlas-5'UTR-598</v>
      </c>
      <c r="B599" s="3">
        <v>959227</v>
      </c>
      <c r="C599" s="3">
        <v>959311</v>
      </c>
      <c r="D599" s="1" t="s">
        <v>9</v>
      </c>
      <c r="E599" s="1">
        <v>85</v>
      </c>
      <c r="F599" s="1" t="s">
        <v>12256</v>
      </c>
      <c r="G599" s="1" t="s">
        <v>5860</v>
      </c>
    </row>
    <row r="600" spans="1:7" ht="21" x14ac:dyDescent="0.25">
      <c r="A600" s="2" t="str">
        <f>HYPERLINK("https://rth.dk/resources/bsgatlas/details.php?id=BSGatlas-5'UTR-599","BSGatlas-5'UTR-599")</f>
        <v>BSGatlas-5'UTR-599</v>
      </c>
      <c r="B600" s="3">
        <v>960986</v>
      </c>
      <c r="C600" s="3">
        <v>961023</v>
      </c>
      <c r="D600" s="1" t="s">
        <v>13</v>
      </c>
      <c r="E600" s="1">
        <v>38</v>
      </c>
      <c r="F600" s="1" t="s">
        <v>12257</v>
      </c>
      <c r="G600" s="1" t="s">
        <v>5862</v>
      </c>
    </row>
    <row r="601" spans="1:7" ht="21" x14ac:dyDescent="0.25">
      <c r="A601" s="2" t="str">
        <f>HYPERLINK("https://rth.dk/resources/bsgatlas/details.php?id=BSGatlas-5'UTR-600","BSGatlas-5'UTR-600")</f>
        <v>BSGatlas-5'UTR-600</v>
      </c>
      <c r="B601" s="3">
        <v>960986</v>
      </c>
      <c r="C601" s="3">
        <v>961107</v>
      </c>
      <c r="D601" s="1" t="s">
        <v>13</v>
      </c>
      <c r="E601" s="1">
        <v>122</v>
      </c>
      <c r="F601" s="1" t="s">
        <v>12257</v>
      </c>
      <c r="G601" s="1" t="s">
        <v>5864</v>
      </c>
    </row>
    <row r="602" spans="1:7" ht="21" x14ac:dyDescent="0.25">
      <c r="A602" s="2" t="str">
        <f>HYPERLINK("https://rth.dk/resources/bsgatlas/details.php?id=BSGatlas-5'UTR-601","BSGatlas-5'UTR-601")</f>
        <v>BSGatlas-5'UTR-601</v>
      </c>
      <c r="B602" s="3">
        <v>960987</v>
      </c>
      <c r="C602" s="3">
        <v>961009</v>
      </c>
      <c r="D602" s="1" t="s">
        <v>9</v>
      </c>
      <c r="E602" s="1">
        <v>23</v>
      </c>
      <c r="F602" s="1" t="s">
        <v>12258</v>
      </c>
      <c r="G602" s="1" t="s">
        <v>5865</v>
      </c>
    </row>
    <row r="603" spans="1:7" ht="21" x14ac:dyDescent="0.25">
      <c r="A603" s="2" t="str">
        <f>HYPERLINK("https://rth.dk/resources/bsgatlas/details.php?id=BSGatlas-5'UTR-602","BSGatlas-5'UTR-602")</f>
        <v>BSGatlas-5'UTR-602</v>
      </c>
      <c r="B603" s="3">
        <v>961271</v>
      </c>
      <c r="C603" s="3">
        <v>961394</v>
      </c>
      <c r="D603" s="1" t="s">
        <v>9</v>
      </c>
      <c r="E603" s="1">
        <v>124</v>
      </c>
      <c r="F603" s="1" t="s">
        <v>12259</v>
      </c>
      <c r="G603" s="1" t="s">
        <v>5868</v>
      </c>
    </row>
    <row r="604" spans="1:7" ht="21" x14ac:dyDescent="0.25">
      <c r="A604" s="2" t="str">
        <f>HYPERLINK("https://rth.dk/resources/bsgatlas/details.php?id=BSGatlas-5'UTR-603","BSGatlas-5'UTR-603")</f>
        <v>BSGatlas-5'UTR-603</v>
      </c>
      <c r="B604" s="3">
        <v>965190</v>
      </c>
      <c r="C604" s="3">
        <v>965261</v>
      </c>
      <c r="D604" s="1" t="s">
        <v>9</v>
      </c>
      <c r="E604" s="1">
        <v>72</v>
      </c>
      <c r="F604" s="1" t="s">
        <v>12260</v>
      </c>
      <c r="G604" s="1" t="s">
        <v>5872</v>
      </c>
    </row>
    <row r="605" spans="1:7" ht="21" x14ac:dyDescent="0.25">
      <c r="A605" s="2" t="str">
        <f>HYPERLINK("https://rth.dk/resources/bsgatlas/details.php?id=BSGatlas-5'UTR-604","BSGatlas-5'UTR-604")</f>
        <v>BSGatlas-5'UTR-604</v>
      </c>
      <c r="B605" s="3">
        <v>965875</v>
      </c>
      <c r="C605" s="3">
        <v>965909</v>
      </c>
      <c r="D605" s="1" t="s">
        <v>9</v>
      </c>
      <c r="E605" s="1">
        <v>35</v>
      </c>
      <c r="F605" s="1" t="s">
        <v>12261</v>
      </c>
      <c r="G605" s="1" t="s">
        <v>5873</v>
      </c>
    </row>
    <row r="606" spans="1:7" ht="21" x14ac:dyDescent="0.25">
      <c r="A606" s="2" t="str">
        <f>HYPERLINK("https://rth.dk/resources/bsgatlas/details.php?id=BSGatlas-5'UTR-605","BSGatlas-5'UTR-605")</f>
        <v>BSGatlas-5'UTR-605</v>
      </c>
      <c r="B606" s="3">
        <v>966871</v>
      </c>
      <c r="C606" s="3">
        <v>966914</v>
      </c>
      <c r="D606" s="1" t="s">
        <v>13</v>
      </c>
      <c r="E606" s="1">
        <v>44</v>
      </c>
      <c r="F606" s="1" t="s">
        <v>12262</v>
      </c>
      <c r="G606" s="1" t="s">
        <v>5878</v>
      </c>
    </row>
    <row r="607" spans="1:7" ht="21" x14ac:dyDescent="0.25">
      <c r="A607" s="2" t="str">
        <f>HYPERLINK("https://rth.dk/resources/bsgatlas/details.php?id=BSGatlas-5'UTR-606","BSGatlas-5'UTR-606")</f>
        <v>BSGatlas-5'UTR-606</v>
      </c>
      <c r="B607" s="3">
        <v>967014</v>
      </c>
      <c r="C607" s="3">
        <v>967064</v>
      </c>
      <c r="D607" s="1" t="s">
        <v>9</v>
      </c>
      <c r="E607" s="1">
        <v>51</v>
      </c>
      <c r="F607" s="1" t="s">
        <v>12263</v>
      </c>
      <c r="G607" s="1" t="s">
        <v>5879</v>
      </c>
    </row>
    <row r="608" spans="1:7" ht="21" x14ac:dyDescent="0.25">
      <c r="A608" s="2" t="str">
        <f>HYPERLINK("https://rth.dk/resources/bsgatlas/details.php?id=BSGatlas-5'UTR-607","BSGatlas-5'UTR-607")</f>
        <v>BSGatlas-5'UTR-607</v>
      </c>
      <c r="B608" s="3">
        <v>967852</v>
      </c>
      <c r="C608" s="3">
        <v>967897</v>
      </c>
      <c r="D608" s="1" t="s">
        <v>13</v>
      </c>
      <c r="E608" s="1">
        <v>46</v>
      </c>
      <c r="F608" s="1" t="s">
        <v>12264</v>
      </c>
      <c r="G608" s="1" t="s">
        <v>5881</v>
      </c>
    </row>
    <row r="609" spans="1:7" ht="21" x14ac:dyDescent="0.25">
      <c r="A609" s="2" t="str">
        <f>HYPERLINK("https://rth.dk/resources/bsgatlas/details.php?id=BSGatlas-5'UTR-608","BSGatlas-5'UTR-608")</f>
        <v>BSGatlas-5'UTR-608</v>
      </c>
      <c r="B609" s="3">
        <v>969126</v>
      </c>
      <c r="C609" s="3">
        <v>969162</v>
      </c>
      <c r="D609" s="1" t="s">
        <v>9</v>
      </c>
      <c r="E609" s="1">
        <v>37</v>
      </c>
      <c r="F609" s="1" t="s">
        <v>12265</v>
      </c>
      <c r="G609" s="1" t="s">
        <v>5885</v>
      </c>
    </row>
    <row r="610" spans="1:7" ht="21" x14ac:dyDescent="0.25">
      <c r="A610" s="2" t="str">
        <f>HYPERLINK("https://rth.dk/resources/bsgatlas/details.php?id=BSGatlas-5'UTR-609","BSGatlas-5'UTR-609")</f>
        <v>BSGatlas-5'UTR-609</v>
      </c>
      <c r="B610" s="3">
        <v>970099</v>
      </c>
      <c r="C610" s="3">
        <v>970135</v>
      </c>
      <c r="D610" s="1" t="s">
        <v>9</v>
      </c>
      <c r="E610" s="1">
        <v>37</v>
      </c>
      <c r="F610" s="1" t="s">
        <v>12266</v>
      </c>
      <c r="G610" s="1" t="s">
        <v>5887</v>
      </c>
    </row>
    <row r="611" spans="1:7" ht="21" x14ac:dyDescent="0.25">
      <c r="A611" s="2" t="str">
        <f>HYPERLINK("https://rth.dk/resources/bsgatlas/details.php?id=BSGatlas-5'UTR-610","BSGatlas-5'UTR-610")</f>
        <v>BSGatlas-5'UTR-610</v>
      </c>
      <c r="B611" s="3">
        <v>973108</v>
      </c>
      <c r="C611" s="3">
        <v>973156</v>
      </c>
      <c r="D611" s="1" t="s">
        <v>9</v>
      </c>
      <c r="E611" s="1">
        <v>49</v>
      </c>
      <c r="F611" s="1" t="s">
        <v>12267</v>
      </c>
      <c r="G611" s="1" t="s">
        <v>5896</v>
      </c>
    </row>
    <row r="612" spans="1:7" ht="21" x14ac:dyDescent="0.25">
      <c r="A612" s="2" t="str">
        <f>HYPERLINK("https://rth.dk/resources/bsgatlas/details.php?id=BSGatlas-5'UTR-611","BSGatlas-5'UTR-611")</f>
        <v>BSGatlas-5'UTR-611</v>
      </c>
      <c r="B612" s="3">
        <v>975144</v>
      </c>
      <c r="C612" s="3">
        <v>975231</v>
      </c>
      <c r="D612" s="1" t="s">
        <v>9</v>
      </c>
      <c r="E612" s="1">
        <v>88</v>
      </c>
      <c r="F612" s="1" t="s">
        <v>12268</v>
      </c>
      <c r="G612" s="1" t="s">
        <v>5899</v>
      </c>
    </row>
    <row r="613" spans="1:7" ht="21" x14ac:dyDescent="0.25">
      <c r="A613" s="2" t="str">
        <f>HYPERLINK("https://rth.dk/resources/bsgatlas/details.php?id=BSGatlas-5'UTR-612","BSGatlas-5'UTR-612")</f>
        <v>BSGatlas-5'UTR-612</v>
      </c>
      <c r="B613" s="3">
        <v>976518</v>
      </c>
      <c r="C613" s="3">
        <v>976569</v>
      </c>
      <c r="D613" s="1" t="s">
        <v>9</v>
      </c>
      <c r="E613" s="1">
        <v>52</v>
      </c>
      <c r="F613" s="1" t="s">
        <v>12269</v>
      </c>
      <c r="G613" s="1" t="s">
        <v>5904</v>
      </c>
    </row>
    <row r="614" spans="1:7" ht="21" x14ac:dyDescent="0.25">
      <c r="A614" s="2" t="str">
        <f>HYPERLINK("https://rth.dk/resources/bsgatlas/details.php?id=BSGatlas-5'UTR-613","BSGatlas-5'UTR-613")</f>
        <v>BSGatlas-5'UTR-613</v>
      </c>
      <c r="B614" s="3">
        <v>976892</v>
      </c>
      <c r="C614" s="3">
        <v>977069</v>
      </c>
      <c r="D614" s="1" t="s">
        <v>9</v>
      </c>
      <c r="E614" s="1">
        <v>178</v>
      </c>
      <c r="F614" s="1" t="s">
        <v>12270</v>
      </c>
      <c r="G614" s="1" t="s">
        <v>5909</v>
      </c>
    </row>
    <row r="615" spans="1:7" ht="21" x14ac:dyDescent="0.25">
      <c r="A615" s="2" t="str">
        <f>HYPERLINK("https://rth.dk/resources/bsgatlas/details.php?id=BSGatlas-5'UTR-614","BSGatlas-5'UTR-614")</f>
        <v>BSGatlas-5'UTR-614</v>
      </c>
      <c r="B615" s="3">
        <v>980434</v>
      </c>
      <c r="C615" s="3">
        <v>980473</v>
      </c>
      <c r="D615" s="1" t="s">
        <v>9</v>
      </c>
      <c r="E615" s="1">
        <v>40</v>
      </c>
      <c r="F615" s="1" t="s">
        <v>12271</v>
      </c>
      <c r="G615" s="1" t="s">
        <v>5913</v>
      </c>
    </row>
    <row r="616" spans="1:7" ht="21" x14ac:dyDescent="0.25">
      <c r="A616" s="2" t="str">
        <f>HYPERLINK("https://rth.dk/resources/bsgatlas/details.php?id=BSGatlas-5'UTR-615","BSGatlas-5'UTR-615")</f>
        <v>BSGatlas-5'UTR-615</v>
      </c>
      <c r="B616" s="3">
        <v>984465</v>
      </c>
      <c r="C616" s="3">
        <v>984584</v>
      </c>
      <c r="D616" s="1" t="s">
        <v>13</v>
      </c>
      <c r="E616" s="1">
        <v>120</v>
      </c>
      <c r="F616" s="1" t="s">
        <v>12272</v>
      </c>
      <c r="G616" s="1" t="s">
        <v>5914</v>
      </c>
    </row>
    <row r="617" spans="1:7" ht="21" x14ac:dyDescent="0.25">
      <c r="A617" s="2" t="str">
        <f>HYPERLINK("https://rth.dk/resources/bsgatlas/details.php?id=BSGatlas-5'UTR-616","BSGatlas-5'UTR-616")</f>
        <v>BSGatlas-5'UTR-616</v>
      </c>
      <c r="B617" s="3">
        <v>984570</v>
      </c>
      <c r="C617" s="3">
        <v>984901</v>
      </c>
      <c r="D617" s="1" t="s">
        <v>9</v>
      </c>
      <c r="E617" s="1">
        <v>332</v>
      </c>
      <c r="F617" s="1" t="s">
        <v>12273</v>
      </c>
      <c r="G617" s="1" t="s">
        <v>5918</v>
      </c>
    </row>
    <row r="618" spans="1:7" ht="21" x14ac:dyDescent="0.25">
      <c r="A618" s="2" t="str">
        <f>HYPERLINK("https://rth.dk/resources/bsgatlas/details.php?id=BSGatlas-5'UTR-617","BSGatlas-5'UTR-617")</f>
        <v>BSGatlas-5'UTR-617</v>
      </c>
      <c r="B618" s="3">
        <v>984789</v>
      </c>
      <c r="C618" s="3">
        <v>984901</v>
      </c>
      <c r="D618" s="1" t="s">
        <v>9</v>
      </c>
      <c r="E618" s="1">
        <v>113</v>
      </c>
      <c r="F618" s="1" t="s">
        <v>12273</v>
      </c>
      <c r="G618" s="1" t="s">
        <v>5920</v>
      </c>
    </row>
    <row r="619" spans="1:7" ht="21" x14ac:dyDescent="0.25">
      <c r="A619" s="2" t="str">
        <f>HYPERLINK("https://rth.dk/resources/bsgatlas/details.php?id=BSGatlas-5'UTR-618","BSGatlas-5'UTR-618")</f>
        <v>BSGatlas-5'UTR-618</v>
      </c>
      <c r="B619" s="3">
        <v>986813</v>
      </c>
      <c r="C619" s="3">
        <v>986844</v>
      </c>
      <c r="D619" s="1" t="s">
        <v>13</v>
      </c>
      <c r="E619" s="1">
        <v>32</v>
      </c>
      <c r="F619" s="1" t="s">
        <v>12274</v>
      </c>
      <c r="G619" s="1" t="s">
        <v>5921</v>
      </c>
    </row>
    <row r="620" spans="1:7" ht="21" x14ac:dyDescent="0.25">
      <c r="A620" s="2" t="str">
        <f>HYPERLINK("https://rth.dk/resources/bsgatlas/details.php?id=BSGatlas-5'UTR-619","BSGatlas-5'UTR-619")</f>
        <v>BSGatlas-5'UTR-619</v>
      </c>
      <c r="B620" s="3">
        <v>986959</v>
      </c>
      <c r="C620" s="3">
        <v>986986</v>
      </c>
      <c r="D620" s="1" t="s">
        <v>9</v>
      </c>
      <c r="E620" s="1">
        <v>28</v>
      </c>
      <c r="F620" s="1" t="s">
        <v>12275</v>
      </c>
      <c r="G620" s="1" t="s">
        <v>5922</v>
      </c>
    </row>
    <row r="621" spans="1:7" ht="21" x14ac:dyDescent="0.25">
      <c r="A621" s="2" t="str">
        <f>HYPERLINK("https://rth.dk/resources/bsgatlas/details.php?id=BSGatlas-5'UTR-620","BSGatlas-5'UTR-620")</f>
        <v>BSGatlas-5'UTR-620</v>
      </c>
      <c r="B621" s="3">
        <v>988872</v>
      </c>
      <c r="C621" s="3">
        <v>988915</v>
      </c>
      <c r="D621" s="1" t="s">
        <v>13</v>
      </c>
      <c r="E621" s="1">
        <v>44</v>
      </c>
      <c r="F621" s="1" t="s">
        <v>12276</v>
      </c>
      <c r="G621" s="1" t="s">
        <v>5924</v>
      </c>
    </row>
    <row r="622" spans="1:7" ht="21" x14ac:dyDescent="0.25">
      <c r="A622" s="2" t="str">
        <f>HYPERLINK("https://rth.dk/resources/bsgatlas/details.php?id=BSGatlas-5'UTR-621","BSGatlas-5'UTR-621")</f>
        <v>BSGatlas-5'UTR-621</v>
      </c>
      <c r="B622" s="3">
        <v>988998</v>
      </c>
      <c r="C622" s="3">
        <v>989022</v>
      </c>
      <c r="D622" s="1" t="s">
        <v>9</v>
      </c>
      <c r="E622" s="1">
        <v>25</v>
      </c>
      <c r="F622" s="1" t="s">
        <v>12277</v>
      </c>
      <c r="G622" s="1" t="s">
        <v>5927</v>
      </c>
    </row>
    <row r="623" spans="1:7" ht="21" x14ac:dyDescent="0.25">
      <c r="A623" s="2" t="str">
        <f>HYPERLINK("https://rth.dk/resources/bsgatlas/details.php?id=BSGatlas-5'UTR-622","BSGatlas-5'UTR-622")</f>
        <v>BSGatlas-5'UTR-622</v>
      </c>
      <c r="B623" s="3">
        <v>989673</v>
      </c>
      <c r="C623" s="3">
        <v>989712</v>
      </c>
      <c r="D623" s="1" t="s">
        <v>9</v>
      </c>
      <c r="E623" s="1">
        <v>40</v>
      </c>
      <c r="F623" s="1" t="s">
        <v>12278</v>
      </c>
      <c r="G623" s="1" t="s">
        <v>5931</v>
      </c>
    </row>
    <row r="624" spans="1:7" ht="21" x14ac:dyDescent="0.25">
      <c r="A624" s="2" t="str">
        <f>HYPERLINK("https://rth.dk/resources/bsgatlas/details.php?id=BSGatlas-5'UTR-623","BSGatlas-5'UTR-623")</f>
        <v>BSGatlas-5'UTR-623</v>
      </c>
      <c r="B624" s="3">
        <v>991265</v>
      </c>
      <c r="C624" s="3">
        <v>991292</v>
      </c>
      <c r="D624" s="1" t="s">
        <v>13</v>
      </c>
      <c r="E624" s="1">
        <v>28</v>
      </c>
      <c r="F624" s="1" t="s">
        <v>12279</v>
      </c>
      <c r="G624" s="1" t="s">
        <v>5934</v>
      </c>
    </row>
    <row r="625" spans="1:7" ht="21" x14ac:dyDescent="0.25">
      <c r="A625" s="2" t="str">
        <f>HYPERLINK("https://rth.dk/resources/bsgatlas/details.php?id=BSGatlas-5'UTR-624","BSGatlas-5'UTR-624")</f>
        <v>BSGatlas-5'UTR-624</v>
      </c>
      <c r="B625" s="3">
        <v>996532</v>
      </c>
      <c r="C625" s="3">
        <v>996595</v>
      </c>
      <c r="D625" s="1" t="s">
        <v>13</v>
      </c>
      <c r="E625" s="1">
        <v>64</v>
      </c>
      <c r="F625" s="1" t="s">
        <v>12280</v>
      </c>
      <c r="G625" s="1" t="s">
        <v>5939</v>
      </c>
    </row>
    <row r="626" spans="1:7" ht="21" x14ac:dyDescent="0.25">
      <c r="A626" s="2" t="str">
        <f>HYPERLINK("https://rth.dk/resources/bsgatlas/details.php?id=BSGatlas-5'UTR-625","BSGatlas-5'UTR-625")</f>
        <v>BSGatlas-5'UTR-625</v>
      </c>
      <c r="B626" s="3">
        <v>996532</v>
      </c>
      <c r="C626" s="3">
        <v>997083</v>
      </c>
      <c r="D626" s="1" t="s">
        <v>13</v>
      </c>
      <c r="E626" s="1">
        <v>552</v>
      </c>
      <c r="F626" s="1" t="s">
        <v>12280</v>
      </c>
      <c r="G626" s="1" t="s">
        <v>5940</v>
      </c>
    </row>
    <row r="627" spans="1:7" ht="21" x14ac:dyDescent="0.25">
      <c r="A627" s="2" t="str">
        <f>HYPERLINK("https://rth.dk/resources/bsgatlas/details.php?id=BSGatlas-5'UTR-626","BSGatlas-5'UTR-626")</f>
        <v>BSGatlas-5'UTR-626</v>
      </c>
      <c r="B627" s="3">
        <v>996532</v>
      </c>
      <c r="C627" s="3">
        <v>997167</v>
      </c>
      <c r="D627" s="1" t="s">
        <v>13</v>
      </c>
      <c r="E627" s="1">
        <v>636</v>
      </c>
      <c r="F627" s="1" t="s">
        <v>12280</v>
      </c>
      <c r="G627" s="1" t="s">
        <v>5941</v>
      </c>
    </row>
    <row r="628" spans="1:7" ht="21" x14ac:dyDescent="0.25">
      <c r="A628" s="2" t="str">
        <f>HYPERLINK("https://rth.dk/resources/bsgatlas/details.php?id=BSGatlas-5'UTR-627","BSGatlas-5'UTR-627")</f>
        <v>BSGatlas-5'UTR-627</v>
      </c>
      <c r="B628" s="3">
        <v>996532</v>
      </c>
      <c r="C628" s="3">
        <v>997541</v>
      </c>
      <c r="D628" s="1" t="s">
        <v>13</v>
      </c>
      <c r="E628" s="1">
        <v>1010</v>
      </c>
      <c r="F628" s="1" t="s">
        <v>12280</v>
      </c>
      <c r="G628" s="1" t="s">
        <v>5942</v>
      </c>
    </row>
    <row r="629" spans="1:7" ht="21" x14ac:dyDescent="0.25">
      <c r="A629" s="2" t="str">
        <f>HYPERLINK("https://rth.dk/resources/bsgatlas/details.php?id=BSGatlas-5'UTR-628","BSGatlas-5'UTR-628")</f>
        <v>BSGatlas-5'UTR-628</v>
      </c>
      <c r="B629" s="3">
        <v>996607</v>
      </c>
      <c r="C629" s="3">
        <v>996643</v>
      </c>
      <c r="D629" s="1" t="s">
        <v>9</v>
      </c>
      <c r="E629" s="1">
        <v>37</v>
      </c>
      <c r="F629" s="1" t="s">
        <v>12281</v>
      </c>
      <c r="G629" s="1" t="s">
        <v>5943</v>
      </c>
    </row>
    <row r="630" spans="1:7" ht="21" x14ac:dyDescent="0.25">
      <c r="A630" s="2" t="str">
        <f>HYPERLINK("https://rth.dk/resources/bsgatlas/details.php?id=BSGatlas-5'UTR-629","BSGatlas-5'UTR-629")</f>
        <v>BSGatlas-5'UTR-629</v>
      </c>
      <c r="B630" s="3">
        <v>997159</v>
      </c>
      <c r="C630" s="3">
        <v>997175</v>
      </c>
      <c r="D630" s="1" t="s">
        <v>9</v>
      </c>
      <c r="E630" s="1">
        <v>17</v>
      </c>
      <c r="F630" s="1" t="s">
        <v>12282</v>
      </c>
      <c r="G630" s="1" t="s">
        <v>5944</v>
      </c>
    </row>
    <row r="631" spans="1:7" ht="21" x14ac:dyDescent="0.25">
      <c r="A631" s="2" t="str">
        <f>HYPERLINK("https://rth.dk/resources/bsgatlas/details.php?id=BSGatlas-5'UTR-630","BSGatlas-5'UTR-630")</f>
        <v>BSGatlas-5'UTR-630</v>
      </c>
      <c r="B631" s="3">
        <v>997676</v>
      </c>
      <c r="C631" s="3">
        <v>997724</v>
      </c>
      <c r="D631" s="1" t="s">
        <v>9</v>
      </c>
      <c r="E631" s="1">
        <v>49</v>
      </c>
      <c r="F631" s="1" t="s">
        <v>12283</v>
      </c>
      <c r="G631" s="1" t="s">
        <v>5947</v>
      </c>
    </row>
    <row r="632" spans="1:7" ht="21" x14ac:dyDescent="0.25">
      <c r="A632" s="2" t="str">
        <f>HYPERLINK("https://rth.dk/resources/bsgatlas/details.php?id=BSGatlas-5'UTR-631","BSGatlas-5'UTR-631")</f>
        <v>BSGatlas-5'UTR-631</v>
      </c>
      <c r="B632" s="3">
        <v>1000282</v>
      </c>
      <c r="C632" s="3">
        <v>1000364</v>
      </c>
      <c r="D632" s="1" t="s">
        <v>9</v>
      </c>
      <c r="E632" s="1">
        <v>83</v>
      </c>
      <c r="F632" s="1" t="s">
        <v>12284</v>
      </c>
      <c r="G632" s="1" t="s">
        <v>5950</v>
      </c>
    </row>
    <row r="633" spans="1:7" ht="21" x14ac:dyDescent="0.25">
      <c r="A633" s="2" t="str">
        <f>HYPERLINK("https://rth.dk/resources/bsgatlas/details.php?id=BSGatlas-5'UTR-632","BSGatlas-5'UTR-632")</f>
        <v>BSGatlas-5'UTR-632</v>
      </c>
      <c r="B633" s="3">
        <v>1002354</v>
      </c>
      <c r="C633" s="3">
        <v>1002501</v>
      </c>
      <c r="D633" s="1" t="s">
        <v>9</v>
      </c>
      <c r="E633" s="1">
        <v>148</v>
      </c>
      <c r="F633" s="1" t="s">
        <v>12285</v>
      </c>
      <c r="G633" s="1" t="s">
        <v>5953</v>
      </c>
    </row>
    <row r="634" spans="1:7" ht="21" x14ac:dyDescent="0.25">
      <c r="A634" s="2" t="str">
        <f>HYPERLINK("https://rth.dk/resources/bsgatlas/details.php?id=BSGatlas-5'UTR-633","BSGatlas-5'UTR-633")</f>
        <v>BSGatlas-5'UTR-633</v>
      </c>
      <c r="B634" s="3">
        <v>1002410</v>
      </c>
      <c r="C634" s="3">
        <v>1002501</v>
      </c>
      <c r="D634" s="1" t="s">
        <v>9</v>
      </c>
      <c r="E634" s="1">
        <v>92</v>
      </c>
      <c r="F634" s="1" t="s">
        <v>12285</v>
      </c>
      <c r="G634" s="1" t="s">
        <v>5955</v>
      </c>
    </row>
    <row r="635" spans="1:7" ht="21" x14ac:dyDescent="0.25">
      <c r="A635" s="2" t="str">
        <f>HYPERLINK("https://rth.dk/resources/bsgatlas/details.php?id=BSGatlas-5'UTR-634","BSGatlas-5'UTR-634")</f>
        <v>BSGatlas-5'UTR-634</v>
      </c>
      <c r="B635" s="3">
        <v>1004176</v>
      </c>
      <c r="C635" s="3">
        <v>1004975</v>
      </c>
      <c r="D635" s="1" t="s">
        <v>9</v>
      </c>
      <c r="E635" s="1">
        <v>800</v>
      </c>
      <c r="F635" s="1" t="s">
        <v>12286</v>
      </c>
      <c r="G635" s="1" t="s">
        <v>5956</v>
      </c>
    </row>
    <row r="636" spans="1:7" ht="21" x14ac:dyDescent="0.25">
      <c r="A636" s="2" t="str">
        <f>HYPERLINK("https://rth.dk/resources/bsgatlas/details.php?id=BSGatlas-5'UTR-635","BSGatlas-5'UTR-635")</f>
        <v>BSGatlas-5'UTR-635</v>
      </c>
      <c r="B636" s="3">
        <v>1004860</v>
      </c>
      <c r="C636" s="3">
        <v>1004975</v>
      </c>
      <c r="D636" s="1" t="s">
        <v>9</v>
      </c>
      <c r="E636" s="1">
        <v>116</v>
      </c>
      <c r="F636" s="1" t="s">
        <v>12286</v>
      </c>
      <c r="G636" s="1" t="s">
        <v>5959</v>
      </c>
    </row>
    <row r="637" spans="1:7" ht="21" x14ac:dyDescent="0.25">
      <c r="A637" s="2" t="str">
        <f>HYPERLINK("https://rth.dk/resources/bsgatlas/details.php?id=BSGatlas-5'UTR-636","BSGatlas-5'UTR-636")</f>
        <v>BSGatlas-5'UTR-636</v>
      </c>
      <c r="B637" s="3">
        <v>1004946</v>
      </c>
      <c r="C637" s="3">
        <v>1004975</v>
      </c>
      <c r="D637" s="1" t="s">
        <v>9</v>
      </c>
      <c r="E637" s="1">
        <v>30</v>
      </c>
      <c r="F637" s="1" t="s">
        <v>12286</v>
      </c>
      <c r="G637" s="1" t="s">
        <v>5960</v>
      </c>
    </row>
    <row r="638" spans="1:7" ht="21" x14ac:dyDescent="0.25">
      <c r="A638" s="2" t="str">
        <f>HYPERLINK("https://rth.dk/resources/bsgatlas/details.php?id=BSGatlas-5'UTR-637","BSGatlas-5'UTR-637")</f>
        <v>BSGatlas-5'UTR-637</v>
      </c>
      <c r="B638" s="3">
        <v>1006433</v>
      </c>
      <c r="C638" s="3">
        <v>1006774</v>
      </c>
      <c r="D638" s="1" t="s">
        <v>9</v>
      </c>
      <c r="E638" s="1">
        <v>342</v>
      </c>
      <c r="F638" s="1" t="s">
        <v>12287</v>
      </c>
      <c r="G638" s="1" t="s">
        <v>5961</v>
      </c>
    </row>
    <row r="639" spans="1:7" ht="21" x14ac:dyDescent="0.25">
      <c r="A639" s="2" t="str">
        <f>HYPERLINK("https://rth.dk/resources/bsgatlas/details.php?id=BSGatlas-5'UTR-638","BSGatlas-5'UTR-638")</f>
        <v>BSGatlas-5'UTR-638</v>
      </c>
      <c r="B639" s="3">
        <v>1006508</v>
      </c>
      <c r="C639" s="3">
        <v>1006774</v>
      </c>
      <c r="D639" s="1" t="s">
        <v>9</v>
      </c>
      <c r="E639" s="1">
        <v>267</v>
      </c>
      <c r="F639" s="1" t="s">
        <v>12287</v>
      </c>
      <c r="G639" s="1" t="s">
        <v>5963</v>
      </c>
    </row>
    <row r="640" spans="1:7" ht="21" x14ac:dyDescent="0.25">
      <c r="A640" s="2" t="str">
        <f>HYPERLINK("https://rth.dk/resources/bsgatlas/details.php?id=BSGatlas-5'UTR-639","BSGatlas-5'UTR-639")</f>
        <v>BSGatlas-5'UTR-639</v>
      </c>
      <c r="B640" s="3">
        <v>1006730</v>
      </c>
      <c r="C640" s="3">
        <v>1006774</v>
      </c>
      <c r="D640" s="1" t="s">
        <v>9</v>
      </c>
      <c r="E640" s="1">
        <v>45</v>
      </c>
      <c r="F640" s="1" t="s">
        <v>12287</v>
      </c>
      <c r="G640" s="1" t="s">
        <v>5964</v>
      </c>
    </row>
    <row r="641" spans="1:7" ht="21" x14ac:dyDescent="0.25">
      <c r="A641" s="2" t="str">
        <f>HYPERLINK("https://rth.dk/resources/bsgatlas/details.php?id=BSGatlas-5'UTR-640","BSGatlas-5'UTR-640")</f>
        <v>BSGatlas-5'UTR-640</v>
      </c>
      <c r="B641" s="3">
        <v>1008642</v>
      </c>
      <c r="C641" s="3">
        <v>1008668</v>
      </c>
      <c r="D641" s="1" t="s">
        <v>9</v>
      </c>
      <c r="E641" s="1">
        <v>27</v>
      </c>
      <c r="F641" s="1" t="s">
        <v>12288</v>
      </c>
      <c r="G641" s="1" t="s">
        <v>5966</v>
      </c>
    </row>
    <row r="642" spans="1:7" ht="21" x14ac:dyDescent="0.25">
      <c r="A642" s="2" t="str">
        <f>HYPERLINK("https://rth.dk/resources/bsgatlas/details.php?id=BSGatlas-5'UTR-641","BSGatlas-5'UTR-641")</f>
        <v>BSGatlas-5'UTR-641</v>
      </c>
      <c r="B642" s="3">
        <v>1011226</v>
      </c>
      <c r="C642" s="3">
        <v>1011273</v>
      </c>
      <c r="D642" s="1" t="s">
        <v>13</v>
      </c>
      <c r="E642" s="1">
        <v>48</v>
      </c>
      <c r="F642" s="1" t="s">
        <v>12289</v>
      </c>
      <c r="G642" s="1" t="s">
        <v>5968</v>
      </c>
    </row>
    <row r="643" spans="1:7" ht="21" x14ac:dyDescent="0.25">
      <c r="A643" s="2" t="str">
        <f>HYPERLINK("https://rth.dk/resources/bsgatlas/details.php?id=BSGatlas-5'UTR-642","BSGatlas-5'UTR-642")</f>
        <v>BSGatlas-5'UTR-642</v>
      </c>
      <c r="B643" s="3">
        <v>1011391</v>
      </c>
      <c r="C643" s="3">
        <v>1011427</v>
      </c>
      <c r="D643" s="1" t="s">
        <v>9</v>
      </c>
      <c r="E643" s="1">
        <v>37</v>
      </c>
      <c r="F643" s="1" t="s">
        <v>12290</v>
      </c>
      <c r="G643" s="1" t="s">
        <v>5970</v>
      </c>
    </row>
    <row r="644" spans="1:7" ht="21" x14ac:dyDescent="0.25">
      <c r="A644" s="2" t="str">
        <f>HYPERLINK("https://rth.dk/resources/bsgatlas/details.php?id=BSGatlas-5'UTR-643","BSGatlas-5'UTR-643")</f>
        <v>BSGatlas-5'UTR-643</v>
      </c>
      <c r="B644" s="3">
        <v>1013258</v>
      </c>
      <c r="C644" s="3">
        <v>1013302</v>
      </c>
      <c r="D644" s="1" t="s">
        <v>13</v>
      </c>
      <c r="E644" s="1">
        <v>45</v>
      </c>
      <c r="F644" s="1" t="s">
        <v>12291</v>
      </c>
      <c r="G644" s="1" t="s">
        <v>5972</v>
      </c>
    </row>
    <row r="645" spans="1:7" ht="21" x14ac:dyDescent="0.25">
      <c r="A645" s="2" t="str">
        <f>HYPERLINK("https://rth.dk/resources/bsgatlas/details.php?id=BSGatlas-5'UTR-644","BSGatlas-5'UTR-644")</f>
        <v>BSGatlas-5'UTR-644</v>
      </c>
      <c r="B645" s="3">
        <v>1013851</v>
      </c>
      <c r="C645" s="3">
        <v>1013889</v>
      </c>
      <c r="D645" s="1" t="s">
        <v>13</v>
      </c>
      <c r="E645" s="1">
        <v>39</v>
      </c>
      <c r="F645" s="1" t="s">
        <v>12292</v>
      </c>
      <c r="G645" s="1" t="s">
        <v>5975</v>
      </c>
    </row>
    <row r="646" spans="1:7" ht="21" x14ac:dyDescent="0.25">
      <c r="A646" s="2" t="str">
        <f>HYPERLINK("https://rth.dk/resources/bsgatlas/details.php?id=BSGatlas-5'UTR-645","BSGatlas-5'UTR-645")</f>
        <v>BSGatlas-5'UTR-645</v>
      </c>
      <c r="B646" s="3">
        <v>1015624</v>
      </c>
      <c r="C646" s="3">
        <v>1015647</v>
      </c>
      <c r="D646" s="1" t="s">
        <v>9</v>
      </c>
      <c r="E646" s="1">
        <v>24</v>
      </c>
      <c r="F646" s="1" t="s">
        <v>12293</v>
      </c>
      <c r="G646" s="1" t="s">
        <v>5981</v>
      </c>
    </row>
    <row r="647" spans="1:7" ht="21" x14ac:dyDescent="0.25">
      <c r="A647" s="2" t="str">
        <f>HYPERLINK("https://rth.dk/resources/bsgatlas/details.php?id=BSGatlas-5'UTR-646","BSGatlas-5'UTR-646")</f>
        <v>BSGatlas-5'UTR-646</v>
      </c>
      <c r="B647" s="3">
        <v>1018468</v>
      </c>
      <c r="C647" s="3">
        <v>1018487</v>
      </c>
      <c r="D647" s="1" t="s">
        <v>13</v>
      </c>
      <c r="E647" s="1">
        <v>20</v>
      </c>
      <c r="F647" s="1" t="s">
        <v>12294</v>
      </c>
      <c r="G647" s="1" t="s">
        <v>5983</v>
      </c>
    </row>
    <row r="648" spans="1:7" ht="21" x14ac:dyDescent="0.25">
      <c r="A648" s="2" t="str">
        <f>HYPERLINK("https://rth.dk/resources/bsgatlas/details.php?id=BSGatlas-5'UTR-647","BSGatlas-5'UTR-647")</f>
        <v>BSGatlas-5'UTR-647</v>
      </c>
      <c r="B648" s="3">
        <v>1018468</v>
      </c>
      <c r="C648" s="3">
        <v>1020028</v>
      </c>
      <c r="D648" s="1" t="s">
        <v>13</v>
      </c>
      <c r="E648" s="1">
        <v>1561</v>
      </c>
      <c r="F648" s="1" t="s">
        <v>12294</v>
      </c>
      <c r="G648" s="1" t="s">
        <v>5985</v>
      </c>
    </row>
    <row r="649" spans="1:7" ht="21" x14ac:dyDescent="0.25">
      <c r="A649" s="2" t="str">
        <f>HYPERLINK("https://rth.dk/resources/bsgatlas/details.php?id=BSGatlas-5'UTR-648","BSGatlas-5'UTR-648")</f>
        <v>BSGatlas-5'UTR-648</v>
      </c>
      <c r="B649" s="3">
        <v>1018939</v>
      </c>
      <c r="C649" s="3">
        <v>1018998</v>
      </c>
      <c r="D649" s="1" t="s">
        <v>9</v>
      </c>
      <c r="E649" s="1">
        <v>60</v>
      </c>
      <c r="F649" s="1" t="s">
        <v>12295</v>
      </c>
      <c r="G649" s="1" t="s">
        <v>5988</v>
      </c>
    </row>
    <row r="650" spans="1:7" ht="21" x14ac:dyDescent="0.25">
      <c r="A650" s="2" t="str">
        <f>HYPERLINK("https://rth.dk/resources/bsgatlas/details.php?id=BSGatlas-5'UTR-649","BSGatlas-5'UTR-649")</f>
        <v>BSGatlas-5'UTR-649</v>
      </c>
      <c r="B650" s="3">
        <v>1020948</v>
      </c>
      <c r="C650" s="3">
        <v>1021001</v>
      </c>
      <c r="D650" s="1" t="s">
        <v>13</v>
      </c>
      <c r="E650" s="1">
        <v>54</v>
      </c>
      <c r="F650" s="1" t="s">
        <v>12296</v>
      </c>
      <c r="G650" s="1" t="s">
        <v>5992</v>
      </c>
    </row>
    <row r="651" spans="1:7" ht="21" x14ac:dyDescent="0.25">
      <c r="A651" s="2" t="str">
        <f>HYPERLINK("https://rth.dk/resources/bsgatlas/details.php?id=BSGatlas-5'UTR-650","BSGatlas-5'UTR-650")</f>
        <v>BSGatlas-5'UTR-650</v>
      </c>
      <c r="B651" s="3">
        <v>1021032</v>
      </c>
      <c r="C651" s="3">
        <v>1021057</v>
      </c>
      <c r="D651" s="1" t="s">
        <v>9</v>
      </c>
      <c r="E651" s="1">
        <v>26</v>
      </c>
      <c r="F651" s="1" t="s">
        <v>12297</v>
      </c>
      <c r="G651" s="1" t="s">
        <v>5994</v>
      </c>
    </row>
    <row r="652" spans="1:7" ht="21" x14ac:dyDescent="0.25">
      <c r="A652" s="2" t="str">
        <f>HYPERLINK("https://rth.dk/resources/bsgatlas/details.php?id=BSGatlas-5'UTR-651","BSGatlas-5'UTR-651")</f>
        <v>BSGatlas-5'UTR-651</v>
      </c>
      <c r="B652" s="3">
        <v>1022203</v>
      </c>
      <c r="C652" s="3">
        <v>1022231</v>
      </c>
      <c r="D652" s="1" t="s">
        <v>9</v>
      </c>
      <c r="E652" s="1">
        <v>29</v>
      </c>
      <c r="F652" s="1" t="s">
        <v>12298</v>
      </c>
      <c r="G652" s="1" t="s">
        <v>5997</v>
      </c>
    </row>
    <row r="653" spans="1:7" ht="21" x14ac:dyDescent="0.25">
      <c r="A653" s="2" t="str">
        <f>HYPERLINK("https://rth.dk/resources/bsgatlas/details.php?id=BSGatlas-5'UTR-652","BSGatlas-5'UTR-652")</f>
        <v>BSGatlas-5'UTR-652</v>
      </c>
      <c r="B653" s="3">
        <v>1023200</v>
      </c>
      <c r="C653" s="3">
        <v>1023350</v>
      </c>
      <c r="D653" s="1" t="s">
        <v>9</v>
      </c>
      <c r="E653" s="1">
        <v>151</v>
      </c>
      <c r="F653" s="1" t="s">
        <v>12299</v>
      </c>
      <c r="G653" s="1" t="s">
        <v>5998</v>
      </c>
    </row>
    <row r="654" spans="1:7" ht="21" x14ac:dyDescent="0.25">
      <c r="A654" s="2" t="str">
        <f>HYPERLINK("https://rth.dk/resources/bsgatlas/details.php?id=BSGatlas-5'UTR-653","BSGatlas-5'UTR-653")</f>
        <v>BSGatlas-5'UTR-653</v>
      </c>
      <c r="B654" s="3">
        <v>1023253</v>
      </c>
      <c r="C654" s="3">
        <v>1023350</v>
      </c>
      <c r="D654" s="1" t="s">
        <v>9</v>
      </c>
      <c r="E654" s="1">
        <v>98</v>
      </c>
      <c r="F654" s="1" t="s">
        <v>12299</v>
      </c>
      <c r="G654" s="1" t="s">
        <v>6001</v>
      </c>
    </row>
    <row r="655" spans="1:7" ht="21" x14ac:dyDescent="0.25">
      <c r="A655" s="2" t="str">
        <f>HYPERLINK("https://rth.dk/resources/bsgatlas/details.php?id=BSGatlas-5'UTR-654","BSGatlas-5'UTR-654")</f>
        <v>BSGatlas-5'UTR-654</v>
      </c>
      <c r="B655" s="3">
        <v>1024835</v>
      </c>
      <c r="C655" s="3">
        <v>1024865</v>
      </c>
      <c r="D655" s="1" t="s">
        <v>9</v>
      </c>
      <c r="E655" s="1">
        <v>31</v>
      </c>
      <c r="F655" s="1" t="s">
        <v>12300</v>
      </c>
      <c r="G655" s="1" t="s">
        <v>6002</v>
      </c>
    </row>
    <row r="656" spans="1:7" ht="21" x14ac:dyDescent="0.25">
      <c r="A656" s="2" t="str">
        <f>HYPERLINK("https://rth.dk/resources/bsgatlas/details.php?id=BSGatlas-5'UTR-655","BSGatlas-5'UTR-655")</f>
        <v>BSGatlas-5'UTR-655</v>
      </c>
      <c r="B656" s="3">
        <v>1027664</v>
      </c>
      <c r="C656" s="3">
        <v>1027747</v>
      </c>
      <c r="D656" s="1" t="s">
        <v>13</v>
      </c>
      <c r="E656" s="1">
        <v>84</v>
      </c>
      <c r="F656" s="1" t="s">
        <v>12301</v>
      </c>
      <c r="G656" s="1" t="s">
        <v>6004</v>
      </c>
    </row>
    <row r="657" spans="1:7" ht="21" x14ac:dyDescent="0.25">
      <c r="A657" s="2" t="str">
        <f>HYPERLINK("https://rth.dk/resources/bsgatlas/details.php?id=BSGatlas-5'UTR-656","BSGatlas-5'UTR-656")</f>
        <v>BSGatlas-5'UTR-656</v>
      </c>
      <c r="B657" s="3">
        <v>1027733</v>
      </c>
      <c r="C657" s="3">
        <v>1027774</v>
      </c>
      <c r="D657" s="1" t="s">
        <v>9</v>
      </c>
      <c r="E657" s="1">
        <v>42</v>
      </c>
      <c r="F657" s="1" t="s">
        <v>12302</v>
      </c>
      <c r="G657" s="1" t="s">
        <v>6005</v>
      </c>
    </row>
    <row r="658" spans="1:7" ht="21" x14ac:dyDescent="0.25">
      <c r="A658" s="2" t="str">
        <f>HYPERLINK("https://rth.dk/resources/bsgatlas/details.php?id=BSGatlas-5'UTR-657","BSGatlas-5'UTR-657")</f>
        <v>BSGatlas-5'UTR-657</v>
      </c>
      <c r="B658" s="3">
        <v>1030068</v>
      </c>
      <c r="C658" s="3">
        <v>1030086</v>
      </c>
      <c r="D658" s="1" t="s">
        <v>13</v>
      </c>
      <c r="E658" s="1">
        <v>19</v>
      </c>
      <c r="F658" s="1" t="s">
        <v>12303</v>
      </c>
      <c r="G658" s="1" t="s">
        <v>6009</v>
      </c>
    </row>
    <row r="659" spans="1:7" ht="21" x14ac:dyDescent="0.25">
      <c r="A659" s="2" t="str">
        <f>HYPERLINK("https://rth.dk/resources/bsgatlas/details.php?id=BSGatlas-5'UTR-658","BSGatlas-5'UTR-658")</f>
        <v>BSGatlas-5'UTR-658</v>
      </c>
      <c r="B659" s="3">
        <v>1030068</v>
      </c>
      <c r="C659" s="3">
        <v>1030162</v>
      </c>
      <c r="D659" s="1" t="s">
        <v>13</v>
      </c>
      <c r="E659" s="1">
        <v>95</v>
      </c>
      <c r="F659" s="1" t="s">
        <v>12303</v>
      </c>
      <c r="G659" s="1" t="s">
        <v>6011</v>
      </c>
    </row>
    <row r="660" spans="1:7" ht="21" x14ac:dyDescent="0.25">
      <c r="A660" s="2" t="str">
        <f>HYPERLINK("https://rth.dk/resources/bsgatlas/details.php?id=BSGatlas-5'UTR-659","BSGatlas-5'UTR-659")</f>
        <v>BSGatlas-5'UTR-659</v>
      </c>
      <c r="B660" s="3">
        <v>1030226</v>
      </c>
      <c r="C660" s="3">
        <v>1030265</v>
      </c>
      <c r="D660" s="1" t="s">
        <v>9</v>
      </c>
      <c r="E660" s="1">
        <v>40</v>
      </c>
      <c r="F660" s="1" t="s">
        <v>12304</v>
      </c>
      <c r="G660" s="1" t="s">
        <v>6013</v>
      </c>
    </row>
    <row r="661" spans="1:7" ht="21" x14ac:dyDescent="0.25">
      <c r="A661" s="2" t="str">
        <f>HYPERLINK("https://rth.dk/resources/bsgatlas/details.php?id=BSGatlas-5'UTR-660","BSGatlas-5'UTR-660")</f>
        <v>BSGatlas-5'UTR-660</v>
      </c>
      <c r="B661" s="3">
        <v>1031345</v>
      </c>
      <c r="C661" s="3">
        <v>1031395</v>
      </c>
      <c r="D661" s="1" t="s">
        <v>9</v>
      </c>
      <c r="E661" s="1">
        <v>51</v>
      </c>
      <c r="F661" s="1" t="s">
        <v>12305</v>
      </c>
      <c r="G661" s="1" t="s">
        <v>6022</v>
      </c>
    </row>
    <row r="662" spans="1:7" ht="21" x14ac:dyDescent="0.25">
      <c r="A662" s="2" t="str">
        <f>HYPERLINK("https://rth.dk/resources/bsgatlas/details.php?id=BSGatlas-5'UTR-661","BSGatlas-5'UTR-661")</f>
        <v>BSGatlas-5'UTR-661</v>
      </c>
      <c r="B662" s="3">
        <v>1033889</v>
      </c>
      <c r="C662" s="3">
        <v>1033911</v>
      </c>
      <c r="D662" s="1" t="s">
        <v>13</v>
      </c>
      <c r="E662" s="1">
        <v>23</v>
      </c>
      <c r="F662" s="1" t="s">
        <v>12306</v>
      </c>
      <c r="G662" s="1" t="s">
        <v>6019</v>
      </c>
    </row>
    <row r="663" spans="1:7" ht="21" x14ac:dyDescent="0.25">
      <c r="A663" s="2" t="str">
        <f>HYPERLINK("https://rth.dk/resources/bsgatlas/details.php?id=BSGatlas-5'UTR-662","BSGatlas-5'UTR-662")</f>
        <v>BSGatlas-5'UTR-662</v>
      </c>
      <c r="B663" s="3">
        <v>1033889</v>
      </c>
      <c r="C663" s="3">
        <v>1033977</v>
      </c>
      <c r="D663" s="1" t="s">
        <v>13</v>
      </c>
      <c r="E663" s="1">
        <v>89</v>
      </c>
      <c r="F663" s="1" t="s">
        <v>12306</v>
      </c>
      <c r="G663" s="1" t="s">
        <v>6021</v>
      </c>
    </row>
    <row r="664" spans="1:7" ht="21" x14ac:dyDescent="0.25">
      <c r="A664" s="2" t="str">
        <f>HYPERLINK("https://rth.dk/resources/bsgatlas/details.php?id=BSGatlas-5'UTR-663","BSGatlas-5'UTR-663")</f>
        <v>BSGatlas-5'UTR-663</v>
      </c>
      <c r="B664" s="3">
        <v>1034010</v>
      </c>
      <c r="C664" s="3">
        <v>1034046</v>
      </c>
      <c r="D664" s="1" t="s">
        <v>9</v>
      </c>
      <c r="E664" s="1">
        <v>37</v>
      </c>
      <c r="F664" s="1" t="s">
        <v>12307</v>
      </c>
      <c r="G664" s="1" t="s">
        <v>6024</v>
      </c>
    </row>
    <row r="665" spans="1:7" ht="21" x14ac:dyDescent="0.25">
      <c r="A665" s="2" t="str">
        <f>HYPERLINK("https://rth.dk/resources/bsgatlas/details.php?id=BSGatlas-5'UTR-664","BSGatlas-5'UTR-664")</f>
        <v>BSGatlas-5'UTR-664</v>
      </c>
      <c r="B665" s="3">
        <v>1035397</v>
      </c>
      <c r="C665" s="3">
        <v>1035554</v>
      </c>
      <c r="D665" s="1" t="s">
        <v>9</v>
      </c>
      <c r="E665" s="1">
        <v>158</v>
      </c>
      <c r="F665" s="1" t="s">
        <v>12308</v>
      </c>
      <c r="G665" s="1" t="s">
        <v>6026</v>
      </c>
    </row>
    <row r="666" spans="1:7" ht="21" x14ac:dyDescent="0.25">
      <c r="A666" s="2" t="str">
        <f>HYPERLINK("https://rth.dk/resources/bsgatlas/details.php?id=BSGatlas-5'UTR-665","BSGatlas-5'UTR-665")</f>
        <v>BSGatlas-5'UTR-665</v>
      </c>
      <c r="B666" s="3">
        <v>1038419</v>
      </c>
      <c r="C666" s="3">
        <v>1038465</v>
      </c>
      <c r="D666" s="1" t="s">
        <v>13</v>
      </c>
      <c r="E666" s="1">
        <v>47</v>
      </c>
      <c r="F666" s="1" t="s">
        <v>12309</v>
      </c>
      <c r="G666" s="1" t="s">
        <v>6030</v>
      </c>
    </row>
    <row r="667" spans="1:7" ht="21" x14ac:dyDescent="0.25">
      <c r="A667" s="2" t="str">
        <f>HYPERLINK("https://rth.dk/resources/bsgatlas/details.php?id=BSGatlas-5'UTR-666","BSGatlas-5'UTR-666")</f>
        <v>BSGatlas-5'UTR-666</v>
      </c>
      <c r="B667" s="3">
        <v>1038529</v>
      </c>
      <c r="C667" s="3">
        <v>1038653</v>
      </c>
      <c r="D667" s="1" t="s">
        <v>9</v>
      </c>
      <c r="E667" s="1">
        <v>125</v>
      </c>
      <c r="F667" s="1" t="s">
        <v>12310</v>
      </c>
      <c r="G667" s="1" t="s">
        <v>6031</v>
      </c>
    </row>
    <row r="668" spans="1:7" ht="21" x14ac:dyDescent="0.25">
      <c r="A668" s="2" t="str">
        <f>HYPERLINK("https://rth.dk/resources/bsgatlas/details.php?id=BSGatlas-5'UTR-667","BSGatlas-5'UTR-667")</f>
        <v>BSGatlas-5'UTR-667</v>
      </c>
      <c r="B668" s="3">
        <v>1038618</v>
      </c>
      <c r="C668" s="3">
        <v>1038653</v>
      </c>
      <c r="D668" s="1" t="s">
        <v>9</v>
      </c>
      <c r="E668" s="1">
        <v>36</v>
      </c>
      <c r="F668" s="1" t="s">
        <v>12310</v>
      </c>
      <c r="G668" s="1" t="s">
        <v>6033</v>
      </c>
    </row>
    <row r="669" spans="1:7" ht="21" x14ac:dyDescent="0.25">
      <c r="A669" s="2" t="str">
        <f>HYPERLINK("https://rth.dk/resources/bsgatlas/details.php?id=BSGatlas-5'UTR-668","BSGatlas-5'UTR-668")</f>
        <v>BSGatlas-5'UTR-668</v>
      </c>
      <c r="B669" s="3">
        <v>1038871</v>
      </c>
      <c r="C669" s="3">
        <v>1038909</v>
      </c>
      <c r="D669" s="1" t="s">
        <v>9</v>
      </c>
      <c r="E669" s="1">
        <v>39</v>
      </c>
      <c r="F669" s="1" t="s">
        <v>12311</v>
      </c>
      <c r="G669" s="1" t="s">
        <v>6034</v>
      </c>
    </row>
    <row r="670" spans="1:7" ht="21" x14ac:dyDescent="0.25">
      <c r="A670" s="2" t="str">
        <f>HYPERLINK("https://rth.dk/resources/bsgatlas/details.php?id=BSGatlas-5'UTR-669","BSGatlas-5'UTR-669")</f>
        <v>BSGatlas-5'UTR-669</v>
      </c>
      <c r="B670" s="3">
        <v>1040061</v>
      </c>
      <c r="C670" s="3">
        <v>1040094</v>
      </c>
      <c r="D670" s="1" t="s">
        <v>9</v>
      </c>
      <c r="E670" s="1">
        <v>34</v>
      </c>
      <c r="F670" s="1" t="s">
        <v>12312</v>
      </c>
      <c r="G670" s="1" t="s">
        <v>6036</v>
      </c>
    </row>
    <row r="671" spans="1:7" ht="21" x14ac:dyDescent="0.25">
      <c r="A671" s="2" t="str">
        <f>HYPERLINK("https://rth.dk/resources/bsgatlas/details.php?id=BSGatlas-5'UTR-670","BSGatlas-5'UTR-670")</f>
        <v>BSGatlas-5'UTR-670</v>
      </c>
      <c r="B671" s="3">
        <v>1041709</v>
      </c>
      <c r="C671" s="3">
        <v>1041812</v>
      </c>
      <c r="D671" s="1" t="s">
        <v>13</v>
      </c>
      <c r="E671" s="1">
        <v>104</v>
      </c>
      <c r="F671" s="1" t="s">
        <v>12313</v>
      </c>
      <c r="G671" s="1" t="s">
        <v>6038</v>
      </c>
    </row>
    <row r="672" spans="1:7" ht="21" x14ac:dyDescent="0.25">
      <c r="A672" s="2" t="str">
        <f>HYPERLINK("https://rth.dk/resources/bsgatlas/details.php?id=BSGatlas-5'UTR-671","BSGatlas-5'UTR-671")</f>
        <v>BSGatlas-5'UTR-671</v>
      </c>
      <c r="B672" s="3">
        <v>1041728</v>
      </c>
      <c r="C672" s="3">
        <v>1041994</v>
      </c>
      <c r="D672" s="1" t="s">
        <v>9</v>
      </c>
      <c r="E672" s="1">
        <v>267</v>
      </c>
      <c r="F672" s="1" t="s">
        <v>12314</v>
      </c>
      <c r="G672" s="1" t="s">
        <v>6040</v>
      </c>
    </row>
    <row r="673" spans="1:7" ht="21" x14ac:dyDescent="0.25">
      <c r="A673" s="2" t="str">
        <f>HYPERLINK("https://rth.dk/resources/bsgatlas/details.php?id=BSGatlas-5'UTR-672","BSGatlas-5'UTR-672")</f>
        <v>BSGatlas-5'UTR-672</v>
      </c>
      <c r="B673" s="3">
        <v>1041930</v>
      </c>
      <c r="C673" s="3">
        <v>1041994</v>
      </c>
      <c r="D673" s="1" t="s">
        <v>9</v>
      </c>
      <c r="E673" s="1">
        <v>65</v>
      </c>
      <c r="F673" s="1" t="s">
        <v>12314</v>
      </c>
      <c r="G673" s="1" t="s">
        <v>6042</v>
      </c>
    </row>
    <row r="674" spans="1:7" ht="21" x14ac:dyDescent="0.25">
      <c r="A674" s="2" t="str">
        <f>HYPERLINK("https://rth.dk/resources/bsgatlas/details.php?id=BSGatlas-5'UTR-673","BSGatlas-5'UTR-673")</f>
        <v>BSGatlas-5'UTR-673</v>
      </c>
      <c r="B674" s="3">
        <v>1044246</v>
      </c>
      <c r="C674" s="3">
        <v>1044317</v>
      </c>
      <c r="D674" s="1" t="s">
        <v>13</v>
      </c>
      <c r="E674" s="1">
        <v>72</v>
      </c>
      <c r="F674" s="1" t="s">
        <v>12315</v>
      </c>
      <c r="G674" s="1" t="s">
        <v>6043</v>
      </c>
    </row>
    <row r="675" spans="1:7" ht="21" x14ac:dyDescent="0.25">
      <c r="A675" s="2" t="str">
        <f>HYPERLINK("https://rth.dk/resources/bsgatlas/details.php?id=BSGatlas-5'UTR-674","BSGatlas-5'UTR-674")</f>
        <v>BSGatlas-5'UTR-674</v>
      </c>
      <c r="B675" s="3">
        <v>1044873</v>
      </c>
      <c r="C675" s="3">
        <v>1044915</v>
      </c>
      <c r="D675" s="1" t="s">
        <v>13</v>
      </c>
      <c r="E675" s="1">
        <v>43</v>
      </c>
      <c r="F675" s="1" t="s">
        <v>12316</v>
      </c>
      <c r="G675" s="1" t="s">
        <v>6045</v>
      </c>
    </row>
    <row r="676" spans="1:7" ht="21" x14ac:dyDescent="0.25">
      <c r="A676" s="2" t="str">
        <f>HYPERLINK("https://rth.dk/resources/bsgatlas/details.php?id=BSGatlas-5'UTR-675","BSGatlas-5'UTR-675")</f>
        <v>BSGatlas-5'UTR-675</v>
      </c>
      <c r="B676" s="3">
        <v>1044968</v>
      </c>
      <c r="C676" s="3">
        <v>1045037</v>
      </c>
      <c r="D676" s="1" t="s">
        <v>9</v>
      </c>
      <c r="E676" s="1">
        <v>70</v>
      </c>
      <c r="F676" s="1" t="s">
        <v>12317</v>
      </c>
      <c r="G676" s="1" t="s">
        <v>6049</v>
      </c>
    </row>
    <row r="677" spans="1:7" ht="21" x14ac:dyDescent="0.25">
      <c r="A677" s="2" t="str">
        <f>HYPERLINK("https://rth.dk/resources/bsgatlas/details.php?id=BSGatlas-5'UTR-676","BSGatlas-5'UTR-676")</f>
        <v>BSGatlas-5'UTR-676</v>
      </c>
      <c r="B677" s="3">
        <v>1049762</v>
      </c>
      <c r="C677" s="3">
        <v>1049791</v>
      </c>
      <c r="D677" s="1" t="s">
        <v>13</v>
      </c>
      <c r="E677" s="1">
        <v>30</v>
      </c>
      <c r="F677" s="1" t="s">
        <v>12318</v>
      </c>
      <c r="G677" s="1" t="s">
        <v>6054</v>
      </c>
    </row>
    <row r="678" spans="1:7" ht="21" x14ac:dyDescent="0.25">
      <c r="A678" s="2" t="str">
        <f>HYPERLINK("https://rth.dk/resources/bsgatlas/details.php?id=BSGatlas-5'UTR-677","BSGatlas-5'UTR-677")</f>
        <v>BSGatlas-5'UTR-677</v>
      </c>
      <c r="B678" s="3">
        <v>1049926</v>
      </c>
      <c r="C678" s="3">
        <v>1049949</v>
      </c>
      <c r="D678" s="1" t="s">
        <v>13</v>
      </c>
      <c r="E678" s="1">
        <v>24</v>
      </c>
      <c r="F678" s="1" t="s">
        <v>12319</v>
      </c>
      <c r="G678" s="1" t="s">
        <v>6057</v>
      </c>
    </row>
    <row r="679" spans="1:7" ht="21" x14ac:dyDescent="0.25">
      <c r="A679" s="2" t="str">
        <f>HYPERLINK("https://rth.dk/resources/bsgatlas/details.php?id=BSGatlas-5'UTR-678","BSGatlas-5'UTR-678")</f>
        <v>BSGatlas-5'UTR-678</v>
      </c>
      <c r="B679" s="3">
        <v>1050234</v>
      </c>
      <c r="C679" s="3">
        <v>1050350</v>
      </c>
      <c r="D679" s="1" t="s">
        <v>13</v>
      </c>
      <c r="E679" s="1">
        <v>117</v>
      </c>
      <c r="F679" s="1" t="s">
        <v>12320</v>
      </c>
      <c r="G679" s="1" t="s">
        <v>6058</v>
      </c>
    </row>
    <row r="680" spans="1:7" ht="21" x14ac:dyDescent="0.25">
      <c r="A680" s="2" t="str">
        <f>HYPERLINK("https://rth.dk/resources/bsgatlas/details.php?id=BSGatlas-5'UTR-679","BSGatlas-5'UTR-679")</f>
        <v>BSGatlas-5'UTR-679</v>
      </c>
      <c r="B680" s="3">
        <v>1050661</v>
      </c>
      <c r="C680" s="3">
        <v>1050719</v>
      </c>
      <c r="D680" s="1" t="s">
        <v>13</v>
      </c>
      <c r="E680" s="1">
        <v>59</v>
      </c>
      <c r="F680" s="1" t="s">
        <v>12321</v>
      </c>
      <c r="G680" s="1" t="s">
        <v>6060</v>
      </c>
    </row>
    <row r="681" spans="1:7" ht="21" x14ac:dyDescent="0.25">
      <c r="A681" s="2" t="str">
        <f>HYPERLINK("https://rth.dk/resources/bsgatlas/details.php?id=BSGatlas-5'UTR-680","BSGatlas-5'UTR-680")</f>
        <v>BSGatlas-5'UTR-680</v>
      </c>
      <c r="B681" s="3">
        <v>1052172</v>
      </c>
      <c r="C681" s="3">
        <v>1052589</v>
      </c>
      <c r="D681" s="1" t="s">
        <v>13</v>
      </c>
      <c r="E681" s="1">
        <v>418</v>
      </c>
      <c r="F681" s="1" t="s">
        <v>12322</v>
      </c>
      <c r="G681" s="1" t="s">
        <v>6062</v>
      </c>
    </row>
    <row r="682" spans="1:7" ht="21" x14ac:dyDescent="0.25">
      <c r="A682" s="2" t="str">
        <f>HYPERLINK("https://rth.dk/resources/bsgatlas/details.php?id=BSGatlas-5'UTR-681","BSGatlas-5'UTR-681")</f>
        <v>BSGatlas-5'UTR-681</v>
      </c>
      <c r="B682" s="3">
        <v>1053253</v>
      </c>
      <c r="C682" s="3">
        <v>1053363</v>
      </c>
      <c r="D682" s="1" t="s">
        <v>13</v>
      </c>
      <c r="E682" s="1">
        <v>111</v>
      </c>
      <c r="F682" s="1" t="s">
        <v>12323</v>
      </c>
      <c r="G682" s="1" t="s">
        <v>6065</v>
      </c>
    </row>
    <row r="683" spans="1:7" ht="21" x14ac:dyDescent="0.25">
      <c r="A683" s="2" t="str">
        <f>HYPERLINK("https://rth.dk/resources/bsgatlas/details.php?id=BSGatlas-5'UTR-682","BSGatlas-5'UTR-682")</f>
        <v>BSGatlas-5'UTR-682</v>
      </c>
      <c r="B683" s="3">
        <v>1053458</v>
      </c>
      <c r="C683" s="3">
        <v>1053520</v>
      </c>
      <c r="D683" s="1" t="s">
        <v>9</v>
      </c>
      <c r="E683" s="1">
        <v>63</v>
      </c>
      <c r="F683" s="1" t="s">
        <v>12324</v>
      </c>
      <c r="G683" s="1" t="s">
        <v>6067</v>
      </c>
    </row>
    <row r="684" spans="1:7" ht="21" x14ac:dyDescent="0.25">
      <c r="A684" s="2" t="str">
        <f>HYPERLINK("https://rth.dk/resources/bsgatlas/details.php?id=BSGatlas-5'UTR-683","BSGatlas-5'UTR-683")</f>
        <v>BSGatlas-5'UTR-683</v>
      </c>
      <c r="B684" s="3">
        <v>1056216</v>
      </c>
      <c r="C684" s="3">
        <v>1056250</v>
      </c>
      <c r="D684" s="1" t="s">
        <v>13</v>
      </c>
      <c r="E684" s="1">
        <v>35</v>
      </c>
      <c r="F684" s="1" t="s">
        <v>12325</v>
      </c>
      <c r="G684" s="1" t="s">
        <v>6069</v>
      </c>
    </row>
    <row r="685" spans="1:7" ht="21" x14ac:dyDescent="0.25">
      <c r="A685" s="2" t="str">
        <f>HYPERLINK("https://rth.dk/resources/bsgatlas/details.php?id=BSGatlas-5'UTR-684","BSGatlas-5'UTR-684")</f>
        <v>BSGatlas-5'UTR-684</v>
      </c>
      <c r="B685" s="3">
        <v>1056671</v>
      </c>
      <c r="C685" s="3">
        <v>1056702</v>
      </c>
      <c r="D685" s="1" t="s">
        <v>9</v>
      </c>
      <c r="E685" s="1">
        <v>32</v>
      </c>
      <c r="F685" s="1" t="s">
        <v>12326</v>
      </c>
      <c r="G685" s="1" t="s">
        <v>6075</v>
      </c>
    </row>
    <row r="686" spans="1:7" ht="21" x14ac:dyDescent="0.25">
      <c r="A686" s="2" t="str">
        <f>HYPERLINK("https://rth.dk/resources/bsgatlas/details.php?id=BSGatlas-5'UTR-685","BSGatlas-5'UTR-685")</f>
        <v>BSGatlas-5'UTR-685</v>
      </c>
      <c r="B686" s="3">
        <v>1057649</v>
      </c>
      <c r="C686" s="3">
        <v>1057680</v>
      </c>
      <c r="D686" s="1" t="s">
        <v>9</v>
      </c>
      <c r="E686" s="1">
        <v>32</v>
      </c>
      <c r="F686" s="1" t="s">
        <v>12327</v>
      </c>
      <c r="G686" s="1" t="s">
        <v>6077</v>
      </c>
    </row>
    <row r="687" spans="1:7" ht="21" x14ac:dyDescent="0.25">
      <c r="A687" s="2" t="str">
        <f>HYPERLINK("https://rth.dk/resources/bsgatlas/details.php?id=BSGatlas-5'UTR-686","BSGatlas-5'UTR-686")</f>
        <v>BSGatlas-5'UTR-686</v>
      </c>
      <c r="B687" s="3">
        <v>1061326</v>
      </c>
      <c r="C687" s="3">
        <v>1061362</v>
      </c>
      <c r="D687" s="1" t="s">
        <v>13</v>
      </c>
      <c r="E687" s="1">
        <v>37</v>
      </c>
      <c r="F687" s="1" t="s">
        <v>12328</v>
      </c>
      <c r="G687" s="1" t="s">
        <v>6080</v>
      </c>
    </row>
    <row r="688" spans="1:7" ht="21" x14ac:dyDescent="0.25">
      <c r="A688" s="2" t="str">
        <f>HYPERLINK("https://rth.dk/resources/bsgatlas/details.php?id=BSGatlas-5'UTR-687","BSGatlas-5'UTR-687")</f>
        <v>BSGatlas-5'UTR-687</v>
      </c>
      <c r="B688" s="3">
        <v>1061430</v>
      </c>
      <c r="C688" s="3">
        <v>1061491</v>
      </c>
      <c r="D688" s="1" t="s">
        <v>9</v>
      </c>
      <c r="E688" s="1">
        <v>62</v>
      </c>
      <c r="F688" s="1" t="s">
        <v>12329</v>
      </c>
      <c r="G688" s="1" t="s">
        <v>6082</v>
      </c>
    </row>
    <row r="689" spans="1:7" ht="21" x14ac:dyDescent="0.25">
      <c r="A689" s="2" t="str">
        <f>HYPERLINK("https://rth.dk/resources/bsgatlas/details.php?id=BSGatlas-5'UTR-688","BSGatlas-5'UTR-688")</f>
        <v>BSGatlas-5'UTR-688</v>
      </c>
      <c r="B689" s="3">
        <v>1062464</v>
      </c>
      <c r="C689" s="3">
        <v>1062511</v>
      </c>
      <c r="D689" s="1" t="s">
        <v>13</v>
      </c>
      <c r="E689" s="1">
        <v>48</v>
      </c>
      <c r="F689" s="1" t="s">
        <v>12330</v>
      </c>
      <c r="G689" s="1" t="s">
        <v>6084</v>
      </c>
    </row>
    <row r="690" spans="1:7" ht="21" x14ac:dyDescent="0.25">
      <c r="A690" s="2" t="str">
        <f>HYPERLINK("https://rth.dk/resources/bsgatlas/details.php?id=BSGatlas-5'UTR-689","BSGatlas-5'UTR-689")</f>
        <v>BSGatlas-5'UTR-689</v>
      </c>
      <c r="B690" s="3">
        <v>1062566</v>
      </c>
      <c r="C690" s="3">
        <v>1062591</v>
      </c>
      <c r="D690" s="1" t="s">
        <v>9</v>
      </c>
      <c r="E690" s="1">
        <v>26</v>
      </c>
      <c r="F690" s="1" t="s">
        <v>12331</v>
      </c>
      <c r="G690" s="1" t="s">
        <v>6086</v>
      </c>
    </row>
    <row r="691" spans="1:7" ht="21" x14ac:dyDescent="0.25">
      <c r="A691" s="2" t="str">
        <f>HYPERLINK("https://rth.dk/resources/bsgatlas/details.php?id=BSGatlas-5'UTR-690","BSGatlas-5'UTR-690")</f>
        <v>BSGatlas-5'UTR-690</v>
      </c>
      <c r="B691" s="3">
        <v>1064811</v>
      </c>
      <c r="C691" s="3">
        <v>1064846</v>
      </c>
      <c r="D691" s="1" t="s">
        <v>9</v>
      </c>
      <c r="E691" s="1">
        <v>36</v>
      </c>
      <c r="F691" s="1" t="s">
        <v>12332</v>
      </c>
      <c r="G691" s="1" t="s">
        <v>6089</v>
      </c>
    </row>
    <row r="692" spans="1:7" ht="21" x14ac:dyDescent="0.25">
      <c r="A692" s="2" t="str">
        <f>HYPERLINK("https://rth.dk/resources/bsgatlas/details.php?id=BSGatlas-5'UTR-691","BSGatlas-5'UTR-691")</f>
        <v>BSGatlas-5'UTR-691</v>
      </c>
      <c r="B692" s="3">
        <v>1069011</v>
      </c>
      <c r="C692" s="3">
        <v>1069042</v>
      </c>
      <c r="D692" s="1" t="s">
        <v>9</v>
      </c>
      <c r="E692" s="1">
        <v>32</v>
      </c>
      <c r="F692" s="1" t="s">
        <v>12333</v>
      </c>
      <c r="G692" s="1" t="s">
        <v>6093</v>
      </c>
    </row>
    <row r="693" spans="1:7" ht="21" x14ac:dyDescent="0.25">
      <c r="A693" s="2" t="str">
        <f>HYPERLINK("https://rth.dk/resources/bsgatlas/details.php?id=BSGatlas-5'UTR-692","BSGatlas-5'UTR-692")</f>
        <v>BSGatlas-5'UTR-692</v>
      </c>
      <c r="B693" s="3">
        <v>1070069</v>
      </c>
      <c r="C693" s="3">
        <v>1070111</v>
      </c>
      <c r="D693" s="1" t="s">
        <v>9</v>
      </c>
      <c r="E693" s="1">
        <v>43</v>
      </c>
      <c r="F693" s="1" t="s">
        <v>12334</v>
      </c>
      <c r="G693" s="1" t="s">
        <v>6094</v>
      </c>
    </row>
    <row r="694" spans="1:7" ht="21" x14ac:dyDescent="0.25">
      <c r="A694" s="2" t="str">
        <f>HYPERLINK("https://rth.dk/resources/bsgatlas/details.php?id=BSGatlas-5'UTR-693","BSGatlas-5'UTR-693")</f>
        <v>BSGatlas-5'UTR-693</v>
      </c>
      <c r="B694" s="3">
        <v>1071242</v>
      </c>
      <c r="C694" s="3">
        <v>1071304</v>
      </c>
      <c r="D694" s="1" t="s">
        <v>13</v>
      </c>
      <c r="E694" s="1">
        <v>63</v>
      </c>
      <c r="F694" s="1" t="s">
        <v>12335</v>
      </c>
      <c r="G694" s="1" t="s">
        <v>6096</v>
      </c>
    </row>
    <row r="695" spans="1:7" ht="21" x14ac:dyDescent="0.25">
      <c r="A695" s="2" t="str">
        <f>HYPERLINK("https://rth.dk/resources/bsgatlas/details.php?id=BSGatlas-5'UTR-694","BSGatlas-5'UTR-694")</f>
        <v>BSGatlas-5'UTR-694</v>
      </c>
      <c r="B695" s="3">
        <v>1071242</v>
      </c>
      <c r="C695" s="3">
        <v>1071399</v>
      </c>
      <c r="D695" s="1" t="s">
        <v>13</v>
      </c>
      <c r="E695" s="1">
        <v>158</v>
      </c>
      <c r="F695" s="1" t="s">
        <v>12335</v>
      </c>
      <c r="G695" s="1" t="s">
        <v>6098</v>
      </c>
    </row>
    <row r="696" spans="1:7" ht="21" x14ac:dyDescent="0.25">
      <c r="A696" s="2" t="str">
        <f>HYPERLINK("https://rth.dk/resources/bsgatlas/details.php?id=BSGatlas-5'UTR-695","BSGatlas-5'UTR-695")</f>
        <v>BSGatlas-5'UTR-695</v>
      </c>
      <c r="B696" s="3">
        <v>1071379</v>
      </c>
      <c r="C696" s="3">
        <v>1071402</v>
      </c>
      <c r="D696" s="1" t="s">
        <v>9</v>
      </c>
      <c r="E696" s="1">
        <v>24</v>
      </c>
      <c r="F696" s="1" t="s">
        <v>12336</v>
      </c>
      <c r="G696" s="1" t="s">
        <v>6100</v>
      </c>
    </row>
    <row r="697" spans="1:7" ht="21" x14ac:dyDescent="0.25">
      <c r="A697" s="2" t="str">
        <f>HYPERLINK("https://rth.dk/resources/bsgatlas/details.php?id=BSGatlas-5'UTR-696","BSGatlas-5'UTR-696")</f>
        <v>BSGatlas-5'UTR-696</v>
      </c>
      <c r="B697" s="3">
        <v>1071581</v>
      </c>
      <c r="C697" s="3">
        <v>1071613</v>
      </c>
      <c r="D697" s="1" t="s">
        <v>9</v>
      </c>
      <c r="E697" s="1">
        <v>33</v>
      </c>
      <c r="F697" s="1" t="s">
        <v>12337</v>
      </c>
      <c r="G697" s="1" t="s">
        <v>6105</v>
      </c>
    </row>
    <row r="698" spans="1:7" ht="21" x14ac:dyDescent="0.25">
      <c r="A698" s="2" t="str">
        <f>HYPERLINK("https://rth.dk/resources/bsgatlas/details.php?id=BSGatlas-5'UTR-697","BSGatlas-5'UTR-697")</f>
        <v>BSGatlas-5'UTR-697</v>
      </c>
      <c r="B698" s="3">
        <v>1072380</v>
      </c>
      <c r="C698" s="3">
        <v>1072768</v>
      </c>
      <c r="D698" s="1" t="s">
        <v>9</v>
      </c>
      <c r="E698" s="1">
        <v>389</v>
      </c>
      <c r="F698" s="1" t="s">
        <v>12338</v>
      </c>
      <c r="G698" s="1" t="s">
        <v>6110</v>
      </c>
    </row>
    <row r="699" spans="1:7" ht="21" x14ac:dyDescent="0.25">
      <c r="A699" s="2" t="str">
        <f>HYPERLINK("https://rth.dk/resources/bsgatlas/details.php?id=BSGatlas-5'UTR-698","BSGatlas-5'UTR-698")</f>
        <v>BSGatlas-5'UTR-698</v>
      </c>
      <c r="B699" s="3">
        <v>1072560</v>
      </c>
      <c r="C699" s="3">
        <v>1072609</v>
      </c>
      <c r="D699" s="1" t="s">
        <v>13</v>
      </c>
      <c r="E699" s="1">
        <v>50</v>
      </c>
      <c r="F699" s="1" t="s">
        <v>12339</v>
      </c>
      <c r="G699" s="1" t="s">
        <v>6108</v>
      </c>
    </row>
    <row r="700" spans="1:7" ht="21" x14ac:dyDescent="0.25">
      <c r="A700" s="2" t="str">
        <f>HYPERLINK("https://rth.dk/resources/bsgatlas/details.php?id=BSGatlas-5'UTR-699","BSGatlas-5'UTR-699")</f>
        <v>BSGatlas-5'UTR-699</v>
      </c>
      <c r="B700" s="3">
        <v>1072732</v>
      </c>
      <c r="C700" s="3">
        <v>1072768</v>
      </c>
      <c r="D700" s="1" t="s">
        <v>9</v>
      </c>
      <c r="E700" s="1">
        <v>37</v>
      </c>
      <c r="F700" s="1" t="s">
        <v>12338</v>
      </c>
      <c r="G700" s="1" t="s">
        <v>6112</v>
      </c>
    </row>
    <row r="701" spans="1:7" ht="21" x14ac:dyDescent="0.25">
      <c r="A701" s="2" t="str">
        <f>HYPERLINK("https://rth.dk/resources/bsgatlas/details.php?id=BSGatlas-5'UTR-700","BSGatlas-5'UTR-700")</f>
        <v>BSGatlas-5'UTR-700</v>
      </c>
      <c r="B701" s="3">
        <v>1073717</v>
      </c>
      <c r="C701" s="3">
        <v>1073765</v>
      </c>
      <c r="D701" s="1" t="s">
        <v>13</v>
      </c>
      <c r="E701" s="1">
        <v>49</v>
      </c>
      <c r="F701" s="1" t="s">
        <v>12340</v>
      </c>
      <c r="G701" s="1" t="s">
        <v>6113</v>
      </c>
    </row>
    <row r="702" spans="1:7" ht="21" x14ac:dyDescent="0.25">
      <c r="A702" s="2" t="str">
        <f>HYPERLINK("https://rth.dk/resources/bsgatlas/details.php?id=BSGatlas-5'UTR-701","BSGatlas-5'UTR-701")</f>
        <v>BSGatlas-5'UTR-701</v>
      </c>
      <c r="B702" s="3">
        <v>1073737</v>
      </c>
      <c r="C702" s="3">
        <v>1074381</v>
      </c>
      <c r="D702" s="1" t="s">
        <v>9</v>
      </c>
      <c r="E702" s="1">
        <v>645</v>
      </c>
      <c r="F702" s="1" t="s">
        <v>12341</v>
      </c>
      <c r="G702" s="1" t="s">
        <v>6116</v>
      </c>
    </row>
    <row r="703" spans="1:7" ht="21" x14ac:dyDescent="0.25">
      <c r="A703" s="2" t="str">
        <f>HYPERLINK("https://rth.dk/resources/bsgatlas/details.php?id=BSGatlas-5'UTR-702","BSGatlas-5'UTR-702")</f>
        <v>BSGatlas-5'UTR-702</v>
      </c>
      <c r="B703" s="3">
        <v>1074251</v>
      </c>
      <c r="C703" s="3">
        <v>1074348</v>
      </c>
      <c r="D703" s="1" t="s">
        <v>13</v>
      </c>
      <c r="E703" s="1">
        <v>98</v>
      </c>
      <c r="F703" s="1" t="s">
        <v>12342</v>
      </c>
      <c r="G703" s="1" t="s">
        <v>6118</v>
      </c>
    </row>
    <row r="704" spans="1:7" ht="21" x14ac:dyDescent="0.25">
      <c r="A704" s="2" t="str">
        <f>HYPERLINK("https://rth.dk/resources/bsgatlas/details.php?id=BSGatlas-5'UTR-703","BSGatlas-5'UTR-703")</f>
        <v>BSGatlas-5'UTR-703</v>
      </c>
      <c r="B704" s="3">
        <v>1074349</v>
      </c>
      <c r="C704" s="3">
        <v>1074381</v>
      </c>
      <c r="D704" s="1" t="s">
        <v>9</v>
      </c>
      <c r="E704" s="1">
        <v>33</v>
      </c>
      <c r="F704" s="1" t="s">
        <v>12341</v>
      </c>
      <c r="G704" s="1" t="s">
        <v>6120</v>
      </c>
    </row>
    <row r="705" spans="1:7" ht="21" x14ac:dyDescent="0.25">
      <c r="A705" s="2" t="str">
        <f>HYPERLINK("https://rth.dk/resources/bsgatlas/details.php?id=BSGatlas-5'UTR-704","BSGatlas-5'UTR-704")</f>
        <v>BSGatlas-5'UTR-704</v>
      </c>
      <c r="B705" s="3">
        <v>1075164</v>
      </c>
      <c r="C705" s="3">
        <v>1075246</v>
      </c>
      <c r="D705" s="1" t="s">
        <v>13</v>
      </c>
      <c r="E705" s="1">
        <v>83</v>
      </c>
      <c r="F705" s="1" t="s">
        <v>12343</v>
      </c>
      <c r="G705" s="1" t="s">
        <v>6121</v>
      </c>
    </row>
    <row r="706" spans="1:7" ht="21" x14ac:dyDescent="0.25">
      <c r="A706" s="2" t="str">
        <f>HYPERLINK("https://rth.dk/resources/bsgatlas/details.php?id=BSGatlas-5'UTR-705","BSGatlas-5'UTR-705")</f>
        <v>BSGatlas-5'UTR-705</v>
      </c>
      <c r="B706" s="3">
        <v>1076368</v>
      </c>
      <c r="C706" s="3">
        <v>1076418</v>
      </c>
      <c r="D706" s="1" t="s">
        <v>13</v>
      </c>
      <c r="E706" s="1">
        <v>51</v>
      </c>
      <c r="F706" s="1" t="s">
        <v>12344</v>
      </c>
      <c r="G706" s="1" t="s">
        <v>6124</v>
      </c>
    </row>
    <row r="707" spans="1:7" ht="21" x14ac:dyDescent="0.25">
      <c r="A707" s="2" t="str">
        <f>HYPERLINK("https://rth.dk/resources/bsgatlas/details.php?id=BSGatlas-5'UTR-706","BSGatlas-5'UTR-706")</f>
        <v>BSGatlas-5'UTR-706</v>
      </c>
      <c r="B707" s="3">
        <v>1076952</v>
      </c>
      <c r="C707" s="3">
        <v>1076999</v>
      </c>
      <c r="D707" s="1" t="s">
        <v>13</v>
      </c>
      <c r="E707" s="1">
        <v>48</v>
      </c>
      <c r="F707" s="1" t="s">
        <v>12345</v>
      </c>
      <c r="G707" s="1" t="s">
        <v>6126</v>
      </c>
    </row>
    <row r="708" spans="1:7" ht="21" x14ac:dyDescent="0.25">
      <c r="A708" s="2" t="str">
        <f>HYPERLINK("https://rth.dk/resources/bsgatlas/details.php?id=BSGatlas-5'UTR-707","BSGatlas-5'UTR-707")</f>
        <v>BSGatlas-5'UTR-707</v>
      </c>
      <c r="B708" s="3">
        <v>1077313</v>
      </c>
      <c r="C708" s="3">
        <v>1078750</v>
      </c>
      <c r="D708" s="1" t="s">
        <v>13</v>
      </c>
      <c r="E708" s="1">
        <v>1438</v>
      </c>
      <c r="F708" s="1" t="s">
        <v>12346</v>
      </c>
      <c r="G708" s="1" t="s">
        <v>6130</v>
      </c>
    </row>
    <row r="709" spans="1:7" ht="21" x14ac:dyDescent="0.25">
      <c r="A709" s="2" t="str">
        <f>HYPERLINK("https://rth.dk/resources/bsgatlas/details.php?id=BSGatlas-5'UTR-708","BSGatlas-5'UTR-708")</f>
        <v>BSGatlas-5'UTR-708</v>
      </c>
      <c r="B709" s="3">
        <v>1077410</v>
      </c>
      <c r="C709" s="3">
        <v>1077440</v>
      </c>
      <c r="D709" s="1" t="s">
        <v>9</v>
      </c>
      <c r="E709" s="1">
        <v>31</v>
      </c>
      <c r="F709" s="1" t="s">
        <v>12347</v>
      </c>
      <c r="G709" s="1" t="s">
        <v>6132</v>
      </c>
    </row>
    <row r="710" spans="1:7" ht="21" x14ac:dyDescent="0.25">
      <c r="A710" s="2" t="str">
        <f>HYPERLINK("https://rth.dk/resources/bsgatlas/details.php?id=BSGatlas-5'UTR-709","BSGatlas-5'UTR-709")</f>
        <v>BSGatlas-5'UTR-709</v>
      </c>
      <c r="B710" s="3">
        <v>1081340</v>
      </c>
      <c r="C710" s="3">
        <v>1081385</v>
      </c>
      <c r="D710" s="1" t="s">
        <v>13</v>
      </c>
      <c r="E710" s="1">
        <v>46</v>
      </c>
      <c r="F710" s="1" t="s">
        <v>12348</v>
      </c>
      <c r="G710" s="1" t="s">
        <v>6134</v>
      </c>
    </row>
    <row r="711" spans="1:7" ht="21" x14ac:dyDescent="0.25">
      <c r="A711" s="2" t="str">
        <f>HYPERLINK("https://rth.dk/resources/bsgatlas/details.php?id=BSGatlas-5'UTR-710","BSGatlas-5'UTR-710")</f>
        <v>BSGatlas-5'UTR-710</v>
      </c>
      <c r="B711" s="3">
        <v>1082804</v>
      </c>
      <c r="C711" s="3">
        <v>1082820</v>
      </c>
      <c r="D711" s="1" t="s">
        <v>13</v>
      </c>
      <c r="E711" s="1">
        <v>17</v>
      </c>
      <c r="F711" s="1" t="s">
        <v>12349</v>
      </c>
      <c r="G711" s="1" t="s">
        <v>6138</v>
      </c>
    </row>
    <row r="712" spans="1:7" ht="21" x14ac:dyDescent="0.25">
      <c r="A712" s="2" t="str">
        <f>HYPERLINK("https://rth.dk/resources/bsgatlas/details.php?id=BSGatlas-5'UTR-711","BSGatlas-5'UTR-711")</f>
        <v>BSGatlas-5'UTR-711</v>
      </c>
      <c r="B712" s="3">
        <v>1083729</v>
      </c>
      <c r="C712" s="3">
        <v>1083763</v>
      </c>
      <c r="D712" s="1" t="s">
        <v>13</v>
      </c>
      <c r="E712" s="1">
        <v>35</v>
      </c>
      <c r="F712" s="1" t="s">
        <v>12350</v>
      </c>
      <c r="G712" s="1" t="s">
        <v>6139</v>
      </c>
    </row>
    <row r="713" spans="1:7" ht="21" x14ac:dyDescent="0.25">
      <c r="A713" s="2" t="str">
        <f>HYPERLINK("https://rth.dk/resources/bsgatlas/details.php?id=BSGatlas-5'UTR-712","BSGatlas-5'UTR-712")</f>
        <v>BSGatlas-5'UTR-712</v>
      </c>
      <c r="B713" s="3">
        <v>1083729</v>
      </c>
      <c r="C713" s="3">
        <v>1083898</v>
      </c>
      <c r="D713" s="1" t="s">
        <v>13</v>
      </c>
      <c r="E713" s="1">
        <v>170</v>
      </c>
      <c r="F713" s="1" t="s">
        <v>12350</v>
      </c>
      <c r="G713" s="1" t="s">
        <v>6141</v>
      </c>
    </row>
    <row r="714" spans="1:7" ht="21" x14ac:dyDescent="0.25">
      <c r="A714" s="2" t="str">
        <f>HYPERLINK("https://rth.dk/resources/bsgatlas/details.php?id=BSGatlas-5'UTR-713","BSGatlas-5'UTR-713")</f>
        <v>BSGatlas-5'UTR-713</v>
      </c>
      <c r="B714" s="3">
        <v>1083783</v>
      </c>
      <c r="C714" s="3">
        <v>1083851</v>
      </c>
      <c r="D714" s="1" t="s">
        <v>9</v>
      </c>
      <c r="E714" s="1">
        <v>69</v>
      </c>
      <c r="F714" s="1" t="s">
        <v>12351</v>
      </c>
      <c r="G714" s="1" t="s">
        <v>6142</v>
      </c>
    </row>
    <row r="715" spans="1:7" ht="21" x14ac:dyDescent="0.25">
      <c r="A715" s="2" t="str">
        <f>HYPERLINK("https://rth.dk/resources/bsgatlas/details.php?id=BSGatlas-5'UTR-714","BSGatlas-5'UTR-714")</f>
        <v>BSGatlas-5'UTR-714</v>
      </c>
      <c r="B715" s="3">
        <v>1083822</v>
      </c>
      <c r="C715" s="3">
        <v>1083851</v>
      </c>
      <c r="D715" s="1" t="s">
        <v>9</v>
      </c>
      <c r="E715" s="1">
        <v>30</v>
      </c>
      <c r="F715" s="1" t="s">
        <v>12351</v>
      </c>
      <c r="G715" s="1" t="s">
        <v>6144</v>
      </c>
    </row>
    <row r="716" spans="1:7" ht="21" x14ac:dyDescent="0.25">
      <c r="A716" s="2" t="str">
        <f>HYPERLINK("https://rth.dk/resources/bsgatlas/details.php?id=BSGatlas-5'UTR-715","BSGatlas-5'UTR-715")</f>
        <v>BSGatlas-5'UTR-715</v>
      </c>
      <c r="B716" s="3">
        <v>1086062</v>
      </c>
      <c r="C716" s="3">
        <v>1086117</v>
      </c>
      <c r="D716" s="1" t="s">
        <v>9</v>
      </c>
      <c r="E716" s="1">
        <v>56</v>
      </c>
      <c r="F716" s="1" t="s">
        <v>12352</v>
      </c>
      <c r="G716" s="1" t="s">
        <v>6146</v>
      </c>
    </row>
    <row r="717" spans="1:7" ht="21" x14ac:dyDescent="0.25">
      <c r="A717" s="2" t="str">
        <f>HYPERLINK("https://rth.dk/resources/bsgatlas/details.php?id=BSGatlas-5'UTR-716","BSGatlas-5'UTR-716")</f>
        <v>BSGatlas-5'UTR-716</v>
      </c>
      <c r="B717" s="3">
        <v>1089696</v>
      </c>
      <c r="C717" s="3">
        <v>1089755</v>
      </c>
      <c r="D717" s="1" t="s">
        <v>9</v>
      </c>
      <c r="E717" s="1">
        <v>60</v>
      </c>
      <c r="F717" s="1" t="s">
        <v>12353</v>
      </c>
      <c r="G717" s="1" t="s">
        <v>6151</v>
      </c>
    </row>
    <row r="718" spans="1:7" ht="21" x14ac:dyDescent="0.25">
      <c r="A718" s="2" t="str">
        <f>HYPERLINK("https://rth.dk/resources/bsgatlas/details.php?id=BSGatlas-5'UTR-717","BSGatlas-5'UTR-717")</f>
        <v>BSGatlas-5'UTR-717</v>
      </c>
      <c r="B718" s="3">
        <v>1090092</v>
      </c>
      <c r="C718" s="3">
        <v>1090401</v>
      </c>
      <c r="D718" s="1" t="s">
        <v>9</v>
      </c>
      <c r="E718" s="1">
        <v>310</v>
      </c>
      <c r="F718" s="1" t="s">
        <v>12354</v>
      </c>
      <c r="G718" s="1" t="s">
        <v>6153</v>
      </c>
    </row>
    <row r="719" spans="1:7" ht="21" x14ac:dyDescent="0.25">
      <c r="A719" s="2" t="str">
        <f>HYPERLINK("https://rth.dk/resources/bsgatlas/details.php?id=BSGatlas-5'UTR-718","BSGatlas-5'UTR-718")</f>
        <v>BSGatlas-5'UTR-718</v>
      </c>
      <c r="B719" s="3">
        <v>1093747</v>
      </c>
      <c r="C719" s="3">
        <v>1093779</v>
      </c>
      <c r="D719" s="1" t="s">
        <v>13</v>
      </c>
      <c r="E719" s="1">
        <v>33</v>
      </c>
      <c r="F719" s="1" t="s">
        <v>12355</v>
      </c>
      <c r="G719" s="1" t="s">
        <v>6154</v>
      </c>
    </row>
    <row r="720" spans="1:7" ht="21" x14ac:dyDescent="0.25">
      <c r="A720" s="2" t="str">
        <f>HYPERLINK("https://rth.dk/resources/bsgatlas/details.php?id=BSGatlas-5'UTR-719","BSGatlas-5'UTR-719")</f>
        <v>BSGatlas-5'UTR-719</v>
      </c>
      <c r="B720" s="3">
        <v>1093832</v>
      </c>
      <c r="C720" s="3">
        <v>1093874</v>
      </c>
      <c r="D720" s="1" t="s">
        <v>9</v>
      </c>
      <c r="E720" s="1">
        <v>43</v>
      </c>
      <c r="F720" s="1" t="s">
        <v>12356</v>
      </c>
      <c r="G720" s="1" t="s">
        <v>6156</v>
      </c>
    </row>
    <row r="721" spans="1:7" ht="21" x14ac:dyDescent="0.25">
      <c r="A721" s="2" t="str">
        <f>HYPERLINK("https://rth.dk/resources/bsgatlas/details.php?id=BSGatlas-5'UTR-720","BSGatlas-5'UTR-720")</f>
        <v>BSGatlas-5'UTR-720</v>
      </c>
      <c r="B721" s="3">
        <v>1095024</v>
      </c>
      <c r="C721" s="3">
        <v>1095063</v>
      </c>
      <c r="D721" s="1" t="s">
        <v>9</v>
      </c>
      <c r="E721" s="1">
        <v>40</v>
      </c>
      <c r="F721" s="1" t="s">
        <v>12357</v>
      </c>
      <c r="G721" s="1" t="s">
        <v>6159</v>
      </c>
    </row>
    <row r="722" spans="1:7" ht="21" x14ac:dyDescent="0.25">
      <c r="A722" s="2" t="str">
        <f>HYPERLINK("https://rth.dk/resources/bsgatlas/details.php?id=BSGatlas-5'UTR-721","BSGatlas-5'UTR-721")</f>
        <v>BSGatlas-5'UTR-721</v>
      </c>
      <c r="B722" s="3">
        <v>1097849</v>
      </c>
      <c r="C722" s="3">
        <v>1097950</v>
      </c>
      <c r="D722" s="1" t="s">
        <v>13</v>
      </c>
      <c r="E722" s="1">
        <v>102</v>
      </c>
      <c r="F722" s="1" t="s">
        <v>12358</v>
      </c>
      <c r="G722" s="1" t="s">
        <v>6161</v>
      </c>
    </row>
    <row r="723" spans="1:7" ht="21" x14ac:dyDescent="0.25">
      <c r="A723" s="2" t="str">
        <f>HYPERLINK("https://rth.dk/resources/bsgatlas/details.php?id=BSGatlas-5'UTR-722","BSGatlas-5'UTR-722")</f>
        <v>BSGatlas-5'UTR-722</v>
      </c>
      <c r="B723" s="3">
        <v>1098260</v>
      </c>
      <c r="C723" s="3">
        <v>1098298</v>
      </c>
      <c r="D723" s="1" t="s">
        <v>13</v>
      </c>
      <c r="E723" s="1">
        <v>39</v>
      </c>
      <c r="F723" s="1" t="s">
        <v>12359</v>
      </c>
      <c r="G723" s="1" t="s">
        <v>6163</v>
      </c>
    </row>
    <row r="724" spans="1:7" ht="21" x14ac:dyDescent="0.25">
      <c r="A724" s="2" t="str">
        <f>HYPERLINK("https://rth.dk/resources/bsgatlas/details.php?id=BSGatlas-5'UTR-723","BSGatlas-5'UTR-723")</f>
        <v>BSGatlas-5'UTR-723</v>
      </c>
      <c r="B724" s="3">
        <v>1098365</v>
      </c>
      <c r="C724" s="3">
        <v>1098412</v>
      </c>
      <c r="D724" s="1" t="s">
        <v>9</v>
      </c>
      <c r="E724" s="1">
        <v>48</v>
      </c>
      <c r="F724" s="1" t="s">
        <v>12360</v>
      </c>
      <c r="G724" s="1" t="s">
        <v>6166</v>
      </c>
    </row>
    <row r="725" spans="1:7" ht="21" x14ac:dyDescent="0.25">
      <c r="A725" s="2" t="str">
        <f>HYPERLINK("https://rth.dk/resources/bsgatlas/details.php?id=BSGatlas-5'UTR-724","BSGatlas-5'UTR-724")</f>
        <v>BSGatlas-5'UTR-724</v>
      </c>
      <c r="B725" s="3">
        <v>1100926</v>
      </c>
      <c r="C725" s="3">
        <v>1100980</v>
      </c>
      <c r="D725" s="1" t="s">
        <v>9</v>
      </c>
      <c r="E725" s="1">
        <v>55</v>
      </c>
      <c r="F725" s="1" t="s">
        <v>12361</v>
      </c>
      <c r="G725" s="1" t="s">
        <v>6168</v>
      </c>
    </row>
    <row r="726" spans="1:7" ht="21" x14ac:dyDescent="0.25">
      <c r="A726" s="2" t="str">
        <f>HYPERLINK("https://rth.dk/resources/bsgatlas/details.php?id=BSGatlas-5'UTR-725","BSGatlas-5'UTR-725")</f>
        <v>BSGatlas-5'UTR-725</v>
      </c>
      <c r="B726" s="3">
        <v>1102955</v>
      </c>
      <c r="C726" s="3">
        <v>1102971</v>
      </c>
      <c r="D726" s="1" t="s">
        <v>13</v>
      </c>
      <c r="E726" s="1">
        <v>17</v>
      </c>
      <c r="F726" s="1" t="s">
        <v>12362</v>
      </c>
      <c r="G726" s="1" t="s">
        <v>6170</v>
      </c>
    </row>
    <row r="727" spans="1:7" ht="21" x14ac:dyDescent="0.25">
      <c r="A727" s="2" t="str">
        <f>HYPERLINK("https://rth.dk/resources/bsgatlas/details.php?id=BSGatlas-5'UTR-726","BSGatlas-5'UTR-726")</f>
        <v>BSGatlas-5'UTR-726</v>
      </c>
      <c r="B727" s="3">
        <v>1102955</v>
      </c>
      <c r="C727" s="3">
        <v>1103545</v>
      </c>
      <c r="D727" s="1" t="s">
        <v>13</v>
      </c>
      <c r="E727" s="1">
        <v>591</v>
      </c>
      <c r="F727" s="1" t="s">
        <v>12362</v>
      </c>
      <c r="G727" s="1" t="s">
        <v>6172</v>
      </c>
    </row>
    <row r="728" spans="1:7" ht="21" x14ac:dyDescent="0.25">
      <c r="A728" s="2" t="str">
        <f>HYPERLINK("https://rth.dk/resources/bsgatlas/details.php?id=BSGatlas-5'UTR-727","BSGatlas-5'UTR-727")</f>
        <v>BSGatlas-5'UTR-727</v>
      </c>
      <c r="B728" s="3">
        <v>1103051</v>
      </c>
      <c r="C728" s="3">
        <v>1103104</v>
      </c>
      <c r="D728" s="1" t="s">
        <v>9</v>
      </c>
      <c r="E728" s="1">
        <v>54</v>
      </c>
      <c r="F728" s="1" t="s">
        <v>12363</v>
      </c>
      <c r="G728" s="1" t="s">
        <v>6173</v>
      </c>
    </row>
    <row r="729" spans="1:7" ht="21" x14ac:dyDescent="0.25">
      <c r="A729" s="2" t="str">
        <f>HYPERLINK("https://rth.dk/resources/bsgatlas/details.php?id=BSGatlas-5'UTR-728","BSGatlas-5'UTR-728")</f>
        <v>BSGatlas-5'UTR-728</v>
      </c>
      <c r="B729" s="3">
        <v>1105568</v>
      </c>
      <c r="C729" s="3">
        <v>1105626</v>
      </c>
      <c r="D729" s="1" t="s">
        <v>13</v>
      </c>
      <c r="E729" s="1">
        <v>59</v>
      </c>
      <c r="F729" s="1" t="s">
        <v>12364</v>
      </c>
      <c r="G729" s="1" t="s">
        <v>6175</v>
      </c>
    </row>
    <row r="730" spans="1:7" ht="21" x14ac:dyDescent="0.25">
      <c r="A730" s="2" t="str">
        <f>HYPERLINK("https://rth.dk/resources/bsgatlas/details.php?id=BSGatlas-5'UTR-729","BSGatlas-5'UTR-729")</f>
        <v>BSGatlas-5'UTR-729</v>
      </c>
      <c r="B730" s="3">
        <v>1105972</v>
      </c>
      <c r="C730" s="3">
        <v>1106003</v>
      </c>
      <c r="D730" s="1" t="s">
        <v>9</v>
      </c>
      <c r="E730" s="1">
        <v>32</v>
      </c>
      <c r="F730" s="1" t="s">
        <v>12365</v>
      </c>
      <c r="G730" s="1" t="s">
        <v>6178</v>
      </c>
    </row>
    <row r="731" spans="1:7" ht="21" x14ac:dyDescent="0.25">
      <c r="A731" s="2" t="str">
        <f>HYPERLINK("https://rth.dk/resources/bsgatlas/details.php?id=BSGatlas-5'UTR-730","BSGatlas-5'UTR-730")</f>
        <v>BSGatlas-5'UTR-730</v>
      </c>
      <c r="B731" s="3">
        <v>1106497</v>
      </c>
      <c r="C731" s="3">
        <v>1106524</v>
      </c>
      <c r="D731" s="1" t="s">
        <v>9</v>
      </c>
      <c r="E731" s="1">
        <v>28</v>
      </c>
      <c r="F731" s="1" t="s">
        <v>12366</v>
      </c>
      <c r="G731" s="1" t="s">
        <v>6183</v>
      </c>
    </row>
    <row r="732" spans="1:7" ht="21" x14ac:dyDescent="0.25">
      <c r="A732" s="2" t="str">
        <f>HYPERLINK("https://rth.dk/resources/bsgatlas/details.php?id=BSGatlas-5'UTR-731","BSGatlas-5'UTR-731")</f>
        <v>BSGatlas-5'UTR-731</v>
      </c>
      <c r="B732" s="3">
        <v>1107674</v>
      </c>
      <c r="C732" s="3">
        <v>1107733</v>
      </c>
      <c r="D732" s="1" t="s">
        <v>9</v>
      </c>
      <c r="E732" s="1">
        <v>60</v>
      </c>
      <c r="F732" s="1" t="s">
        <v>12367</v>
      </c>
      <c r="G732" s="1" t="s">
        <v>6185</v>
      </c>
    </row>
    <row r="733" spans="1:7" ht="21" x14ac:dyDescent="0.25">
      <c r="A733" s="2" t="str">
        <f>HYPERLINK("https://rth.dk/resources/bsgatlas/details.php?id=BSGatlas-5'UTR-732","BSGatlas-5'UTR-732")</f>
        <v>BSGatlas-5'UTR-732</v>
      </c>
      <c r="B733" s="3">
        <v>1109317</v>
      </c>
      <c r="C733" s="3">
        <v>1109353</v>
      </c>
      <c r="D733" s="1" t="s">
        <v>13</v>
      </c>
      <c r="E733" s="1">
        <v>37</v>
      </c>
      <c r="F733" s="1" t="s">
        <v>12368</v>
      </c>
      <c r="G733" s="1" t="s">
        <v>6186</v>
      </c>
    </row>
    <row r="734" spans="1:7" ht="21" x14ac:dyDescent="0.25">
      <c r="A734" s="2" t="str">
        <f>HYPERLINK("https://rth.dk/resources/bsgatlas/details.php?id=BSGatlas-5'UTR-733","BSGatlas-5'UTR-733")</f>
        <v>BSGatlas-5'UTR-733</v>
      </c>
      <c r="B734" s="3">
        <v>1111918</v>
      </c>
      <c r="C734" s="3">
        <v>1111949</v>
      </c>
      <c r="D734" s="1" t="s">
        <v>13</v>
      </c>
      <c r="E734" s="1">
        <v>32</v>
      </c>
      <c r="F734" s="1" t="s">
        <v>12369</v>
      </c>
      <c r="G734" s="1" t="s">
        <v>6189</v>
      </c>
    </row>
    <row r="735" spans="1:7" ht="21" x14ac:dyDescent="0.25">
      <c r="A735" s="2" t="str">
        <f>HYPERLINK("https://rth.dk/resources/bsgatlas/details.php?id=BSGatlas-5'UTR-734","BSGatlas-5'UTR-734")</f>
        <v>BSGatlas-5'UTR-734</v>
      </c>
      <c r="B735" s="3">
        <v>1112485</v>
      </c>
      <c r="C735" s="3">
        <v>1112524</v>
      </c>
      <c r="D735" s="1" t="s">
        <v>13</v>
      </c>
      <c r="E735" s="1">
        <v>40</v>
      </c>
      <c r="F735" s="1" t="s">
        <v>12370</v>
      </c>
      <c r="G735" s="1" t="s">
        <v>6191</v>
      </c>
    </row>
    <row r="736" spans="1:7" ht="21" x14ac:dyDescent="0.25">
      <c r="A736" s="2" t="str">
        <f>HYPERLINK("https://rth.dk/resources/bsgatlas/details.php?id=BSGatlas-5'UTR-735","BSGatlas-5'UTR-735")</f>
        <v>BSGatlas-5'UTR-735</v>
      </c>
      <c r="B736" s="3">
        <v>1113918</v>
      </c>
      <c r="C736" s="3">
        <v>1113975</v>
      </c>
      <c r="D736" s="1" t="s">
        <v>13</v>
      </c>
      <c r="E736" s="1">
        <v>58</v>
      </c>
      <c r="F736" s="1" t="s">
        <v>12371</v>
      </c>
      <c r="G736" s="1" t="s">
        <v>6192</v>
      </c>
    </row>
    <row r="737" spans="1:7" ht="21" x14ac:dyDescent="0.25">
      <c r="A737" s="2" t="str">
        <f>HYPERLINK("https://rth.dk/resources/bsgatlas/details.php?id=BSGatlas-5'UTR-736","BSGatlas-5'UTR-736")</f>
        <v>BSGatlas-5'UTR-736</v>
      </c>
      <c r="B737" s="3">
        <v>1115586</v>
      </c>
      <c r="C737" s="3">
        <v>1115610</v>
      </c>
      <c r="D737" s="1" t="s">
        <v>13</v>
      </c>
      <c r="E737" s="1">
        <v>25</v>
      </c>
      <c r="F737" s="1" t="s">
        <v>12372</v>
      </c>
      <c r="G737" s="1" t="s">
        <v>6194</v>
      </c>
    </row>
    <row r="738" spans="1:7" ht="21" x14ac:dyDescent="0.25">
      <c r="A738" s="2" t="str">
        <f>HYPERLINK("https://rth.dk/resources/bsgatlas/details.php?id=BSGatlas-5'UTR-737","BSGatlas-5'UTR-737")</f>
        <v>BSGatlas-5'UTR-737</v>
      </c>
      <c r="B738" s="3">
        <v>1115659</v>
      </c>
      <c r="C738" s="3">
        <v>1115698</v>
      </c>
      <c r="D738" s="1" t="s">
        <v>9</v>
      </c>
      <c r="E738" s="1">
        <v>40</v>
      </c>
      <c r="F738" s="1" t="s">
        <v>12373</v>
      </c>
      <c r="G738" s="1" t="s">
        <v>6196</v>
      </c>
    </row>
    <row r="739" spans="1:7" ht="21" x14ac:dyDescent="0.25">
      <c r="A739" s="2" t="str">
        <f>HYPERLINK("https://rth.dk/resources/bsgatlas/details.php?id=BSGatlas-5'UTR-738","BSGatlas-5'UTR-738")</f>
        <v>BSGatlas-5'UTR-738</v>
      </c>
      <c r="B739" s="3">
        <v>1116816</v>
      </c>
      <c r="C739" s="3">
        <v>1116855</v>
      </c>
      <c r="D739" s="1" t="s">
        <v>13</v>
      </c>
      <c r="E739" s="1">
        <v>40</v>
      </c>
      <c r="F739" s="1" t="s">
        <v>12374</v>
      </c>
      <c r="G739" s="1" t="s">
        <v>6198</v>
      </c>
    </row>
    <row r="740" spans="1:7" ht="21" x14ac:dyDescent="0.25">
      <c r="A740" s="2" t="str">
        <f>HYPERLINK("https://rth.dk/resources/bsgatlas/details.php?id=BSGatlas-5'UTR-739","BSGatlas-5'UTR-739")</f>
        <v>BSGatlas-5'UTR-739</v>
      </c>
      <c r="B740" s="3">
        <v>1116836</v>
      </c>
      <c r="C740" s="3">
        <v>1117109</v>
      </c>
      <c r="D740" s="1" t="s">
        <v>9</v>
      </c>
      <c r="E740" s="1">
        <v>274</v>
      </c>
      <c r="F740" s="1" t="s">
        <v>12375</v>
      </c>
      <c r="G740" s="1" t="s">
        <v>6201</v>
      </c>
    </row>
    <row r="741" spans="1:7" ht="21" x14ac:dyDescent="0.25">
      <c r="A741" s="2" t="str">
        <f>HYPERLINK("https://rth.dk/resources/bsgatlas/details.php?id=BSGatlas-5'UTR-740","BSGatlas-5'UTR-740")</f>
        <v>BSGatlas-5'UTR-740</v>
      </c>
      <c r="B741" s="3">
        <v>1117073</v>
      </c>
      <c r="C741" s="3">
        <v>1117109</v>
      </c>
      <c r="D741" s="1" t="s">
        <v>9</v>
      </c>
      <c r="E741" s="1">
        <v>37</v>
      </c>
      <c r="F741" s="1" t="s">
        <v>12375</v>
      </c>
      <c r="G741" s="1" t="s">
        <v>6203</v>
      </c>
    </row>
    <row r="742" spans="1:7" ht="21" x14ac:dyDescent="0.25">
      <c r="A742" s="2" t="str">
        <f>HYPERLINK("https://rth.dk/resources/bsgatlas/details.php?id=BSGatlas-5'UTR-741","BSGatlas-5'UTR-741")</f>
        <v>BSGatlas-5'UTR-741</v>
      </c>
      <c r="B742" s="3">
        <v>1118633</v>
      </c>
      <c r="C742" s="3">
        <v>1118677</v>
      </c>
      <c r="D742" s="1" t="s">
        <v>13</v>
      </c>
      <c r="E742" s="1">
        <v>45</v>
      </c>
      <c r="F742" s="1" t="s">
        <v>12376</v>
      </c>
      <c r="G742" s="1" t="s">
        <v>6204</v>
      </c>
    </row>
    <row r="743" spans="1:7" ht="21" x14ac:dyDescent="0.25">
      <c r="A743" s="2" t="str">
        <f>HYPERLINK("https://rth.dk/resources/bsgatlas/details.php?id=BSGatlas-5'UTR-742","BSGatlas-5'UTR-742")</f>
        <v>BSGatlas-5'UTR-742</v>
      </c>
      <c r="B743" s="3">
        <v>1118792</v>
      </c>
      <c r="C743" s="3">
        <v>1118850</v>
      </c>
      <c r="D743" s="1" t="s">
        <v>9</v>
      </c>
      <c r="E743" s="1">
        <v>59</v>
      </c>
      <c r="F743" s="1" t="s">
        <v>12377</v>
      </c>
      <c r="G743" s="1" t="s">
        <v>6209</v>
      </c>
    </row>
    <row r="744" spans="1:7" ht="21" x14ac:dyDescent="0.25">
      <c r="A744" s="2" t="str">
        <f>HYPERLINK("https://rth.dk/resources/bsgatlas/details.php?id=BSGatlas-5'UTR-743","BSGatlas-5'UTR-743")</f>
        <v>BSGatlas-5'UTR-743</v>
      </c>
      <c r="B744" s="3">
        <v>1120828</v>
      </c>
      <c r="C744" s="3">
        <v>1120947</v>
      </c>
      <c r="D744" s="1" t="s">
        <v>13</v>
      </c>
      <c r="E744" s="1">
        <v>120</v>
      </c>
      <c r="F744" s="1" t="s">
        <v>12378</v>
      </c>
      <c r="G744" s="1" t="s">
        <v>6212</v>
      </c>
    </row>
    <row r="745" spans="1:7" ht="21" x14ac:dyDescent="0.25">
      <c r="A745" s="2" t="str">
        <f>HYPERLINK("https://rth.dk/resources/bsgatlas/details.php?id=BSGatlas-5'UTR-744","BSGatlas-5'UTR-744")</f>
        <v>BSGatlas-5'UTR-744</v>
      </c>
      <c r="B745" s="3">
        <v>1121258</v>
      </c>
      <c r="C745" s="3">
        <v>1121550</v>
      </c>
      <c r="D745" s="1" t="s">
        <v>9</v>
      </c>
      <c r="E745" s="1">
        <v>293</v>
      </c>
      <c r="F745" s="1" t="s">
        <v>12379</v>
      </c>
      <c r="G745" s="1" t="s">
        <v>6217</v>
      </c>
    </row>
    <row r="746" spans="1:7" ht="21" x14ac:dyDescent="0.25">
      <c r="A746" s="2" t="str">
        <f>HYPERLINK("https://rth.dk/resources/bsgatlas/details.php?id=BSGatlas-5'UTR-745","BSGatlas-5'UTR-745")</f>
        <v>BSGatlas-5'UTR-745</v>
      </c>
      <c r="B746" s="3">
        <v>1121398</v>
      </c>
      <c r="C746" s="3">
        <v>1121446</v>
      </c>
      <c r="D746" s="1" t="s">
        <v>13</v>
      </c>
      <c r="E746" s="1">
        <v>49</v>
      </c>
      <c r="F746" s="1" t="s">
        <v>12380</v>
      </c>
      <c r="G746" s="1" t="s">
        <v>6214</v>
      </c>
    </row>
    <row r="747" spans="1:7" ht="21" x14ac:dyDescent="0.25">
      <c r="A747" s="2" t="str">
        <f>HYPERLINK("https://rth.dk/resources/bsgatlas/details.php?id=BSGatlas-5'UTR-746","BSGatlas-5'UTR-746")</f>
        <v>BSGatlas-5'UTR-746</v>
      </c>
      <c r="B747" s="3">
        <v>1121508</v>
      </c>
      <c r="C747" s="3">
        <v>1121550</v>
      </c>
      <c r="D747" s="1" t="s">
        <v>9</v>
      </c>
      <c r="E747" s="1">
        <v>43</v>
      </c>
      <c r="F747" s="1" t="s">
        <v>12379</v>
      </c>
      <c r="G747" s="1" t="s">
        <v>6219</v>
      </c>
    </row>
    <row r="748" spans="1:7" ht="21" x14ac:dyDescent="0.25">
      <c r="A748" s="2" t="str">
        <f>HYPERLINK("https://rth.dk/resources/bsgatlas/details.php?id=BSGatlas-5'UTR-747","BSGatlas-5'UTR-747")</f>
        <v>BSGatlas-5'UTR-747</v>
      </c>
      <c r="B748" s="3">
        <v>1122762</v>
      </c>
      <c r="C748" s="3">
        <v>1122862</v>
      </c>
      <c r="D748" s="1" t="s">
        <v>9</v>
      </c>
      <c r="E748" s="1">
        <v>101</v>
      </c>
      <c r="F748" s="1" t="s">
        <v>12381</v>
      </c>
      <c r="G748" s="1" t="s">
        <v>6221</v>
      </c>
    </row>
    <row r="749" spans="1:7" ht="21" x14ac:dyDescent="0.25">
      <c r="A749" s="2" t="str">
        <f>HYPERLINK("https://rth.dk/resources/bsgatlas/details.php?id=BSGatlas-5'UTR-748","BSGatlas-5'UTR-748")</f>
        <v>BSGatlas-5'UTR-748</v>
      </c>
      <c r="B749" s="3">
        <v>1124388</v>
      </c>
      <c r="C749" s="3">
        <v>1124438</v>
      </c>
      <c r="D749" s="1" t="s">
        <v>9</v>
      </c>
      <c r="E749" s="1">
        <v>51</v>
      </c>
      <c r="F749" s="1" t="s">
        <v>12382</v>
      </c>
      <c r="G749" s="1" t="s">
        <v>6223</v>
      </c>
    </row>
    <row r="750" spans="1:7" ht="21" x14ac:dyDescent="0.25">
      <c r="A750" s="2" t="str">
        <f>HYPERLINK("https://rth.dk/resources/bsgatlas/details.php?id=BSGatlas-5'UTR-749","BSGatlas-5'UTR-749")</f>
        <v>BSGatlas-5'UTR-749</v>
      </c>
      <c r="B750" s="3">
        <v>1128482</v>
      </c>
      <c r="C750" s="3">
        <v>1129715</v>
      </c>
      <c r="D750" s="1" t="s">
        <v>9</v>
      </c>
      <c r="E750" s="1">
        <v>1234</v>
      </c>
      <c r="F750" s="1" t="s">
        <v>12383</v>
      </c>
      <c r="G750" s="1" t="s">
        <v>6231</v>
      </c>
    </row>
    <row r="751" spans="1:7" ht="21" x14ac:dyDescent="0.25">
      <c r="A751" s="2" t="str">
        <f>HYPERLINK("https://rth.dk/resources/bsgatlas/details.php?id=BSGatlas-5'UTR-750","BSGatlas-5'UTR-750")</f>
        <v>BSGatlas-5'UTR-750</v>
      </c>
      <c r="B751" s="3">
        <v>1129272</v>
      </c>
      <c r="C751" s="3">
        <v>1129715</v>
      </c>
      <c r="D751" s="1" t="s">
        <v>9</v>
      </c>
      <c r="E751" s="1">
        <v>444</v>
      </c>
      <c r="F751" s="1" t="s">
        <v>12383</v>
      </c>
      <c r="G751" s="1" t="s">
        <v>6234</v>
      </c>
    </row>
    <row r="752" spans="1:7" ht="21" x14ac:dyDescent="0.25">
      <c r="A752" s="2" t="str">
        <f>HYPERLINK("https://rth.dk/resources/bsgatlas/details.php?id=BSGatlas-5'UTR-751","BSGatlas-5'UTR-751")</f>
        <v>BSGatlas-5'UTR-751</v>
      </c>
      <c r="B752" s="3">
        <v>1129611</v>
      </c>
      <c r="C752" s="3">
        <v>1129653</v>
      </c>
      <c r="D752" s="1" t="s">
        <v>13</v>
      </c>
      <c r="E752" s="1">
        <v>43</v>
      </c>
      <c r="F752" s="1" t="s">
        <v>12384</v>
      </c>
      <c r="G752" s="1" t="s">
        <v>6225</v>
      </c>
    </row>
    <row r="753" spans="1:7" ht="21" x14ac:dyDescent="0.25">
      <c r="A753" s="2" t="str">
        <f>HYPERLINK("https://rth.dk/resources/bsgatlas/details.php?id=BSGatlas-5'UTR-752","BSGatlas-5'UTR-752")</f>
        <v>BSGatlas-5'UTR-752</v>
      </c>
      <c r="B753" s="3">
        <v>1129634</v>
      </c>
      <c r="C753" s="3">
        <v>1129715</v>
      </c>
      <c r="D753" s="1" t="s">
        <v>9</v>
      </c>
      <c r="E753" s="1">
        <v>82</v>
      </c>
      <c r="F753" s="1" t="s">
        <v>12383</v>
      </c>
      <c r="G753" s="1" t="s">
        <v>6235</v>
      </c>
    </row>
    <row r="754" spans="1:7" ht="21" x14ac:dyDescent="0.25">
      <c r="A754" s="2" t="str">
        <f>HYPERLINK("https://rth.dk/resources/bsgatlas/details.php?id=BSGatlas-5'UTR-753","BSGatlas-5'UTR-753")</f>
        <v>BSGatlas-5'UTR-753</v>
      </c>
      <c r="B754" s="3">
        <v>1132072</v>
      </c>
      <c r="C754" s="3">
        <v>1132143</v>
      </c>
      <c r="D754" s="1" t="s">
        <v>13</v>
      </c>
      <c r="E754" s="1">
        <v>72</v>
      </c>
      <c r="F754" s="1" t="s">
        <v>12385</v>
      </c>
      <c r="G754" s="1" t="s">
        <v>6236</v>
      </c>
    </row>
    <row r="755" spans="1:7" ht="21" x14ac:dyDescent="0.25">
      <c r="A755" s="2" t="str">
        <f>HYPERLINK("https://rth.dk/resources/bsgatlas/details.php?id=BSGatlas-5'UTR-754","BSGatlas-5'UTR-754")</f>
        <v>BSGatlas-5'UTR-754</v>
      </c>
      <c r="B755" s="3">
        <v>1133410</v>
      </c>
      <c r="C755" s="3">
        <v>1133498</v>
      </c>
      <c r="D755" s="1" t="s">
        <v>9</v>
      </c>
      <c r="E755" s="1">
        <v>89</v>
      </c>
      <c r="F755" s="1" t="s">
        <v>12386</v>
      </c>
      <c r="G755" s="1" t="s">
        <v>6238</v>
      </c>
    </row>
    <row r="756" spans="1:7" ht="21" x14ac:dyDescent="0.25">
      <c r="A756" s="2" t="str">
        <f>HYPERLINK("https://rth.dk/resources/bsgatlas/details.php?id=BSGatlas-5'UTR-755","BSGatlas-5'UTR-755")</f>
        <v>BSGatlas-5'UTR-755</v>
      </c>
      <c r="B756" s="3">
        <v>1136136</v>
      </c>
      <c r="C756" s="3">
        <v>1136171</v>
      </c>
      <c r="D756" s="1" t="s">
        <v>13</v>
      </c>
      <c r="E756" s="1">
        <v>36</v>
      </c>
      <c r="F756" s="1" t="s">
        <v>12387</v>
      </c>
      <c r="G756" s="1" t="s">
        <v>6241</v>
      </c>
    </row>
    <row r="757" spans="1:7" ht="21" x14ac:dyDescent="0.25">
      <c r="A757" s="2" t="str">
        <f>HYPERLINK("https://rth.dk/resources/bsgatlas/details.php?id=BSGatlas-5'UTR-756","BSGatlas-5'UTR-756")</f>
        <v>BSGatlas-5'UTR-756</v>
      </c>
      <c r="B757" s="3">
        <v>1136292</v>
      </c>
      <c r="C757" s="3">
        <v>1136320</v>
      </c>
      <c r="D757" s="1" t="s">
        <v>9</v>
      </c>
      <c r="E757" s="1">
        <v>29</v>
      </c>
      <c r="F757" s="1" t="s">
        <v>12388</v>
      </c>
      <c r="G757" s="1" t="s">
        <v>6244</v>
      </c>
    </row>
    <row r="758" spans="1:7" ht="21" x14ac:dyDescent="0.25">
      <c r="A758" s="2" t="str">
        <f>HYPERLINK("https://rth.dk/resources/bsgatlas/details.php?id=BSGatlas-5'UTR-757","BSGatlas-5'UTR-757")</f>
        <v>BSGatlas-5'UTR-757</v>
      </c>
      <c r="B758" s="3">
        <v>1147424</v>
      </c>
      <c r="C758" s="3">
        <v>1148155</v>
      </c>
      <c r="D758" s="1" t="s">
        <v>9</v>
      </c>
      <c r="E758" s="1">
        <v>732</v>
      </c>
      <c r="F758" s="1" t="s">
        <v>12389</v>
      </c>
      <c r="G758" s="1" t="s">
        <v>6249</v>
      </c>
    </row>
    <row r="759" spans="1:7" ht="21" x14ac:dyDescent="0.25">
      <c r="A759" s="2" t="str">
        <f>HYPERLINK("https://rth.dk/resources/bsgatlas/details.php?id=BSGatlas-5'UTR-758","BSGatlas-5'UTR-758")</f>
        <v>BSGatlas-5'UTR-758</v>
      </c>
      <c r="B759" s="3">
        <v>1150427</v>
      </c>
      <c r="C759" s="3">
        <v>1150514</v>
      </c>
      <c r="D759" s="1" t="s">
        <v>13</v>
      </c>
      <c r="E759" s="1">
        <v>88</v>
      </c>
      <c r="F759" s="1" t="s">
        <v>12390</v>
      </c>
      <c r="G759" s="1" t="s">
        <v>6251</v>
      </c>
    </row>
    <row r="760" spans="1:7" ht="21" x14ac:dyDescent="0.25">
      <c r="A760" s="2" t="str">
        <f>HYPERLINK("https://rth.dk/resources/bsgatlas/details.php?id=BSGatlas-5'UTR-759","BSGatlas-5'UTR-759")</f>
        <v>BSGatlas-5'UTR-759</v>
      </c>
      <c r="B760" s="3">
        <v>1151020</v>
      </c>
      <c r="C760" s="3">
        <v>1151067</v>
      </c>
      <c r="D760" s="1" t="s">
        <v>13</v>
      </c>
      <c r="E760" s="1">
        <v>48</v>
      </c>
      <c r="F760" s="1" t="s">
        <v>12391</v>
      </c>
      <c r="G760" s="1" t="s">
        <v>6257</v>
      </c>
    </row>
    <row r="761" spans="1:7" ht="21" x14ac:dyDescent="0.25">
      <c r="A761" s="2" t="str">
        <f>HYPERLINK("https://rth.dk/resources/bsgatlas/details.php?id=BSGatlas-5'UTR-760","BSGatlas-5'UTR-760")</f>
        <v>BSGatlas-5'UTR-760</v>
      </c>
      <c r="B761" s="3">
        <v>1152089</v>
      </c>
      <c r="C761" s="3">
        <v>1152122</v>
      </c>
      <c r="D761" s="1" t="s">
        <v>13</v>
      </c>
      <c r="E761" s="1">
        <v>34</v>
      </c>
      <c r="F761" s="1" t="s">
        <v>12392</v>
      </c>
      <c r="G761" s="1" t="s">
        <v>6260</v>
      </c>
    </row>
    <row r="762" spans="1:7" ht="21" x14ac:dyDescent="0.25">
      <c r="A762" s="2" t="str">
        <f>HYPERLINK("https://rth.dk/resources/bsgatlas/details.php?id=BSGatlas-5'UTR-761","BSGatlas-5'UTR-761")</f>
        <v>BSGatlas-5'UTR-761</v>
      </c>
      <c r="B762" s="3">
        <v>1152198</v>
      </c>
      <c r="C762" s="3">
        <v>1152244</v>
      </c>
      <c r="D762" s="1" t="s">
        <v>9</v>
      </c>
      <c r="E762" s="1">
        <v>47</v>
      </c>
      <c r="F762" s="1" t="s">
        <v>12393</v>
      </c>
      <c r="G762" s="1" t="s">
        <v>6262</v>
      </c>
    </row>
    <row r="763" spans="1:7" ht="21" x14ac:dyDescent="0.25">
      <c r="A763" s="2" t="str">
        <f>HYPERLINK("https://rth.dk/resources/bsgatlas/details.php?id=BSGatlas-5'UTR-762","BSGatlas-5'UTR-762")</f>
        <v>BSGatlas-5'UTR-762</v>
      </c>
      <c r="B763" s="3">
        <v>1153232</v>
      </c>
      <c r="C763" s="3">
        <v>1153265</v>
      </c>
      <c r="D763" s="1" t="s">
        <v>9</v>
      </c>
      <c r="E763" s="1">
        <v>34</v>
      </c>
      <c r="F763" s="1" t="s">
        <v>12394</v>
      </c>
      <c r="G763" s="1" t="s">
        <v>6265</v>
      </c>
    </row>
    <row r="764" spans="1:7" ht="21" x14ac:dyDescent="0.25">
      <c r="A764" s="2" t="str">
        <f>HYPERLINK("https://rth.dk/resources/bsgatlas/details.php?id=BSGatlas-5'UTR-763","BSGatlas-5'UTR-763")</f>
        <v>BSGatlas-5'UTR-763</v>
      </c>
      <c r="B764" s="3">
        <v>1153742</v>
      </c>
      <c r="C764" s="3">
        <v>1153789</v>
      </c>
      <c r="D764" s="1" t="s">
        <v>9</v>
      </c>
      <c r="E764" s="1">
        <v>48</v>
      </c>
      <c r="F764" s="1" t="s">
        <v>12395</v>
      </c>
      <c r="G764" s="1" t="s">
        <v>6266</v>
      </c>
    </row>
    <row r="765" spans="1:7" ht="21" x14ac:dyDescent="0.25">
      <c r="A765" s="2" t="str">
        <f>HYPERLINK("https://rth.dk/resources/bsgatlas/details.php?id=BSGatlas-5'UTR-764","BSGatlas-5'UTR-764")</f>
        <v>BSGatlas-5'UTR-764</v>
      </c>
      <c r="B765" s="3">
        <v>1157091</v>
      </c>
      <c r="C765" s="3">
        <v>1157125</v>
      </c>
      <c r="D765" s="1" t="s">
        <v>13</v>
      </c>
      <c r="E765" s="1">
        <v>35</v>
      </c>
      <c r="F765" s="1" t="s">
        <v>12396</v>
      </c>
      <c r="G765" s="1" t="s">
        <v>6268</v>
      </c>
    </row>
    <row r="766" spans="1:7" ht="21" x14ac:dyDescent="0.25">
      <c r="A766" s="2" t="str">
        <f>HYPERLINK("https://rth.dk/resources/bsgatlas/details.php?id=BSGatlas-5'UTR-765","BSGatlas-5'UTR-765")</f>
        <v>BSGatlas-5'UTR-765</v>
      </c>
      <c r="B766" s="3">
        <v>1157182</v>
      </c>
      <c r="C766" s="3">
        <v>1157237</v>
      </c>
      <c r="D766" s="1" t="s">
        <v>9</v>
      </c>
      <c r="E766" s="1">
        <v>56</v>
      </c>
      <c r="F766" s="1" t="s">
        <v>12397</v>
      </c>
      <c r="G766" s="1" t="s">
        <v>6269</v>
      </c>
    </row>
    <row r="767" spans="1:7" ht="21" x14ac:dyDescent="0.25">
      <c r="A767" s="2" t="str">
        <f>HYPERLINK("https://rth.dk/resources/bsgatlas/details.php?id=BSGatlas-5'UTR-766","BSGatlas-5'UTR-766")</f>
        <v>BSGatlas-5'UTR-766</v>
      </c>
      <c r="B767" s="3">
        <v>1159690</v>
      </c>
      <c r="C767" s="3">
        <v>1159710</v>
      </c>
      <c r="D767" s="1" t="s">
        <v>13</v>
      </c>
      <c r="E767" s="1">
        <v>21</v>
      </c>
      <c r="F767" s="1" t="s">
        <v>12398</v>
      </c>
      <c r="G767" s="1" t="s">
        <v>6271</v>
      </c>
    </row>
    <row r="768" spans="1:7" ht="21" x14ac:dyDescent="0.25">
      <c r="A768" s="2" t="str">
        <f>HYPERLINK("https://rth.dk/resources/bsgatlas/details.php?id=BSGatlas-5'UTR-767","BSGatlas-5'UTR-767")</f>
        <v>BSGatlas-5'UTR-767</v>
      </c>
      <c r="B768" s="3">
        <v>1159899</v>
      </c>
      <c r="C768" s="3">
        <v>1159922</v>
      </c>
      <c r="D768" s="1" t="s">
        <v>9</v>
      </c>
      <c r="E768" s="1">
        <v>24</v>
      </c>
      <c r="F768" s="1" t="s">
        <v>12399</v>
      </c>
      <c r="G768" s="1" t="s">
        <v>6272</v>
      </c>
    </row>
    <row r="769" spans="1:7" ht="21" x14ac:dyDescent="0.25">
      <c r="A769" s="2" t="str">
        <f>HYPERLINK("https://rth.dk/resources/bsgatlas/details.php?id=BSGatlas-5'UTR-768","BSGatlas-5'UTR-768")</f>
        <v>BSGatlas-5'UTR-768</v>
      </c>
      <c r="B769" s="3">
        <v>1162208</v>
      </c>
      <c r="C769" s="3">
        <v>1162267</v>
      </c>
      <c r="D769" s="1" t="s">
        <v>9</v>
      </c>
      <c r="E769" s="1">
        <v>60</v>
      </c>
      <c r="F769" s="1" t="s">
        <v>12400</v>
      </c>
      <c r="G769" s="1" t="s">
        <v>6275</v>
      </c>
    </row>
    <row r="770" spans="1:7" ht="21" x14ac:dyDescent="0.25">
      <c r="A770" s="2" t="str">
        <f>HYPERLINK("https://rth.dk/resources/bsgatlas/details.php?id=BSGatlas-5'UTR-769","BSGatlas-5'UTR-769")</f>
        <v>BSGatlas-5'UTR-769</v>
      </c>
      <c r="B770" s="3">
        <v>1164254</v>
      </c>
      <c r="C770" s="3">
        <v>1164370</v>
      </c>
      <c r="D770" s="1" t="s">
        <v>9</v>
      </c>
      <c r="E770" s="1">
        <v>117</v>
      </c>
      <c r="F770" s="1" t="s">
        <v>12401</v>
      </c>
      <c r="G770" s="1" t="s">
        <v>6277</v>
      </c>
    </row>
    <row r="771" spans="1:7" ht="21" x14ac:dyDescent="0.25">
      <c r="A771" s="2" t="str">
        <f>HYPERLINK("https://rth.dk/resources/bsgatlas/details.php?id=BSGatlas-5'UTR-770","BSGatlas-5'UTR-770")</f>
        <v>BSGatlas-5'UTR-770</v>
      </c>
      <c r="B771" s="3">
        <v>1165958</v>
      </c>
      <c r="C771" s="3">
        <v>1165987</v>
      </c>
      <c r="D771" s="1" t="s">
        <v>13</v>
      </c>
      <c r="E771" s="1">
        <v>30</v>
      </c>
      <c r="F771" s="1" t="s">
        <v>12402</v>
      </c>
      <c r="G771" s="1" t="s">
        <v>6279</v>
      </c>
    </row>
    <row r="772" spans="1:7" ht="21" x14ac:dyDescent="0.25">
      <c r="A772" s="2" t="str">
        <f>HYPERLINK("https://rth.dk/resources/bsgatlas/details.php?id=BSGatlas-5'UTR-771","BSGatlas-5'UTR-771")</f>
        <v>BSGatlas-5'UTR-771</v>
      </c>
      <c r="B772" s="3">
        <v>1166718</v>
      </c>
      <c r="C772" s="3">
        <v>1166737</v>
      </c>
      <c r="D772" s="1" t="s">
        <v>9</v>
      </c>
      <c r="E772" s="1">
        <v>20</v>
      </c>
      <c r="F772" s="1" t="s">
        <v>12403</v>
      </c>
      <c r="G772" s="1" t="s">
        <v>6281</v>
      </c>
    </row>
    <row r="773" spans="1:7" ht="21" x14ac:dyDescent="0.25">
      <c r="A773" s="2" t="str">
        <f>HYPERLINK("https://rth.dk/resources/bsgatlas/details.php?id=BSGatlas-5'UTR-772","BSGatlas-5'UTR-772")</f>
        <v>BSGatlas-5'UTR-772</v>
      </c>
      <c r="B773" s="3">
        <v>1168837</v>
      </c>
      <c r="C773" s="3">
        <v>1168972</v>
      </c>
      <c r="D773" s="1" t="s">
        <v>13</v>
      </c>
      <c r="E773" s="1">
        <v>136</v>
      </c>
      <c r="F773" s="1" t="s">
        <v>12404</v>
      </c>
      <c r="G773" s="1" t="s">
        <v>6282</v>
      </c>
    </row>
    <row r="774" spans="1:7" ht="21" x14ac:dyDescent="0.25">
      <c r="A774" s="2" t="str">
        <f>HYPERLINK("https://rth.dk/resources/bsgatlas/details.php?id=BSGatlas-5'UTR-773","BSGatlas-5'UTR-773")</f>
        <v>BSGatlas-5'UTR-773</v>
      </c>
      <c r="B774" s="3">
        <v>1168908</v>
      </c>
      <c r="C774" s="3">
        <v>1169043</v>
      </c>
      <c r="D774" s="1" t="s">
        <v>9</v>
      </c>
      <c r="E774" s="1">
        <v>136</v>
      </c>
      <c r="F774" s="1" t="s">
        <v>12405</v>
      </c>
      <c r="G774" s="1" t="s">
        <v>6284</v>
      </c>
    </row>
    <row r="775" spans="1:7" ht="21" x14ac:dyDescent="0.25">
      <c r="A775" s="2" t="str">
        <f>HYPERLINK("https://rth.dk/resources/bsgatlas/details.php?id=BSGatlas-5'UTR-774","BSGatlas-5'UTR-774")</f>
        <v>BSGatlas-5'UTR-774</v>
      </c>
      <c r="B775" s="3">
        <v>1172465</v>
      </c>
      <c r="C775" s="3">
        <v>1172512</v>
      </c>
      <c r="D775" s="1" t="s">
        <v>13</v>
      </c>
      <c r="E775" s="1">
        <v>48</v>
      </c>
      <c r="F775" s="1" t="s">
        <v>12406</v>
      </c>
      <c r="G775" s="1" t="s">
        <v>6287</v>
      </c>
    </row>
    <row r="776" spans="1:7" ht="21" x14ac:dyDescent="0.25">
      <c r="A776" s="2" t="str">
        <f>HYPERLINK("https://rth.dk/resources/bsgatlas/details.php?id=BSGatlas-5'UTR-775","BSGatlas-5'UTR-775")</f>
        <v>BSGatlas-5'UTR-775</v>
      </c>
      <c r="B776" s="3">
        <v>1172620</v>
      </c>
      <c r="C776" s="3">
        <v>1172650</v>
      </c>
      <c r="D776" s="1" t="s">
        <v>9</v>
      </c>
      <c r="E776" s="1">
        <v>31</v>
      </c>
      <c r="F776" s="1" t="s">
        <v>12407</v>
      </c>
      <c r="G776" s="1" t="s">
        <v>6290</v>
      </c>
    </row>
    <row r="777" spans="1:7" ht="21" x14ac:dyDescent="0.25">
      <c r="A777" s="2" t="str">
        <f>HYPERLINK("https://rth.dk/resources/bsgatlas/details.php?id=BSGatlas-5'UTR-776","BSGatlas-5'UTR-776")</f>
        <v>BSGatlas-5'UTR-776</v>
      </c>
      <c r="B777" s="3">
        <v>1174765</v>
      </c>
      <c r="C777" s="3">
        <v>1174816</v>
      </c>
      <c r="D777" s="1" t="s">
        <v>13</v>
      </c>
      <c r="E777" s="1">
        <v>52</v>
      </c>
      <c r="F777" s="1" t="s">
        <v>12408</v>
      </c>
      <c r="G777" s="1" t="s">
        <v>6292</v>
      </c>
    </row>
    <row r="778" spans="1:7" ht="21" x14ac:dyDescent="0.25">
      <c r="A778" s="2" t="str">
        <f>HYPERLINK("https://rth.dk/resources/bsgatlas/details.php?id=BSGatlas-5'UTR-777","BSGatlas-5'UTR-777")</f>
        <v>BSGatlas-5'UTR-777</v>
      </c>
      <c r="B778" s="3">
        <v>1177253</v>
      </c>
      <c r="C778" s="3">
        <v>1177273</v>
      </c>
      <c r="D778" s="1" t="s">
        <v>13</v>
      </c>
      <c r="E778" s="1">
        <v>21</v>
      </c>
      <c r="F778" s="1" t="s">
        <v>12409</v>
      </c>
      <c r="G778" s="1" t="s">
        <v>6295</v>
      </c>
    </row>
    <row r="779" spans="1:7" ht="21" x14ac:dyDescent="0.25">
      <c r="A779" s="2" t="str">
        <f>HYPERLINK("https://rth.dk/resources/bsgatlas/details.php?id=BSGatlas-5'UTR-778","BSGatlas-5'UTR-778")</f>
        <v>BSGatlas-5'UTR-778</v>
      </c>
      <c r="B779" s="3">
        <v>1178667</v>
      </c>
      <c r="C779" s="3">
        <v>1178702</v>
      </c>
      <c r="D779" s="1" t="s">
        <v>13</v>
      </c>
      <c r="E779" s="1">
        <v>36</v>
      </c>
      <c r="F779" s="1" t="s">
        <v>12410</v>
      </c>
      <c r="G779" s="1" t="s">
        <v>6298</v>
      </c>
    </row>
    <row r="780" spans="1:7" ht="21" x14ac:dyDescent="0.25">
      <c r="A780" s="2" t="str">
        <f>HYPERLINK("https://rth.dk/resources/bsgatlas/details.php?id=BSGatlas-5'UTR-779","BSGatlas-5'UTR-779")</f>
        <v>BSGatlas-5'UTR-779</v>
      </c>
      <c r="B780" s="3">
        <v>1180595</v>
      </c>
      <c r="C780" s="3">
        <v>1180868</v>
      </c>
      <c r="D780" s="1" t="s">
        <v>13</v>
      </c>
      <c r="E780" s="1">
        <v>274</v>
      </c>
      <c r="F780" s="1" t="s">
        <v>12411</v>
      </c>
      <c r="G780" s="1" t="s">
        <v>6300</v>
      </c>
    </row>
    <row r="781" spans="1:7" ht="21" x14ac:dyDescent="0.25">
      <c r="A781" s="2" t="str">
        <f>HYPERLINK("https://rth.dk/resources/bsgatlas/details.php?id=BSGatlas-5'UTR-780","BSGatlas-5'UTR-780")</f>
        <v>BSGatlas-5'UTR-780</v>
      </c>
      <c r="B781" s="3">
        <v>1181400</v>
      </c>
      <c r="C781" s="3">
        <v>1181442</v>
      </c>
      <c r="D781" s="1" t="s">
        <v>13</v>
      </c>
      <c r="E781" s="1">
        <v>43</v>
      </c>
      <c r="F781" s="1" t="s">
        <v>12412</v>
      </c>
      <c r="G781" s="1" t="s">
        <v>6303</v>
      </c>
    </row>
    <row r="782" spans="1:7" ht="21" x14ac:dyDescent="0.25">
      <c r="A782" s="2" t="str">
        <f>HYPERLINK("https://rth.dk/resources/bsgatlas/details.php?id=BSGatlas-5'UTR-781","BSGatlas-5'UTR-781")</f>
        <v>BSGatlas-5'UTR-781</v>
      </c>
      <c r="B782" s="3">
        <v>1181437</v>
      </c>
      <c r="C782" s="3">
        <v>1181499</v>
      </c>
      <c r="D782" s="1" t="s">
        <v>9</v>
      </c>
      <c r="E782" s="1">
        <v>63</v>
      </c>
      <c r="F782" s="1" t="s">
        <v>12413</v>
      </c>
      <c r="G782" s="1" t="s">
        <v>6304</v>
      </c>
    </row>
    <row r="783" spans="1:7" ht="21" x14ac:dyDescent="0.25">
      <c r="A783" s="2" t="str">
        <f>HYPERLINK("https://rth.dk/resources/bsgatlas/details.php?id=BSGatlas-5'UTR-782","BSGatlas-5'UTR-782")</f>
        <v>BSGatlas-5'UTR-782</v>
      </c>
      <c r="B783" s="3">
        <v>1183032</v>
      </c>
      <c r="C783" s="3">
        <v>1183116</v>
      </c>
      <c r="D783" s="1" t="s">
        <v>13</v>
      </c>
      <c r="E783" s="1">
        <v>85</v>
      </c>
      <c r="F783" s="1" t="s">
        <v>12414</v>
      </c>
      <c r="G783" s="1" t="s">
        <v>6306</v>
      </c>
    </row>
    <row r="784" spans="1:7" ht="21" x14ac:dyDescent="0.25">
      <c r="A784" s="2" t="str">
        <f>HYPERLINK("https://rth.dk/resources/bsgatlas/details.php?id=BSGatlas-5'UTR-783","BSGatlas-5'UTR-783")</f>
        <v>BSGatlas-5'UTR-783</v>
      </c>
      <c r="B784" s="3">
        <v>1184479</v>
      </c>
      <c r="C784" s="3">
        <v>1184529</v>
      </c>
      <c r="D784" s="1" t="s">
        <v>13</v>
      </c>
      <c r="E784" s="1">
        <v>51</v>
      </c>
      <c r="F784" s="1" t="s">
        <v>12415</v>
      </c>
      <c r="G784" s="1" t="s">
        <v>6308</v>
      </c>
    </row>
    <row r="785" spans="1:7" ht="21" x14ac:dyDescent="0.25">
      <c r="A785" s="2" t="str">
        <f>HYPERLINK("https://rth.dk/resources/bsgatlas/details.php?id=BSGatlas-5'UTR-784","BSGatlas-5'UTR-784")</f>
        <v>BSGatlas-5'UTR-784</v>
      </c>
      <c r="B785" s="3">
        <v>1188127</v>
      </c>
      <c r="C785" s="3">
        <v>1188689</v>
      </c>
      <c r="D785" s="1" t="s">
        <v>9</v>
      </c>
      <c r="E785" s="1">
        <v>563</v>
      </c>
      <c r="F785" s="1" t="s">
        <v>12416</v>
      </c>
      <c r="G785" s="1" t="s">
        <v>6316</v>
      </c>
    </row>
    <row r="786" spans="1:7" ht="21" x14ac:dyDescent="0.25">
      <c r="A786" s="2" t="str">
        <f>HYPERLINK("https://rth.dk/resources/bsgatlas/details.php?id=BSGatlas-5'UTR-785","BSGatlas-5'UTR-785")</f>
        <v>BSGatlas-5'UTR-785</v>
      </c>
      <c r="B786" s="3">
        <v>1188551</v>
      </c>
      <c r="C786" s="3">
        <v>1188615</v>
      </c>
      <c r="D786" s="1" t="s">
        <v>13</v>
      </c>
      <c r="E786" s="1">
        <v>65</v>
      </c>
      <c r="F786" s="1" t="s">
        <v>12417</v>
      </c>
      <c r="G786" s="1" t="s">
        <v>6313</v>
      </c>
    </row>
    <row r="787" spans="1:7" ht="21" x14ac:dyDescent="0.25">
      <c r="A787" s="2" t="str">
        <f>HYPERLINK("https://rth.dk/resources/bsgatlas/details.php?id=BSGatlas-5'UTR-786","BSGatlas-5'UTR-786")</f>
        <v>BSGatlas-5'UTR-786</v>
      </c>
      <c r="B787" s="3">
        <v>1188652</v>
      </c>
      <c r="C787" s="3">
        <v>1188689</v>
      </c>
      <c r="D787" s="1" t="s">
        <v>9</v>
      </c>
      <c r="E787" s="1">
        <v>38</v>
      </c>
      <c r="F787" s="1" t="s">
        <v>12416</v>
      </c>
      <c r="G787" s="1" t="s">
        <v>6318</v>
      </c>
    </row>
    <row r="788" spans="1:7" ht="21" x14ac:dyDescent="0.25">
      <c r="A788" s="2" t="str">
        <f>HYPERLINK("https://rth.dk/resources/bsgatlas/details.php?id=BSGatlas-5'UTR-787","BSGatlas-5'UTR-787")</f>
        <v>BSGatlas-5'UTR-787</v>
      </c>
      <c r="B788" s="3">
        <v>1189203</v>
      </c>
      <c r="C788" s="3">
        <v>1189646</v>
      </c>
      <c r="D788" s="1" t="s">
        <v>9</v>
      </c>
      <c r="E788" s="1">
        <v>444</v>
      </c>
      <c r="F788" s="1" t="s">
        <v>12418</v>
      </c>
      <c r="G788" s="1" t="s">
        <v>6320</v>
      </c>
    </row>
    <row r="789" spans="1:7" ht="21" x14ac:dyDescent="0.25">
      <c r="A789" s="2" t="str">
        <f>HYPERLINK("https://rth.dk/resources/bsgatlas/details.php?id=BSGatlas-5'UTR-788","BSGatlas-5'UTR-788")</f>
        <v>BSGatlas-5'UTR-788</v>
      </c>
      <c r="B789" s="3">
        <v>1190233</v>
      </c>
      <c r="C789" s="3">
        <v>1190430</v>
      </c>
      <c r="D789" s="1" t="s">
        <v>13</v>
      </c>
      <c r="E789" s="1">
        <v>198</v>
      </c>
      <c r="F789" s="1" t="s">
        <v>12419</v>
      </c>
      <c r="G789" s="1" t="s">
        <v>6321</v>
      </c>
    </row>
    <row r="790" spans="1:7" ht="21" x14ac:dyDescent="0.25">
      <c r="A790" s="2" t="str">
        <f>HYPERLINK("https://rth.dk/resources/bsgatlas/details.php?id=BSGatlas-5'UTR-789","BSGatlas-5'UTR-789")</f>
        <v>BSGatlas-5'UTR-789</v>
      </c>
      <c r="B790" s="3">
        <v>1191302</v>
      </c>
      <c r="C790" s="3">
        <v>1191360</v>
      </c>
      <c r="D790" s="1" t="s">
        <v>13</v>
      </c>
      <c r="E790" s="1">
        <v>59</v>
      </c>
      <c r="F790" s="1" t="s">
        <v>12420</v>
      </c>
      <c r="G790" s="1" t="s">
        <v>6324</v>
      </c>
    </row>
    <row r="791" spans="1:7" ht="21" x14ac:dyDescent="0.25">
      <c r="A791" s="2" t="str">
        <f>HYPERLINK("https://rth.dk/resources/bsgatlas/details.php?id=BSGatlas-5'UTR-790","BSGatlas-5'UTR-790")</f>
        <v>BSGatlas-5'UTR-790</v>
      </c>
      <c r="B791" s="3">
        <v>1191381</v>
      </c>
      <c r="C791" s="3">
        <v>1191423</v>
      </c>
      <c r="D791" s="1" t="s">
        <v>9</v>
      </c>
      <c r="E791" s="1">
        <v>43</v>
      </c>
      <c r="F791" s="1" t="s">
        <v>12421</v>
      </c>
      <c r="G791" s="1" t="s">
        <v>6326</v>
      </c>
    </row>
    <row r="792" spans="1:7" ht="21" x14ac:dyDescent="0.25">
      <c r="A792" s="2" t="str">
        <f>HYPERLINK("https://rth.dk/resources/bsgatlas/details.php?id=BSGatlas-5'UTR-791","BSGatlas-5'UTR-791")</f>
        <v>BSGatlas-5'UTR-791</v>
      </c>
      <c r="B792" s="3">
        <v>1192219</v>
      </c>
      <c r="C792" s="3">
        <v>1192254</v>
      </c>
      <c r="D792" s="1" t="s">
        <v>9</v>
      </c>
      <c r="E792" s="1">
        <v>36</v>
      </c>
      <c r="F792" s="1" t="s">
        <v>12422</v>
      </c>
      <c r="G792" s="1" t="s">
        <v>6328</v>
      </c>
    </row>
    <row r="793" spans="1:7" ht="21" x14ac:dyDescent="0.25">
      <c r="A793" s="2" t="str">
        <f>HYPERLINK("https://rth.dk/resources/bsgatlas/details.php?id=BSGatlas-5'UTR-792","BSGatlas-5'UTR-792")</f>
        <v>BSGatlas-5'UTR-792</v>
      </c>
      <c r="B793" s="3">
        <v>1194971</v>
      </c>
      <c r="C793" s="3">
        <v>1195034</v>
      </c>
      <c r="D793" s="1" t="s">
        <v>9</v>
      </c>
      <c r="E793" s="1">
        <v>64</v>
      </c>
      <c r="F793" s="1" t="s">
        <v>12423</v>
      </c>
      <c r="G793" s="1" t="s">
        <v>6331</v>
      </c>
    </row>
    <row r="794" spans="1:7" ht="21" x14ac:dyDescent="0.25">
      <c r="A794" s="2" t="str">
        <f>HYPERLINK("https://rth.dk/resources/bsgatlas/details.php?id=BSGatlas-5'UTR-793","BSGatlas-5'UTR-793")</f>
        <v>BSGatlas-5'UTR-793</v>
      </c>
      <c r="B794" s="3">
        <v>1195002</v>
      </c>
      <c r="C794" s="3">
        <v>1195034</v>
      </c>
      <c r="D794" s="1" t="s">
        <v>9</v>
      </c>
      <c r="E794" s="1">
        <v>33</v>
      </c>
      <c r="F794" s="1" t="s">
        <v>12423</v>
      </c>
      <c r="G794" s="1" t="s">
        <v>6334</v>
      </c>
    </row>
    <row r="795" spans="1:7" ht="21" x14ac:dyDescent="0.25">
      <c r="A795" s="2" t="str">
        <f>HYPERLINK("https://rth.dk/resources/bsgatlas/details.php?id=BSGatlas-5'UTR-794","BSGatlas-5'UTR-794")</f>
        <v>BSGatlas-5'UTR-794</v>
      </c>
      <c r="B795" s="3">
        <v>1204490</v>
      </c>
      <c r="C795" s="3">
        <v>1204506</v>
      </c>
      <c r="D795" s="1" t="s">
        <v>9</v>
      </c>
      <c r="E795" s="1">
        <v>17</v>
      </c>
      <c r="F795" s="1" t="s">
        <v>12424</v>
      </c>
      <c r="G795" s="1" t="s">
        <v>6337</v>
      </c>
    </row>
    <row r="796" spans="1:7" ht="21" x14ac:dyDescent="0.25">
      <c r="A796" s="2" t="str">
        <f>HYPERLINK("https://rth.dk/resources/bsgatlas/details.php?id=BSGatlas-5'UTR-795","BSGatlas-5'UTR-795")</f>
        <v>BSGatlas-5'UTR-795</v>
      </c>
      <c r="B796" s="3">
        <v>1204916</v>
      </c>
      <c r="C796" s="3">
        <v>1204962</v>
      </c>
      <c r="D796" s="1" t="s">
        <v>13</v>
      </c>
      <c r="E796" s="1">
        <v>47</v>
      </c>
      <c r="F796" s="1" t="s">
        <v>12425</v>
      </c>
      <c r="G796" s="1" t="s">
        <v>6335</v>
      </c>
    </row>
    <row r="797" spans="1:7" ht="21" x14ac:dyDescent="0.25">
      <c r="A797" s="2" t="str">
        <f>HYPERLINK("https://rth.dk/resources/bsgatlas/details.php?id=BSGatlas-5'UTR-796","BSGatlas-5'UTR-796")</f>
        <v>BSGatlas-5'UTR-796</v>
      </c>
      <c r="B797" s="3">
        <v>1205040</v>
      </c>
      <c r="C797" s="3">
        <v>1205165</v>
      </c>
      <c r="D797" s="1" t="s">
        <v>9</v>
      </c>
      <c r="E797" s="1">
        <v>126</v>
      </c>
      <c r="F797" s="1" t="s">
        <v>12426</v>
      </c>
      <c r="G797" s="1" t="s">
        <v>6340</v>
      </c>
    </row>
    <row r="798" spans="1:7" ht="21" x14ac:dyDescent="0.25">
      <c r="A798" s="2" t="str">
        <f>HYPERLINK("https://rth.dk/resources/bsgatlas/details.php?id=BSGatlas-5'UTR-797","BSGatlas-5'UTR-797")</f>
        <v>BSGatlas-5'UTR-797</v>
      </c>
      <c r="B798" s="3">
        <v>1205106</v>
      </c>
      <c r="C798" s="3">
        <v>1205165</v>
      </c>
      <c r="D798" s="1" t="s">
        <v>9</v>
      </c>
      <c r="E798" s="1">
        <v>60</v>
      </c>
      <c r="F798" s="1" t="s">
        <v>12426</v>
      </c>
      <c r="G798" s="1" t="s">
        <v>6345</v>
      </c>
    </row>
    <row r="799" spans="1:7" ht="21" x14ac:dyDescent="0.25">
      <c r="A799" s="2" t="str">
        <f>HYPERLINK("https://rth.dk/resources/bsgatlas/details.php?id=BSGatlas-5'UTR-798","BSGatlas-5'UTR-798")</f>
        <v>BSGatlas-5'UTR-798</v>
      </c>
      <c r="B799" s="3">
        <v>1205898</v>
      </c>
      <c r="C799" s="3">
        <v>1205981</v>
      </c>
      <c r="D799" s="1" t="s">
        <v>9</v>
      </c>
      <c r="E799" s="1">
        <v>84</v>
      </c>
      <c r="F799" s="1" t="s">
        <v>12427</v>
      </c>
      <c r="G799" s="1" t="s">
        <v>6348</v>
      </c>
    </row>
    <row r="800" spans="1:7" ht="21" x14ac:dyDescent="0.25">
      <c r="A800" s="2" t="str">
        <f>HYPERLINK("https://rth.dk/resources/bsgatlas/details.php?id=BSGatlas-5'UTR-799","BSGatlas-5'UTR-799")</f>
        <v>BSGatlas-5'UTR-799</v>
      </c>
      <c r="B800" s="3">
        <v>1206538</v>
      </c>
      <c r="C800" s="3">
        <v>1206629</v>
      </c>
      <c r="D800" s="1" t="s">
        <v>9</v>
      </c>
      <c r="E800" s="1">
        <v>92</v>
      </c>
      <c r="F800" s="1" t="s">
        <v>12428</v>
      </c>
      <c r="G800" s="1" t="s">
        <v>6350</v>
      </c>
    </row>
    <row r="801" spans="1:7" ht="21" x14ac:dyDescent="0.25">
      <c r="A801" s="2" t="str">
        <f>HYPERLINK("https://rth.dk/resources/bsgatlas/details.php?id=BSGatlas-5'UTR-800","BSGatlas-5'UTR-800")</f>
        <v>BSGatlas-5'UTR-800</v>
      </c>
      <c r="B801" s="3">
        <v>1206544</v>
      </c>
      <c r="C801" s="3">
        <v>1206629</v>
      </c>
      <c r="D801" s="1" t="s">
        <v>9</v>
      </c>
      <c r="E801" s="1">
        <v>86</v>
      </c>
      <c r="F801" s="1" t="s">
        <v>12428</v>
      </c>
      <c r="G801" s="1" t="s">
        <v>6351</v>
      </c>
    </row>
    <row r="802" spans="1:7" ht="21" x14ac:dyDescent="0.25">
      <c r="A802" s="2" t="str">
        <f>HYPERLINK("https://rth.dk/resources/bsgatlas/details.php?id=BSGatlas-5'UTR-801","BSGatlas-5'UTR-801")</f>
        <v>BSGatlas-5'UTR-801</v>
      </c>
      <c r="B802" s="3">
        <v>1206579</v>
      </c>
      <c r="C802" s="3">
        <v>1206629</v>
      </c>
      <c r="D802" s="1" t="s">
        <v>9</v>
      </c>
      <c r="E802" s="1">
        <v>51</v>
      </c>
      <c r="F802" s="1" t="s">
        <v>12428</v>
      </c>
      <c r="G802" s="1" t="s">
        <v>6352</v>
      </c>
    </row>
    <row r="803" spans="1:7" ht="21" x14ac:dyDescent="0.25">
      <c r="A803" s="2" t="str">
        <f>HYPERLINK("https://rth.dk/resources/bsgatlas/details.php?id=BSGatlas-5'UTR-802","BSGatlas-5'UTR-802")</f>
        <v>BSGatlas-5'UTR-802</v>
      </c>
      <c r="B803" s="3">
        <v>1207279</v>
      </c>
      <c r="C803" s="3">
        <v>1207597</v>
      </c>
      <c r="D803" s="1" t="s">
        <v>9</v>
      </c>
      <c r="E803" s="1">
        <v>319</v>
      </c>
      <c r="F803" s="1" t="s">
        <v>12429</v>
      </c>
      <c r="G803" s="1" t="s">
        <v>6353</v>
      </c>
    </row>
    <row r="804" spans="1:7" ht="21" x14ac:dyDescent="0.25">
      <c r="A804" s="2" t="str">
        <f>HYPERLINK("https://rth.dk/resources/bsgatlas/details.php?id=BSGatlas-5'UTR-803","BSGatlas-5'UTR-803")</f>
        <v>BSGatlas-5'UTR-803</v>
      </c>
      <c r="B804" s="3">
        <v>1208057</v>
      </c>
      <c r="C804" s="3">
        <v>1208091</v>
      </c>
      <c r="D804" s="1" t="s">
        <v>13</v>
      </c>
      <c r="E804" s="1">
        <v>35</v>
      </c>
      <c r="F804" s="1" t="s">
        <v>12430</v>
      </c>
      <c r="G804" s="1" t="s">
        <v>6354</v>
      </c>
    </row>
    <row r="805" spans="1:7" ht="21" x14ac:dyDescent="0.25">
      <c r="A805" s="2" t="str">
        <f>HYPERLINK("https://rth.dk/resources/bsgatlas/details.php?id=BSGatlas-5'UTR-804","BSGatlas-5'UTR-804")</f>
        <v>BSGatlas-5'UTR-804</v>
      </c>
      <c r="B805" s="3">
        <v>1208057</v>
      </c>
      <c r="C805" s="3">
        <v>1209405</v>
      </c>
      <c r="D805" s="1" t="s">
        <v>13</v>
      </c>
      <c r="E805" s="1">
        <v>1349</v>
      </c>
      <c r="F805" s="1" t="s">
        <v>12430</v>
      </c>
      <c r="G805" s="1" t="s">
        <v>6356</v>
      </c>
    </row>
    <row r="806" spans="1:7" ht="21" x14ac:dyDescent="0.25">
      <c r="A806" s="2" t="str">
        <f>HYPERLINK("https://rth.dk/resources/bsgatlas/details.php?id=BSGatlas-5'UTR-805","BSGatlas-5'UTR-805")</f>
        <v>BSGatlas-5'UTR-805</v>
      </c>
      <c r="B806" s="3">
        <v>1208154</v>
      </c>
      <c r="C806" s="3">
        <v>1208222</v>
      </c>
      <c r="D806" s="1" t="s">
        <v>9</v>
      </c>
      <c r="E806" s="1">
        <v>69</v>
      </c>
      <c r="F806" s="1" t="s">
        <v>12431</v>
      </c>
      <c r="G806" s="1" t="s">
        <v>6358</v>
      </c>
    </row>
    <row r="807" spans="1:7" ht="21" x14ac:dyDescent="0.25">
      <c r="A807" s="2" t="str">
        <f>HYPERLINK("https://rth.dk/resources/bsgatlas/details.php?id=BSGatlas-5'UTR-806","BSGatlas-5'UTR-806")</f>
        <v>BSGatlas-5'UTR-806</v>
      </c>
      <c r="B807" s="3">
        <v>1210473</v>
      </c>
      <c r="C807" s="3">
        <v>1210500</v>
      </c>
      <c r="D807" s="1" t="s">
        <v>9</v>
      </c>
      <c r="E807" s="1">
        <v>28</v>
      </c>
      <c r="F807" s="1" t="s">
        <v>12432</v>
      </c>
      <c r="G807" s="1" t="s">
        <v>6362</v>
      </c>
    </row>
    <row r="808" spans="1:7" ht="21" x14ac:dyDescent="0.25">
      <c r="A808" s="2" t="str">
        <f>HYPERLINK("https://rth.dk/resources/bsgatlas/details.php?id=BSGatlas-5'UTR-807","BSGatlas-5'UTR-807")</f>
        <v>BSGatlas-5'UTR-807</v>
      </c>
      <c r="B808" s="3">
        <v>1211372</v>
      </c>
      <c r="C808" s="3">
        <v>1211477</v>
      </c>
      <c r="D808" s="1" t="s">
        <v>9</v>
      </c>
      <c r="E808" s="1">
        <v>106</v>
      </c>
      <c r="F808" s="1" t="s">
        <v>12433</v>
      </c>
      <c r="G808" s="1" t="s">
        <v>6365</v>
      </c>
    </row>
    <row r="809" spans="1:7" ht="21" x14ac:dyDescent="0.25">
      <c r="A809" s="2" t="str">
        <f>HYPERLINK("https://rth.dk/resources/bsgatlas/details.php?id=BSGatlas-5'UTR-808","BSGatlas-5'UTR-808")</f>
        <v>BSGatlas-5'UTR-808</v>
      </c>
      <c r="B809" s="3">
        <v>1213460</v>
      </c>
      <c r="C809" s="3">
        <v>1213537</v>
      </c>
      <c r="D809" s="1" t="s">
        <v>9</v>
      </c>
      <c r="E809" s="1">
        <v>78</v>
      </c>
      <c r="F809" s="1" t="s">
        <v>12434</v>
      </c>
      <c r="G809" s="1" t="s">
        <v>6371</v>
      </c>
    </row>
    <row r="810" spans="1:7" ht="21" x14ac:dyDescent="0.25">
      <c r="A810" s="2" t="str">
        <f>HYPERLINK("https://rth.dk/resources/bsgatlas/details.php?id=BSGatlas-5'UTR-809","BSGatlas-5'UTR-809")</f>
        <v>BSGatlas-5'UTR-809</v>
      </c>
      <c r="B810" s="3">
        <v>1217289</v>
      </c>
      <c r="C810" s="3">
        <v>1217326</v>
      </c>
      <c r="D810" s="1" t="s">
        <v>9</v>
      </c>
      <c r="E810" s="1">
        <v>38</v>
      </c>
      <c r="F810" s="1" t="s">
        <v>12435</v>
      </c>
      <c r="G810" s="1" t="s">
        <v>6373</v>
      </c>
    </row>
    <row r="811" spans="1:7" ht="21" x14ac:dyDescent="0.25">
      <c r="A811" s="2" t="str">
        <f>HYPERLINK("https://rth.dk/resources/bsgatlas/details.php?id=BSGatlas-5'UTR-810","BSGatlas-5'UTR-810")</f>
        <v>BSGatlas-5'UTR-810</v>
      </c>
      <c r="B811" s="3">
        <v>1219105</v>
      </c>
      <c r="C811" s="3">
        <v>1219410</v>
      </c>
      <c r="D811" s="1" t="s">
        <v>13</v>
      </c>
      <c r="E811" s="1">
        <v>306</v>
      </c>
      <c r="F811" s="1" t="s">
        <v>12436</v>
      </c>
      <c r="G811" s="1" t="s">
        <v>6375</v>
      </c>
    </row>
    <row r="812" spans="1:7" ht="21" x14ac:dyDescent="0.25">
      <c r="A812" s="2" t="str">
        <f>HYPERLINK("https://rth.dk/resources/bsgatlas/details.php?id=BSGatlas-5'UTR-811","BSGatlas-5'UTR-811")</f>
        <v>BSGatlas-5'UTR-811</v>
      </c>
      <c r="B812" s="3">
        <v>1219687</v>
      </c>
      <c r="C812" s="3">
        <v>1219702</v>
      </c>
      <c r="D812" s="1" t="s">
        <v>9</v>
      </c>
      <c r="E812" s="1">
        <v>16</v>
      </c>
      <c r="F812" s="1" t="s">
        <v>12437</v>
      </c>
      <c r="G812" s="1" t="s">
        <v>6378</v>
      </c>
    </row>
    <row r="813" spans="1:7" ht="21" x14ac:dyDescent="0.25">
      <c r="A813" s="2" t="str">
        <f>HYPERLINK("https://rth.dk/resources/bsgatlas/details.php?id=BSGatlas-5'UTR-812","BSGatlas-5'UTR-812")</f>
        <v>BSGatlas-5'UTR-812</v>
      </c>
      <c r="B813" s="3">
        <v>1225516</v>
      </c>
      <c r="C813" s="3">
        <v>1225557</v>
      </c>
      <c r="D813" s="1" t="s">
        <v>9</v>
      </c>
      <c r="E813" s="1">
        <v>42</v>
      </c>
      <c r="F813" s="1" t="s">
        <v>12438</v>
      </c>
      <c r="G813" s="1" t="s">
        <v>6382</v>
      </c>
    </row>
    <row r="814" spans="1:7" ht="21" x14ac:dyDescent="0.25">
      <c r="A814" s="2" t="str">
        <f>HYPERLINK("https://rth.dk/resources/bsgatlas/details.php?id=BSGatlas-5'UTR-813","BSGatlas-5'UTR-813")</f>
        <v>BSGatlas-5'UTR-813</v>
      </c>
      <c r="B814" s="3">
        <v>1226830</v>
      </c>
      <c r="C814" s="3">
        <v>1226938</v>
      </c>
      <c r="D814" s="1" t="s">
        <v>9</v>
      </c>
      <c r="E814" s="1">
        <v>109</v>
      </c>
      <c r="F814" s="1" t="s">
        <v>12439</v>
      </c>
      <c r="G814" s="1" t="s">
        <v>6384</v>
      </c>
    </row>
    <row r="815" spans="1:7" ht="21" x14ac:dyDescent="0.25">
      <c r="A815" s="2" t="str">
        <f>HYPERLINK("https://rth.dk/resources/bsgatlas/details.php?id=BSGatlas-5'UTR-814","BSGatlas-5'UTR-814")</f>
        <v>BSGatlas-5'UTR-814</v>
      </c>
      <c r="B815" s="3">
        <v>1226862</v>
      </c>
      <c r="C815" s="3">
        <v>1226938</v>
      </c>
      <c r="D815" s="1" t="s">
        <v>9</v>
      </c>
      <c r="E815" s="1">
        <v>77</v>
      </c>
      <c r="F815" s="1" t="s">
        <v>12439</v>
      </c>
      <c r="G815" s="1" t="s">
        <v>6386</v>
      </c>
    </row>
    <row r="816" spans="1:7" ht="21" x14ac:dyDescent="0.25">
      <c r="A816" s="2" t="str">
        <f>HYPERLINK("https://rth.dk/resources/bsgatlas/details.php?id=BSGatlas-5'UTR-815","BSGatlas-5'UTR-815")</f>
        <v>BSGatlas-5'UTR-815</v>
      </c>
      <c r="B816" s="3">
        <v>1226906</v>
      </c>
      <c r="C816" s="3">
        <v>1226938</v>
      </c>
      <c r="D816" s="1" t="s">
        <v>9</v>
      </c>
      <c r="E816" s="1">
        <v>33</v>
      </c>
      <c r="F816" s="1" t="s">
        <v>12439</v>
      </c>
      <c r="G816" s="1" t="s">
        <v>6387</v>
      </c>
    </row>
    <row r="817" spans="1:7" ht="21" x14ac:dyDescent="0.25">
      <c r="A817" s="2" t="str">
        <f>HYPERLINK("https://rth.dk/resources/bsgatlas/details.php?id=BSGatlas-5'UTR-816","BSGatlas-5'UTR-816")</f>
        <v>BSGatlas-5'UTR-816</v>
      </c>
      <c r="B817" s="3">
        <v>1227574</v>
      </c>
      <c r="C817" s="3">
        <v>1227697</v>
      </c>
      <c r="D817" s="1" t="s">
        <v>9</v>
      </c>
      <c r="E817" s="1">
        <v>124</v>
      </c>
      <c r="F817" s="1" t="s">
        <v>12440</v>
      </c>
      <c r="G817" s="1" t="s">
        <v>6388</v>
      </c>
    </row>
    <row r="818" spans="1:7" ht="21" x14ac:dyDescent="0.25">
      <c r="A818" s="2" t="str">
        <f>HYPERLINK("https://rth.dk/resources/bsgatlas/details.php?id=BSGatlas-5'UTR-817","BSGatlas-5'UTR-817")</f>
        <v>BSGatlas-5'UTR-817</v>
      </c>
      <c r="B818" s="3">
        <v>1227619</v>
      </c>
      <c r="C818" s="3">
        <v>1227697</v>
      </c>
      <c r="D818" s="1" t="s">
        <v>9</v>
      </c>
      <c r="E818" s="1">
        <v>79</v>
      </c>
      <c r="F818" s="1" t="s">
        <v>12440</v>
      </c>
      <c r="G818" s="1" t="s">
        <v>6389</v>
      </c>
    </row>
    <row r="819" spans="1:7" ht="21" x14ac:dyDescent="0.25">
      <c r="A819" s="2" t="str">
        <f>HYPERLINK("https://rth.dk/resources/bsgatlas/details.php?id=BSGatlas-5'UTR-818","BSGatlas-5'UTR-818")</f>
        <v>BSGatlas-5'UTR-818</v>
      </c>
      <c r="B819" s="3">
        <v>1228791</v>
      </c>
      <c r="C819" s="3">
        <v>1228836</v>
      </c>
      <c r="D819" s="1" t="s">
        <v>13</v>
      </c>
      <c r="E819" s="1">
        <v>46</v>
      </c>
      <c r="F819" s="1" t="s">
        <v>12441</v>
      </c>
      <c r="G819" s="1" t="s">
        <v>6390</v>
      </c>
    </row>
    <row r="820" spans="1:7" ht="21" x14ac:dyDescent="0.25">
      <c r="A820" s="2" t="str">
        <f>HYPERLINK("https://rth.dk/resources/bsgatlas/details.php?id=BSGatlas-5'UTR-819","BSGatlas-5'UTR-819")</f>
        <v>BSGatlas-5'UTR-819</v>
      </c>
      <c r="B820" s="3">
        <v>1228926</v>
      </c>
      <c r="C820" s="3">
        <v>1228961</v>
      </c>
      <c r="D820" s="1" t="s">
        <v>9</v>
      </c>
      <c r="E820" s="1">
        <v>36</v>
      </c>
      <c r="F820" s="1" t="s">
        <v>12442</v>
      </c>
      <c r="G820" s="1" t="s">
        <v>6392</v>
      </c>
    </row>
    <row r="821" spans="1:7" ht="21" x14ac:dyDescent="0.25">
      <c r="A821" s="2" t="str">
        <f>HYPERLINK("https://rth.dk/resources/bsgatlas/details.php?id=BSGatlas-5'UTR-820","BSGatlas-5'UTR-820")</f>
        <v>BSGatlas-5'UTR-820</v>
      </c>
      <c r="B821" s="3">
        <v>1229015</v>
      </c>
      <c r="C821" s="3">
        <v>1229068</v>
      </c>
      <c r="D821" s="1" t="s">
        <v>9</v>
      </c>
      <c r="E821" s="1">
        <v>54</v>
      </c>
      <c r="F821" s="1" t="s">
        <v>12443</v>
      </c>
      <c r="G821" s="1" t="s">
        <v>6393</v>
      </c>
    </row>
    <row r="822" spans="1:7" ht="21" x14ac:dyDescent="0.25">
      <c r="A822" s="2" t="str">
        <f>HYPERLINK("https://rth.dk/resources/bsgatlas/details.php?id=BSGatlas-5'UTR-821","BSGatlas-5'UTR-821")</f>
        <v>BSGatlas-5'UTR-821</v>
      </c>
      <c r="B822" s="3">
        <v>1229850</v>
      </c>
      <c r="C822" s="3">
        <v>1229915</v>
      </c>
      <c r="D822" s="1" t="s">
        <v>9</v>
      </c>
      <c r="E822" s="1">
        <v>66</v>
      </c>
      <c r="F822" s="1" t="s">
        <v>12444</v>
      </c>
      <c r="G822" s="1" t="s">
        <v>6395</v>
      </c>
    </row>
    <row r="823" spans="1:7" ht="21" x14ac:dyDescent="0.25">
      <c r="A823" s="2" t="str">
        <f>HYPERLINK("https://rth.dk/resources/bsgatlas/details.php?id=BSGatlas-5'UTR-822","BSGatlas-5'UTR-822")</f>
        <v>BSGatlas-5'UTR-822</v>
      </c>
      <c r="B823" s="3">
        <v>1230708</v>
      </c>
      <c r="C823" s="3">
        <v>1231083</v>
      </c>
      <c r="D823" s="1" t="s">
        <v>9</v>
      </c>
      <c r="E823" s="1">
        <v>376</v>
      </c>
      <c r="F823" s="1" t="s">
        <v>12445</v>
      </c>
      <c r="G823" s="1" t="s">
        <v>6399</v>
      </c>
    </row>
    <row r="824" spans="1:7" ht="21" x14ac:dyDescent="0.25">
      <c r="A824" s="2" t="str">
        <f>HYPERLINK("https://rth.dk/resources/bsgatlas/details.php?id=BSGatlas-5'UTR-823","BSGatlas-5'UTR-823")</f>
        <v>BSGatlas-5'UTR-823</v>
      </c>
      <c r="B824" s="3">
        <v>1230949</v>
      </c>
      <c r="C824" s="3">
        <v>1231083</v>
      </c>
      <c r="D824" s="1" t="s">
        <v>9</v>
      </c>
      <c r="E824" s="1">
        <v>135</v>
      </c>
      <c r="F824" s="1" t="s">
        <v>12445</v>
      </c>
      <c r="G824" s="1" t="s">
        <v>6400</v>
      </c>
    </row>
    <row r="825" spans="1:7" ht="21" x14ac:dyDescent="0.25">
      <c r="A825" s="2" t="str">
        <f>HYPERLINK("https://rth.dk/resources/bsgatlas/details.php?id=BSGatlas-5'UTR-824","BSGatlas-5'UTR-824")</f>
        <v>BSGatlas-5'UTR-824</v>
      </c>
      <c r="B825" s="3">
        <v>1231060</v>
      </c>
      <c r="C825" s="3">
        <v>1231083</v>
      </c>
      <c r="D825" s="1" t="s">
        <v>9</v>
      </c>
      <c r="E825" s="1">
        <v>24</v>
      </c>
      <c r="F825" s="1" t="s">
        <v>12445</v>
      </c>
      <c r="G825" s="1" t="s">
        <v>6401</v>
      </c>
    </row>
    <row r="826" spans="1:7" ht="21" x14ac:dyDescent="0.25">
      <c r="A826" s="2" t="str">
        <f>HYPERLINK("https://rth.dk/resources/bsgatlas/details.php?id=BSGatlas-5'UTR-825","BSGatlas-5'UTR-825")</f>
        <v>BSGatlas-5'UTR-825</v>
      </c>
      <c r="B826" s="3">
        <v>1233300</v>
      </c>
      <c r="C826" s="3">
        <v>1233336</v>
      </c>
      <c r="D826" s="1" t="s">
        <v>13</v>
      </c>
      <c r="E826" s="1">
        <v>37</v>
      </c>
      <c r="F826" s="1" t="s">
        <v>12446</v>
      </c>
      <c r="G826" s="1" t="s">
        <v>6403</v>
      </c>
    </row>
    <row r="827" spans="1:7" ht="21" x14ac:dyDescent="0.25">
      <c r="A827" s="2" t="str">
        <f>HYPERLINK("https://rth.dk/resources/bsgatlas/details.php?id=BSGatlas-5'UTR-826","BSGatlas-5'UTR-826")</f>
        <v>BSGatlas-5'UTR-826</v>
      </c>
      <c r="B827" s="3">
        <v>1233861</v>
      </c>
      <c r="C827" s="3">
        <v>1233877</v>
      </c>
      <c r="D827" s="1" t="s">
        <v>9</v>
      </c>
      <c r="E827" s="1">
        <v>17</v>
      </c>
      <c r="F827" s="1" t="s">
        <v>12447</v>
      </c>
      <c r="G827" s="1" t="s">
        <v>6410</v>
      </c>
    </row>
    <row r="828" spans="1:7" ht="21" x14ac:dyDescent="0.25">
      <c r="A828" s="2" t="str">
        <f>HYPERLINK("https://rth.dk/resources/bsgatlas/details.php?id=BSGatlas-5'UTR-827","BSGatlas-5'UTR-827")</f>
        <v>BSGatlas-5'UTR-827</v>
      </c>
      <c r="B828" s="3">
        <v>1234908</v>
      </c>
      <c r="C828" s="3">
        <v>1235088</v>
      </c>
      <c r="D828" s="1" t="s">
        <v>13</v>
      </c>
      <c r="E828" s="1">
        <v>181</v>
      </c>
      <c r="F828" s="1" t="s">
        <v>12448</v>
      </c>
      <c r="G828" s="1" t="s">
        <v>6408</v>
      </c>
    </row>
    <row r="829" spans="1:7" ht="21" x14ac:dyDescent="0.25">
      <c r="A829" s="2" t="str">
        <f>HYPERLINK("https://rth.dk/resources/bsgatlas/details.php?id=BSGatlas-5'UTR-828","BSGatlas-5'UTR-828")</f>
        <v>BSGatlas-5'UTR-828</v>
      </c>
      <c r="B829" s="3">
        <v>1235708</v>
      </c>
      <c r="C829" s="3">
        <v>1236066</v>
      </c>
      <c r="D829" s="1" t="s">
        <v>13</v>
      </c>
      <c r="E829" s="1">
        <v>359</v>
      </c>
      <c r="F829" s="1" t="s">
        <v>12449</v>
      </c>
      <c r="G829" s="1" t="s">
        <v>6411</v>
      </c>
    </row>
    <row r="830" spans="1:7" ht="21" x14ac:dyDescent="0.25">
      <c r="A830" s="2" t="str">
        <f>HYPERLINK("https://rth.dk/resources/bsgatlas/details.php?id=BSGatlas-5'UTR-829","BSGatlas-5'UTR-829")</f>
        <v>BSGatlas-5'UTR-829</v>
      </c>
      <c r="B830" s="3">
        <v>1236484</v>
      </c>
      <c r="C830" s="3">
        <v>1236530</v>
      </c>
      <c r="D830" s="1" t="s">
        <v>13</v>
      </c>
      <c r="E830" s="1">
        <v>47</v>
      </c>
      <c r="F830" s="1" t="s">
        <v>12450</v>
      </c>
      <c r="G830" s="1" t="s">
        <v>6414</v>
      </c>
    </row>
    <row r="831" spans="1:7" ht="21" x14ac:dyDescent="0.25">
      <c r="A831" s="2" t="str">
        <f>HYPERLINK("https://rth.dk/resources/bsgatlas/details.php?id=BSGatlas-5'UTR-830","BSGatlas-5'UTR-830")</f>
        <v>BSGatlas-5'UTR-830</v>
      </c>
      <c r="B831" s="3">
        <v>1236562</v>
      </c>
      <c r="C831" s="3">
        <v>1236609</v>
      </c>
      <c r="D831" s="1" t="s">
        <v>9</v>
      </c>
      <c r="E831" s="1">
        <v>48</v>
      </c>
      <c r="F831" s="1" t="s">
        <v>12451</v>
      </c>
      <c r="G831" s="1" t="s">
        <v>6416</v>
      </c>
    </row>
    <row r="832" spans="1:7" ht="21" x14ac:dyDescent="0.25">
      <c r="A832" s="2" t="str">
        <f>HYPERLINK("https://rth.dk/resources/bsgatlas/details.php?id=BSGatlas-5'UTR-831","BSGatlas-5'UTR-831")</f>
        <v>BSGatlas-5'UTR-831</v>
      </c>
      <c r="B832" s="3">
        <v>1240121</v>
      </c>
      <c r="C832" s="3">
        <v>1240707</v>
      </c>
      <c r="D832" s="1" t="s">
        <v>13</v>
      </c>
      <c r="E832" s="1">
        <v>587</v>
      </c>
      <c r="F832" s="1" t="s">
        <v>12452</v>
      </c>
      <c r="G832" s="1" t="s">
        <v>6418</v>
      </c>
    </row>
    <row r="833" spans="1:7" ht="21" x14ac:dyDescent="0.25">
      <c r="A833" s="2" t="str">
        <f>HYPERLINK("https://rth.dk/resources/bsgatlas/details.php?id=BSGatlas-5'UTR-832","BSGatlas-5'UTR-832")</f>
        <v>BSGatlas-5'UTR-832</v>
      </c>
      <c r="B833" s="3">
        <v>1240278</v>
      </c>
      <c r="C833" s="3">
        <v>1240356</v>
      </c>
      <c r="D833" s="1" t="s">
        <v>9</v>
      </c>
      <c r="E833" s="1">
        <v>79</v>
      </c>
      <c r="F833" s="1" t="s">
        <v>12453</v>
      </c>
      <c r="G833" s="1" t="s">
        <v>6420</v>
      </c>
    </row>
    <row r="834" spans="1:7" ht="21" x14ac:dyDescent="0.25">
      <c r="A834" s="2" t="str">
        <f>HYPERLINK("https://rth.dk/resources/bsgatlas/details.php?id=BSGatlas-5'UTR-833","BSGatlas-5'UTR-833")</f>
        <v>BSGatlas-5'UTR-833</v>
      </c>
      <c r="B834" s="3">
        <v>1242229</v>
      </c>
      <c r="C834" s="3">
        <v>1242449</v>
      </c>
      <c r="D834" s="1" t="s">
        <v>9</v>
      </c>
      <c r="E834" s="1">
        <v>221</v>
      </c>
      <c r="F834" s="1" t="s">
        <v>12454</v>
      </c>
      <c r="G834" s="1" t="s">
        <v>6422</v>
      </c>
    </row>
    <row r="835" spans="1:7" ht="21" x14ac:dyDescent="0.25">
      <c r="A835" s="2" t="str">
        <f>HYPERLINK("https://rth.dk/resources/bsgatlas/details.php?id=BSGatlas-5'UTR-834","BSGatlas-5'UTR-834")</f>
        <v>BSGatlas-5'UTR-834</v>
      </c>
      <c r="B835" s="3">
        <v>1247728</v>
      </c>
      <c r="C835" s="3">
        <v>1247788</v>
      </c>
      <c r="D835" s="1" t="s">
        <v>9</v>
      </c>
      <c r="E835" s="1">
        <v>61</v>
      </c>
      <c r="F835" s="1" t="s">
        <v>12455</v>
      </c>
      <c r="G835" s="1" t="s">
        <v>6425</v>
      </c>
    </row>
    <row r="836" spans="1:7" ht="21" x14ac:dyDescent="0.25">
      <c r="A836" s="2" t="str">
        <f>HYPERLINK("https://rth.dk/resources/bsgatlas/details.php?id=BSGatlas-5'UTR-835","BSGatlas-5'UTR-835")</f>
        <v>BSGatlas-5'UTR-835</v>
      </c>
      <c r="B836" s="3">
        <v>1248648</v>
      </c>
      <c r="C836" s="3">
        <v>1248665</v>
      </c>
      <c r="D836" s="1" t="s">
        <v>9</v>
      </c>
      <c r="E836" s="1">
        <v>18</v>
      </c>
      <c r="F836" s="1" t="s">
        <v>12456</v>
      </c>
      <c r="G836" s="1" t="s">
        <v>6427</v>
      </c>
    </row>
    <row r="837" spans="1:7" ht="21" x14ac:dyDescent="0.25">
      <c r="A837" s="2" t="str">
        <f>HYPERLINK("https://rth.dk/resources/bsgatlas/details.php?id=BSGatlas-5'UTR-836","BSGatlas-5'UTR-836")</f>
        <v>BSGatlas-5'UTR-836</v>
      </c>
      <c r="B837" s="3">
        <v>1250223</v>
      </c>
      <c r="C837" s="3">
        <v>1252177</v>
      </c>
      <c r="D837" s="1" t="s">
        <v>9</v>
      </c>
      <c r="E837" s="1">
        <v>1955</v>
      </c>
      <c r="F837" s="1" t="s">
        <v>12457</v>
      </c>
      <c r="G837" s="1" t="s">
        <v>6437</v>
      </c>
    </row>
    <row r="838" spans="1:7" ht="21" x14ac:dyDescent="0.25">
      <c r="A838" s="2" t="str">
        <f>HYPERLINK("https://rth.dk/resources/bsgatlas/details.php?id=BSGatlas-5'UTR-837","BSGatlas-5'UTR-837")</f>
        <v>BSGatlas-5'UTR-837</v>
      </c>
      <c r="B838" s="3">
        <v>1250504</v>
      </c>
      <c r="C838" s="3">
        <v>1250543</v>
      </c>
      <c r="D838" s="1" t="s">
        <v>13</v>
      </c>
      <c r="E838" s="1">
        <v>40</v>
      </c>
      <c r="F838" s="1" t="s">
        <v>12458</v>
      </c>
      <c r="G838" s="1" t="s">
        <v>6432</v>
      </c>
    </row>
    <row r="839" spans="1:7" ht="21" x14ac:dyDescent="0.25">
      <c r="A839" s="2" t="str">
        <f>HYPERLINK("https://rth.dk/resources/bsgatlas/details.php?id=BSGatlas-5'UTR-838","BSGatlas-5'UTR-838")</f>
        <v>BSGatlas-5'UTR-838</v>
      </c>
      <c r="B839" s="3">
        <v>1250504</v>
      </c>
      <c r="C839" s="3">
        <v>1250607</v>
      </c>
      <c r="D839" s="1" t="s">
        <v>13</v>
      </c>
      <c r="E839" s="1">
        <v>104</v>
      </c>
      <c r="F839" s="1" t="s">
        <v>12458</v>
      </c>
      <c r="G839" s="1" t="s">
        <v>6434</v>
      </c>
    </row>
    <row r="840" spans="1:7" ht="21" x14ac:dyDescent="0.25">
      <c r="A840" s="2" t="str">
        <f>HYPERLINK("https://rth.dk/resources/bsgatlas/details.php?id=BSGatlas-5'UTR-839","BSGatlas-5'UTR-839")</f>
        <v>BSGatlas-5'UTR-839</v>
      </c>
      <c r="B840" s="3">
        <v>1250531</v>
      </c>
      <c r="C840" s="3">
        <v>1252177</v>
      </c>
      <c r="D840" s="1" t="s">
        <v>9</v>
      </c>
      <c r="E840" s="1">
        <v>1647</v>
      </c>
      <c r="F840" s="1" t="s">
        <v>12457</v>
      </c>
      <c r="G840" s="1" t="s">
        <v>6438</v>
      </c>
    </row>
    <row r="841" spans="1:7" ht="21" x14ac:dyDescent="0.25">
      <c r="A841" s="2" t="str">
        <f>HYPERLINK("https://rth.dk/resources/bsgatlas/details.php?id=BSGatlas-5'UTR-840","BSGatlas-5'UTR-840")</f>
        <v>BSGatlas-5'UTR-840</v>
      </c>
      <c r="B841" s="3">
        <v>1251174</v>
      </c>
      <c r="C841" s="3">
        <v>1251195</v>
      </c>
      <c r="D841" s="1" t="s">
        <v>13</v>
      </c>
      <c r="E841" s="1">
        <v>22</v>
      </c>
      <c r="F841" s="1" t="s">
        <v>12459</v>
      </c>
      <c r="G841" s="1" t="s">
        <v>6439</v>
      </c>
    </row>
    <row r="842" spans="1:7" ht="21" x14ac:dyDescent="0.25">
      <c r="A842" s="2" t="str">
        <f>HYPERLINK("https://rth.dk/resources/bsgatlas/details.php?id=BSGatlas-5'UTR-841","BSGatlas-5'UTR-841")</f>
        <v>BSGatlas-5'UTR-841</v>
      </c>
      <c r="B842" s="3">
        <v>1252017</v>
      </c>
      <c r="C842" s="3">
        <v>1252041</v>
      </c>
      <c r="D842" s="1" t="s">
        <v>13</v>
      </c>
      <c r="E842" s="1">
        <v>25</v>
      </c>
      <c r="F842" s="1" t="s">
        <v>12460</v>
      </c>
      <c r="G842" s="1" t="s">
        <v>6442</v>
      </c>
    </row>
    <row r="843" spans="1:7" ht="21" x14ac:dyDescent="0.25">
      <c r="A843" s="2" t="str">
        <f>HYPERLINK("https://rth.dk/resources/bsgatlas/details.php?id=BSGatlas-5'UTR-842","BSGatlas-5'UTR-842")</f>
        <v>BSGatlas-5'UTR-842</v>
      </c>
      <c r="B843" s="3">
        <v>1252027</v>
      </c>
      <c r="C843" s="3">
        <v>1252177</v>
      </c>
      <c r="D843" s="1" t="s">
        <v>9</v>
      </c>
      <c r="E843" s="1">
        <v>151</v>
      </c>
      <c r="F843" s="1" t="s">
        <v>12457</v>
      </c>
      <c r="G843" s="1" t="s">
        <v>6444</v>
      </c>
    </row>
    <row r="844" spans="1:7" ht="21" x14ac:dyDescent="0.25">
      <c r="A844" s="2" t="str">
        <f>HYPERLINK("https://rth.dk/resources/bsgatlas/details.php?id=BSGatlas-5'UTR-843","BSGatlas-5'UTR-843")</f>
        <v>BSGatlas-5'UTR-843</v>
      </c>
      <c r="B844" s="3">
        <v>1252149</v>
      </c>
      <c r="C844" s="3">
        <v>1252177</v>
      </c>
      <c r="D844" s="1" t="s">
        <v>9</v>
      </c>
      <c r="E844" s="1">
        <v>29</v>
      </c>
      <c r="F844" s="1" t="s">
        <v>12457</v>
      </c>
      <c r="G844" s="1" t="s">
        <v>6445</v>
      </c>
    </row>
    <row r="845" spans="1:7" ht="21" x14ac:dyDescent="0.25">
      <c r="A845" s="2" t="str">
        <f>HYPERLINK("https://rth.dk/resources/bsgatlas/details.php?id=BSGatlas-5'UTR-844","BSGatlas-5'UTR-844")</f>
        <v>BSGatlas-5'UTR-844</v>
      </c>
      <c r="B845" s="3">
        <v>1252791</v>
      </c>
      <c r="C845" s="3">
        <v>1253093</v>
      </c>
      <c r="D845" s="1" t="s">
        <v>13</v>
      </c>
      <c r="E845" s="1">
        <v>303</v>
      </c>
      <c r="F845" s="1" t="s">
        <v>12461</v>
      </c>
      <c r="G845" s="1" t="s">
        <v>6449</v>
      </c>
    </row>
    <row r="846" spans="1:7" ht="21" x14ac:dyDescent="0.25">
      <c r="A846" s="2" t="str">
        <f>HYPERLINK("https://rth.dk/resources/bsgatlas/details.php?id=BSGatlas-5'UTR-845","BSGatlas-5'UTR-845")</f>
        <v>BSGatlas-5'UTR-845</v>
      </c>
      <c r="B846" s="3">
        <v>1253081</v>
      </c>
      <c r="C846" s="3">
        <v>1253103</v>
      </c>
      <c r="D846" s="1" t="s">
        <v>9</v>
      </c>
      <c r="E846" s="1">
        <v>23</v>
      </c>
      <c r="F846" s="1" t="s">
        <v>12462</v>
      </c>
      <c r="G846" s="1" t="s">
        <v>6461</v>
      </c>
    </row>
    <row r="847" spans="1:7" ht="21" x14ac:dyDescent="0.25">
      <c r="A847" s="2" t="str">
        <f>HYPERLINK("https://rth.dk/resources/bsgatlas/details.php?id=BSGatlas-5'UTR-846","BSGatlas-5'UTR-846")</f>
        <v>BSGatlas-5'UTR-846</v>
      </c>
      <c r="B847" s="3">
        <v>1253359</v>
      </c>
      <c r="C847" s="3">
        <v>1253385</v>
      </c>
      <c r="D847" s="1" t="s">
        <v>9</v>
      </c>
      <c r="E847" s="1">
        <v>27</v>
      </c>
      <c r="F847" s="1" t="s">
        <v>12463</v>
      </c>
      <c r="G847" s="1" t="s">
        <v>6463</v>
      </c>
    </row>
    <row r="848" spans="1:7" ht="21" x14ac:dyDescent="0.25">
      <c r="A848" s="2" t="str">
        <f>HYPERLINK("https://rth.dk/resources/bsgatlas/details.php?id=BSGatlas-5'UTR-847","BSGatlas-5'UTR-847")</f>
        <v>BSGatlas-5'UTR-847</v>
      </c>
      <c r="B848" s="3">
        <v>1255943</v>
      </c>
      <c r="C848" s="3">
        <v>1256109</v>
      </c>
      <c r="D848" s="1" t="s">
        <v>9</v>
      </c>
      <c r="E848" s="1">
        <v>167</v>
      </c>
      <c r="F848" s="1" t="s">
        <v>12464</v>
      </c>
      <c r="G848" s="1" t="s">
        <v>6467</v>
      </c>
    </row>
    <row r="849" spans="1:7" ht="21" x14ac:dyDescent="0.25">
      <c r="A849" s="2" t="str">
        <f>HYPERLINK("https://rth.dk/resources/bsgatlas/details.php?id=BSGatlas-5'UTR-848","BSGatlas-5'UTR-848")</f>
        <v>BSGatlas-5'UTR-848</v>
      </c>
      <c r="B849" s="3">
        <v>1255992</v>
      </c>
      <c r="C849" s="3">
        <v>1256040</v>
      </c>
      <c r="D849" s="1" t="s">
        <v>13</v>
      </c>
      <c r="E849" s="1">
        <v>49</v>
      </c>
      <c r="F849" s="1" t="s">
        <v>12465</v>
      </c>
      <c r="G849" s="1" t="s">
        <v>6464</v>
      </c>
    </row>
    <row r="850" spans="1:7" ht="21" x14ac:dyDescent="0.25">
      <c r="A850" s="2" t="str">
        <f>HYPERLINK("https://rth.dk/resources/bsgatlas/details.php?id=BSGatlas-5'UTR-849","BSGatlas-5'UTR-849")</f>
        <v>BSGatlas-5'UTR-849</v>
      </c>
      <c r="B850" s="3">
        <v>1256080</v>
      </c>
      <c r="C850" s="3">
        <v>1256109</v>
      </c>
      <c r="D850" s="1" t="s">
        <v>9</v>
      </c>
      <c r="E850" s="1">
        <v>30</v>
      </c>
      <c r="F850" s="1" t="s">
        <v>12464</v>
      </c>
      <c r="G850" s="1" t="s">
        <v>6469</v>
      </c>
    </row>
    <row r="851" spans="1:7" ht="21" x14ac:dyDescent="0.25">
      <c r="A851" s="2" t="str">
        <f>HYPERLINK("https://rth.dk/resources/bsgatlas/details.php?id=BSGatlas-5'UTR-850","BSGatlas-5'UTR-850")</f>
        <v>BSGatlas-5'UTR-850</v>
      </c>
      <c r="B851" s="3">
        <v>1258136</v>
      </c>
      <c r="C851" s="3">
        <v>1258196</v>
      </c>
      <c r="D851" s="1" t="s">
        <v>13</v>
      </c>
      <c r="E851" s="1">
        <v>61</v>
      </c>
      <c r="F851" s="1" t="s">
        <v>12466</v>
      </c>
      <c r="G851" s="1" t="s">
        <v>6471</v>
      </c>
    </row>
    <row r="852" spans="1:7" ht="21" x14ac:dyDescent="0.25">
      <c r="A852" s="2" t="str">
        <f>HYPERLINK("https://rth.dk/resources/bsgatlas/details.php?id=BSGatlas-5'UTR-851","BSGatlas-5'UTR-851")</f>
        <v>BSGatlas-5'UTR-851</v>
      </c>
      <c r="B852" s="3">
        <v>1258282</v>
      </c>
      <c r="C852" s="3">
        <v>1258492</v>
      </c>
      <c r="D852" s="1" t="s">
        <v>9</v>
      </c>
      <c r="E852" s="1">
        <v>211</v>
      </c>
      <c r="F852" s="1" t="s">
        <v>12467</v>
      </c>
      <c r="G852" s="1" t="s">
        <v>6474</v>
      </c>
    </row>
    <row r="853" spans="1:7" ht="21" x14ac:dyDescent="0.25">
      <c r="A853" s="2" t="str">
        <f>HYPERLINK("https://rth.dk/resources/bsgatlas/details.php?id=BSGatlas-5'UTR-852","BSGatlas-5'UTR-852")</f>
        <v>BSGatlas-5'UTR-852</v>
      </c>
      <c r="B853" s="3">
        <v>1260805</v>
      </c>
      <c r="C853" s="3">
        <v>1262788</v>
      </c>
      <c r="D853" s="1" t="s">
        <v>9</v>
      </c>
      <c r="E853" s="1">
        <v>1984</v>
      </c>
      <c r="F853" s="1" t="s">
        <v>12468</v>
      </c>
      <c r="G853" s="1" t="s">
        <v>6478</v>
      </c>
    </row>
    <row r="854" spans="1:7" ht="21" x14ac:dyDescent="0.25">
      <c r="A854" s="2" t="str">
        <f>HYPERLINK("https://rth.dk/resources/bsgatlas/details.php?id=BSGatlas-5'UTR-853","BSGatlas-5'UTR-853")</f>
        <v>BSGatlas-5'UTR-853</v>
      </c>
      <c r="B854" s="3">
        <v>1262616</v>
      </c>
      <c r="C854" s="3">
        <v>1262646</v>
      </c>
      <c r="D854" s="1" t="s">
        <v>13</v>
      </c>
      <c r="E854" s="1">
        <v>31</v>
      </c>
      <c r="F854" s="1" t="s">
        <v>12469</v>
      </c>
      <c r="G854" s="1" t="s">
        <v>6482</v>
      </c>
    </row>
    <row r="855" spans="1:7" ht="21" x14ac:dyDescent="0.25">
      <c r="A855" s="2" t="str">
        <f>HYPERLINK("https://rth.dk/resources/bsgatlas/details.php?id=BSGatlas-5'UTR-854","BSGatlas-5'UTR-854")</f>
        <v>BSGatlas-5'UTR-854</v>
      </c>
      <c r="B855" s="3">
        <v>1262616</v>
      </c>
      <c r="C855" s="3">
        <v>1262817</v>
      </c>
      <c r="D855" s="1" t="s">
        <v>13</v>
      </c>
      <c r="E855" s="1">
        <v>202</v>
      </c>
      <c r="F855" s="1" t="s">
        <v>12469</v>
      </c>
      <c r="G855" s="1" t="s">
        <v>6484</v>
      </c>
    </row>
    <row r="856" spans="1:7" ht="21" x14ac:dyDescent="0.25">
      <c r="A856" s="2" t="str">
        <f>HYPERLINK("https://rth.dk/resources/bsgatlas/details.php?id=BSGatlas-5'UTR-855","BSGatlas-5'UTR-855")</f>
        <v>BSGatlas-5'UTR-855</v>
      </c>
      <c r="B856" s="3">
        <v>1262721</v>
      </c>
      <c r="C856" s="3">
        <v>1262788</v>
      </c>
      <c r="D856" s="1" t="s">
        <v>9</v>
      </c>
      <c r="E856" s="1">
        <v>68</v>
      </c>
      <c r="F856" s="1" t="s">
        <v>12468</v>
      </c>
      <c r="G856" s="1" t="s">
        <v>6485</v>
      </c>
    </row>
    <row r="857" spans="1:7" ht="21" x14ac:dyDescent="0.25">
      <c r="A857" s="2" t="str">
        <f>HYPERLINK("https://rth.dk/resources/bsgatlas/details.php?id=BSGatlas-5'UTR-856","BSGatlas-5'UTR-856")</f>
        <v>BSGatlas-5'UTR-856</v>
      </c>
      <c r="B857" s="3">
        <v>1264931</v>
      </c>
      <c r="C857" s="3">
        <v>1265021</v>
      </c>
      <c r="D857" s="1" t="s">
        <v>13</v>
      </c>
      <c r="E857" s="1">
        <v>91</v>
      </c>
      <c r="F857" s="1" t="s">
        <v>12470</v>
      </c>
      <c r="G857" s="1" t="s">
        <v>6486</v>
      </c>
    </row>
    <row r="858" spans="1:7" ht="21" x14ac:dyDescent="0.25">
      <c r="A858" s="2" t="str">
        <f>HYPERLINK("https://rth.dk/resources/bsgatlas/details.php?id=BSGatlas-5'UTR-857","BSGatlas-5'UTR-857")</f>
        <v>BSGatlas-5'UTR-857</v>
      </c>
      <c r="B858" s="3">
        <v>1265007</v>
      </c>
      <c r="C858" s="3">
        <v>1265057</v>
      </c>
      <c r="D858" s="1" t="s">
        <v>9</v>
      </c>
      <c r="E858" s="1">
        <v>51</v>
      </c>
      <c r="F858" s="1" t="s">
        <v>12471</v>
      </c>
      <c r="G858" s="1" t="s">
        <v>6490</v>
      </c>
    </row>
    <row r="859" spans="1:7" ht="21" x14ac:dyDescent="0.25">
      <c r="A859" s="2" t="str">
        <f>HYPERLINK("https://rth.dk/resources/bsgatlas/details.php?id=BSGatlas-5'UTR-858","BSGatlas-5'UTR-858")</f>
        <v>BSGatlas-5'UTR-858</v>
      </c>
      <c r="B859" s="3">
        <v>1266349</v>
      </c>
      <c r="C859" s="3">
        <v>1266614</v>
      </c>
      <c r="D859" s="1" t="s">
        <v>9</v>
      </c>
      <c r="E859" s="1">
        <v>266</v>
      </c>
      <c r="F859" s="1" t="s">
        <v>12472</v>
      </c>
      <c r="G859" s="1" t="s">
        <v>6494</v>
      </c>
    </row>
    <row r="860" spans="1:7" ht="21" x14ac:dyDescent="0.25">
      <c r="A860" s="2" t="str">
        <f>HYPERLINK("https://rth.dk/resources/bsgatlas/details.php?id=BSGatlas-5'UTR-859","BSGatlas-5'UTR-859")</f>
        <v>BSGatlas-5'UTR-859</v>
      </c>
      <c r="B860" s="3">
        <v>1266591</v>
      </c>
      <c r="C860" s="3">
        <v>1266614</v>
      </c>
      <c r="D860" s="1" t="s">
        <v>9</v>
      </c>
      <c r="E860" s="1">
        <v>24</v>
      </c>
      <c r="F860" s="1" t="s">
        <v>12472</v>
      </c>
      <c r="G860" s="1" t="s">
        <v>6497</v>
      </c>
    </row>
    <row r="861" spans="1:7" ht="21" x14ac:dyDescent="0.25">
      <c r="A861" s="2" t="str">
        <f>HYPERLINK("https://rth.dk/resources/bsgatlas/details.php?id=BSGatlas-5'UTR-860","BSGatlas-5'UTR-860")</f>
        <v>BSGatlas-5'UTR-860</v>
      </c>
      <c r="B861" s="3">
        <v>1270080</v>
      </c>
      <c r="C861" s="3">
        <v>1270125</v>
      </c>
      <c r="D861" s="1" t="s">
        <v>13</v>
      </c>
      <c r="E861" s="1">
        <v>46</v>
      </c>
      <c r="F861" s="1" t="s">
        <v>12473</v>
      </c>
      <c r="G861" s="1" t="s">
        <v>6501</v>
      </c>
    </row>
    <row r="862" spans="1:7" ht="21" x14ac:dyDescent="0.25">
      <c r="A862" s="2" t="str">
        <f>HYPERLINK("https://rth.dk/resources/bsgatlas/details.php?id=BSGatlas-5'UTR-861","BSGatlas-5'UTR-861")</f>
        <v>BSGatlas-5'UTR-861</v>
      </c>
      <c r="B862" s="3">
        <v>1270080</v>
      </c>
      <c r="C862" s="3">
        <v>1270583</v>
      </c>
      <c r="D862" s="1" t="s">
        <v>13</v>
      </c>
      <c r="E862" s="1">
        <v>504</v>
      </c>
      <c r="F862" s="1" t="s">
        <v>12473</v>
      </c>
      <c r="G862" s="1" t="s">
        <v>6503</v>
      </c>
    </row>
    <row r="863" spans="1:7" ht="21" x14ac:dyDescent="0.25">
      <c r="A863" s="2" t="str">
        <f>HYPERLINK("https://rth.dk/resources/bsgatlas/details.php?id=BSGatlas-5'UTR-862","BSGatlas-5'UTR-862")</f>
        <v>BSGatlas-5'UTR-862</v>
      </c>
      <c r="B863" s="3">
        <v>1270555</v>
      </c>
      <c r="C863" s="3">
        <v>1270631</v>
      </c>
      <c r="D863" s="1" t="s">
        <v>9</v>
      </c>
      <c r="E863" s="1">
        <v>77</v>
      </c>
      <c r="F863" s="1" t="s">
        <v>12474</v>
      </c>
      <c r="G863" s="1" t="s">
        <v>6504</v>
      </c>
    </row>
    <row r="864" spans="1:7" ht="21" x14ac:dyDescent="0.25">
      <c r="A864" s="2" t="str">
        <f>HYPERLINK("https://rth.dk/resources/bsgatlas/details.php?id=BSGatlas-5'UTR-863","BSGatlas-5'UTR-863")</f>
        <v>BSGatlas-5'UTR-863</v>
      </c>
      <c r="B864" s="3">
        <v>1272683</v>
      </c>
      <c r="C864" s="3">
        <v>1272725</v>
      </c>
      <c r="D864" s="1" t="s">
        <v>9</v>
      </c>
      <c r="E864" s="1">
        <v>43</v>
      </c>
      <c r="F864" s="1" t="s">
        <v>12475</v>
      </c>
      <c r="G864" s="1" t="s">
        <v>6507</v>
      </c>
    </row>
    <row r="865" spans="1:7" ht="21" x14ac:dyDescent="0.25">
      <c r="A865" s="2" t="str">
        <f>HYPERLINK("https://rth.dk/resources/bsgatlas/details.php?id=BSGatlas-5'UTR-864","BSGatlas-5'UTR-864")</f>
        <v>BSGatlas-5'UTR-864</v>
      </c>
      <c r="B865" s="3">
        <v>1275740</v>
      </c>
      <c r="C865" s="3">
        <v>1275809</v>
      </c>
      <c r="D865" s="1" t="s">
        <v>9</v>
      </c>
      <c r="E865" s="1">
        <v>70</v>
      </c>
      <c r="F865" s="1" t="s">
        <v>12476</v>
      </c>
      <c r="G865" s="1" t="s">
        <v>6509</v>
      </c>
    </row>
    <row r="866" spans="1:7" ht="21" x14ac:dyDescent="0.25">
      <c r="A866" s="2" t="str">
        <f>HYPERLINK("https://rth.dk/resources/bsgatlas/details.php?id=BSGatlas-5'UTR-865","BSGatlas-5'UTR-865")</f>
        <v>BSGatlas-5'UTR-865</v>
      </c>
      <c r="B866" s="3">
        <v>1276843</v>
      </c>
      <c r="C866" s="3">
        <v>1276874</v>
      </c>
      <c r="D866" s="1" t="s">
        <v>13</v>
      </c>
      <c r="E866" s="1">
        <v>32</v>
      </c>
      <c r="F866" s="1" t="s">
        <v>12477</v>
      </c>
      <c r="G866" s="1" t="s">
        <v>6510</v>
      </c>
    </row>
    <row r="867" spans="1:7" ht="21" x14ac:dyDescent="0.25">
      <c r="A867" s="2" t="str">
        <f>HYPERLINK("https://rth.dk/resources/bsgatlas/details.php?id=BSGatlas-5'UTR-866","BSGatlas-5'UTR-866")</f>
        <v>BSGatlas-5'UTR-866</v>
      </c>
      <c r="B867" s="3">
        <v>1277457</v>
      </c>
      <c r="C867" s="3">
        <v>1277493</v>
      </c>
      <c r="D867" s="1" t="s">
        <v>13</v>
      </c>
      <c r="E867" s="1">
        <v>37</v>
      </c>
      <c r="F867" s="1" t="s">
        <v>12478</v>
      </c>
      <c r="G867" s="1" t="s">
        <v>6512</v>
      </c>
    </row>
    <row r="868" spans="1:7" ht="21" x14ac:dyDescent="0.25">
      <c r="A868" s="2" t="str">
        <f>HYPERLINK("https://rth.dk/resources/bsgatlas/details.php?id=BSGatlas-5'UTR-867","BSGatlas-5'UTR-867")</f>
        <v>BSGatlas-5'UTR-867</v>
      </c>
      <c r="B868" s="3">
        <v>1277633</v>
      </c>
      <c r="C868" s="3">
        <v>1277686</v>
      </c>
      <c r="D868" s="1" t="s">
        <v>9</v>
      </c>
      <c r="E868" s="1">
        <v>54</v>
      </c>
      <c r="F868" s="1" t="s">
        <v>12479</v>
      </c>
      <c r="G868" s="1" t="s">
        <v>6514</v>
      </c>
    </row>
    <row r="869" spans="1:7" ht="21" x14ac:dyDescent="0.25">
      <c r="A869" s="2" t="str">
        <f>HYPERLINK("https://rth.dk/resources/bsgatlas/details.php?id=BSGatlas-5'UTR-868","BSGatlas-5'UTR-868")</f>
        <v>BSGatlas-5'UTR-868</v>
      </c>
      <c r="B869" s="3">
        <v>1278399</v>
      </c>
      <c r="C869" s="3">
        <v>1278429</v>
      </c>
      <c r="D869" s="1" t="s">
        <v>13</v>
      </c>
      <c r="E869" s="1">
        <v>31</v>
      </c>
      <c r="F869" s="1" t="s">
        <v>12480</v>
      </c>
      <c r="G869" s="1" t="s">
        <v>6516</v>
      </c>
    </row>
    <row r="870" spans="1:7" ht="21" x14ac:dyDescent="0.25">
      <c r="A870" s="2" t="str">
        <f>HYPERLINK("https://rth.dk/resources/bsgatlas/details.php?id=BSGatlas-5'UTR-869","BSGatlas-5'UTR-869")</f>
        <v>BSGatlas-5'UTR-869</v>
      </c>
      <c r="B870" s="3">
        <v>1278894</v>
      </c>
      <c r="C870" s="3">
        <v>1278944</v>
      </c>
      <c r="D870" s="1" t="s">
        <v>13</v>
      </c>
      <c r="E870" s="1">
        <v>51</v>
      </c>
      <c r="F870" s="1" t="s">
        <v>12481</v>
      </c>
      <c r="G870" s="1" t="s">
        <v>6518</v>
      </c>
    </row>
    <row r="871" spans="1:7" ht="21" x14ac:dyDescent="0.25">
      <c r="A871" s="2" t="str">
        <f>HYPERLINK("https://rth.dk/resources/bsgatlas/details.php?id=BSGatlas-5'UTR-870","BSGatlas-5'UTR-870")</f>
        <v>BSGatlas-5'UTR-870</v>
      </c>
      <c r="B871" s="3">
        <v>1280874</v>
      </c>
      <c r="C871" s="3">
        <v>1280903</v>
      </c>
      <c r="D871" s="1" t="s">
        <v>13</v>
      </c>
      <c r="E871" s="1">
        <v>30</v>
      </c>
      <c r="F871" s="1" t="s">
        <v>12482</v>
      </c>
      <c r="G871" s="1" t="s">
        <v>6521</v>
      </c>
    </row>
    <row r="872" spans="1:7" ht="21" x14ac:dyDescent="0.25">
      <c r="A872" s="2" t="str">
        <f>HYPERLINK("https://rth.dk/resources/bsgatlas/details.php?id=BSGatlas-5'UTR-871","BSGatlas-5'UTR-871")</f>
        <v>BSGatlas-5'UTR-871</v>
      </c>
      <c r="B872" s="3">
        <v>1280892</v>
      </c>
      <c r="C872" s="3">
        <v>1281128</v>
      </c>
      <c r="D872" s="1" t="s">
        <v>9</v>
      </c>
      <c r="E872" s="1">
        <v>237</v>
      </c>
      <c r="F872" s="1" t="s">
        <v>12483</v>
      </c>
      <c r="G872" s="1" t="s">
        <v>6525</v>
      </c>
    </row>
    <row r="873" spans="1:7" ht="21" x14ac:dyDescent="0.25">
      <c r="A873" s="2" t="str">
        <f>HYPERLINK("https://rth.dk/resources/bsgatlas/details.php?id=BSGatlas-5'UTR-872","BSGatlas-5'UTR-872")</f>
        <v>BSGatlas-5'UTR-872</v>
      </c>
      <c r="B873" s="3">
        <v>1280949</v>
      </c>
      <c r="C873" s="3">
        <v>1281012</v>
      </c>
      <c r="D873" s="1" t="s">
        <v>13</v>
      </c>
      <c r="E873" s="1">
        <v>64</v>
      </c>
      <c r="F873" s="1" t="s">
        <v>12484</v>
      </c>
      <c r="G873" s="1" t="s">
        <v>6523</v>
      </c>
    </row>
    <row r="874" spans="1:7" ht="21" x14ac:dyDescent="0.25">
      <c r="A874" s="2" t="str">
        <f>HYPERLINK("https://rth.dk/resources/bsgatlas/details.php?id=BSGatlas-5'UTR-873","BSGatlas-5'UTR-873")</f>
        <v>BSGatlas-5'UTR-873</v>
      </c>
      <c r="B874" s="3">
        <v>1281023</v>
      </c>
      <c r="C874" s="3">
        <v>1281128</v>
      </c>
      <c r="D874" s="1" t="s">
        <v>9</v>
      </c>
      <c r="E874" s="1">
        <v>106</v>
      </c>
      <c r="F874" s="1" t="s">
        <v>12483</v>
      </c>
      <c r="G874" s="1" t="s">
        <v>6527</v>
      </c>
    </row>
    <row r="875" spans="1:7" ht="21" x14ac:dyDescent="0.25">
      <c r="A875" s="2" t="str">
        <f>HYPERLINK("https://rth.dk/resources/bsgatlas/details.php?id=BSGatlas-5'UTR-874","BSGatlas-5'UTR-874")</f>
        <v>BSGatlas-5'UTR-874</v>
      </c>
      <c r="B875" s="3">
        <v>1283044</v>
      </c>
      <c r="C875" s="3">
        <v>1283084</v>
      </c>
      <c r="D875" s="1" t="s">
        <v>13</v>
      </c>
      <c r="E875" s="1">
        <v>41</v>
      </c>
      <c r="F875" s="1" t="s">
        <v>12485</v>
      </c>
      <c r="G875" s="1" t="s">
        <v>6528</v>
      </c>
    </row>
    <row r="876" spans="1:7" ht="21" x14ac:dyDescent="0.25">
      <c r="A876" s="2" t="str">
        <f>HYPERLINK("https://rth.dk/resources/bsgatlas/details.php?id=BSGatlas-5'UTR-875","BSGatlas-5'UTR-875")</f>
        <v>BSGatlas-5'UTR-875</v>
      </c>
      <c r="B876" s="3">
        <v>1283336</v>
      </c>
      <c r="C876" s="3">
        <v>1283357</v>
      </c>
      <c r="D876" s="1" t="s">
        <v>13</v>
      </c>
      <c r="E876" s="1">
        <v>22</v>
      </c>
      <c r="F876" s="1" t="s">
        <v>12486</v>
      </c>
      <c r="G876" s="1" t="s">
        <v>6530</v>
      </c>
    </row>
    <row r="877" spans="1:7" ht="21" x14ac:dyDescent="0.25">
      <c r="A877" s="2" t="str">
        <f>HYPERLINK("https://rth.dk/resources/bsgatlas/details.php?id=BSGatlas-5'UTR-876","BSGatlas-5'UTR-876")</f>
        <v>BSGatlas-5'UTR-876</v>
      </c>
      <c r="B877" s="3">
        <v>1284769</v>
      </c>
      <c r="C877" s="3">
        <v>1284817</v>
      </c>
      <c r="D877" s="1" t="s">
        <v>13</v>
      </c>
      <c r="E877" s="1">
        <v>49</v>
      </c>
      <c r="F877" s="1" t="s">
        <v>12487</v>
      </c>
      <c r="G877" s="1" t="s">
        <v>6532</v>
      </c>
    </row>
    <row r="878" spans="1:7" ht="21" x14ac:dyDescent="0.25">
      <c r="A878" s="2" t="str">
        <f>HYPERLINK("https://rth.dk/resources/bsgatlas/details.php?id=BSGatlas-5'UTR-877","BSGatlas-5'UTR-877")</f>
        <v>BSGatlas-5'UTR-877</v>
      </c>
      <c r="B878" s="3">
        <v>1285445</v>
      </c>
      <c r="C878" s="3">
        <v>1285479</v>
      </c>
      <c r="D878" s="1" t="s">
        <v>13</v>
      </c>
      <c r="E878" s="1">
        <v>35</v>
      </c>
      <c r="F878" s="1" t="s">
        <v>12488</v>
      </c>
      <c r="G878" s="1" t="s">
        <v>6535</v>
      </c>
    </row>
    <row r="879" spans="1:7" ht="21" x14ac:dyDescent="0.25">
      <c r="A879" s="2" t="str">
        <f>HYPERLINK("https://rth.dk/resources/bsgatlas/details.php?id=BSGatlas-5'UTR-878","BSGatlas-5'UTR-878")</f>
        <v>BSGatlas-5'UTR-878</v>
      </c>
      <c r="B879" s="3">
        <v>1285542</v>
      </c>
      <c r="C879" s="3">
        <v>1285591</v>
      </c>
      <c r="D879" s="1" t="s">
        <v>9</v>
      </c>
      <c r="E879" s="1">
        <v>50</v>
      </c>
      <c r="F879" s="1" t="s">
        <v>12489</v>
      </c>
      <c r="G879" s="1" t="s">
        <v>6538</v>
      </c>
    </row>
    <row r="880" spans="1:7" ht="21" x14ac:dyDescent="0.25">
      <c r="A880" s="2" t="str">
        <f>HYPERLINK("https://rth.dk/resources/bsgatlas/details.php?id=BSGatlas-5'UTR-879","BSGatlas-5'UTR-879")</f>
        <v>BSGatlas-5'UTR-879</v>
      </c>
      <c r="B880" s="3">
        <v>1289259</v>
      </c>
      <c r="C880" s="3">
        <v>1289298</v>
      </c>
      <c r="D880" s="1" t="s">
        <v>9</v>
      </c>
      <c r="E880" s="1">
        <v>40</v>
      </c>
      <c r="F880" s="1" t="s">
        <v>12490</v>
      </c>
      <c r="G880" s="1" t="s">
        <v>6540</v>
      </c>
    </row>
    <row r="881" spans="1:7" ht="21" x14ac:dyDescent="0.25">
      <c r="A881" s="2" t="str">
        <f>HYPERLINK("https://rth.dk/resources/bsgatlas/details.php?id=BSGatlas-5'UTR-880","BSGatlas-5'UTR-880")</f>
        <v>BSGatlas-5'UTR-880</v>
      </c>
      <c r="B881" s="3">
        <v>1290953</v>
      </c>
      <c r="C881" s="3">
        <v>1291001</v>
      </c>
      <c r="D881" s="1" t="s">
        <v>13</v>
      </c>
      <c r="E881" s="1">
        <v>49</v>
      </c>
      <c r="F881" s="1" t="s">
        <v>12491</v>
      </c>
      <c r="G881" s="1" t="s">
        <v>6544</v>
      </c>
    </row>
    <row r="882" spans="1:7" ht="21" x14ac:dyDescent="0.25">
      <c r="A882" s="2" t="str">
        <f>HYPERLINK("https://rth.dk/resources/bsgatlas/details.php?id=BSGatlas-5'UTR-881","BSGatlas-5'UTR-881")</f>
        <v>BSGatlas-5'UTR-881</v>
      </c>
      <c r="B882" s="3">
        <v>1290953</v>
      </c>
      <c r="C882" s="3">
        <v>1291419</v>
      </c>
      <c r="D882" s="1" t="s">
        <v>13</v>
      </c>
      <c r="E882" s="1">
        <v>467</v>
      </c>
      <c r="F882" s="1" t="s">
        <v>12491</v>
      </c>
      <c r="G882" s="1" t="s">
        <v>6546</v>
      </c>
    </row>
    <row r="883" spans="1:7" ht="21" x14ac:dyDescent="0.25">
      <c r="A883" s="2" t="str">
        <f>HYPERLINK("https://rth.dk/resources/bsgatlas/details.php?id=BSGatlas-5'UTR-882","BSGatlas-5'UTR-882")</f>
        <v>BSGatlas-5'UTR-882</v>
      </c>
      <c r="B883" s="3">
        <v>1291171</v>
      </c>
      <c r="C883" s="3">
        <v>1291344</v>
      </c>
      <c r="D883" s="1" t="s">
        <v>9</v>
      </c>
      <c r="E883" s="1">
        <v>174</v>
      </c>
      <c r="F883" s="1" t="s">
        <v>12492</v>
      </c>
      <c r="G883" s="1" t="s">
        <v>6549</v>
      </c>
    </row>
    <row r="884" spans="1:7" ht="21" x14ac:dyDescent="0.25">
      <c r="A884" s="2" t="str">
        <f>HYPERLINK("https://rth.dk/resources/bsgatlas/details.php?id=BSGatlas-5'UTR-883","BSGatlas-5'UTR-883")</f>
        <v>BSGatlas-5'UTR-883</v>
      </c>
      <c r="B884" s="3">
        <v>1293964</v>
      </c>
      <c r="C884" s="3">
        <v>1293993</v>
      </c>
      <c r="D884" s="1" t="s">
        <v>13</v>
      </c>
      <c r="E884" s="1">
        <v>30</v>
      </c>
      <c r="F884" s="1" t="s">
        <v>12493</v>
      </c>
      <c r="G884" s="1" t="s">
        <v>6550</v>
      </c>
    </row>
    <row r="885" spans="1:7" ht="21" x14ac:dyDescent="0.25">
      <c r="A885" s="2" t="str">
        <f>HYPERLINK("https://rth.dk/resources/bsgatlas/details.php?id=BSGatlas-5'UTR-884","BSGatlas-5'UTR-884")</f>
        <v>BSGatlas-5'UTR-884</v>
      </c>
      <c r="B885" s="3">
        <v>1293964</v>
      </c>
      <c r="C885" s="3">
        <v>1294103</v>
      </c>
      <c r="D885" s="1" t="s">
        <v>13</v>
      </c>
      <c r="E885" s="1">
        <v>140</v>
      </c>
      <c r="F885" s="1" t="s">
        <v>12493</v>
      </c>
      <c r="G885" s="1" t="s">
        <v>6552</v>
      </c>
    </row>
    <row r="886" spans="1:7" ht="21" x14ac:dyDescent="0.25">
      <c r="A886" s="2" t="str">
        <f>HYPERLINK("https://rth.dk/resources/bsgatlas/details.php?id=BSGatlas-5'UTR-885","BSGatlas-5'UTR-885")</f>
        <v>BSGatlas-5'UTR-885</v>
      </c>
      <c r="B886" s="3">
        <v>1294084</v>
      </c>
      <c r="C886" s="3">
        <v>1294138</v>
      </c>
      <c r="D886" s="1" t="s">
        <v>9</v>
      </c>
      <c r="E886" s="1">
        <v>55</v>
      </c>
      <c r="F886" s="1" t="s">
        <v>12494</v>
      </c>
      <c r="G886" s="1" t="s">
        <v>6553</v>
      </c>
    </row>
    <row r="887" spans="1:7" ht="21" x14ac:dyDescent="0.25">
      <c r="A887" s="2" t="str">
        <f>HYPERLINK("https://rth.dk/resources/bsgatlas/details.php?id=BSGatlas-5'UTR-886","BSGatlas-5'UTR-886")</f>
        <v>BSGatlas-5'UTR-886</v>
      </c>
      <c r="B887" s="3">
        <v>1297594</v>
      </c>
      <c r="C887" s="3">
        <v>1297641</v>
      </c>
      <c r="D887" s="1" t="s">
        <v>13</v>
      </c>
      <c r="E887" s="1">
        <v>48</v>
      </c>
      <c r="F887" s="1" t="s">
        <v>12495</v>
      </c>
      <c r="G887" s="1" t="s">
        <v>6557</v>
      </c>
    </row>
    <row r="888" spans="1:7" ht="21" x14ac:dyDescent="0.25">
      <c r="A888" s="2" t="str">
        <f>HYPERLINK("https://rth.dk/resources/bsgatlas/details.php?id=BSGatlas-5'UTR-887","BSGatlas-5'UTR-887")</f>
        <v>BSGatlas-5'UTR-887</v>
      </c>
      <c r="B888" s="3">
        <v>1297701</v>
      </c>
      <c r="C888" s="3">
        <v>1297726</v>
      </c>
      <c r="D888" s="1" t="s">
        <v>9</v>
      </c>
      <c r="E888" s="1">
        <v>26</v>
      </c>
      <c r="F888" s="1" t="s">
        <v>12496</v>
      </c>
      <c r="G888" s="1" t="s">
        <v>6560</v>
      </c>
    </row>
    <row r="889" spans="1:7" ht="21" x14ac:dyDescent="0.25">
      <c r="A889" s="2" t="str">
        <f>HYPERLINK("https://rth.dk/resources/bsgatlas/details.php?id=BSGatlas-5'UTR-888","BSGatlas-5'UTR-888")</f>
        <v>BSGatlas-5'UTR-888</v>
      </c>
      <c r="B889" s="3">
        <v>1298355</v>
      </c>
      <c r="C889" s="3">
        <v>1298612</v>
      </c>
      <c r="D889" s="1" t="s">
        <v>9</v>
      </c>
      <c r="E889" s="1">
        <v>258</v>
      </c>
      <c r="F889" s="1" t="s">
        <v>12497</v>
      </c>
      <c r="G889" s="1" t="s">
        <v>6563</v>
      </c>
    </row>
    <row r="890" spans="1:7" ht="21" x14ac:dyDescent="0.25">
      <c r="A890" s="2" t="str">
        <f>HYPERLINK("https://rth.dk/resources/bsgatlas/details.php?id=BSGatlas-5'UTR-889","BSGatlas-5'UTR-889")</f>
        <v>BSGatlas-5'UTR-889</v>
      </c>
      <c r="B890" s="3">
        <v>1300143</v>
      </c>
      <c r="C890" s="3">
        <v>1300450</v>
      </c>
      <c r="D890" s="1" t="s">
        <v>9</v>
      </c>
      <c r="E890" s="1">
        <v>308</v>
      </c>
      <c r="F890" s="1" t="s">
        <v>12498</v>
      </c>
      <c r="G890" s="1" t="s">
        <v>6565</v>
      </c>
    </row>
    <row r="891" spans="1:7" ht="21" x14ac:dyDescent="0.25">
      <c r="A891" s="2" t="str">
        <f>HYPERLINK("https://rth.dk/resources/bsgatlas/details.php?id=BSGatlas-5'UTR-890","BSGatlas-5'UTR-890")</f>
        <v>BSGatlas-5'UTR-890</v>
      </c>
      <c r="B891" s="3">
        <v>1300397</v>
      </c>
      <c r="C891" s="3">
        <v>1300450</v>
      </c>
      <c r="D891" s="1" t="s">
        <v>9</v>
      </c>
      <c r="E891" s="1">
        <v>54</v>
      </c>
      <c r="F891" s="1" t="s">
        <v>12498</v>
      </c>
      <c r="G891" s="1" t="s">
        <v>6569</v>
      </c>
    </row>
    <row r="892" spans="1:7" ht="21" x14ac:dyDescent="0.25">
      <c r="A892" s="2" t="str">
        <f>HYPERLINK("https://rth.dk/resources/bsgatlas/details.php?id=BSGatlas-5'UTR-891","BSGatlas-5'UTR-891")</f>
        <v>BSGatlas-5'UTR-891</v>
      </c>
      <c r="B892" s="3">
        <v>1303368</v>
      </c>
      <c r="C892" s="3">
        <v>1303423</v>
      </c>
      <c r="D892" s="1" t="s">
        <v>9</v>
      </c>
      <c r="E892" s="1">
        <v>56</v>
      </c>
      <c r="F892" s="1" t="s">
        <v>12499</v>
      </c>
      <c r="G892" s="1" t="s">
        <v>6571</v>
      </c>
    </row>
    <row r="893" spans="1:7" ht="21" x14ac:dyDescent="0.25">
      <c r="A893" s="2" t="str">
        <f>HYPERLINK("https://rth.dk/resources/bsgatlas/details.php?id=BSGatlas-5'UTR-892","BSGatlas-5'UTR-892")</f>
        <v>BSGatlas-5'UTR-892</v>
      </c>
      <c r="B893" s="3">
        <v>1308679</v>
      </c>
      <c r="C893" s="3">
        <v>1308802</v>
      </c>
      <c r="D893" s="1" t="s">
        <v>9</v>
      </c>
      <c r="E893" s="1">
        <v>124</v>
      </c>
      <c r="F893" s="1" t="s">
        <v>12500</v>
      </c>
      <c r="G893" s="1" t="s">
        <v>6573</v>
      </c>
    </row>
    <row r="894" spans="1:7" ht="21" x14ac:dyDescent="0.25">
      <c r="A894" s="2" t="str">
        <f>HYPERLINK("https://rth.dk/resources/bsgatlas/details.php?id=BSGatlas-5'UTR-893","BSGatlas-5'UTR-893")</f>
        <v>BSGatlas-5'UTR-893</v>
      </c>
      <c r="B894" s="3">
        <v>1308747</v>
      </c>
      <c r="C894" s="3">
        <v>1308802</v>
      </c>
      <c r="D894" s="1" t="s">
        <v>9</v>
      </c>
      <c r="E894" s="1">
        <v>56</v>
      </c>
      <c r="F894" s="1" t="s">
        <v>12500</v>
      </c>
      <c r="G894" s="1" t="s">
        <v>6575</v>
      </c>
    </row>
    <row r="895" spans="1:7" ht="21" x14ac:dyDescent="0.25">
      <c r="A895" s="2" t="str">
        <f>HYPERLINK("https://rth.dk/resources/bsgatlas/details.php?id=BSGatlas-5'UTR-894","BSGatlas-5'UTR-894")</f>
        <v>BSGatlas-5'UTR-894</v>
      </c>
      <c r="B895" s="3">
        <v>1313615</v>
      </c>
      <c r="C895" s="3">
        <v>1313661</v>
      </c>
      <c r="D895" s="1" t="s">
        <v>13</v>
      </c>
      <c r="E895" s="1">
        <v>47</v>
      </c>
      <c r="F895" s="1" t="s">
        <v>12501</v>
      </c>
      <c r="G895" s="1" t="s">
        <v>6576</v>
      </c>
    </row>
    <row r="896" spans="1:7" ht="21" x14ac:dyDescent="0.25">
      <c r="A896" s="2" t="str">
        <f>HYPERLINK("https://rth.dk/resources/bsgatlas/details.php?id=BSGatlas-5'UTR-895","BSGatlas-5'UTR-895")</f>
        <v>BSGatlas-5'UTR-895</v>
      </c>
      <c r="B896" s="3">
        <v>1313615</v>
      </c>
      <c r="C896" s="3">
        <v>1313744</v>
      </c>
      <c r="D896" s="1" t="s">
        <v>13</v>
      </c>
      <c r="E896" s="1">
        <v>130</v>
      </c>
      <c r="F896" s="1" t="s">
        <v>12501</v>
      </c>
      <c r="G896" s="1" t="s">
        <v>6578</v>
      </c>
    </row>
    <row r="897" spans="1:7" ht="21" x14ac:dyDescent="0.25">
      <c r="A897" s="2" t="str">
        <f>HYPERLINK("https://rth.dk/resources/bsgatlas/details.php?id=BSGatlas-5'UTR-896","BSGatlas-5'UTR-896")</f>
        <v>BSGatlas-5'UTR-896</v>
      </c>
      <c r="B897" s="3">
        <v>1314304</v>
      </c>
      <c r="C897" s="3">
        <v>1314350</v>
      </c>
      <c r="D897" s="1" t="s">
        <v>13</v>
      </c>
      <c r="E897" s="1">
        <v>47</v>
      </c>
      <c r="F897" s="1" t="s">
        <v>12502</v>
      </c>
      <c r="G897" s="1" t="s">
        <v>6579</v>
      </c>
    </row>
    <row r="898" spans="1:7" ht="21" x14ac:dyDescent="0.25">
      <c r="A898" s="2" t="str">
        <f>HYPERLINK("https://rth.dk/resources/bsgatlas/details.php?id=BSGatlas-5'UTR-897","BSGatlas-5'UTR-897")</f>
        <v>BSGatlas-5'UTR-897</v>
      </c>
      <c r="B898" s="3">
        <v>1314304</v>
      </c>
      <c r="C898" s="3">
        <v>1315846</v>
      </c>
      <c r="D898" s="1" t="s">
        <v>13</v>
      </c>
      <c r="E898" s="1">
        <v>1543</v>
      </c>
      <c r="F898" s="1" t="s">
        <v>12502</v>
      </c>
      <c r="G898" s="1" t="s">
        <v>6581</v>
      </c>
    </row>
    <row r="899" spans="1:7" ht="21" x14ac:dyDescent="0.25">
      <c r="A899" s="2" t="str">
        <f>HYPERLINK("https://rth.dk/resources/bsgatlas/details.php?id=BSGatlas-5'UTR-898","BSGatlas-5'UTR-898")</f>
        <v>BSGatlas-5'UTR-898</v>
      </c>
      <c r="B899" s="3">
        <v>1314424</v>
      </c>
      <c r="C899" s="3">
        <v>1314453</v>
      </c>
      <c r="D899" s="1" t="s">
        <v>9</v>
      </c>
      <c r="E899" s="1">
        <v>30</v>
      </c>
      <c r="F899" s="1" t="s">
        <v>12503</v>
      </c>
      <c r="G899" s="1" t="s">
        <v>6582</v>
      </c>
    </row>
    <row r="900" spans="1:7" ht="21" x14ac:dyDescent="0.25">
      <c r="A900" s="2" t="str">
        <f>HYPERLINK("https://rth.dk/resources/bsgatlas/details.php?id=BSGatlas-5'UTR-899","BSGatlas-5'UTR-899")</f>
        <v>BSGatlas-5'UTR-899</v>
      </c>
      <c r="B900" s="3">
        <v>1315838</v>
      </c>
      <c r="C900" s="3">
        <v>1315869</v>
      </c>
      <c r="D900" s="1" t="s">
        <v>9</v>
      </c>
      <c r="E900" s="1">
        <v>32</v>
      </c>
      <c r="F900" s="1" t="s">
        <v>12504</v>
      </c>
      <c r="G900" s="1" t="s">
        <v>6586</v>
      </c>
    </row>
    <row r="901" spans="1:7" ht="21" x14ac:dyDescent="0.25">
      <c r="A901" s="2" t="str">
        <f>HYPERLINK("https://rth.dk/resources/bsgatlas/details.php?id=BSGatlas-5'UTR-900","BSGatlas-5'UTR-900")</f>
        <v>BSGatlas-5'UTR-900</v>
      </c>
      <c r="B901" s="3">
        <v>1317414</v>
      </c>
      <c r="C901" s="3">
        <v>1317442</v>
      </c>
      <c r="D901" s="1" t="s">
        <v>13</v>
      </c>
      <c r="E901" s="1">
        <v>29</v>
      </c>
      <c r="F901" s="1" t="s">
        <v>12505</v>
      </c>
      <c r="G901" s="1" t="s">
        <v>6588</v>
      </c>
    </row>
    <row r="902" spans="1:7" ht="21" x14ac:dyDescent="0.25">
      <c r="A902" s="2" t="str">
        <f>HYPERLINK("https://rth.dk/resources/bsgatlas/details.php?id=BSGatlas-5'UTR-901","BSGatlas-5'UTR-901")</f>
        <v>BSGatlas-5'UTR-901</v>
      </c>
      <c r="B902" s="3">
        <v>1317497</v>
      </c>
      <c r="C902" s="3">
        <v>1317535</v>
      </c>
      <c r="D902" s="1" t="s">
        <v>9</v>
      </c>
      <c r="E902" s="1">
        <v>39</v>
      </c>
      <c r="F902" s="1" t="s">
        <v>12506</v>
      </c>
      <c r="G902" s="1" t="s">
        <v>6590</v>
      </c>
    </row>
    <row r="903" spans="1:7" ht="21" x14ac:dyDescent="0.25">
      <c r="A903" s="2" t="str">
        <f>HYPERLINK("https://rth.dk/resources/bsgatlas/details.php?id=BSGatlas-5'UTR-902","BSGatlas-5'UTR-902")</f>
        <v>BSGatlas-5'UTR-902</v>
      </c>
      <c r="B903" s="3">
        <v>1318443</v>
      </c>
      <c r="C903" s="3">
        <v>1319011</v>
      </c>
      <c r="D903" s="1" t="s">
        <v>9</v>
      </c>
      <c r="E903" s="1">
        <v>569</v>
      </c>
      <c r="F903" s="1" t="s">
        <v>12507</v>
      </c>
      <c r="G903" s="1" t="s">
        <v>6593</v>
      </c>
    </row>
    <row r="904" spans="1:7" ht="21" x14ac:dyDescent="0.25">
      <c r="A904" s="2" t="str">
        <f>HYPERLINK("https://rth.dk/resources/bsgatlas/details.php?id=BSGatlas-5'UTR-903","BSGatlas-5'UTR-903")</f>
        <v>BSGatlas-5'UTR-903</v>
      </c>
      <c r="B904" s="3">
        <v>1318905</v>
      </c>
      <c r="C904" s="3">
        <v>1318940</v>
      </c>
      <c r="D904" s="1" t="s">
        <v>13</v>
      </c>
      <c r="E904" s="1">
        <v>36</v>
      </c>
      <c r="F904" s="1" t="s">
        <v>12508</v>
      </c>
      <c r="G904" s="1" t="s">
        <v>6595</v>
      </c>
    </row>
    <row r="905" spans="1:7" ht="21" x14ac:dyDescent="0.25">
      <c r="A905" s="2" t="str">
        <f>HYPERLINK("https://rth.dk/resources/bsgatlas/details.php?id=BSGatlas-5'UTR-904","BSGatlas-5'UTR-904")</f>
        <v>BSGatlas-5'UTR-904</v>
      </c>
      <c r="B905" s="3">
        <v>1318974</v>
      </c>
      <c r="C905" s="3">
        <v>1319011</v>
      </c>
      <c r="D905" s="1" t="s">
        <v>9</v>
      </c>
      <c r="E905" s="1">
        <v>38</v>
      </c>
      <c r="F905" s="1" t="s">
        <v>12507</v>
      </c>
      <c r="G905" s="1" t="s">
        <v>6597</v>
      </c>
    </row>
    <row r="906" spans="1:7" ht="21" x14ac:dyDescent="0.25">
      <c r="A906" s="2" t="str">
        <f>HYPERLINK("https://rth.dk/resources/bsgatlas/details.php?id=BSGatlas-5'UTR-905","BSGatlas-5'UTR-905")</f>
        <v>BSGatlas-5'UTR-905</v>
      </c>
      <c r="B906" s="3">
        <v>1319656</v>
      </c>
      <c r="C906" s="3">
        <v>1319690</v>
      </c>
      <c r="D906" s="1" t="s">
        <v>9</v>
      </c>
      <c r="E906" s="1">
        <v>35</v>
      </c>
      <c r="F906" s="1" t="s">
        <v>12509</v>
      </c>
      <c r="G906" s="1" t="s">
        <v>6599</v>
      </c>
    </row>
    <row r="907" spans="1:7" ht="21" x14ac:dyDescent="0.25">
      <c r="A907" s="2" t="str">
        <f>HYPERLINK("https://rth.dk/resources/bsgatlas/details.php?id=BSGatlas-5'UTR-906","BSGatlas-5'UTR-906")</f>
        <v>BSGatlas-5'UTR-906</v>
      </c>
      <c r="B907" s="3">
        <v>1321670</v>
      </c>
      <c r="C907" s="3">
        <v>1321712</v>
      </c>
      <c r="D907" s="1" t="s">
        <v>13</v>
      </c>
      <c r="E907" s="1">
        <v>43</v>
      </c>
      <c r="F907" s="1" t="s">
        <v>12510</v>
      </c>
      <c r="G907" s="1" t="s">
        <v>6600</v>
      </c>
    </row>
    <row r="908" spans="1:7" ht="21" x14ac:dyDescent="0.25">
      <c r="A908" s="2" t="str">
        <f>HYPERLINK("https://rth.dk/resources/bsgatlas/details.php?id=BSGatlas-5'UTR-907","BSGatlas-5'UTR-907")</f>
        <v>BSGatlas-5'UTR-907</v>
      </c>
      <c r="B908" s="3">
        <v>1321790</v>
      </c>
      <c r="C908" s="3">
        <v>1321848</v>
      </c>
      <c r="D908" s="1" t="s">
        <v>9</v>
      </c>
      <c r="E908" s="1">
        <v>59</v>
      </c>
      <c r="F908" s="1" t="s">
        <v>12511</v>
      </c>
      <c r="G908" s="1" t="s">
        <v>6603</v>
      </c>
    </row>
    <row r="909" spans="1:7" ht="21" x14ac:dyDescent="0.25">
      <c r="A909" s="2" t="str">
        <f>HYPERLINK("https://rth.dk/resources/bsgatlas/details.php?id=BSGatlas-5'UTR-908","BSGatlas-5'UTR-908")</f>
        <v>BSGatlas-5'UTR-908</v>
      </c>
      <c r="B909" s="3">
        <v>1325005</v>
      </c>
      <c r="C909" s="3">
        <v>1325096</v>
      </c>
      <c r="D909" s="1" t="s">
        <v>9</v>
      </c>
      <c r="E909" s="1">
        <v>92</v>
      </c>
      <c r="F909" s="1" t="s">
        <v>12512</v>
      </c>
      <c r="G909" s="1" t="s">
        <v>6607</v>
      </c>
    </row>
    <row r="910" spans="1:7" ht="21" x14ac:dyDescent="0.25">
      <c r="A910" s="2" t="str">
        <f>HYPERLINK("https://rth.dk/resources/bsgatlas/details.php?id=BSGatlas-5'UTR-909","BSGatlas-5'UTR-909")</f>
        <v>BSGatlas-5'UTR-909</v>
      </c>
      <c r="B910" s="3">
        <v>1328239</v>
      </c>
      <c r="C910" s="3">
        <v>1328702</v>
      </c>
      <c r="D910" s="1" t="s">
        <v>9</v>
      </c>
      <c r="E910" s="1">
        <v>464</v>
      </c>
      <c r="F910" s="1" t="s">
        <v>12513</v>
      </c>
      <c r="G910" s="1" t="s">
        <v>6614</v>
      </c>
    </row>
    <row r="911" spans="1:7" ht="21" x14ac:dyDescent="0.25">
      <c r="A911" s="2" t="str">
        <f>HYPERLINK("https://rth.dk/resources/bsgatlas/details.php?id=BSGatlas-5'UTR-910","BSGatlas-5'UTR-910")</f>
        <v>BSGatlas-5'UTR-910</v>
      </c>
      <c r="B911" s="3">
        <v>1346693</v>
      </c>
      <c r="C911" s="3">
        <v>1346731</v>
      </c>
      <c r="D911" s="1" t="s">
        <v>9</v>
      </c>
      <c r="E911" s="1">
        <v>39</v>
      </c>
      <c r="F911" s="1" t="s">
        <v>12514</v>
      </c>
      <c r="G911" s="1" t="s">
        <v>6618</v>
      </c>
    </row>
    <row r="912" spans="1:7" ht="21" x14ac:dyDescent="0.25">
      <c r="A912" s="2" t="str">
        <f>HYPERLINK("https://rth.dk/resources/bsgatlas/details.php?id=BSGatlas-5'UTR-911","BSGatlas-5'UTR-911")</f>
        <v>BSGatlas-5'UTR-911</v>
      </c>
      <c r="B912" s="3">
        <v>1349358</v>
      </c>
      <c r="C912" s="3">
        <v>1349397</v>
      </c>
      <c r="D912" s="1" t="s">
        <v>13</v>
      </c>
      <c r="E912" s="1">
        <v>40</v>
      </c>
      <c r="F912" s="1" t="s">
        <v>12515</v>
      </c>
      <c r="G912" s="1" t="s">
        <v>6623</v>
      </c>
    </row>
    <row r="913" spans="1:7" ht="21" x14ac:dyDescent="0.25">
      <c r="A913" s="2" t="str">
        <f>HYPERLINK("https://rth.dk/resources/bsgatlas/details.php?id=BSGatlas-5'UTR-912","BSGatlas-5'UTR-912")</f>
        <v>BSGatlas-5'UTR-912</v>
      </c>
      <c r="B913" s="3">
        <v>1351099</v>
      </c>
      <c r="C913" s="3">
        <v>1351137</v>
      </c>
      <c r="D913" s="1" t="s">
        <v>13</v>
      </c>
      <c r="E913" s="1">
        <v>39</v>
      </c>
      <c r="F913" s="1" t="s">
        <v>12516</v>
      </c>
      <c r="G913" s="1" t="s">
        <v>6625</v>
      </c>
    </row>
    <row r="914" spans="1:7" ht="21" x14ac:dyDescent="0.25">
      <c r="A914" s="2" t="str">
        <f>HYPERLINK("https://rth.dk/resources/bsgatlas/details.php?id=BSGatlas-5'UTR-913","BSGatlas-5'UTR-913")</f>
        <v>BSGatlas-5'UTR-913</v>
      </c>
      <c r="B914" s="3">
        <v>1351099</v>
      </c>
      <c r="C914" s="3">
        <v>1351236</v>
      </c>
      <c r="D914" s="1" t="s">
        <v>13</v>
      </c>
      <c r="E914" s="1">
        <v>138</v>
      </c>
      <c r="F914" s="1" t="s">
        <v>12516</v>
      </c>
      <c r="G914" s="1" t="s">
        <v>6627</v>
      </c>
    </row>
    <row r="915" spans="1:7" ht="21" x14ac:dyDescent="0.25">
      <c r="A915" s="2" t="str">
        <f>HYPERLINK("https://rth.dk/resources/bsgatlas/details.php?id=BSGatlas-5'UTR-914","BSGatlas-5'UTR-914")</f>
        <v>BSGatlas-5'UTR-914</v>
      </c>
      <c r="B915" s="3">
        <v>1351099</v>
      </c>
      <c r="C915" s="3">
        <v>1351293</v>
      </c>
      <c r="D915" s="1" t="s">
        <v>13</v>
      </c>
      <c r="E915" s="1">
        <v>195</v>
      </c>
      <c r="F915" s="1" t="s">
        <v>12516</v>
      </c>
      <c r="G915" s="1" t="s">
        <v>6628</v>
      </c>
    </row>
    <row r="916" spans="1:7" ht="21" x14ac:dyDescent="0.25">
      <c r="A916" s="2" t="str">
        <f>HYPERLINK("https://rth.dk/resources/bsgatlas/details.php?id=BSGatlas-5'UTR-915","BSGatlas-5'UTR-915")</f>
        <v>BSGatlas-5'UTR-915</v>
      </c>
      <c r="B916" s="3">
        <v>1352691</v>
      </c>
      <c r="C916" s="3">
        <v>1352754</v>
      </c>
      <c r="D916" s="1" t="s">
        <v>13</v>
      </c>
      <c r="E916" s="1">
        <v>64</v>
      </c>
      <c r="F916" s="1" t="s">
        <v>12517</v>
      </c>
      <c r="G916" s="1" t="s">
        <v>6630</v>
      </c>
    </row>
    <row r="917" spans="1:7" ht="21" x14ac:dyDescent="0.25">
      <c r="A917" s="2" t="str">
        <f>HYPERLINK("https://rth.dk/resources/bsgatlas/details.php?id=BSGatlas-5'UTR-916","BSGatlas-5'UTR-916")</f>
        <v>BSGatlas-5'UTR-916</v>
      </c>
      <c r="B917" s="3">
        <v>1353011</v>
      </c>
      <c r="C917" s="3">
        <v>1353080</v>
      </c>
      <c r="D917" s="1" t="s">
        <v>9</v>
      </c>
      <c r="E917" s="1">
        <v>70</v>
      </c>
      <c r="F917" s="1" t="s">
        <v>12518</v>
      </c>
      <c r="G917" s="1" t="s">
        <v>6632</v>
      </c>
    </row>
    <row r="918" spans="1:7" ht="21" x14ac:dyDescent="0.25">
      <c r="A918" s="2" t="str">
        <f>HYPERLINK("https://rth.dk/resources/bsgatlas/details.php?id=BSGatlas-5'UTR-917","BSGatlas-5'UTR-917")</f>
        <v>BSGatlas-5'UTR-917</v>
      </c>
      <c r="B918" s="3">
        <v>1357833</v>
      </c>
      <c r="C918" s="3">
        <v>1357852</v>
      </c>
      <c r="D918" s="1" t="s">
        <v>13</v>
      </c>
      <c r="E918" s="1">
        <v>20</v>
      </c>
      <c r="F918" s="1" t="s">
        <v>12519</v>
      </c>
      <c r="G918" s="1" t="s">
        <v>6638</v>
      </c>
    </row>
    <row r="919" spans="1:7" ht="21" x14ac:dyDescent="0.25">
      <c r="A919" s="2" t="str">
        <f>HYPERLINK("https://rth.dk/resources/bsgatlas/details.php?id=BSGatlas-5'UTR-918","BSGatlas-5'UTR-918")</f>
        <v>BSGatlas-5'UTR-918</v>
      </c>
      <c r="B919" s="3">
        <v>1359285</v>
      </c>
      <c r="C919" s="3">
        <v>1359345</v>
      </c>
      <c r="D919" s="1" t="s">
        <v>13</v>
      </c>
      <c r="E919" s="1">
        <v>61</v>
      </c>
      <c r="F919" s="1" t="s">
        <v>12520</v>
      </c>
      <c r="G919" s="1" t="s">
        <v>6642</v>
      </c>
    </row>
    <row r="920" spans="1:7" ht="21" x14ac:dyDescent="0.25">
      <c r="A920" s="2" t="str">
        <f>HYPERLINK("https://rth.dk/resources/bsgatlas/details.php?id=BSGatlas-5'UTR-919","BSGatlas-5'UTR-919")</f>
        <v>BSGatlas-5'UTR-919</v>
      </c>
      <c r="B920" s="3">
        <v>1359285</v>
      </c>
      <c r="C920" s="3">
        <v>1359439</v>
      </c>
      <c r="D920" s="1" t="s">
        <v>13</v>
      </c>
      <c r="E920" s="1">
        <v>155</v>
      </c>
      <c r="F920" s="1" t="s">
        <v>12520</v>
      </c>
      <c r="G920" s="1" t="s">
        <v>6644</v>
      </c>
    </row>
    <row r="921" spans="1:7" ht="21" x14ac:dyDescent="0.25">
      <c r="A921" s="2" t="str">
        <f>HYPERLINK("https://rth.dk/resources/bsgatlas/details.php?id=BSGatlas-5'UTR-920","BSGatlas-5'UTR-920")</f>
        <v>BSGatlas-5'UTR-920</v>
      </c>
      <c r="B921" s="3">
        <v>1359345</v>
      </c>
      <c r="C921" s="3">
        <v>1359454</v>
      </c>
      <c r="D921" s="1" t="s">
        <v>9</v>
      </c>
      <c r="E921" s="1">
        <v>110</v>
      </c>
      <c r="F921" s="1" t="s">
        <v>12521</v>
      </c>
      <c r="G921" s="1" t="s">
        <v>6645</v>
      </c>
    </row>
    <row r="922" spans="1:7" ht="21" x14ac:dyDescent="0.25">
      <c r="A922" s="2" t="str">
        <f>HYPERLINK("https://rth.dk/resources/bsgatlas/details.php?id=BSGatlas-5'UTR-921","BSGatlas-5'UTR-921")</f>
        <v>BSGatlas-5'UTR-921</v>
      </c>
      <c r="B922" s="3">
        <v>1359420</v>
      </c>
      <c r="C922" s="3">
        <v>1359454</v>
      </c>
      <c r="D922" s="1" t="s">
        <v>9</v>
      </c>
      <c r="E922" s="1">
        <v>35</v>
      </c>
      <c r="F922" s="1" t="s">
        <v>12521</v>
      </c>
      <c r="G922" s="1" t="s">
        <v>6647</v>
      </c>
    </row>
    <row r="923" spans="1:7" ht="21" x14ac:dyDescent="0.25">
      <c r="A923" s="2" t="str">
        <f>HYPERLINK("https://rth.dk/resources/bsgatlas/details.php?id=BSGatlas-5'UTR-922","BSGatlas-5'UTR-922")</f>
        <v>BSGatlas-5'UTR-922</v>
      </c>
      <c r="B923" s="3">
        <v>1360365</v>
      </c>
      <c r="C923" s="3">
        <v>1360401</v>
      </c>
      <c r="D923" s="1" t="s">
        <v>9</v>
      </c>
      <c r="E923" s="1">
        <v>37</v>
      </c>
      <c r="F923" s="1" t="s">
        <v>12522</v>
      </c>
      <c r="G923" s="1" t="s">
        <v>6649</v>
      </c>
    </row>
    <row r="924" spans="1:7" ht="21" x14ac:dyDescent="0.25">
      <c r="A924" s="2" t="str">
        <f>HYPERLINK("https://rth.dk/resources/bsgatlas/details.php?id=BSGatlas-5'UTR-923","BSGatlas-5'UTR-923")</f>
        <v>BSGatlas-5'UTR-923</v>
      </c>
      <c r="B924" s="3">
        <v>1362890</v>
      </c>
      <c r="C924" s="3">
        <v>1363141</v>
      </c>
      <c r="D924" s="1" t="s">
        <v>9</v>
      </c>
      <c r="E924" s="1">
        <v>252</v>
      </c>
      <c r="F924" s="1" t="s">
        <v>12523</v>
      </c>
      <c r="G924" s="1" t="s">
        <v>6656</v>
      </c>
    </row>
    <row r="925" spans="1:7" ht="21" x14ac:dyDescent="0.25">
      <c r="A925" s="2" t="str">
        <f>HYPERLINK("https://rth.dk/resources/bsgatlas/details.php?id=BSGatlas-5'UTR-924","BSGatlas-5'UTR-924")</f>
        <v>BSGatlas-5'UTR-924</v>
      </c>
      <c r="B925" s="3">
        <v>1370925</v>
      </c>
      <c r="C925" s="3">
        <v>1370963</v>
      </c>
      <c r="D925" s="1" t="s">
        <v>13</v>
      </c>
      <c r="E925" s="1">
        <v>39</v>
      </c>
      <c r="F925" s="1" t="s">
        <v>12524</v>
      </c>
      <c r="G925" s="1" t="s">
        <v>6659</v>
      </c>
    </row>
    <row r="926" spans="1:7" ht="21" x14ac:dyDescent="0.25">
      <c r="A926" s="2" t="str">
        <f>HYPERLINK("https://rth.dk/resources/bsgatlas/details.php?id=BSGatlas-5'UTR-925","BSGatlas-5'UTR-925")</f>
        <v>BSGatlas-5'UTR-925</v>
      </c>
      <c r="B926" s="3">
        <v>1371875</v>
      </c>
      <c r="C926" s="3">
        <v>1371917</v>
      </c>
      <c r="D926" s="1" t="s">
        <v>13</v>
      </c>
      <c r="E926" s="1">
        <v>43</v>
      </c>
      <c r="F926" s="1" t="s">
        <v>12525</v>
      </c>
      <c r="G926" s="1" t="s">
        <v>6662</v>
      </c>
    </row>
    <row r="927" spans="1:7" ht="21" x14ac:dyDescent="0.25">
      <c r="A927" s="2" t="str">
        <f>HYPERLINK("https://rth.dk/resources/bsgatlas/details.php?id=BSGatlas-5'UTR-926","BSGatlas-5'UTR-926")</f>
        <v>BSGatlas-5'UTR-926</v>
      </c>
      <c r="B927" s="3">
        <v>1371977</v>
      </c>
      <c r="C927" s="3">
        <v>1372035</v>
      </c>
      <c r="D927" s="1" t="s">
        <v>9</v>
      </c>
      <c r="E927" s="1">
        <v>59</v>
      </c>
      <c r="F927" s="1" t="s">
        <v>12526</v>
      </c>
      <c r="G927" s="1" t="s">
        <v>6665</v>
      </c>
    </row>
    <row r="928" spans="1:7" ht="21" x14ac:dyDescent="0.25">
      <c r="A928" s="2" t="str">
        <f>HYPERLINK("https://rth.dk/resources/bsgatlas/details.php?id=BSGatlas-5'UTR-927","BSGatlas-5'UTR-927")</f>
        <v>BSGatlas-5'UTR-927</v>
      </c>
      <c r="B928" s="3">
        <v>1372636</v>
      </c>
      <c r="C928" s="3">
        <v>1372792</v>
      </c>
      <c r="D928" s="1" t="s">
        <v>9</v>
      </c>
      <c r="E928" s="1">
        <v>157</v>
      </c>
      <c r="F928" s="1" t="s">
        <v>12527</v>
      </c>
      <c r="G928" s="1" t="s">
        <v>6667</v>
      </c>
    </row>
    <row r="929" spans="1:7" ht="21" x14ac:dyDescent="0.25">
      <c r="A929" s="2" t="str">
        <f>HYPERLINK("https://rth.dk/resources/bsgatlas/details.php?id=BSGatlas-5'UTR-928","BSGatlas-5'UTR-928")</f>
        <v>BSGatlas-5'UTR-928</v>
      </c>
      <c r="B929" s="3">
        <v>1372753</v>
      </c>
      <c r="C929" s="3">
        <v>1372792</v>
      </c>
      <c r="D929" s="1" t="s">
        <v>9</v>
      </c>
      <c r="E929" s="1">
        <v>40</v>
      </c>
      <c r="F929" s="1" t="s">
        <v>12527</v>
      </c>
      <c r="G929" s="1" t="s">
        <v>6671</v>
      </c>
    </row>
    <row r="930" spans="1:7" ht="21" x14ac:dyDescent="0.25">
      <c r="A930" s="2" t="str">
        <f>HYPERLINK("https://rth.dk/resources/bsgatlas/details.php?id=BSGatlas-5'UTR-929","BSGatlas-5'UTR-929")</f>
        <v>BSGatlas-5'UTR-929</v>
      </c>
      <c r="B930" s="3">
        <v>1374398</v>
      </c>
      <c r="C930" s="3">
        <v>1374437</v>
      </c>
      <c r="D930" s="1" t="s">
        <v>9</v>
      </c>
      <c r="E930" s="1">
        <v>40</v>
      </c>
      <c r="F930" s="1" t="s">
        <v>12528</v>
      </c>
      <c r="G930" s="1" t="s">
        <v>6672</v>
      </c>
    </row>
    <row r="931" spans="1:7" ht="21" x14ac:dyDescent="0.25">
      <c r="A931" s="2" t="str">
        <f>HYPERLINK("https://rth.dk/resources/bsgatlas/details.php?id=BSGatlas-5'UTR-930","BSGatlas-5'UTR-930")</f>
        <v>BSGatlas-5'UTR-930</v>
      </c>
      <c r="B931" s="3">
        <v>1375234</v>
      </c>
      <c r="C931" s="3">
        <v>1375260</v>
      </c>
      <c r="D931" s="1" t="s">
        <v>9</v>
      </c>
      <c r="E931" s="1">
        <v>27</v>
      </c>
      <c r="F931" s="1" t="s">
        <v>12529</v>
      </c>
      <c r="G931" s="1" t="s">
        <v>6674</v>
      </c>
    </row>
    <row r="932" spans="1:7" ht="21" x14ac:dyDescent="0.25">
      <c r="A932" s="2" t="str">
        <f>HYPERLINK("https://rth.dk/resources/bsgatlas/details.php?id=BSGatlas-5'UTR-931","BSGatlas-5'UTR-931")</f>
        <v>BSGatlas-5'UTR-931</v>
      </c>
      <c r="B932" s="3">
        <v>1376313</v>
      </c>
      <c r="C932" s="3">
        <v>1376517</v>
      </c>
      <c r="D932" s="1" t="s">
        <v>9</v>
      </c>
      <c r="E932" s="1">
        <v>205</v>
      </c>
      <c r="F932" s="1" t="s">
        <v>12530</v>
      </c>
      <c r="G932" s="1" t="s">
        <v>6676</v>
      </c>
    </row>
    <row r="933" spans="1:7" ht="21" x14ac:dyDescent="0.25">
      <c r="A933" s="2" t="str">
        <f>HYPERLINK("https://rth.dk/resources/bsgatlas/details.php?id=BSGatlas-5'UTR-932","BSGatlas-5'UTR-932")</f>
        <v>BSGatlas-5'UTR-932</v>
      </c>
      <c r="B933" s="3">
        <v>1377203</v>
      </c>
      <c r="C933" s="3">
        <v>1377243</v>
      </c>
      <c r="D933" s="1" t="s">
        <v>9</v>
      </c>
      <c r="E933" s="1">
        <v>41</v>
      </c>
      <c r="F933" s="1" t="s">
        <v>12531</v>
      </c>
      <c r="G933" s="1" t="s">
        <v>6678</v>
      </c>
    </row>
    <row r="934" spans="1:7" ht="21" x14ac:dyDescent="0.25">
      <c r="A934" s="2" t="str">
        <f>HYPERLINK("https://rth.dk/resources/bsgatlas/details.php?id=BSGatlas-5'UTR-933","BSGatlas-5'UTR-933")</f>
        <v>BSGatlas-5'UTR-933</v>
      </c>
      <c r="B934" s="3">
        <v>1378226</v>
      </c>
      <c r="C934" s="3">
        <v>1378496</v>
      </c>
      <c r="D934" s="1" t="s">
        <v>9</v>
      </c>
      <c r="E934" s="1">
        <v>271</v>
      </c>
      <c r="F934" s="1" t="s">
        <v>12532</v>
      </c>
      <c r="G934" s="1" t="s">
        <v>6681</v>
      </c>
    </row>
    <row r="935" spans="1:7" ht="21" x14ac:dyDescent="0.25">
      <c r="A935" s="2" t="str">
        <f>HYPERLINK("https://rth.dk/resources/bsgatlas/details.php?id=BSGatlas-5'UTR-934","BSGatlas-5'UTR-934")</f>
        <v>BSGatlas-5'UTR-934</v>
      </c>
      <c r="B935" s="3">
        <v>1380951</v>
      </c>
      <c r="C935" s="3">
        <v>1380978</v>
      </c>
      <c r="D935" s="1" t="s">
        <v>9</v>
      </c>
      <c r="E935" s="1">
        <v>28</v>
      </c>
      <c r="F935" s="1" t="s">
        <v>12533</v>
      </c>
      <c r="G935" s="1" t="s">
        <v>6686</v>
      </c>
    </row>
    <row r="936" spans="1:7" ht="21" x14ac:dyDescent="0.25">
      <c r="A936" s="2" t="str">
        <f>HYPERLINK("https://rth.dk/resources/bsgatlas/details.php?id=BSGatlas-5'UTR-935","BSGatlas-5'UTR-935")</f>
        <v>BSGatlas-5'UTR-935</v>
      </c>
      <c r="B936" s="3">
        <v>1381877</v>
      </c>
      <c r="C936" s="3">
        <v>1381910</v>
      </c>
      <c r="D936" s="1" t="s">
        <v>13</v>
      </c>
      <c r="E936" s="1">
        <v>34</v>
      </c>
      <c r="F936" s="1" t="s">
        <v>12534</v>
      </c>
      <c r="G936" s="1" t="s">
        <v>6688</v>
      </c>
    </row>
    <row r="937" spans="1:7" ht="21" x14ac:dyDescent="0.25">
      <c r="A937" s="2" t="str">
        <f>HYPERLINK("https://rth.dk/resources/bsgatlas/details.php?id=BSGatlas-5'UTR-936","BSGatlas-5'UTR-936")</f>
        <v>BSGatlas-5'UTR-936</v>
      </c>
      <c r="B937" s="3">
        <v>1381994</v>
      </c>
      <c r="C937" s="3">
        <v>1382020</v>
      </c>
      <c r="D937" s="1" t="s">
        <v>9</v>
      </c>
      <c r="E937" s="1">
        <v>27</v>
      </c>
      <c r="F937" s="1" t="s">
        <v>12535</v>
      </c>
      <c r="G937" s="1" t="s">
        <v>6691</v>
      </c>
    </row>
    <row r="938" spans="1:7" ht="21" x14ac:dyDescent="0.25">
      <c r="A938" s="2" t="str">
        <f>HYPERLINK("https://rth.dk/resources/bsgatlas/details.php?id=BSGatlas-5'UTR-937","BSGatlas-5'UTR-937")</f>
        <v>BSGatlas-5'UTR-937</v>
      </c>
      <c r="B938" s="3">
        <v>1383147</v>
      </c>
      <c r="C938" s="3">
        <v>1383171</v>
      </c>
      <c r="D938" s="1" t="s">
        <v>13</v>
      </c>
      <c r="E938" s="1">
        <v>25</v>
      </c>
      <c r="F938" s="1" t="s">
        <v>12536</v>
      </c>
      <c r="G938" s="1" t="s">
        <v>6696</v>
      </c>
    </row>
    <row r="939" spans="1:7" ht="21" x14ac:dyDescent="0.25">
      <c r="A939" s="2" t="str">
        <f>HYPERLINK("https://rth.dk/resources/bsgatlas/details.php?id=BSGatlas-5'UTR-938","BSGatlas-5'UTR-938")</f>
        <v>BSGatlas-5'UTR-938</v>
      </c>
      <c r="B939" s="3">
        <v>1385608</v>
      </c>
      <c r="C939" s="3">
        <v>1385671</v>
      </c>
      <c r="D939" s="1" t="s">
        <v>13</v>
      </c>
      <c r="E939" s="1">
        <v>64</v>
      </c>
      <c r="F939" s="1" t="s">
        <v>12537</v>
      </c>
      <c r="G939" s="1" t="s">
        <v>6698</v>
      </c>
    </row>
    <row r="940" spans="1:7" ht="21" x14ac:dyDescent="0.25">
      <c r="A940" s="2" t="str">
        <f>HYPERLINK("https://rth.dk/resources/bsgatlas/details.php?id=BSGatlas-5'UTR-939","BSGatlas-5'UTR-939")</f>
        <v>BSGatlas-5'UTR-939</v>
      </c>
      <c r="B940" s="3">
        <v>1385608</v>
      </c>
      <c r="C940" s="3">
        <v>1385936</v>
      </c>
      <c r="D940" s="1" t="s">
        <v>13</v>
      </c>
      <c r="E940" s="1">
        <v>329</v>
      </c>
      <c r="F940" s="1" t="s">
        <v>12537</v>
      </c>
      <c r="G940" s="1" t="s">
        <v>6700</v>
      </c>
    </row>
    <row r="941" spans="1:7" ht="21" x14ac:dyDescent="0.25">
      <c r="A941" s="2" t="str">
        <f>HYPERLINK("https://rth.dk/resources/bsgatlas/details.php?id=BSGatlas-5'UTR-940","BSGatlas-5'UTR-940")</f>
        <v>BSGatlas-5'UTR-940</v>
      </c>
      <c r="B941" s="3">
        <v>1386983</v>
      </c>
      <c r="C941" s="3">
        <v>1387028</v>
      </c>
      <c r="D941" s="1" t="s">
        <v>13</v>
      </c>
      <c r="E941" s="1">
        <v>46</v>
      </c>
      <c r="F941" s="1" t="s">
        <v>12538</v>
      </c>
      <c r="G941" s="1" t="s">
        <v>6702</v>
      </c>
    </row>
    <row r="942" spans="1:7" ht="21" x14ac:dyDescent="0.25">
      <c r="A942" s="2" t="str">
        <f>HYPERLINK("https://rth.dk/resources/bsgatlas/details.php?id=BSGatlas-5'UTR-941","BSGatlas-5'UTR-941")</f>
        <v>BSGatlas-5'UTR-941</v>
      </c>
      <c r="B942" s="3">
        <v>1387168</v>
      </c>
      <c r="C942" s="3">
        <v>1387206</v>
      </c>
      <c r="D942" s="1" t="s">
        <v>9</v>
      </c>
      <c r="E942" s="1">
        <v>39</v>
      </c>
      <c r="F942" s="1" t="s">
        <v>12539</v>
      </c>
      <c r="G942" s="1" t="s">
        <v>6703</v>
      </c>
    </row>
    <row r="943" spans="1:7" ht="21" x14ac:dyDescent="0.25">
      <c r="A943" s="2" t="str">
        <f>HYPERLINK("https://rth.dk/resources/bsgatlas/details.php?id=BSGatlas-5'UTR-942","BSGatlas-5'UTR-942")</f>
        <v>BSGatlas-5'UTR-942</v>
      </c>
      <c r="B943" s="3">
        <v>1391642</v>
      </c>
      <c r="C943" s="3">
        <v>1391887</v>
      </c>
      <c r="D943" s="1" t="s">
        <v>13</v>
      </c>
      <c r="E943" s="1">
        <v>246</v>
      </c>
      <c r="F943" s="1" t="s">
        <v>12540</v>
      </c>
      <c r="G943" s="1" t="s">
        <v>6706</v>
      </c>
    </row>
    <row r="944" spans="1:7" ht="21" x14ac:dyDescent="0.25">
      <c r="A944" s="2" t="str">
        <f>HYPERLINK("https://rth.dk/resources/bsgatlas/details.php?id=BSGatlas-5'UTR-943","BSGatlas-5'UTR-943")</f>
        <v>BSGatlas-5'UTR-943</v>
      </c>
      <c r="B944" s="3">
        <v>1391882</v>
      </c>
      <c r="C944" s="3">
        <v>1391953</v>
      </c>
      <c r="D944" s="1" t="s">
        <v>9</v>
      </c>
      <c r="E944" s="1">
        <v>72</v>
      </c>
      <c r="F944" s="1" t="s">
        <v>12541</v>
      </c>
      <c r="G944" s="1" t="s">
        <v>6710</v>
      </c>
    </row>
    <row r="945" spans="1:7" ht="21" x14ac:dyDescent="0.25">
      <c r="A945" s="2" t="str">
        <f>HYPERLINK("https://rth.dk/resources/bsgatlas/details.php?id=BSGatlas-5'UTR-944","BSGatlas-5'UTR-944")</f>
        <v>BSGatlas-5'UTR-944</v>
      </c>
      <c r="B945" s="3">
        <v>1394737</v>
      </c>
      <c r="C945" s="3">
        <v>1394776</v>
      </c>
      <c r="D945" s="1" t="s">
        <v>9</v>
      </c>
      <c r="E945" s="1">
        <v>40</v>
      </c>
      <c r="F945" s="1" t="s">
        <v>12542</v>
      </c>
      <c r="G945" s="1" t="s">
        <v>6712</v>
      </c>
    </row>
    <row r="946" spans="1:7" ht="21" x14ac:dyDescent="0.25">
      <c r="A946" s="2" t="str">
        <f>HYPERLINK("https://rth.dk/resources/bsgatlas/details.php?id=BSGatlas-5'UTR-945","BSGatlas-5'UTR-945")</f>
        <v>BSGatlas-5'UTR-945</v>
      </c>
      <c r="B946" s="3">
        <v>1395340</v>
      </c>
      <c r="C946" s="3">
        <v>1395371</v>
      </c>
      <c r="D946" s="1" t="s">
        <v>9</v>
      </c>
      <c r="E946" s="1">
        <v>32</v>
      </c>
      <c r="F946" s="1" t="s">
        <v>12543</v>
      </c>
      <c r="G946" s="1" t="s">
        <v>6713</v>
      </c>
    </row>
    <row r="947" spans="1:7" ht="21" x14ac:dyDescent="0.25">
      <c r="A947" s="2" t="str">
        <f>HYPERLINK("https://rth.dk/resources/bsgatlas/details.php?id=BSGatlas-5'UTR-946","BSGatlas-5'UTR-946")</f>
        <v>BSGatlas-5'UTR-946</v>
      </c>
      <c r="B947" s="3">
        <v>1395590</v>
      </c>
      <c r="C947" s="3">
        <v>1396013</v>
      </c>
      <c r="D947" s="1" t="s">
        <v>9</v>
      </c>
      <c r="E947" s="1">
        <v>424</v>
      </c>
      <c r="F947" s="1" t="s">
        <v>12544</v>
      </c>
      <c r="G947" s="1" t="s">
        <v>6715</v>
      </c>
    </row>
    <row r="948" spans="1:7" ht="21" x14ac:dyDescent="0.25">
      <c r="A948" s="2" t="str">
        <f>HYPERLINK("https://rth.dk/resources/bsgatlas/details.php?id=BSGatlas-5'UTR-947","BSGatlas-5'UTR-947")</f>
        <v>BSGatlas-5'UTR-947</v>
      </c>
      <c r="B948" s="3">
        <v>1395911</v>
      </c>
      <c r="C948" s="3">
        <v>1396013</v>
      </c>
      <c r="D948" s="1" t="s">
        <v>9</v>
      </c>
      <c r="E948" s="1">
        <v>103</v>
      </c>
      <c r="F948" s="1" t="s">
        <v>12544</v>
      </c>
      <c r="G948" s="1" t="s">
        <v>6718</v>
      </c>
    </row>
    <row r="949" spans="1:7" ht="21" x14ac:dyDescent="0.25">
      <c r="A949" s="2" t="str">
        <f>HYPERLINK("https://rth.dk/resources/bsgatlas/details.php?id=BSGatlas-5'UTR-948","BSGatlas-5'UTR-948")</f>
        <v>BSGatlas-5'UTR-948</v>
      </c>
      <c r="B949" s="3">
        <v>1397743</v>
      </c>
      <c r="C949" s="3">
        <v>1397769</v>
      </c>
      <c r="D949" s="1" t="s">
        <v>13</v>
      </c>
      <c r="E949" s="1">
        <v>27</v>
      </c>
      <c r="F949" s="1" t="s">
        <v>12545</v>
      </c>
      <c r="G949" s="1" t="s">
        <v>6719</v>
      </c>
    </row>
    <row r="950" spans="1:7" ht="21" x14ac:dyDescent="0.25">
      <c r="A950" s="2" t="str">
        <f>HYPERLINK("https://rth.dk/resources/bsgatlas/details.php?id=BSGatlas-5'UTR-949","BSGatlas-5'UTR-949")</f>
        <v>BSGatlas-5'UTR-949</v>
      </c>
      <c r="B950" s="3">
        <v>1397743</v>
      </c>
      <c r="C950" s="3">
        <v>1398159</v>
      </c>
      <c r="D950" s="1" t="s">
        <v>13</v>
      </c>
      <c r="E950" s="1">
        <v>417</v>
      </c>
      <c r="F950" s="1" t="s">
        <v>12545</v>
      </c>
      <c r="G950" s="1" t="s">
        <v>6721</v>
      </c>
    </row>
    <row r="951" spans="1:7" ht="21" x14ac:dyDescent="0.25">
      <c r="A951" s="2" t="str">
        <f>HYPERLINK("https://rth.dk/resources/bsgatlas/details.php?id=BSGatlas-5'UTR-950","BSGatlas-5'UTR-950")</f>
        <v>BSGatlas-5'UTR-950</v>
      </c>
      <c r="B951" s="3">
        <v>1397909</v>
      </c>
      <c r="C951" s="3">
        <v>1397938</v>
      </c>
      <c r="D951" s="1" t="s">
        <v>9</v>
      </c>
      <c r="E951" s="1">
        <v>30</v>
      </c>
      <c r="F951" s="1" t="s">
        <v>12546</v>
      </c>
      <c r="G951" s="1" t="s">
        <v>6723</v>
      </c>
    </row>
    <row r="952" spans="1:7" ht="21" x14ac:dyDescent="0.25">
      <c r="A952" s="2" t="str">
        <f>HYPERLINK("https://rth.dk/resources/bsgatlas/details.php?id=BSGatlas-5'UTR-951","BSGatlas-5'UTR-951")</f>
        <v>BSGatlas-5'UTR-951</v>
      </c>
      <c r="B952" s="3">
        <v>1398153</v>
      </c>
      <c r="C952" s="3">
        <v>1398181</v>
      </c>
      <c r="D952" s="1" t="s">
        <v>9</v>
      </c>
      <c r="E952" s="1">
        <v>29</v>
      </c>
      <c r="F952" s="1" t="s">
        <v>12547</v>
      </c>
      <c r="G952" s="1" t="s">
        <v>6725</v>
      </c>
    </row>
    <row r="953" spans="1:7" ht="21" x14ac:dyDescent="0.25">
      <c r="A953" s="2" t="str">
        <f>HYPERLINK("https://rth.dk/resources/bsgatlas/details.php?id=BSGatlas-5'UTR-952","BSGatlas-5'UTR-952")</f>
        <v>BSGatlas-5'UTR-952</v>
      </c>
      <c r="B953" s="3">
        <v>1398413</v>
      </c>
      <c r="C953" s="3">
        <v>1398496</v>
      </c>
      <c r="D953" s="1" t="s">
        <v>9</v>
      </c>
      <c r="E953" s="1">
        <v>84</v>
      </c>
      <c r="F953" s="1" t="s">
        <v>12548</v>
      </c>
      <c r="G953" s="1" t="s">
        <v>6726</v>
      </c>
    </row>
    <row r="954" spans="1:7" ht="21" x14ac:dyDescent="0.25">
      <c r="A954" s="2" t="str">
        <f>HYPERLINK("https://rth.dk/resources/bsgatlas/details.php?id=BSGatlas-5'UTR-953","BSGatlas-5'UTR-953")</f>
        <v>BSGatlas-5'UTR-953</v>
      </c>
      <c r="B954" s="3">
        <v>1399409</v>
      </c>
      <c r="C954" s="3">
        <v>1400188</v>
      </c>
      <c r="D954" s="1" t="s">
        <v>9</v>
      </c>
      <c r="E954" s="1">
        <v>780</v>
      </c>
      <c r="F954" s="1" t="s">
        <v>12549</v>
      </c>
      <c r="G954" s="1" t="s">
        <v>6729</v>
      </c>
    </row>
    <row r="955" spans="1:7" ht="21" x14ac:dyDescent="0.25">
      <c r="A955" s="2" t="str">
        <f>HYPERLINK("https://rth.dk/resources/bsgatlas/details.php?id=BSGatlas-5'UTR-954","BSGatlas-5'UTR-954")</f>
        <v>BSGatlas-5'UTR-954</v>
      </c>
      <c r="B955" s="3">
        <v>1400096</v>
      </c>
      <c r="C955" s="3">
        <v>1400145</v>
      </c>
      <c r="D955" s="1" t="s">
        <v>13</v>
      </c>
      <c r="E955" s="1">
        <v>50</v>
      </c>
      <c r="F955" s="1" t="s">
        <v>12550</v>
      </c>
      <c r="G955" s="1" t="s">
        <v>6728</v>
      </c>
    </row>
    <row r="956" spans="1:7" ht="21" x14ac:dyDescent="0.25">
      <c r="A956" s="2" t="str">
        <f>HYPERLINK("https://rth.dk/resources/bsgatlas/details.php?id=BSGatlas-5'UTR-955","BSGatlas-5'UTR-955")</f>
        <v>BSGatlas-5'UTR-955</v>
      </c>
      <c r="B956" s="3">
        <v>1401697</v>
      </c>
      <c r="C956" s="3">
        <v>1401772</v>
      </c>
      <c r="D956" s="1" t="s">
        <v>9</v>
      </c>
      <c r="E956" s="1">
        <v>76</v>
      </c>
      <c r="F956" s="1" t="s">
        <v>12551</v>
      </c>
      <c r="G956" s="1" t="s">
        <v>6733</v>
      </c>
    </row>
    <row r="957" spans="1:7" ht="21" x14ac:dyDescent="0.25">
      <c r="A957" s="2" t="str">
        <f>HYPERLINK("https://rth.dk/resources/bsgatlas/details.php?id=BSGatlas-5'UTR-956","BSGatlas-5'UTR-956")</f>
        <v>BSGatlas-5'UTR-956</v>
      </c>
      <c r="B957" s="3">
        <v>1409731</v>
      </c>
      <c r="C957" s="3">
        <v>1409781</v>
      </c>
      <c r="D957" s="1" t="s">
        <v>13</v>
      </c>
      <c r="E957" s="1">
        <v>51</v>
      </c>
      <c r="F957" s="1" t="s">
        <v>12552</v>
      </c>
      <c r="G957" s="1" t="s">
        <v>6738</v>
      </c>
    </row>
    <row r="958" spans="1:7" ht="21" x14ac:dyDescent="0.25">
      <c r="A958" s="2" t="str">
        <f>HYPERLINK("https://rth.dk/resources/bsgatlas/details.php?id=BSGatlas-5'UTR-957","BSGatlas-5'UTR-957")</f>
        <v>BSGatlas-5'UTR-957</v>
      </c>
      <c r="B958" s="3">
        <v>1409731</v>
      </c>
      <c r="C958" s="3">
        <v>1410463</v>
      </c>
      <c r="D958" s="1" t="s">
        <v>13</v>
      </c>
      <c r="E958" s="1">
        <v>733</v>
      </c>
      <c r="F958" s="1" t="s">
        <v>12552</v>
      </c>
      <c r="G958" s="1" t="s">
        <v>6740</v>
      </c>
    </row>
    <row r="959" spans="1:7" ht="21" x14ac:dyDescent="0.25">
      <c r="A959" s="2" t="str">
        <f>HYPERLINK("https://rth.dk/resources/bsgatlas/details.php?id=BSGatlas-5'UTR-958","BSGatlas-5'UTR-958")</f>
        <v>BSGatlas-5'UTR-958</v>
      </c>
      <c r="B959" s="3">
        <v>1409881</v>
      </c>
      <c r="C959" s="3">
        <v>1409912</v>
      </c>
      <c r="D959" s="1" t="s">
        <v>9</v>
      </c>
      <c r="E959" s="1">
        <v>32</v>
      </c>
      <c r="F959" s="1" t="s">
        <v>12553</v>
      </c>
      <c r="G959" s="1" t="s">
        <v>6742</v>
      </c>
    </row>
    <row r="960" spans="1:7" ht="21" x14ac:dyDescent="0.25">
      <c r="A960" s="2" t="str">
        <f>HYPERLINK("https://rth.dk/resources/bsgatlas/details.php?id=BSGatlas-5'UTR-959","BSGatlas-5'UTR-959")</f>
        <v>BSGatlas-5'UTR-959</v>
      </c>
      <c r="B960" s="3">
        <v>1410607</v>
      </c>
      <c r="C960" s="3">
        <v>1410654</v>
      </c>
      <c r="D960" s="1" t="s">
        <v>9</v>
      </c>
      <c r="E960" s="1">
        <v>48</v>
      </c>
      <c r="F960" s="1" t="s">
        <v>12554</v>
      </c>
      <c r="G960" s="1" t="s">
        <v>6746</v>
      </c>
    </row>
    <row r="961" spans="1:7" ht="21" x14ac:dyDescent="0.25">
      <c r="A961" s="2" t="str">
        <f>HYPERLINK("https://rth.dk/resources/bsgatlas/details.php?id=BSGatlas-5'UTR-960","BSGatlas-5'UTR-960")</f>
        <v>BSGatlas-5'UTR-960</v>
      </c>
      <c r="B961" s="3">
        <v>1411776</v>
      </c>
      <c r="C961" s="3">
        <v>1411892</v>
      </c>
      <c r="D961" s="1" t="s">
        <v>9</v>
      </c>
      <c r="E961" s="1">
        <v>117</v>
      </c>
      <c r="F961" s="1" t="s">
        <v>12555</v>
      </c>
      <c r="G961" s="1" t="s">
        <v>6748</v>
      </c>
    </row>
    <row r="962" spans="1:7" ht="21" x14ac:dyDescent="0.25">
      <c r="A962" s="2" t="str">
        <f>HYPERLINK("https://rth.dk/resources/bsgatlas/details.php?id=BSGatlas-5'UTR-961","BSGatlas-5'UTR-961")</f>
        <v>BSGatlas-5'UTR-961</v>
      </c>
      <c r="B962" s="3">
        <v>1411861</v>
      </c>
      <c r="C962" s="3">
        <v>1411892</v>
      </c>
      <c r="D962" s="1" t="s">
        <v>9</v>
      </c>
      <c r="E962" s="1">
        <v>32</v>
      </c>
      <c r="F962" s="1" t="s">
        <v>12555</v>
      </c>
      <c r="G962" s="1" t="s">
        <v>6750</v>
      </c>
    </row>
    <row r="963" spans="1:7" ht="21" x14ac:dyDescent="0.25">
      <c r="A963" s="2" t="str">
        <f>HYPERLINK("https://rth.dk/resources/bsgatlas/details.php?id=BSGatlas-5'UTR-962","BSGatlas-5'UTR-962")</f>
        <v>BSGatlas-5'UTR-962</v>
      </c>
      <c r="B963" s="3">
        <v>1413994</v>
      </c>
      <c r="C963" s="3">
        <v>1414033</v>
      </c>
      <c r="D963" s="1" t="s">
        <v>13</v>
      </c>
      <c r="E963" s="1">
        <v>40</v>
      </c>
      <c r="F963" s="1" t="s">
        <v>12556</v>
      </c>
      <c r="G963" s="1" t="s">
        <v>6751</v>
      </c>
    </row>
    <row r="964" spans="1:7" ht="21" x14ac:dyDescent="0.25">
      <c r="A964" s="2" t="str">
        <f>HYPERLINK("https://rth.dk/resources/bsgatlas/details.php?id=BSGatlas-5'UTR-963","BSGatlas-5'UTR-963")</f>
        <v>BSGatlas-5'UTR-963</v>
      </c>
      <c r="B964" s="3">
        <v>1414826</v>
      </c>
      <c r="C964" s="3">
        <v>1414907</v>
      </c>
      <c r="D964" s="1" t="s">
        <v>13</v>
      </c>
      <c r="E964" s="1">
        <v>82</v>
      </c>
      <c r="F964" s="1" t="s">
        <v>12557</v>
      </c>
      <c r="G964" s="1" t="s">
        <v>6753</v>
      </c>
    </row>
    <row r="965" spans="1:7" ht="21" x14ac:dyDescent="0.25">
      <c r="A965" s="2" t="str">
        <f>HYPERLINK("https://rth.dk/resources/bsgatlas/details.php?id=BSGatlas-5'UTR-964","BSGatlas-5'UTR-964")</f>
        <v>BSGatlas-5'UTR-964</v>
      </c>
      <c r="B965" s="3">
        <v>1414951</v>
      </c>
      <c r="C965" s="3">
        <v>1414997</v>
      </c>
      <c r="D965" s="1" t="s">
        <v>9</v>
      </c>
      <c r="E965" s="1">
        <v>47</v>
      </c>
      <c r="F965" s="1" t="s">
        <v>12558</v>
      </c>
      <c r="G965" s="1" t="s">
        <v>6755</v>
      </c>
    </row>
    <row r="966" spans="1:7" ht="21" x14ac:dyDescent="0.25">
      <c r="A966" s="2" t="str">
        <f>HYPERLINK("https://rth.dk/resources/bsgatlas/details.php?id=BSGatlas-5'UTR-965","BSGatlas-5'UTR-965")</f>
        <v>BSGatlas-5'UTR-965</v>
      </c>
      <c r="B966" s="3">
        <v>1416022</v>
      </c>
      <c r="C966" s="3">
        <v>1416067</v>
      </c>
      <c r="D966" s="1" t="s">
        <v>9</v>
      </c>
      <c r="E966" s="1">
        <v>46</v>
      </c>
      <c r="F966" s="1" t="s">
        <v>12559</v>
      </c>
      <c r="G966" s="1" t="s">
        <v>6757</v>
      </c>
    </row>
    <row r="967" spans="1:7" ht="21" x14ac:dyDescent="0.25">
      <c r="A967" s="2" t="str">
        <f>HYPERLINK("https://rth.dk/resources/bsgatlas/details.php?id=BSGatlas-5'UTR-966","BSGatlas-5'UTR-966")</f>
        <v>BSGatlas-5'UTR-966</v>
      </c>
      <c r="B967" s="3">
        <v>1417493</v>
      </c>
      <c r="C967" s="3">
        <v>1417561</v>
      </c>
      <c r="D967" s="1" t="s">
        <v>9</v>
      </c>
      <c r="E967" s="1">
        <v>69</v>
      </c>
      <c r="F967" s="1" t="s">
        <v>12560</v>
      </c>
      <c r="G967" s="1" t="s">
        <v>6760</v>
      </c>
    </row>
    <row r="968" spans="1:7" ht="21" x14ac:dyDescent="0.25">
      <c r="A968" s="2" t="str">
        <f>HYPERLINK("https://rth.dk/resources/bsgatlas/details.php?id=BSGatlas-5'UTR-967","BSGatlas-5'UTR-967")</f>
        <v>BSGatlas-5'UTR-967</v>
      </c>
      <c r="B968" s="3">
        <v>1418960</v>
      </c>
      <c r="C968" s="3">
        <v>1419021</v>
      </c>
      <c r="D968" s="1" t="s">
        <v>13</v>
      </c>
      <c r="E968" s="1">
        <v>62</v>
      </c>
      <c r="F968" s="1" t="s">
        <v>12561</v>
      </c>
      <c r="G968" s="1" t="s">
        <v>6763</v>
      </c>
    </row>
    <row r="969" spans="1:7" ht="21" x14ac:dyDescent="0.25">
      <c r="A969" s="2" t="str">
        <f>HYPERLINK("https://rth.dk/resources/bsgatlas/details.php?id=BSGatlas-5'UTR-968","BSGatlas-5'UTR-968")</f>
        <v>BSGatlas-5'UTR-968</v>
      </c>
      <c r="B969" s="3">
        <v>1419165</v>
      </c>
      <c r="C969" s="3">
        <v>1419213</v>
      </c>
      <c r="D969" s="1" t="s">
        <v>9</v>
      </c>
      <c r="E969" s="1">
        <v>49</v>
      </c>
      <c r="F969" s="1" t="s">
        <v>12562</v>
      </c>
      <c r="G969" s="1" t="s">
        <v>6766</v>
      </c>
    </row>
    <row r="970" spans="1:7" ht="21" x14ac:dyDescent="0.25">
      <c r="A970" s="2" t="str">
        <f>HYPERLINK("https://rth.dk/resources/bsgatlas/details.php?id=BSGatlas-5'UTR-969","BSGatlas-5'UTR-969")</f>
        <v>BSGatlas-5'UTR-969</v>
      </c>
      <c r="B970" s="3">
        <v>1421326</v>
      </c>
      <c r="C970" s="3">
        <v>1421426</v>
      </c>
      <c r="D970" s="1" t="s">
        <v>9</v>
      </c>
      <c r="E970" s="1">
        <v>101</v>
      </c>
      <c r="F970" s="1" t="s">
        <v>12563</v>
      </c>
      <c r="G970" s="1" t="s">
        <v>12564</v>
      </c>
    </row>
    <row r="971" spans="1:7" ht="21" x14ac:dyDescent="0.25">
      <c r="A971" s="2" t="str">
        <f>HYPERLINK("https://rth.dk/resources/bsgatlas/details.php?id=BSGatlas-5'UTR-970","BSGatlas-5'UTR-970")</f>
        <v>BSGatlas-5'UTR-970</v>
      </c>
      <c r="B971" s="3">
        <v>1424434</v>
      </c>
      <c r="C971" s="3">
        <v>1424721</v>
      </c>
      <c r="D971" s="1" t="s">
        <v>13</v>
      </c>
      <c r="E971" s="1">
        <v>288</v>
      </c>
      <c r="F971" s="1" t="s">
        <v>12565</v>
      </c>
      <c r="G971" s="1" t="s">
        <v>6768</v>
      </c>
    </row>
    <row r="972" spans="1:7" ht="21" x14ac:dyDescent="0.25">
      <c r="A972" s="2" t="str">
        <f>HYPERLINK("https://rth.dk/resources/bsgatlas/details.php?id=BSGatlas-5'UTR-971","BSGatlas-5'UTR-971")</f>
        <v>BSGatlas-5'UTR-971</v>
      </c>
      <c r="B972" s="3">
        <v>1424791</v>
      </c>
      <c r="C972" s="3">
        <v>1425641</v>
      </c>
      <c r="D972" s="1" t="s">
        <v>9</v>
      </c>
      <c r="E972" s="1">
        <v>851</v>
      </c>
      <c r="F972" s="1" t="s">
        <v>12566</v>
      </c>
      <c r="G972" s="1" t="s">
        <v>6776</v>
      </c>
    </row>
    <row r="973" spans="1:7" ht="21" x14ac:dyDescent="0.25">
      <c r="A973" s="2" t="str">
        <f>HYPERLINK("https://rth.dk/resources/bsgatlas/details.php?id=BSGatlas-5'UTR-972","BSGatlas-5'UTR-972")</f>
        <v>BSGatlas-5'UTR-972</v>
      </c>
      <c r="B973" s="3">
        <v>1425274</v>
      </c>
      <c r="C973" s="3">
        <v>1425641</v>
      </c>
      <c r="D973" s="1" t="s">
        <v>9</v>
      </c>
      <c r="E973" s="1">
        <v>368</v>
      </c>
      <c r="F973" s="1" t="s">
        <v>12566</v>
      </c>
      <c r="G973" s="1" t="s">
        <v>6777</v>
      </c>
    </row>
    <row r="974" spans="1:7" ht="21" x14ac:dyDescent="0.25">
      <c r="A974" s="2" t="str">
        <f>HYPERLINK("https://rth.dk/resources/bsgatlas/details.php?id=BSGatlas-5'UTR-973","BSGatlas-5'UTR-973")</f>
        <v>BSGatlas-5'UTR-973</v>
      </c>
      <c r="B974" s="3">
        <v>1425546</v>
      </c>
      <c r="C974" s="3">
        <v>1425576</v>
      </c>
      <c r="D974" s="1" t="s">
        <v>13</v>
      </c>
      <c r="E974" s="1">
        <v>31</v>
      </c>
      <c r="F974" s="1" t="s">
        <v>12567</v>
      </c>
      <c r="G974" s="1" t="s">
        <v>6775</v>
      </c>
    </row>
    <row r="975" spans="1:7" ht="21" x14ac:dyDescent="0.25">
      <c r="A975" s="2" t="str">
        <f>HYPERLINK("https://rth.dk/resources/bsgatlas/details.php?id=BSGatlas-5'UTR-974","BSGatlas-5'UTR-974")</f>
        <v>BSGatlas-5'UTR-974</v>
      </c>
      <c r="B975" s="3">
        <v>1425607</v>
      </c>
      <c r="C975" s="3">
        <v>1425641</v>
      </c>
      <c r="D975" s="1" t="s">
        <v>9</v>
      </c>
      <c r="E975" s="1">
        <v>35</v>
      </c>
      <c r="F975" s="1" t="s">
        <v>12566</v>
      </c>
      <c r="G975" s="1" t="s">
        <v>6778</v>
      </c>
    </row>
    <row r="976" spans="1:7" ht="21" x14ac:dyDescent="0.25">
      <c r="A976" s="2" t="str">
        <f>HYPERLINK("https://rth.dk/resources/bsgatlas/details.php?id=BSGatlas-5'UTR-975","BSGatlas-5'UTR-975")</f>
        <v>BSGatlas-5'UTR-975</v>
      </c>
      <c r="B976" s="3">
        <v>1426857</v>
      </c>
      <c r="C976" s="3">
        <v>1427061</v>
      </c>
      <c r="D976" s="1" t="s">
        <v>9</v>
      </c>
      <c r="E976" s="1">
        <v>205</v>
      </c>
      <c r="F976" s="1" t="s">
        <v>12568</v>
      </c>
      <c r="G976" s="1" t="s">
        <v>6780</v>
      </c>
    </row>
    <row r="977" spans="1:7" ht="21" x14ac:dyDescent="0.25">
      <c r="A977" s="2" t="str">
        <f>HYPERLINK("https://rth.dk/resources/bsgatlas/details.php?id=BSGatlas-5'UTR-976","BSGatlas-5'UTR-976")</f>
        <v>BSGatlas-5'UTR-976</v>
      </c>
      <c r="B977" s="3">
        <v>1426876</v>
      </c>
      <c r="C977" s="3">
        <v>1427061</v>
      </c>
      <c r="D977" s="1" t="s">
        <v>9</v>
      </c>
      <c r="E977" s="1">
        <v>186</v>
      </c>
      <c r="F977" s="1" t="s">
        <v>12568</v>
      </c>
      <c r="G977" s="1" t="s">
        <v>6783</v>
      </c>
    </row>
    <row r="978" spans="1:7" ht="21" x14ac:dyDescent="0.25">
      <c r="A978" s="2" t="str">
        <f>HYPERLINK("https://rth.dk/resources/bsgatlas/details.php?id=BSGatlas-5'UTR-977","BSGatlas-5'UTR-977")</f>
        <v>BSGatlas-5'UTR-977</v>
      </c>
      <c r="B978" s="3">
        <v>1430481</v>
      </c>
      <c r="C978" s="3">
        <v>1430570</v>
      </c>
      <c r="D978" s="1" t="s">
        <v>13</v>
      </c>
      <c r="E978" s="1">
        <v>90</v>
      </c>
      <c r="F978" s="1" t="s">
        <v>12569</v>
      </c>
      <c r="G978" s="1" t="s">
        <v>6784</v>
      </c>
    </row>
    <row r="979" spans="1:7" ht="21" x14ac:dyDescent="0.25">
      <c r="A979" s="2" t="str">
        <f>HYPERLINK("https://rth.dk/resources/bsgatlas/details.php?id=BSGatlas-5'UTR-978","BSGatlas-5'UTR-978")</f>
        <v>BSGatlas-5'UTR-978</v>
      </c>
      <c r="B979" s="3">
        <v>1430538</v>
      </c>
      <c r="C979" s="3">
        <v>1430684</v>
      </c>
      <c r="D979" s="1" t="s">
        <v>9</v>
      </c>
      <c r="E979" s="1">
        <v>147</v>
      </c>
      <c r="F979" s="1" t="s">
        <v>12570</v>
      </c>
      <c r="G979" s="1" t="s">
        <v>6787</v>
      </c>
    </row>
    <row r="980" spans="1:7" ht="21" x14ac:dyDescent="0.25">
      <c r="A980" s="2" t="str">
        <f>HYPERLINK("https://rth.dk/resources/bsgatlas/details.php?id=BSGatlas-5'UTR-979","BSGatlas-5'UTR-979")</f>
        <v>BSGatlas-5'UTR-979</v>
      </c>
      <c r="B980" s="3">
        <v>1430636</v>
      </c>
      <c r="C980" s="3">
        <v>1430684</v>
      </c>
      <c r="D980" s="1" t="s">
        <v>9</v>
      </c>
      <c r="E980" s="1">
        <v>49</v>
      </c>
      <c r="F980" s="1" t="s">
        <v>12570</v>
      </c>
      <c r="G980" s="1" t="s">
        <v>6790</v>
      </c>
    </row>
    <row r="981" spans="1:7" ht="21" x14ac:dyDescent="0.25">
      <c r="A981" s="2" t="str">
        <f>HYPERLINK("https://rth.dk/resources/bsgatlas/details.php?id=BSGatlas-5'UTR-980","BSGatlas-5'UTR-980")</f>
        <v>BSGatlas-5'UTR-980</v>
      </c>
      <c r="B981" s="3">
        <v>1432233</v>
      </c>
      <c r="C981" s="3">
        <v>1433199</v>
      </c>
      <c r="D981" s="1" t="s">
        <v>9</v>
      </c>
      <c r="E981" s="1">
        <v>967</v>
      </c>
      <c r="F981" s="1" t="s">
        <v>12571</v>
      </c>
      <c r="G981" s="1" t="s">
        <v>6794</v>
      </c>
    </row>
    <row r="982" spans="1:7" ht="21" x14ac:dyDescent="0.25">
      <c r="A982" s="2" t="str">
        <f>HYPERLINK("https://rth.dk/resources/bsgatlas/details.php?id=BSGatlas-5'UTR-981","BSGatlas-5'UTR-981")</f>
        <v>BSGatlas-5'UTR-981</v>
      </c>
      <c r="B982" s="3">
        <v>1433006</v>
      </c>
      <c r="C982" s="3">
        <v>1433035</v>
      </c>
      <c r="D982" s="1" t="s">
        <v>13</v>
      </c>
      <c r="E982" s="1">
        <v>30</v>
      </c>
      <c r="F982" s="1" t="s">
        <v>12572</v>
      </c>
      <c r="G982" s="1" t="s">
        <v>6791</v>
      </c>
    </row>
    <row r="983" spans="1:7" ht="21" x14ac:dyDescent="0.25">
      <c r="A983" s="2" t="str">
        <f>HYPERLINK("https://rth.dk/resources/bsgatlas/details.php?id=BSGatlas-5'UTR-982","BSGatlas-5'UTR-982")</f>
        <v>BSGatlas-5'UTR-982</v>
      </c>
      <c r="B983" s="3">
        <v>1433157</v>
      </c>
      <c r="C983" s="3">
        <v>1433199</v>
      </c>
      <c r="D983" s="1" t="s">
        <v>9</v>
      </c>
      <c r="E983" s="1">
        <v>43</v>
      </c>
      <c r="F983" s="1" t="s">
        <v>12571</v>
      </c>
      <c r="G983" s="1" t="s">
        <v>6796</v>
      </c>
    </row>
    <row r="984" spans="1:7" ht="21" x14ac:dyDescent="0.25">
      <c r="A984" s="2" t="str">
        <f>HYPERLINK("https://rth.dk/resources/bsgatlas/details.php?id=BSGatlas-5'UTR-983","BSGatlas-5'UTR-983")</f>
        <v>BSGatlas-5'UTR-983</v>
      </c>
      <c r="B984" s="3">
        <v>1435245</v>
      </c>
      <c r="C984" s="3">
        <v>1435279</v>
      </c>
      <c r="D984" s="1" t="s">
        <v>13</v>
      </c>
      <c r="E984" s="1">
        <v>35</v>
      </c>
      <c r="F984" s="1" t="s">
        <v>12573</v>
      </c>
      <c r="G984" s="1" t="s">
        <v>6798</v>
      </c>
    </row>
    <row r="985" spans="1:7" ht="21" x14ac:dyDescent="0.25">
      <c r="A985" s="2" t="str">
        <f>HYPERLINK("https://rth.dk/resources/bsgatlas/details.php?id=BSGatlas-5'UTR-984","BSGatlas-5'UTR-984")</f>
        <v>BSGatlas-5'UTR-984</v>
      </c>
      <c r="B985" s="3">
        <v>1437727</v>
      </c>
      <c r="C985" s="3">
        <v>1437808</v>
      </c>
      <c r="D985" s="1" t="s">
        <v>13</v>
      </c>
      <c r="E985" s="1">
        <v>82</v>
      </c>
      <c r="F985" s="1" t="s">
        <v>12574</v>
      </c>
      <c r="G985" s="1" t="s">
        <v>6801</v>
      </c>
    </row>
    <row r="986" spans="1:7" ht="21" x14ac:dyDescent="0.25">
      <c r="A986" s="2" t="str">
        <f>HYPERLINK("https://rth.dk/resources/bsgatlas/details.php?id=BSGatlas-5'UTR-985","BSGatlas-5'UTR-985")</f>
        <v>BSGatlas-5'UTR-985</v>
      </c>
      <c r="B986" s="3">
        <v>1437727</v>
      </c>
      <c r="C986" s="3">
        <v>1437927</v>
      </c>
      <c r="D986" s="1" t="s">
        <v>13</v>
      </c>
      <c r="E986" s="1">
        <v>201</v>
      </c>
      <c r="F986" s="1" t="s">
        <v>12574</v>
      </c>
      <c r="G986" s="1" t="s">
        <v>6803</v>
      </c>
    </row>
    <row r="987" spans="1:7" ht="21" x14ac:dyDescent="0.25">
      <c r="A987" s="2" t="str">
        <f>HYPERLINK("https://rth.dk/resources/bsgatlas/details.php?id=BSGatlas-5'UTR-986","BSGatlas-5'UTR-986")</f>
        <v>BSGatlas-5'UTR-986</v>
      </c>
      <c r="B987" s="3">
        <v>1437727</v>
      </c>
      <c r="C987" s="3">
        <v>1437978</v>
      </c>
      <c r="D987" s="1" t="s">
        <v>13</v>
      </c>
      <c r="E987" s="1">
        <v>252</v>
      </c>
      <c r="F987" s="1" t="s">
        <v>12574</v>
      </c>
      <c r="G987" s="1" t="s">
        <v>6804</v>
      </c>
    </row>
    <row r="988" spans="1:7" ht="21" x14ac:dyDescent="0.25">
      <c r="A988" s="2" t="str">
        <f>HYPERLINK("https://rth.dk/resources/bsgatlas/details.php?id=BSGatlas-5'UTR-987","BSGatlas-5'UTR-987")</f>
        <v>BSGatlas-5'UTR-987</v>
      </c>
      <c r="B988" s="3">
        <v>1438046</v>
      </c>
      <c r="C988" s="3">
        <v>1438092</v>
      </c>
      <c r="D988" s="1" t="s">
        <v>9</v>
      </c>
      <c r="E988" s="1">
        <v>47</v>
      </c>
      <c r="F988" s="1" t="s">
        <v>12575</v>
      </c>
      <c r="G988" s="1" t="s">
        <v>6807</v>
      </c>
    </row>
    <row r="989" spans="1:7" ht="21" x14ac:dyDescent="0.25">
      <c r="A989" s="2" t="str">
        <f>HYPERLINK("https://rth.dk/resources/bsgatlas/details.php?id=BSGatlas-5'UTR-988","BSGatlas-5'UTR-988")</f>
        <v>BSGatlas-5'UTR-988</v>
      </c>
      <c r="B989" s="3">
        <v>1439229</v>
      </c>
      <c r="C989" s="3">
        <v>1439448</v>
      </c>
      <c r="D989" s="1" t="s">
        <v>9</v>
      </c>
      <c r="E989" s="1">
        <v>220</v>
      </c>
      <c r="F989" s="1" t="s">
        <v>12576</v>
      </c>
      <c r="G989" s="1" t="s">
        <v>6809</v>
      </c>
    </row>
    <row r="990" spans="1:7" ht="21" x14ac:dyDescent="0.25">
      <c r="A990" s="2" t="str">
        <f>HYPERLINK("https://rth.dk/resources/bsgatlas/details.php?id=BSGatlas-5'UTR-989","BSGatlas-5'UTR-989")</f>
        <v>BSGatlas-5'UTR-989</v>
      </c>
      <c r="B990" s="3">
        <v>1442703</v>
      </c>
      <c r="C990" s="3">
        <v>1442751</v>
      </c>
      <c r="D990" s="1" t="s">
        <v>13</v>
      </c>
      <c r="E990" s="1">
        <v>49</v>
      </c>
      <c r="F990" s="1" t="s">
        <v>12577</v>
      </c>
      <c r="G990" s="1" t="s">
        <v>6812</v>
      </c>
    </row>
    <row r="991" spans="1:7" ht="21" x14ac:dyDescent="0.25">
      <c r="A991" s="2" t="str">
        <f>HYPERLINK("https://rth.dk/resources/bsgatlas/details.php?id=BSGatlas-5'UTR-990","BSGatlas-5'UTR-990")</f>
        <v>BSGatlas-5'UTR-990</v>
      </c>
      <c r="B991" s="3">
        <v>1442793</v>
      </c>
      <c r="C991" s="3">
        <v>1442872</v>
      </c>
      <c r="D991" s="1" t="s">
        <v>9</v>
      </c>
      <c r="E991" s="1">
        <v>80</v>
      </c>
      <c r="F991" s="1" t="s">
        <v>12578</v>
      </c>
      <c r="G991" s="1" t="s">
        <v>6815</v>
      </c>
    </row>
    <row r="992" spans="1:7" ht="21" x14ac:dyDescent="0.25">
      <c r="A992" s="2" t="str">
        <f>HYPERLINK("https://rth.dk/resources/bsgatlas/details.php?id=BSGatlas-5'UTR-991","BSGatlas-5'UTR-991")</f>
        <v>BSGatlas-5'UTR-991</v>
      </c>
      <c r="B992" s="3">
        <v>1444047</v>
      </c>
      <c r="C992" s="3">
        <v>1444099</v>
      </c>
      <c r="D992" s="1" t="s">
        <v>9</v>
      </c>
      <c r="E992" s="1">
        <v>53</v>
      </c>
      <c r="F992" s="1" t="s">
        <v>12579</v>
      </c>
      <c r="G992" s="1" t="s">
        <v>6818</v>
      </c>
    </row>
    <row r="993" spans="1:7" ht="21" x14ac:dyDescent="0.25">
      <c r="A993" s="2" t="str">
        <f>HYPERLINK("https://rth.dk/resources/bsgatlas/details.php?id=BSGatlas-5'UTR-992","BSGatlas-5'UTR-992")</f>
        <v>BSGatlas-5'UTR-992</v>
      </c>
      <c r="B993" s="3">
        <v>1447215</v>
      </c>
      <c r="C993" s="3">
        <v>1447251</v>
      </c>
      <c r="D993" s="1" t="s">
        <v>9</v>
      </c>
      <c r="E993" s="1">
        <v>37</v>
      </c>
      <c r="F993" s="1" t="s">
        <v>12580</v>
      </c>
      <c r="G993" s="1" t="s">
        <v>6824</v>
      </c>
    </row>
    <row r="994" spans="1:7" ht="21" x14ac:dyDescent="0.25">
      <c r="A994" s="2" t="str">
        <f>HYPERLINK("https://rth.dk/resources/bsgatlas/details.php?id=BSGatlas-5'UTR-993","BSGatlas-5'UTR-993")</f>
        <v>BSGatlas-5'UTR-993</v>
      </c>
      <c r="B994" s="3">
        <v>1447847</v>
      </c>
      <c r="C994" s="3">
        <v>1447891</v>
      </c>
      <c r="D994" s="1" t="s">
        <v>13</v>
      </c>
      <c r="E994" s="1">
        <v>45</v>
      </c>
      <c r="F994" s="1" t="s">
        <v>12581</v>
      </c>
      <c r="G994" s="1" t="s">
        <v>6826</v>
      </c>
    </row>
    <row r="995" spans="1:7" ht="21" x14ac:dyDescent="0.25">
      <c r="A995" s="2" t="str">
        <f>HYPERLINK("https://rth.dk/resources/bsgatlas/details.php?id=BSGatlas-5'UTR-994","BSGatlas-5'UTR-994")</f>
        <v>BSGatlas-5'UTR-994</v>
      </c>
      <c r="B995" s="3">
        <v>1447847</v>
      </c>
      <c r="C995" s="3">
        <v>1448244</v>
      </c>
      <c r="D995" s="1" t="s">
        <v>13</v>
      </c>
      <c r="E995" s="1">
        <v>398</v>
      </c>
      <c r="F995" s="1" t="s">
        <v>12581</v>
      </c>
      <c r="G995" s="1" t="s">
        <v>6828</v>
      </c>
    </row>
    <row r="996" spans="1:7" ht="21" x14ac:dyDescent="0.25">
      <c r="A996" s="2" t="str">
        <f>HYPERLINK("https://rth.dk/resources/bsgatlas/details.php?id=BSGatlas-5'UTR-995","BSGatlas-5'UTR-995")</f>
        <v>BSGatlas-5'UTR-995</v>
      </c>
      <c r="B996" s="3">
        <v>1447974</v>
      </c>
      <c r="C996" s="3">
        <v>1448013</v>
      </c>
      <c r="D996" s="1" t="s">
        <v>9</v>
      </c>
      <c r="E996" s="1">
        <v>40</v>
      </c>
      <c r="F996" s="1" t="s">
        <v>12582</v>
      </c>
      <c r="G996" s="1" t="s">
        <v>6829</v>
      </c>
    </row>
    <row r="997" spans="1:7" ht="21" x14ac:dyDescent="0.25">
      <c r="A997" s="2" t="str">
        <f>HYPERLINK("https://rth.dk/resources/bsgatlas/details.php?id=BSGatlas-5'UTR-996","BSGatlas-5'UTR-996")</f>
        <v>BSGatlas-5'UTR-996</v>
      </c>
      <c r="B997" s="3">
        <v>1449201</v>
      </c>
      <c r="C997" s="3">
        <v>1449250</v>
      </c>
      <c r="D997" s="1" t="s">
        <v>9</v>
      </c>
      <c r="E997" s="1">
        <v>50</v>
      </c>
      <c r="F997" s="1" t="s">
        <v>12583</v>
      </c>
      <c r="G997" s="1" t="s">
        <v>6835</v>
      </c>
    </row>
    <row r="998" spans="1:7" ht="21" x14ac:dyDescent="0.25">
      <c r="A998" s="2" t="str">
        <f>HYPERLINK("https://rth.dk/resources/bsgatlas/details.php?id=BSGatlas-5'UTR-997","BSGatlas-5'UTR-997")</f>
        <v>BSGatlas-5'UTR-997</v>
      </c>
      <c r="B998" s="3">
        <v>1449225</v>
      </c>
      <c r="C998" s="3">
        <v>1449250</v>
      </c>
      <c r="D998" s="1" t="s">
        <v>9</v>
      </c>
      <c r="E998" s="1">
        <v>26</v>
      </c>
      <c r="F998" s="1" t="s">
        <v>12583</v>
      </c>
      <c r="G998" s="1" t="s">
        <v>6837</v>
      </c>
    </row>
    <row r="999" spans="1:7" ht="21" x14ac:dyDescent="0.25">
      <c r="A999" s="2" t="str">
        <f>HYPERLINK("https://rth.dk/resources/bsgatlas/details.php?id=BSGatlas-5'UTR-998","BSGatlas-5'UTR-998")</f>
        <v>BSGatlas-5'UTR-998</v>
      </c>
      <c r="B999" s="3">
        <v>1450613</v>
      </c>
      <c r="C999" s="3">
        <v>1450638</v>
      </c>
      <c r="D999" s="1" t="s">
        <v>9</v>
      </c>
      <c r="E999" s="1">
        <v>26</v>
      </c>
      <c r="F999" s="1" t="s">
        <v>12584</v>
      </c>
      <c r="G999" s="1" t="s">
        <v>6838</v>
      </c>
    </row>
    <row r="1000" spans="1:7" ht="21" x14ac:dyDescent="0.25">
      <c r="A1000" s="2" t="str">
        <f>HYPERLINK("https://rth.dk/resources/bsgatlas/details.php?id=BSGatlas-5'UTR-999","BSGatlas-5'UTR-999")</f>
        <v>BSGatlas-5'UTR-999</v>
      </c>
      <c r="B1000" s="3">
        <v>1450999</v>
      </c>
      <c r="C1000" s="3">
        <v>1451260</v>
      </c>
      <c r="D1000" s="1" t="s">
        <v>9</v>
      </c>
      <c r="E1000" s="1">
        <v>262</v>
      </c>
      <c r="F1000" s="1" t="s">
        <v>12585</v>
      </c>
      <c r="G1000" s="1" t="s">
        <v>6839</v>
      </c>
    </row>
    <row r="1001" spans="1:7" ht="21" x14ac:dyDescent="0.25">
      <c r="A1001" s="2" t="str">
        <f>HYPERLINK("https://rth.dk/resources/bsgatlas/details.php?id=BSGatlas-5'UTR-1000","BSGatlas-5'UTR-1000")</f>
        <v>BSGatlas-5'UTR-1000</v>
      </c>
      <c r="B1001" s="3">
        <v>1453646</v>
      </c>
      <c r="C1001" s="3">
        <v>1453691</v>
      </c>
      <c r="D1001" s="1" t="s">
        <v>9</v>
      </c>
      <c r="E1001" s="1">
        <v>46</v>
      </c>
      <c r="F1001" s="1" t="s">
        <v>12586</v>
      </c>
      <c r="G1001" s="1" t="s">
        <v>6844</v>
      </c>
    </row>
    <row r="1002" spans="1:7" ht="21" x14ac:dyDescent="0.25">
      <c r="A1002" s="2" t="str">
        <f>HYPERLINK("https://rth.dk/resources/bsgatlas/details.php?id=BSGatlas-5'UTR-1001","BSGatlas-5'UTR-1001")</f>
        <v>BSGatlas-5'UTR-1001</v>
      </c>
      <c r="B1002" s="3">
        <v>1456852</v>
      </c>
      <c r="C1002" s="3">
        <v>1457187</v>
      </c>
      <c r="D1002" s="1" t="s">
        <v>9</v>
      </c>
      <c r="E1002" s="1">
        <v>336</v>
      </c>
      <c r="F1002" s="1" t="s">
        <v>12587</v>
      </c>
      <c r="G1002" s="1" t="s">
        <v>6851</v>
      </c>
    </row>
    <row r="1003" spans="1:7" ht="21" x14ac:dyDescent="0.25">
      <c r="A1003" s="2" t="str">
        <f>HYPERLINK("https://rth.dk/resources/bsgatlas/details.php?id=BSGatlas-5'UTR-1002","BSGatlas-5'UTR-1002")</f>
        <v>BSGatlas-5'UTR-1002</v>
      </c>
      <c r="B1003" s="3">
        <v>1457158</v>
      </c>
      <c r="C1003" s="3">
        <v>1457187</v>
      </c>
      <c r="D1003" s="1" t="s">
        <v>9</v>
      </c>
      <c r="E1003" s="1">
        <v>30</v>
      </c>
      <c r="F1003" s="1" t="s">
        <v>12587</v>
      </c>
      <c r="G1003" s="1" t="s">
        <v>6853</v>
      </c>
    </row>
    <row r="1004" spans="1:7" ht="21" x14ac:dyDescent="0.25">
      <c r="A1004" s="2" t="str">
        <f>HYPERLINK("https://rth.dk/resources/bsgatlas/details.php?id=BSGatlas-5'UTR-1003","BSGatlas-5'UTR-1003")</f>
        <v>BSGatlas-5'UTR-1003</v>
      </c>
      <c r="B1004" s="3">
        <v>1459340</v>
      </c>
      <c r="C1004" s="3">
        <v>1459384</v>
      </c>
      <c r="D1004" s="1" t="s">
        <v>9</v>
      </c>
      <c r="E1004" s="1">
        <v>45</v>
      </c>
      <c r="F1004" s="1" t="s">
        <v>12588</v>
      </c>
      <c r="G1004" s="1" t="s">
        <v>6855</v>
      </c>
    </row>
    <row r="1005" spans="1:7" ht="21" x14ac:dyDescent="0.25">
      <c r="A1005" s="2" t="str">
        <f>HYPERLINK("https://rth.dk/resources/bsgatlas/details.php?id=BSGatlas-5'UTR-1004","BSGatlas-5'UTR-1004")</f>
        <v>BSGatlas-5'UTR-1004</v>
      </c>
      <c r="B1005" s="3">
        <v>1461437</v>
      </c>
      <c r="C1005" s="3">
        <v>1461453</v>
      </c>
      <c r="D1005" s="1" t="s">
        <v>9</v>
      </c>
      <c r="E1005" s="1">
        <v>17</v>
      </c>
      <c r="F1005" s="1" t="s">
        <v>12589</v>
      </c>
      <c r="G1005" s="1" t="s">
        <v>6857</v>
      </c>
    </row>
    <row r="1006" spans="1:7" ht="21" x14ac:dyDescent="0.25">
      <c r="A1006" s="2" t="str">
        <f>HYPERLINK("https://rth.dk/resources/bsgatlas/details.php?id=BSGatlas-5'UTR-1005","BSGatlas-5'UTR-1005")</f>
        <v>BSGatlas-5'UTR-1005</v>
      </c>
      <c r="B1006" s="3">
        <v>1461746</v>
      </c>
      <c r="C1006" s="3">
        <v>1461770</v>
      </c>
      <c r="D1006" s="1" t="s">
        <v>9</v>
      </c>
      <c r="E1006" s="1">
        <v>25</v>
      </c>
      <c r="F1006" s="1" t="s">
        <v>12590</v>
      </c>
      <c r="G1006" s="1" t="s">
        <v>6863</v>
      </c>
    </row>
    <row r="1007" spans="1:7" ht="21" x14ac:dyDescent="0.25">
      <c r="A1007" s="2" t="str">
        <f>HYPERLINK("https://rth.dk/resources/bsgatlas/details.php?id=BSGatlas-5'UTR-1006","BSGatlas-5'UTR-1006")</f>
        <v>BSGatlas-5'UTR-1006</v>
      </c>
      <c r="B1007" s="3">
        <v>1463493</v>
      </c>
      <c r="C1007" s="3">
        <v>1463526</v>
      </c>
      <c r="D1007" s="1" t="s">
        <v>13</v>
      </c>
      <c r="E1007" s="1">
        <v>34</v>
      </c>
      <c r="F1007" s="1" t="s">
        <v>12591</v>
      </c>
      <c r="G1007" s="1" t="s">
        <v>6860</v>
      </c>
    </row>
    <row r="1008" spans="1:7" ht="21" x14ac:dyDescent="0.25">
      <c r="A1008" s="2" t="str">
        <f>HYPERLINK("https://rth.dk/resources/bsgatlas/details.php?id=BSGatlas-5'UTR-1007","BSGatlas-5'UTR-1007")</f>
        <v>BSGatlas-5'UTR-1007</v>
      </c>
      <c r="B1008" s="3">
        <v>1463493</v>
      </c>
      <c r="C1008" s="3">
        <v>1464080</v>
      </c>
      <c r="D1008" s="1" t="s">
        <v>13</v>
      </c>
      <c r="E1008" s="1">
        <v>588</v>
      </c>
      <c r="F1008" s="1" t="s">
        <v>12591</v>
      </c>
      <c r="G1008" s="1" t="s">
        <v>6862</v>
      </c>
    </row>
    <row r="1009" spans="1:7" ht="21" x14ac:dyDescent="0.25">
      <c r="A1009" s="2" t="str">
        <f>HYPERLINK("https://rth.dk/resources/bsgatlas/details.php?id=BSGatlas-5'UTR-1008","BSGatlas-5'UTR-1008")</f>
        <v>BSGatlas-5'UTR-1008</v>
      </c>
      <c r="B1009" s="3">
        <v>1465667</v>
      </c>
      <c r="C1009" s="3">
        <v>1465733</v>
      </c>
      <c r="D1009" s="1" t="s">
        <v>9</v>
      </c>
      <c r="E1009" s="1">
        <v>67</v>
      </c>
      <c r="F1009" s="1" t="s">
        <v>12592</v>
      </c>
      <c r="G1009" s="1" t="s">
        <v>6867</v>
      </c>
    </row>
    <row r="1010" spans="1:7" ht="21" x14ac:dyDescent="0.25">
      <c r="A1010" s="2" t="str">
        <f>HYPERLINK("https://rth.dk/resources/bsgatlas/details.php?id=BSGatlas-5'UTR-1009","BSGatlas-5'UTR-1009")</f>
        <v>BSGatlas-5'UTR-1009</v>
      </c>
      <c r="B1010" s="3">
        <v>1467411</v>
      </c>
      <c r="C1010" s="3">
        <v>1467453</v>
      </c>
      <c r="D1010" s="1" t="s">
        <v>13</v>
      </c>
      <c r="E1010" s="1">
        <v>43</v>
      </c>
      <c r="F1010" s="1" t="s">
        <v>12593</v>
      </c>
      <c r="G1010" s="1" t="s">
        <v>6869</v>
      </c>
    </row>
    <row r="1011" spans="1:7" ht="21" x14ac:dyDescent="0.25">
      <c r="A1011" s="2" t="str">
        <f>HYPERLINK("https://rth.dk/resources/bsgatlas/details.php?id=BSGatlas-5'UTR-1010","BSGatlas-5'UTR-1010")</f>
        <v>BSGatlas-5'UTR-1010</v>
      </c>
      <c r="B1011" s="3">
        <v>1467411</v>
      </c>
      <c r="C1011" s="3">
        <v>1469053</v>
      </c>
      <c r="D1011" s="1" t="s">
        <v>13</v>
      </c>
      <c r="E1011" s="1">
        <v>1643</v>
      </c>
      <c r="F1011" s="1" t="s">
        <v>12593</v>
      </c>
      <c r="G1011" s="1" t="s">
        <v>6871</v>
      </c>
    </row>
    <row r="1012" spans="1:7" ht="21" x14ac:dyDescent="0.25">
      <c r="A1012" s="2" t="str">
        <f>HYPERLINK("https://rth.dk/resources/bsgatlas/details.php?id=BSGatlas-5'UTR-1011","BSGatlas-5'UTR-1011")</f>
        <v>BSGatlas-5'UTR-1011</v>
      </c>
      <c r="B1012" s="3">
        <v>1469969</v>
      </c>
      <c r="C1012" s="3">
        <v>1470026</v>
      </c>
      <c r="D1012" s="1" t="s">
        <v>9</v>
      </c>
      <c r="E1012" s="1">
        <v>58</v>
      </c>
      <c r="F1012" s="1" t="s">
        <v>12594</v>
      </c>
      <c r="G1012" s="1" t="s">
        <v>6875</v>
      </c>
    </row>
    <row r="1013" spans="1:7" ht="21" x14ac:dyDescent="0.25">
      <c r="A1013" s="2" t="str">
        <f>HYPERLINK("https://rth.dk/resources/bsgatlas/details.php?id=BSGatlas-5'UTR-1012","BSGatlas-5'UTR-1012")</f>
        <v>BSGatlas-5'UTR-1012</v>
      </c>
      <c r="B1013" s="3">
        <v>1473038</v>
      </c>
      <c r="C1013" s="3">
        <v>1473082</v>
      </c>
      <c r="D1013" s="1" t="s">
        <v>13</v>
      </c>
      <c r="E1013" s="1">
        <v>45</v>
      </c>
      <c r="F1013" s="1" t="s">
        <v>12595</v>
      </c>
      <c r="G1013" s="1" t="s">
        <v>6877</v>
      </c>
    </row>
    <row r="1014" spans="1:7" ht="21" x14ac:dyDescent="0.25">
      <c r="A1014" s="2" t="str">
        <f>HYPERLINK("https://rth.dk/resources/bsgatlas/details.php?id=BSGatlas-5'UTR-1013","BSGatlas-5'UTR-1013")</f>
        <v>BSGatlas-5'UTR-1013</v>
      </c>
      <c r="B1014" s="3">
        <v>1473038</v>
      </c>
      <c r="C1014" s="3">
        <v>1473126</v>
      </c>
      <c r="D1014" s="1" t="s">
        <v>13</v>
      </c>
      <c r="E1014" s="1">
        <v>89</v>
      </c>
      <c r="F1014" s="1" t="s">
        <v>12595</v>
      </c>
      <c r="G1014" s="1" t="s">
        <v>6879</v>
      </c>
    </row>
    <row r="1015" spans="1:7" ht="21" x14ac:dyDescent="0.25">
      <c r="A1015" s="2" t="str">
        <f>HYPERLINK("https://rth.dk/resources/bsgatlas/details.php?id=BSGatlas-5'UTR-1014","BSGatlas-5'UTR-1014")</f>
        <v>BSGatlas-5'UTR-1014</v>
      </c>
      <c r="B1015" s="3">
        <v>1473038</v>
      </c>
      <c r="C1015" s="3">
        <v>1473196</v>
      </c>
      <c r="D1015" s="1" t="s">
        <v>13</v>
      </c>
      <c r="E1015" s="1">
        <v>159</v>
      </c>
      <c r="F1015" s="1" t="s">
        <v>12595</v>
      </c>
      <c r="G1015" s="1" t="s">
        <v>6880</v>
      </c>
    </row>
    <row r="1016" spans="1:7" ht="21" x14ac:dyDescent="0.25">
      <c r="A1016" s="2" t="str">
        <f>HYPERLINK("https://rth.dk/resources/bsgatlas/details.php?id=BSGatlas-5'UTR-1015","BSGatlas-5'UTR-1015")</f>
        <v>BSGatlas-5'UTR-1015</v>
      </c>
      <c r="B1016" s="3">
        <v>1473401</v>
      </c>
      <c r="C1016" s="3">
        <v>1473437</v>
      </c>
      <c r="D1016" s="1" t="s">
        <v>13</v>
      </c>
      <c r="E1016" s="1">
        <v>37</v>
      </c>
      <c r="F1016" s="1" t="s">
        <v>12596</v>
      </c>
      <c r="G1016" s="1" t="s">
        <v>6882</v>
      </c>
    </row>
    <row r="1017" spans="1:7" ht="21" x14ac:dyDescent="0.25">
      <c r="A1017" s="2" t="str">
        <f>HYPERLINK("https://rth.dk/resources/bsgatlas/details.php?id=BSGatlas-5'UTR-1016","BSGatlas-5'UTR-1016")</f>
        <v>BSGatlas-5'UTR-1016</v>
      </c>
      <c r="B1017" s="3">
        <v>1473573</v>
      </c>
      <c r="C1017" s="3">
        <v>1473605</v>
      </c>
      <c r="D1017" s="1" t="s">
        <v>9</v>
      </c>
      <c r="E1017" s="1">
        <v>33</v>
      </c>
      <c r="F1017" s="1" t="s">
        <v>12597</v>
      </c>
      <c r="G1017" s="1" t="s">
        <v>6883</v>
      </c>
    </row>
    <row r="1018" spans="1:7" ht="21" x14ac:dyDescent="0.25">
      <c r="A1018" s="2" t="str">
        <f>HYPERLINK("https://rth.dk/resources/bsgatlas/details.php?id=BSGatlas-5'UTR-1017","BSGatlas-5'UTR-1017")</f>
        <v>BSGatlas-5'UTR-1017</v>
      </c>
      <c r="B1018" s="3">
        <v>1475024</v>
      </c>
      <c r="C1018" s="3">
        <v>1475064</v>
      </c>
      <c r="D1018" s="1" t="s">
        <v>13</v>
      </c>
      <c r="E1018" s="1">
        <v>41</v>
      </c>
      <c r="F1018" s="1" t="s">
        <v>12598</v>
      </c>
      <c r="G1018" s="1" t="s">
        <v>6885</v>
      </c>
    </row>
    <row r="1019" spans="1:7" ht="21" x14ac:dyDescent="0.25">
      <c r="A1019" s="2" t="str">
        <f>HYPERLINK("https://rth.dk/resources/bsgatlas/details.php?id=BSGatlas-5'UTR-1018","BSGatlas-5'UTR-1018")</f>
        <v>BSGatlas-5'UTR-1018</v>
      </c>
      <c r="B1019" s="3">
        <v>1476442</v>
      </c>
      <c r="C1019" s="3">
        <v>1476470</v>
      </c>
      <c r="D1019" s="1" t="s">
        <v>13</v>
      </c>
      <c r="E1019" s="1">
        <v>29</v>
      </c>
      <c r="F1019" s="1" t="s">
        <v>12599</v>
      </c>
      <c r="G1019" s="1" t="s">
        <v>6889</v>
      </c>
    </row>
    <row r="1020" spans="1:7" ht="21" x14ac:dyDescent="0.25">
      <c r="A1020" s="2" t="str">
        <f>HYPERLINK("https://rth.dk/resources/bsgatlas/details.php?id=BSGatlas-5'UTR-1019","BSGatlas-5'UTR-1019")</f>
        <v>BSGatlas-5'UTR-1019</v>
      </c>
      <c r="B1020" s="3">
        <v>1477012</v>
      </c>
      <c r="C1020" s="3">
        <v>1477032</v>
      </c>
      <c r="D1020" s="1" t="s">
        <v>13</v>
      </c>
      <c r="E1020" s="1">
        <v>21</v>
      </c>
      <c r="F1020" s="1" t="s">
        <v>12600</v>
      </c>
      <c r="G1020" s="1" t="s">
        <v>6892</v>
      </c>
    </row>
    <row r="1021" spans="1:7" ht="21" x14ac:dyDescent="0.25">
      <c r="A1021" s="2" t="str">
        <f>HYPERLINK("https://rth.dk/resources/bsgatlas/details.php?id=BSGatlas-5'UTR-1020","BSGatlas-5'UTR-1020")</f>
        <v>BSGatlas-5'UTR-1020</v>
      </c>
      <c r="B1021" s="3">
        <v>1477929</v>
      </c>
      <c r="C1021" s="3">
        <v>1477963</v>
      </c>
      <c r="D1021" s="1" t="s">
        <v>13</v>
      </c>
      <c r="E1021" s="1">
        <v>35</v>
      </c>
      <c r="F1021" s="1" t="s">
        <v>12601</v>
      </c>
      <c r="G1021" s="1" t="s">
        <v>6894</v>
      </c>
    </row>
    <row r="1022" spans="1:7" ht="21" x14ac:dyDescent="0.25">
      <c r="A1022" s="2" t="str">
        <f>HYPERLINK("https://rth.dk/resources/bsgatlas/details.php?id=BSGatlas-5'UTR-1021","BSGatlas-5'UTR-1021")</f>
        <v>BSGatlas-5'UTR-1021</v>
      </c>
      <c r="B1022" s="3">
        <v>1478034</v>
      </c>
      <c r="C1022" s="3">
        <v>1478072</v>
      </c>
      <c r="D1022" s="1" t="s">
        <v>9</v>
      </c>
      <c r="E1022" s="1">
        <v>39</v>
      </c>
      <c r="F1022" s="1" t="s">
        <v>12602</v>
      </c>
      <c r="G1022" s="1" t="s">
        <v>6898</v>
      </c>
    </row>
    <row r="1023" spans="1:7" ht="21" x14ac:dyDescent="0.25">
      <c r="A1023" s="2" t="str">
        <f>HYPERLINK("https://rth.dk/resources/bsgatlas/details.php?id=BSGatlas-5'UTR-1022","BSGatlas-5'UTR-1022")</f>
        <v>BSGatlas-5'UTR-1022</v>
      </c>
      <c r="B1023" s="3">
        <v>1478987</v>
      </c>
      <c r="C1023" s="3">
        <v>1479137</v>
      </c>
      <c r="D1023" s="1" t="s">
        <v>9</v>
      </c>
      <c r="E1023" s="1">
        <v>151</v>
      </c>
      <c r="F1023" s="1" t="s">
        <v>12603</v>
      </c>
      <c r="G1023" s="1" t="s">
        <v>6902</v>
      </c>
    </row>
    <row r="1024" spans="1:7" ht="21" x14ac:dyDescent="0.25">
      <c r="A1024" s="2" t="str">
        <f>HYPERLINK("https://rth.dk/resources/bsgatlas/details.php?id=BSGatlas-5'UTR-1023","BSGatlas-5'UTR-1023")</f>
        <v>BSGatlas-5'UTR-1023</v>
      </c>
      <c r="B1024" s="3">
        <v>1481515</v>
      </c>
      <c r="C1024" s="3">
        <v>1481547</v>
      </c>
      <c r="D1024" s="1" t="s">
        <v>9</v>
      </c>
      <c r="E1024" s="1">
        <v>33</v>
      </c>
      <c r="F1024" s="1" t="s">
        <v>12604</v>
      </c>
      <c r="G1024" s="1" t="s">
        <v>6904</v>
      </c>
    </row>
    <row r="1025" spans="1:7" ht="21" x14ac:dyDescent="0.25">
      <c r="A1025" s="2" t="str">
        <f>HYPERLINK("https://rth.dk/resources/bsgatlas/details.php?id=BSGatlas-5'UTR-1024","BSGatlas-5'UTR-1024")</f>
        <v>BSGatlas-5'UTR-1024</v>
      </c>
      <c r="B1025" s="3">
        <v>1483671</v>
      </c>
      <c r="C1025" s="3">
        <v>1484117</v>
      </c>
      <c r="D1025" s="1" t="s">
        <v>9</v>
      </c>
      <c r="E1025" s="1">
        <v>447</v>
      </c>
      <c r="F1025" s="1" t="s">
        <v>12605</v>
      </c>
      <c r="G1025" s="1" t="s">
        <v>6909</v>
      </c>
    </row>
    <row r="1026" spans="1:7" ht="21" x14ac:dyDescent="0.25">
      <c r="A1026" s="2" t="str">
        <f>HYPERLINK("https://rth.dk/resources/bsgatlas/details.php?id=BSGatlas-5'UTR-1025","BSGatlas-5'UTR-1025")</f>
        <v>BSGatlas-5'UTR-1025</v>
      </c>
      <c r="B1026" s="3">
        <v>1483957</v>
      </c>
      <c r="C1026" s="3">
        <v>1484117</v>
      </c>
      <c r="D1026" s="1" t="s">
        <v>9</v>
      </c>
      <c r="E1026" s="1">
        <v>161</v>
      </c>
      <c r="F1026" s="1" t="s">
        <v>12605</v>
      </c>
      <c r="G1026" s="1" t="s">
        <v>6913</v>
      </c>
    </row>
    <row r="1027" spans="1:7" ht="21" x14ac:dyDescent="0.25">
      <c r="A1027" s="2" t="str">
        <f>HYPERLINK("https://rth.dk/resources/bsgatlas/details.php?id=BSGatlas-5'UTR-1026","BSGatlas-5'UTR-1026")</f>
        <v>BSGatlas-5'UTR-1026</v>
      </c>
      <c r="B1027" s="3">
        <v>1484046</v>
      </c>
      <c r="C1027" s="3">
        <v>1484117</v>
      </c>
      <c r="D1027" s="1" t="s">
        <v>9</v>
      </c>
      <c r="E1027" s="1">
        <v>72</v>
      </c>
      <c r="F1027" s="1" t="s">
        <v>12605</v>
      </c>
      <c r="G1027" s="1" t="s">
        <v>6914</v>
      </c>
    </row>
    <row r="1028" spans="1:7" ht="21" x14ac:dyDescent="0.25">
      <c r="A1028" s="2" t="str">
        <f>HYPERLINK("https://rth.dk/resources/bsgatlas/details.php?id=BSGatlas-5'UTR-1027","BSGatlas-5'UTR-1027")</f>
        <v>BSGatlas-5'UTR-1027</v>
      </c>
      <c r="B1028" s="3">
        <v>1485056</v>
      </c>
      <c r="C1028" s="3">
        <v>1485118</v>
      </c>
      <c r="D1028" s="1" t="s">
        <v>9</v>
      </c>
      <c r="E1028" s="1">
        <v>63</v>
      </c>
      <c r="F1028" s="1" t="s">
        <v>12606</v>
      </c>
      <c r="G1028" s="1" t="s">
        <v>6915</v>
      </c>
    </row>
    <row r="1029" spans="1:7" ht="21" x14ac:dyDescent="0.25">
      <c r="A1029" s="2" t="str">
        <f>HYPERLINK("https://rth.dk/resources/bsgatlas/details.php?id=BSGatlas-5'UTR-1028","BSGatlas-5'UTR-1028")</f>
        <v>BSGatlas-5'UTR-1028</v>
      </c>
      <c r="B1029" s="3">
        <v>1486013</v>
      </c>
      <c r="C1029" s="3">
        <v>1486045</v>
      </c>
      <c r="D1029" s="1" t="s">
        <v>9</v>
      </c>
      <c r="E1029" s="1">
        <v>33</v>
      </c>
      <c r="F1029" s="1" t="s">
        <v>12607</v>
      </c>
      <c r="G1029" s="1" t="s">
        <v>6917</v>
      </c>
    </row>
    <row r="1030" spans="1:7" ht="21" x14ac:dyDescent="0.25">
      <c r="A1030" s="2" t="str">
        <f>HYPERLINK("https://rth.dk/resources/bsgatlas/details.php?id=BSGatlas-5'UTR-1029","BSGatlas-5'UTR-1029")</f>
        <v>BSGatlas-5'UTR-1029</v>
      </c>
      <c r="B1030" s="3">
        <v>1486997</v>
      </c>
      <c r="C1030" s="3">
        <v>1487038</v>
      </c>
      <c r="D1030" s="1" t="s">
        <v>9</v>
      </c>
      <c r="E1030" s="1">
        <v>42</v>
      </c>
      <c r="F1030" s="1" t="s">
        <v>12608</v>
      </c>
      <c r="G1030" s="1" t="s">
        <v>6919</v>
      </c>
    </row>
    <row r="1031" spans="1:7" ht="21" x14ac:dyDescent="0.25">
      <c r="A1031" s="2" t="str">
        <f>HYPERLINK("https://rth.dk/resources/bsgatlas/details.php?id=BSGatlas-5'UTR-1030","BSGatlas-5'UTR-1030")</f>
        <v>BSGatlas-5'UTR-1030</v>
      </c>
      <c r="B1031" s="3">
        <v>1488929</v>
      </c>
      <c r="C1031" s="3">
        <v>1488973</v>
      </c>
      <c r="D1031" s="1" t="s">
        <v>9</v>
      </c>
      <c r="E1031" s="1">
        <v>45</v>
      </c>
      <c r="F1031" s="1" t="s">
        <v>12609</v>
      </c>
      <c r="G1031" s="1" t="s">
        <v>6922</v>
      </c>
    </row>
    <row r="1032" spans="1:7" ht="21" x14ac:dyDescent="0.25">
      <c r="A1032" s="2" t="str">
        <f>HYPERLINK("https://rth.dk/resources/bsgatlas/details.php?id=BSGatlas-5'UTR-1031","BSGatlas-5'UTR-1031")</f>
        <v>BSGatlas-5'UTR-1031</v>
      </c>
      <c r="B1032" s="3">
        <v>1490911</v>
      </c>
      <c r="C1032" s="3">
        <v>1490939</v>
      </c>
      <c r="D1032" s="1" t="s">
        <v>9</v>
      </c>
      <c r="E1032" s="1">
        <v>29</v>
      </c>
      <c r="F1032" s="1" t="s">
        <v>12610</v>
      </c>
      <c r="G1032" s="1" t="s">
        <v>6924</v>
      </c>
    </row>
    <row r="1033" spans="1:7" ht="21" x14ac:dyDescent="0.25">
      <c r="A1033" s="2" t="str">
        <f>HYPERLINK("https://rth.dk/resources/bsgatlas/details.php?id=BSGatlas-5'UTR-1032","BSGatlas-5'UTR-1032")</f>
        <v>BSGatlas-5'UTR-1032</v>
      </c>
      <c r="B1033" s="3">
        <v>1492024</v>
      </c>
      <c r="C1033" s="3">
        <v>1492084</v>
      </c>
      <c r="D1033" s="1" t="s">
        <v>13</v>
      </c>
      <c r="E1033" s="1">
        <v>61</v>
      </c>
      <c r="F1033" s="1" t="s">
        <v>12611</v>
      </c>
      <c r="G1033" s="1" t="s">
        <v>6925</v>
      </c>
    </row>
    <row r="1034" spans="1:7" ht="21" x14ac:dyDescent="0.25">
      <c r="A1034" s="2" t="str">
        <f>HYPERLINK("https://rth.dk/resources/bsgatlas/details.php?id=BSGatlas-5'UTR-1033","BSGatlas-5'UTR-1033")</f>
        <v>BSGatlas-5'UTR-1033</v>
      </c>
      <c r="B1034" s="3">
        <v>1492169</v>
      </c>
      <c r="C1034" s="3">
        <v>1492261</v>
      </c>
      <c r="D1034" s="1" t="s">
        <v>9</v>
      </c>
      <c r="E1034" s="1">
        <v>93</v>
      </c>
      <c r="F1034" s="1" t="s">
        <v>12612</v>
      </c>
      <c r="G1034" s="1" t="s">
        <v>6928</v>
      </c>
    </row>
    <row r="1035" spans="1:7" ht="21" x14ac:dyDescent="0.25">
      <c r="A1035" s="2" t="str">
        <f>HYPERLINK("https://rth.dk/resources/bsgatlas/details.php?id=BSGatlas-5'UTR-1034","BSGatlas-5'UTR-1034")</f>
        <v>BSGatlas-5'UTR-1034</v>
      </c>
      <c r="B1035" s="3">
        <v>1493734</v>
      </c>
      <c r="C1035" s="3">
        <v>1493787</v>
      </c>
      <c r="D1035" s="1" t="s">
        <v>9</v>
      </c>
      <c r="E1035" s="1">
        <v>54</v>
      </c>
      <c r="F1035" s="1" t="s">
        <v>12613</v>
      </c>
      <c r="G1035" s="1" t="s">
        <v>6930</v>
      </c>
    </row>
    <row r="1036" spans="1:7" ht="21" x14ac:dyDescent="0.25">
      <c r="A1036" s="2" t="str">
        <f>HYPERLINK("https://rth.dk/resources/bsgatlas/details.php?id=BSGatlas-5'UTR-1035","BSGatlas-5'UTR-1035")</f>
        <v>BSGatlas-5'UTR-1035</v>
      </c>
      <c r="B1036" s="3">
        <v>1494737</v>
      </c>
      <c r="C1036" s="3">
        <v>1495505</v>
      </c>
      <c r="D1036" s="1" t="s">
        <v>9</v>
      </c>
      <c r="E1036" s="1">
        <v>769</v>
      </c>
      <c r="F1036" s="1" t="s">
        <v>12614</v>
      </c>
      <c r="G1036" s="1" t="s">
        <v>6936</v>
      </c>
    </row>
    <row r="1037" spans="1:7" ht="21" x14ac:dyDescent="0.25">
      <c r="A1037" s="2" t="str">
        <f>HYPERLINK("https://rth.dk/resources/bsgatlas/details.php?id=BSGatlas-5'UTR-1036","BSGatlas-5'UTR-1036")</f>
        <v>BSGatlas-5'UTR-1036</v>
      </c>
      <c r="B1037" s="3">
        <v>1495368</v>
      </c>
      <c r="C1037" s="3">
        <v>1495388</v>
      </c>
      <c r="D1037" s="1" t="s">
        <v>13</v>
      </c>
      <c r="E1037" s="1">
        <v>21</v>
      </c>
      <c r="F1037" s="1" t="s">
        <v>12615</v>
      </c>
      <c r="G1037" s="1" t="s">
        <v>6933</v>
      </c>
    </row>
    <row r="1038" spans="1:7" ht="21" x14ac:dyDescent="0.25">
      <c r="A1038" s="2" t="str">
        <f>HYPERLINK("https://rth.dk/resources/bsgatlas/details.php?id=BSGatlas-5'UTR-1037","BSGatlas-5'UTR-1037")</f>
        <v>BSGatlas-5'UTR-1037</v>
      </c>
      <c r="B1038" s="3">
        <v>1495464</v>
      </c>
      <c r="C1038" s="3">
        <v>1495505</v>
      </c>
      <c r="D1038" s="1" t="s">
        <v>9</v>
      </c>
      <c r="E1038" s="1">
        <v>42</v>
      </c>
      <c r="F1038" s="1" t="s">
        <v>12614</v>
      </c>
      <c r="G1038" s="1" t="s">
        <v>6938</v>
      </c>
    </row>
    <row r="1039" spans="1:7" ht="21" x14ac:dyDescent="0.25">
      <c r="A1039" s="2" t="str">
        <f>HYPERLINK("https://rth.dk/resources/bsgatlas/details.php?id=BSGatlas-5'UTR-1038","BSGatlas-5'UTR-1038")</f>
        <v>BSGatlas-5'UTR-1038</v>
      </c>
      <c r="B1039" s="3">
        <v>1499740</v>
      </c>
      <c r="C1039" s="3">
        <v>1499889</v>
      </c>
      <c r="D1039" s="1" t="s">
        <v>9</v>
      </c>
      <c r="E1039" s="1">
        <v>150</v>
      </c>
      <c r="F1039" s="1" t="s">
        <v>12616</v>
      </c>
      <c r="G1039" s="1" t="s">
        <v>6940</v>
      </c>
    </row>
    <row r="1040" spans="1:7" ht="21" x14ac:dyDescent="0.25">
      <c r="A1040" s="2" t="str">
        <f>HYPERLINK("https://rth.dk/resources/bsgatlas/details.php?id=BSGatlas-5'UTR-1039","BSGatlas-5'UTR-1039")</f>
        <v>BSGatlas-5'UTR-1039</v>
      </c>
      <c r="B1040" s="3">
        <v>1499840</v>
      </c>
      <c r="C1040" s="3">
        <v>1499889</v>
      </c>
      <c r="D1040" s="1" t="s">
        <v>9</v>
      </c>
      <c r="E1040" s="1">
        <v>50</v>
      </c>
      <c r="F1040" s="1" t="s">
        <v>12616</v>
      </c>
      <c r="G1040" s="1" t="s">
        <v>6942</v>
      </c>
    </row>
    <row r="1041" spans="1:7" ht="21" x14ac:dyDescent="0.25">
      <c r="A1041" s="2" t="str">
        <f>HYPERLINK("https://rth.dk/resources/bsgatlas/details.php?id=BSGatlas-5'UTR-1040","BSGatlas-5'UTR-1040")</f>
        <v>BSGatlas-5'UTR-1040</v>
      </c>
      <c r="B1041" s="3">
        <v>1503557</v>
      </c>
      <c r="C1041" s="3">
        <v>1503582</v>
      </c>
      <c r="D1041" s="1" t="s">
        <v>9</v>
      </c>
      <c r="E1041" s="1">
        <v>26</v>
      </c>
      <c r="F1041" s="1" t="s">
        <v>12617</v>
      </c>
      <c r="G1041" s="1" t="s">
        <v>6944</v>
      </c>
    </row>
    <row r="1042" spans="1:7" ht="21" x14ac:dyDescent="0.25">
      <c r="A1042" s="2" t="str">
        <f>HYPERLINK("https://rth.dk/resources/bsgatlas/details.php?id=BSGatlas-5'UTR-1041","BSGatlas-5'UTR-1041")</f>
        <v>BSGatlas-5'UTR-1041</v>
      </c>
      <c r="B1042" s="3">
        <v>1507375</v>
      </c>
      <c r="C1042" s="3">
        <v>1507578</v>
      </c>
      <c r="D1042" s="1" t="s">
        <v>9</v>
      </c>
      <c r="E1042" s="1">
        <v>204</v>
      </c>
      <c r="F1042" s="1" t="s">
        <v>12618</v>
      </c>
      <c r="G1042" s="1" t="s">
        <v>6946</v>
      </c>
    </row>
    <row r="1043" spans="1:7" ht="21" x14ac:dyDescent="0.25">
      <c r="A1043" s="2" t="str">
        <f>HYPERLINK("https://rth.dk/resources/bsgatlas/details.php?id=BSGatlas-5'UTR-1042","BSGatlas-5'UTR-1042")</f>
        <v>BSGatlas-5'UTR-1042</v>
      </c>
      <c r="B1043" s="3">
        <v>1507447</v>
      </c>
      <c r="C1043" s="3">
        <v>1507578</v>
      </c>
      <c r="D1043" s="1" t="s">
        <v>9</v>
      </c>
      <c r="E1043" s="1">
        <v>132</v>
      </c>
      <c r="F1043" s="1" t="s">
        <v>12618</v>
      </c>
      <c r="G1043" s="1" t="s">
        <v>6948</v>
      </c>
    </row>
    <row r="1044" spans="1:7" ht="21" x14ac:dyDescent="0.25">
      <c r="A1044" s="2" t="str">
        <f>HYPERLINK("https://rth.dk/resources/bsgatlas/details.php?id=BSGatlas-5'UTR-1043","BSGatlas-5'UTR-1043")</f>
        <v>BSGatlas-5'UTR-1043</v>
      </c>
      <c r="B1044" s="3">
        <v>1507540</v>
      </c>
      <c r="C1044" s="3">
        <v>1507578</v>
      </c>
      <c r="D1044" s="1" t="s">
        <v>9</v>
      </c>
      <c r="E1044" s="1">
        <v>39</v>
      </c>
      <c r="F1044" s="1" t="s">
        <v>12618</v>
      </c>
      <c r="G1044" s="1" t="s">
        <v>6949</v>
      </c>
    </row>
    <row r="1045" spans="1:7" ht="21" x14ac:dyDescent="0.25">
      <c r="A1045" s="2" t="str">
        <f>HYPERLINK("https://rth.dk/resources/bsgatlas/details.php?id=BSGatlas-5'UTR-1044","BSGatlas-5'UTR-1044")</f>
        <v>BSGatlas-5'UTR-1044</v>
      </c>
      <c r="B1045" s="3">
        <v>1511253</v>
      </c>
      <c r="C1045" s="3">
        <v>1511308</v>
      </c>
      <c r="D1045" s="1" t="s">
        <v>9</v>
      </c>
      <c r="E1045" s="1">
        <v>56</v>
      </c>
      <c r="F1045" s="1" t="s">
        <v>12619</v>
      </c>
      <c r="G1045" s="1" t="s">
        <v>6950</v>
      </c>
    </row>
    <row r="1046" spans="1:7" ht="21" x14ac:dyDescent="0.25">
      <c r="A1046" s="2" t="str">
        <f>HYPERLINK("https://rth.dk/resources/bsgatlas/details.php?id=BSGatlas-5'UTR-1045","BSGatlas-5'UTR-1045")</f>
        <v>BSGatlas-5'UTR-1045</v>
      </c>
      <c r="B1046" s="3">
        <v>1512192</v>
      </c>
      <c r="C1046" s="3">
        <v>1512258</v>
      </c>
      <c r="D1046" s="1" t="s">
        <v>13</v>
      </c>
      <c r="E1046" s="1">
        <v>67</v>
      </c>
      <c r="F1046" s="1" t="s">
        <v>12620</v>
      </c>
      <c r="G1046" s="1" t="s">
        <v>6952</v>
      </c>
    </row>
    <row r="1047" spans="1:7" ht="21" x14ac:dyDescent="0.25">
      <c r="A1047" s="2" t="str">
        <f>HYPERLINK("https://rth.dk/resources/bsgatlas/details.php?id=BSGatlas-5'UTR-1046","BSGatlas-5'UTR-1046")</f>
        <v>BSGatlas-5'UTR-1046</v>
      </c>
      <c r="B1047" s="3">
        <v>1512333</v>
      </c>
      <c r="C1047" s="3">
        <v>1512373</v>
      </c>
      <c r="D1047" s="1" t="s">
        <v>9</v>
      </c>
      <c r="E1047" s="1">
        <v>41</v>
      </c>
      <c r="F1047" s="1" t="s">
        <v>12621</v>
      </c>
      <c r="G1047" s="1" t="s">
        <v>6954</v>
      </c>
    </row>
    <row r="1048" spans="1:7" ht="21" x14ac:dyDescent="0.25">
      <c r="A1048" s="2" t="str">
        <f>HYPERLINK("https://rth.dk/resources/bsgatlas/details.php?id=BSGatlas-5'UTR-1047","BSGatlas-5'UTR-1047")</f>
        <v>BSGatlas-5'UTR-1047</v>
      </c>
      <c r="B1048" s="3">
        <v>1516229</v>
      </c>
      <c r="C1048" s="3">
        <v>1516271</v>
      </c>
      <c r="D1048" s="1" t="s">
        <v>13</v>
      </c>
      <c r="E1048" s="1">
        <v>43</v>
      </c>
      <c r="F1048" s="1" t="s">
        <v>12622</v>
      </c>
      <c r="G1048" s="1" t="s">
        <v>6958</v>
      </c>
    </row>
    <row r="1049" spans="1:7" ht="21" x14ac:dyDescent="0.25">
      <c r="A1049" s="2" t="str">
        <f>HYPERLINK("https://rth.dk/resources/bsgatlas/details.php?id=BSGatlas-5'UTR-1048","BSGatlas-5'UTR-1048")</f>
        <v>BSGatlas-5'UTR-1048</v>
      </c>
      <c r="B1049" s="3">
        <v>1516473</v>
      </c>
      <c r="C1049" s="3">
        <v>1516506</v>
      </c>
      <c r="D1049" s="1" t="s">
        <v>13</v>
      </c>
      <c r="E1049" s="1">
        <v>34</v>
      </c>
      <c r="F1049" s="1" t="s">
        <v>12623</v>
      </c>
      <c r="G1049" s="1" t="s">
        <v>6960</v>
      </c>
    </row>
    <row r="1050" spans="1:7" ht="21" x14ac:dyDescent="0.25">
      <c r="A1050" s="2" t="str">
        <f>HYPERLINK("https://rth.dk/resources/bsgatlas/details.php?id=BSGatlas-5'UTR-1049","BSGatlas-5'UTR-1049")</f>
        <v>BSGatlas-5'UTR-1049</v>
      </c>
      <c r="B1050" s="3">
        <v>1517581</v>
      </c>
      <c r="C1050" s="3">
        <v>1517627</v>
      </c>
      <c r="D1050" s="1" t="s">
        <v>13</v>
      </c>
      <c r="E1050" s="1">
        <v>47</v>
      </c>
      <c r="F1050" s="1" t="s">
        <v>12624</v>
      </c>
      <c r="G1050" s="1" t="s">
        <v>6963</v>
      </c>
    </row>
    <row r="1051" spans="1:7" ht="21" x14ac:dyDescent="0.25">
      <c r="A1051" s="2" t="str">
        <f>HYPERLINK("https://rth.dk/resources/bsgatlas/details.php?id=BSGatlas-5'UTR-1050","BSGatlas-5'UTR-1050")</f>
        <v>BSGatlas-5'UTR-1050</v>
      </c>
      <c r="B1051" s="3">
        <v>1517802</v>
      </c>
      <c r="C1051" s="3">
        <v>1517865</v>
      </c>
      <c r="D1051" s="1" t="s">
        <v>9</v>
      </c>
      <c r="E1051" s="1">
        <v>64</v>
      </c>
      <c r="F1051" s="1" t="s">
        <v>12625</v>
      </c>
      <c r="G1051" s="1" t="s">
        <v>6964</v>
      </c>
    </row>
    <row r="1052" spans="1:7" ht="21" x14ac:dyDescent="0.25">
      <c r="A1052" s="2" t="str">
        <f>HYPERLINK("https://rth.dk/resources/bsgatlas/details.php?id=BSGatlas-5'UTR-1051","BSGatlas-5'UTR-1051")</f>
        <v>BSGatlas-5'UTR-1051</v>
      </c>
      <c r="B1052" s="3">
        <v>1517806</v>
      </c>
      <c r="C1052" s="3">
        <v>1517865</v>
      </c>
      <c r="D1052" s="1" t="s">
        <v>9</v>
      </c>
      <c r="E1052" s="1">
        <v>60</v>
      </c>
      <c r="F1052" s="1" t="s">
        <v>12625</v>
      </c>
      <c r="G1052" s="1" t="s">
        <v>6966</v>
      </c>
    </row>
    <row r="1053" spans="1:7" ht="21" x14ac:dyDescent="0.25">
      <c r="A1053" s="2" t="str">
        <f>HYPERLINK("https://rth.dk/resources/bsgatlas/details.php?id=BSGatlas-5'UTR-1052","BSGatlas-5'UTR-1052")</f>
        <v>BSGatlas-5'UTR-1052</v>
      </c>
      <c r="B1053" s="3">
        <v>1518308</v>
      </c>
      <c r="C1053" s="3">
        <v>1518333</v>
      </c>
      <c r="D1053" s="1" t="s">
        <v>9</v>
      </c>
      <c r="E1053" s="1">
        <v>26</v>
      </c>
      <c r="F1053" s="1" t="s">
        <v>12626</v>
      </c>
      <c r="G1053" s="1" t="s">
        <v>6970</v>
      </c>
    </row>
    <row r="1054" spans="1:7" ht="21" x14ac:dyDescent="0.25">
      <c r="A1054" s="2" t="str">
        <f>HYPERLINK("https://rth.dk/resources/bsgatlas/details.php?id=BSGatlas-5'UTR-1053","BSGatlas-5'UTR-1053")</f>
        <v>BSGatlas-5'UTR-1053</v>
      </c>
      <c r="B1054" s="3">
        <v>1519804</v>
      </c>
      <c r="C1054" s="3">
        <v>1521322</v>
      </c>
      <c r="D1054" s="1" t="s">
        <v>13</v>
      </c>
      <c r="E1054" s="1">
        <v>1519</v>
      </c>
      <c r="F1054" s="1" t="s">
        <v>12627</v>
      </c>
      <c r="G1054" s="1" t="s">
        <v>6969</v>
      </c>
    </row>
    <row r="1055" spans="1:7" ht="21" x14ac:dyDescent="0.25">
      <c r="A1055" s="2" t="str">
        <f>HYPERLINK("https://rth.dk/resources/bsgatlas/details.php?id=BSGatlas-5'UTR-1054","BSGatlas-5'UTR-1054")</f>
        <v>BSGatlas-5'UTR-1054</v>
      </c>
      <c r="B1055" s="3">
        <v>1521320</v>
      </c>
      <c r="C1055" s="3">
        <v>1521351</v>
      </c>
      <c r="D1055" s="1" t="s">
        <v>9</v>
      </c>
      <c r="E1055" s="1">
        <v>32</v>
      </c>
      <c r="F1055" s="1" t="s">
        <v>12628</v>
      </c>
      <c r="G1055" s="1" t="s">
        <v>6973</v>
      </c>
    </row>
    <row r="1056" spans="1:7" ht="21" x14ac:dyDescent="0.25">
      <c r="A1056" s="2" t="str">
        <f>HYPERLINK("https://rth.dk/resources/bsgatlas/details.php?id=BSGatlas-5'UTR-1055","BSGatlas-5'UTR-1055")</f>
        <v>BSGatlas-5'UTR-1055</v>
      </c>
      <c r="B1056" s="3">
        <v>1525000</v>
      </c>
      <c r="C1056" s="3">
        <v>1525039</v>
      </c>
      <c r="D1056" s="1" t="s">
        <v>13</v>
      </c>
      <c r="E1056" s="1">
        <v>40</v>
      </c>
      <c r="F1056" s="1" t="s">
        <v>12629</v>
      </c>
      <c r="G1056" s="1" t="s">
        <v>6976</v>
      </c>
    </row>
    <row r="1057" spans="1:7" ht="21" x14ac:dyDescent="0.25">
      <c r="A1057" s="2" t="str">
        <f>HYPERLINK("https://rth.dk/resources/bsgatlas/details.php?id=BSGatlas-5'UTR-1056","BSGatlas-5'UTR-1056")</f>
        <v>BSGatlas-5'UTR-1056</v>
      </c>
      <c r="B1057" s="3">
        <v>1525000</v>
      </c>
      <c r="C1057" s="3">
        <v>1525239</v>
      </c>
      <c r="D1057" s="1" t="s">
        <v>13</v>
      </c>
      <c r="E1057" s="1">
        <v>240</v>
      </c>
      <c r="F1057" s="1" t="s">
        <v>12629</v>
      </c>
      <c r="G1057" s="1" t="s">
        <v>6978</v>
      </c>
    </row>
    <row r="1058" spans="1:7" ht="21" x14ac:dyDescent="0.25">
      <c r="A1058" s="2" t="str">
        <f>HYPERLINK("https://rth.dk/resources/bsgatlas/details.php?id=BSGatlas-5'UTR-1057","BSGatlas-5'UTR-1057")</f>
        <v>BSGatlas-5'UTR-1057</v>
      </c>
      <c r="B1058" s="3">
        <v>1525348</v>
      </c>
      <c r="C1058" s="3">
        <v>1525386</v>
      </c>
      <c r="D1058" s="1" t="s">
        <v>9</v>
      </c>
      <c r="E1058" s="1">
        <v>39</v>
      </c>
      <c r="F1058" s="1" t="s">
        <v>12630</v>
      </c>
      <c r="G1058" s="1" t="s">
        <v>6980</v>
      </c>
    </row>
    <row r="1059" spans="1:7" ht="21" x14ac:dyDescent="0.25">
      <c r="A1059" s="2" t="str">
        <f>HYPERLINK("https://rth.dk/resources/bsgatlas/details.php?id=BSGatlas-5'UTR-1058","BSGatlas-5'UTR-1058")</f>
        <v>BSGatlas-5'UTR-1058</v>
      </c>
      <c r="B1059" s="3">
        <v>1526749</v>
      </c>
      <c r="C1059" s="3">
        <v>1526781</v>
      </c>
      <c r="D1059" s="1" t="s">
        <v>13</v>
      </c>
      <c r="E1059" s="1">
        <v>33</v>
      </c>
      <c r="F1059" s="1" t="s">
        <v>12631</v>
      </c>
      <c r="G1059" s="1" t="s">
        <v>6983</v>
      </c>
    </row>
    <row r="1060" spans="1:7" ht="21" x14ac:dyDescent="0.25">
      <c r="A1060" s="2" t="str">
        <f>HYPERLINK("https://rth.dk/resources/bsgatlas/details.php?id=BSGatlas-5'UTR-1059","BSGatlas-5'UTR-1059")</f>
        <v>BSGatlas-5'UTR-1059</v>
      </c>
      <c r="B1060" s="3">
        <v>1527054</v>
      </c>
      <c r="C1060" s="3">
        <v>1527231</v>
      </c>
      <c r="D1060" s="1" t="s">
        <v>9</v>
      </c>
      <c r="E1060" s="1">
        <v>178</v>
      </c>
      <c r="F1060" s="1" t="s">
        <v>12632</v>
      </c>
      <c r="G1060" s="1" t="s">
        <v>6989</v>
      </c>
    </row>
    <row r="1061" spans="1:7" ht="21" x14ac:dyDescent="0.25">
      <c r="A1061" s="2" t="str">
        <f>HYPERLINK("https://rth.dk/resources/bsgatlas/details.php?id=BSGatlas-5'UTR-1060","BSGatlas-5'UTR-1060")</f>
        <v>BSGatlas-5'UTR-1060</v>
      </c>
      <c r="B1061" s="3">
        <v>1527067</v>
      </c>
      <c r="C1061" s="3">
        <v>1527099</v>
      </c>
      <c r="D1061" s="1" t="s">
        <v>13</v>
      </c>
      <c r="E1061" s="1">
        <v>33</v>
      </c>
      <c r="F1061" s="1" t="s">
        <v>12633</v>
      </c>
      <c r="G1061" s="1" t="s">
        <v>6986</v>
      </c>
    </row>
    <row r="1062" spans="1:7" ht="21" x14ac:dyDescent="0.25">
      <c r="A1062" s="2" t="str">
        <f>HYPERLINK("https://rth.dk/resources/bsgatlas/details.php?id=BSGatlas-5'UTR-1061","BSGatlas-5'UTR-1061")</f>
        <v>BSGatlas-5'UTR-1061</v>
      </c>
      <c r="B1062" s="3">
        <v>1527067</v>
      </c>
      <c r="C1062" s="3">
        <v>1528120</v>
      </c>
      <c r="D1062" s="1" t="s">
        <v>13</v>
      </c>
      <c r="E1062" s="1">
        <v>1054</v>
      </c>
      <c r="F1062" s="1" t="s">
        <v>12633</v>
      </c>
      <c r="G1062" s="1" t="s">
        <v>6987</v>
      </c>
    </row>
    <row r="1063" spans="1:7" ht="21" x14ac:dyDescent="0.25">
      <c r="A1063" s="2" t="str">
        <f>HYPERLINK("https://rth.dk/resources/bsgatlas/details.php?id=BSGatlas-5'UTR-1062","BSGatlas-5'UTR-1062")</f>
        <v>BSGatlas-5'UTR-1062</v>
      </c>
      <c r="B1063" s="3">
        <v>1527067</v>
      </c>
      <c r="C1063" s="3">
        <v>1528230</v>
      </c>
      <c r="D1063" s="1" t="s">
        <v>13</v>
      </c>
      <c r="E1063" s="1">
        <v>1164</v>
      </c>
      <c r="F1063" s="1" t="s">
        <v>12633</v>
      </c>
      <c r="G1063" s="1" t="s">
        <v>6988</v>
      </c>
    </row>
    <row r="1064" spans="1:7" ht="21" x14ac:dyDescent="0.25">
      <c r="A1064" s="2" t="str">
        <f>HYPERLINK("https://rth.dk/resources/bsgatlas/details.php?id=BSGatlas-5'UTR-1063","BSGatlas-5'UTR-1063")</f>
        <v>BSGatlas-5'UTR-1063</v>
      </c>
      <c r="B1064" s="3">
        <v>1527198</v>
      </c>
      <c r="C1064" s="3">
        <v>1527231</v>
      </c>
      <c r="D1064" s="1" t="s">
        <v>9</v>
      </c>
      <c r="E1064" s="1">
        <v>34</v>
      </c>
      <c r="F1064" s="1" t="s">
        <v>12632</v>
      </c>
      <c r="G1064" s="1" t="s">
        <v>6991</v>
      </c>
    </row>
    <row r="1065" spans="1:7" ht="21" x14ac:dyDescent="0.25">
      <c r="A1065" s="2" t="str">
        <f>HYPERLINK("https://rth.dk/resources/bsgatlas/details.php?id=BSGatlas-5'UTR-1064","BSGatlas-5'UTR-1064")</f>
        <v>BSGatlas-5'UTR-1064</v>
      </c>
      <c r="B1065" s="3">
        <v>1528100</v>
      </c>
      <c r="C1065" s="3">
        <v>1528326</v>
      </c>
      <c r="D1065" s="1" t="s">
        <v>9</v>
      </c>
      <c r="E1065" s="1">
        <v>227</v>
      </c>
      <c r="F1065" s="1" t="s">
        <v>12634</v>
      </c>
      <c r="G1065" s="1" t="s">
        <v>6994</v>
      </c>
    </row>
    <row r="1066" spans="1:7" ht="21" x14ac:dyDescent="0.25">
      <c r="A1066" s="2" t="str">
        <f>HYPERLINK("https://rth.dk/resources/bsgatlas/details.php?id=BSGatlas-5'UTR-1065","BSGatlas-5'UTR-1065")</f>
        <v>BSGatlas-5'UTR-1065</v>
      </c>
      <c r="B1066" s="3">
        <v>1528255</v>
      </c>
      <c r="C1066" s="3">
        <v>1528326</v>
      </c>
      <c r="D1066" s="1" t="s">
        <v>9</v>
      </c>
      <c r="E1066" s="1">
        <v>72</v>
      </c>
      <c r="F1066" s="1" t="s">
        <v>12634</v>
      </c>
      <c r="G1066" s="1" t="s">
        <v>6996</v>
      </c>
    </row>
    <row r="1067" spans="1:7" ht="21" x14ac:dyDescent="0.25">
      <c r="A1067" s="2" t="str">
        <f>HYPERLINK("https://rth.dk/resources/bsgatlas/details.php?id=BSGatlas-5'UTR-1066","BSGatlas-5'UTR-1066")</f>
        <v>BSGatlas-5'UTR-1066</v>
      </c>
      <c r="B1067" s="3">
        <v>1530453</v>
      </c>
      <c r="C1067" s="3">
        <v>1530537</v>
      </c>
      <c r="D1067" s="1" t="s">
        <v>9</v>
      </c>
      <c r="E1067" s="1">
        <v>85</v>
      </c>
      <c r="F1067" s="1" t="s">
        <v>12635</v>
      </c>
      <c r="G1067" s="1" t="s">
        <v>6998</v>
      </c>
    </row>
    <row r="1068" spans="1:7" ht="21" x14ac:dyDescent="0.25">
      <c r="A1068" s="2" t="str">
        <f>HYPERLINK("https://rth.dk/resources/bsgatlas/details.php?id=BSGatlas-5'UTR-1067","BSGatlas-5'UTR-1067")</f>
        <v>BSGatlas-5'UTR-1067</v>
      </c>
      <c r="B1068" s="3">
        <v>1533701</v>
      </c>
      <c r="C1068" s="3">
        <v>1533742</v>
      </c>
      <c r="D1068" s="1" t="s">
        <v>13</v>
      </c>
      <c r="E1068" s="1">
        <v>42</v>
      </c>
      <c r="F1068" s="1" t="s">
        <v>12636</v>
      </c>
      <c r="G1068" s="1" t="s">
        <v>7000</v>
      </c>
    </row>
    <row r="1069" spans="1:7" ht="21" x14ac:dyDescent="0.25">
      <c r="A1069" s="2" t="str">
        <f>HYPERLINK("https://rth.dk/resources/bsgatlas/details.php?id=BSGatlas-5'UTR-1068","BSGatlas-5'UTR-1068")</f>
        <v>BSGatlas-5'UTR-1068</v>
      </c>
      <c r="B1069" s="3">
        <v>1533936</v>
      </c>
      <c r="C1069" s="3">
        <v>1534069</v>
      </c>
      <c r="D1069" s="1" t="s">
        <v>9</v>
      </c>
      <c r="E1069" s="1">
        <v>134</v>
      </c>
      <c r="F1069" s="1" t="s">
        <v>12637</v>
      </c>
      <c r="G1069" s="1" t="s">
        <v>7003</v>
      </c>
    </row>
    <row r="1070" spans="1:7" ht="21" x14ac:dyDescent="0.25">
      <c r="A1070" s="2" t="str">
        <f>HYPERLINK("https://rth.dk/resources/bsgatlas/details.php?id=BSGatlas-5'UTR-1069","BSGatlas-5'UTR-1069")</f>
        <v>BSGatlas-5'UTR-1069</v>
      </c>
      <c r="B1070" s="3">
        <v>1534051</v>
      </c>
      <c r="C1070" s="3">
        <v>1534069</v>
      </c>
      <c r="D1070" s="1" t="s">
        <v>9</v>
      </c>
      <c r="E1070" s="1">
        <v>19</v>
      </c>
      <c r="F1070" s="1" t="s">
        <v>12637</v>
      </c>
      <c r="G1070" s="1" t="s">
        <v>7007</v>
      </c>
    </row>
    <row r="1071" spans="1:7" ht="21" x14ac:dyDescent="0.25">
      <c r="A1071" s="2" t="str">
        <f>HYPERLINK("https://rth.dk/resources/bsgatlas/details.php?id=BSGatlas-5'UTR-1070","BSGatlas-5'UTR-1070")</f>
        <v>BSGatlas-5'UTR-1070</v>
      </c>
      <c r="B1071" s="3">
        <v>1535751</v>
      </c>
      <c r="C1071" s="3">
        <v>1535847</v>
      </c>
      <c r="D1071" s="1" t="s">
        <v>13</v>
      </c>
      <c r="E1071" s="1">
        <v>97</v>
      </c>
      <c r="F1071" s="1" t="s">
        <v>12638</v>
      </c>
      <c r="G1071" s="1" t="s">
        <v>7005</v>
      </c>
    </row>
    <row r="1072" spans="1:7" ht="21" x14ac:dyDescent="0.25">
      <c r="A1072" s="2" t="str">
        <f>HYPERLINK("https://rth.dk/resources/bsgatlas/details.php?id=BSGatlas-5'UTR-1071","BSGatlas-5'UTR-1071")</f>
        <v>BSGatlas-5'UTR-1071</v>
      </c>
      <c r="B1072" s="3">
        <v>1535876</v>
      </c>
      <c r="C1072" s="3">
        <v>1535936</v>
      </c>
      <c r="D1072" s="1" t="s">
        <v>9</v>
      </c>
      <c r="E1072" s="1">
        <v>61</v>
      </c>
      <c r="F1072" s="1" t="s">
        <v>12639</v>
      </c>
      <c r="G1072" s="1" t="s">
        <v>7010</v>
      </c>
    </row>
    <row r="1073" spans="1:7" ht="21" x14ac:dyDescent="0.25">
      <c r="A1073" s="2" t="str">
        <f>HYPERLINK("https://rth.dk/resources/bsgatlas/details.php?id=BSGatlas-5'UTR-1072","BSGatlas-5'UTR-1072")</f>
        <v>BSGatlas-5'UTR-1072</v>
      </c>
      <c r="B1073" s="3">
        <v>1536873</v>
      </c>
      <c r="C1073" s="3">
        <v>1536918</v>
      </c>
      <c r="D1073" s="1" t="s">
        <v>13</v>
      </c>
      <c r="E1073" s="1">
        <v>46</v>
      </c>
      <c r="F1073" s="1" t="s">
        <v>12640</v>
      </c>
      <c r="G1073" s="1" t="s">
        <v>7012</v>
      </c>
    </row>
    <row r="1074" spans="1:7" ht="21" x14ac:dyDescent="0.25">
      <c r="A1074" s="2" t="str">
        <f>HYPERLINK("https://rth.dk/resources/bsgatlas/details.php?id=BSGatlas-5'UTR-1073","BSGatlas-5'UTR-1073")</f>
        <v>BSGatlas-5'UTR-1073</v>
      </c>
      <c r="B1074" s="3">
        <v>1536873</v>
      </c>
      <c r="C1074" s="3">
        <v>1537316</v>
      </c>
      <c r="D1074" s="1" t="s">
        <v>13</v>
      </c>
      <c r="E1074" s="1">
        <v>444</v>
      </c>
      <c r="F1074" s="1" t="s">
        <v>12640</v>
      </c>
      <c r="G1074" s="1" t="s">
        <v>7014</v>
      </c>
    </row>
    <row r="1075" spans="1:7" ht="21" x14ac:dyDescent="0.25">
      <c r="A1075" s="2" t="str">
        <f>HYPERLINK("https://rth.dk/resources/bsgatlas/details.php?id=BSGatlas-5'UTR-1074","BSGatlas-5'UTR-1074")</f>
        <v>BSGatlas-5'UTR-1074</v>
      </c>
      <c r="B1075" s="3">
        <v>1536965</v>
      </c>
      <c r="C1075" s="3">
        <v>1537113</v>
      </c>
      <c r="D1075" s="1" t="s">
        <v>9</v>
      </c>
      <c r="E1075" s="1">
        <v>149</v>
      </c>
      <c r="F1075" s="1" t="s">
        <v>12641</v>
      </c>
      <c r="G1075" s="1" t="s">
        <v>7015</v>
      </c>
    </row>
    <row r="1076" spans="1:7" ht="21" x14ac:dyDescent="0.25">
      <c r="A1076" s="2" t="str">
        <f>HYPERLINK("https://rth.dk/resources/bsgatlas/details.php?id=BSGatlas-5'UTR-1075","BSGatlas-5'UTR-1075")</f>
        <v>BSGatlas-5'UTR-1075</v>
      </c>
      <c r="B1076" s="3">
        <v>1537029</v>
      </c>
      <c r="C1076" s="3">
        <v>1537113</v>
      </c>
      <c r="D1076" s="1" t="s">
        <v>9</v>
      </c>
      <c r="E1076" s="1">
        <v>85</v>
      </c>
      <c r="F1076" s="1" t="s">
        <v>12641</v>
      </c>
      <c r="G1076" s="1" t="s">
        <v>7017</v>
      </c>
    </row>
    <row r="1077" spans="1:7" ht="21" x14ac:dyDescent="0.25">
      <c r="A1077" s="2" t="str">
        <f>HYPERLINK("https://rth.dk/resources/bsgatlas/details.php?id=BSGatlas-5'UTR-1076","BSGatlas-5'UTR-1076")</f>
        <v>BSGatlas-5'UTR-1076</v>
      </c>
      <c r="B1077" s="3">
        <v>1537394</v>
      </c>
      <c r="C1077" s="3">
        <v>1537441</v>
      </c>
      <c r="D1077" s="1" t="s">
        <v>9</v>
      </c>
      <c r="E1077" s="1">
        <v>48</v>
      </c>
      <c r="F1077" s="1" t="s">
        <v>12642</v>
      </c>
      <c r="G1077" s="1" t="s">
        <v>7021</v>
      </c>
    </row>
    <row r="1078" spans="1:7" ht="21" x14ac:dyDescent="0.25">
      <c r="A1078" s="2" t="str">
        <f>HYPERLINK("https://rth.dk/resources/bsgatlas/details.php?id=BSGatlas-5'UTR-1077","BSGatlas-5'UTR-1077")</f>
        <v>BSGatlas-5'UTR-1077</v>
      </c>
      <c r="B1078" s="3">
        <v>1539684</v>
      </c>
      <c r="C1078" s="3">
        <v>1539758</v>
      </c>
      <c r="D1078" s="1" t="s">
        <v>13</v>
      </c>
      <c r="E1078" s="1">
        <v>75</v>
      </c>
      <c r="F1078" s="1" t="s">
        <v>12643</v>
      </c>
      <c r="G1078" s="1" t="s">
        <v>7018</v>
      </c>
    </row>
    <row r="1079" spans="1:7" ht="21" x14ac:dyDescent="0.25">
      <c r="A1079" s="2" t="str">
        <f>HYPERLINK("https://rth.dk/resources/bsgatlas/details.php?id=BSGatlas-5'UTR-1078","BSGatlas-5'UTR-1078")</f>
        <v>BSGatlas-5'UTR-1078</v>
      </c>
      <c r="B1079" s="3">
        <v>1541601</v>
      </c>
      <c r="C1079" s="3">
        <v>1541647</v>
      </c>
      <c r="D1079" s="1" t="s">
        <v>13</v>
      </c>
      <c r="E1079" s="1">
        <v>47</v>
      </c>
      <c r="F1079" s="1" t="s">
        <v>12644</v>
      </c>
      <c r="G1079" s="1" t="s">
        <v>7025</v>
      </c>
    </row>
    <row r="1080" spans="1:7" ht="21" x14ac:dyDescent="0.25">
      <c r="A1080" s="2" t="str">
        <f>HYPERLINK("https://rth.dk/resources/bsgatlas/details.php?id=BSGatlas-5'UTR-1079","BSGatlas-5'UTR-1079")</f>
        <v>BSGatlas-5'UTR-1079</v>
      </c>
      <c r="B1080" s="3">
        <v>1541862</v>
      </c>
      <c r="C1080" s="3">
        <v>1541886</v>
      </c>
      <c r="D1080" s="1" t="s">
        <v>9</v>
      </c>
      <c r="E1080" s="1">
        <v>25</v>
      </c>
      <c r="F1080" s="1" t="s">
        <v>12645</v>
      </c>
      <c r="G1080" s="1" t="s">
        <v>7028</v>
      </c>
    </row>
    <row r="1081" spans="1:7" ht="21" x14ac:dyDescent="0.25">
      <c r="A1081" s="2" t="str">
        <f>HYPERLINK("https://rth.dk/resources/bsgatlas/details.php?id=BSGatlas-5'UTR-1080","BSGatlas-5'UTR-1080")</f>
        <v>BSGatlas-5'UTR-1080</v>
      </c>
      <c r="B1081" s="3">
        <v>1545547</v>
      </c>
      <c r="C1081" s="3">
        <v>1545588</v>
      </c>
      <c r="D1081" s="1" t="s">
        <v>13</v>
      </c>
      <c r="E1081" s="1">
        <v>42</v>
      </c>
      <c r="F1081" s="1" t="s">
        <v>12646</v>
      </c>
      <c r="G1081" s="1" t="s">
        <v>7032</v>
      </c>
    </row>
    <row r="1082" spans="1:7" ht="21" x14ac:dyDescent="0.25">
      <c r="A1082" s="2" t="str">
        <f>HYPERLINK("https://rth.dk/resources/bsgatlas/details.php?id=BSGatlas-5'UTR-1081","BSGatlas-5'UTR-1081")</f>
        <v>BSGatlas-5'UTR-1081</v>
      </c>
      <c r="B1082" s="3">
        <v>1546008</v>
      </c>
      <c r="C1082" s="3">
        <v>1546047</v>
      </c>
      <c r="D1082" s="1" t="s">
        <v>13</v>
      </c>
      <c r="E1082" s="1">
        <v>40</v>
      </c>
      <c r="F1082" s="1" t="s">
        <v>12647</v>
      </c>
      <c r="G1082" s="1" t="s">
        <v>7034</v>
      </c>
    </row>
    <row r="1083" spans="1:7" ht="21" x14ac:dyDescent="0.25">
      <c r="A1083" s="2" t="str">
        <f>HYPERLINK("https://rth.dk/resources/bsgatlas/details.php?id=BSGatlas-5'UTR-1082","BSGatlas-5'UTR-1082")</f>
        <v>BSGatlas-5'UTR-1082</v>
      </c>
      <c r="B1083" s="3">
        <v>1546082</v>
      </c>
      <c r="C1083" s="3">
        <v>1546121</v>
      </c>
      <c r="D1083" s="1" t="s">
        <v>9</v>
      </c>
      <c r="E1083" s="1">
        <v>40</v>
      </c>
      <c r="F1083" s="1" t="s">
        <v>12648</v>
      </c>
      <c r="G1083" s="1" t="s">
        <v>7038</v>
      </c>
    </row>
    <row r="1084" spans="1:7" ht="21" x14ac:dyDescent="0.25">
      <c r="A1084" s="2" t="str">
        <f>HYPERLINK("https://rth.dk/resources/bsgatlas/details.php?id=BSGatlas-5'UTR-1083","BSGatlas-5'UTR-1083")</f>
        <v>BSGatlas-5'UTR-1083</v>
      </c>
      <c r="B1084" s="3">
        <v>1548598</v>
      </c>
      <c r="C1084" s="3">
        <v>1548627</v>
      </c>
      <c r="D1084" s="1" t="s">
        <v>13</v>
      </c>
      <c r="E1084" s="1">
        <v>30</v>
      </c>
      <c r="F1084" s="1" t="s">
        <v>12649</v>
      </c>
      <c r="G1084" s="1" t="s">
        <v>7040</v>
      </c>
    </row>
    <row r="1085" spans="1:7" ht="21" x14ac:dyDescent="0.25">
      <c r="A1085" s="2" t="str">
        <f>HYPERLINK("https://rth.dk/resources/bsgatlas/details.php?id=BSGatlas-5'UTR-1084","BSGatlas-5'UTR-1084")</f>
        <v>BSGatlas-5'UTR-1084</v>
      </c>
      <c r="B1085" s="3">
        <v>1549310</v>
      </c>
      <c r="C1085" s="3">
        <v>1549350</v>
      </c>
      <c r="D1085" s="1" t="s">
        <v>13</v>
      </c>
      <c r="E1085" s="1">
        <v>41</v>
      </c>
      <c r="F1085" s="1" t="s">
        <v>12650</v>
      </c>
      <c r="G1085" s="1" t="s">
        <v>7044</v>
      </c>
    </row>
    <row r="1086" spans="1:7" ht="21" x14ac:dyDescent="0.25">
      <c r="A1086" s="2" t="str">
        <f>HYPERLINK("https://rth.dk/resources/bsgatlas/details.php?id=BSGatlas-5'UTR-1085","BSGatlas-5'UTR-1085")</f>
        <v>BSGatlas-5'UTR-1085</v>
      </c>
      <c r="B1086" s="3">
        <v>1549383</v>
      </c>
      <c r="C1086" s="3">
        <v>1549465</v>
      </c>
      <c r="D1086" s="1" t="s">
        <v>9</v>
      </c>
      <c r="E1086" s="1">
        <v>83</v>
      </c>
      <c r="F1086" s="1" t="s">
        <v>12651</v>
      </c>
      <c r="G1086" s="1" t="s">
        <v>7045</v>
      </c>
    </row>
    <row r="1087" spans="1:7" ht="21" x14ac:dyDescent="0.25">
      <c r="A1087" s="2" t="str">
        <f>HYPERLINK("https://rth.dk/resources/bsgatlas/details.php?id=BSGatlas-5'UTR-1086","BSGatlas-5'UTR-1086")</f>
        <v>BSGatlas-5'UTR-1086</v>
      </c>
      <c r="B1087" s="3">
        <v>1551282</v>
      </c>
      <c r="C1087" s="3">
        <v>1551322</v>
      </c>
      <c r="D1087" s="1" t="s">
        <v>13</v>
      </c>
      <c r="E1087" s="1">
        <v>41</v>
      </c>
      <c r="F1087" s="1" t="s">
        <v>12652</v>
      </c>
      <c r="G1087" s="1" t="s">
        <v>7047</v>
      </c>
    </row>
    <row r="1088" spans="1:7" ht="21" x14ac:dyDescent="0.25">
      <c r="A1088" s="2" t="str">
        <f>HYPERLINK("https://rth.dk/resources/bsgatlas/details.php?id=BSGatlas-5'UTR-1087","BSGatlas-5'UTR-1087")</f>
        <v>BSGatlas-5'UTR-1087</v>
      </c>
      <c r="B1088" s="3">
        <v>1551908</v>
      </c>
      <c r="C1088" s="3">
        <v>1552412</v>
      </c>
      <c r="D1088" s="1" t="s">
        <v>9</v>
      </c>
      <c r="E1088" s="1">
        <v>505</v>
      </c>
      <c r="F1088" s="1" t="s">
        <v>12653</v>
      </c>
      <c r="G1088" s="1" t="s">
        <v>7049</v>
      </c>
    </row>
    <row r="1089" spans="1:7" ht="21" x14ac:dyDescent="0.25">
      <c r="A1089" s="2" t="str">
        <f>HYPERLINK("https://rth.dk/resources/bsgatlas/details.php?id=BSGatlas-5'UTR-1088","BSGatlas-5'UTR-1088")</f>
        <v>BSGatlas-5'UTR-1088</v>
      </c>
      <c r="B1089" s="3">
        <v>1552364</v>
      </c>
      <c r="C1089" s="3">
        <v>1552412</v>
      </c>
      <c r="D1089" s="1" t="s">
        <v>9</v>
      </c>
      <c r="E1089" s="1">
        <v>49</v>
      </c>
      <c r="F1089" s="1" t="s">
        <v>12653</v>
      </c>
      <c r="G1089" s="1" t="s">
        <v>7051</v>
      </c>
    </row>
    <row r="1090" spans="1:7" ht="21" x14ac:dyDescent="0.25">
      <c r="A1090" s="2" t="str">
        <f>HYPERLINK("https://rth.dk/resources/bsgatlas/details.php?id=BSGatlas-5'UTR-1089","BSGatlas-5'UTR-1089")</f>
        <v>BSGatlas-5'UTR-1089</v>
      </c>
      <c r="B1090" s="3">
        <v>1552772</v>
      </c>
      <c r="C1090" s="3">
        <v>1552899</v>
      </c>
      <c r="D1090" s="1" t="s">
        <v>9</v>
      </c>
      <c r="E1090" s="1">
        <v>128</v>
      </c>
      <c r="F1090" s="1" t="s">
        <v>12654</v>
      </c>
      <c r="G1090" s="1" t="s">
        <v>7053</v>
      </c>
    </row>
    <row r="1091" spans="1:7" ht="21" x14ac:dyDescent="0.25">
      <c r="A1091" s="2" t="str">
        <f>HYPERLINK("https://rth.dk/resources/bsgatlas/details.php?id=BSGatlas-5'UTR-1090","BSGatlas-5'UTR-1090")</f>
        <v>BSGatlas-5'UTR-1090</v>
      </c>
      <c r="B1091" s="3">
        <v>1554158</v>
      </c>
      <c r="C1091" s="3">
        <v>1554185</v>
      </c>
      <c r="D1091" s="1" t="s">
        <v>9</v>
      </c>
      <c r="E1091" s="1">
        <v>28</v>
      </c>
      <c r="F1091" s="1" t="s">
        <v>12655</v>
      </c>
      <c r="G1091" s="1" t="s">
        <v>7055</v>
      </c>
    </row>
    <row r="1092" spans="1:7" ht="21" x14ac:dyDescent="0.25">
      <c r="A1092" s="2" t="str">
        <f>HYPERLINK("https://rth.dk/resources/bsgatlas/details.php?id=BSGatlas-5'UTR-1091","BSGatlas-5'UTR-1091")</f>
        <v>BSGatlas-5'UTR-1091</v>
      </c>
      <c r="B1092" s="3">
        <v>1558954</v>
      </c>
      <c r="C1092" s="3">
        <v>1558982</v>
      </c>
      <c r="D1092" s="1" t="s">
        <v>13</v>
      </c>
      <c r="E1092" s="1">
        <v>29</v>
      </c>
      <c r="F1092" s="1" t="s">
        <v>12656</v>
      </c>
      <c r="G1092" s="1" t="s">
        <v>7056</v>
      </c>
    </row>
    <row r="1093" spans="1:7" ht="21" x14ac:dyDescent="0.25">
      <c r="A1093" s="2" t="str">
        <f>HYPERLINK("https://rth.dk/resources/bsgatlas/details.php?id=BSGatlas-5'UTR-1092","BSGatlas-5'UTR-1092")</f>
        <v>BSGatlas-5'UTR-1092</v>
      </c>
      <c r="B1093" s="3">
        <v>1558954</v>
      </c>
      <c r="C1093" s="3">
        <v>1558996</v>
      </c>
      <c r="D1093" s="1" t="s">
        <v>13</v>
      </c>
      <c r="E1093" s="1">
        <v>43</v>
      </c>
      <c r="F1093" s="1" t="s">
        <v>12656</v>
      </c>
      <c r="G1093" s="1" t="s">
        <v>7058</v>
      </c>
    </row>
    <row r="1094" spans="1:7" ht="21" x14ac:dyDescent="0.25">
      <c r="A1094" s="2" t="str">
        <f>HYPERLINK("https://rth.dk/resources/bsgatlas/details.php?id=BSGatlas-5'UTR-1093","BSGatlas-5'UTR-1093")</f>
        <v>BSGatlas-5'UTR-1093</v>
      </c>
      <c r="B1094" s="3">
        <v>1559111</v>
      </c>
      <c r="C1094" s="3">
        <v>1559309</v>
      </c>
      <c r="D1094" s="1" t="s">
        <v>9</v>
      </c>
      <c r="E1094" s="1">
        <v>199</v>
      </c>
      <c r="F1094" s="1" t="s">
        <v>12657</v>
      </c>
      <c r="G1094" s="1" t="s">
        <v>7060</v>
      </c>
    </row>
    <row r="1095" spans="1:7" ht="21" x14ac:dyDescent="0.25">
      <c r="A1095" s="2" t="str">
        <f>HYPERLINK("https://rth.dk/resources/bsgatlas/details.php?id=BSGatlas-5'UTR-1094","BSGatlas-5'UTR-1094")</f>
        <v>BSGatlas-5'UTR-1094</v>
      </c>
      <c r="B1095" s="3">
        <v>1559218</v>
      </c>
      <c r="C1095" s="3">
        <v>1559309</v>
      </c>
      <c r="D1095" s="1" t="s">
        <v>9</v>
      </c>
      <c r="E1095" s="1">
        <v>92</v>
      </c>
      <c r="F1095" s="1" t="s">
        <v>12657</v>
      </c>
      <c r="G1095" s="1" t="s">
        <v>7065</v>
      </c>
    </row>
    <row r="1096" spans="1:7" ht="21" x14ac:dyDescent="0.25">
      <c r="A1096" s="2" t="str">
        <f>HYPERLINK("https://rth.dk/resources/bsgatlas/details.php?id=BSGatlas-5'UTR-1095","BSGatlas-5'UTR-1095")</f>
        <v>BSGatlas-5'UTR-1095</v>
      </c>
      <c r="B1096" s="3">
        <v>1560274</v>
      </c>
      <c r="C1096" s="3">
        <v>1560466</v>
      </c>
      <c r="D1096" s="1" t="s">
        <v>9</v>
      </c>
      <c r="E1096" s="1">
        <v>193</v>
      </c>
      <c r="F1096" s="1" t="s">
        <v>12658</v>
      </c>
      <c r="G1096" s="1" t="s">
        <v>7067</v>
      </c>
    </row>
    <row r="1097" spans="1:7" ht="21" x14ac:dyDescent="0.25">
      <c r="A1097" s="2" t="str">
        <f>HYPERLINK("https://rth.dk/resources/bsgatlas/details.php?id=BSGatlas-5'UTR-1096","BSGatlas-5'UTR-1096")</f>
        <v>BSGatlas-5'UTR-1096</v>
      </c>
      <c r="B1097" s="3">
        <v>1560362</v>
      </c>
      <c r="C1097" s="3">
        <v>1560466</v>
      </c>
      <c r="D1097" s="1" t="s">
        <v>9</v>
      </c>
      <c r="E1097" s="1">
        <v>105</v>
      </c>
      <c r="F1097" s="1" t="s">
        <v>12658</v>
      </c>
      <c r="G1097" s="1" t="s">
        <v>7068</v>
      </c>
    </row>
    <row r="1098" spans="1:7" ht="21" x14ac:dyDescent="0.25">
      <c r="A1098" s="2" t="str">
        <f>HYPERLINK("https://rth.dk/resources/bsgatlas/details.php?id=BSGatlas-5'UTR-1097","BSGatlas-5'UTR-1097")</f>
        <v>BSGatlas-5'UTR-1097</v>
      </c>
      <c r="B1098" s="3">
        <v>1565709</v>
      </c>
      <c r="C1098" s="3">
        <v>1565745</v>
      </c>
      <c r="D1098" s="1" t="s">
        <v>13</v>
      </c>
      <c r="E1098" s="1">
        <v>37</v>
      </c>
      <c r="F1098" s="1" t="s">
        <v>12659</v>
      </c>
      <c r="G1098" s="1" t="s">
        <v>7069</v>
      </c>
    </row>
    <row r="1099" spans="1:7" ht="21" x14ac:dyDescent="0.25">
      <c r="A1099" s="2" t="str">
        <f>HYPERLINK("https://rth.dk/resources/bsgatlas/details.php?id=BSGatlas-5'UTR-1098","BSGatlas-5'UTR-1098")</f>
        <v>BSGatlas-5'UTR-1098</v>
      </c>
      <c r="B1099" s="3">
        <v>1565709</v>
      </c>
      <c r="C1099" s="3">
        <v>1567347</v>
      </c>
      <c r="D1099" s="1" t="s">
        <v>13</v>
      </c>
      <c r="E1099" s="1">
        <v>1639</v>
      </c>
      <c r="F1099" s="1" t="s">
        <v>12659</v>
      </c>
      <c r="G1099" s="1" t="s">
        <v>7071</v>
      </c>
    </row>
    <row r="1100" spans="1:7" ht="21" x14ac:dyDescent="0.25">
      <c r="A1100" s="2" t="str">
        <f>HYPERLINK("https://rth.dk/resources/bsgatlas/details.php?id=BSGatlas-5'UTR-1099","BSGatlas-5'UTR-1099")</f>
        <v>BSGatlas-5'UTR-1099</v>
      </c>
      <c r="B1100" s="3">
        <v>1565755</v>
      </c>
      <c r="C1100" s="3">
        <v>1565849</v>
      </c>
      <c r="D1100" s="1" t="s">
        <v>9</v>
      </c>
      <c r="E1100" s="1">
        <v>95</v>
      </c>
      <c r="F1100" s="1" t="s">
        <v>12660</v>
      </c>
      <c r="G1100" s="1" t="s">
        <v>7073</v>
      </c>
    </row>
    <row r="1101" spans="1:7" ht="21" x14ac:dyDescent="0.25">
      <c r="A1101" s="2" t="str">
        <f>HYPERLINK("https://rth.dk/resources/bsgatlas/details.php?id=BSGatlas-5'UTR-1100","BSGatlas-5'UTR-1100")</f>
        <v>BSGatlas-5'UTR-1100</v>
      </c>
      <c r="B1101" s="3">
        <v>1566336</v>
      </c>
      <c r="C1101" s="3">
        <v>1566379</v>
      </c>
      <c r="D1101" s="1" t="s">
        <v>9</v>
      </c>
      <c r="E1101" s="1">
        <v>44</v>
      </c>
      <c r="F1101" s="1" t="s">
        <v>12661</v>
      </c>
      <c r="G1101" s="1" t="s">
        <v>7076</v>
      </c>
    </row>
    <row r="1102" spans="1:7" ht="21" x14ac:dyDescent="0.25">
      <c r="A1102" s="2" t="str">
        <f>HYPERLINK("https://rth.dk/resources/bsgatlas/details.php?id=BSGatlas-5'UTR-1101","BSGatlas-5'UTR-1101")</f>
        <v>BSGatlas-5'UTR-1101</v>
      </c>
      <c r="B1102" s="3">
        <v>1567621</v>
      </c>
      <c r="C1102" s="3">
        <v>1567651</v>
      </c>
      <c r="D1102" s="1" t="s">
        <v>9</v>
      </c>
      <c r="E1102" s="1">
        <v>31</v>
      </c>
      <c r="F1102" s="1" t="s">
        <v>12662</v>
      </c>
      <c r="G1102" s="1" t="s">
        <v>7078</v>
      </c>
    </row>
    <row r="1103" spans="1:7" ht="21" x14ac:dyDescent="0.25">
      <c r="A1103" s="2" t="str">
        <f>HYPERLINK("https://rth.dk/resources/bsgatlas/details.php?id=BSGatlas-5'UTR-1102","BSGatlas-5'UTR-1102")</f>
        <v>BSGatlas-5'UTR-1102</v>
      </c>
      <c r="B1103" s="3">
        <v>1568394</v>
      </c>
      <c r="C1103" s="3">
        <v>1568420</v>
      </c>
      <c r="D1103" s="1" t="s">
        <v>9</v>
      </c>
      <c r="E1103" s="1">
        <v>27</v>
      </c>
      <c r="F1103" s="1" t="s">
        <v>12663</v>
      </c>
      <c r="G1103" s="1" t="s">
        <v>7082</v>
      </c>
    </row>
    <row r="1104" spans="1:7" ht="21" x14ac:dyDescent="0.25">
      <c r="A1104" s="2" t="str">
        <f>HYPERLINK("https://rth.dk/resources/bsgatlas/details.php?id=BSGatlas-5'UTR-1103","BSGatlas-5'UTR-1103")</f>
        <v>BSGatlas-5'UTR-1103</v>
      </c>
      <c r="B1104" s="3">
        <v>1569427</v>
      </c>
      <c r="C1104" s="3">
        <v>1569519</v>
      </c>
      <c r="D1104" s="1" t="s">
        <v>9</v>
      </c>
      <c r="E1104" s="1">
        <v>93</v>
      </c>
      <c r="F1104" s="1" t="s">
        <v>12664</v>
      </c>
      <c r="G1104" s="1" t="s">
        <v>7089</v>
      </c>
    </row>
    <row r="1105" spans="1:7" ht="21" x14ac:dyDescent="0.25">
      <c r="A1105" s="2" t="str">
        <f>HYPERLINK("https://rth.dk/resources/bsgatlas/details.php?id=BSGatlas-5'UTR-1104","BSGatlas-5'UTR-1104")</f>
        <v>BSGatlas-5'UTR-1104</v>
      </c>
      <c r="B1105" s="3">
        <v>1571800</v>
      </c>
      <c r="C1105" s="3">
        <v>1571901</v>
      </c>
      <c r="D1105" s="1" t="s">
        <v>13</v>
      </c>
      <c r="E1105" s="1">
        <v>102</v>
      </c>
      <c r="F1105" s="1" t="s">
        <v>12665</v>
      </c>
      <c r="G1105" s="1" t="s">
        <v>7090</v>
      </c>
    </row>
    <row r="1106" spans="1:7" ht="21" x14ac:dyDescent="0.25">
      <c r="A1106" s="2" t="str">
        <f>HYPERLINK("https://rth.dk/resources/bsgatlas/details.php?id=BSGatlas-5'UTR-1105","BSGatlas-5'UTR-1105")</f>
        <v>BSGatlas-5'UTR-1105</v>
      </c>
      <c r="B1106" s="3">
        <v>1571851</v>
      </c>
      <c r="C1106" s="3">
        <v>1571981</v>
      </c>
      <c r="D1106" s="1" t="s">
        <v>9</v>
      </c>
      <c r="E1106" s="1">
        <v>131</v>
      </c>
      <c r="F1106" s="1" t="s">
        <v>12666</v>
      </c>
      <c r="G1106" s="1" t="s">
        <v>7093</v>
      </c>
    </row>
    <row r="1107" spans="1:7" ht="21" x14ac:dyDescent="0.25">
      <c r="A1107" s="2" t="str">
        <f>HYPERLINK("https://rth.dk/resources/bsgatlas/details.php?id=BSGatlas-5'UTR-1106","BSGatlas-5'UTR-1106")</f>
        <v>BSGatlas-5'UTR-1106</v>
      </c>
      <c r="B1107" s="3">
        <v>1572574</v>
      </c>
      <c r="C1107" s="3">
        <v>1572765</v>
      </c>
      <c r="D1107" s="1" t="s">
        <v>9</v>
      </c>
      <c r="E1107" s="1">
        <v>192</v>
      </c>
      <c r="F1107" s="1" t="s">
        <v>12667</v>
      </c>
      <c r="G1107" s="1" t="s">
        <v>7095</v>
      </c>
    </row>
    <row r="1108" spans="1:7" ht="21" x14ac:dyDescent="0.25">
      <c r="A1108" s="2" t="str">
        <f>HYPERLINK("https://rth.dk/resources/bsgatlas/details.php?id=BSGatlas-5'UTR-1107","BSGatlas-5'UTR-1107")</f>
        <v>BSGatlas-5'UTR-1107</v>
      </c>
      <c r="B1108" s="3">
        <v>1574995</v>
      </c>
      <c r="C1108" s="3">
        <v>1575264</v>
      </c>
      <c r="D1108" s="1" t="s">
        <v>9</v>
      </c>
      <c r="E1108" s="1">
        <v>270</v>
      </c>
      <c r="F1108" s="1" t="s">
        <v>12668</v>
      </c>
      <c r="G1108" s="1" t="s">
        <v>7101</v>
      </c>
    </row>
    <row r="1109" spans="1:7" ht="21" x14ac:dyDescent="0.25">
      <c r="A1109" s="2" t="str">
        <f>HYPERLINK("https://rth.dk/resources/bsgatlas/details.php?id=BSGatlas-5'UTR-1108","BSGatlas-5'UTR-1108")</f>
        <v>BSGatlas-5'UTR-1108</v>
      </c>
      <c r="B1109" s="3">
        <v>1575054</v>
      </c>
      <c r="C1109" s="3">
        <v>1575137</v>
      </c>
      <c r="D1109" s="1" t="s">
        <v>13</v>
      </c>
      <c r="E1109" s="1">
        <v>84</v>
      </c>
      <c r="F1109" s="1" t="s">
        <v>12669</v>
      </c>
      <c r="G1109" s="1" t="s">
        <v>7096</v>
      </c>
    </row>
    <row r="1110" spans="1:7" ht="21" x14ac:dyDescent="0.25">
      <c r="A1110" s="2" t="str">
        <f>HYPERLINK("https://rth.dk/resources/bsgatlas/details.php?id=BSGatlas-5'UTR-1109","BSGatlas-5'UTR-1109")</f>
        <v>BSGatlas-5'UTR-1109</v>
      </c>
      <c r="B1110" s="3">
        <v>1575098</v>
      </c>
      <c r="C1110" s="3">
        <v>1575264</v>
      </c>
      <c r="D1110" s="1" t="s">
        <v>9</v>
      </c>
      <c r="E1110" s="1">
        <v>167</v>
      </c>
      <c r="F1110" s="1" t="s">
        <v>12668</v>
      </c>
      <c r="G1110" s="1" t="s">
        <v>7103</v>
      </c>
    </row>
    <row r="1111" spans="1:7" ht="21" x14ac:dyDescent="0.25">
      <c r="A1111" s="2" t="str">
        <f>HYPERLINK("https://rth.dk/resources/bsgatlas/details.php?id=BSGatlas-5'UTR-1110","BSGatlas-5'UTR-1110")</f>
        <v>BSGatlas-5'UTR-1110</v>
      </c>
      <c r="B1111" s="3">
        <v>1575235</v>
      </c>
      <c r="C1111" s="3">
        <v>1575264</v>
      </c>
      <c r="D1111" s="1" t="s">
        <v>9</v>
      </c>
      <c r="E1111" s="1">
        <v>30</v>
      </c>
      <c r="F1111" s="1" t="s">
        <v>12668</v>
      </c>
      <c r="G1111" s="1" t="s">
        <v>7104</v>
      </c>
    </row>
    <row r="1112" spans="1:7" ht="21" x14ac:dyDescent="0.25">
      <c r="A1112" s="2" t="str">
        <f>HYPERLINK("https://rth.dk/resources/bsgatlas/details.php?id=BSGatlas-5'UTR-1111","BSGatlas-5'UTR-1111")</f>
        <v>BSGatlas-5'UTR-1111</v>
      </c>
      <c r="B1112" s="3">
        <v>1575236</v>
      </c>
      <c r="C1112" s="3">
        <v>1576006</v>
      </c>
      <c r="D1112" s="1" t="s">
        <v>13</v>
      </c>
      <c r="E1112" s="1">
        <v>771</v>
      </c>
      <c r="F1112" s="1" t="s">
        <v>12670</v>
      </c>
      <c r="G1112" s="1" t="s">
        <v>7099</v>
      </c>
    </row>
    <row r="1113" spans="1:7" ht="21" x14ac:dyDescent="0.25">
      <c r="A1113" s="2" t="str">
        <f>HYPERLINK("https://rth.dk/resources/bsgatlas/details.php?id=BSGatlas-5'UTR-1112","BSGatlas-5'UTR-1112")</f>
        <v>BSGatlas-5'UTR-1112</v>
      </c>
      <c r="B1113" s="3">
        <v>1576086</v>
      </c>
      <c r="C1113" s="3">
        <v>1576129</v>
      </c>
      <c r="D1113" s="1" t="s">
        <v>9</v>
      </c>
      <c r="E1113" s="1">
        <v>44</v>
      </c>
      <c r="F1113" s="1" t="s">
        <v>12671</v>
      </c>
      <c r="G1113" s="1" t="s">
        <v>7105</v>
      </c>
    </row>
    <row r="1114" spans="1:7" ht="21" x14ac:dyDescent="0.25">
      <c r="A1114" s="2" t="str">
        <f>HYPERLINK("https://rth.dk/resources/bsgatlas/details.php?id=BSGatlas-5'UTR-1113","BSGatlas-5'UTR-1113")</f>
        <v>BSGatlas-5'UTR-1113</v>
      </c>
      <c r="B1114" s="3">
        <v>1577249</v>
      </c>
      <c r="C1114" s="3">
        <v>1577291</v>
      </c>
      <c r="D1114" s="1" t="s">
        <v>13</v>
      </c>
      <c r="E1114" s="1">
        <v>43</v>
      </c>
      <c r="F1114" s="1" t="s">
        <v>12672</v>
      </c>
      <c r="G1114" s="1" t="s">
        <v>7108</v>
      </c>
    </row>
    <row r="1115" spans="1:7" ht="21" x14ac:dyDescent="0.25">
      <c r="A1115" s="2" t="str">
        <f>HYPERLINK("https://rth.dk/resources/bsgatlas/details.php?id=BSGatlas-5'UTR-1114","BSGatlas-5'UTR-1114")</f>
        <v>BSGatlas-5'UTR-1114</v>
      </c>
      <c r="B1115" s="3">
        <v>1577385</v>
      </c>
      <c r="C1115" s="3">
        <v>1577409</v>
      </c>
      <c r="D1115" s="1" t="s">
        <v>9</v>
      </c>
      <c r="E1115" s="1">
        <v>25</v>
      </c>
      <c r="F1115" s="1" t="s">
        <v>12673</v>
      </c>
      <c r="G1115" s="1" t="s">
        <v>7111</v>
      </c>
    </row>
    <row r="1116" spans="1:7" ht="21" x14ac:dyDescent="0.25">
      <c r="A1116" s="2" t="str">
        <f>HYPERLINK("https://rth.dk/resources/bsgatlas/details.php?id=BSGatlas-5'UTR-1115","BSGatlas-5'UTR-1115")</f>
        <v>BSGatlas-5'UTR-1115</v>
      </c>
      <c r="B1116" s="3">
        <v>1578337</v>
      </c>
      <c r="C1116" s="3">
        <v>1578376</v>
      </c>
      <c r="D1116" s="1" t="s">
        <v>9</v>
      </c>
      <c r="E1116" s="1">
        <v>40</v>
      </c>
      <c r="F1116" s="1" t="s">
        <v>12674</v>
      </c>
      <c r="G1116" s="1" t="s">
        <v>7114</v>
      </c>
    </row>
    <row r="1117" spans="1:7" ht="21" x14ac:dyDescent="0.25">
      <c r="A1117" s="2" t="str">
        <f>HYPERLINK("https://rth.dk/resources/bsgatlas/details.php?id=BSGatlas-5'UTR-1116","BSGatlas-5'UTR-1116")</f>
        <v>BSGatlas-5'UTR-1116</v>
      </c>
      <c r="B1117" s="3">
        <v>1580047</v>
      </c>
      <c r="C1117" s="3">
        <v>1580121</v>
      </c>
      <c r="D1117" s="1" t="s">
        <v>9</v>
      </c>
      <c r="E1117" s="1">
        <v>75</v>
      </c>
      <c r="F1117" s="1" t="s">
        <v>12675</v>
      </c>
      <c r="G1117" s="1" t="s">
        <v>7116</v>
      </c>
    </row>
    <row r="1118" spans="1:7" ht="21" x14ac:dyDescent="0.25">
      <c r="A1118" s="2" t="str">
        <f>HYPERLINK("https://rth.dk/resources/bsgatlas/details.php?id=BSGatlas-5'UTR-1117","BSGatlas-5'UTR-1117")</f>
        <v>BSGatlas-5'UTR-1117</v>
      </c>
      <c r="B1118" s="3">
        <v>1584186</v>
      </c>
      <c r="C1118" s="3">
        <v>1584214</v>
      </c>
      <c r="D1118" s="1" t="s">
        <v>9</v>
      </c>
      <c r="E1118" s="1">
        <v>29</v>
      </c>
      <c r="F1118" s="1" t="s">
        <v>12676</v>
      </c>
      <c r="G1118" s="1" t="s">
        <v>7120</v>
      </c>
    </row>
    <row r="1119" spans="1:7" ht="21" x14ac:dyDescent="0.25">
      <c r="A1119" s="2" t="str">
        <f>HYPERLINK("https://rth.dk/resources/bsgatlas/details.php?id=BSGatlas-5'UTR-1118","BSGatlas-5'UTR-1118")</f>
        <v>BSGatlas-5'UTR-1118</v>
      </c>
      <c r="B1119" s="3">
        <v>1585977</v>
      </c>
      <c r="C1119" s="3">
        <v>1586330</v>
      </c>
      <c r="D1119" s="1" t="s">
        <v>9</v>
      </c>
      <c r="E1119" s="1">
        <v>354</v>
      </c>
      <c r="F1119" s="1" t="s">
        <v>12677</v>
      </c>
      <c r="G1119" s="1" t="s">
        <v>7123</v>
      </c>
    </row>
    <row r="1120" spans="1:7" ht="21" x14ac:dyDescent="0.25">
      <c r="A1120" s="2" t="str">
        <f>HYPERLINK("https://rth.dk/resources/bsgatlas/details.php?id=BSGatlas-5'UTR-1119","BSGatlas-5'UTR-1119")</f>
        <v>BSGatlas-5'UTR-1119</v>
      </c>
      <c r="B1120" s="3">
        <v>1586241</v>
      </c>
      <c r="C1120" s="3">
        <v>1586330</v>
      </c>
      <c r="D1120" s="1" t="s">
        <v>9</v>
      </c>
      <c r="E1120" s="1">
        <v>90</v>
      </c>
      <c r="F1120" s="1" t="s">
        <v>12677</v>
      </c>
      <c r="G1120" s="1" t="s">
        <v>7128</v>
      </c>
    </row>
    <row r="1121" spans="1:7" ht="21" x14ac:dyDescent="0.25">
      <c r="A1121" s="2" t="str">
        <f>HYPERLINK("https://rth.dk/resources/bsgatlas/details.php?id=BSGatlas-5'UTR-1120","BSGatlas-5'UTR-1120")</f>
        <v>BSGatlas-5'UTR-1120</v>
      </c>
      <c r="B1121" s="3">
        <v>1590117</v>
      </c>
      <c r="C1121" s="3">
        <v>1590317</v>
      </c>
      <c r="D1121" s="1" t="s">
        <v>9</v>
      </c>
      <c r="E1121" s="1">
        <v>201</v>
      </c>
      <c r="F1121" s="1" t="s">
        <v>12678</v>
      </c>
      <c r="G1121" s="1" t="s">
        <v>7129</v>
      </c>
    </row>
    <row r="1122" spans="1:7" ht="21" x14ac:dyDescent="0.25">
      <c r="A1122" s="2" t="str">
        <f>HYPERLINK("https://rth.dk/resources/bsgatlas/details.php?id=BSGatlas-5'UTR-1121","BSGatlas-5'UTR-1121")</f>
        <v>BSGatlas-5'UTR-1121</v>
      </c>
      <c r="B1122" s="3">
        <v>1590255</v>
      </c>
      <c r="C1122" s="3">
        <v>1590317</v>
      </c>
      <c r="D1122" s="1" t="s">
        <v>9</v>
      </c>
      <c r="E1122" s="1">
        <v>63</v>
      </c>
      <c r="F1122" s="1" t="s">
        <v>12678</v>
      </c>
      <c r="G1122" s="1" t="s">
        <v>7132</v>
      </c>
    </row>
    <row r="1123" spans="1:7" ht="21" x14ac:dyDescent="0.25">
      <c r="A1123" s="2" t="str">
        <f>HYPERLINK("https://rth.dk/resources/bsgatlas/details.php?id=BSGatlas-5'UTR-1122","BSGatlas-5'UTR-1122")</f>
        <v>BSGatlas-5'UTR-1122</v>
      </c>
      <c r="B1123" s="3">
        <v>1592113</v>
      </c>
      <c r="C1123" s="3">
        <v>1592663</v>
      </c>
      <c r="D1123" s="1" t="s">
        <v>9</v>
      </c>
      <c r="E1123" s="1">
        <v>551</v>
      </c>
      <c r="F1123" s="1" t="s">
        <v>12679</v>
      </c>
      <c r="G1123" s="1" t="s">
        <v>7136</v>
      </c>
    </row>
    <row r="1124" spans="1:7" ht="21" x14ac:dyDescent="0.25">
      <c r="A1124" s="2" t="str">
        <f>HYPERLINK("https://rth.dk/resources/bsgatlas/details.php?id=BSGatlas-5'UTR-1123","BSGatlas-5'UTR-1123")</f>
        <v>BSGatlas-5'UTR-1123</v>
      </c>
      <c r="B1124" s="3">
        <v>1596188</v>
      </c>
      <c r="C1124" s="3">
        <v>1596338</v>
      </c>
      <c r="D1124" s="1" t="s">
        <v>9</v>
      </c>
      <c r="E1124" s="1">
        <v>151</v>
      </c>
      <c r="F1124" s="1" t="s">
        <v>12680</v>
      </c>
      <c r="G1124" s="1" t="s">
        <v>7139</v>
      </c>
    </row>
    <row r="1125" spans="1:7" ht="21" x14ac:dyDescent="0.25">
      <c r="A1125" s="2" t="str">
        <f>HYPERLINK("https://rth.dk/resources/bsgatlas/details.php?id=BSGatlas-5'UTR-1124","BSGatlas-5'UTR-1124")</f>
        <v>BSGatlas-5'UTR-1124</v>
      </c>
      <c r="B1125" s="3">
        <v>1596301</v>
      </c>
      <c r="C1125" s="3">
        <v>1596338</v>
      </c>
      <c r="D1125" s="1" t="s">
        <v>9</v>
      </c>
      <c r="E1125" s="1">
        <v>38</v>
      </c>
      <c r="F1125" s="1" t="s">
        <v>12680</v>
      </c>
      <c r="G1125" s="1" t="s">
        <v>7140</v>
      </c>
    </row>
    <row r="1126" spans="1:7" ht="21" x14ac:dyDescent="0.25">
      <c r="A1126" s="2" t="str">
        <f>HYPERLINK("https://rth.dk/resources/bsgatlas/details.php?id=BSGatlas-5'UTR-1125","BSGatlas-5'UTR-1125")</f>
        <v>BSGatlas-5'UTR-1125</v>
      </c>
      <c r="B1126" s="3">
        <v>1596447</v>
      </c>
      <c r="C1126" s="3">
        <v>1596474</v>
      </c>
      <c r="D1126" s="1" t="s">
        <v>9</v>
      </c>
      <c r="E1126" s="1">
        <v>28</v>
      </c>
      <c r="F1126" s="1" t="s">
        <v>12681</v>
      </c>
      <c r="G1126" s="1" t="s">
        <v>7143</v>
      </c>
    </row>
    <row r="1127" spans="1:7" ht="21" x14ac:dyDescent="0.25">
      <c r="A1127" s="2" t="str">
        <f>HYPERLINK("https://rth.dk/resources/bsgatlas/details.php?id=BSGatlas-5'UTR-1126","BSGatlas-5'UTR-1126")</f>
        <v>BSGatlas-5'UTR-1126</v>
      </c>
      <c r="B1127" s="3">
        <v>1599179</v>
      </c>
      <c r="C1127" s="3">
        <v>1599283</v>
      </c>
      <c r="D1127" s="1" t="s">
        <v>9</v>
      </c>
      <c r="E1127" s="1">
        <v>105</v>
      </c>
      <c r="F1127" s="1" t="s">
        <v>12682</v>
      </c>
      <c r="G1127" s="1" t="s">
        <v>7146</v>
      </c>
    </row>
    <row r="1128" spans="1:7" ht="21" x14ac:dyDescent="0.25">
      <c r="A1128" s="2" t="str">
        <f>HYPERLINK("https://rth.dk/resources/bsgatlas/details.php?id=BSGatlas-5'UTR-1127","BSGatlas-5'UTR-1127")</f>
        <v>BSGatlas-5'UTR-1127</v>
      </c>
      <c r="B1128" s="3">
        <v>1603734</v>
      </c>
      <c r="C1128" s="3">
        <v>1603779</v>
      </c>
      <c r="D1128" s="1" t="s">
        <v>9</v>
      </c>
      <c r="E1128" s="1">
        <v>46</v>
      </c>
      <c r="F1128" s="1" t="s">
        <v>12683</v>
      </c>
      <c r="G1128" s="1" t="s">
        <v>7152</v>
      </c>
    </row>
    <row r="1129" spans="1:7" ht="21" x14ac:dyDescent="0.25">
      <c r="A1129" s="2" t="str">
        <f>HYPERLINK("https://rth.dk/resources/bsgatlas/details.php?id=BSGatlas-5'UTR-1128","BSGatlas-5'UTR-1128")</f>
        <v>BSGatlas-5'UTR-1128</v>
      </c>
      <c r="B1129" s="3">
        <v>1605600</v>
      </c>
      <c r="C1129" s="3">
        <v>1605630</v>
      </c>
      <c r="D1129" s="1" t="s">
        <v>9</v>
      </c>
      <c r="E1129" s="1">
        <v>31</v>
      </c>
      <c r="F1129" s="1" t="s">
        <v>12684</v>
      </c>
      <c r="G1129" s="1" t="s">
        <v>7154</v>
      </c>
    </row>
    <row r="1130" spans="1:7" ht="21" x14ac:dyDescent="0.25">
      <c r="A1130" s="2" t="str">
        <f>HYPERLINK("https://rth.dk/resources/bsgatlas/details.php?id=BSGatlas-5'UTR-1129","BSGatlas-5'UTR-1129")</f>
        <v>BSGatlas-5'UTR-1129</v>
      </c>
      <c r="B1130" s="3">
        <v>1606506</v>
      </c>
      <c r="C1130" s="3">
        <v>1606560</v>
      </c>
      <c r="D1130" s="1" t="s">
        <v>9</v>
      </c>
      <c r="E1130" s="1">
        <v>55</v>
      </c>
      <c r="F1130" s="1" t="s">
        <v>12685</v>
      </c>
      <c r="G1130" s="1" t="s">
        <v>7155</v>
      </c>
    </row>
    <row r="1131" spans="1:7" ht="21" x14ac:dyDescent="0.25">
      <c r="A1131" s="2" t="str">
        <f>HYPERLINK("https://rth.dk/resources/bsgatlas/details.php?id=BSGatlas-5'UTR-1130","BSGatlas-5'UTR-1130")</f>
        <v>BSGatlas-5'UTR-1130</v>
      </c>
      <c r="B1131" s="3">
        <v>1607298</v>
      </c>
      <c r="C1131" s="3">
        <v>1607556</v>
      </c>
      <c r="D1131" s="1" t="s">
        <v>9</v>
      </c>
      <c r="E1131" s="1">
        <v>259</v>
      </c>
      <c r="F1131" s="1" t="s">
        <v>12686</v>
      </c>
      <c r="G1131" s="1" t="s">
        <v>7156</v>
      </c>
    </row>
    <row r="1132" spans="1:7" ht="21" x14ac:dyDescent="0.25">
      <c r="A1132" s="2" t="str">
        <f>HYPERLINK("https://rth.dk/resources/bsgatlas/details.php?id=BSGatlas-5'UTR-1131","BSGatlas-5'UTR-1131")</f>
        <v>BSGatlas-5'UTR-1131</v>
      </c>
      <c r="B1132" s="3">
        <v>1608882</v>
      </c>
      <c r="C1132" s="3">
        <v>1608919</v>
      </c>
      <c r="D1132" s="1" t="s">
        <v>9</v>
      </c>
      <c r="E1132" s="1">
        <v>38</v>
      </c>
      <c r="F1132" s="1" t="s">
        <v>12687</v>
      </c>
      <c r="G1132" s="1" t="s">
        <v>7158</v>
      </c>
    </row>
    <row r="1133" spans="1:7" ht="21" x14ac:dyDescent="0.25">
      <c r="A1133" s="2" t="str">
        <f>HYPERLINK("https://rth.dk/resources/bsgatlas/details.php?id=BSGatlas-5'UTR-1132","BSGatlas-5'UTR-1132")</f>
        <v>BSGatlas-5'UTR-1132</v>
      </c>
      <c r="B1133" s="3">
        <v>1609165</v>
      </c>
      <c r="C1133" s="3">
        <v>1609327</v>
      </c>
      <c r="D1133" s="1" t="s">
        <v>9</v>
      </c>
      <c r="E1133" s="1">
        <v>163</v>
      </c>
      <c r="F1133" s="1" t="s">
        <v>12688</v>
      </c>
      <c r="G1133" s="1" t="s">
        <v>7161</v>
      </c>
    </row>
    <row r="1134" spans="1:7" ht="21" x14ac:dyDescent="0.25">
      <c r="A1134" s="2" t="str">
        <f>HYPERLINK("https://rth.dk/resources/bsgatlas/details.php?id=BSGatlas-5'UTR-1133","BSGatlas-5'UTR-1133")</f>
        <v>BSGatlas-5'UTR-1133</v>
      </c>
      <c r="B1134" s="3">
        <v>1609277</v>
      </c>
      <c r="C1134" s="3">
        <v>1609327</v>
      </c>
      <c r="D1134" s="1" t="s">
        <v>9</v>
      </c>
      <c r="E1134" s="1">
        <v>51</v>
      </c>
      <c r="F1134" s="1" t="s">
        <v>12688</v>
      </c>
      <c r="G1134" s="1" t="s">
        <v>7165</v>
      </c>
    </row>
    <row r="1135" spans="1:7" ht="21" x14ac:dyDescent="0.25">
      <c r="A1135" s="2" t="str">
        <f>HYPERLINK("https://rth.dk/resources/bsgatlas/details.php?id=BSGatlas-5'UTR-1134","BSGatlas-5'UTR-1134")</f>
        <v>BSGatlas-5'UTR-1134</v>
      </c>
      <c r="B1135" s="3">
        <v>1612187</v>
      </c>
      <c r="C1135" s="3">
        <v>1612521</v>
      </c>
      <c r="D1135" s="1" t="s">
        <v>9</v>
      </c>
      <c r="E1135" s="1">
        <v>335</v>
      </c>
      <c r="F1135" s="1" t="s">
        <v>12689</v>
      </c>
      <c r="G1135" s="1" t="s">
        <v>7166</v>
      </c>
    </row>
    <row r="1136" spans="1:7" ht="21" x14ac:dyDescent="0.25">
      <c r="A1136" s="2" t="str">
        <f>HYPERLINK("https://rth.dk/resources/bsgatlas/details.php?id=BSGatlas-5'UTR-1135","BSGatlas-5'UTR-1135")</f>
        <v>BSGatlas-5'UTR-1135</v>
      </c>
      <c r="B1136" s="3">
        <v>1613056</v>
      </c>
      <c r="C1136" s="3">
        <v>1613357</v>
      </c>
      <c r="D1136" s="1" t="s">
        <v>9</v>
      </c>
      <c r="E1136" s="1">
        <v>302</v>
      </c>
      <c r="F1136" s="1" t="s">
        <v>12690</v>
      </c>
      <c r="G1136" s="1" t="s">
        <v>7167</v>
      </c>
    </row>
    <row r="1137" spans="1:7" ht="21" x14ac:dyDescent="0.25">
      <c r="A1137" s="2" t="str">
        <f>HYPERLINK("https://rth.dk/resources/bsgatlas/details.php?id=BSGatlas-5'UTR-1136","BSGatlas-5'UTR-1136")</f>
        <v>BSGatlas-5'UTR-1136</v>
      </c>
      <c r="B1137" s="3">
        <v>1616224</v>
      </c>
      <c r="C1137" s="3">
        <v>1616267</v>
      </c>
      <c r="D1137" s="1" t="s">
        <v>9</v>
      </c>
      <c r="E1137" s="1">
        <v>44</v>
      </c>
      <c r="F1137" s="1" t="s">
        <v>12691</v>
      </c>
      <c r="G1137" s="1" t="s">
        <v>7170</v>
      </c>
    </row>
    <row r="1138" spans="1:7" ht="21" x14ac:dyDescent="0.25">
      <c r="A1138" s="2" t="str">
        <f>HYPERLINK("https://rth.dk/resources/bsgatlas/details.php?id=BSGatlas-5'UTR-1137","BSGatlas-5'UTR-1137")</f>
        <v>BSGatlas-5'UTR-1137</v>
      </c>
      <c r="B1138" s="3">
        <v>1616692</v>
      </c>
      <c r="C1138" s="3">
        <v>1616744</v>
      </c>
      <c r="D1138" s="1" t="s">
        <v>9</v>
      </c>
      <c r="E1138" s="1">
        <v>53</v>
      </c>
      <c r="F1138" s="1" t="s">
        <v>12692</v>
      </c>
      <c r="G1138" s="1" t="s">
        <v>7172</v>
      </c>
    </row>
    <row r="1139" spans="1:7" ht="21" x14ac:dyDescent="0.25">
      <c r="A1139" s="2" t="str">
        <f>HYPERLINK("https://rth.dk/resources/bsgatlas/details.php?id=BSGatlas-5'UTR-1138","BSGatlas-5'UTR-1138")</f>
        <v>BSGatlas-5'UTR-1138</v>
      </c>
      <c r="B1139" s="3">
        <v>1618154</v>
      </c>
      <c r="C1139" s="3">
        <v>1618304</v>
      </c>
      <c r="D1139" s="1" t="s">
        <v>9</v>
      </c>
      <c r="E1139" s="1">
        <v>151</v>
      </c>
      <c r="F1139" s="1" t="s">
        <v>12693</v>
      </c>
      <c r="G1139" s="1" t="s">
        <v>7182</v>
      </c>
    </row>
    <row r="1140" spans="1:7" ht="21" x14ac:dyDescent="0.25">
      <c r="A1140" s="2" t="str">
        <f>HYPERLINK("https://rth.dk/resources/bsgatlas/details.php?id=BSGatlas-5'UTR-1139","BSGatlas-5'UTR-1139")</f>
        <v>BSGatlas-5'UTR-1139</v>
      </c>
      <c r="B1140" s="3">
        <v>1630103</v>
      </c>
      <c r="C1140" s="3">
        <v>1630382</v>
      </c>
      <c r="D1140" s="1" t="s">
        <v>9</v>
      </c>
      <c r="E1140" s="1">
        <v>280</v>
      </c>
      <c r="F1140" s="1" t="s">
        <v>12694</v>
      </c>
      <c r="G1140" s="1" t="s">
        <v>7189</v>
      </c>
    </row>
    <row r="1141" spans="1:7" ht="21" x14ac:dyDescent="0.25">
      <c r="A1141" s="2" t="str">
        <f>HYPERLINK("https://rth.dk/resources/bsgatlas/details.php?id=BSGatlas-5'UTR-1140","BSGatlas-5'UTR-1140")</f>
        <v>BSGatlas-5'UTR-1140</v>
      </c>
      <c r="B1141" s="3">
        <v>1634762</v>
      </c>
      <c r="C1141" s="3">
        <v>1634837</v>
      </c>
      <c r="D1141" s="1" t="s">
        <v>9</v>
      </c>
      <c r="E1141" s="1">
        <v>76</v>
      </c>
      <c r="F1141" s="1" t="s">
        <v>12695</v>
      </c>
      <c r="G1141" s="1" t="s">
        <v>7192</v>
      </c>
    </row>
    <row r="1142" spans="1:7" ht="21" x14ac:dyDescent="0.25">
      <c r="A1142" s="2" t="str">
        <f>HYPERLINK("https://rth.dk/resources/bsgatlas/details.php?id=BSGatlas-5'UTR-1141","BSGatlas-5'UTR-1141")</f>
        <v>BSGatlas-5'UTR-1141</v>
      </c>
      <c r="B1142" s="3">
        <v>1637849</v>
      </c>
      <c r="C1142" s="3">
        <v>1637885</v>
      </c>
      <c r="D1142" s="1" t="s">
        <v>13</v>
      </c>
      <c r="E1142" s="1">
        <v>37</v>
      </c>
      <c r="F1142" s="1" t="s">
        <v>12696</v>
      </c>
      <c r="G1142" s="1" t="s">
        <v>7193</v>
      </c>
    </row>
    <row r="1143" spans="1:7" ht="21" x14ac:dyDescent="0.25">
      <c r="A1143" s="2" t="str">
        <f>HYPERLINK("https://rth.dk/resources/bsgatlas/details.php?id=BSGatlas-5'UTR-1142","BSGatlas-5'UTR-1142")</f>
        <v>BSGatlas-5'UTR-1142</v>
      </c>
      <c r="B1143" s="3">
        <v>1637849</v>
      </c>
      <c r="C1143" s="3">
        <v>1639381</v>
      </c>
      <c r="D1143" s="1" t="s">
        <v>13</v>
      </c>
      <c r="E1143" s="1">
        <v>1533</v>
      </c>
      <c r="F1143" s="1" t="s">
        <v>12696</v>
      </c>
      <c r="G1143" s="1" t="s">
        <v>7195</v>
      </c>
    </row>
    <row r="1144" spans="1:7" ht="21" x14ac:dyDescent="0.25">
      <c r="A1144" s="2" t="str">
        <f>HYPERLINK("https://rth.dk/resources/bsgatlas/details.php?id=BSGatlas-5'UTR-1143","BSGatlas-5'UTR-1143")</f>
        <v>BSGatlas-5'UTR-1143</v>
      </c>
      <c r="B1144" s="3">
        <v>1637910</v>
      </c>
      <c r="C1144" s="3">
        <v>1637965</v>
      </c>
      <c r="D1144" s="1" t="s">
        <v>9</v>
      </c>
      <c r="E1144" s="1">
        <v>56</v>
      </c>
      <c r="F1144" s="1" t="s">
        <v>12697</v>
      </c>
      <c r="G1144" s="1" t="s">
        <v>7196</v>
      </c>
    </row>
    <row r="1145" spans="1:7" ht="21" x14ac:dyDescent="0.25">
      <c r="A1145" s="2" t="str">
        <f>HYPERLINK("https://rth.dk/resources/bsgatlas/details.php?id=BSGatlas-5'UTR-1144","BSGatlas-5'UTR-1144")</f>
        <v>BSGatlas-5'UTR-1144</v>
      </c>
      <c r="B1145" s="3">
        <v>1640646</v>
      </c>
      <c r="C1145" s="3">
        <v>1640720</v>
      </c>
      <c r="D1145" s="1" t="s">
        <v>9</v>
      </c>
      <c r="E1145" s="1">
        <v>75</v>
      </c>
      <c r="F1145" s="1" t="s">
        <v>12698</v>
      </c>
      <c r="G1145" s="1" t="s">
        <v>7203</v>
      </c>
    </row>
    <row r="1146" spans="1:7" ht="21" x14ac:dyDescent="0.25">
      <c r="A1146" s="2" t="str">
        <f>HYPERLINK("https://rth.dk/resources/bsgatlas/details.php?id=BSGatlas-5'UTR-1145","BSGatlas-5'UTR-1145")</f>
        <v>BSGatlas-5'UTR-1145</v>
      </c>
      <c r="B1146" s="3">
        <v>1646367</v>
      </c>
      <c r="C1146" s="3">
        <v>1646512</v>
      </c>
      <c r="D1146" s="1" t="s">
        <v>9</v>
      </c>
      <c r="E1146" s="1">
        <v>146</v>
      </c>
      <c r="F1146" s="1" t="s">
        <v>12699</v>
      </c>
      <c r="G1146" s="1" t="s">
        <v>7207</v>
      </c>
    </row>
    <row r="1147" spans="1:7" ht="21" x14ac:dyDescent="0.25">
      <c r="A1147" s="2" t="str">
        <f>HYPERLINK("https://rth.dk/resources/bsgatlas/details.php?id=BSGatlas-5'UTR-1146","BSGatlas-5'UTR-1146")</f>
        <v>BSGatlas-5'UTR-1146</v>
      </c>
      <c r="B1147" s="3">
        <v>1653033</v>
      </c>
      <c r="C1147" s="3">
        <v>1653103</v>
      </c>
      <c r="D1147" s="1" t="s">
        <v>9</v>
      </c>
      <c r="E1147" s="1">
        <v>71</v>
      </c>
      <c r="F1147" s="1" t="s">
        <v>12700</v>
      </c>
      <c r="G1147" s="1" t="s">
        <v>7209</v>
      </c>
    </row>
    <row r="1148" spans="1:7" ht="21" x14ac:dyDescent="0.25">
      <c r="A1148" s="2" t="str">
        <f>HYPERLINK("https://rth.dk/resources/bsgatlas/details.php?id=BSGatlas-5'UTR-1147","BSGatlas-5'UTR-1147")</f>
        <v>BSGatlas-5'UTR-1147</v>
      </c>
      <c r="B1148" s="3">
        <v>1654683</v>
      </c>
      <c r="C1148" s="3">
        <v>1654730</v>
      </c>
      <c r="D1148" s="1" t="s">
        <v>9</v>
      </c>
      <c r="E1148" s="1">
        <v>48</v>
      </c>
      <c r="F1148" s="1" t="s">
        <v>12701</v>
      </c>
      <c r="G1148" s="1" t="s">
        <v>12702</v>
      </c>
    </row>
    <row r="1149" spans="1:7" ht="21" x14ac:dyDescent="0.25">
      <c r="A1149" s="2" t="str">
        <f>HYPERLINK("https://rth.dk/resources/bsgatlas/details.php?id=BSGatlas-5'UTR-1148","BSGatlas-5'UTR-1148")</f>
        <v>BSGatlas-5'UTR-1148</v>
      </c>
      <c r="B1149" s="3">
        <v>1655152</v>
      </c>
      <c r="C1149" s="3">
        <v>1655446</v>
      </c>
      <c r="D1149" s="1" t="s">
        <v>9</v>
      </c>
      <c r="E1149" s="1">
        <v>295</v>
      </c>
      <c r="F1149" s="1" t="s">
        <v>12703</v>
      </c>
      <c r="G1149" s="1" t="s">
        <v>7210</v>
      </c>
    </row>
    <row r="1150" spans="1:7" ht="21" x14ac:dyDescent="0.25">
      <c r="A1150" s="2" t="str">
        <f>HYPERLINK("https://rth.dk/resources/bsgatlas/details.php?id=BSGatlas-5'UTR-1149","BSGatlas-5'UTR-1149")</f>
        <v>BSGatlas-5'UTR-1149</v>
      </c>
      <c r="B1150" s="3">
        <v>1655299</v>
      </c>
      <c r="C1150" s="3">
        <v>1655446</v>
      </c>
      <c r="D1150" s="1" t="s">
        <v>9</v>
      </c>
      <c r="E1150" s="1">
        <v>148</v>
      </c>
      <c r="F1150" s="1" t="s">
        <v>12703</v>
      </c>
      <c r="G1150" s="1" t="s">
        <v>7212</v>
      </c>
    </row>
    <row r="1151" spans="1:7" ht="21" x14ac:dyDescent="0.25">
      <c r="A1151" s="2" t="str">
        <f>HYPERLINK("https://rth.dk/resources/bsgatlas/details.php?id=BSGatlas-5'UTR-1150","BSGatlas-5'UTR-1150")</f>
        <v>BSGatlas-5'UTR-1150</v>
      </c>
      <c r="B1151" s="3">
        <v>1655359</v>
      </c>
      <c r="C1151" s="3">
        <v>1655446</v>
      </c>
      <c r="D1151" s="1" t="s">
        <v>9</v>
      </c>
      <c r="E1151" s="1">
        <v>88</v>
      </c>
      <c r="F1151" s="1" t="s">
        <v>12703</v>
      </c>
      <c r="G1151" s="1" t="s">
        <v>7213</v>
      </c>
    </row>
    <row r="1152" spans="1:7" ht="21" x14ac:dyDescent="0.25">
      <c r="A1152" s="2" t="str">
        <f>HYPERLINK("https://rth.dk/resources/bsgatlas/details.php?id=BSGatlas-5'UTR-1151","BSGatlas-5'UTR-1151")</f>
        <v>BSGatlas-5'UTR-1151</v>
      </c>
      <c r="B1152" s="3">
        <v>1655787</v>
      </c>
      <c r="C1152" s="3">
        <v>1655880</v>
      </c>
      <c r="D1152" s="1" t="s">
        <v>13</v>
      </c>
      <c r="E1152" s="1">
        <v>94</v>
      </c>
      <c r="F1152" s="1" t="s">
        <v>12704</v>
      </c>
      <c r="G1152" s="1" t="s">
        <v>7214</v>
      </c>
    </row>
    <row r="1153" spans="1:7" ht="21" x14ac:dyDescent="0.25">
      <c r="A1153" s="2" t="str">
        <f>HYPERLINK("https://rth.dk/resources/bsgatlas/details.php?id=BSGatlas-5'UTR-1152","BSGatlas-5'UTR-1152")</f>
        <v>BSGatlas-5'UTR-1152</v>
      </c>
      <c r="B1153" s="3">
        <v>1655960</v>
      </c>
      <c r="C1153" s="3">
        <v>1656064</v>
      </c>
      <c r="D1153" s="1" t="s">
        <v>9</v>
      </c>
      <c r="E1153" s="1">
        <v>105</v>
      </c>
      <c r="F1153" s="1" t="s">
        <v>12705</v>
      </c>
      <c r="G1153" s="1" t="s">
        <v>7218</v>
      </c>
    </row>
    <row r="1154" spans="1:7" ht="21" x14ac:dyDescent="0.25">
      <c r="A1154" s="2" t="str">
        <f>HYPERLINK("https://rth.dk/resources/bsgatlas/details.php?id=BSGatlas-5'UTR-1153","BSGatlas-5'UTR-1153")</f>
        <v>BSGatlas-5'UTR-1153</v>
      </c>
      <c r="B1154" s="3">
        <v>1656025</v>
      </c>
      <c r="C1154" s="3">
        <v>1656064</v>
      </c>
      <c r="D1154" s="1" t="s">
        <v>9</v>
      </c>
      <c r="E1154" s="1">
        <v>40</v>
      </c>
      <c r="F1154" s="1" t="s">
        <v>12705</v>
      </c>
      <c r="G1154" s="1" t="s">
        <v>7219</v>
      </c>
    </row>
    <row r="1155" spans="1:7" ht="21" x14ac:dyDescent="0.25">
      <c r="A1155" s="2" t="str">
        <f>HYPERLINK("https://rth.dk/resources/bsgatlas/details.php?id=BSGatlas-5'UTR-1154","BSGatlas-5'UTR-1154")</f>
        <v>BSGatlas-5'UTR-1154</v>
      </c>
      <c r="B1155" s="3">
        <v>1658195</v>
      </c>
      <c r="C1155" s="3">
        <v>1658242</v>
      </c>
      <c r="D1155" s="1" t="s">
        <v>9</v>
      </c>
      <c r="E1155" s="1">
        <v>48</v>
      </c>
      <c r="F1155" s="1" t="s">
        <v>12706</v>
      </c>
      <c r="G1155" s="1" t="s">
        <v>7221</v>
      </c>
    </row>
    <row r="1156" spans="1:7" ht="21" x14ac:dyDescent="0.25">
      <c r="A1156" s="2" t="str">
        <f>HYPERLINK("https://rth.dk/resources/bsgatlas/details.php?id=BSGatlas-5'UTR-1155","BSGatlas-5'UTR-1155")</f>
        <v>BSGatlas-5'UTR-1155</v>
      </c>
      <c r="B1156" s="3">
        <v>1661937</v>
      </c>
      <c r="C1156" s="3">
        <v>1661967</v>
      </c>
      <c r="D1156" s="1" t="s">
        <v>9</v>
      </c>
      <c r="E1156" s="1">
        <v>31</v>
      </c>
      <c r="F1156" s="1" t="s">
        <v>12707</v>
      </c>
      <c r="G1156" s="1" t="s">
        <v>7223</v>
      </c>
    </row>
    <row r="1157" spans="1:7" ht="21" x14ac:dyDescent="0.25">
      <c r="A1157" s="2" t="str">
        <f>HYPERLINK("https://rth.dk/resources/bsgatlas/details.php?id=BSGatlas-5'UTR-1156","BSGatlas-5'UTR-1156")</f>
        <v>BSGatlas-5'UTR-1156</v>
      </c>
      <c r="B1157" s="3">
        <v>1665309</v>
      </c>
      <c r="C1157" s="3">
        <v>1665337</v>
      </c>
      <c r="D1157" s="1" t="s">
        <v>9</v>
      </c>
      <c r="E1157" s="1">
        <v>29</v>
      </c>
      <c r="F1157" s="1" t="s">
        <v>12708</v>
      </c>
      <c r="G1157" s="1" t="s">
        <v>7227</v>
      </c>
    </row>
    <row r="1158" spans="1:7" ht="21" x14ac:dyDescent="0.25">
      <c r="A1158" s="2" t="str">
        <f>HYPERLINK("https://rth.dk/resources/bsgatlas/details.php?id=BSGatlas-5'UTR-1157","BSGatlas-5'UTR-1157")</f>
        <v>BSGatlas-5'UTR-1157</v>
      </c>
      <c r="B1158" s="3">
        <v>1665639</v>
      </c>
      <c r="C1158" s="3">
        <v>1665710</v>
      </c>
      <c r="D1158" s="1" t="s">
        <v>9</v>
      </c>
      <c r="E1158" s="1">
        <v>72</v>
      </c>
      <c r="F1158" s="1" t="s">
        <v>12709</v>
      </c>
      <c r="G1158" s="1" t="s">
        <v>7228</v>
      </c>
    </row>
    <row r="1159" spans="1:7" ht="21" x14ac:dyDescent="0.25">
      <c r="A1159" s="2" t="str">
        <f>HYPERLINK("https://rth.dk/resources/bsgatlas/details.php?id=BSGatlas-5'UTR-1158","BSGatlas-5'UTR-1158")</f>
        <v>BSGatlas-5'UTR-1158</v>
      </c>
      <c r="B1159" s="3">
        <v>1666541</v>
      </c>
      <c r="C1159" s="3">
        <v>1666560</v>
      </c>
      <c r="D1159" s="1" t="s">
        <v>9</v>
      </c>
      <c r="E1159" s="1">
        <v>20</v>
      </c>
      <c r="F1159" s="1" t="s">
        <v>12710</v>
      </c>
      <c r="G1159" s="1" t="s">
        <v>7233</v>
      </c>
    </row>
    <row r="1160" spans="1:7" ht="21" x14ac:dyDescent="0.25">
      <c r="A1160" s="2" t="str">
        <f>HYPERLINK("https://rth.dk/resources/bsgatlas/details.php?id=BSGatlas-5'UTR-1159","BSGatlas-5'UTR-1159")</f>
        <v>BSGatlas-5'UTR-1159</v>
      </c>
      <c r="B1160" s="3">
        <v>1669432</v>
      </c>
      <c r="C1160" s="3">
        <v>1670140</v>
      </c>
      <c r="D1160" s="1" t="s">
        <v>9</v>
      </c>
      <c r="E1160" s="1">
        <v>709</v>
      </c>
      <c r="F1160" s="1" t="s">
        <v>12711</v>
      </c>
      <c r="G1160" s="1" t="s">
        <v>7234</v>
      </c>
    </row>
    <row r="1161" spans="1:7" ht="21" x14ac:dyDescent="0.25">
      <c r="A1161" s="2" t="str">
        <f>HYPERLINK("https://rth.dk/resources/bsgatlas/details.php?id=BSGatlas-5'UTR-1160","BSGatlas-5'UTR-1160")</f>
        <v>BSGatlas-5'UTR-1160</v>
      </c>
      <c r="B1161" s="3">
        <v>1671651</v>
      </c>
      <c r="C1161" s="3">
        <v>1671689</v>
      </c>
      <c r="D1161" s="1" t="s">
        <v>13</v>
      </c>
      <c r="E1161" s="1">
        <v>39</v>
      </c>
      <c r="F1161" s="1" t="s">
        <v>12712</v>
      </c>
      <c r="G1161" s="1" t="s">
        <v>7235</v>
      </c>
    </row>
    <row r="1162" spans="1:7" ht="21" x14ac:dyDescent="0.25">
      <c r="A1162" s="2" t="str">
        <f>HYPERLINK("https://rth.dk/resources/bsgatlas/details.php?id=BSGatlas-5'UTR-1161","BSGatlas-5'UTR-1161")</f>
        <v>BSGatlas-5'UTR-1161</v>
      </c>
      <c r="B1162" s="3">
        <v>1671791</v>
      </c>
      <c r="C1162" s="3">
        <v>1671828</v>
      </c>
      <c r="D1162" s="1" t="s">
        <v>9</v>
      </c>
      <c r="E1162" s="1">
        <v>38</v>
      </c>
      <c r="F1162" s="1" t="s">
        <v>12713</v>
      </c>
      <c r="G1162" s="1" t="s">
        <v>7239</v>
      </c>
    </row>
    <row r="1163" spans="1:7" ht="21" x14ac:dyDescent="0.25">
      <c r="A1163" s="2" t="str">
        <f>HYPERLINK("https://rth.dk/resources/bsgatlas/details.php?id=BSGatlas-5'UTR-1162","BSGatlas-5'UTR-1162")</f>
        <v>BSGatlas-5'UTR-1162</v>
      </c>
      <c r="B1163" s="3">
        <v>1675933</v>
      </c>
      <c r="C1163" s="3">
        <v>1676042</v>
      </c>
      <c r="D1163" s="1" t="s">
        <v>9</v>
      </c>
      <c r="E1163" s="1">
        <v>110</v>
      </c>
      <c r="F1163" s="1" t="s">
        <v>12714</v>
      </c>
      <c r="G1163" s="1" t="s">
        <v>7246</v>
      </c>
    </row>
    <row r="1164" spans="1:7" ht="21" x14ac:dyDescent="0.25">
      <c r="A1164" s="2" t="str">
        <f>HYPERLINK("https://rth.dk/resources/bsgatlas/details.php?id=BSGatlas-5'UTR-1163","BSGatlas-5'UTR-1163")</f>
        <v>BSGatlas-5'UTR-1163</v>
      </c>
      <c r="B1164" s="3">
        <v>1676463</v>
      </c>
      <c r="C1164" s="3">
        <v>1676532</v>
      </c>
      <c r="D1164" s="1" t="s">
        <v>9</v>
      </c>
      <c r="E1164" s="1">
        <v>70</v>
      </c>
      <c r="F1164" s="1" t="s">
        <v>12715</v>
      </c>
      <c r="G1164" s="1" t="s">
        <v>7248</v>
      </c>
    </row>
    <row r="1165" spans="1:7" ht="21" x14ac:dyDescent="0.25">
      <c r="A1165" s="2" t="str">
        <f>HYPERLINK("https://rth.dk/resources/bsgatlas/details.php?id=BSGatlas-5'UTR-1164","BSGatlas-5'UTR-1164")</f>
        <v>BSGatlas-5'UTR-1164</v>
      </c>
      <c r="B1165" s="3">
        <v>1677431</v>
      </c>
      <c r="C1165" s="3">
        <v>1677451</v>
      </c>
      <c r="D1165" s="1" t="s">
        <v>9</v>
      </c>
      <c r="E1165" s="1">
        <v>21</v>
      </c>
      <c r="F1165" s="1" t="s">
        <v>12716</v>
      </c>
      <c r="G1165" s="1" t="s">
        <v>7252</v>
      </c>
    </row>
    <row r="1166" spans="1:7" ht="21" x14ac:dyDescent="0.25">
      <c r="A1166" s="2" t="str">
        <f>HYPERLINK("https://rth.dk/resources/bsgatlas/details.php?id=BSGatlas-5'UTR-1165","BSGatlas-5'UTR-1165")</f>
        <v>BSGatlas-5'UTR-1165</v>
      </c>
      <c r="B1166" s="3">
        <v>1680380</v>
      </c>
      <c r="C1166" s="3">
        <v>1680431</v>
      </c>
      <c r="D1166" s="1" t="s">
        <v>9</v>
      </c>
      <c r="E1166" s="1">
        <v>52</v>
      </c>
      <c r="F1166" s="1" t="s">
        <v>12717</v>
      </c>
      <c r="G1166" s="1" t="s">
        <v>7255</v>
      </c>
    </row>
    <row r="1167" spans="1:7" ht="21" x14ac:dyDescent="0.25">
      <c r="A1167" s="2" t="str">
        <f>HYPERLINK("https://rth.dk/resources/bsgatlas/details.php?id=BSGatlas-5'UTR-1166","BSGatlas-5'UTR-1166")</f>
        <v>BSGatlas-5'UTR-1166</v>
      </c>
      <c r="B1167" s="3">
        <v>1683508</v>
      </c>
      <c r="C1167" s="3">
        <v>1683661</v>
      </c>
      <c r="D1167" s="1" t="s">
        <v>9</v>
      </c>
      <c r="E1167" s="1">
        <v>154</v>
      </c>
      <c r="F1167" s="1" t="s">
        <v>12718</v>
      </c>
      <c r="G1167" s="1" t="s">
        <v>7262</v>
      </c>
    </row>
    <row r="1168" spans="1:7" ht="21" x14ac:dyDescent="0.25">
      <c r="A1168" s="2" t="str">
        <f>HYPERLINK("https://rth.dk/resources/bsgatlas/details.php?id=BSGatlas-5'UTR-1167","BSGatlas-5'UTR-1167")</f>
        <v>BSGatlas-5'UTR-1167</v>
      </c>
      <c r="B1168" s="3">
        <v>1685780</v>
      </c>
      <c r="C1168" s="3">
        <v>1685812</v>
      </c>
      <c r="D1168" s="1" t="s">
        <v>9</v>
      </c>
      <c r="E1168" s="1">
        <v>33</v>
      </c>
      <c r="F1168" s="1" t="s">
        <v>12719</v>
      </c>
      <c r="G1168" s="1" t="s">
        <v>7264</v>
      </c>
    </row>
    <row r="1169" spans="1:7" ht="21" x14ac:dyDescent="0.25">
      <c r="A1169" s="2" t="str">
        <f>HYPERLINK("https://rth.dk/resources/bsgatlas/details.php?id=BSGatlas-5'UTR-1168","BSGatlas-5'UTR-1168")</f>
        <v>BSGatlas-5'UTR-1168</v>
      </c>
      <c r="B1169" s="3">
        <v>1687163</v>
      </c>
      <c r="C1169" s="3">
        <v>1687187</v>
      </c>
      <c r="D1169" s="1" t="s">
        <v>9</v>
      </c>
      <c r="E1169" s="1">
        <v>25</v>
      </c>
      <c r="F1169" s="1" t="s">
        <v>12720</v>
      </c>
      <c r="G1169" s="1" t="s">
        <v>7267</v>
      </c>
    </row>
    <row r="1170" spans="1:7" ht="21" x14ac:dyDescent="0.25">
      <c r="A1170" s="2" t="str">
        <f>HYPERLINK("https://rth.dk/resources/bsgatlas/details.php?id=BSGatlas-5'UTR-1169","BSGatlas-5'UTR-1169")</f>
        <v>BSGatlas-5'UTR-1169</v>
      </c>
      <c r="B1170" s="3">
        <v>1691052</v>
      </c>
      <c r="C1170" s="3">
        <v>1691278</v>
      </c>
      <c r="D1170" s="1" t="s">
        <v>9</v>
      </c>
      <c r="E1170" s="1">
        <v>227</v>
      </c>
      <c r="F1170" s="1" t="s">
        <v>12721</v>
      </c>
      <c r="G1170" s="1" t="s">
        <v>7270</v>
      </c>
    </row>
    <row r="1171" spans="1:7" ht="21" x14ac:dyDescent="0.25">
      <c r="A1171" s="2" t="str">
        <f>HYPERLINK("https://rth.dk/resources/bsgatlas/details.php?id=BSGatlas-5'UTR-1170","BSGatlas-5'UTR-1170")</f>
        <v>BSGatlas-5'UTR-1170</v>
      </c>
      <c r="B1171" s="3">
        <v>1691214</v>
      </c>
      <c r="C1171" s="3">
        <v>1691278</v>
      </c>
      <c r="D1171" s="1" t="s">
        <v>9</v>
      </c>
      <c r="E1171" s="1">
        <v>65</v>
      </c>
      <c r="F1171" s="1" t="s">
        <v>12721</v>
      </c>
      <c r="G1171" s="1" t="s">
        <v>7271</v>
      </c>
    </row>
    <row r="1172" spans="1:7" ht="21" x14ac:dyDescent="0.25">
      <c r="A1172" s="2" t="str">
        <f>HYPERLINK("https://rth.dk/resources/bsgatlas/details.php?id=BSGatlas-5'UTR-1171","BSGatlas-5'UTR-1171")</f>
        <v>BSGatlas-5'UTR-1171</v>
      </c>
      <c r="B1172" s="3">
        <v>1716477</v>
      </c>
      <c r="C1172" s="3">
        <v>1716493</v>
      </c>
      <c r="D1172" s="1" t="s">
        <v>9</v>
      </c>
      <c r="E1172" s="1">
        <v>17</v>
      </c>
      <c r="F1172" s="1" t="s">
        <v>12722</v>
      </c>
      <c r="G1172" s="1" t="s">
        <v>7274</v>
      </c>
    </row>
    <row r="1173" spans="1:7" ht="21" x14ac:dyDescent="0.25">
      <c r="A1173" s="2" t="str">
        <f>HYPERLINK("https://rth.dk/resources/bsgatlas/details.php?id=BSGatlas-5'UTR-1172","BSGatlas-5'UTR-1172")</f>
        <v>BSGatlas-5'UTR-1172</v>
      </c>
      <c r="B1173" s="3">
        <v>1717808</v>
      </c>
      <c r="C1173" s="3">
        <v>1717933</v>
      </c>
      <c r="D1173" s="1" t="s">
        <v>9</v>
      </c>
      <c r="E1173" s="1">
        <v>126</v>
      </c>
      <c r="F1173" s="1" t="s">
        <v>12723</v>
      </c>
      <c r="G1173" s="1" t="s">
        <v>7275</v>
      </c>
    </row>
    <row r="1174" spans="1:7" ht="21" x14ac:dyDescent="0.25">
      <c r="A1174" s="2" t="str">
        <f>HYPERLINK("https://rth.dk/resources/bsgatlas/details.php?id=BSGatlas-5'UTR-1173","BSGatlas-5'UTR-1173")</f>
        <v>BSGatlas-5'UTR-1173</v>
      </c>
      <c r="B1174" s="3">
        <v>1721108</v>
      </c>
      <c r="C1174" s="3">
        <v>1721214</v>
      </c>
      <c r="D1174" s="1" t="s">
        <v>9</v>
      </c>
      <c r="E1174" s="1">
        <v>107</v>
      </c>
      <c r="F1174" s="1" t="s">
        <v>12724</v>
      </c>
      <c r="G1174" s="1" t="s">
        <v>7279</v>
      </c>
    </row>
    <row r="1175" spans="1:7" ht="21" x14ac:dyDescent="0.25">
      <c r="A1175" s="2" t="str">
        <f>HYPERLINK("https://rth.dk/resources/bsgatlas/details.php?id=BSGatlas-5'UTR-1174","BSGatlas-5'UTR-1174")</f>
        <v>BSGatlas-5'UTR-1174</v>
      </c>
      <c r="B1175" s="3">
        <v>1722813</v>
      </c>
      <c r="C1175" s="3">
        <v>1722871</v>
      </c>
      <c r="D1175" s="1" t="s">
        <v>9</v>
      </c>
      <c r="E1175" s="1">
        <v>59</v>
      </c>
      <c r="F1175" s="1" t="s">
        <v>12725</v>
      </c>
      <c r="G1175" s="1" t="s">
        <v>7281</v>
      </c>
    </row>
    <row r="1176" spans="1:7" ht="21" x14ac:dyDescent="0.25">
      <c r="A1176" s="2" t="str">
        <f>HYPERLINK("https://rth.dk/resources/bsgatlas/details.php?id=BSGatlas-5'UTR-1175","BSGatlas-5'UTR-1175")</f>
        <v>BSGatlas-5'UTR-1175</v>
      </c>
      <c r="B1176" s="3">
        <v>1731599</v>
      </c>
      <c r="C1176" s="3">
        <v>1731776</v>
      </c>
      <c r="D1176" s="1" t="s">
        <v>9</v>
      </c>
      <c r="E1176" s="1">
        <v>178</v>
      </c>
      <c r="F1176" s="1" t="s">
        <v>12726</v>
      </c>
      <c r="G1176" s="1" t="s">
        <v>7284</v>
      </c>
    </row>
    <row r="1177" spans="1:7" ht="21" x14ac:dyDescent="0.25">
      <c r="A1177" s="2" t="str">
        <f>HYPERLINK("https://rth.dk/resources/bsgatlas/details.php?id=BSGatlas-5'UTR-1176","BSGatlas-5'UTR-1176")</f>
        <v>BSGatlas-5'UTR-1176</v>
      </c>
      <c r="B1177" s="3">
        <v>1736069</v>
      </c>
      <c r="C1177" s="3">
        <v>1736156</v>
      </c>
      <c r="D1177" s="1" t="s">
        <v>9</v>
      </c>
      <c r="E1177" s="1">
        <v>88</v>
      </c>
      <c r="F1177" s="1" t="s">
        <v>12727</v>
      </c>
      <c r="G1177" s="1" t="s">
        <v>7287</v>
      </c>
    </row>
    <row r="1178" spans="1:7" ht="21" x14ac:dyDescent="0.25">
      <c r="A1178" s="2" t="str">
        <f>HYPERLINK("https://rth.dk/resources/bsgatlas/details.php?id=BSGatlas-5'UTR-1177","BSGatlas-5'UTR-1177")</f>
        <v>BSGatlas-5'UTR-1177</v>
      </c>
      <c r="B1178" s="3">
        <v>1737630</v>
      </c>
      <c r="C1178" s="3">
        <v>1737834</v>
      </c>
      <c r="D1178" s="1" t="s">
        <v>9</v>
      </c>
      <c r="E1178" s="1">
        <v>205</v>
      </c>
      <c r="F1178" s="1" t="s">
        <v>12728</v>
      </c>
      <c r="G1178" s="1" t="s">
        <v>7289</v>
      </c>
    </row>
    <row r="1179" spans="1:7" ht="21" x14ac:dyDescent="0.25">
      <c r="A1179" s="2" t="str">
        <f>HYPERLINK("https://rth.dk/resources/bsgatlas/details.php?id=BSGatlas-5'UTR-1178","BSGatlas-5'UTR-1178")</f>
        <v>BSGatlas-5'UTR-1178</v>
      </c>
      <c r="B1179" s="3">
        <v>1738824</v>
      </c>
      <c r="C1179" s="3">
        <v>1738941</v>
      </c>
      <c r="D1179" s="1" t="s">
        <v>9</v>
      </c>
      <c r="E1179" s="1">
        <v>118</v>
      </c>
      <c r="F1179" s="1" t="s">
        <v>12729</v>
      </c>
      <c r="G1179" s="1" t="s">
        <v>7291</v>
      </c>
    </row>
    <row r="1180" spans="1:7" ht="21" x14ac:dyDescent="0.25">
      <c r="A1180" s="2" t="str">
        <f>HYPERLINK("https://rth.dk/resources/bsgatlas/details.php?id=BSGatlas-5'UTR-1179","BSGatlas-5'UTR-1179")</f>
        <v>BSGatlas-5'UTR-1179</v>
      </c>
      <c r="B1180" s="3">
        <v>1739325</v>
      </c>
      <c r="C1180" s="3">
        <v>1739383</v>
      </c>
      <c r="D1180" s="1" t="s">
        <v>9</v>
      </c>
      <c r="E1180" s="1">
        <v>59</v>
      </c>
      <c r="F1180" s="1" t="s">
        <v>12730</v>
      </c>
      <c r="G1180" s="1" t="s">
        <v>7292</v>
      </c>
    </row>
    <row r="1181" spans="1:7" ht="21" x14ac:dyDescent="0.25">
      <c r="A1181" s="2" t="str">
        <f>HYPERLINK("https://rth.dk/resources/bsgatlas/details.php?id=BSGatlas-5'UTR-1180","BSGatlas-5'UTR-1180")</f>
        <v>BSGatlas-5'UTR-1180</v>
      </c>
      <c r="B1181" s="3">
        <v>1742207</v>
      </c>
      <c r="C1181" s="3">
        <v>1742617</v>
      </c>
      <c r="D1181" s="1" t="s">
        <v>9</v>
      </c>
      <c r="E1181" s="1">
        <v>411</v>
      </c>
      <c r="F1181" s="1" t="s">
        <v>12731</v>
      </c>
      <c r="G1181" s="1" t="s">
        <v>7295</v>
      </c>
    </row>
    <row r="1182" spans="1:7" ht="21" x14ac:dyDescent="0.25">
      <c r="A1182" s="2" t="str">
        <f>HYPERLINK("https://rth.dk/resources/bsgatlas/details.php?id=BSGatlas-5'UTR-1181","BSGatlas-5'UTR-1181")</f>
        <v>BSGatlas-5'UTR-1181</v>
      </c>
      <c r="B1182" s="3">
        <v>1743890</v>
      </c>
      <c r="C1182" s="3">
        <v>1743924</v>
      </c>
      <c r="D1182" s="1" t="s">
        <v>9</v>
      </c>
      <c r="E1182" s="1">
        <v>35</v>
      </c>
      <c r="F1182" s="1" t="s">
        <v>12732</v>
      </c>
      <c r="G1182" s="1" t="s">
        <v>7297</v>
      </c>
    </row>
    <row r="1183" spans="1:7" ht="21" x14ac:dyDescent="0.25">
      <c r="A1183" s="2" t="str">
        <f>HYPERLINK("https://rth.dk/resources/bsgatlas/details.php?id=BSGatlas-5'UTR-1182","BSGatlas-5'UTR-1182")</f>
        <v>BSGatlas-5'UTR-1182</v>
      </c>
      <c r="B1183" s="3">
        <v>1744314</v>
      </c>
      <c r="C1183" s="3">
        <v>1744367</v>
      </c>
      <c r="D1183" s="1" t="s">
        <v>9</v>
      </c>
      <c r="E1183" s="1">
        <v>54</v>
      </c>
      <c r="F1183" s="1" t="s">
        <v>12733</v>
      </c>
      <c r="G1183" s="1" t="s">
        <v>7300</v>
      </c>
    </row>
    <row r="1184" spans="1:7" ht="21" x14ac:dyDescent="0.25">
      <c r="A1184" s="2" t="str">
        <f>HYPERLINK("https://rth.dk/resources/bsgatlas/details.php?id=BSGatlas-5'UTR-1183","BSGatlas-5'UTR-1183")</f>
        <v>BSGatlas-5'UTR-1183</v>
      </c>
      <c r="B1184" s="3">
        <v>1745936</v>
      </c>
      <c r="C1184" s="3">
        <v>1745991</v>
      </c>
      <c r="D1184" s="1" t="s">
        <v>9</v>
      </c>
      <c r="E1184" s="1">
        <v>56</v>
      </c>
      <c r="F1184" s="1" t="s">
        <v>12734</v>
      </c>
      <c r="G1184" s="1" t="s">
        <v>7303</v>
      </c>
    </row>
    <row r="1185" spans="1:7" ht="21" x14ac:dyDescent="0.25">
      <c r="A1185" s="2" t="str">
        <f>HYPERLINK("https://rth.dk/resources/bsgatlas/details.php?id=BSGatlas-5'UTR-1184","BSGatlas-5'UTR-1184")</f>
        <v>BSGatlas-5'UTR-1184</v>
      </c>
      <c r="B1185" s="3">
        <v>1745970</v>
      </c>
      <c r="C1185" s="3">
        <v>1745991</v>
      </c>
      <c r="D1185" s="1" t="s">
        <v>9</v>
      </c>
      <c r="E1185" s="1">
        <v>22</v>
      </c>
      <c r="F1185" s="1" t="s">
        <v>12734</v>
      </c>
      <c r="G1185" s="1" t="s">
        <v>7304</v>
      </c>
    </row>
    <row r="1186" spans="1:7" ht="21" x14ac:dyDescent="0.25">
      <c r="A1186" s="2" t="str">
        <f>HYPERLINK("https://rth.dk/resources/bsgatlas/details.php?id=BSGatlas-5'UTR-1185","BSGatlas-5'UTR-1185")</f>
        <v>BSGatlas-5'UTR-1185</v>
      </c>
      <c r="B1186" s="3">
        <v>1749377</v>
      </c>
      <c r="C1186" s="3">
        <v>1749418</v>
      </c>
      <c r="D1186" s="1" t="s">
        <v>9</v>
      </c>
      <c r="E1186" s="1">
        <v>42</v>
      </c>
      <c r="F1186" s="1" t="s">
        <v>12735</v>
      </c>
      <c r="G1186" s="1" t="s">
        <v>7306</v>
      </c>
    </row>
    <row r="1187" spans="1:7" ht="21" x14ac:dyDescent="0.25">
      <c r="A1187" s="2" t="str">
        <f>HYPERLINK("https://rth.dk/resources/bsgatlas/details.php?id=BSGatlas-5'UTR-1186","BSGatlas-5'UTR-1186")</f>
        <v>BSGatlas-5'UTR-1186</v>
      </c>
      <c r="B1187" s="3">
        <v>1751161</v>
      </c>
      <c r="C1187" s="3">
        <v>1751201</v>
      </c>
      <c r="D1187" s="1" t="s">
        <v>9</v>
      </c>
      <c r="E1187" s="1">
        <v>41</v>
      </c>
      <c r="F1187" s="1" t="s">
        <v>12736</v>
      </c>
      <c r="G1187" s="1" t="s">
        <v>7309</v>
      </c>
    </row>
    <row r="1188" spans="1:7" ht="21" x14ac:dyDescent="0.25">
      <c r="A1188" s="2" t="str">
        <f>HYPERLINK("https://rth.dk/resources/bsgatlas/details.php?id=BSGatlas-5'UTR-1187","BSGatlas-5'UTR-1187")</f>
        <v>BSGatlas-5'UTR-1187</v>
      </c>
      <c r="B1188" s="3">
        <v>1752193</v>
      </c>
      <c r="C1188" s="3">
        <v>1752278</v>
      </c>
      <c r="D1188" s="1" t="s">
        <v>9</v>
      </c>
      <c r="E1188" s="1">
        <v>86</v>
      </c>
      <c r="F1188" s="1" t="s">
        <v>12737</v>
      </c>
      <c r="G1188" s="1" t="s">
        <v>7310</v>
      </c>
    </row>
    <row r="1189" spans="1:7" ht="21" x14ac:dyDescent="0.25">
      <c r="A1189" s="2" t="str">
        <f>HYPERLINK("https://rth.dk/resources/bsgatlas/details.php?id=BSGatlas-5'UTR-1188","BSGatlas-5'UTR-1188")</f>
        <v>BSGatlas-5'UTR-1188</v>
      </c>
      <c r="B1189" s="3">
        <v>1754743</v>
      </c>
      <c r="C1189" s="3">
        <v>1754785</v>
      </c>
      <c r="D1189" s="1" t="s">
        <v>9</v>
      </c>
      <c r="E1189" s="1">
        <v>43</v>
      </c>
      <c r="F1189" s="1" t="s">
        <v>12738</v>
      </c>
      <c r="G1189" s="1" t="s">
        <v>7314</v>
      </c>
    </row>
    <row r="1190" spans="1:7" ht="21" x14ac:dyDescent="0.25">
      <c r="A1190" s="2" t="str">
        <f>HYPERLINK("https://rth.dk/resources/bsgatlas/details.php?id=BSGatlas-5'UTR-1189","BSGatlas-5'UTR-1189")</f>
        <v>BSGatlas-5'UTR-1189</v>
      </c>
      <c r="B1190" s="3">
        <v>1755585</v>
      </c>
      <c r="C1190" s="3">
        <v>1755649</v>
      </c>
      <c r="D1190" s="1" t="s">
        <v>9</v>
      </c>
      <c r="E1190" s="1">
        <v>65</v>
      </c>
      <c r="F1190" s="1" t="s">
        <v>12739</v>
      </c>
      <c r="G1190" s="1" t="s">
        <v>7315</v>
      </c>
    </row>
    <row r="1191" spans="1:7" ht="21" x14ac:dyDescent="0.25">
      <c r="A1191" s="2" t="str">
        <f>HYPERLINK("https://rth.dk/resources/bsgatlas/details.php?id=BSGatlas-5'UTR-1190","BSGatlas-5'UTR-1190")</f>
        <v>BSGatlas-5'UTR-1190</v>
      </c>
      <c r="B1191" s="3">
        <v>1756968</v>
      </c>
      <c r="C1191" s="3">
        <v>1757037</v>
      </c>
      <c r="D1191" s="1" t="s">
        <v>9</v>
      </c>
      <c r="E1191" s="1">
        <v>70</v>
      </c>
      <c r="F1191" s="1" t="s">
        <v>12740</v>
      </c>
      <c r="G1191" s="1" t="s">
        <v>7320</v>
      </c>
    </row>
    <row r="1192" spans="1:7" ht="21" x14ac:dyDescent="0.25">
      <c r="A1192" s="2" t="str">
        <f>HYPERLINK("https://rth.dk/resources/bsgatlas/details.php?id=BSGatlas-5'UTR-1191","BSGatlas-5'UTR-1191")</f>
        <v>BSGatlas-5'UTR-1191</v>
      </c>
      <c r="B1192" s="3">
        <v>1757013</v>
      </c>
      <c r="C1192" s="3">
        <v>1757037</v>
      </c>
      <c r="D1192" s="1" t="s">
        <v>9</v>
      </c>
      <c r="E1192" s="1">
        <v>25</v>
      </c>
      <c r="F1192" s="1" t="s">
        <v>12740</v>
      </c>
      <c r="G1192" s="1" t="s">
        <v>7321</v>
      </c>
    </row>
    <row r="1193" spans="1:7" ht="21" x14ac:dyDescent="0.25">
      <c r="A1193" s="2" t="str">
        <f>HYPERLINK("https://rth.dk/resources/bsgatlas/details.php?id=BSGatlas-5'UTR-1192","BSGatlas-5'UTR-1192")</f>
        <v>BSGatlas-5'UTR-1192</v>
      </c>
      <c r="B1193" s="3">
        <v>1760417</v>
      </c>
      <c r="C1193" s="3">
        <v>1760464</v>
      </c>
      <c r="D1193" s="1" t="s">
        <v>9</v>
      </c>
      <c r="E1193" s="1">
        <v>48</v>
      </c>
      <c r="F1193" s="1" t="s">
        <v>12741</v>
      </c>
      <c r="G1193" s="1" t="s">
        <v>7322</v>
      </c>
    </row>
    <row r="1194" spans="1:7" ht="21" x14ac:dyDescent="0.25">
      <c r="A1194" s="2" t="str">
        <f>HYPERLINK("https://rth.dk/resources/bsgatlas/details.php?id=BSGatlas-5'UTR-1193","BSGatlas-5'UTR-1193")</f>
        <v>BSGatlas-5'UTR-1193</v>
      </c>
      <c r="B1194" s="3">
        <v>1760797</v>
      </c>
      <c r="C1194" s="3">
        <v>1760851</v>
      </c>
      <c r="D1194" s="1" t="s">
        <v>9</v>
      </c>
      <c r="E1194" s="1">
        <v>55</v>
      </c>
      <c r="F1194" s="1" t="s">
        <v>12742</v>
      </c>
      <c r="G1194" s="1" t="s">
        <v>7325</v>
      </c>
    </row>
    <row r="1195" spans="1:7" ht="21" x14ac:dyDescent="0.25">
      <c r="A1195" s="2" t="str">
        <f>HYPERLINK("https://rth.dk/resources/bsgatlas/details.php?id=BSGatlas-5'UTR-1194","BSGatlas-5'UTR-1194")</f>
        <v>BSGatlas-5'UTR-1194</v>
      </c>
      <c r="B1195" s="3">
        <v>1764614</v>
      </c>
      <c r="C1195" s="3">
        <v>1764645</v>
      </c>
      <c r="D1195" s="1" t="s">
        <v>9</v>
      </c>
      <c r="E1195" s="1">
        <v>32</v>
      </c>
      <c r="F1195" s="1" t="s">
        <v>12743</v>
      </c>
      <c r="G1195" s="1" t="s">
        <v>7329</v>
      </c>
    </row>
    <row r="1196" spans="1:7" ht="21" x14ac:dyDescent="0.25">
      <c r="A1196" s="2" t="str">
        <f>HYPERLINK("https://rth.dk/resources/bsgatlas/details.php?id=BSGatlas-5'UTR-1195","BSGatlas-5'UTR-1195")</f>
        <v>BSGatlas-5'UTR-1195</v>
      </c>
      <c r="B1196" s="3">
        <v>1765815</v>
      </c>
      <c r="C1196" s="3">
        <v>1765859</v>
      </c>
      <c r="D1196" s="1" t="s">
        <v>9</v>
      </c>
      <c r="E1196" s="1">
        <v>45</v>
      </c>
      <c r="F1196" s="1" t="s">
        <v>12744</v>
      </c>
      <c r="G1196" s="1" t="s">
        <v>7331</v>
      </c>
    </row>
    <row r="1197" spans="1:7" ht="21" x14ac:dyDescent="0.25">
      <c r="A1197" s="2" t="str">
        <f>HYPERLINK("https://rth.dk/resources/bsgatlas/details.php?id=BSGatlas-5'UTR-1196","BSGatlas-5'UTR-1196")</f>
        <v>BSGatlas-5'UTR-1196</v>
      </c>
      <c r="B1197" s="3">
        <v>1767136</v>
      </c>
      <c r="C1197" s="3">
        <v>1767310</v>
      </c>
      <c r="D1197" s="1" t="s">
        <v>9</v>
      </c>
      <c r="E1197" s="1">
        <v>175</v>
      </c>
      <c r="F1197" s="1" t="s">
        <v>12745</v>
      </c>
      <c r="G1197" s="1" t="s">
        <v>7333</v>
      </c>
    </row>
    <row r="1198" spans="1:7" ht="21" x14ac:dyDescent="0.25">
      <c r="A1198" s="2" t="str">
        <f>HYPERLINK("https://rth.dk/resources/bsgatlas/details.php?id=BSGatlas-5'UTR-1197","BSGatlas-5'UTR-1197")</f>
        <v>BSGatlas-5'UTR-1197</v>
      </c>
      <c r="B1198" s="3">
        <v>1769531</v>
      </c>
      <c r="C1198" s="3">
        <v>1769935</v>
      </c>
      <c r="D1198" s="1" t="s">
        <v>9</v>
      </c>
      <c r="E1198" s="1">
        <v>405</v>
      </c>
      <c r="F1198" s="1" t="s">
        <v>12746</v>
      </c>
      <c r="G1198" s="1" t="s">
        <v>7336</v>
      </c>
    </row>
    <row r="1199" spans="1:7" ht="21" x14ac:dyDescent="0.25">
      <c r="A1199" s="2" t="str">
        <f>HYPERLINK("https://rth.dk/resources/bsgatlas/details.php?id=BSGatlas-5'UTR-1198","BSGatlas-5'UTR-1198")</f>
        <v>BSGatlas-5'UTR-1198</v>
      </c>
      <c r="B1199" s="3">
        <v>1769795</v>
      </c>
      <c r="C1199" s="3">
        <v>1769935</v>
      </c>
      <c r="D1199" s="1" t="s">
        <v>9</v>
      </c>
      <c r="E1199" s="1">
        <v>141</v>
      </c>
      <c r="F1199" s="1" t="s">
        <v>12746</v>
      </c>
      <c r="G1199" s="1" t="s">
        <v>7338</v>
      </c>
    </row>
    <row r="1200" spans="1:7" ht="21" x14ac:dyDescent="0.25">
      <c r="A1200" s="2" t="str">
        <f>HYPERLINK("https://rth.dk/resources/bsgatlas/details.php?id=BSGatlas-5'UTR-1199","BSGatlas-5'UTR-1199")</f>
        <v>BSGatlas-5'UTR-1199</v>
      </c>
      <c r="B1200" s="3">
        <v>1770412</v>
      </c>
      <c r="C1200" s="3">
        <v>1770461</v>
      </c>
      <c r="D1200" s="1" t="s">
        <v>9</v>
      </c>
      <c r="E1200" s="1">
        <v>50</v>
      </c>
      <c r="F1200" s="1" t="s">
        <v>12747</v>
      </c>
      <c r="G1200" s="1" t="s">
        <v>7340</v>
      </c>
    </row>
    <row r="1201" spans="1:7" ht="21" x14ac:dyDescent="0.25">
      <c r="A1201" s="2" t="str">
        <f>HYPERLINK("https://rth.dk/resources/bsgatlas/details.php?id=BSGatlas-5'UTR-1200","BSGatlas-5'UTR-1200")</f>
        <v>BSGatlas-5'UTR-1200</v>
      </c>
      <c r="B1201" s="3">
        <v>1772787</v>
      </c>
      <c r="C1201" s="3">
        <v>1772843</v>
      </c>
      <c r="D1201" s="1" t="s">
        <v>9</v>
      </c>
      <c r="E1201" s="1">
        <v>57</v>
      </c>
      <c r="F1201" s="1" t="s">
        <v>12748</v>
      </c>
      <c r="G1201" s="1" t="s">
        <v>7343</v>
      </c>
    </row>
    <row r="1202" spans="1:7" ht="21" x14ac:dyDescent="0.25">
      <c r="A1202" s="2" t="str">
        <f>HYPERLINK("https://rth.dk/resources/bsgatlas/details.php?id=BSGatlas-5'UTR-1201","BSGatlas-5'UTR-1201")</f>
        <v>BSGatlas-5'UTR-1201</v>
      </c>
      <c r="B1202" s="3">
        <v>1774973</v>
      </c>
      <c r="C1202" s="3">
        <v>1775067</v>
      </c>
      <c r="D1202" s="1" t="s">
        <v>9</v>
      </c>
      <c r="E1202" s="1">
        <v>95</v>
      </c>
      <c r="F1202" s="1" t="s">
        <v>12749</v>
      </c>
      <c r="G1202" s="1" t="s">
        <v>7345</v>
      </c>
    </row>
    <row r="1203" spans="1:7" ht="21" x14ac:dyDescent="0.25">
      <c r="A1203" s="2" t="str">
        <f>HYPERLINK("https://rth.dk/resources/bsgatlas/details.php?id=BSGatlas-5'UTR-1202","BSGatlas-5'UTR-1202")</f>
        <v>BSGatlas-5'UTR-1202</v>
      </c>
      <c r="B1203" s="3">
        <v>1775042</v>
      </c>
      <c r="C1203" s="3">
        <v>1775067</v>
      </c>
      <c r="D1203" s="1" t="s">
        <v>9</v>
      </c>
      <c r="E1203" s="1">
        <v>26</v>
      </c>
      <c r="F1203" s="1" t="s">
        <v>12749</v>
      </c>
      <c r="G1203" s="1" t="s">
        <v>7347</v>
      </c>
    </row>
    <row r="1204" spans="1:7" ht="21" x14ac:dyDescent="0.25">
      <c r="A1204" s="2" t="str">
        <f>HYPERLINK("https://rth.dk/resources/bsgatlas/details.php?id=BSGatlas-5'UTR-1203","BSGatlas-5'UTR-1203")</f>
        <v>BSGatlas-5'UTR-1203</v>
      </c>
      <c r="B1204" s="3">
        <v>1775692</v>
      </c>
      <c r="C1204" s="3">
        <v>1775745</v>
      </c>
      <c r="D1204" s="1" t="s">
        <v>9</v>
      </c>
      <c r="E1204" s="1">
        <v>54</v>
      </c>
      <c r="F1204" s="1" t="s">
        <v>12750</v>
      </c>
      <c r="G1204" s="1" t="s">
        <v>7349</v>
      </c>
    </row>
    <row r="1205" spans="1:7" ht="21" x14ac:dyDescent="0.25">
      <c r="A1205" s="2" t="str">
        <f>HYPERLINK("https://rth.dk/resources/bsgatlas/details.php?id=BSGatlas-5'UTR-1204","BSGatlas-5'UTR-1204")</f>
        <v>BSGatlas-5'UTR-1204</v>
      </c>
      <c r="B1205" s="3">
        <v>1781073</v>
      </c>
      <c r="C1205" s="3">
        <v>1781165</v>
      </c>
      <c r="D1205" s="1" t="s">
        <v>13</v>
      </c>
      <c r="E1205" s="1">
        <v>93</v>
      </c>
      <c r="F1205" s="1" t="s">
        <v>12751</v>
      </c>
      <c r="G1205" s="1" t="s">
        <v>7355</v>
      </c>
    </row>
    <row r="1206" spans="1:7" ht="21" x14ac:dyDescent="0.25">
      <c r="A1206" s="2" t="str">
        <f>HYPERLINK("https://rth.dk/resources/bsgatlas/details.php?id=BSGatlas-5'UTR-1205","BSGatlas-5'UTR-1205")</f>
        <v>BSGatlas-5'UTR-1205</v>
      </c>
      <c r="B1206" s="3">
        <v>1781785</v>
      </c>
      <c r="C1206" s="3">
        <v>1781905</v>
      </c>
      <c r="D1206" s="1" t="s">
        <v>13</v>
      </c>
      <c r="E1206" s="1">
        <v>121</v>
      </c>
      <c r="F1206" s="1" t="s">
        <v>12752</v>
      </c>
      <c r="G1206" s="1" t="s">
        <v>7356</v>
      </c>
    </row>
    <row r="1207" spans="1:7" ht="21" x14ac:dyDescent="0.25">
      <c r="A1207" s="2" t="str">
        <f>HYPERLINK("https://rth.dk/resources/bsgatlas/details.php?id=BSGatlas-5'UTR-1206","BSGatlas-5'UTR-1206")</f>
        <v>BSGatlas-5'UTR-1206</v>
      </c>
      <c r="B1207" s="3">
        <v>1782643</v>
      </c>
      <c r="C1207" s="3">
        <v>1782713</v>
      </c>
      <c r="D1207" s="1" t="s">
        <v>9</v>
      </c>
      <c r="E1207" s="1">
        <v>71</v>
      </c>
      <c r="F1207" s="1" t="s">
        <v>12753</v>
      </c>
      <c r="G1207" s="1" t="s">
        <v>7360</v>
      </c>
    </row>
    <row r="1208" spans="1:7" ht="21" x14ac:dyDescent="0.25">
      <c r="A1208" s="2" t="str">
        <f>HYPERLINK("https://rth.dk/resources/bsgatlas/details.php?id=BSGatlas-5'UTR-1207","BSGatlas-5'UTR-1207")</f>
        <v>BSGatlas-5'UTR-1207</v>
      </c>
      <c r="B1208" s="3">
        <v>1783660</v>
      </c>
      <c r="C1208" s="3">
        <v>1783763</v>
      </c>
      <c r="D1208" s="1" t="s">
        <v>9</v>
      </c>
      <c r="E1208" s="1">
        <v>104</v>
      </c>
      <c r="F1208" s="1" t="s">
        <v>12754</v>
      </c>
      <c r="G1208" s="1" t="s">
        <v>7363</v>
      </c>
    </row>
    <row r="1209" spans="1:7" ht="21" x14ac:dyDescent="0.25">
      <c r="A1209" s="2" t="str">
        <f>HYPERLINK("https://rth.dk/resources/bsgatlas/details.php?id=BSGatlas-5'UTR-1208","BSGatlas-5'UTR-1208")</f>
        <v>BSGatlas-5'UTR-1208</v>
      </c>
      <c r="B1209" s="3">
        <v>1859783</v>
      </c>
      <c r="C1209" s="3">
        <v>1859838</v>
      </c>
      <c r="D1209" s="1" t="s">
        <v>13</v>
      </c>
      <c r="E1209" s="1">
        <v>56</v>
      </c>
      <c r="F1209" s="1" t="s">
        <v>12755</v>
      </c>
      <c r="G1209" s="1" t="s">
        <v>7364</v>
      </c>
    </row>
    <row r="1210" spans="1:7" ht="21" x14ac:dyDescent="0.25">
      <c r="A1210" s="2" t="str">
        <f>HYPERLINK("https://rth.dk/resources/bsgatlas/details.php?id=BSGatlas-5'UTR-1209","BSGatlas-5'UTR-1209")</f>
        <v>BSGatlas-5'UTR-1209</v>
      </c>
      <c r="B1210" s="3">
        <v>1859783</v>
      </c>
      <c r="C1210" s="3">
        <v>1859882</v>
      </c>
      <c r="D1210" s="1" t="s">
        <v>13</v>
      </c>
      <c r="E1210" s="1">
        <v>100</v>
      </c>
      <c r="F1210" s="1" t="s">
        <v>12755</v>
      </c>
      <c r="G1210" s="1" t="s">
        <v>7366</v>
      </c>
    </row>
    <row r="1211" spans="1:7" ht="21" x14ac:dyDescent="0.25">
      <c r="A1211" s="2" t="str">
        <f>HYPERLINK("https://rth.dk/resources/bsgatlas/details.php?id=BSGatlas-5'UTR-1210","BSGatlas-5'UTR-1210")</f>
        <v>BSGatlas-5'UTR-1210</v>
      </c>
      <c r="B1211" s="3">
        <v>1860370</v>
      </c>
      <c r="C1211" s="3">
        <v>1860435</v>
      </c>
      <c r="D1211" s="1" t="s">
        <v>13</v>
      </c>
      <c r="E1211" s="1">
        <v>66</v>
      </c>
      <c r="F1211" s="1" t="s">
        <v>12756</v>
      </c>
      <c r="G1211" s="1" t="s">
        <v>7367</v>
      </c>
    </row>
    <row r="1212" spans="1:7" ht="21" x14ac:dyDescent="0.25">
      <c r="A1212" s="2" t="str">
        <f>HYPERLINK("https://rth.dk/resources/bsgatlas/details.php?id=BSGatlas-5'UTR-1211","BSGatlas-5'UTR-1211")</f>
        <v>BSGatlas-5'UTR-1211</v>
      </c>
      <c r="B1212" s="3">
        <v>1861273</v>
      </c>
      <c r="C1212" s="3">
        <v>1861311</v>
      </c>
      <c r="D1212" s="1" t="s">
        <v>13</v>
      </c>
      <c r="E1212" s="1">
        <v>39</v>
      </c>
      <c r="F1212" s="1" t="s">
        <v>12757</v>
      </c>
      <c r="G1212" s="1" t="s">
        <v>7370</v>
      </c>
    </row>
    <row r="1213" spans="1:7" ht="21" x14ac:dyDescent="0.25">
      <c r="A1213" s="2" t="str">
        <f>HYPERLINK("https://rth.dk/resources/bsgatlas/details.php?id=BSGatlas-5'UTR-1212","BSGatlas-5'UTR-1212")</f>
        <v>BSGatlas-5'UTR-1212</v>
      </c>
      <c r="B1213" s="3">
        <v>1862712</v>
      </c>
      <c r="C1213" s="3">
        <v>1862738</v>
      </c>
      <c r="D1213" s="1" t="s">
        <v>13</v>
      </c>
      <c r="E1213" s="1">
        <v>27</v>
      </c>
      <c r="F1213" s="1" t="s">
        <v>12758</v>
      </c>
      <c r="G1213" s="1" t="s">
        <v>7371</v>
      </c>
    </row>
    <row r="1214" spans="1:7" ht="21" x14ac:dyDescent="0.25">
      <c r="A1214" s="2" t="str">
        <f>HYPERLINK("https://rth.dk/resources/bsgatlas/details.php?id=BSGatlas-5'UTR-1213","BSGatlas-5'UTR-1213")</f>
        <v>BSGatlas-5'UTR-1213</v>
      </c>
      <c r="B1214" s="3">
        <v>1862712</v>
      </c>
      <c r="C1214" s="3">
        <v>1862895</v>
      </c>
      <c r="D1214" s="1" t="s">
        <v>13</v>
      </c>
      <c r="E1214" s="1">
        <v>184</v>
      </c>
      <c r="F1214" s="1" t="s">
        <v>12758</v>
      </c>
      <c r="G1214" s="1" t="s">
        <v>7373</v>
      </c>
    </row>
    <row r="1215" spans="1:7" ht="21" x14ac:dyDescent="0.25">
      <c r="A1215" s="2" t="str">
        <f>HYPERLINK("https://rth.dk/resources/bsgatlas/details.php?id=BSGatlas-5'UTR-1214","BSGatlas-5'UTR-1214")</f>
        <v>BSGatlas-5'UTR-1214</v>
      </c>
      <c r="B1215" s="3">
        <v>1862898</v>
      </c>
      <c r="C1215" s="3">
        <v>1862937</v>
      </c>
      <c r="D1215" s="1" t="s">
        <v>9</v>
      </c>
      <c r="E1215" s="1">
        <v>40</v>
      </c>
      <c r="F1215" s="1" t="s">
        <v>12759</v>
      </c>
      <c r="G1215" s="1" t="s">
        <v>7374</v>
      </c>
    </row>
    <row r="1216" spans="1:7" ht="21" x14ac:dyDescent="0.25">
      <c r="A1216" s="2" t="str">
        <f>HYPERLINK("https://rth.dk/resources/bsgatlas/details.php?id=BSGatlas-5'UTR-1215","BSGatlas-5'UTR-1215")</f>
        <v>BSGatlas-5'UTR-1215</v>
      </c>
      <c r="B1216" s="3">
        <v>1863384</v>
      </c>
      <c r="C1216" s="3">
        <v>1863448</v>
      </c>
      <c r="D1216" s="1" t="s">
        <v>9</v>
      </c>
      <c r="E1216" s="1">
        <v>65</v>
      </c>
      <c r="F1216" s="1" t="s">
        <v>12760</v>
      </c>
      <c r="G1216" s="1" t="s">
        <v>7380</v>
      </c>
    </row>
    <row r="1217" spans="1:7" ht="21" x14ac:dyDescent="0.25">
      <c r="A1217" s="2" t="str">
        <f>HYPERLINK("https://rth.dk/resources/bsgatlas/details.php?id=BSGatlas-5'UTR-1216","BSGatlas-5'UTR-1216")</f>
        <v>BSGatlas-5'UTR-1216</v>
      </c>
      <c r="B1217" s="3">
        <v>1864190</v>
      </c>
      <c r="C1217" s="3">
        <v>1864225</v>
      </c>
      <c r="D1217" s="1" t="s">
        <v>9</v>
      </c>
      <c r="E1217" s="1">
        <v>36</v>
      </c>
      <c r="F1217" s="1" t="s">
        <v>12761</v>
      </c>
      <c r="G1217" s="1" t="s">
        <v>7382</v>
      </c>
    </row>
    <row r="1218" spans="1:7" ht="21" x14ac:dyDescent="0.25">
      <c r="A1218" s="2" t="str">
        <f>HYPERLINK("https://rth.dk/resources/bsgatlas/details.php?id=BSGatlas-5'UTR-1217","BSGatlas-5'UTR-1217")</f>
        <v>BSGatlas-5'UTR-1217</v>
      </c>
      <c r="B1218" s="3">
        <v>1865375</v>
      </c>
      <c r="C1218" s="3">
        <v>1865427</v>
      </c>
      <c r="D1218" s="1" t="s">
        <v>13</v>
      </c>
      <c r="E1218" s="1">
        <v>53</v>
      </c>
      <c r="F1218" s="1" t="s">
        <v>12762</v>
      </c>
      <c r="G1218" s="1" t="s">
        <v>7376</v>
      </c>
    </row>
    <row r="1219" spans="1:7" ht="21" x14ac:dyDescent="0.25">
      <c r="A1219" s="2" t="str">
        <f>HYPERLINK("https://rth.dk/resources/bsgatlas/details.php?id=BSGatlas-5'UTR-1218","BSGatlas-5'UTR-1218")</f>
        <v>BSGatlas-5'UTR-1218</v>
      </c>
      <c r="B1219" s="3">
        <v>1865787</v>
      </c>
      <c r="C1219" s="3">
        <v>1865827</v>
      </c>
      <c r="D1219" s="1" t="s">
        <v>13</v>
      </c>
      <c r="E1219" s="1">
        <v>41</v>
      </c>
      <c r="F1219" s="1" t="s">
        <v>12763</v>
      </c>
      <c r="G1219" s="1" t="s">
        <v>7384</v>
      </c>
    </row>
    <row r="1220" spans="1:7" ht="21" x14ac:dyDescent="0.25">
      <c r="A1220" s="2" t="str">
        <f>HYPERLINK("https://rth.dk/resources/bsgatlas/details.php?id=BSGatlas-5'UTR-1219","BSGatlas-5'UTR-1219")</f>
        <v>BSGatlas-5'UTR-1219</v>
      </c>
      <c r="B1220" s="3">
        <v>1865787</v>
      </c>
      <c r="C1220" s="3">
        <v>1867450</v>
      </c>
      <c r="D1220" s="1" t="s">
        <v>13</v>
      </c>
      <c r="E1220" s="1">
        <v>1664</v>
      </c>
      <c r="F1220" s="1" t="s">
        <v>12763</v>
      </c>
      <c r="G1220" s="1" t="s">
        <v>7386</v>
      </c>
    </row>
    <row r="1221" spans="1:7" ht="21" x14ac:dyDescent="0.25">
      <c r="A1221" s="2" t="str">
        <f>HYPERLINK("https://rth.dk/resources/bsgatlas/details.php?id=BSGatlas-5'UTR-1220","BSGatlas-5'UTR-1220")</f>
        <v>BSGatlas-5'UTR-1220</v>
      </c>
      <c r="B1221" s="3">
        <v>1865824</v>
      </c>
      <c r="C1221" s="3">
        <v>1865876</v>
      </c>
      <c r="D1221" s="1" t="s">
        <v>9</v>
      </c>
      <c r="E1221" s="1">
        <v>53</v>
      </c>
      <c r="F1221" s="1" t="s">
        <v>12764</v>
      </c>
      <c r="G1221" s="1" t="s">
        <v>7388</v>
      </c>
    </row>
    <row r="1222" spans="1:7" ht="21" x14ac:dyDescent="0.25">
      <c r="A1222" s="2" t="str">
        <f>HYPERLINK("https://rth.dk/resources/bsgatlas/details.php?id=BSGatlas-5'UTR-1221","BSGatlas-5'UTR-1221")</f>
        <v>BSGatlas-5'UTR-1221</v>
      </c>
      <c r="B1222" s="3">
        <v>1866340</v>
      </c>
      <c r="C1222" s="3">
        <v>1866389</v>
      </c>
      <c r="D1222" s="1" t="s">
        <v>9</v>
      </c>
      <c r="E1222" s="1">
        <v>50</v>
      </c>
      <c r="F1222" s="1" t="s">
        <v>12765</v>
      </c>
      <c r="G1222" s="1" t="s">
        <v>7391</v>
      </c>
    </row>
    <row r="1223" spans="1:7" ht="21" x14ac:dyDescent="0.25">
      <c r="A1223" s="2" t="str">
        <f>HYPERLINK("https://rth.dk/resources/bsgatlas/details.php?id=BSGatlas-5'UTR-1222","BSGatlas-5'UTR-1222")</f>
        <v>BSGatlas-5'UTR-1222</v>
      </c>
      <c r="B1223" s="3">
        <v>1867334</v>
      </c>
      <c r="C1223" s="3">
        <v>1867373</v>
      </c>
      <c r="D1223" s="1" t="s">
        <v>9</v>
      </c>
      <c r="E1223" s="1">
        <v>40</v>
      </c>
      <c r="F1223" s="1" t="s">
        <v>12766</v>
      </c>
      <c r="G1223" s="1" t="s">
        <v>7392</v>
      </c>
    </row>
    <row r="1224" spans="1:7" ht="21" x14ac:dyDescent="0.25">
      <c r="A1224" s="2" t="str">
        <f>HYPERLINK("https://rth.dk/resources/bsgatlas/details.php?id=BSGatlas-5'UTR-1223","BSGatlas-5'UTR-1223")</f>
        <v>BSGatlas-5'UTR-1223</v>
      </c>
      <c r="B1224" s="3">
        <v>1868101</v>
      </c>
      <c r="C1224" s="3">
        <v>1868144</v>
      </c>
      <c r="D1224" s="1" t="s">
        <v>9</v>
      </c>
      <c r="E1224" s="1">
        <v>44</v>
      </c>
      <c r="F1224" s="1" t="s">
        <v>12767</v>
      </c>
      <c r="G1224" s="1" t="s">
        <v>7393</v>
      </c>
    </row>
    <row r="1225" spans="1:7" ht="21" x14ac:dyDescent="0.25">
      <c r="A1225" s="2" t="str">
        <f>HYPERLINK("https://rth.dk/resources/bsgatlas/details.php?id=BSGatlas-5'UTR-1224","BSGatlas-5'UTR-1224")</f>
        <v>BSGatlas-5'UTR-1224</v>
      </c>
      <c r="B1225" s="3">
        <v>1868569</v>
      </c>
      <c r="C1225" s="3">
        <v>1868617</v>
      </c>
      <c r="D1225" s="1" t="s">
        <v>9</v>
      </c>
      <c r="E1225" s="1">
        <v>49</v>
      </c>
      <c r="F1225" s="1" t="s">
        <v>12768</v>
      </c>
      <c r="G1225" s="1" t="s">
        <v>7400</v>
      </c>
    </row>
    <row r="1226" spans="1:7" ht="21" x14ac:dyDescent="0.25">
      <c r="A1226" s="2" t="str">
        <f>HYPERLINK("https://rth.dk/resources/bsgatlas/details.php?id=BSGatlas-5'UTR-1225","BSGatlas-5'UTR-1225")</f>
        <v>BSGatlas-5'UTR-1225</v>
      </c>
      <c r="B1226" s="3">
        <v>1873754</v>
      </c>
      <c r="C1226" s="3">
        <v>1874203</v>
      </c>
      <c r="D1226" s="1" t="s">
        <v>9</v>
      </c>
      <c r="E1226" s="1">
        <v>450</v>
      </c>
      <c r="F1226" s="1" t="s">
        <v>12769</v>
      </c>
      <c r="G1226" s="1" t="s">
        <v>7406</v>
      </c>
    </row>
    <row r="1227" spans="1:7" ht="21" x14ac:dyDescent="0.25">
      <c r="A1227" s="2" t="str">
        <f>HYPERLINK("https://rth.dk/resources/bsgatlas/details.php?id=BSGatlas-5'UTR-1226","BSGatlas-5'UTR-1226")</f>
        <v>BSGatlas-5'UTR-1226</v>
      </c>
      <c r="B1227" s="3">
        <v>1874073</v>
      </c>
      <c r="C1227" s="3">
        <v>1874203</v>
      </c>
      <c r="D1227" s="1" t="s">
        <v>9</v>
      </c>
      <c r="E1227" s="1">
        <v>131</v>
      </c>
      <c r="F1227" s="1" t="s">
        <v>12769</v>
      </c>
      <c r="G1227" s="1" t="s">
        <v>7409</v>
      </c>
    </row>
    <row r="1228" spans="1:7" ht="21" x14ac:dyDescent="0.25">
      <c r="A1228" s="2" t="str">
        <f>HYPERLINK("https://rth.dk/resources/bsgatlas/details.php?id=BSGatlas-5'UTR-1227","BSGatlas-5'UTR-1227")</f>
        <v>BSGatlas-5'UTR-1227</v>
      </c>
      <c r="B1228" s="3">
        <v>1874186</v>
      </c>
      <c r="C1228" s="3">
        <v>1874203</v>
      </c>
      <c r="D1228" s="1" t="s">
        <v>9</v>
      </c>
      <c r="E1228" s="1">
        <v>18</v>
      </c>
      <c r="F1228" s="1" t="s">
        <v>12769</v>
      </c>
      <c r="G1228" s="1" t="s">
        <v>7410</v>
      </c>
    </row>
    <row r="1229" spans="1:7" ht="21" x14ac:dyDescent="0.25">
      <c r="A1229" s="2" t="str">
        <f>HYPERLINK("https://rth.dk/resources/bsgatlas/details.php?id=BSGatlas-5'UTR-1228","BSGatlas-5'UTR-1228")</f>
        <v>BSGatlas-5'UTR-1228</v>
      </c>
      <c r="B1229" s="3">
        <v>1875250</v>
      </c>
      <c r="C1229" s="3">
        <v>1875304</v>
      </c>
      <c r="D1229" s="1" t="s">
        <v>9</v>
      </c>
      <c r="E1229" s="1">
        <v>55</v>
      </c>
      <c r="F1229" s="1" t="s">
        <v>12770</v>
      </c>
      <c r="G1229" s="1" t="s">
        <v>7412</v>
      </c>
    </row>
    <row r="1230" spans="1:7" ht="21" x14ac:dyDescent="0.25">
      <c r="A1230" s="2" t="str">
        <f>HYPERLINK("https://rth.dk/resources/bsgatlas/details.php?id=BSGatlas-5'UTR-1229","BSGatlas-5'UTR-1229")</f>
        <v>BSGatlas-5'UTR-1229</v>
      </c>
      <c r="B1230" s="3">
        <v>1877935</v>
      </c>
      <c r="C1230" s="3">
        <v>1877959</v>
      </c>
      <c r="D1230" s="1" t="s">
        <v>9</v>
      </c>
      <c r="E1230" s="1">
        <v>25</v>
      </c>
      <c r="F1230" s="1" t="s">
        <v>12771</v>
      </c>
      <c r="G1230" s="1" t="s">
        <v>7417</v>
      </c>
    </row>
    <row r="1231" spans="1:7" ht="21" x14ac:dyDescent="0.25">
      <c r="A1231" s="2" t="str">
        <f>HYPERLINK("https://rth.dk/resources/bsgatlas/details.php?id=BSGatlas-5'UTR-1230","BSGatlas-5'UTR-1230")</f>
        <v>BSGatlas-5'UTR-1230</v>
      </c>
      <c r="B1231" s="3">
        <v>1878372</v>
      </c>
      <c r="C1231" s="3">
        <v>1878425</v>
      </c>
      <c r="D1231" s="1" t="s">
        <v>9</v>
      </c>
      <c r="E1231" s="1">
        <v>54</v>
      </c>
      <c r="F1231" s="1" t="s">
        <v>12772</v>
      </c>
      <c r="G1231" s="1" t="s">
        <v>7419</v>
      </c>
    </row>
    <row r="1232" spans="1:7" ht="21" x14ac:dyDescent="0.25">
      <c r="A1232" s="2" t="str">
        <f>HYPERLINK("https://rth.dk/resources/bsgatlas/details.php?id=BSGatlas-5'UTR-1231","BSGatlas-5'UTR-1231")</f>
        <v>BSGatlas-5'UTR-1231</v>
      </c>
      <c r="B1232" s="3">
        <v>1880043</v>
      </c>
      <c r="C1232" s="3">
        <v>1880087</v>
      </c>
      <c r="D1232" s="1" t="s">
        <v>9</v>
      </c>
      <c r="E1232" s="1">
        <v>45</v>
      </c>
      <c r="F1232" s="1" t="s">
        <v>12773</v>
      </c>
      <c r="G1232" s="1" t="s">
        <v>7420</v>
      </c>
    </row>
    <row r="1233" spans="1:7" ht="21" x14ac:dyDescent="0.25">
      <c r="A1233" s="2" t="str">
        <f>HYPERLINK("https://rth.dk/resources/bsgatlas/details.php?id=BSGatlas-5'UTR-1232","BSGatlas-5'UTR-1232")</f>
        <v>BSGatlas-5'UTR-1232</v>
      </c>
      <c r="B1233" s="3">
        <v>1881406</v>
      </c>
      <c r="C1233" s="3">
        <v>1881536</v>
      </c>
      <c r="D1233" s="1" t="s">
        <v>9</v>
      </c>
      <c r="E1233" s="1">
        <v>131</v>
      </c>
      <c r="F1233" s="1" t="s">
        <v>12774</v>
      </c>
      <c r="G1233" s="1" t="s">
        <v>7424</v>
      </c>
    </row>
    <row r="1234" spans="1:7" ht="21" x14ac:dyDescent="0.25">
      <c r="A1234" s="2" t="str">
        <f>HYPERLINK("https://rth.dk/resources/bsgatlas/details.php?id=BSGatlas-5'UTR-1233","BSGatlas-5'UTR-1233")</f>
        <v>BSGatlas-5'UTR-1233</v>
      </c>
      <c r="B1234" s="3">
        <v>1883135</v>
      </c>
      <c r="C1234" s="3">
        <v>1883166</v>
      </c>
      <c r="D1234" s="1" t="s">
        <v>9</v>
      </c>
      <c r="E1234" s="1">
        <v>32</v>
      </c>
      <c r="F1234" s="1" t="s">
        <v>12775</v>
      </c>
      <c r="G1234" s="1" t="s">
        <v>7427</v>
      </c>
    </row>
    <row r="1235" spans="1:7" ht="21" x14ac:dyDescent="0.25">
      <c r="A1235" s="2" t="str">
        <f>HYPERLINK("https://rth.dk/resources/bsgatlas/details.php?id=BSGatlas-5'UTR-1234","BSGatlas-5'UTR-1234")</f>
        <v>BSGatlas-5'UTR-1234</v>
      </c>
      <c r="B1235" s="3">
        <v>1884125</v>
      </c>
      <c r="C1235" s="3">
        <v>1884238</v>
      </c>
      <c r="D1235" s="1" t="s">
        <v>9</v>
      </c>
      <c r="E1235" s="1">
        <v>114</v>
      </c>
      <c r="F1235" s="1" t="s">
        <v>12776</v>
      </c>
      <c r="G1235" s="1" t="s">
        <v>7428</v>
      </c>
    </row>
    <row r="1236" spans="1:7" ht="21" x14ac:dyDescent="0.25">
      <c r="A1236" s="2" t="str">
        <f>HYPERLINK("https://rth.dk/resources/bsgatlas/details.php?id=BSGatlas-5'UTR-1235","BSGatlas-5'UTR-1235")</f>
        <v>BSGatlas-5'UTR-1235</v>
      </c>
      <c r="B1236" s="3">
        <v>1884169</v>
      </c>
      <c r="C1236" s="3">
        <v>1884238</v>
      </c>
      <c r="D1236" s="1" t="s">
        <v>9</v>
      </c>
      <c r="E1236" s="1">
        <v>70</v>
      </c>
      <c r="F1236" s="1" t="s">
        <v>12776</v>
      </c>
      <c r="G1236" s="1" t="s">
        <v>7429</v>
      </c>
    </row>
    <row r="1237" spans="1:7" ht="21" x14ac:dyDescent="0.25">
      <c r="A1237" s="2" t="str">
        <f>HYPERLINK("https://rth.dk/resources/bsgatlas/details.php?id=BSGatlas-5'UTR-1236","BSGatlas-5'UTR-1236")</f>
        <v>BSGatlas-5'UTR-1236</v>
      </c>
      <c r="B1237" s="3">
        <v>1887031</v>
      </c>
      <c r="C1237" s="3">
        <v>1887352</v>
      </c>
      <c r="D1237" s="1" t="s">
        <v>9</v>
      </c>
      <c r="E1237" s="1">
        <v>322</v>
      </c>
      <c r="F1237" s="1" t="s">
        <v>12777</v>
      </c>
      <c r="G1237" s="1" t="s">
        <v>7431</v>
      </c>
    </row>
    <row r="1238" spans="1:7" ht="21" x14ac:dyDescent="0.25">
      <c r="A1238" s="2" t="str">
        <f>HYPERLINK("https://rth.dk/resources/bsgatlas/details.php?id=BSGatlas-5'UTR-1237","BSGatlas-5'UTR-1237")</f>
        <v>BSGatlas-5'UTR-1237</v>
      </c>
      <c r="B1238" s="3">
        <v>1891666</v>
      </c>
      <c r="C1238" s="3">
        <v>1891743</v>
      </c>
      <c r="D1238" s="1" t="s">
        <v>13</v>
      </c>
      <c r="E1238" s="1">
        <v>78</v>
      </c>
      <c r="F1238" s="1" t="s">
        <v>12778</v>
      </c>
      <c r="G1238" s="1" t="s">
        <v>7434</v>
      </c>
    </row>
    <row r="1239" spans="1:7" ht="21" x14ac:dyDescent="0.25">
      <c r="A1239" s="2" t="str">
        <f>HYPERLINK("https://rth.dk/resources/bsgatlas/details.php?id=BSGatlas-5'UTR-1238","BSGatlas-5'UTR-1238")</f>
        <v>BSGatlas-5'UTR-1238</v>
      </c>
      <c r="B1239" s="3">
        <v>1891737</v>
      </c>
      <c r="C1239" s="3">
        <v>1891908</v>
      </c>
      <c r="D1239" s="1" t="s">
        <v>9</v>
      </c>
      <c r="E1239" s="1">
        <v>172</v>
      </c>
      <c r="F1239" s="1" t="s">
        <v>12779</v>
      </c>
      <c r="G1239" s="1" t="s">
        <v>7436</v>
      </c>
    </row>
    <row r="1240" spans="1:7" ht="21" x14ac:dyDescent="0.25">
      <c r="A1240" s="2" t="str">
        <f>HYPERLINK("https://rth.dk/resources/bsgatlas/details.php?id=BSGatlas-5'UTR-1239","BSGatlas-5'UTR-1239")</f>
        <v>BSGatlas-5'UTR-1239</v>
      </c>
      <c r="B1240" s="3">
        <v>1891804</v>
      </c>
      <c r="C1240" s="3">
        <v>1891908</v>
      </c>
      <c r="D1240" s="1" t="s">
        <v>9</v>
      </c>
      <c r="E1240" s="1">
        <v>105</v>
      </c>
      <c r="F1240" s="1" t="s">
        <v>12779</v>
      </c>
      <c r="G1240" s="1" t="s">
        <v>7440</v>
      </c>
    </row>
    <row r="1241" spans="1:7" ht="21" x14ac:dyDescent="0.25">
      <c r="A1241" s="2" t="str">
        <f>HYPERLINK("https://rth.dk/resources/bsgatlas/details.php?id=BSGatlas-5'UTR-1240","BSGatlas-5'UTR-1240")</f>
        <v>BSGatlas-5'UTR-1240</v>
      </c>
      <c r="B1241" s="3">
        <v>1896013</v>
      </c>
      <c r="C1241" s="3">
        <v>1896059</v>
      </c>
      <c r="D1241" s="1" t="s">
        <v>13</v>
      </c>
      <c r="E1241" s="1">
        <v>47</v>
      </c>
      <c r="F1241" s="1" t="s">
        <v>12780</v>
      </c>
      <c r="G1241" s="1" t="s">
        <v>7441</v>
      </c>
    </row>
    <row r="1242" spans="1:7" ht="21" x14ac:dyDescent="0.25">
      <c r="A1242" s="2" t="str">
        <f>HYPERLINK("https://rth.dk/resources/bsgatlas/details.php?id=BSGatlas-5'UTR-1241","BSGatlas-5'UTR-1241")</f>
        <v>BSGatlas-5'UTR-1241</v>
      </c>
      <c r="B1242" s="3">
        <v>1896225</v>
      </c>
      <c r="C1242" s="3">
        <v>1896424</v>
      </c>
      <c r="D1242" s="1" t="s">
        <v>9</v>
      </c>
      <c r="E1242" s="1">
        <v>200</v>
      </c>
      <c r="F1242" s="1" t="s">
        <v>12781</v>
      </c>
      <c r="G1242" s="1" t="s">
        <v>7442</v>
      </c>
    </row>
    <row r="1243" spans="1:7" ht="21" x14ac:dyDescent="0.25">
      <c r="A1243" s="2" t="str">
        <f>HYPERLINK("https://rth.dk/resources/bsgatlas/details.php?id=BSGatlas-5'UTR-1242","BSGatlas-5'UTR-1242")</f>
        <v>BSGatlas-5'UTR-1242</v>
      </c>
      <c r="B1243" s="3">
        <v>1899125</v>
      </c>
      <c r="C1243" s="3">
        <v>1899209</v>
      </c>
      <c r="D1243" s="1" t="s">
        <v>13</v>
      </c>
      <c r="E1243" s="1">
        <v>85</v>
      </c>
      <c r="F1243" s="1" t="s">
        <v>12782</v>
      </c>
      <c r="G1243" s="1" t="s">
        <v>7444</v>
      </c>
    </row>
    <row r="1244" spans="1:7" ht="21" x14ac:dyDescent="0.25">
      <c r="A1244" s="2" t="str">
        <f>HYPERLINK("https://rth.dk/resources/bsgatlas/details.php?id=BSGatlas-5'UTR-1243","BSGatlas-5'UTR-1243")</f>
        <v>BSGatlas-5'UTR-1243</v>
      </c>
      <c r="B1244" s="3">
        <v>1899547</v>
      </c>
      <c r="C1244" s="3">
        <v>1899589</v>
      </c>
      <c r="D1244" s="1" t="s">
        <v>9</v>
      </c>
      <c r="E1244" s="1">
        <v>43</v>
      </c>
      <c r="F1244" s="1" t="s">
        <v>12783</v>
      </c>
      <c r="G1244" s="1" t="s">
        <v>7446</v>
      </c>
    </row>
    <row r="1245" spans="1:7" ht="21" x14ac:dyDescent="0.25">
      <c r="A1245" s="2" t="str">
        <f>HYPERLINK("https://rth.dk/resources/bsgatlas/details.php?id=BSGatlas-5'UTR-1244","BSGatlas-5'UTR-1244")</f>
        <v>BSGatlas-5'UTR-1244</v>
      </c>
      <c r="B1245" s="3">
        <v>1901377</v>
      </c>
      <c r="C1245" s="3">
        <v>1901408</v>
      </c>
      <c r="D1245" s="1" t="s">
        <v>13</v>
      </c>
      <c r="E1245" s="1">
        <v>32</v>
      </c>
      <c r="F1245" s="1" t="s">
        <v>12784</v>
      </c>
      <c r="G1245" s="1" t="s">
        <v>7451</v>
      </c>
    </row>
    <row r="1246" spans="1:7" ht="21" x14ac:dyDescent="0.25">
      <c r="A1246" s="2" t="str">
        <f>HYPERLINK("https://rth.dk/resources/bsgatlas/details.php?id=BSGatlas-5'UTR-1245","BSGatlas-5'UTR-1245")</f>
        <v>BSGatlas-5'UTR-1245</v>
      </c>
      <c r="B1246" s="3">
        <v>1901377</v>
      </c>
      <c r="C1246" s="3">
        <v>1902262</v>
      </c>
      <c r="D1246" s="1" t="s">
        <v>13</v>
      </c>
      <c r="E1246" s="1">
        <v>886</v>
      </c>
      <c r="F1246" s="1" t="s">
        <v>12784</v>
      </c>
      <c r="G1246" s="1" t="s">
        <v>7453</v>
      </c>
    </row>
    <row r="1247" spans="1:7" ht="21" x14ac:dyDescent="0.25">
      <c r="A1247" s="2" t="str">
        <f>HYPERLINK("https://rth.dk/resources/bsgatlas/details.php?id=BSGatlas-5'UTR-1246","BSGatlas-5'UTR-1246")</f>
        <v>BSGatlas-5'UTR-1246</v>
      </c>
      <c r="B1247" s="3">
        <v>1902168</v>
      </c>
      <c r="C1247" s="3">
        <v>1902219</v>
      </c>
      <c r="D1247" s="1" t="s">
        <v>9</v>
      </c>
      <c r="E1247" s="1">
        <v>52</v>
      </c>
      <c r="F1247" s="1" t="s">
        <v>12785</v>
      </c>
      <c r="G1247" s="1" t="s">
        <v>7455</v>
      </c>
    </row>
    <row r="1248" spans="1:7" ht="21" x14ac:dyDescent="0.25">
      <c r="A1248" s="2" t="str">
        <f>HYPERLINK("https://rth.dk/resources/bsgatlas/details.php?id=BSGatlas-5'UTR-1247","BSGatlas-5'UTR-1247")</f>
        <v>BSGatlas-5'UTR-1247</v>
      </c>
      <c r="B1248" s="3">
        <v>1904233</v>
      </c>
      <c r="C1248" s="3">
        <v>1904266</v>
      </c>
      <c r="D1248" s="1" t="s">
        <v>13</v>
      </c>
      <c r="E1248" s="1">
        <v>34</v>
      </c>
      <c r="F1248" s="1" t="s">
        <v>12786</v>
      </c>
      <c r="G1248" s="1" t="s">
        <v>7461</v>
      </c>
    </row>
    <row r="1249" spans="1:7" ht="21" x14ac:dyDescent="0.25">
      <c r="A1249" s="2" t="str">
        <f>HYPERLINK("https://rth.dk/resources/bsgatlas/details.php?id=BSGatlas-5'UTR-1248","BSGatlas-5'UTR-1248")</f>
        <v>BSGatlas-5'UTR-1248</v>
      </c>
      <c r="B1249" s="3">
        <v>1904749</v>
      </c>
      <c r="C1249" s="3">
        <v>1904790</v>
      </c>
      <c r="D1249" s="1" t="s">
        <v>13</v>
      </c>
      <c r="E1249" s="1">
        <v>42</v>
      </c>
      <c r="F1249" s="1" t="s">
        <v>12787</v>
      </c>
      <c r="G1249" s="1" t="s">
        <v>7463</v>
      </c>
    </row>
    <row r="1250" spans="1:7" ht="21" x14ac:dyDescent="0.25">
      <c r="A1250" s="2" t="str">
        <f>HYPERLINK("https://rth.dk/resources/bsgatlas/details.php?id=BSGatlas-5'UTR-1249","BSGatlas-5'UTR-1249")</f>
        <v>BSGatlas-5'UTR-1249</v>
      </c>
      <c r="B1250" s="3">
        <v>1905195</v>
      </c>
      <c r="C1250" s="3">
        <v>1905221</v>
      </c>
      <c r="D1250" s="1" t="s">
        <v>13</v>
      </c>
      <c r="E1250" s="1">
        <v>27</v>
      </c>
      <c r="F1250" s="1" t="s">
        <v>12788</v>
      </c>
      <c r="G1250" s="1" t="s">
        <v>7464</v>
      </c>
    </row>
    <row r="1251" spans="1:7" ht="21" x14ac:dyDescent="0.25">
      <c r="A1251" s="2" t="str">
        <f>HYPERLINK("https://rth.dk/resources/bsgatlas/details.php?id=BSGatlas-5'UTR-1250","BSGatlas-5'UTR-1250")</f>
        <v>BSGatlas-5'UTR-1250</v>
      </c>
      <c r="B1251" s="3">
        <v>1905558</v>
      </c>
      <c r="C1251" s="3">
        <v>1905605</v>
      </c>
      <c r="D1251" s="1" t="s">
        <v>13</v>
      </c>
      <c r="E1251" s="1">
        <v>48</v>
      </c>
      <c r="F1251" s="1" t="s">
        <v>12789</v>
      </c>
      <c r="G1251" s="1" t="s">
        <v>7468</v>
      </c>
    </row>
    <row r="1252" spans="1:7" ht="21" x14ac:dyDescent="0.25">
      <c r="A1252" s="2" t="str">
        <f>HYPERLINK("https://rth.dk/resources/bsgatlas/details.php?id=BSGatlas-5'UTR-1251","BSGatlas-5'UTR-1251")</f>
        <v>BSGatlas-5'UTR-1251</v>
      </c>
      <c r="B1252" s="3">
        <v>1906706</v>
      </c>
      <c r="C1252" s="3">
        <v>1906752</v>
      </c>
      <c r="D1252" s="1" t="s">
        <v>13</v>
      </c>
      <c r="E1252" s="1">
        <v>47</v>
      </c>
      <c r="F1252" s="1" t="s">
        <v>12790</v>
      </c>
      <c r="G1252" s="1" t="s">
        <v>7473</v>
      </c>
    </row>
    <row r="1253" spans="1:7" ht="21" x14ac:dyDescent="0.25">
      <c r="A1253" s="2" t="str">
        <f>HYPERLINK("https://rth.dk/resources/bsgatlas/details.php?id=BSGatlas-5'UTR-1252","BSGatlas-5'UTR-1252")</f>
        <v>BSGatlas-5'UTR-1252</v>
      </c>
      <c r="B1253" s="3">
        <v>1906706</v>
      </c>
      <c r="C1253" s="3">
        <v>1907806</v>
      </c>
      <c r="D1253" s="1" t="s">
        <v>13</v>
      </c>
      <c r="E1253" s="1">
        <v>1101</v>
      </c>
      <c r="F1253" s="1" t="s">
        <v>12790</v>
      </c>
      <c r="G1253" s="1" t="s">
        <v>7475</v>
      </c>
    </row>
    <row r="1254" spans="1:7" ht="21" x14ac:dyDescent="0.25">
      <c r="A1254" s="2" t="str">
        <f>HYPERLINK("https://rth.dk/resources/bsgatlas/details.php?id=BSGatlas-5'UTR-1253","BSGatlas-5'UTR-1253")</f>
        <v>BSGatlas-5'UTR-1253</v>
      </c>
      <c r="B1254" s="3">
        <v>1907351</v>
      </c>
      <c r="C1254" s="3">
        <v>1907494</v>
      </c>
      <c r="D1254" s="1" t="s">
        <v>9</v>
      </c>
      <c r="E1254" s="1">
        <v>144</v>
      </c>
      <c r="F1254" s="1" t="s">
        <v>12791</v>
      </c>
      <c r="G1254" s="1" t="s">
        <v>7477</v>
      </c>
    </row>
    <row r="1255" spans="1:7" ht="21" x14ac:dyDescent="0.25">
      <c r="A1255" s="2" t="str">
        <f>HYPERLINK("https://rth.dk/resources/bsgatlas/details.php?id=BSGatlas-5'UTR-1254","BSGatlas-5'UTR-1254")</f>
        <v>BSGatlas-5'UTR-1254</v>
      </c>
      <c r="B1255" s="3">
        <v>1911492</v>
      </c>
      <c r="C1255" s="3">
        <v>1911528</v>
      </c>
      <c r="D1255" s="1" t="s">
        <v>9</v>
      </c>
      <c r="E1255" s="1">
        <v>37</v>
      </c>
      <c r="F1255" s="1" t="s">
        <v>12792</v>
      </c>
      <c r="G1255" s="1" t="s">
        <v>7480</v>
      </c>
    </row>
    <row r="1256" spans="1:7" ht="21" x14ac:dyDescent="0.25">
      <c r="A1256" s="2" t="str">
        <f>HYPERLINK("https://rth.dk/resources/bsgatlas/details.php?id=BSGatlas-5'UTR-1255","BSGatlas-5'UTR-1255")</f>
        <v>BSGatlas-5'UTR-1255</v>
      </c>
      <c r="B1256" s="3">
        <v>1915124</v>
      </c>
      <c r="C1256" s="3">
        <v>1915221</v>
      </c>
      <c r="D1256" s="1" t="s">
        <v>9</v>
      </c>
      <c r="E1256" s="1">
        <v>98</v>
      </c>
      <c r="F1256" s="1" t="s">
        <v>12793</v>
      </c>
      <c r="G1256" s="1" t="s">
        <v>7487</v>
      </c>
    </row>
    <row r="1257" spans="1:7" ht="21" x14ac:dyDescent="0.25">
      <c r="A1257" s="2" t="str">
        <f>HYPERLINK("https://rth.dk/resources/bsgatlas/details.php?id=BSGatlas-5'UTR-1256","BSGatlas-5'UTR-1256")</f>
        <v>BSGatlas-5'UTR-1256</v>
      </c>
      <c r="B1257" s="3">
        <v>1916636</v>
      </c>
      <c r="C1257" s="3">
        <v>1916663</v>
      </c>
      <c r="D1257" s="1" t="s">
        <v>9</v>
      </c>
      <c r="E1257" s="1">
        <v>28</v>
      </c>
      <c r="F1257" s="1" t="s">
        <v>12794</v>
      </c>
      <c r="G1257" s="1" t="s">
        <v>7492</v>
      </c>
    </row>
    <row r="1258" spans="1:7" ht="21" x14ac:dyDescent="0.25">
      <c r="A1258" s="2" t="str">
        <f>HYPERLINK("https://rth.dk/resources/bsgatlas/details.php?id=BSGatlas-5'UTR-1257","BSGatlas-5'UTR-1257")</f>
        <v>BSGatlas-5'UTR-1257</v>
      </c>
      <c r="B1258" s="3">
        <v>1917432</v>
      </c>
      <c r="C1258" s="3">
        <v>1917501</v>
      </c>
      <c r="D1258" s="1" t="s">
        <v>9</v>
      </c>
      <c r="E1258" s="1">
        <v>70</v>
      </c>
      <c r="F1258" s="1" t="s">
        <v>12795</v>
      </c>
      <c r="G1258" s="1" t="s">
        <v>7493</v>
      </c>
    </row>
    <row r="1259" spans="1:7" ht="21" x14ac:dyDescent="0.25">
      <c r="A1259" s="2" t="str">
        <f>HYPERLINK("https://rth.dk/resources/bsgatlas/details.php?id=BSGatlas-5'UTR-1258","BSGatlas-5'UTR-1258")</f>
        <v>BSGatlas-5'UTR-1258</v>
      </c>
      <c r="B1259" s="3">
        <v>1918256</v>
      </c>
      <c r="C1259" s="3">
        <v>1918301</v>
      </c>
      <c r="D1259" s="1" t="s">
        <v>13</v>
      </c>
      <c r="E1259" s="1">
        <v>46</v>
      </c>
      <c r="F1259" s="1" t="s">
        <v>12796</v>
      </c>
      <c r="G1259" s="1" t="s">
        <v>7495</v>
      </c>
    </row>
    <row r="1260" spans="1:7" ht="21" x14ac:dyDescent="0.25">
      <c r="A1260" s="2" t="str">
        <f>HYPERLINK("https://rth.dk/resources/bsgatlas/details.php?id=BSGatlas-5'UTR-1259","BSGatlas-5'UTR-1259")</f>
        <v>BSGatlas-5'UTR-1259</v>
      </c>
      <c r="B1260" s="3">
        <v>1918256</v>
      </c>
      <c r="C1260" s="3">
        <v>1918426</v>
      </c>
      <c r="D1260" s="1" t="s">
        <v>13</v>
      </c>
      <c r="E1260" s="1">
        <v>171</v>
      </c>
      <c r="F1260" s="1" t="s">
        <v>12796</v>
      </c>
      <c r="G1260" s="1" t="s">
        <v>7497</v>
      </c>
    </row>
    <row r="1261" spans="1:7" ht="21" x14ac:dyDescent="0.25">
      <c r="A1261" s="2" t="str">
        <f>HYPERLINK("https://rth.dk/resources/bsgatlas/details.php?id=BSGatlas-5'UTR-1260","BSGatlas-5'UTR-1260")</f>
        <v>BSGatlas-5'UTR-1260</v>
      </c>
      <c r="B1261" s="3">
        <v>1918256</v>
      </c>
      <c r="C1261" s="3">
        <v>1920082</v>
      </c>
      <c r="D1261" s="1" t="s">
        <v>13</v>
      </c>
      <c r="E1261" s="1">
        <v>1827</v>
      </c>
      <c r="F1261" s="1" t="s">
        <v>12796</v>
      </c>
      <c r="G1261" s="1" t="s">
        <v>7498</v>
      </c>
    </row>
    <row r="1262" spans="1:7" ht="21" x14ac:dyDescent="0.25">
      <c r="A1262" s="2" t="str">
        <f>HYPERLINK("https://rth.dk/resources/bsgatlas/details.php?id=BSGatlas-5'UTR-1261","BSGatlas-5'UTR-1261")</f>
        <v>BSGatlas-5'UTR-1261</v>
      </c>
      <c r="B1262" s="3">
        <v>1918355</v>
      </c>
      <c r="C1262" s="3">
        <v>1918406</v>
      </c>
      <c r="D1262" s="1" t="s">
        <v>9</v>
      </c>
      <c r="E1262" s="1">
        <v>52</v>
      </c>
      <c r="F1262" s="1" t="s">
        <v>12797</v>
      </c>
      <c r="G1262" s="1" t="s">
        <v>7501</v>
      </c>
    </row>
    <row r="1263" spans="1:7" ht="21" x14ac:dyDescent="0.25">
      <c r="A1263" s="2" t="str">
        <f>HYPERLINK("https://rth.dk/resources/bsgatlas/details.php?id=BSGatlas-5'UTR-1262","BSGatlas-5'UTR-1262")</f>
        <v>BSGatlas-5'UTR-1262</v>
      </c>
      <c r="B1263" s="3">
        <v>1919432</v>
      </c>
      <c r="C1263" s="3">
        <v>1919459</v>
      </c>
      <c r="D1263" s="1" t="s">
        <v>9</v>
      </c>
      <c r="E1263" s="1">
        <v>28</v>
      </c>
      <c r="F1263" s="1" t="s">
        <v>12798</v>
      </c>
      <c r="G1263" s="1" t="s">
        <v>7503</v>
      </c>
    </row>
    <row r="1264" spans="1:7" ht="21" x14ac:dyDescent="0.25">
      <c r="A1264" s="2" t="str">
        <f>HYPERLINK("https://rth.dk/resources/bsgatlas/details.php?id=BSGatlas-5'UTR-1263","BSGatlas-5'UTR-1263")</f>
        <v>BSGatlas-5'UTR-1263</v>
      </c>
      <c r="B1264" s="3">
        <v>1919830</v>
      </c>
      <c r="C1264" s="3">
        <v>1919861</v>
      </c>
      <c r="D1264" s="1" t="s">
        <v>9</v>
      </c>
      <c r="E1264" s="1">
        <v>32</v>
      </c>
      <c r="F1264" s="1" t="s">
        <v>12799</v>
      </c>
      <c r="G1264" s="1" t="s">
        <v>7504</v>
      </c>
    </row>
    <row r="1265" spans="1:7" ht="21" x14ac:dyDescent="0.25">
      <c r="A1265" s="2" t="str">
        <f>HYPERLINK("https://rth.dk/resources/bsgatlas/details.php?id=BSGatlas-5'UTR-1264","BSGatlas-5'UTR-1264")</f>
        <v>BSGatlas-5'UTR-1264</v>
      </c>
      <c r="B1265" s="3">
        <v>1921964</v>
      </c>
      <c r="C1265" s="3">
        <v>1922017</v>
      </c>
      <c r="D1265" s="1" t="s">
        <v>9</v>
      </c>
      <c r="E1265" s="1">
        <v>54</v>
      </c>
      <c r="F1265" s="1" t="s">
        <v>12800</v>
      </c>
      <c r="G1265" s="1" t="s">
        <v>7508</v>
      </c>
    </row>
    <row r="1266" spans="1:7" ht="21" x14ac:dyDescent="0.25">
      <c r="A1266" s="2" t="str">
        <f>HYPERLINK("https://rth.dk/resources/bsgatlas/details.php?id=BSGatlas-5'UTR-1265","BSGatlas-5'UTR-1265")</f>
        <v>BSGatlas-5'UTR-1265</v>
      </c>
      <c r="B1266" s="3">
        <v>1922495</v>
      </c>
      <c r="C1266" s="3">
        <v>1922549</v>
      </c>
      <c r="D1266" s="1" t="s">
        <v>9</v>
      </c>
      <c r="E1266" s="1">
        <v>55</v>
      </c>
      <c r="F1266" s="1" t="s">
        <v>12801</v>
      </c>
      <c r="G1266" s="1" t="s">
        <v>7511</v>
      </c>
    </row>
    <row r="1267" spans="1:7" ht="21" x14ac:dyDescent="0.25">
      <c r="A1267" s="2" t="str">
        <f>HYPERLINK("https://rth.dk/resources/bsgatlas/details.php?id=BSGatlas-5'UTR-1266","BSGatlas-5'UTR-1266")</f>
        <v>BSGatlas-5'UTR-1266</v>
      </c>
      <c r="B1267" s="3">
        <v>1923014</v>
      </c>
      <c r="C1267" s="3">
        <v>1923059</v>
      </c>
      <c r="D1267" s="1" t="s">
        <v>13</v>
      </c>
      <c r="E1267" s="1">
        <v>46</v>
      </c>
      <c r="F1267" s="1" t="s">
        <v>12802</v>
      </c>
      <c r="G1267" s="1" t="s">
        <v>7512</v>
      </c>
    </row>
    <row r="1268" spans="1:7" ht="21" x14ac:dyDescent="0.25">
      <c r="A1268" s="2" t="str">
        <f>HYPERLINK("https://rth.dk/resources/bsgatlas/details.php?id=BSGatlas-5'UTR-1267","BSGatlas-5'UTR-1267")</f>
        <v>BSGatlas-5'UTR-1267</v>
      </c>
      <c r="B1268" s="3">
        <v>1923014</v>
      </c>
      <c r="C1268" s="3">
        <v>1923126</v>
      </c>
      <c r="D1268" s="1" t="s">
        <v>13</v>
      </c>
      <c r="E1268" s="1">
        <v>113</v>
      </c>
      <c r="F1268" s="1" t="s">
        <v>12802</v>
      </c>
      <c r="G1268" s="1" t="s">
        <v>7514</v>
      </c>
    </row>
    <row r="1269" spans="1:7" ht="21" x14ac:dyDescent="0.25">
      <c r="A1269" s="2" t="str">
        <f>HYPERLINK("https://rth.dk/resources/bsgatlas/details.php?id=BSGatlas-5'UTR-1268","BSGatlas-5'UTR-1268")</f>
        <v>BSGatlas-5'UTR-1268</v>
      </c>
      <c r="B1269" s="3">
        <v>1923130</v>
      </c>
      <c r="C1269" s="3">
        <v>1923234</v>
      </c>
      <c r="D1269" s="1" t="s">
        <v>9</v>
      </c>
      <c r="E1269" s="1">
        <v>105</v>
      </c>
      <c r="F1269" s="1" t="s">
        <v>12803</v>
      </c>
      <c r="G1269" s="1" t="s">
        <v>7517</v>
      </c>
    </row>
    <row r="1270" spans="1:7" ht="21" x14ac:dyDescent="0.25">
      <c r="A1270" s="2" t="str">
        <f>HYPERLINK("https://rth.dk/resources/bsgatlas/details.php?id=BSGatlas-5'UTR-1269","BSGatlas-5'UTR-1269")</f>
        <v>BSGatlas-5'UTR-1269</v>
      </c>
      <c r="B1270" s="3">
        <v>1923997</v>
      </c>
      <c r="C1270" s="3">
        <v>1924030</v>
      </c>
      <c r="D1270" s="1" t="s">
        <v>9</v>
      </c>
      <c r="E1270" s="1">
        <v>34</v>
      </c>
      <c r="F1270" s="1" t="s">
        <v>12804</v>
      </c>
      <c r="G1270" s="1" t="s">
        <v>7520</v>
      </c>
    </row>
    <row r="1271" spans="1:7" ht="21" x14ac:dyDescent="0.25">
      <c r="A1271" s="2" t="str">
        <f>HYPERLINK("https://rth.dk/resources/bsgatlas/details.php?id=BSGatlas-5'UTR-1270","BSGatlas-5'UTR-1270")</f>
        <v>BSGatlas-5'UTR-1270</v>
      </c>
      <c r="B1271" s="3">
        <v>1924447</v>
      </c>
      <c r="C1271" s="3">
        <v>1924471</v>
      </c>
      <c r="D1271" s="1" t="s">
        <v>9</v>
      </c>
      <c r="E1271" s="1">
        <v>25</v>
      </c>
      <c r="F1271" s="1" t="s">
        <v>12805</v>
      </c>
      <c r="G1271" s="1" t="s">
        <v>7521</v>
      </c>
    </row>
    <row r="1272" spans="1:7" ht="21" x14ac:dyDescent="0.25">
      <c r="A1272" s="2" t="str">
        <f>HYPERLINK("https://rth.dk/resources/bsgatlas/details.php?id=BSGatlas-5'UTR-1271","BSGatlas-5'UTR-1271")</f>
        <v>BSGatlas-5'UTR-1271</v>
      </c>
      <c r="B1272" s="3">
        <v>1925421</v>
      </c>
      <c r="C1272" s="3">
        <v>1925451</v>
      </c>
      <c r="D1272" s="1" t="s">
        <v>13</v>
      </c>
      <c r="E1272" s="1">
        <v>31</v>
      </c>
      <c r="F1272" s="1" t="s">
        <v>12806</v>
      </c>
      <c r="G1272" s="1" t="s">
        <v>7522</v>
      </c>
    </row>
    <row r="1273" spans="1:7" ht="21" x14ac:dyDescent="0.25">
      <c r="A1273" s="2" t="str">
        <f>HYPERLINK("https://rth.dk/resources/bsgatlas/details.php?id=BSGatlas-5'UTR-1272","BSGatlas-5'UTR-1272")</f>
        <v>BSGatlas-5'UTR-1272</v>
      </c>
      <c r="B1273" s="3">
        <v>1925421</v>
      </c>
      <c r="C1273" s="3">
        <v>1925538</v>
      </c>
      <c r="D1273" s="1" t="s">
        <v>13</v>
      </c>
      <c r="E1273" s="1">
        <v>118</v>
      </c>
      <c r="F1273" s="1" t="s">
        <v>12806</v>
      </c>
      <c r="G1273" s="1" t="s">
        <v>7524</v>
      </c>
    </row>
    <row r="1274" spans="1:7" ht="21" x14ac:dyDescent="0.25">
      <c r="A1274" s="2" t="str">
        <f>HYPERLINK("https://rth.dk/resources/bsgatlas/details.php?id=BSGatlas-5'UTR-1273","BSGatlas-5'UTR-1273")</f>
        <v>BSGatlas-5'UTR-1273</v>
      </c>
      <c r="B1274" s="3">
        <v>1925528</v>
      </c>
      <c r="C1274" s="3">
        <v>1925548</v>
      </c>
      <c r="D1274" s="1" t="s">
        <v>9</v>
      </c>
      <c r="E1274" s="1">
        <v>21</v>
      </c>
      <c r="F1274" s="1" t="s">
        <v>12807</v>
      </c>
      <c r="G1274" s="1" t="s">
        <v>7525</v>
      </c>
    </row>
    <row r="1275" spans="1:7" ht="21" x14ac:dyDescent="0.25">
      <c r="A1275" s="2" t="str">
        <f>HYPERLINK("https://rth.dk/resources/bsgatlas/details.php?id=BSGatlas-5'UTR-1274","BSGatlas-5'UTR-1274")</f>
        <v>BSGatlas-5'UTR-1274</v>
      </c>
      <c r="B1275" s="3">
        <v>1925915</v>
      </c>
      <c r="C1275" s="3">
        <v>1926680</v>
      </c>
      <c r="D1275" s="1" t="s">
        <v>9</v>
      </c>
      <c r="E1275" s="1">
        <v>766</v>
      </c>
      <c r="F1275" s="1" t="s">
        <v>12808</v>
      </c>
      <c r="G1275" s="1" t="s">
        <v>7529</v>
      </c>
    </row>
    <row r="1276" spans="1:7" ht="21" x14ac:dyDescent="0.25">
      <c r="A1276" s="2" t="str">
        <f>HYPERLINK("https://rth.dk/resources/bsgatlas/details.php?id=BSGatlas-5'UTR-1275","BSGatlas-5'UTR-1275")</f>
        <v>BSGatlas-5'UTR-1275</v>
      </c>
      <c r="B1276" s="3">
        <v>1926056</v>
      </c>
      <c r="C1276" s="3">
        <v>1926680</v>
      </c>
      <c r="D1276" s="1" t="s">
        <v>9</v>
      </c>
      <c r="E1276" s="1">
        <v>625</v>
      </c>
      <c r="F1276" s="1" t="s">
        <v>12808</v>
      </c>
      <c r="G1276" s="1" t="s">
        <v>7534</v>
      </c>
    </row>
    <row r="1277" spans="1:7" ht="21" x14ac:dyDescent="0.25">
      <c r="A1277" s="2" t="str">
        <f>HYPERLINK("https://rth.dk/resources/bsgatlas/details.php?id=BSGatlas-5'UTR-1276","BSGatlas-5'UTR-1276")</f>
        <v>BSGatlas-5'UTR-1276</v>
      </c>
      <c r="B1277" s="3">
        <v>1926452</v>
      </c>
      <c r="C1277" s="3">
        <v>1926680</v>
      </c>
      <c r="D1277" s="1" t="s">
        <v>9</v>
      </c>
      <c r="E1277" s="1">
        <v>229</v>
      </c>
      <c r="F1277" s="1" t="s">
        <v>12808</v>
      </c>
      <c r="G1277" s="1" t="s">
        <v>7540</v>
      </c>
    </row>
    <row r="1278" spans="1:7" ht="21" x14ac:dyDescent="0.25">
      <c r="A1278" s="2" t="str">
        <f>HYPERLINK("https://rth.dk/resources/bsgatlas/details.php?id=BSGatlas-5'UTR-1277","BSGatlas-5'UTR-1277")</f>
        <v>BSGatlas-5'UTR-1277</v>
      </c>
      <c r="B1278" s="3">
        <v>1926452</v>
      </c>
      <c r="C1278" s="3">
        <v>1926704</v>
      </c>
      <c r="D1278" s="1" t="s">
        <v>13</v>
      </c>
      <c r="E1278" s="1">
        <v>253</v>
      </c>
      <c r="F1278" s="1" t="s">
        <v>12809</v>
      </c>
      <c r="G1278" s="1" t="s">
        <v>7538</v>
      </c>
    </row>
    <row r="1279" spans="1:7" ht="21" x14ac:dyDescent="0.25">
      <c r="A1279" s="2" t="str">
        <f>HYPERLINK("https://rth.dk/resources/bsgatlas/details.php?id=BSGatlas-5'UTR-1278","BSGatlas-5'UTR-1278")</f>
        <v>BSGatlas-5'UTR-1278</v>
      </c>
      <c r="B1279" s="3">
        <v>1926612</v>
      </c>
      <c r="C1279" s="3">
        <v>1926680</v>
      </c>
      <c r="D1279" s="1" t="s">
        <v>9</v>
      </c>
      <c r="E1279" s="1">
        <v>69</v>
      </c>
      <c r="F1279" s="1" t="s">
        <v>12808</v>
      </c>
      <c r="G1279" s="1" t="s">
        <v>7541</v>
      </c>
    </row>
    <row r="1280" spans="1:7" ht="21" x14ac:dyDescent="0.25">
      <c r="A1280" s="2" t="str">
        <f>HYPERLINK("https://rth.dk/resources/bsgatlas/details.php?id=BSGatlas-5'UTR-1279","BSGatlas-5'UTR-1279")</f>
        <v>BSGatlas-5'UTR-1279</v>
      </c>
      <c r="B1280" s="3">
        <v>1930038</v>
      </c>
      <c r="C1280" s="3">
        <v>1930074</v>
      </c>
      <c r="D1280" s="1" t="s">
        <v>9</v>
      </c>
      <c r="E1280" s="1">
        <v>37</v>
      </c>
      <c r="F1280" s="1" t="s">
        <v>12810</v>
      </c>
      <c r="G1280" s="1" t="s">
        <v>7542</v>
      </c>
    </row>
    <row r="1281" spans="1:7" ht="21" x14ac:dyDescent="0.25">
      <c r="A1281" s="2" t="str">
        <f>HYPERLINK("https://rth.dk/resources/bsgatlas/details.php?id=BSGatlas-5'UTR-1280","BSGatlas-5'UTR-1280")</f>
        <v>BSGatlas-5'UTR-1280</v>
      </c>
      <c r="B1281" s="3">
        <v>1930249</v>
      </c>
      <c r="C1281" s="3">
        <v>1930264</v>
      </c>
      <c r="D1281" s="1" t="s">
        <v>9</v>
      </c>
      <c r="E1281" s="1">
        <v>16</v>
      </c>
      <c r="F1281" s="1" t="s">
        <v>12811</v>
      </c>
      <c r="G1281" s="1" t="s">
        <v>7548</v>
      </c>
    </row>
    <row r="1282" spans="1:7" ht="21" x14ac:dyDescent="0.25">
      <c r="A1282" s="2" t="str">
        <f>HYPERLINK("https://rth.dk/resources/bsgatlas/details.php?id=BSGatlas-5'UTR-1281","BSGatlas-5'UTR-1281")</f>
        <v>BSGatlas-5'UTR-1281</v>
      </c>
      <c r="B1282" s="3">
        <v>1930742</v>
      </c>
      <c r="C1282" s="3">
        <v>1930834</v>
      </c>
      <c r="D1282" s="1" t="s">
        <v>9</v>
      </c>
      <c r="E1282" s="1">
        <v>93</v>
      </c>
      <c r="F1282" s="1" t="s">
        <v>12812</v>
      </c>
      <c r="G1282" s="1" t="s">
        <v>7552</v>
      </c>
    </row>
    <row r="1283" spans="1:7" ht="21" x14ac:dyDescent="0.25">
      <c r="A1283" s="2" t="str">
        <f>HYPERLINK("https://rth.dk/resources/bsgatlas/details.php?id=BSGatlas-5'UTR-1282","BSGatlas-5'UTR-1282")</f>
        <v>BSGatlas-5'UTR-1282</v>
      </c>
      <c r="B1283" s="3">
        <v>1931832</v>
      </c>
      <c r="C1283" s="3">
        <v>1931874</v>
      </c>
      <c r="D1283" s="1" t="s">
        <v>13</v>
      </c>
      <c r="E1283" s="1">
        <v>43</v>
      </c>
      <c r="F1283" s="1" t="s">
        <v>12813</v>
      </c>
      <c r="G1283" s="1" t="s">
        <v>7543</v>
      </c>
    </row>
    <row r="1284" spans="1:7" ht="21" x14ac:dyDescent="0.25">
      <c r="A1284" s="2" t="str">
        <f>HYPERLINK("https://rth.dk/resources/bsgatlas/details.php?id=BSGatlas-5'UTR-1283","BSGatlas-5'UTR-1283")</f>
        <v>BSGatlas-5'UTR-1283</v>
      </c>
      <c r="B1284" s="3">
        <v>1932501</v>
      </c>
      <c r="C1284" s="3">
        <v>1932544</v>
      </c>
      <c r="D1284" s="1" t="s">
        <v>13</v>
      </c>
      <c r="E1284" s="1">
        <v>44</v>
      </c>
      <c r="F1284" s="1" t="s">
        <v>12814</v>
      </c>
      <c r="G1284" s="1" t="s">
        <v>7546</v>
      </c>
    </row>
    <row r="1285" spans="1:7" ht="21" x14ac:dyDescent="0.25">
      <c r="A1285" s="2" t="str">
        <f>HYPERLINK("https://rth.dk/resources/bsgatlas/details.php?id=BSGatlas-5'UTR-1284","BSGatlas-5'UTR-1284")</f>
        <v>BSGatlas-5'UTR-1284</v>
      </c>
      <c r="B1285" s="3">
        <v>1932502</v>
      </c>
      <c r="C1285" s="3">
        <v>1932671</v>
      </c>
      <c r="D1285" s="1" t="s">
        <v>9</v>
      </c>
      <c r="E1285" s="1">
        <v>170</v>
      </c>
      <c r="F1285" s="1" t="s">
        <v>12815</v>
      </c>
      <c r="G1285" s="1" t="s">
        <v>7556</v>
      </c>
    </row>
    <row r="1286" spans="1:7" ht="21" x14ac:dyDescent="0.25">
      <c r="A1286" s="2" t="str">
        <f>HYPERLINK("https://rth.dk/resources/bsgatlas/details.php?id=BSGatlas-5'UTR-1285","BSGatlas-5'UTR-1285")</f>
        <v>BSGatlas-5'UTR-1285</v>
      </c>
      <c r="B1286" s="3">
        <v>1932634</v>
      </c>
      <c r="C1286" s="3">
        <v>1932671</v>
      </c>
      <c r="D1286" s="1" t="s">
        <v>9</v>
      </c>
      <c r="E1286" s="1">
        <v>38</v>
      </c>
      <c r="F1286" s="1" t="s">
        <v>12815</v>
      </c>
      <c r="G1286" s="1" t="s">
        <v>7558</v>
      </c>
    </row>
    <row r="1287" spans="1:7" ht="21" x14ac:dyDescent="0.25">
      <c r="A1287" s="2" t="str">
        <f>HYPERLINK("https://rth.dk/resources/bsgatlas/details.php?id=BSGatlas-5'UTR-1286","BSGatlas-5'UTR-1286")</f>
        <v>BSGatlas-5'UTR-1286</v>
      </c>
      <c r="B1287" s="3">
        <v>1933162</v>
      </c>
      <c r="C1287" s="3">
        <v>1933477</v>
      </c>
      <c r="D1287" s="1" t="s">
        <v>9</v>
      </c>
      <c r="E1287" s="1">
        <v>316</v>
      </c>
      <c r="F1287" s="1" t="s">
        <v>12816</v>
      </c>
      <c r="G1287" s="1" t="s">
        <v>7560</v>
      </c>
    </row>
    <row r="1288" spans="1:7" ht="21" x14ac:dyDescent="0.25">
      <c r="A1288" s="2" t="str">
        <f>HYPERLINK("https://rth.dk/resources/bsgatlas/details.php?id=BSGatlas-5'UTR-1287","BSGatlas-5'UTR-1287")</f>
        <v>BSGatlas-5'UTR-1287</v>
      </c>
      <c r="B1288" s="3">
        <v>1938476</v>
      </c>
      <c r="C1288" s="3">
        <v>1938518</v>
      </c>
      <c r="D1288" s="1" t="s">
        <v>13</v>
      </c>
      <c r="E1288" s="1">
        <v>43</v>
      </c>
      <c r="F1288" s="1" t="s">
        <v>12817</v>
      </c>
      <c r="G1288" s="1" t="s">
        <v>7564</v>
      </c>
    </row>
    <row r="1289" spans="1:7" ht="21" x14ac:dyDescent="0.25">
      <c r="A1289" s="2" t="str">
        <f>HYPERLINK("https://rth.dk/resources/bsgatlas/details.php?id=BSGatlas-5'UTR-1288","BSGatlas-5'UTR-1288")</f>
        <v>BSGatlas-5'UTR-1288</v>
      </c>
      <c r="B1289" s="3">
        <v>1938476</v>
      </c>
      <c r="C1289" s="3">
        <v>1938576</v>
      </c>
      <c r="D1289" s="1" t="s">
        <v>13</v>
      </c>
      <c r="E1289" s="1">
        <v>101</v>
      </c>
      <c r="F1289" s="1" t="s">
        <v>12817</v>
      </c>
      <c r="G1289" s="1" t="s">
        <v>7565</v>
      </c>
    </row>
    <row r="1290" spans="1:7" ht="21" x14ac:dyDescent="0.25">
      <c r="A1290" s="2" t="str">
        <f>HYPERLINK("https://rth.dk/resources/bsgatlas/details.php?id=BSGatlas-5'UTR-1289","BSGatlas-5'UTR-1289")</f>
        <v>BSGatlas-5'UTR-1289</v>
      </c>
      <c r="B1290" s="3">
        <v>1938847</v>
      </c>
      <c r="C1290" s="3">
        <v>1938925</v>
      </c>
      <c r="D1290" s="1" t="s">
        <v>9</v>
      </c>
      <c r="E1290" s="1">
        <v>79</v>
      </c>
      <c r="F1290" s="1" t="s">
        <v>12818</v>
      </c>
      <c r="G1290" s="1" t="s">
        <v>7566</v>
      </c>
    </row>
    <row r="1291" spans="1:7" ht="21" x14ac:dyDescent="0.25">
      <c r="A1291" s="2" t="str">
        <f>HYPERLINK("https://rth.dk/resources/bsgatlas/details.php?id=BSGatlas-5'UTR-1290","BSGatlas-5'UTR-1290")</f>
        <v>BSGatlas-5'UTR-1290</v>
      </c>
      <c r="B1291" s="3">
        <v>1940572</v>
      </c>
      <c r="C1291" s="3">
        <v>1940625</v>
      </c>
      <c r="D1291" s="1" t="s">
        <v>9</v>
      </c>
      <c r="E1291" s="1">
        <v>54</v>
      </c>
      <c r="F1291" s="1" t="s">
        <v>12819</v>
      </c>
      <c r="G1291" s="1" t="s">
        <v>7570</v>
      </c>
    </row>
    <row r="1292" spans="1:7" ht="21" x14ac:dyDescent="0.25">
      <c r="A1292" s="2" t="str">
        <f>HYPERLINK("https://rth.dk/resources/bsgatlas/details.php?id=BSGatlas-5'UTR-1291","BSGatlas-5'UTR-1291")</f>
        <v>BSGatlas-5'UTR-1291</v>
      </c>
      <c r="B1292" s="3">
        <v>1941158</v>
      </c>
      <c r="C1292" s="3">
        <v>1941180</v>
      </c>
      <c r="D1292" s="1" t="s">
        <v>13</v>
      </c>
      <c r="E1292" s="1">
        <v>23</v>
      </c>
      <c r="F1292" s="1" t="s">
        <v>12820</v>
      </c>
      <c r="G1292" s="1" t="s">
        <v>7569</v>
      </c>
    </row>
    <row r="1293" spans="1:7" ht="21" x14ac:dyDescent="0.25">
      <c r="A1293" s="2" t="str">
        <f>HYPERLINK("https://rth.dk/resources/bsgatlas/details.php?id=BSGatlas-5'UTR-1292","BSGatlas-5'UTR-1292")</f>
        <v>BSGatlas-5'UTR-1292</v>
      </c>
      <c r="B1293" s="3">
        <v>1945654</v>
      </c>
      <c r="C1293" s="3">
        <v>1945977</v>
      </c>
      <c r="D1293" s="1" t="s">
        <v>13</v>
      </c>
      <c r="E1293" s="1">
        <v>324</v>
      </c>
      <c r="F1293" s="1" t="s">
        <v>12821</v>
      </c>
      <c r="G1293" s="1" t="s">
        <v>7574</v>
      </c>
    </row>
    <row r="1294" spans="1:7" ht="21" x14ac:dyDescent="0.25">
      <c r="A1294" s="2" t="str">
        <f>HYPERLINK("https://rth.dk/resources/bsgatlas/details.php?id=BSGatlas-5'UTR-1293","BSGatlas-5'UTR-1293")</f>
        <v>BSGatlas-5'UTR-1293</v>
      </c>
      <c r="B1294" s="3">
        <v>1946230</v>
      </c>
      <c r="C1294" s="3">
        <v>1946249</v>
      </c>
      <c r="D1294" s="1" t="s">
        <v>9</v>
      </c>
      <c r="E1294" s="1">
        <v>20</v>
      </c>
      <c r="F1294" s="1" t="s">
        <v>12822</v>
      </c>
      <c r="G1294" s="1" t="s">
        <v>7577</v>
      </c>
    </row>
    <row r="1295" spans="1:7" ht="21" x14ac:dyDescent="0.25">
      <c r="A1295" s="2" t="str">
        <f>HYPERLINK("https://rth.dk/resources/bsgatlas/details.php?id=BSGatlas-5'UTR-1294","BSGatlas-5'UTR-1294")</f>
        <v>BSGatlas-5'UTR-1294</v>
      </c>
      <c r="B1295" s="3">
        <v>1947220</v>
      </c>
      <c r="C1295" s="3">
        <v>1947668</v>
      </c>
      <c r="D1295" s="1" t="s">
        <v>9</v>
      </c>
      <c r="E1295" s="1">
        <v>449</v>
      </c>
      <c r="F1295" s="1" t="s">
        <v>12823</v>
      </c>
      <c r="G1295" s="1" t="s">
        <v>7579</v>
      </c>
    </row>
    <row r="1296" spans="1:7" ht="21" x14ac:dyDescent="0.25">
      <c r="A1296" s="2" t="str">
        <f>HYPERLINK("https://rth.dk/resources/bsgatlas/details.php?id=BSGatlas-5'UTR-1295","BSGatlas-5'UTR-1295")</f>
        <v>BSGatlas-5'UTR-1295</v>
      </c>
      <c r="B1296" s="3">
        <v>1949512</v>
      </c>
      <c r="C1296" s="3">
        <v>1949584</v>
      </c>
      <c r="D1296" s="1" t="s">
        <v>13</v>
      </c>
      <c r="E1296" s="1">
        <v>73</v>
      </c>
      <c r="F1296" s="1" t="s">
        <v>12824</v>
      </c>
      <c r="G1296" s="1" t="s">
        <v>7580</v>
      </c>
    </row>
    <row r="1297" spans="1:7" ht="21" x14ac:dyDescent="0.25">
      <c r="A1297" s="2" t="str">
        <f>HYPERLINK("https://rth.dk/resources/bsgatlas/details.php?id=BSGatlas-5'UTR-1296","BSGatlas-5'UTR-1296")</f>
        <v>BSGatlas-5'UTR-1296</v>
      </c>
      <c r="B1297" s="3">
        <v>1957360</v>
      </c>
      <c r="C1297" s="3">
        <v>1957383</v>
      </c>
      <c r="D1297" s="1" t="s">
        <v>13</v>
      </c>
      <c r="E1297" s="1">
        <v>24</v>
      </c>
      <c r="F1297" s="1" t="s">
        <v>12825</v>
      </c>
      <c r="G1297" s="1" t="s">
        <v>7582</v>
      </c>
    </row>
    <row r="1298" spans="1:7" ht="21" x14ac:dyDescent="0.25">
      <c r="A1298" s="2" t="str">
        <f>HYPERLINK("https://rth.dk/resources/bsgatlas/details.php?id=BSGatlas-5'UTR-1297","BSGatlas-5'UTR-1297")</f>
        <v>BSGatlas-5'UTR-1297</v>
      </c>
      <c r="B1298" s="3">
        <v>1959559</v>
      </c>
      <c r="C1298" s="3">
        <v>1959597</v>
      </c>
      <c r="D1298" s="1" t="s">
        <v>13</v>
      </c>
      <c r="E1298" s="1">
        <v>39</v>
      </c>
      <c r="F1298" s="1" t="s">
        <v>12826</v>
      </c>
      <c r="G1298" s="1" t="s">
        <v>7584</v>
      </c>
    </row>
    <row r="1299" spans="1:7" ht="21" x14ac:dyDescent="0.25">
      <c r="A1299" s="2" t="str">
        <f>HYPERLINK("https://rth.dk/resources/bsgatlas/details.php?id=BSGatlas-5'UTR-1298","BSGatlas-5'UTR-1298")</f>
        <v>BSGatlas-5'UTR-1298</v>
      </c>
      <c r="B1299" s="3">
        <v>1960087</v>
      </c>
      <c r="C1299" s="3">
        <v>1960122</v>
      </c>
      <c r="D1299" s="1" t="s">
        <v>13</v>
      </c>
      <c r="E1299" s="1">
        <v>36</v>
      </c>
      <c r="F1299" s="1" t="s">
        <v>12827</v>
      </c>
      <c r="G1299" s="1" t="s">
        <v>7586</v>
      </c>
    </row>
    <row r="1300" spans="1:7" ht="21" x14ac:dyDescent="0.25">
      <c r="A1300" s="2" t="str">
        <f>HYPERLINK("https://rth.dk/resources/bsgatlas/details.php?id=BSGatlas-5'UTR-1299","BSGatlas-5'UTR-1299")</f>
        <v>BSGatlas-5'UTR-1299</v>
      </c>
      <c r="B1300" s="3">
        <v>1997957</v>
      </c>
      <c r="C1300" s="3">
        <v>1998066</v>
      </c>
      <c r="D1300" s="1" t="s">
        <v>13</v>
      </c>
      <c r="E1300" s="1">
        <v>110</v>
      </c>
      <c r="F1300" s="1" t="s">
        <v>12828</v>
      </c>
      <c r="G1300" s="1" t="s">
        <v>7589</v>
      </c>
    </row>
    <row r="1301" spans="1:7" ht="21" x14ac:dyDescent="0.25">
      <c r="A1301" s="2" t="str">
        <f>HYPERLINK("https://rth.dk/resources/bsgatlas/details.php?id=BSGatlas-5'UTR-1300","BSGatlas-5'UTR-1300")</f>
        <v>BSGatlas-5'UTR-1300</v>
      </c>
      <c r="B1301" s="3">
        <v>2000826</v>
      </c>
      <c r="C1301" s="3">
        <v>2000867</v>
      </c>
      <c r="D1301" s="1" t="s">
        <v>13</v>
      </c>
      <c r="E1301" s="1">
        <v>42</v>
      </c>
      <c r="F1301" s="1" t="s">
        <v>12829</v>
      </c>
      <c r="G1301" s="1" t="s">
        <v>7592</v>
      </c>
    </row>
    <row r="1302" spans="1:7" ht="21" x14ac:dyDescent="0.25">
      <c r="A1302" s="2" t="str">
        <f>HYPERLINK("https://rth.dk/resources/bsgatlas/details.php?id=BSGatlas-5'UTR-1301","BSGatlas-5'UTR-1301")</f>
        <v>BSGatlas-5'UTR-1301</v>
      </c>
      <c r="B1302" s="3">
        <v>2002172</v>
      </c>
      <c r="C1302" s="3">
        <v>2002637</v>
      </c>
      <c r="D1302" s="1" t="s">
        <v>9</v>
      </c>
      <c r="E1302" s="1">
        <v>466</v>
      </c>
      <c r="F1302" s="1" t="s">
        <v>12830</v>
      </c>
      <c r="G1302" s="1" t="s">
        <v>7596</v>
      </c>
    </row>
    <row r="1303" spans="1:7" ht="21" x14ac:dyDescent="0.25">
      <c r="A1303" s="2" t="str">
        <f>HYPERLINK("https://rth.dk/resources/bsgatlas/details.php?id=BSGatlas-5'UTR-1302","BSGatlas-5'UTR-1302")</f>
        <v>BSGatlas-5'UTR-1302</v>
      </c>
      <c r="B1303" s="3">
        <v>2002351</v>
      </c>
      <c r="C1303" s="3">
        <v>2002456</v>
      </c>
      <c r="D1303" s="1" t="s">
        <v>13</v>
      </c>
      <c r="E1303" s="1">
        <v>106</v>
      </c>
      <c r="F1303" s="1" t="s">
        <v>12831</v>
      </c>
      <c r="G1303" s="1" t="s">
        <v>7594</v>
      </c>
    </row>
    <row r="1304" spans="1:7" ht="21" x14ac:dyDescent="0.25">
      <c r="A1304" s="2" t="str">
        <f>HYPERLINK("https://rth.dk/resources/bsgatlas/details.php?id=BSGatlas-5'UTR-1303","BSGatlas-5'UTR-1303")</f>
        <v>BSGatlas-5'UTR-1303</v>
      </c>
      <c r="B1304" s="3">
        <v>2002507</v>
      </c>
      <c r="C1304" s="3">
        <v>2002637</v>
      </c>
      <c r="D1304" s="1" t="s">
        <v>9</v>
      </c>
      <c r="E1304" s="1">
        <v>131</v>
      </c>
      <c r="F1304" s="1" t="s">
        <v>12830</v>
      </c>
      <c r="G1304" s="1" t="s">
        <v>7598</v>
      </c>
    </row>
    <row r="1305" spans="1:7" ht="21" x14ac:dyDescent="0.25">
      <c r="A1305" s="2" t="str">
        <f>HYPERLINK("https://rth.dk/resources/bsgatlas/details.php?id=BSGatlas-5'UTR-1304","BSGatlas-5'UTR-1304")</f>
        <v>BSGatlas-5'UTR-1304</v>
      </c>
      <c r="B1305" s="3">
        <v>2002588</v>
      </c>
      <c r="C1305" s="3">
        <v>2002637</v>
      </c>
      <c r="D1305" s="1" t="s">
        <v>9</v>
      </c>
      <c r="E1305" s="1">
        <v>50</v>
      </c>
      <c r="F1305" s="1" t="s">
        <v>12830</v>
      </c>
      <c r="G1305" s="1" t="s">
        <v>7599</v>
      </c>
    </row>
    <row r="1306" spans="1:7" ht="21" x14ac:dyDescent="0.25">
      <c r="A1306" s="2" t="str">
        <f>HYPERLINK("https://rth.dk/resources/bsgatlas/details.php?id=BSGatlas-5'UTR-1305","BSGatlas-5'UTR-1305")</f>
        <v>BSGatlas-5'UTR-1305</v>
      </c>
      <c r="B1306" s="3">
        <v>2003946</v>
      </c>
      <c r="C1306" s="3">
        <v>2004000</v>
      </c>
      <c r="D1306" s="1" t="s">
        <v>13</v>
      </c>
      <c r="E1306" s="1">
        <v>55</v>
      </c>
      <c r="F1306" s="1" t="s">
        <v>12832</v>
      </c>
      <c r="G1306" s="1" t="s">
        <v>7600</v>
      </c>
    </row>
    <row r="1307" spans="1:7" ht="21" x14ac:dyDescent="0.25">
      <c r="A1307" s="2" t="str">
        <f>HYPERLINK("https://rth.dk/resources/bsgatlas/details.php?id=BSGatlas-5'UTR-1306","BSGatlas-5'UTR-1306")</f>
        <v>BSGatlas-5'UTR-1306</v>
      </c>
      <c r="B1307" s="3">
        <v>2004492</v>
      </c>
      <c r="C1307" s="3">
        <v>2004530</v>
      </c>
      <c r="D1307" s="1" t="s">
        <v>13</v>
      </c>
      <c r="E1307" s="1">
        <v>39</v>
      </c>
      <c r="F1307" s="1" t="s">
        <v>12833</v>
      </c>
      <c r="G1307" s="1" t="s">
        <v>7602</v>
      </c>
    </row>
    <row r="1308" spans="1:7" ht="21" x14ac:dyDescent="0.25">
      <c r="A1308" s="2" t="str">
        <f>HYPERLINK("https://rth.dk/resources/bsgatlas/details.php?id=BSGatlas-5'UTR-1307","BSGatlas-5'UTR-1307")</f>
        <v>BSGatlas-5'UTR-1307</v>
      </c>
      <c r="B1308" s="3">
        <v>2004492</v>
      </c>
      <c r="C1308" s="3">
        <v>2004594</v>
      </c>
      <c r="D1308" s="1" t="s">
        <v>13</v>
      </c>
      <c r="E1308" s="1">
        <v>103</v>
      </c>
      <c r="F1308" s="1" t="s">
        <v>12833</v>
      </c>
      <c r="G1308" s="1" t="s">
        <v>7604</v>
      </c>
    </row>
    <row r="1309" spans="1:7" ht="21" x14ac:dyDescent="0.25">
      <c r="A1309" s="2" t="str">
        <f>HYPERLINK("https://rth.dk/resources/bsgatlas/details.php?id=BSGatlas-5'UTR-1308","BSGatlas-5'UTR-1308")</f>
        <v>BSGatlas-5'UTR-1308</v>
      </c>
      <c r="B1309" s="3">
        <v>2004632</v>
      </c>
      <c r="C1309" s="3">
        <v>2004677</v>
      </c>
      <c r="D1309" s="1" t="s">
        <v>9</v>
      </c>
      <c r="E1309" s="1">
        <v>46</v>
      </c>
      <c r="F1309" s="1" t="s">
        <v>12834</v>
      </c>
      <c r="G1309" s="1" t="s">
        <v>7605</v>
      </c>
    </row>
    <row r="1310" spans="1:7" ht="21" x14ac:dyDescent="0.25">
      <c r="A1310" s="2" t="str">
        <f>HYPERLINK("https://rth.dk/resources/bsgatlas/details.php?id=BSGatlas-5'UTR-1309","BSGatlas-5'UTR-1309")</f>
        <v>BSGatlas-5'UTR-1309</v>
      </c>
      <c r="B1310" s="3">
        <v>2007398</v>
      </c>
      <c r="C1310" s="3">
        <v>2007464</v>
      </c>
      <c r="D1310" s="1" t="s">
        <v>13</v>
      </c>
      <c r="E1310" s="1">
        <v>67</v>
      </c>
      <c r="F1310" s="1" t="s">
        <v>12835</v>
      </c>
      <c r="G1310" s="1" t="s">
        <v>7607</v>
      </c>
    </row>
    <row r="1311" spans="1:7" ht="21" x14ac:dyDescent="0.25">
      <c r="A1311" s="2" t="str">
        <f>HYPERLINK("https://rth.dk/resources/bsgatlas/details.php?id=BSGatlas-5'UTR-1310","BSGatlas-5'UTR-1310")</f>
        <v>BSGatlas-5'UTR-1310</v>
      </c>
      <c r="B1311" s="3">
        <v>2013153</v>
      </c>
      <c r="C1311" s="3">
        <v>2014779</v>
      </c>
      <c r="D1311" s="1" t="s">
        <v>9</v>
      </c>
      <c r="E1311" s="1">
        <v>1627</v>
      </c>
      <c r="F1311" s="1" t="s">
        <v>12836</v>
      </c>
      <c r="G1311" s="1" t="s">
        <v>7614</v>
      </c>
    </row>
    <row r="1312" spans="1:7" ht="21" x14ac:dyDescent="0.25">
      <c r="A1312" s="2" t="str">
        <f>HYPERLINK("https://rth.dk/resources/bsgatlas/details.php?id=BSGatlas-5'UTR-1311","BSGatlas-5'UTR-1311")</f>
        <v>BSGatlas-5'UTR-1311</v>
      </c>
      <c r="B1312" s="3">
        <v>2014632</v>
      </c>
      <c r="C1312" s="3">
        <v>2014688</v>
      </c>
      <c r="D1312" s="1" t="s">
        <v>13</v>
      </c>
      <c r="E1312" s="1">
        <v>57</v>
      </c>
      <c r="F1312" s="1" t="s">
        <v>12837</v>
      </c>
      <c r="G1312" s="1" t="s">
        <v>7610</v>
      </c>
    </row>
    <row r="1313" spans="1:7" ht="21" x14ac:dyDescent="0.25">
      <c r="A1313" s="2" t="str">
        <f>HYPERLINK("https://rth.dk/resources/bsgatlas/details.php?id=BSGatlas-5'UTR-1312","BSGatlas-5'UTR-1312")</f>
        <v>BSGatlas-5'UTR-1312</v>
      </c>
      <c r="B1313" s="3">
        <v>2014739</v>
      </c>
      <c r="C1313" s="3">
        <v>2014779</v>
      </c>
      <c r="D1313" s="1" t="s">
        <v>9</v>
      </c>
      <c r="E1313" s="1">
        <v>41</v>
      </c>
      <c r="F1313" s="1" t="s">
        <v>12836</v>
      </c>
      <c r="G1313" s="1" t="s">
        <v>7617</v>
      </c>
    </row>
    <row r="1314" spans="1:7" ht="21" x14ac:dyDescent="0.25">
      <c r="A1314" s="2" t="str">
        <f>HYPERLINK("https://rth.dk/resources/bsgatlas/details.php?id=BSGatlas-5'UTR-1313","BSGatlas-5'UTR-1313")</f>
        <v>BSGatlas-5'UTR-1313</v>
      </c>
      <c r="B1314" s="3">
        <v>2017738</v>
      </c>
      <c r="C1314" s="3">
        <v>2017809</v>
      </c>
      <c r="D1314" s="1" t="s">
        <v>13</v>
      </c>
      <c r="E1314" s="1">
        <v>72</v>
      </c>
      <c r="F1314" s="1" t="s">
        <v>12838</v>
      </c>
      <c r="G1314" s="1" t="s">
        <v>7620</v>
      </c>
    </row>
    <row r="1315" spans="1:7" ht="21" x14ac:dyDescent="0.25">
      <c r="A1315" s="2" t="str">
        <f>HYPERLINK("https://rth.dk/resources/bsgatlas/details.php?id=BSGatlas-5'UTR-1314","BSGatlas-5'UTR-1314")</f>
        <v>BSGatlas-5'UTR-1314</v>
      </c>
      <c r="B1315" s="3">
        <v>2018254</v>
      </c>
      <c r="C1315" s="3">
        <v>2018312</v>
      </c>
      <c r="D1315" s="1" t="s">
        <v>13</v>
      </c>
      <c r="E1315" s="1">
        <v>59</v>
      </c>
      <c r="F1315" s="1" t="s">
        <v>12839</v>
      </c>
      <c r="G1315" s="1" t="s">
        <v>7621</v>
      </c>
    </row>
    <row r="1316" spans="1:7" ht="21" x14ac:dyDescent="0.25">
      <c r="A1316" s="2" t="str">
        <f>HYPERLINK("https://rth.dk/resources/bsgatlas/details.php?id=BSGatlas-5'UTR-1315","BSGatlas-5'UTR-1315")</f>
        <v>BSGatlas-5'UTR-1315</v>
      </c>
      <c r="B1316" s="3">
        <v>2018254</v>
      </c>
      <c r="C1316" s="3">
        <v>2018433</v>
      </c>
      <c r="D1316" s="1" t="s">
        <v>13</v>
      </c>
      <c r="E1316" s="1">
        <v>180</v>
      </c>
      <c r="F1316" s="1" t="s">
        <v>12839</v>
      </c>
      <c r="G1316" s="1" t="s">
        <v>7622</v>
      </c>
    </row>
    <row r="1317" spans="1:7" ht="21" x14ac:dyDescent="0.25">
      <c r="A1317" s="2" t="str">
        <f>HYPERLINK("https://rth.dk/resources/bsgatlas/details.php?id=BSGatlas-5'UTR-1316","BSGatlas-5'UTR-1316")</f>
        <v>BSGatlas-5'UTR-1316</v>
      </c>
      <c r="B1317" s="3">
        <v>2019270</v>
      </c>
      <c r="C1317" s="3">
        <v>2019317</v>
      </c>
      <c r="D1317" s="1" t="s">
        <v>13</v>
      </c>
      <c r="E1317" s="1">
        <v>48</v>
      </c>
      <c r="F1317" s="1" t="s">
        <v>12840</v>
      </c>
      <c r="G1317" s="1" t="s">
        <v>7623</v>
      </c>
    </row>
    <row r="1318" spans="1:7" ht="21" x14ac:dyDescent="0.25">
      <c r="A1318" s="2" t="str">
        <f>HYPERLINK("https://rth.dk/resources/bsgatlas/details.php?id=BSGatlas-5'UTR-1317","BSGatlas-5'UTR-1317")</f>
        <v>BSGatlas-5'UTR-1317</v>
      </c>
      <c r="B1318" s="3">
        <v>2019396</v>
      </c>
      <c r="C1318" s="3">
        <v>2019421</v>
      </c>
      <c r="D1318" s="1" t="s">
        <v>9</v>
      </c>
      <c r="E1318" s="1">
        <v>26</v>
      </c>
      <c r="F1318" s="1" t="s">
        <v>12841</v>
      </c>
      <c r="G1318" s="1" t="s">
        <v>7625</v>
      </c>
    </row>
    <row r="1319" spans="1:7" ht="21" x14ac:dyDescent="0.25">
      <c r="A1319" s="2" t="str">
        <f>HYPERLINK("https://rth.dk/resources/bsgatlas/details.php?id=BSGatlas-5'UTR-1318","BSGatlas-5'UTR-1318")</f>
        <v>BSGatlas-5'UTR-1318</v>
      </c>
      <c r="B1319" s="3">
        <v>2020568</v>
      </c>
      <c r="C1319" s="3">
        <v>2020611</v>
      </c>
      <c r="D1319" s="1" t="s">
        <v>9</v>
      </c>
      <c r="E1319" s="1">
        <v>44</v>
      </c>
      <c r="F1319" s="1" t="s">
        <v>12842</v>
      </c>
      <c r="G1319" s="1" t="s">
        <v>7630</v>
      </c>
    </row>
    <row r="1320" spans="1:7" ht="21" x14ac:dyDescent="0.25">
      <c r="A1320" s="2" t="str">
        <f>HYPERLINK("https://rth.dk/resources/bsgatlas/details.php?id=BSGatlas-5'UTR-1319","BSGatlas-5'UTR-1319")</f>
        <v>BSGatlas-5'UTR-1319</v>
      </c>
      <c r="B1320" s="3">
        <v>2025076</v>
      </c>
      <c r="C1320" s="3">
        <v>2025291</v>
      </c>
      <c r="D1320" s="1" t="s">
        <v>13</v>
      </c>
      <c r="E1320" s="1">
        <v>216</v>
      </c>
      <c r="F1320" s="1" t="s">
        <v>12843</v>
      </c>
      <c r="G1320" s="1" t="s">
        <v>7632</v>
      </c>
    </row>
    <row r="1321" spans="1:7" ht="21" x14ac:dyDescent="0.25">
      <c r="A1321" s="2" t="str">
        <f>HYPERLINK("https://rth.dk/resources/bsgatlas/details.php?id=BSGatlas-5'UTR-1320","BSGatlas-5'UTR-1320")</f>
        <v>BSGatlas-5'UTR-1320</v>
      </c>
      <c r="B1321" s="3">
        <v>2025358</v>
      </c>
      <c r="C1321" s="3">
        <v>2025400</v>
      </c>
      <c r="D1321" s="1" t="s">
        <v>9</v>
      </c>
      <c r="E1321" s="1">
        <v>43</v>
      </c>
      <c r="F1321" s="1" t="s">
        <v>12844</v>
      </c>
      <c r="G1321" s="1" t="s">
        <v>7636</v>
      </c>
    </row>
    <row r="1322" spans="1:7" ht="21" x14ac:dyDescent="0.25">
      <c r="A1322" s="2" t="str">
        <f>HYPERLINK("https://rth.dk/resources/bsgatlas/details.php?id=BSGatlas-5'UTR-1321","BSGatlas-5'UTR-1321")</f>
        <v>BSGatlas-5'UTR-1321</v>
      </c>
      <c r="B1322" s="3">
        <v>2027475</v>
      </c>
      <c r="C1322" s="3">
        <v>2027509</v>
      </c>
      <c r="D1322" s="1" t="s">
        <v>9</v>
      </c>
      <c r="E1322" s="1">
        <v>35</v>
      </c>
      <c r="F1322" s="1" t="s">
        <v>12845</v>
      </c>
      <c r="G1322" s="1" t="s">
        <v>7639</v>
      </c>
    </row>
    <row r="1323" spans="1:7" ht="21" x14ac:dyDescent="0.25">
      <c r="A1323" s="2" t="str">
        <f>HYPERLINK("https://rth.dk/resources/bsgatlas/details.php?id=BSGatlas-5'UTR-1322","BSGatlas-5'UTR-1322")</f>
        <v>BSGatlas-5'UTR-1322</v>
      </c>
      <c r="B1323" s="3">
        <v>2028579</v>
      </c>
      <c r="C1323" s="3">
        <v>2028675</v>
      </c>
      <c r="D1323" s="1" t="s">
        <v>13</v>
      </c>
      <c r="E1323" s="1">
        <v>97</v>
      </c>
      <c r="F1323" s="1" t="s">
        <v>12846</v>
      </c>
      <c r="G1323" s="1" t="s">
        <v>7640</v>
      </c>
    </row>
    <row r="1324" spans="1:7" ht="21" x14ac:dyDescent="0.25">
      <c r="A1324" s="2" t="str">
        <f>HYPERLINK("https://rth.dk/resources/bsgatlas/details.php?id=BSGatlas-5'UTR-1323","BSGatlas-5'UTR-1323")</f>
        <v>BSGatlas-5'UTR-1323</v>
      </c>
      <c r="B1324" s="3">
        <v>2028815</v>
      </c>
      <c r="C1324" s="3">
        <v>2028854</v>
      </c>
      <c r="D1324" s="1" t="s">
        <v>9</v>
      </c>
      <c r="E1324" s="1">
        <v>40</v>
      </c>
      <c r="F1324" s="1" t="s">
        <v>12847</v>
      </c>
      <c r="G1324" s="1" t="s">
        <v>7642</v>
      </c>
    </row>
    <row r="1325" spans="1:7" ht="21" x14ac:dyDescent="0.25">
      <c r="A1325" s="2" t="str">
        <f>HYPERLINK("https://rth.dk/resources/bsgatlas/details.php?id=BSGatlas-5'UTR-1324","BSGatlas-5'UTR-1324")</f>
        <v>BSGatlas-5'UTR-1324</v>
      </c>
      <c r="B1325" s="3">
        <v>2031114</v>
      </c>
      <c r="C1325" s="3">
        <v>2031202</v>
      </c>
      <c r="D1325" s="1" t="s">
        <v>13</v>
      </c>
      <c r="E1325" s="1">
        <v>89</v>
      </c>
      <c r="F1325" s="1" t="s">
        <v>12848</v>
      </c>
      <c r="G1325" s="1" t="s">
        <v>7644</v>
      </c>
    </row>
    <row r="1326" spans="1:7" ht="21" x14ac:dyDescent="0.25">
      <c r="A1326" s="2" t="str">
        <f>HYPERLINK("https://rth.dk/resources/bsgatlas/details.php?id=BSGatlas-5'UTR-1325","BSGatlas-5'UTR-1325")</f>
        <v>BSGatlas-5'UTR-1325</v>
      </c>
      <c r="B1326" s="3">
        <v>2031390</v>
      </c>
      <c r="C1326" s="3">
        <v>2031439</v>
      </c>
      <c r="D1326" s="1" t="s">
        <v>9</v>
      </c>
      <c r="E1326" s="1">
        <v>50</v>
      </c>
      <c r="F1326" s="1" t="s">
        <v>12849</v>
      </c>
      <c r="G1326" s="1" t="s">
        <v>7646</v>
      </c>
    </row>
    <row r="1327" spans="1:7" ht="21" x14ac:dyDescent="0.25">
      <c r="A1327" s="2" t="str">
        <f>HYPERLINK("https://rth.dk/resources/bsgatlas/details.php?id=BSGatlas-5'UTR-1326","BSGatlas-5'UTR-1326")</f>
        <v>BSGatlas-5'UTR-1326</v>
      </c>
      <c r="B1327" s="3">
        <v>2033625</v>
      </c>
      <c r="C1327" s="3">
        <v>2033679</v>
      </c>
      <c r="D1327" s="1" t="s">
        <v>13</v>
      </c>
      <c r="E1327" s="1">
        <v>55</v>
      </c>
      <c r="F1327" s="1" t="s">
        <v>12850</v>
      </c>
      <c r="G1327" s="1" t="s">
        <v>7648</v>
      </c>
    </row>
    <row r="1328" spans="1:7" ht="21" x14ac:dyDescent="0.25">
      <c r="A1328" s="2" t="str">
        <f>HYPERLINK("https://rth.dk/resources/bsgatlas/details.php?id=BSGatlas-5'UTR-1327","BSGatlas-5'UTR-1327")</f>
        <v>BSGatlas-5'UTR-1327</v>
      </c>
      <c r="B1328" s="3">
        <v>2036012</v>
      </c>
      <c r="C1328" s="3">
        <v>2036039</v>
      </c>
      <c r="D1328" s="1" t="s">
        <v>9</v>
      </c>
      <c r="E1328" s="1">
        <v>28</v>
      </c>
      <c r="F1328" s="1" t="s">
        <v>12851</v>
      </c>
      <c r="G1328" s="1" t="s">
        <v>7650</v>
      </c>
    </row>
    <row r="1329" spans="1:7" ht="21" x14ac:dyDescent="0.25">
      <c r="A1329" s="2" t="str">
        <f>HYPERLINK("https://rth.dk/resources/bsgatlas/details.php?id=BSGatlas-5'UTR-1328","BSGatlas-5'UTR-1328")</f>
        <v>BSGatlas-5'UTR-1328</v>
      </c>
      <c r="B1329" s="3">
        <v>2037368</v>
      </c>
      <c r="C1329" s="3">
        <v>2037470</v>
      </c>
      <c r="D1329" s="1" t="s">
        <v>13</v>
      </c>
      <c r="E1329" s="1">
        <v>103</v>
      </c>
      <c r="F1329" s="1" t="s">
        <v>12852</v>
      </c>
      <c r="G1329" s="1" t="s">
        <v>7651</v>
      </c>
    </row>
    <row r="1330" spans="1:7" ht="21" x14ac:dyDescent="0.25">
      <c r="A1330" s="2" t="str">
        <f>HYPERLINK("https://rth.dk/resources/bsgatlas/details.php?id=BSGatlas-5'UTR-1329","BSGatlas-5'UTR-1329")</f>
        <v>BSGatlas-5'UTR-1329</v>
      </c>
      <c r="B1330" s="3">
        <v>2038779</v>
      </c>
      <c r="C1330" s="3">
        <v>2038809</v>
      </c>
      <c r="D1330" s="1" t="s">
        <v>13</v>
      </c>
      <c r="E1330" s="1">
        <v>31</v>
      </c>
      <c r="F1330" s="1" t="s">
        <v>12853</v>
      </c>
      <c r="G1330" s="1" t="s">
        <v>7652</v>
      </c>
    </row>
    <row r="1331" spans="1:7" ht="21" x14ac:dyDescent="0.25">
      <c r="A1331" s="2" t="str">
        <f>HYPERLINK("https://rth.dk/resources/bsgatlas/details.php?id=BSGatlas-5'UTR-1330","BSGatlas-5'UTR-1330")</f>
        <v>BSGatlas-5'UTR-1330</v>
      </c>
      <c r="B1331" s="3">
        <v>2040654</v>
      </c>
      <c r="C1331" s="3">
        <v>2040673</v>
      </c>
      <c r="D1331" s="1" t="s">
        <v>9</v>
      </c>
      <c r="E1331" s="1">
        <v>20</v>
      </c>
      <c r="F1331" s="1" t="s">
        <v>12854</v>
      </c>
      <c r="G1331" s="1" t="s">
        <v>7655</v>
      </c>
    </row>
    <row r="1332" spans="1:7" ht="21" x14ac:dyDescent="0.25">
      <c r="A1332" s="2" t="str">
        <f>HYPERLINK("https://rth.dk/resources/bsgatlas/details.php?id=BSGatlas-5'UTR-1331","BSGatlas-5'UTR-1331")</f>
        <v>BSGatlas-5'UTR-1331</v>
      </c>
      <c r="B1332" s="3">
        <v>2042839</v>
      </c>
      <c r="C1332" s="3">
        <v>2042856</v>
      </c>
      <c r="D1332" s="1" t="s">
        <v>13</v>
      </c>
      <c r="E1332" s="1">
        <v>18</v>
      </c>
      <c r="F1332" s="1" t="s">
        <v>12855</v>
      </c>
      <c r="G1332" s="1" t="s">
        <v>7658</v>
      </c>
    </row>
    <row r="1333" spans="1:7" ht="21" x14ac:dyDescent="0.25">
      <c r="A1333" s="2" t="str">
        <f>HYPERLINK("https://rth.dk/resources/bsgatlas/details.php?id=BSGatlas-5'UTR-1332","BSGatlas-5'UTR-1332")</f>
        <v>BSGatlas-5'UTR-1332</v>
      </c>
      <c r="B1333" s="3">
        <v>2043139</v>
      </c>
      <c r="C1333" s="3">
        <v>2043186</v>
      </c>
      <c r="D1333" s="1" t="s">
        <v>9</v>
      </c>
      <c r="E1333" s="1">
        <v>48</v>
      </c>
      <c r="F1333" s="1" t="s">
        <v>12856</v>
      </c>
      <c r="G1333" s="1" t="s">
        <v>7660</v>
      </c>
    </row>
    <row r="1334" spans="1:7" ht="21" x14ac:dyDescent="0.25">
      <c r="A1334" s="2" t="str">
        <f>HYPERLINK("https://rth.dk/resources/bsgatlas/details.php?id=BSGatlas-5'UTR-1333","BSGatlas-5'UTR-1333")</f>
        <v>BSGatlas-5'UTR-1333</v>
      </c>
      <c r="B1334" s="3">
        <v>2047411</v>
      </c>
      <c r="C1334" s="3">
        <v>2047439</v>
      </c>
      <c r="D1334" s="1" t="s">
        <v>13</v>
      </c>
      <c r="E1334" s="1">
        <v>29</v>
      </c>
      <c r="F1334" s="1" t="s">
        <v>12857</v>
      </c>
      <c r="G1334" s="1" t="s">
        <v>7663</v>
      </c>
    </row>
    <row r="1335" spans="1:7" ht="21" x14ac:dyDescent="0.25">
      <c r="A1335" s="2" t="str">
        <f>HYPERLINK("https://rth.dk/resources/bsgatlas/details.php?id=BSGatlas-5'UTR-1334","BSGatlas-5'UTR-1334")</f>
        <v>BSGatlas-5'UTR-1334</v>
      </c>
      <c r="B1335" s="3">
        <v>2047411</v>
      </c>
      <c r="C1335" s="3">
        <v>2047678</v>
      </c>
      <c r="D1335" s="1" t="s">
        <v>13</v>
      </c>
      <c r="E1335" s="1">
        <v>268</v>
      </c>
      <c r="F1335" s="1" t="s">
        <v>12857</v>
      </c>
      <c r="G1335" s="1" t="s">
        <v>7665</v>
      </c>
    </row>
    <row r="1336" spans="1:7" ht="21" x14ac:dyDescent="0.25">
      <c r="A1336" s="2" t="str">
        <f>HYPERLINK("https://rth.dk/resources/bsgatlas/details.php?id=BSGatlas-5'UTR-1335","BSGatlas-5'UTR-1335")</f>
        <v>BSGatlas-5'UTR-1335</v>
      </c>
      <c r="B1336" s="3">
        <v>2048307</v>
      </c>
      <c r="C1336" s="3">
        <v>2048979</v>
      </c>
      <c r="D1336" s="1" t="s">
        <v>13</v>
      </c>
      <c r="E1336" s="1">
        <v>673</v>
      </c>
      <c r="F1336" s="1" t="s">
        <v>12858</v>
      </c>
      <c r="G1336" s="1" t="s">
        <v>7666</v>
      </c>
    </row>
    <row r="1337" spans="1:7" ht="21" x14ac:dyDescent="0.25">
      <c r="A1337" s="2" t="str">
        <f>HYPERLINK("https://rth.dk/resources/bsgatlas/details.php?id=BSGatlas-5'UTR-1336","BSGatlas-5'UTR-1336")</f>
        <v>BSGatlas-5'UTR-1336</v>
      </c>
      <c r="B1337" s="3">
        <v>2048471</v>
      </c>
      <c r="C1337" s="3">
        <v>2048533</v>
      </c>
      <c r="D1337" s="1" t="s">
        <v>9</v>
      </c>
      <c r="E1337" s="1">
        <v>63</v>
      </c>
      <c r="F1337" s="1" t="s">
        <v>12859</v>
      </c>
      <c r="G1337" s="1" t="s">
        <v>7667</v>
      </c>
    </row>
    <row r="1338" spans="1:7" ht="21" x14ac:dyDescent="0.25">
      <c r="A1338" s="2" t="str">
        <f>HYPERLINK("https://rth.dk/resources/bsgatlas/details.php?id=BSGatlas-5'UTR-1337","BSGatlas-5'UTR-1337")</f>
        <v>BSGatlas-5'UTR-1337</v>
      </c>
      <c r="B1338" s="3">
        <v>2050649</v>
      </c>
      <c r="C1338" s="3">
        <v>2050689</v>
      </c>
      <c r="D1338" s="1" t="s">
        <v>9</v>
      </c>
      <c r="E1338" s="1">
        <v>41</v>
      </c>
      <c r="F1338" s="1" t="s">
        <v>12860</v>
      </c>
      <c r="G1338" s="1" t="s">
        <v>7669</v>
      </c>
    </row>
    <row r="1339" spans="1:7" ht="21" x14ac:dyDescent="0.25">
      <c r="A1339" s="2" t="str">
        <f>HYPERLINK("https://rth.dk/resources/bsgatlas/details.php?id=BSGatlas-5'UTR-1338","BSGatlas-5'UTR-1338")</f>
        <v>BSGatlas-5'UTR-1338</v>
      </c>
      <c r="B1339" s="3">
        <v>2053929</v>
      </c>
      <c r="C1339" s="3">
        <v>2054039</v>
      </c>
      <c r="D1339" s="1" t="s">
        <v>13</v>
      </c>
      <c r="E1339" s="1">
        <v>111</v>
      </c>
      <c r="F1339" s="1" t="s">
        <v>12861</v>
      </c>
      <c r="G1339" s="1" t="s">
        <v>7671</v>
      </c>
    </row>
    <row r="1340" spans="1:7" ht="21" x14ac:dyDescent="0.25">
      <c r="A1340" s="2" t="str">
        <f>HYPERLINK("https://rth.dk/resources/bsgatlas/details.php?id=BSGatlas-5'UTR-1339","BSGatlas-5'UTR-1339")</f>
        <v>BSGatlas-5'UTR-1339</v>
      </c>
      <c r="B1340" s="3">
        <v>2055240</v>
      </c>
      <c r="C1340" s="3">
        <v>2055338</v>
      </c>
      <c r="D1340" s="1" t="s">
        <v>13</v>
      </c>
      <c r="E1340" s="1">
        <v>99</v>
      </c>
      <c r="F1340" s="1" t="s">
        <v>12862</v>
      </c>
      <c r="G1340" s="1" t="s">
        <v>7673</v>
      </c>
    </row>
    <row r="1341" spans="1:7" ht="21" x14ac:dyDescent="0.25">
      <c r="A1341" s="2" t="str">
        <f>HYPERLINK("https://rth.dk/resources/bsgatlas/details.php?id=BSGatlas-5'UTR-1340","BSGatlas-5'UTR-1340")</f>
        <v>BSGatlas-5'UTR-1340</v>
      </c>
      <c r="B1341" s="3">
        <v>2056107</v>
      </c>
      <c r="C1341" s="3">
        <v>2056154</v>
      </c>
      <c r="D1341" s="1" t="s">
        <v>13</v>
      </c>
      <c r="E1341" s="1">
        <v>48</v>
      </c>
      <c r="F1341" s="1" t="s">
        <v>12863</v>
      </c>
      <c r="G1341" s="1" t="s">
        <v>7677</v>
      </c>
    </row>
    <row r="1342" spans="1:7" ht="21" x14ac:dyDescent="0.25">
      <c r="A1342" s="2" t="str">
        <f>HYPERLINK("https://rth.dk/resources/bsgatlas/details.php?id=BSGatlas-5'UTR-1341","BSGatlas-5'UTR-1341")</f>
        <v>BSGatlas-5'UTR-1341</v>
      </c>
      <c r="B1342" s="3">
        <v>2056242</v>
      </c>
      <c r="C1342" s="3">
        <v>2056278</v>
      </c>
      <c r="D1342" s="1" t="s">
        <v>9</v>
      </c>
      <c r="E1342" s="1">
        <v>37</v>
      </c>
      <c r="F1342" s="1" t="s">
        <v>12864</v>
      </c>
      <c r="G1342" s="1" t="s">
        <v>7679</v>
      </c>
    </row>
    <row r="1343" spans="1:7" ht="21" x14ac:dyDescent="0.25">
      <c r="A1343" s="2" t="str">
        <f>HYPERLINK("https://rth.dk/resources/bsgatlas/details.php?id=BSGatlas-5'UTR-1342","BSGatlas-5'UTR-1342")</f>
        <v>BSGatlas-5'UTR-1342</v>
      </c>
      <c r="B1343" s="3">
        <v>2059638</v>
      </c>
      <c r="C1343" s="3">
        <v>2059670</v>
      </c>
      <c r="D1343" s="1" t="s">
        <v>13</v>
      </c>
      <c r="E1343" s="1">
        <v>33</v>
      </c>
      <c r="F1343" s="1" t="s">
        <v>12865</v>
      </c>
      <c r="G1343" s="1" t="s">
        <v>7682</v>
      </c>
    </row>
    <row r="1344" spans="1:7" ht="21" x14ac:dyDescent="0.25">
      <c r="A1344" s="2" t="str">
        <f>HYPERLINK("https://rth.dk/resources/bsgatlas/details.php?id=BSGatlas-5'UTR-1343","BSGatlas-5'UTR-1343")</f>
        <v>BSGatlas-5'UTR-1343</v>
      </c>
      <c r="B1344" s="3">
        <v>2060778</v>
      </c>
      <c r="C1344" s="3">
        <v>2060817</v>
      </c>
      <c r="D1344" s="1" t="s">
        <v>9</v>
      </c>
      <c r="E1344" s="1">
        <v>40</v>
      </c>
      <c r="F1344" s="1" t="s">
        <v>12866</v>
      </c>
      <c r="G1344" s="1" t="s">
        <v>7684</v>
      </c>
    </row>
    <row r="1345" spans="1:7" ht="21" x14ac:dyDescent="0.25">
      <c r="A1345" s="2" t="str">
        <f>HYPERLINK("https://rth.dk/resources/bsgatlas/details.php?id=BSGatlas-5'UTR-1344","BSGatlas-5'UTR-1344")</f>
        <v>BSGatlas-5'UTR-1344</v>
      </c>
      <c r="B1345" s="3">
        <v>2061526</v>
      </c>
      <c r="C1345" s="3">
        <v>2061855</v>
      </c>
      <c r="D1345" s="1" t="s">
        <v>9</v>
      </c>
      <c r="E1345" s="1">
        <v>330</v>
      </c>
      <c r="F1345" s="1" t="s">
        <v>12867</v>
      </c>
      <c r="G1345" s="1" t="s">
        <v>7687</v>
      </c>
    </row>
    <row r="1346" spans="1:7" ht="21" x14ac:dyDescent="0.25">
      <c r="A1346" s="2" t="str">
        <f>HYPERLINK("https://rth.dk/resources/bsgatlas/details.php?id=BSGatlas-5'UTR-1345","BSGatlas-5'UTR-1345")</f>
        <v>BSGatlas-5'UTR-1345</v>
      </c>
      <c r="B1346" s="3">
        <v>2062097</v>
      </c>
      <c r="C1346" s="3">
        <v>2062150</v>
      </c>
      <c r="D1346" s="1" t="s">
        <v>9</v>
      </c>
      <c r="E1346" s="1">
        <v>54</v>
      </c>
      <c r="F1346" s="1" t="s">
        <v>12868</v>
      </c>
      <c r="G1346" s="1" t="s">
        <v>7690</v>
      </c>
    </row>
    <row r="1347" spans="1:7" ht="21" x14ac:dyDescent="0.25">
      <c r="A1347" s="2" t="str">
        <f>HYPERLINK("https://rth.dk/resources/bsgatlas/details.php?id=BSGatlas-5'UTR-1346","BSGatlas-5'UTR-1346")</f>
        <v>BSGatlas-5'UTR-1346</v>
      </c>
      <c r="B1347" s="3">
        <v>2063026</v>
      </c>
      <c r="C1347" s="3">
        <v>2063262</v>
      </c>
      <c r="D1347" s="1" t="s">
        <v>9</v>
      </c>
      <c r="E1347" s="1">
        <v>237</v>
      </c>
      <c r="F1347" s="1" t="s">
        <v>12869</v>
      </c>
      <c r="G1347" s="1" t="s">
        <v>7693</v>
      </c>
    </row>
    <row r="1348" spans="1:7" ht="21" x14ac:dyDescent="0.25">
      <c r="A1348" s="2" t="str">
        <f>HYPERLINK("https://rth.dk/resources/bsgatlas/details.php?id=BSGatlas-5'UTR-1347","BSGatlas-5'UTR-1347")</f>
        <v>BSGatlas-5'UTR-1347</v>
      </c>
      <c r="B1348" s="3">
        <v>2064833</v>
      </c>
      <c r="C1348" s="3">
        <v>2065456</v>
      </c>
      <c r="D1348" s="1" t="s">
        <v>13</v>
      </c>
      <c r="E1348" s="1">
        <v>624</v>
      </c>
      <c r="F1348" s="1" t="s">
        <v>12870</v>
      </c>
      <c r="G1348" s="1" t="s">
        <v>7695</v>
      </c>
    </row>
    <row r="1349" spans="1:7" ht="21" x14ac:dyDescent="0.25">
      <c r="A1349" s="2" t="str">
        <f>HYPERLINK("https://rth.dk/resources/bsgatlas/details.php?id=BSGatlas-5'UTR-1348","BSGatlas-5'UTR-1348")</f>
        <v>BSGatlas-5'UTR-1348</v>
      </c>
      <c r="B1349" s="3">
        <v>2064984</v>
      </c>
      <c r="C1349" s="3">
        <v>2065042</v>
      </c>
      <c r="D1349" s="1" t="s">
        <v>9</v>
      </c>
      <c r="E1349" s="1">
        <v>59</v>
      </c>
      <c r="F1349" s="1" t="s">
        <v>12871</v>
      </c>
      <c r="G1349" s="1" t="s">
        <v>7698</v>
      </c>
    </row>
    <row r="1350" spans="1:7" ht="21" x14ac:dyDescent="0.25">
      <c r="A1350" s="2" t="str">
        <f>HYPERLINK("https://rth.dk/resources/bsgatlas/details.php?id=BSGatlas-5'UTR-1349","BSGatlas-5'UTR-1349")</f>
        <v>BSGatlas-5'UTR-1349</v>
      </c>
      <c r="B1350" s="3">
        <v>2069029</v>
      </c>
      <c r="C1350" s="3">
        <v>2069174</v>
      </c>
      <c r="D1350" s="1" t="s">
        <v>13</v>
      </c>
      <c r="E1350" s="1">
        <v>146</v>
      </c>
      <c r="F1350" s="1" t="s">
        <v>12872</v>
      </c>
      <c r="G1350" s="1" t="s">
        <v>7700</v>
      </c>
    </row>
    <row r="1351" spans="1:7" ht="21" x14ac:dyDescent="0.25">
      <c r="A1351" s="2" t="str">
        <f>HYPERLINK("https://rth.dk/resources/bsgatlas/details.php?id=BSGatlas-5'UTR-1350","BSGatlas-5'UTR-1350")</f>
        <v>BSGatlas-5'UTR-1350</v>
      </c>
      <c r="B1351" s="3">
        <v>2069561</v>
      </c>
      <c r="C1351" s="3">
        <v>2069699</v>
      </c>
      <c r="D1351" s="1" t="s">
        <v>13</v>
      </c>
      <c r="E1351" s="1">
        <v>139</v>
      </c>
      <c r="F1351" s="1" t="s">
        <v>12873</v>
      </c>
      <c r="G1351" s="1" t="s">
        <v>7703</v>
      </c>
    </row>
    <row r="1352" spans="1:7" ht="21" x14ac:dyDescent="0.25">
      <c r="A1352" s="2" t="str">
        <f>HYPERLINK("https://rth.dk/resources/bsgatlas/details.php?id=BSGatlas-5'UTR-1351","BSGatlas-5'UTR-1351")</f>
        <v>BSGatlas-5'UTR-1351</v>
      </c>
      <c r="B1352" s="3">
        <v>2071086</v>
      </c>
      <c r="C1352" s="3">
        <v>2071114</v>
      </c>
      <c r="D1352" s="1" t="s">
        <v>13</v>
      </c>
      <c r="E1352" s="1">
        <v>29</v>
      </c>
      <c r="F1352" s="1" t="s">
        <v>12874</v>
      </c>
      <c r="G1352" s="1" t="s">
        <v>7711</v>
      </c>
    </row>
    <row r="1353" spans="1:7" ht="21" x14ac:dyDescent="0.25">
      <c r="A1353" s="2" t="str">
        <f>HYPERLINK("https://rth.dk/resources/bsgatlas/details.php?id=BSGatlas-5'UTR-1352","BSGatlas-5'UTR-1352")</f>
        <v>BSGatlas-5'UTR-1352</v>
      </c>
      <c r="B1353" s="3">
        <v>2073556</v>
      </c>
      <c r="C1353" s="3">
        <v>2073596</v>
      </c>
      <c r="D1353" s="1" t="s">
        <v>13</v>
      </c>
      <c r="E1353" s="1">
        <v>41</v>
      </c>
      <c r="F1353" s="1" t="s">
        <v>12875</v>
      </c>
      <c r="G1353" s="1" t="s">
        <v>7713</v>
      </c>
    </row>
    <row r="1354" spans="1:7" ht="21" x14ac:dyDescent="0.25">
      <c r="A1354" s="2" t="str">
        <f>HYPERLINK("https://rth.dk/resources/bsgatlas/details.php?id=BSGatlas-5'UTR-1353","BSGatlas-5'UTR-1353")</f>
        <v>BSGatlas-5'UTR-1353</v>
      </c>
      <c r="B1354" s="3">
        <v>2074215</v>
      </c>
      <c r="C1354" s="3">
        <v>2074617</v>
      </c>
      <c r="D1354" s="1" t="s">
        <v>13</v>
      </c>
      <c r="E1354" s="1">
        <v>403</v>
      </c>
      <c r="F1354" s="1" t="s">
        <v>12876</v>
      </c>
      <c r="G1354" s="1" t="s">
        <v>7714</v>
      </c>
    </row>
    <row r="1355" spans="1:7" ht="21" x14ac:dyDescent="0.25">
      <c r="A1355" s="2" t="str">
        <f>HYPERLINK("https://rth.dk/resources/bsgatlas/details.php?id=BSGatlas-5'UTR-1354","BSGatlas-5'UTR-1354")</f>
        <v>BSGatlas-5'UTR-1354</v>
      </c>
      <c r="B1355" s="3">
        <v>2074310</v>
      </c>
      <c r="C1355" s="3">
        <v>2074343</v>
      </c>
      <c r="D1355" s="1" t="s">
        <v>9</v>
      </c>
      <c r="E1355" s="1">
        <v>34</v>
      </c>
      <c r="F1355" s="1" t="s">
        <v>12877</v>
      </c>
      <c r="G1355" s="1" t="s">
        <v>7716</v>
      </c>
    </row>
    <row r="1356" spans="1:7" ht="21" x14ac:dyDescent="0.25">
      <c r="A1356" s="2" t="str">
        <f>HYPERLINK("https://rth.dk/resources/bsgatlas/details.php?id=BSGatlas-5'UTR-1355","BSGatlas-5'UTR-1355")</f>
        <v>BSGatlas-5'UTR-1355</v>
      </c>
      <c r="B1356" s="3">
        <v>2076113</v>
      </c>
      <c r="C1356" s="3">
        <v>2076206</v>
      </c>
      <c r="D1356" s="1" t="s">
        <v>9</v>
      </c>
      <c r="E1356" s="1">
        <v>94</v>
      </c>
      <c r="F1356" s="1" t="s">
        <v>12878</v>
      </c>
      <c r="G1356" s="1" t="s">
        <v>7717</v>
      </c>
    </row>
    <row r="1357" spans="1:7" ht="21" x14ac:dyDescent="0.25">
      <c r="A1357" s="2" t="str">
        <f>HYPERLINK("https://rth.dk/resources/bsgatlas/details.php?id=BSGatlas-5'UTR-1356","BSGatlas-5'UTR-1356")</f>
        <v>BSGatlas-5'UTR-1356</v>
      </c>
      <c r="B1357" s="3">
        <v>2081094</v>
      </c>
      <c r="C1357" s="3">
        <v>2081141</v>
      </c>
      <c r="D1357" s="1" t="s">
        <v>13</v>
      </c>
      <c r="E1357" s="1">
        <v>48</v>
      </c>
      <c r="F1357" s="1" t="s">
        <v>12879</v>
      </c>
      <c r="G1357" s="1" t="s">
        <v>7719</v>
      </c>
    </row>
    <row r="1358" spans="1:7" ht="21" x14ac:dyDescent="0.25">
      <c r="A1358" s="2" t="str">
        <f>HYPERLINK("https://rth.dk/resources/bsgatlas/details.php?id=BSGatlas-5'UTR-1357","BSGatlas-5'UTR-1357")</f>
        <v>BSGatlas-5'UTR-1357</v>
      </c>
      <c r="B1358" s="3">
        <v>2082454</v>
      </c>
      <c r="C1358" s="3">
        <v>2082484</v>
      </c>
      <c r="D1358" s="1" t="s">
        <v>13</v>
      </c>
      <c r="E1358" s="1">
        <v>31</v>
      </c>
      <c r="F1358" s="1" t="s">
        <v>12880</v>
      </c>
      <c r="G1358" s="1" t="s">
        <v>7722</v>
      </c>
    </row>
    <row r="1359" spans="1:7" ht="21" x14ac:dyDescent="0.25">
      <c r="A1359" s="2" t="str">
        <f>HYPERLINK("https://rth.dk/resources/bsgatlas/details.php?id=BSGatlas-5'UTR-1358","BSGatlas-5'UTR-1358")</f>
        <v>BSGatlas-5'UTR-1358</v>
      </c>
      <c r="B1359" s="3">
        <v>2082454</v>
      </c>
      <c r="C1359" s="3">
        <v>2082528</v>
      </c>
      <c r="D1359" s="1" t="s">
        <v>13</v>
      </c>
      <c r="E1359" s="1">
        <v>75</v>
      </c>
      <c r="F1359" s="1" t="s">
        <v>12880</v>
      </c>
      <c r="G1359" s="1" t="s">
        <v>7723</v>
      </c>
    </row>
    <row r="1360" spans="1:7" ht="21" x14ac:dyDescent="0.25">
      <c r="A1360" s="2" t="str">
        <f>HYPERLINK("https://rth.dk/resources/bsgatlas/details.php?id=BSGatlas-5'UTR-1359","BSGatlas-5'UTR-1359")</f>
        <v>BSGatlas-5'UTR-1359</v>
      </c>
      <c r="B1360" s="3">
        <v>2083013</v>
      </c>
      <c r="C1360" s="3">
        <v>2083056</v>
      </c>
      <c r="D1360" s="1" t="s">
        <v>13</v>
      </c>
      <c r="E1360" s="1">
        <v>44</v>
      </c>
      <c r="F1360" s="1" t="s">
        <v>12881</v>
      </c>
      <c r="G1360" s="1" t="s">
        <v>7727</v>
      </c>
    </row>
    <row r="1361" spans="1:7" ht="21" x14ac:dyDescent="0.25">
      <c r="A1361" s="2" t="str">
        <f>HYPERLINK("https://rth.dk/resources/bsgatlas/details.php?id=BSGatlas-5'UTR-1360","BSGatlas-5'UTR-1360")</f>
        <v>BSGatlas-5'UTR-1360</v>
      </c>
      <c r="B1361" s="3">
        <v>2084008</v>
      </c>
      <c r="C1361" s="3">
        <v>2084046</v>
      </c>
      <c r="D1361" s="1" t="s">
        <v>13</v>
      </c>
      <c r="E1361" s="1">
        <v>39</v>
      </c>
      <c r="F1361" s="1" t="s">
        <v>12882</v>
      </c>
      <c r="G1361" s="1" t="s">
        <v>7728</v>
      </c>
    </row>
    <row r="1362" spans="1:7" ht="21" x14ac:dyDescent="0.25">
      <c r="A1362" s="2" t="str">
        <f>HYPERLINK("https://rth.dk/resources/bsgatlas/details.php?id=BSGatlas-5'UTR-1361","BSGatlas-5'UTR-1361")</f>
        <v>BSGatlas-5'UTR-1361</v>
      </c>
      <c r="B1362" s="3">
        <v>2084109</v>
      </c>
      <c r="C1362" s="3">
        <v>2084214</v>
      </c>
      <c r="D1362" s="1" t="s">
        <v>9</v>
      </c>
      <c r="E1362" s="1">
        <v>106</v>
      </c>
      <c r="F1362" s="1" t="s">
        <v>12883</v>
      </c>
      <c r="G1362" s="1" t="s">
        <v>7730</v>
      </c>
    </row>
    <row r="1363" spans="1:7" ht="21" x14ac:dyDescent="0.25">
      <c r="A1363" s="2" t="str">
        <f>HYPERLINK("https://rth.dk/resources/bsgatlas/details.php?id=BSGatlas-5'UTR-1362","BSGatlas-5'UTR-1362")</f>
        <v>BSGatlas-5'UTR-1362</v>
      </c>
      <c r="B1363" s="3">
        <v>2084196</v>
      </c>
      <c r="C1363" s="3">
        <v>2084214</v>
      </c>
      <c r="D1363" s="1" t="s">
        <v>9</v>
      </c>
      <c r="E1363" s="1">
        <v>19</v>
      </c>
      <c r="F1363" s="1" t="s">
        <v>12883</v>
      </c>
      <c r="G1363" s="1" t="s">
        <v>7733</v>
      </c>
    </row>
    <row r="1364" spans="1:7" ht="21" x14ac:dyDescent="0.25">
      <c r="A1364" s="2" t="str">
        <f>HYPERLINK("https://rth.dk/resources/bsgatlas/details.php?id=BSGatlas-5'UTR-1363","BSGatlas-5'UTR-1363")</f>
        <v>BSGatlas-5'UTR-1363</v>
      </c>
      <c r="B1364" s="3">
        <v>2085109</v>
      </c>
      <c r="C1364" s="3">
        <v>2085141</v>
      </c>
      <c r="D1364" s="1" t="s">
        <v>13</v>
      </c>
      <c r="E1364" s="1">
        <v>33</v>
      </c>
      <c r="F1364" s="1" t="s">
        <v>12884</v>
      </c>
      <c r="G1364" s="1" t="s">
        <v>7734</v>
      </c>
    </row>
    <row r="1365" spans="1:7" ht="21" x14ac:dyDescent="0.25">
      <c r="A1365" s="2" t="str">
        <f>HYPERLINK("https://rth.dk/resources/bsgatlas/details.php?id=BSGatlas-5'UTR-1364","BSGatlas-5'UTR-1364")</f>
        <v>BSGatlas-5'UTR-1364</v>
      </c>
      <c r="B1365" s="3">
        <v>2085247</v>
      </c>
      <c r="C1365" s="3">
        <v>2085303</v>
      </c>
      <c r="D1365" s="1" t="s">
        <v>9</v>
      </c>
      <c r="E1365" s="1">
        <v>57</v>
      </c>
      <c r="F1365" s="1" t="s">
        <v>12885</v>
      </c>
      <c r="G1365" s="1" t="s">
        <v>7736</v>
      </c>
    </row>
    <row r="1366" spans="1:7" ht="21" x14ac:dyDescent="0.25">
      <c r="A1366" s="2" t="str">
        <f>HYPERLINK("https://rth.dk/resources/bsgatlas/details.php?id=BSGatlas-5'UTR-1365","BSGatlas-5'UTR-1365")</f>
        <v>BSGatlas-5'UTR-1365</v>
      </c>
      <c r="B1366" s="3">
        <v>2086606</v>
      </c>
      <c r="C1366" s="3">
        <v>2086653</v>
      </c>
      <c r="D1366" s="1" t="s">
        <v>13</v>
      </c>
      <c r="E1366" s="1">
        <v>48</v>
      </c>
      <c r="F1366" s="1" t="s">
        <v>12886</v>
      </c>
      <c r="G1366" s="1" t="s">
        <v>7738</v>
      </c>
    </row>
    <row r="1367" spans="1:7" ht="21" x14ac:dyDescent="0.25">
      <c r="A1367" s="2" t="str">
        <f>HYPERLINK("https://rth.dk/resources/bsgatlas/details.php?id=BSGatlas-5'UTR-1366","BSGatlas-5'UTR-1366")</f>
        <v>BSGatlas-5'UTR-1366</v>
      </c>
      <c r="B1367" s="3">
        <v>2087525</v>
      </c>
      <c r="C1367" s="3">
        <v>2087566</v>
      </c>
      <c r="D1367" s="1" t="s">
        <v>13</v>
      </c>
      <c r="E1367" s="1">
        <v>42</v>
      </c>
      <c r="F1367" s="1" t="s">
        <v>12887</v>
      </c>
      <c r="G1367" s="1" t="s">
        <v>7740</v>
      </c>
    </row>
    <row r="1368" spans="1:7" ht="21" x14ac:dyDescent="0.25">
      <c r="A1368" s="2" t="str">
        <f>HYPERLINK("https://rth.dk/resources/bsgatlas/details.php?id=BSGatlas-5'UTR-1367","BSGatlas-5'UTR-1367")</f>
        <v>BSGatlas-5'UTR-1367</v>
      </c>
      <c r="B1368" s="3">
        <v>2087648</v>
      </c>
      <c r="C1368" s="3">
        <v>2087696</v>
      </c>
      <c r="D1368" s="1" t="s">
        <v>9</v>
      </c>
      <c r="E1368" s="1">
        <v>49</v>
      </c>
      <c r="F1368" s="1" t="s">
        <v>12888</v>
      </c>
      <c r="G1368" s="1" t="s">
        <v>7743</v>
      </c>
    </row>
    <row r="1369" spans="1:7" ht="21" x14ac:dyDescent="0.25">
      <c r="A1369" s="2" t="str">
        <f>HYPERLINK("https://rth.dk/resources/bsgatlas/details.php?id=BSGatlas-5'UTR-1368","BSGatlas-5'UTR-1368")</f>
        <v>BSGatlas-5'UTR-1368</v>
      </c>
      <c r="B1369" s="3">
        <v>2088221</v>
      </c>
      <c r="C1369" s="3">
        <v>2088257</v>
      </c>
      <c r="D1369" s="1" t="s">
        <v>9</v>
      </c>
      <c r="E1369" s="1">
        <v>37</v>
      </c>
      <c r="F1369" s="1" t="s">
        <v>12889</v>
      </c>
      <c r="G1369" s="1" t="s">
        <v>7745</v>
      </c>
    </row>
    <row r="1370" spans="1:7" ht="21" x14ac:dyDescent="0.25">
      <c r="A1370" s="2" t="str">
        <f>HYPERLINK("https://rth.dk/resources/bsgatlas/details.php?id=BSGatlas-5'UTR-1369","BSGatlas-5'UTR-1369")</f>
        <v>BSGatlas-5'UTR-1369</v>
      </c>
      <c r="B1370" s="3">
        <v>2089368</v>
      </c>
      <c r="C1370" s="3">
        <v>2089396</v>
      </c>
      <c r="D1370" s="1" t="s">
        <v>9</v>
      </c>
      <c r="E1370" s="1">
        <v>29</v>
      </c>
      <c r="F1370" s="1" t="s">
        <v>12890</v>
      </c>
      <c r="G1370" s="1" t="s">
        <v>7746</v>
      </c>
    </row>
    <row r="1371" spans="1:7" ht="21" x14ac:dyDescent="0.25">
      <c r="A1371" s="2" t="str">
        <f>HYPERLINK("https://rth.dk/resources/bsgatlas/details.php?id=BSGatlas-5'UTR-1370","BSGatlas-5'UTR-1370")</f>
        <v>BSGatlas-5'UTR-1370</v>
      </c>
      <c r="B1371" s="3">
        <v>2090526</v>
      </c>
      <c r="C1371" s="3">
        <v>2090574</v>
      </c>
      <c r="D1371" s="1" t="s">
        <v>9</v>
      </c>
      <c r="E1371" s="1">
        <v>49</v>
      </c>
      <c r="F1371" s="1" t="s">
        <v>12891</v>
      </c>
      <c r="G1371" s="1" t="s">
        <v>7749</v>
      </c>
    </row>
    <row r="1372" spans="1:7" ht="21" x14ac:dyDescent="0.25">
      <c r="A1372" s="2" t="str">
        <f>HYPERLINK("https://rth.dk/resources/bsgatlas/details.php?id=BSGatlas-5'UTR-1371","BSGatlas-5'UTR-1371")</f>
        <v>BSGatlas-5'UTR-1371</v>
      </c>
      <c r="B1372" s="3">
        <v>2093762</v>
      </c>
      <c r="C1372" s="3">
        <v>2093802</v>
      </c>
      <c r="D1372" s="1" t="s">
        <v>13</v>
      </c>
      <c r="E1372" s="1">
        <v>41</v>
      </c>
      <c r="F1372" s="1" t="s">
        <v>12892</v>
      </c>
      <c r="G1372" s="1" t="s">
        <v>7755</v>
      </c>
    </row>
    <row r="1373" spans="1:7" ht="21" x14ac:dyDescent="0.25">
      <c r="A1373" s="2" t="str">
        <f>HYPERLINK("https://rth.dk/resources/bsgatlas/details.php?id=BSGatlas-5'UTR-1372","BSGatlas-5'UTR-1372")</f>
        <v>BSGatlas-5'UTR-1372</v>
      </c>
      <c r="B1373" s="3">
        <v>2096976</v>
      </c>
      <c r="C1373" s="3">
        <v>2097023</v>
      </c>
      <c r="D1373" s="1" t="s">
        <v>13</v>
      </c>
      <c r="E1373" s="1">
        <v>48</v>
      </c>
      <c r="F1373" s="1" t="s">
        <v>12893</v>
      </c>
      <c r="G1373" s="1" t="s">
        <v>7760</v>
      </c>
    </row>
    <row r="1374" spans="1:7" ht="21" x14ac:dyDescent="0.25">
      <c r="A1374" s="2" t="str">
        <f>HYPERLINK("https://rth.dk/resources/bsgatlas/details.php?id=BSGatlas-5'UTR-1373","BSGatlas-5'UTR-1373")</f>
        <v>BSGatlas-5'UTR-1373</v>
      </c>
      <c r="B1374" s="3">
        <v>2097617</v>
      </c>
      <c r="C1374" s="3">
        <v>2097641</v>
      </c>
      <c r="D1374" s="1" t="s">
        <v>13</v>
      </c>
      <c r="E1374" s="1">
        <v>25</v>
      </c>
      <c r="F1374" s="1" t="s">
        <v>12894</v>
      </c>
      <c r="G1374" s="1" t="s">
        <v>7766</v>
      </c>
    </row>
    <row r="1375" spans="1:7" ht="21" x14ac:dyDescent="0.25">
      <c r="A1375" s="2" t="str">
        <f>HYPERLINK("https://rth.dk/resources/bsgatlas/details.php?id=BSGatlas-5'UTR-1374","BSGatlas-5'UTR-1374")</f>
        <v>BSGatlas-5'UTR-1374</v>
      </c>
      <c r="B1375" s="3">
        <v>2098062</v>
      </c>
      <c r="C1375" s="3">
        <v>2098102</v>
      </c>
      <c r="D1375" s="1" t="s">
        <v>9</v>
      </c>
      <c r="E1375" s="1">
        <v>41</v>
      </c>
      <c r="F1375" s="1" t="s">
        <v>12895</v>
      </c>
      <c r="G1375" s="1" t="s">
        <v>7768</v>
      </c>
    </row>
    <row r="1376" spans="1:7" ht="21" x14ac:dyDescent="0.25">
      <c r="A1376" s="2" t="str">
        <f>HYPERLINK("https://rth.dk/resources/bsgatlas/details.php?id=BSGatlas-5'UTR-1375","BSGatlas-5'UTR-1375")</f>
        <v>BSGatlas-5'UTR-1375</v>
      </c>
      <c r="B1376" s="3">
        <v>2098792</v>
      </c>
      <c r="C1376" s="3">
        <v>2098895</v>
      </c>
      <c r="D1376" s="1" t="s">
        <v>13</v>
      </c>
      <c r="E1376" s="1">
        <v>104</v>
      </c>
      <c r="F1376" s="1" t="s">
        <v>12896</v>
      </c>
      <c r="G1376" s="1" t="s">
        <v>7771</v>
      </c>
    </row>
    <row r="1377" spans="1:7" ht="21" x14ac:dyDescent="0.25">
      <c r="A1377" s="2" t="str">
        <f>HYPERLINK("https://rth.dk/resources/bsgatlas/details.php?id=BSGatlas-5'UTR-1376","BSGatlas-5'UTR-1376")</f>
        <v>BSGatlas-5'UTR-1376</v>
      </c>
      <c r="B1377" s="3">
        <v>2098839</v>
      </c>
      <c r="C1377" s="3">
        <v>2098859</v>
      </c>
      <c r="D1377" s="1" t="s">
        <v>9</v>
      </c>
      <c r="E1377" s="1">
        <v>21</v>
      </c>
      <c r="F1377" s="1" t="s">
        <v>12897</v>
      </c>
      <c r="G1377" s="1" t="s">
        <v>7773</v>
      </c>
    </row>
    <row r="1378" spans="1:7" ht="21" x14ac:dyDescent="0.25">
      <c r="A1378" s="2" t="str">
        <f>HYPERLINK("https://rth.dk/resources/bsgatlas/details.php?id=BSGatlas-5'UTR-1377","BSGatlas-5'UTR-1377")</f>
        <v>BSGatlas-5'UTR-1377</v>
      </c>
      <c r="B1378" s="3">
        <v>2099790</v>
      </c>
      <c r="C1378" s="3">
        <v>2099863</v>
      </c>
      <c r="D1378" s="1" t="s">
        <v>13</v>
      </c>
      <c r="E1378" s="1">
        <v>74</v>
      </c>
      <c r="F1378" s="1" t="s">
        <v>12898</v>
      </c>
      <c r="G1378" s="1" t="s">
        <v>7774</v>
      </c>
    </row>
    <row r="1379" spans="1:7" ht="21" x14ac:dyDescent="0.25">
      <c r="A1379" s="2" t="str">
        <f>HYPERLINK("https://rth.dk/resources/bsgatlas/details.php?id=BSGatlas-5'UTR-1378","BSGatlas-5'UTR-1378")</f>
        <v>BSGatlas-5'UTR-1378</v>
      </c>
      <c r="B1379" s="3">
        <v>2100350</v>
      </c>
      <c r="C1379" s="3">
        <v>2100389</v>
      </c>
      <c r="D1379" s="1" t="s">
        <v>13</v>
      </c>
      <c r="E1379" s="1">
        <v>40</v>
      </c>
      <c r="F1379" s="1" t="s">
        <v>12899</v>
      </c>
      <c r="G1379" s="1" t="s">
        <v>7778</v>
      </c>
    </row>
    <row r="1380" spans="1:7" ht="21" x14ac:dyDescent="0.25">
      <c r="A1380" s="2" t="str">
        <f>HYPERLINK("https://rth.dk/resources/bsgatlas/details.php?id=BSGatlas-5'UTR-1379","BSGatlas-5'UTR-1379")</f>
        <v>BSGatlas-5'UTR-1379</v>
      </c>
      <c r="B1380" s="3">
        <v>2100350</v>
      </c>
      <c r="C1380" s="3">
        <v>2100468</v>
      </c>
      <c r="D1380" s="1" t="s">
        <v>13</v>
      </c>
      <c r="E1380" s="1">
        <v>119</v>
      </c>
      <c r="F1380" s="1" t="s">
        <v>12899</v>
      </c>
      <c r="G1380" s="1" t="s">
        <v>7780</v>
      </c>
    </row>
    <row r="1381" spans="1:7" ht="21" x14ac:dyDescent="0.25">
      <c r="A1381" s="2" t="str">
        <f>HYPERLINK("https://rth.dk/resources/bsgatlas/details.php?id=BSGatlas-5'UTR-1380","BSGatlas-5'UTR-1380")</f>
        <v>BSGatlas-5'UTR-1380</v>
      </c>
      <c r="B1381" s="3">
        <v>2100350</v>
      </c>
      <c r="C1381" s="3">
        <v>2101029</v>
      </c>
      <c r="D1381" s="1" t="s">
        <v>13</v>
      </c>
      <c r="E1381" s="1">
        <v>680</v>
      </c>
      <c r="F1381" s="1" t="s">
        <v>12899</v>
      </c>
      <c r="G1381" s="1" t="s">
        <v>7781</v>
      </c>
    </row>
    <row r="1382" spans="1:7" ht="21" x14ac:dyDescent="0.25">
      <c r="A1382" s="2" t="str">
        <f>HYPERLINK("https://rth.dk/resources/bsgatlas/details.php?id=BSGatlas-5'UTR-1381","BSGatlas-5'UTR-1381")</f>
        <v>BSGatlas-5'UTR-1381</v>
      </c>
      <c r="B1382" s="3">
        <v>2100442</v>
      </c>
      <c r="C1382" s="3">
        <v>2100580</v>
      </c>
      <c r="D1382" s="1" t="s">
        <v>9</v>
      </c>
      <c r="E1382" s="1">
        <v>139</v>
      </c>
      <c r="F1382" s="1" t="s">
        <v>12900</v>
      </c>
      <c r="G1382" s="1" t="s">
        <v>7782</v>
      </c>
    </row>
    <row r="1383" spans="1:7" ht="21" x14ac:dyDescent="0.25">
      <c r="A1383" s="2" t="str">
        <f>HYPERLINK("https://rth.dk/resources/bsgatlas/details.php?id=BSGatlas-5'UTR-1382","BSGatlas-5'UTR-1382")</f>
        <v>BSGatlas-5'UTR-1382</v>
      </c>
      <c r="B1383" s="3">
        <v>2102141</v>
      </c>
      <c r="C1383" s="3">
        <v>2102168</v>
      </c>
      <c r="D1383" s="1" t="s">
        <v>9</v>
      </c>
      <c r="E1383" s="1">
        <v>28</v>
      </c>
      <c r="F1383" s="1" t="s">
        <v>12901</v>
      </c>
      <c r="G1383" s="1" t="s">
        <v>7785</v>
      </c>
    </row>
    <row r="1384" spans="1:7" ht="21" x14ac:dyDescent="0.25">
      <c r="A1384" s="2" t="str">
        <f>HYPERLINK("https://rth.dk/resources/bsgatlas/details.php?id=BSGatlas-5'UTR-1383","BSGatlas-5'UTR-1383")</f>
        <v>BSGatlas-5'UTR-1383</v>
      </c>
      <c r="B1384" s="3">
        <v>2106271</v>
      </c>
      <c r="C1384" s="3">
        <v>2106314</v>
      </c>
      <c r="D1384" s="1" t="s">
        <v>13</v>
      </c>
      <c r="E1384" s="1">
        <v>44</v>
      </c>
      <c r="F1384" s="1" t="s">
        <v>12902</v>
      </c>
      <c r="G1384" s="1" t="s">
        <v>7786</v>
      </c>
    </row>
    <row r="1385" spans="1:7" ht="21" x14ac:dyDescent="0.25">
      <c r="A1385" s="2" t="str">
        <f>HYPERLINK("https://rth.dk/resources/bsgatlas/details.php?id=BSGatlas-5'UTR-1384","BSGatlas-5'UTR-1384")</f>
        <v>BSGatlas-5'UTR-1384</v>
      </c>
      <c r="B1385" s="3">
        <v>2106410</v>
      </c>
      <c r="C1385" s="3">
        <v>2106490</v>
      </c>
      <c r="D1385" s="1" t="s">
        <v>9</v>
      </c>
      <c r="E1385" s="1">
        <v>81</v>
      </c>
      <c r="F1385" s="1" t="s">
        <v>12903</v>
      </c>
      <c r="G1385" s="1" t="s">
        <v>7788</v>
      </c>
    </row>
    <row r="1386" spans="1:7" ht="21" x14ac:dyDescent="0.25">
      <c r="A1386" s="2" t="str">
        <f>HYPERLINK("https://rth.dk/resources/bsgatlas/details.php?id=BSGatlas-5'UTR-1385","BSGatlas-5'UTR-1385")</f>
        <v>BSGatlas-5'UTR-1385</v>
      </c>
      <c r="B1386" s="3">
        <v>2111608</v>
      </c>
      <c r="C1386" s="3">
        <v>2111722</v>
      </c>
      <c r="D1386" s="1" t="s">
        <v>13</v>
      </c>
      <c r="E1386" s="1">
        <v>115</v>
      </c>
      <c r="F1386" s="1" t="s">
        <v>12904</v>
      </c>
      <c r="G1386" s="1" t="s">
        <v>7791</v>
      </c>
    </row>
    <row r="1387" spans="1:7" ht="21" x14ac:dyDescent="0.25">
      <c r="A1387" s="2" t="str">
        <f>HYPERLINK("https://rth.dk/resources/bsgatlas/details.php?id=BSGatlas-5'UTR-1386","BSGatlas-5'UTR-1386")</f>
        <v>BSGatlas-5'UTR-1386</v>
      </c>
      <c r="B1387" s="3">
        <v>2114678</v>
      </c>
      <c r="C1387" s="3">
        <v>2114697</v>
      </c>
      <c r="D1387" s="1" t="s">
        <v>13</v>
      </c>
      <c r="E1387" s="1">
        <v>20</v>
      </c>
      <c r="F1387" s="1" t="s">
        <v>12905</v>
      </c>
      <c r="G1387" s="1" t="s">
        <v>7794</v>
      </c>
    </row>
    <row r="1388" spans="1:7" ht="21" x14ac:dyDescent="0.25">
      <c r="A1388" s="2" t="str">
        <f>HYPERLINK("https://rth.dk/resources/bsgatlas/details.php?id=BSGatlas-5'UTR-1387","BSGatlas-5'UTR-1387")</f>
        <v>BSGatlas-5'UTR-1387</v>
      </c>
      <c r="B1388" s="3">
        <v>2116669</v>
      </c>
      <c r="C1388" s="3">
        <v>2116745</v>
      </c>
      <c r="D1388" s="1" t="s">
        <v>13</v>
      </c>
      <c r="E1388" s="1">
        <v>77</v>
      </c>
      <c r="F1388" s="1" t="s">
        <v>12906</v>
      </c>
      <c r="G1388" s="1" t="s">
        <v>7796</v>
      </c>
    </row>
    <row r="1389" spans="1:7" ht="21" x14ac:dyDescent="0.25">
      <c r="A1389" s="2" t="str">
        <f>HYPERLINK("https://rth.dk/resources/bsgatlas/details.php?id=BSGatlas-5'UTR-1388","BSGatlas-5'UTR-1388")</f>
        <v>BSGatlas-5'UTR-1388</v>
      </c>
      <c r="B1389" s="3">
        <v>2116669</v>
      </c>
      <c r="C1389" s="3">
        <v>2116967</v>
      </c>
      <c r="D1389" s="1" t="s">
        <v>13</v>
      </c>
      <c r="E1389" s="1">
        <v>299</v>
      </c>
      <c r="F1389" s="1" t="s">
        <v>12906</v>
      </c>
      <c r="G1389" s="1" t="s">
        <v>7797</v>
      </c>
    </row>
    <row r="1390" spans="1:7" ht="21" x14ac:dyDescent="0.25">
      <c r="A1390" s="2" t="str">
        <f>HYPERLINK("https://rth.dk/resources/bsgatlas/details.php?id=BSGatlas-5'UTR-1389","BSGatlas-5'UTR-1389")</f>
        <v>BSGatlas-5'UTR-1389</v>
      </c>
      <c r="B1390" s="3">
        <v>2118268</v>
      </c>
      <c r="C1390" s="3">
        <v>2118309</v>
      </c>
      <c r="D1390" s="1" t="s">
        <v>13</v>
      </c>
      <c r="E1390" s="1">
        <v>42</v>
      </c>
      <c r="F1390" s="1" t="s">
        <v>12907</v>
      </c>
      <c r="G1390" s="1" t="s">
        <v>7799</v>
      </c>
    </row>
    <row r="1391" spans="1:7" ht="21" x14ac:dyDescent="0.25">
      <c r="A1391" s="2" t="str">
        <f>HYPERLINK("https://rth.dk/resources/bsgatlas/details.php?id=BSGatlas-5'UTR-1390","BSGatlas-5'UTR-1390")</f>
        <v>BSGatlas-5'UTR-1390</v>
      </c>
      <c r="B1391" s="3">
        <v>2119127</v>
      </c>
      <c r="C1391" s="3">
        <v>2119278</v>
      </c>
      <c r="D1391" s="1" t="s">
        <v>13</v>
      </c>
      <c r="E1391" s="1">
        <v>152</v>
      </c>
      <c r="F1391" s="1" t="s">
        <v>12908</v>
      </c>
      <c r="G1391" s="1" t="s">
        <v>7801</v>
      </c>
    </row>
    <row r="1392" spans="1:7" ht="21" x14ac:dyDescent="0.25">
      <c r="A1392" s="2" t="str">
        <f>HYPERLINK("https://rth.dk/resources/bsgatlas/details.php?id=BSGatlas-5'UTR-1391","BSGatlas-5'UTR-1391")</f>
        <v>BSGatlas-5'UTR-1391</v>
      </c>
      <c r="B1392" s="3">
        <v>2119127</v>
      </c>
      <c r="C1392" s="3">
        <v>2119740</v>
      </c>
      <c r="D1392" s="1" t="s">
        <v>13</v>
      </c>
      <c r="E1392" s="1">
        <v>614</v>
      </c>
      <c r="F1392" s="1" t="s">
        <v>12908</v>
      </c>
      <c r="G1392" s="1" t="s">
        <v>7802</v>
      </c>
    </row>
    <row r="1393" spans="1:7" ht="21" x14ac:dyDescent="0.25">
      <c r="A1393" s="2" t="str">
        <f>HYPERLINK("https://rth.dk/resources/bsgatlas/details.php?id=BSGatlas-5'UTR-1392","BSGatlas-5'UTR-1392")</f>
        <v>BSGatlas-5'UTR-1392</v>
      </c>
      <c r="B1393" s="3">
        <v>2119127</v>
      </c>
      <c r="C1393" s="3">
        <v>2121038</v>
      </c>
      <c r="D1393" s="1" t="s">
        <v>13</v>
      </c>
      <c r="E1393" s="1">
        <v>1912</v>
      </c>
      <c r="F1393" s="1" t="s">
        <v>12908</v>
      </c>
      <c r="G1393" s="1" t="s">
        <v>7803</v>
      </c>
    </row>
    <row r="1394" spans="1:7" ht="21" x14ac:dyDescent="0.25">
      <c r="A1394" s="2" t="str">
        <f>HYPERLINK("https://rth.dk/resources/bsgatlas/details.php?id=BSGatlas-5'UTR-1393","BSGatlas-5'UTR-1393")</f>
        <v>BSGatlas-5'UTR-1393</v>
      </c>
      <c r="B1394" s="3">
        <v>2119166</v>
      </c>
      <c r="C1394" s="3">
        <v>2119393</v>
      </c>
      <c r="D1394" s="1" t="s">
        <v>9</v>
      </c>
      <c r="E1394" s="1">
        <v>228</v>
      </c>
      <c r="F1394" s="1" t="s">
        <v>12909</v>
      </c>
      <c r="G1394" s="1" t="s">
        <v>7805</v>
      </c>
    </row>
    <row r="1395" spans="1:7" ht="21" x14ac:dyDescent="0.25">
      <c r="A1395" s="2" t="str">
        <f>HYPERLINK("https://rth.dk/resources/bsgatlas/details.php?id=BSGatlas-5'UTR-1394","BSGatlas-5'UTR-1394")</f>
        <v>BSGatlas-5'UTR-1394</v>
      </c>
      <c r="B1395" s="3">
        <v>2119223</v>
      </c>
      <c r="C1395" s="3">
        <v>2119393</v>
      </c>
      <c r="D1395" s="1" t="s">
        <v>9</v>
      </c>
      <c r="E1395" s="1">
        <v>171</v>
      </c>
      <c r="F1395" s="1" t="s">
        <v>12909</v>
      </c>
      <c r="G1395" s="1" t="s">
        <v>7807</v>
      </c>
    </row>
    <row r="1396" spans="1:7" ht="21" x14ac:dyDescent="0.25">
      <c r="A1396" s="2" t="str">
        <f>HYPERLINK("https://rth.dk/resources/bsgatlas/details.php?id=BSGatlas-5'UTR-1395","BSGatlas-5'UTR-1395")</f>
        <v>BSGatlas-5'UTR-1395</v>
      </c>
      <c r="B1396" s="3">
        <v>2119268</v>
      </c>
      <c r="C1396" s="3">
        <v>2119393</v>
      </c>
      <c r="D1396" s="1" t="s">
        <v>9</v>
      </c>
      <c r="E1396" s="1">
        <v>126</v>
      </c>
      <c r="F1396" s="1" t="s">
        <v>12909</v>
      </c>
      <c r="G1396" s="1" t="s">
        <v>7808</v>
      </c>
    </row>
    <row r="1397" spans="1:7" ht="21" x14ac:dyDescent="0.25">
      <c r="A1397" s="2" t="str">
        <f>HYPERLINK("https://rth.dk/resources/bsgatlas/details.php?id=BSGatlas-5'UTR-1396","BSGatlas-5'UTR-1396")</f>
        <v>BSGatlas-5'UTR-1396</v>
      </c>
      <c r="B1397" s="3">
        <v>2119355</v>
      </c>
      <c r="C1397" s="3">
        <v>2119393</v>
      </c>
      <c r="D1397" s="1" t="s">
        <v>9</v>
      </c>
      <c r="E1397" s="1">
        <v>39</v>
      </c>
      <c r="F1397" s="1" t="s">
        <v>12909</v>
      </c>
      <c r="G1397" s="1" t="s">
        <v>7809</v>
      </c>
    </row>
    <row r="1398" spans="1:7" ht="21" x14ac:dyDescent="0.25">
      <c r="A1398" s="2" t="str">
        <f>HYPERLINK("https://rth.dk/resources/bsgatlas/details.php?id=BSGatlas-5'UTR-1397","BSGatlas-5'UTR-1397")</f>
        <v>BSGatlas-5'UTR-1397</v>
      </c>
      <c r="B1398" s="3">
        <v>2122950</v>
      </c>
      <c r="C1398" s="3">
        <v>2122979</v>
      </c>
      <c r="D1398" s="1" t="s">
        <v>13</v>
      </c>
      <c r="E1398" s="1">
        <v>30</v>
      </c>
      <c r="F1398" s="1" t="s">
        <v>12910</v>
      </c>
      <c r="G1398" s="1" t="s">
        <v>7811</v>
      </c>
    </row>
    <row r="1399" spans="1:7" ht="21" x14ac:dyDescent="0.25">
      <c r="A1399" s="2" t="str">
        <f>HYPERLINK("https://rth.dk/resources/bsgatlas/details.php?id=BSGatlas-5'UTR-1398","BSGatlas-5'UTR-1398")</f>
        <v>BSGatlas-5'UTR-1398</v>
      </c>
      <c r="B1399" s="3">
        <v>2123784</v>
      </c>
      <c r="C1399" s="3">
        <v>2124021</v>
      </c>
      <c r="D1399" s="1" t="s">
        <v>9</v>
      </c>
      <c r="E1399" s="1">
        <v>238</v>
      </c>
      <c r="F1399" s="1" t="s">
        <v>12911</v>
      </c>
      <c r="G1399" s="1" t="s">
        <v>7816</v>
      </c>
    </row>
    <row r="1400" spans="1:7" ht="21" x14ac:dyDescent="0.25">
      <c r="A1400" s="2" t="str">
        <f>HYPERLINK("https://rth.dk/resources/bsgatlas/details.php?id=BSGatlas-5'UTR-1399","BSGatlas-5'UTR-1399")</f>
        <v>BSGatlas-5'UTR-1399</v>
      </c>
      <c r="B1400" s="3">
        <v>2123922</v>
      </c>
      <c r="C1400" s="3">
        <v>2123947</v>
      </c>
      <c r="D1400" s="1" t="s">
        <v>13</v>
      </c>
      <c r="E1400" s="1">
        <v>26</v>
      </c>
      <c r="F1400" s="1" t="s">
        <v>12912</v>
      </c>
      <c r="G1400" s="1" t="s">
        <v>7814</v>
      </c>
    </row>
    <row r="1401" spans="1:7" ht="21" x14ac:dyDescent="0.25">
      <c r="A1401" s="2" t="str">
        <f>HYPERLINK("https://rth.dk/resources/bsgatlas/details.php?id=BSGatlas-5'UTR-1400","BSGatlas-5'UTR-1400")</f>
        <v>BSGatlas-5'UTR-1400</v>
      </c>
      <c r="B1401" s="3">
        <v>2124765</v>
      </c>
      <c r="C1401" s="3">
        <v>2124803</v>
      </c>
      <c r="D1401" s="1" t="s">
        <v>13</v>
      </c>
      <c r="E1401" s="1">
        <v>39</v>
      </c>
      <c r="F1401" s="1" t="s">
        <v>12913</v>
      </c>
      <c r="G1401" s="1" t="s">
        <v>7818</v>
      </c>
    </row>
    <row r="1402" spans="1:7" ht="21" x14ac:dyDescent="0.25">
      <c r="A1402" s="2" t="str">
        <f>HYPERLINK("https://rth.dk/resources/bsgatlas/details.php?id=BSGatlas-5'UTR-1401","BSGatlas-5'UTR-1401")</f>
        <v>BSGatlas-5'UTR-1401</v>
      </c>
      <c r="B1402" s="3">
        <v>2126184</v>
      </c>
      <c r="C1402" s="3">
        <v>2126327</v>
      </c>
      <c r="D1402" s="1" t="s">
        <v>13</v>
      </c>
      <c r="E1402" s="1">
        <v>144</v>
      </c>
      <c r="F1402" s="1" t="s">
        <v>12914</v>
      </c>
      <c r="G1402" s="1" t="s">
        <v>7821</v>
      </c>
    </row>
    <row r="1403" spans="1:7" ht="21" x14ac:dyDescent="0.25">
      <c r="A1403" s="2" t="str">
        <f>HYPERLINK("https://rth.dk/resources/bsgatlas/details.php?id=BSGatlas-5'UTR-1402","BSGatlas-5'UTR-1402")</f>
        <v>BSGatlas-5'UTR-1402</v>
      </c>
      <c r="B1403" s="3">
        <v>2126441</v>
      </c>
      <c r="C1403" s="3">
        <v>2126549</v>
      </c>
      <c r="D1403" s="1" t="s">
        <v>9</v>
      </c>
      <c r="E1403" s="1">
        <v>109</v>
      </c>
      <c r="F1403" s="1" t="s">
        <v>12915</v>
      </c>
      <c r="G1403" s="1" t="s">
        <v>7822</v>
      </c>
    </row>
    <row r="1404" spans="1:7" ht="21" x14ac:dyDescent="0.25">
      <c r="A1404" s="2" t="str">
        <f>HYPERLINK("https://rth.dk/resources/bsgatlas/details.php?id=BSGatlas-5'UTR-1403","BSGatlas-5'UTR-1403")</f>
        <v>BSGatlas-5'UTR-1403</v>
      </c>
      <c r="B1404" s="3">
        <v>2127683</v>
      </c>
      <c r="C1404" s="3">
        <v>2127774</v>
      </c>
      <c r="D1404" s="1" t="s">
        <v>13</v>
      </c>
      <c r="E1404" s="1">
        <v>92</v>
      </c>
      <c r="F1404" s="1" t="s">
        <v>12916</v>
      </c>
      <c r="G1404" s="1" t="s">
        <v>7824</v>
      </c>
    </row>
    <row r="1405" spans="1:7" ht="21" x14ac:dyDescent="0.25">
      <c r="A1405" s="2" t="str">
        <f>HYPERLINK("https://rth.dk/resources/bsgatlas/details.php?id=BSGatlas-5'UTR-1404","BSGatlas-5'UTR-1404")</f>
        <v>BSGatlas-5'UTR-1404</v>
      </c>
      <c r="B1405" s="3">
        <v>2127736</v>
      </c>
      <c r="C1405" s="3">
        <v>2127813</v>
      </c>
      <c r="D1405" s="1" t="s">
        <v>9</v>
      </c>
      <c r="E1405" s="1">
        <v>78</v>
      </c>
      <c r="F1405" s="1" t="s">
        <v>12917</v>
      </c>
      <c r="G1405" s="1" t="s">
        <v>7825</v>
      </c>
    </row>
    <row r="1406" spans="1:7" ht="21" x14ac:dyDescent="0.25">
      <c r="A1406" s="2" t="str">
        <f>HYPERLINK("https://rth.dk/resources/bsgatlas/details.php?id=BSGatlas-5'UTR-1405","BSGatlas-5'UTR-1405")</f>
        <v>BSGatlas-5'UTR-1405</v>
      </c>
      <c r="B1406" s="3">
        <v>2129993</v>
      </c>
      <c r="C1406" s="3">
        <v>2130025</v>
      </c>
      <c r="D1406" s="1" t="s">
        <v>13</v>
      </c>
      <c r="E1406" s="1">
        <v>33</v>
      </c>
      <c r="F1406" s="1" t="s">
        <v>12918</v>
      </c>
      <c r="G1406" s="1" t="s">
        <v>7828</v>
      </c>
    </row>
    <row r="1407" spans="1:7" ht="21" x14ac:dyDescent="0.25">
      <c r="A1407" s="2" t="str">
        <f>HYPERLINK("https://rth.dk/resources/bsgatlas/details.php?id=BSGatlas-5'UTR-1406","BSGatlas-5'UTR-1406")</f>
        <v>BSGatlas-5'UTR-1406</v>
      </c>
      <c r="B1407" s="3">
        <v>2129993</v>
      </c>
      <c r="C1407" s="3">
        <v>2131116</v>
      </c>
      <c r="D1407" s="1" t="s">
        <v>13</v>
      </c>
      <c r="E1407" s="1">
        <v>1124</v>
      </c>
      <c r="F1407" s="1" t="s">
        <v>12918</v>
      </c>
      <c r="G1407" s="1" t="s">
        <v>7830</v>
      </c>
    </row>
    <row r="1408" spans="1:7" ht="21" x14ac:dyDescent="0.25">
      <c r="A1408" s="2" t="str">
        <f>HYPERLINK("https://rth.dk/resources/bsgatlas/details.php?id=BSGatlas-5'UTR-1407","BSGatlas-5'UTR-1407")</f>
        <v>BSGatlas-5'UTR-1407</v>
      </c>
      <c r="B1408" s="3">
        <v>2130134</v>
      </c>
      <c r="C1408" s="3">
        <v>2130177</v>
      </c>
      <c r="D1408" s="1" t="s">
        <v>9</v>
      </c>
      <c r="E1408" s="1">
        <v>44</v>
      </c>
      <c r="F1408" s="1" t="s">
        <v>12919</v>
      </c>
      <c r="G1408" s="1" t="s">
        <v>7832</v>
      </c>
    </row>
    <row r="1409" spans="1:7" ht="21" x14ac:dyDescent="0.25">
      <c r="A1409" s="2" t="str">
        <f>HYPERLINK("https://rth.dk/resources/bsgatlas/details.php?id=BSGatlas-5'UTR-1408","BSGatlas-5'UTR-1408")</f>
        <v>BSGatlas-5'UTR-1408</v>
      </c>
      <c r="B1409" s="3">
        <v>2133108</v>
      </c>
      <c r="C1409" s="3">
        <v>2133455</v>
      </c>
      <c r="D1409" s="1" t="s">
        <v>9</v>
      </c>
      <c r="E1409" s="1">
        <v>348</v>
      </c>
      <c r="F1409" s="1" t="s">
        <v>12920</v>
      </c>
      <c r="G1409" s="1" t="s">
        <v>7837</v>
      </c>
    </row>
    <row r="1410" spans="1:7" ht="21" x14ac:dyDescent="0.25">
      <c r="A1410" s="2" t="str">
        <f>HYPERLINK("https://rth.dk/resources/bsgatlas/details.php?id=BSGatlas-5'UTR-1409","BSGatlas-5'UTR-1409")</f>
        <v>BSGatlas-5'UTR-1409</v>
      </c>
      <c r="B1410" s="3">
        <v>2133302</v>
      </c>
      <c r="C1410" s="3">
        <v>2133342</v>
      </c>
      <c r="D1410" s="1" t="s">
        <v>13</v>
      </c>
      <c r="E1410" s="1">
        <v>41</v>
      </c>
      <c r="F1410" s="1" t="s">
        <v>12921</v>
      </c>
      <c r="G1410" s="1" t="s">
        <v>7834</v>
      </c>
    </row>
    <row r="1411" spans="1:7" ht="21" x14ac:dyDescent="0.25">
      <c r="A1411" s="2" t="str">
        <f>HYPERLINK("https://rth.dk/resources/bsgatlas/details.php?id=BSGatlas-5'UTR-1410","BSGatlas-5'UTR-1410")</f>
        <v>BSGatlas-5'UTR-1410</v>
      </c>
      <c r="B1411" s="3">
        <v>2133437</v>
      </c>
      <c r="C1411" s="3">
        <v>2133455</v>
      </c>
      <c r="D1411" s="1" t="s">
        <v>9</v>
      </c>
      <c r="E1411" s="1">
        <v>19</v>
      </c>
      <c r="F1411" s="1" t="s">
        <v>12920</v>
      </c>
      <c r="G1411" s="1" t="s">
        <v>7839</v>
      </c>
    </row>
    <row r="1412" spans="1:7" ht="21" x14ac:dyDescent="0.25">
      <c r="A1412" s="2" t="str">
        <f>HYPERLINK("https://rth.dk/resources/bsgatlas/details.php?id=BSGatlas-5'UTR-1411","BSGatlas-5'UTR-1411")</f>
        <v>BSGatlas-5'UTR-1411</v>
      </c>
      <c r="B1412" s="3">
        <v>2134208</v>
      </c>
      <c r="C1412" s="3">
        <v>2134244</v>
      </c>
      <c r="D1412" s="1" t="s">
        <v>9</v>
      </c>
      <c r="E1412" s="1">
        <v>37</v>
      </c>
      <c r="F1412" s="1" t="s">
        <v>12922</v>
      </c>
      <c r="G1412" s="1" t="s">
        <v>7840</v>
      </c>
    </row>
    <row r="1413" spans="1:7" ht="21" x14ac:dyDescent="0.25">
      <c r="A1413" s="2" t="str">
        <f>HYPERLINK("https://rth.dk/resources/bsgatlas/details.php?id=BSGatlas-5'UTR-1412","BSGatlas-5'UTR-1412")</f>
        <v>BSGatlas-5'UTR-1412</v>
      </c>
      <c r="B1413" s="3">
        <v>2136171</v>
      </c>
      <c r="C1413" s="3">
        <v>2136261</v>
      </c>
      <c r="D1413" s="1" t="s">
        <v>13</v>
      </c>
      <c r="E1413" s="1">
        <v>91</v>
      </c>
      <c r="F1413" s="1" t="s">
        <v>12923</v>
      </c>
      <c r="G1413" s="1" t="s">
        <v>7842</v>
      </c>
    </row>
    <row r="1414" spans="1:7" ht="21" x14ac:dyDescent="0.25">
      <c r="A1414" s="2" t="str">
        <f>HYPERLINK("https://rth.dk/resources/bsgatlas/details.php?id=BSGatlas-5'UTR-1413","BSGatlas-5'UTR-1413")</f>
        <v>BSGatlas-5'UTR-1413</v>
      </c>
      <c r="B1414" s="3">
        <v>2136357</v>
      </c>
      <c r="C1414" s="3">
        <v>2136373</v>
      </c>
      <c r="D1414" s="1" t="s">
        <v>9</v>
      </c>
      <c r="E1414" s="1">
        <v>17</v>
      </c>
      <c r="F1414" s="1" t="s">
        <v>12924</v>
      </c>
      <c r="G1414" s="1" t="s">
        <v>7844</v>
      </c>
    </row>
    <row r="1415" spans="1:7" ht="21" x14ac:dyDescent="0.25">
      <c r="A1415" s="2" t="str">
        <f>HYPERLINK("https://rth.dk/resources/bsgatlas/details.php?id=BSGatlas-5'UTR-1414","BSGatlas-5'UTR-1414")</f>
        <v>BSGatlas-5'UTR-1414</v>
      </c>
      <c r="B1415" s="3">
        <v>2136852</v>
      </c>
      <c r="C1415" s="3">
        <v>2136880</v>
      </c>
      <c r="D1415" s="1" t="s">
        <v>13</v>
      </c>
      <c r="E1415" s="1">
        <v>29</v>
      </c>
      <c r="F1415" s="1" t="s">
        <v>12925</v>
      </c>
      <c r="G1415" s="1" t="s">
        <v>7846</v>
      </c>
    </row>
    <row r="1416" spans="1:7" ht="21" x14ac:dyDescent="0.25">
      <c r="A1416" s="2" t="str">
        <f>HYPERLINK("https://rth.dk/resources/bsgatlas/details.php?id=BSGatlas-5'UTR-1415","BSGatlas-5'UTR-1415")</f>
        <v>BSGatlas-5'UTR-1415</v>
      </c>
      <c r="B1416" s="3">
        <v>2137524</v>
      </c>
      <c r="C1416" s="3">
        <v>2137617</v>
      </c>
      <c r="D1416" s="1" t="s">
        <v>13</v>
      </c>
      <c r="E1416" s="1">
        <v>94</v>
      </c>
      <c r="F1416" s="1" t="s">
        <v>12926</v>
      </c>
      <c r="G1416" s="1" t="s">
        <v>7848</v>
      </c>
    </row>
    <row r="1417" spans="1:7" ht="21" x14ac:dyDescent="0.25">
      <c r="A1417" s="2" t="str">
        <f>HYPERLINK("https://rth.dk/resources/bsgatlas/details.php?id=BSGatlas-5'UTR-1416","BSGatlas-5'UTR-1416")</f>
        <v>BSGatlas-5'UTR-1416</v>
      </c>
      <c r="B1417" s="3">
        <v>2137778</v>
      </c>
      <c r="C1417" s="3">
        <v>2137813</v>
      </c>
      <c r="D1417" s="1" t="s">
        <v>13</v>
      </c>
      <c r="E1417" s="1">
        <v>36</v>
      </c>
      <c r="F1417" s="1" t="s">
        <v>12927</v>
      </c>
      <c r="G1417" s="1" t="s">
        <v>7849</v>
      </c>
    </row>
    <row r="1418" spans="1:7" ht="21" x14ac:dyDescent="0.25">
      <c r="A1418" s="2" t="str">
        <f>HYPERLINK("https://rth.dk/resources/bsgatlas/details.php?id=BSGatlas-5'UTR-1417","BSGatlas-5'UTR-1417")</f>
        <v>BSGatlas-5'UTR-1417</v>
      </c>
      <c r="B1418" s="3">
        <v>2137858</v>
      </c>
      <c r="C1418" s="3">
        <v>2137897</v>
      </c>
      <c r="D1418" s="1" t="s">
        <v>9</v>
      </c>
      <c r="E1418" s="1">
        <v>40</v>
      </c>
      <c r="F1418" s="1" t="s">
        <v>12928</v>
      </c>
      <c r="G1418" s="1" t="s">
        <v>7853</v>
      </c>
    </row>
    <row r="1419" spans="1:7" ht="21" x14ac:dyDescent="0.25">
      <c r="A1419" s="2" t="str">
        <f>HYPERLINK("https://rth.dk/resources/bsgatlas/details.php?id=BSGatlas-5'UTR-1418","BSGatlas-5'UTR-1418")</f>
        <v>BSGatlas-5'UTR-1418</v>
      </c>
      <c r="B1419" s="3">
        <v>2138717</v>
      </c>
      <c r="C1419" s="3">
        <v>2138750</v>
      </c>
      <c r="D1419" s="1" t="s">
        <v>13</v>
      </c>
      <c r="E1419" s="1">
        <v>34</v>
      </c>
      <c r="F1419" s="1" t="s">
        <v>12929</v>
      </c>
      <c r="G1419" s="1" t="s">
        <v>7852</v>
      </c>
    </row>
    <row r="1420" spans="1:7" ht="21" x14ac:dyDescent="0.25">
      <c r="A1420" s="2" t="str">
        <f>HYPERLINK("https://rth.dk/resources/bsgatlas/details.php?id=BSGatlas-5'UTR-1419","BSGatlas-5'UTR-1419")</f>
        <v>BSGatlas-5'UTR-1419</v>
      </c>
      <c r="B1420" s="3">
        <v>2139092</v>
      </c>
      <c r="C1420" s="3">
        <v>2139145</v>
      </c>
      <c r="D1420" s="1" t="s">
        <v>13</v>
      </c>
      <c r="E1420" s="1">
        <v>54</v>
      </c>
      <c r="F1420" s="1" t="s">
        <v>12930</v>
      </c>
      <c r="G1420" s="1" t="s">
        <v>7855</v>
      </c>
    </row>
    <row r="1421" spans="1:7" ht="21" x14ac:dyDescent="0.25">
      <c r="A1421" s="2" t="str">
        <f>HYPERLINK("https://rth.dk/resources/bsgatlas/details.php?id=BSGatlas-5'UTR-1420","BSGatlas-5'UTR-1420")</f>
        <v>BSGatlas-5'UTR-1420</v>
      </c>
      <c r="B1421" s="3">
        <v>2145690</v>
      </c>
      <c r="C1421" s="3">
        <v>2145725</v>
      </c>
      <c r="D1421" s="1" t="s">
        <v>13</v>
      </c>
      <c r="E1421" s="1">
        <v>36</v>
      </c>
      <c r="F1421" s="1" t="s">
        <v>12931</v>
      </c>
      <c r="G1421" s="1" t="s">
        <v>7858</v>
      </c>
    </row>
    <row r="1422" spans="1:7" ht="21" x14ac:dyDescent="0.25">
      <c r="A1422" s="2" t="str">
        <f>HYPERLINK("https://rth.dk/resources/bsgatlas/details.php?id=BSGatlas-5'UTR-1421","BSGatlas-5'UTR-1421")</f>
        <v>BSGatlas-5'UTR-1421</v>
      </c>
      <c r="B1422" s="3">
        <v>2145933</v>
      </c>
      <c r="C1422" s="3">
        <v>2145967</v>
      </c>
      <c r="D1422" s="1" t="s">
        <v>13</v>
      </c>
      <c r="E1422" s="1">
        <v>35</v>
      </c>
      <c r="F1422" s="1" t="s">
        <v>12932</v>
      </c>
      <c r="G1422" s="1" t="s">
        <v>7859</v>
      </c>
    </row>
    <row r="1423" spans="1:7" ht="21" x14ac:dyDescent="0.25">
      <c r="A1423" s="2" t="str">
        <f>HYPERLINK("https://rth.dk/resources/bsgatlas/details.php?id=BSGatlas-5'UTR-1422","BSGatlas-5'UTR-1422")</f>
        <v>BSGatlas-5'UTR-1422</v>
      </c>
      <c r="B1423" s="3">
        <v>2148471</v>
      </c>
      <c r="C1423" s="3">
        <v>2148498</v>
      </c>
      <c r="D1423" s="1" t="s">
        <v>13</v>
      </c>
      <c r="E1423" s="1">
        <v>28</v>
      </c>
      <c r="F1423" s="1" t="s">
        <v>12933</v>
      </c>
      <c r="G1423" s="1" t="s">
        <v>7863</v>
      </c>
    </row>
    <row r="1424" spans="1:7" ht="21" x14ac:dyDescent="0.25">
      <c r="A1424" s="2" t="str">
        <f>HYPERLINK("https://rth.dk/resources/bsgatlas/details.php?id=BSGatlas-5'UTR-1423","BSGatlas-5'UTR-1423")</f>
        <v>BSGatlas-5'UTR-1423</v>
      </c>
      <c r="B1424" s="3">
        <v>2148471</v>
      </c>
      <c r="C1424" s="3">
        <v>2148651</v>
      </c>
      <c r="D1424" s="1" t="s">
        <v>13</v>
      </c>
      <c r="E1424" s="1">
        <v>181</v>
      </c>
      <c r="F1424" s="1" t="s">
        <v>12933</v>
      </c>
      <c r="G1424" s="1" t="s">
        <v>7864</v>
      </c>
    </row>
    <row r="1425" spans="1:7" ht="21" x14ac:dyDescent="0.25">
      <c r="A1425" s="2" t="str">
        <f>HYPERLINK("https://rth.dk/resources/bsgatlas/details.php?id=BSGatlas-5'UTR-1424","BSGatlas-5'UTR-1424")</f>
        <v>BSGatlas-5'UTR-1424</v>
      </c>
      <c r="B1425" s="3">
        <v>2148646</v>
      </c>
      <c r="C1425" s="3">
        <v>2148676</v>
      </c>
      <c r="D1425" s="1" t="s">
        <v>9</v>
      </c>
      <c r="E1425" s="1">
        <v>31</v>
      </c>
      <c r="F1425" s="1" t="s">
        <v>12934</v>
      </c>
      <c r="G1425" s="1" t="s">
        <v>7867</v>
      </c>
    </row>
    <row r="1426" spans="1:7" ht="21" x14ac:dyDescent="0.25">
      <c r="A1426" s="2" t="str">
        <f>HYPERLINK("https://rth.dk/resources/bsgatlas/details.php?id=BSGatlas-5'UTR-1425","BSGatlas-5'UTR-1425")</f>
        <v>BSGatlas-5'UTR-1425</v>
      </c>
      <c r="B1426" s="3">
        <v>2151256</v>
      </c>
      <c r="C1426" s="3">
        <v>2151291</v>
      </c>
      <c r="D1426" s="1" t="s">
        <v>13</v>
      </c>
      <c r="E1426" s="1">
        <v>36</v>
      </c>
      <c r="F1426" s="1" t="s">
        <v>12935</v>
      </c>
      <c r="G1426" s="1" t="s">
        <v>7869</v>
      </c>
    </row>
    <row r="1427" spans="1:7" ht="21" x14ac:dyDescent="0.25">
      <c r="A1427" s="2" t="str">
        <f>HYPERLINK("https://rth.dk/resources/bsgatlas/details.php?id=BSGatlas-5'UTR-1426","BSGatlas-5'UTR-1426")</f>
        <v>BSGatlas-5'UTR-1426</v>
      </c>
      <c r="B1427" s="3">
        <v>2151299</v>
      </c>
      <c r="C1427" s="3">
        <v>2151626</v>
      </c>
      <c r="D1427" s="1" t="s">
        <v>9</v>
      </c>
      <c r="E1427" s="1">
        <v>328</v>
      </c>
      <c r="F1427" s="1" t="s">
        <v>12936</v>
      </c>
      <c r="G1427" s="1" t="s">
        <v>7871</v>
      </c>
    </row>
    <row r="1428" spans="1:7" ht="21" x14ac:dyDescent="0.25">
      <c r="A1428" s="2" t="str">
        <f>HYPERLINK("https://rth.dk/resources/bsgatlas/details.php?id=BSGatlas-5'UTR-1427","BSGatlas-5'UTR-1427")</f>
        <v>BSGatlas-5'UTR-1427</v>
      </c>
      <c r="B1428" s="3">
        <v>2151585</v>
      </c>
      <c r="C1428" s="3">
        <v>2151626</v>
      </c>
      <c r="D1428" s="1" t="s">
        <v>9</v>
      </c>
      <c r="E1428" s="1">
        <v>42</v>
      </c>
      <c r="F1428" s="1" t="s">
        <v>12936</v>
      </c>
      <c r="G1428" s="1" t="s">
        <v>7873</v>
      </c>
    </row>
    <row r="1429" spans="1:7" ht="21" x14ac:dyDescent="0.25">
      <c r="A1429" s="2" t="str">
        <f>HYPERLINK("https://rth.dk/resources/bsgatlas/details.php?id=BSGatlas-5'UTR-1428","BSGatlas-5'UTR-1428")</f>
        <v>BSGatlas-5'UTR-1428</v>
      </c>
      <c r="B1429" s="3">
        <v>2152262</v>
      </c>
      <c r="C1429" s="3">
        <v>2152299</v>
      </c>
      <c r="D1429" s="1" t="s">
        <v>13</v>
      </c>
      <c r="E1429" s="1">
        <v>38</v>
      </c>
      <c r="F1429" s="1" t="s">
        <v>12937</v>
      </c>
      <c r="G1429" s="1" t="s">
        <v>7874</v>
      </c>
    </row>
    <row r="1430" spans="1:7" ht="21" x14ac:dyDescent="0.25">
      <c r="A1430" s="2" t="str">
        <f>HYPERLINK("https://rth.dk/resources/bsgatlas/details.php?id=BSGatlas-5'UTR-1429","BSGatlas-5'UTR-1429")</f>
        <v>BSGatlas-5'UTR-1429</v>
      </c>
      <c r="B1430" s="3">
        <v>2152890</v>
      </c>
      <c r="C1430" s="3">
        <v>2152927</v>
      </c>
      <c r="D1430" s="1" t="s">
        <v>9</v>
      </c>
      <c r="E1430" s="1">
        <v>38</v>
      </c>
      <c r="F1430" s="1" t="s">
        <v>12938</v>
      </c>
      <c r="G1430" s="1" t="s">
        <v>7878</v>
      </c>
    </row>
    <row r="1431" spans="1:7" ht="21" x14ac:dyDescent="0.25">
      <c r="A1431" s="2" t="str">
        <f>HYPERLINK("https://rth.dk/resources/bsgatlas/details.php?id=BSGatlas-5'UTR-1430","BSGatlas-5'UTR-1430")</f>
        <v>BSGatlas-5'UTR-1430</v>
      </c>
      <c r="B1431" s="3">
        <v>2156199</v>
      </c>
      <c r="C1431" s="3">
        <v>2156239</v>
      </c>
      <c r="D1431" s="1" t="s">
        <v>9</v>
      </c>
      <c r="E1431" s="1">
        <v>41</v>
      </c>
      <c r="F1431" s="1" t="s">
        <v>12939</v>
      </c>
      <c r="G1431" s="1" t="s">
        <v>7882</v>
      </c>
    </row>
    <row r="1432" spans="1:7" ht="21" x14ac:dyDescent="0.25">
      <c r="A1432" s="2" t="str">
        <f>HYPERLINK("https://rth.dk/resources/bsgatlas/details.php?id=BSGatlas-5'UTR-1431","BSGatlas-5'UTR-1431")</f>
        <v>BSGatlas-5'UTR-1431</v>
      </c>
      <c r="B1432" s="3">
        <v>2157110</v>
      </c>
      <c r="C1432" s="3">
        <v>2157231</v>
      </c>
      <c r="D1432" s="1" t="s">
        <v>13</v>
      </c>
      <c r="E1432" s="1">
        <v>122</v>
      </c>
      <c r="F1432" s="1" t="s">
        <v>12940</v>
      </c>
      <c r="G1432" s="1" t="s">
        <v>7877</v>
      </c>
    </row>
    <row r="1433" spans="1:7" ht="21" x14ac:dyDescent="0.25">
      <c r="A1433" s="2" t="str">
        <f>HYPERLINK("https://rth.dk/resources/bsgatlas/details.php?id=BSGatlas-5'UTR-1432","BSGatlas-5'UTR-1432")</f>
        <v>BSGatlas-5'UTR-1432</v>
      </c>
      <c r="B1433" s="3">
        <v>2158408</v>
      </c>
      <c r="C1433" s="3">
        <v>2158439</v>
      </c>
      <c r="D1433" s="1" t="s">
        <v>9</v>
      </c>
      <c r="E1433" s="1">
        <v>32</v>
      </c>
      <c r="F1433" s="1" t="s">
        <v>12941</v>
      </c>
      <c r="G1433" s="1" t="s">
        <v>7886</v>
      </c>
    </row>
    <row r="1434" spans="1:7" ht="21" x14ac:dyDescent="0.25">
      <c r="A1434" s="2" t="str">
        <f>HYPERLINK("https://rth.dk/resources/bsgatlas/details.php?id=BSGatlas-5'UTR-1433","BSGatlas-5'UTR-1433")</f>
        <v>BSGatlas-5'UTR-1433</v>
      </c>
      <c r="B1434" s="3">
        <v>2159173</v>
      </c>
      <c r="C1434" s="3">
        <v>2159200</v>
      </c>
      <c r="D1434" s="1" t="s">
        <v>13</v>
      </c>
      <c r="E1434" s="1">
        <v>28</v>
      </c>
      <c r="F1434" s="1" t="s">
        <v>12942</v>
      </c>
      <c r="G1434" s="1" t="s">
        <v>7888</v>
      </c>
    </row>
    <row r="1435" spans="1:7" ht="21" x14ac:dyDescent="0.25">
      <c r="A1435" s="2" t="str">
        <f>HYPERLINK("https://rth.dk/resources/bsgatlas/details.php?id=BSGatlas-5'UTR-1434","BSGatlas-5'UTR-1434")</f>
        <v>BSGatlas-5'UTR-1434</v>
      </c>
      <c r="B1435" s="3">
        <v>2161778</v>
      </c>
      <c r="C1435" s="3">
        <v>2161799</v>
      </c>
      <c r="D1435" s="1" t="s">
        <v>13</v>
      </c>
      <c r="E1435" s="1">
        <v>22</v>
      </c>
      <c r="F1435" s="1" t="s">
        <v>12943</v>
      </c>
      <c r="G1435" s="1" t="s">
        <v>7889</v>
      </c>
    </row>
    <row r="1436" spans="1:7" ht="21" x14ac:dyDescent="0.25">
      <c r="A1436" s="2" t="str">
        <f>HYPERLINK("https://rth.dk/resources/bsgatlas/details.php?id=BSGatlas-5'UTR-1435","BSGatlas-5'UTR-1435")</f>
        <v>BSGatlas-5'UTR-1435</v>
      </c>
      <c r="B1436" s="3">
        <v>2169773</v>
      </c>
      <c r="C1436" s="3">
        <v>2169807</v>
      </c>
      <c r="D1436" s="1" t="s">
        <v>9</v>
      </c>
      <c r="E1436" s="1">
        <v>35</v>
      </c>
      <c r="F1436" s="1" t="s">
        <v>12944</v>
      </c>
      <c r="G1436" s="1" t="s">
        <v>7893</v>
      </c>
    </row>
    <row r="1437" spans="1:7" ht="21" x14ac:dyDescent="0.25">
      <c r="A1437" s="2" t="str">
        <f>HYPERLINK("https://rth.dk/resources/bsgatlas/details.php?id=BSGatlas-5'UTR-1436","BSGatlas-5'UTR-1436")</f>
        <v>BSGatlas-5'UTR-1436</v>
      </c>
      <c r="B1437" s="3">
        <v>2171357</v>
      </c>
      <c r="C1437" s="3">
        <v>2171751</v>
      </c>
      <c r="D1437" s="1" t="s">
        <v>13</v>
      </c>
      <c r="E1437" s="1">
        <v>395</v>
      </c>
      <c r="F1437" s="1" t="s">
        <v>12945</v>
      </c>
      <c r="G1437" s="1" t="s">
        <v>7895</v>
      </c>
    </row>
    <row r="1438" spans="1:7" ht="21" x14ac:dyDescent="0.25">
      <c r="A1438" s="2" t="str">
        <f>HYPERLINK("https://rth.dk/resources/bsgatlas/details.php?id=BSGatlas-5'UTR-1437","BSGatlas-5'UTR-1437")</f>
        <v>BSGatlas-5'UTR-1437</v>
      </c>
      <c r="B1438" s="3">
        <v>2174734</v>
      </c>
      <c r="C1438" s="3">
        <v>2174792</v>
      </c>
      <c r="D1438" s="1" t="s">
        <v>13</v>
      </c>
      <c r="E1438" s="1">
        <v>59</v>
      </c>
      <c r="F1438" s="1" t="s">
        <v>12946</v>
      </c>
      <c r="G1438" s="1" t="s">
        <v>7896</v>
      </c>
    </row>
    <row r="1439" spans="1:7" ht="21" x14ac:dyDescent="0.25">
      <c r="A1439" s="2" t="str">
        <f>HYPERLINK("https://rth.dk/resources/bsgatlas/details.php?id=BSGatlas-5'UTR-1438","BSGatlas-5'UTR-1438")</f>
        <v>BSGatlas-5'UTR-1438</v>
      </c>
      <c r="B1439" s="3">
        <v>2187299</v>
      </c>
      <c r="C1439" s="3">
        <v>2187336</v>
      </c>
      <c r="D1439" s="1" t="s">
        <v>13</v>
      </c>
      <c r="E1439" s="1">
        <v>38</v>
      </c>
      <c r="F1439" s="1" t="s">
        <v>12947</v>
      </c>
      <c r="G1439" s="1" t="s">
        <v>7898</v>
      </c>
    </row>
    <row r="1440" spans="1:7" ht="21" x14ac:dyDescent="0.25">
      <c r="A1440" s="2" t="str">
        <f>HYPERLINK("https://rth.dk/resources/bsgatlas/details.php?id=BSGatlas-5'UTR-1439","BSGatlas-5'UTR-1439")</f>
        <v>BSGatlas-5'UTR-1439</v>
      </c>
      <c r="B1440" s="3">
        <v>2188115</v>
      </c>
      <c r="C1440" s="3">
        <v>2188165</v>
      </c>
      <c r="D1440" s="1" t="s">
        <v>13</v>
      </c>
      <c r="E1440" s="1">
        <v>51</v>
      </c>
      <c r="F1440" s="1" t="s">
        <v>12948</v>
      </c>
      <c r="G1440" s="1" t="s">
        <v>7902</v>
      </c>
    </row>
    <row r="1441" spans="1:7" ht="21" x14ac:dyDescent="0.25">
      <c r="A1441" s="2" t="str">
        <f>HYPERLINK("https://rth.dk/resources/bsgatlas/details.php?id=BSGatlas-5'UTR-1440","BSGatlas-5'UTR-1440")</f>
        <v>BSGatlas-5'UTR-1440</v>
      </c>
      <c r="B1441" s="3">
        <v>2189964</v>
      </c>
      <c r="C1441" s="3">
        <v>2190288</v>
      </c>
      <c r="D1441" s="1" t="s">
        <v>13</v>
      </c>
      <c r="E1441" s="1">
        <v>325</v>
      </c>
      <c r="F1441" s="1" t="s">
        <v>12949</v>
      </c>
      <c r="G1441" s="1" t="s">
        <v>7904</v>
      </c>
    </row>
    <row r="1442" spans="1:7" ht="21" x14ac:dyDescent="0.25">
      <c r="A1442" s="2" t="str">
        <f>HYPERLINK("https://rth.dk/resources/bsgatlas/details.php?id=BSGatlas-5'UTR-1441","BSGatlas-5'UTR-1441")</f>
        <v>BSGatlas-5'UTR-1441</v>
      </c>
      <c r="B1442" s="3">
        <v>2190661</v>
      </c>
      <c r="C1442" s="3">
        <v>2191626</v>
      </c>
      <c r="D1442" s="1" t="s">
        <v>9</v>
      </c>
      <c r="E1442" s="1">
        <v>966</v>
      </c>
      <c r="F1442" s="1" t="s">
        <v>12950</v>
      </c>
      <c r="G1442" s="1" t="s">
        <v>7906</v>
      </c>
    </row>
    <row r="1443" spans="1:7" ht="21" x14ac:dyDescent="0.25">
      <c r="A1443" s="2" t="str">
        <f>HYPERLINK("https://rth.dk/resources/bsgatlas/details.php?id=BSGatlas-5'UTR-1442","BSGatlas-5'UTR-1442")</f>
        <v>BSGatlas-5'UTR-1442</v>
      </c>
      <c r="B1443" s="3">
        <v>2195135</v>
      </c>
      <c r="C1443" s="3">
        <v>2195173</v>
      </c>
      <c r="D1443" s="1" t="s">
        <v>9</v>
      </c>
      <c r="E1443" s="1">
        <v>39</v>
      </c>
      <c r="F1443" s="1" t="s">
        <v>12951</v>
      </c>
      <c r="G1443" s="1" t="s">
        <v>7908</v>
      </c>
    </row>
    <row r="1444" spans="1:7" ht="21" x14ac:dyDescent="0.25">
      <c r="A1444" s="2" t="str">
        <f>HYPERLINK("https://rth.dk/resources/bsgatlas/details.php?id=BSGatlas-5'UTR-1443","BSGatlas-5'UTR-1443")</f>
        <v>BSGatlas-5'UTR-1443</v>
      </c>
      <c r="B1444" s="3">
        <v>2195940</v>
      </c>
      <c r="C1444" s="3">
        <v>2195986</v>
      </c>
      <c r="D1444" s="1" t="s">
        <v>9</v>
      </c>
      <c r="E1444" s="1">
        <v>47</v>
      </c>
      <c r="F1444" s="1" t="s">
        <v>12952</v>
      </c>
      <c r="G1444" s="1" t="s">
        <v>7910</v>
      </c>
    </row>
    <row r="1445" spans="1:7" ht="21" x14ac:dyDescent="0.25">
      <c r="A1445" s="2" t="str">
        <f>HYPERLINK("https://rth.dk/resources/bsgatlas/details.php?id=BSGatlas-5'UTR-1444","BSGatlas-5'UTR-1444")</f>
        <v>BSGatlas-5'UTR-1444</v>
      </c>
      <c r="B1445" s="3">
        <v>2203596</v>
      </c>
      <c r="C1445" s="3">
        <v>2203983</v>
      </c>
      <c r="D1445" s="1" t="s">
        <v>13</v>
      </c>
      <c r="E1445" s="1">
        <v>388</v>
      </c>
      <c r="F1445" s="1" t="s">
        <v>12953</v>
      </c>
      <c r="G1445" s="1" t="s">
        <v>7912</v>
      </c>
    </row>
    <row r="1446" spans="1:7" ht="21" x14ac:dyDescent="0.25">
      <c r="A1446" s="2" t="str">
        <f>HYPERLINK("https://rth.dk/resources/bsgatlas/details.php?id=BSGatlas-5'UTR-1445","BSGatlas-5'UTR-1445")</f>
        <v>BSGatlas-5'UTR-1445</v>
      </c>
      <c r="B1446" s="3">
        <v>2203596</v>
      </c>
      <c r="C1446" s="3">
        <v>2204050</v>
      </c>
      <c r="D1446" s="1" t="s">
        <v>13</v>
      </c>
      <c r="E1446" s="1">
        <v>455</v>
      </c>
      <c r="F1446" s="1" t="s">
        <v>12953</v>
      </c>
      <c r="G1446" s="1" t="s">
        <v>7913</v>
      </c>
    </row>
    <row r="1447" spans="1:7" ht="21" x14ac:dyDescent="0.25">
      <c r="A1447" s="2" t="str">
        <f>HYPERLINK("https://rth.dk/resources/bsgatlas/details.php?id=BSGatlas-5'UTR-1446","BSGatlas-5'UTR-1446")</f>
        <v>BSGatlas-5'UTR-1446</v>
      </c>
      <c r="B1447" s="3">
        <v>2203731</v>
      </c>
      <c r="C1447" s="3">
        <v>2203779</v>
      </c>
      <c r="D1447" s="1" t="s">
        <v>9</v>
      </c>
      <c r="E1447" s="1">
        <v>49</v>
      </c>
      <c r="F1447" s="1" t="s">
        <v>12954</v>
      </c>
      <c r="G1447" s="1" t="s">
        <v>7914</v>
      </c>
    </row>
    <row r="1448" spans="1:7" ht="21" x14ac:dyDescent="0.25">
      <c r="A1448" s="2" t="str">
        <f>HYPERLINK("https://rth.dk/resources/bsgatlas/details.php?id=BSGatlas-5'UTR-1447","BSGatlas-5'UTR-1447")</f>
        <v>BSGatlas-5'UTR-1447</v>
      </c>
      <c r="B1448" s="3">
        <v>2206575</v>
      </c>
      <c r="C1448" s="3">
        <v>2206623</v>
      </c>
      <c r="D1448" s="1" t="s">
        <v>13</v>
      </c>
      <c r="E1448" s="1">
        <v>49</v>
      </c>
      <c r="F1448" s="1" t="s">
        <v>12955</v>
      </c>
      <c r="G1448" s="1" t="s">
        <v>7916</v>
      </c>
    </row>
    <row r="1449" spans="1:7" ht="21" x14ac:dyDescent="0.25">
      <c r="A1449" s="2" t="str">
        <f>HYPERLINK("https://rth.dk/resources/bsgatlas/details.php?id=BSGatlas-5'UTR-1448","BSGatlas-5'UTR-1448")</f>
        <v>BSGatlas-5'UTR-1448</v>
      </c>
      <c r="B1449" s="3">
        <v>2208528</v>
      </c>
      <c r="C1449" s="3">
        <v>2208581</v>
      </c>
      <c r="D1449" s="1" t="s">
        <v>13</v>
      </c>
      <c r="E1449" s="1">
        <v>54</v>
      </c>
      <c r="F1449" s="1" t="s">
        <v>12956</v>
      </c>
      <c r="G1449" s="1" t="s">
        <v>7919</v>
      </c>
    </row>
    <row r="1450" spans="1:7" ht="21" x14ac:dyDescent="0.25">
      <c r="A1450" s="2" t="str">
        <f>HYPERLINK("https://rth.dk/resources/bsgatlas/details.php?id=BSGatlas-5'UTR-1449","BSGatlas-5'UTR-1449")</f>
        <v>BSGatlas-5'UTR-1449</v>
      </c>
      <c r="B1450" s="3">
        <v>2208980</v>
      </c>
      <c r="C1450" s="3">
        <v>2209002</v>
      </c>
      <c r="D1450" s="1" t="s">
        <v>13</v>
      </c>
      <c r="E1450" s="1">
        <v>23</v>
      </c>
      <c r="F1450" s="1" t="s">
        <v>12957</v>
      </c>
      <c r="G1450" s="1" t="s">
        <v>7924</v>
      </c>
    </row>
    <row r="1451" spans="1:7" ht="21" x14ac:dyDescent="0.25">
      <c r="A1451" s="2" t="str">
        <f>HYPERLINK("https://rth.dk/resources/bsgatlas/details.php?id=BSGatlas-5'UTR-1450","BSGatlas-5'UTR-1450")</f>
        <v>BSGatlas-5'UTR-1450</v>
      </c>
      <c r="B1451" s="3">
        <v>2210154</v>
      </c>
      <c r="C1451" s="3">
        <v>2210202</v>
      </c>
      <c r="D1451" s="1" t="s">
        <v>13</v>
      </c>
      <c r="E1451" s="1">
        <v>49</v>
      </c>
      <c r="F1451" s="1" t="s">
        <v>12958</v>
      </c>
      <c r="G1451" s="1" t="s">
        <v>7925</v>
      </c>
    </row>
    <row r="1452" spans="1:7" ht="21" x14ac:dyDescent="0.25">
      <c r="A1452" s="2" t="str">
        <f>HYPERLINK("https://rth.dk/resources/bsgatlas/details.php?id=BSGatlas-5'UTR-1451","BSGatlas-5'UTR-1451")</f>
        <v>BSGatlas-5'UTR-1451</v>
      </c>
      <c r="B1452" s="3">
        <v>2212496</v>
      </c>
      <c r="C1452" s="3">
        <v>2212519</v>
      </c>
      <c r="D1452" s="1" t="s">
        <v>13</v>
      </c>
      <c r="E1452" s="1">
        <v>24</v>
      </c>
      <c r="F1452" s="1" t="s">
        <v>12959</v>
      </c>
      <c r="G1452" s="1" t="s">
        <v>7926</v>
      </c>
    </row>
    <row r="1453" spans="1:7" ht="21" x14ac:dyDescent="0.25">
      <c r="A1453" s="2" t="str">
        <f>HYPERLINK("https://rth.dk/resources/bsgatlas/details.php?id=BSGatlas-5'UTR-1452","BSGatlas-5'UTR-1452")</f>
        <v>BSGatlas-5'UTR-1452</v>
      </c>
      <c r="B1453" s="3">
        <v>2212531</v>
      </c>
      <c r="C1453" s="3">
        <v>2212567</v>
      </c>
      <c r="D1453" s="1" t="s">
        <v>9</v>
      </c>
      <c r="E1453" s="1">
        <v>37</v>
      </c>
      <c r="F1453" s="1" t="s">
        <v>12960</v>
      </c>
      <c r="G1453" s="1" t="s">
        <v>7927</v>
      </c>
    </row>
    <row r="1454" spans="1:7" ht="21" x14ac:dyDescent="0.25">
      <c r="A1454" s="2" t="str">
        <f>HYPERLINK("https://rth.dk/resources/bsgatlas/details.php?id=BSGatlas-5'UTR-1453","BSGatlas-5'UTR-1453")</f>
        <v>BSGatlas-5'UTR-1453</v>
      </c>
      <c r="B1454" s="3">
        <v>2214864</v>
      </c>
      <c r="C1454" s="3">
        <v>2214961</v>
      </c>
      <c r="D1454" s="1" t="s">
        <v>13</v>
      </c>
      <c r="E1454" s="1">
        <v>98</v>
      </c>
      <c r="F1454" s="1" t="s">
        <v>12961</v>
      </c>
      <c r="G1454" s="1" t="s">
        <v>7929</v>
      </c>
    </row>
    <row r="1455" spans="1:7" ht="21" x14ac:dyDescent="0.25">
      <c r="A1455" s="2" t="str">
        <f>HYPERLINK("https://rth.dk/resources/bsgatlas/details.php?id=BSGatlas-5'UTR-1454","BSGatlas-5'UTR-1454")</f>
        <v>BSGatlas-5'UTR-1454</v>
      </c>
      <c r="B1455" s="3">
        <v>2216776</v>
      </c>
      <c r="C1455" s="3">
        <v>2216813</v>
      </c>
      <c r="D1455" s="1" t="s">
        <v>13</v>
      </c>
      <c r="E1455" s="1">
        <v>38</v>
      </c>
      <c r="F1455" s="1" t="s">
        <v>12962</v>
      </c>
      <c r="G1455" s="1" t="s">
        <v>7930</v>
      </c>
    </row>
    <row r="1456" spans="1:7" ht="21" x14ac:dyDescent="0.25">
      <c r="A1456" s="2" t="str">
        <f>HYPERLINK("https://rth.dk/resources/bsgatlas/details.php?id=BSGatlas-5'UTR-1455","BSGatlas-5'UTR-1455")</f>
        <v>BSGatlas-5'UTR-1455</v>
      </c>
      <c r="B1456" s="3">
        <v>2217639</v>
      </c>
      <c r="C1456" s="3">
        <v>2217689</v>
      </c>
      <c r="D1456" s="1" t="s">
        <v>13</v>
      </c>
      <c r="E1456" s="1">
        <v>51</v>
      </c>
      <c r="F1456" s="1" t="s">
        <v>12963</v>
      </c>
      <c r="G1456" s="1" t="s">
        <v>7932</v>
      </c>
    </row>
    <row r="1457" spans="1:7" ht="21" x14ac:dyDescent="0.25">
      <c r="A1457" s="2" t="str">
        <f>HYPERLINK("https://rth.dk/resources/bsgatlas/details.php?id=BSGatlas-5'UTR-1456","BSGatlas-5'UTR-1456")</f>
        <v>BSGatlas-5'UTR-1456</v>
      </c>
      <c r="B1457" s="3">
        <v>2219469</v>
      </c>
      <c r="C1457" s="3">
        <v>2219493</v>
      </c>
      <c r="D1457" s="1" t="s">
        <v>13</v>
      </c>
      <c r="E1457" s="1">
        <v>25</v>
      </c>
      <c r="F1457" s="1" t="s">
        <v>12964</v>
      </c>
      <c r="G1457" s="1" t="s">
        <v>7935</v>
      </c>
    </row>
    <row r="1458" spans="1:7" ht="21" x14ac:dyDescent="0.25">
      <c r="A1458" s="2" t="str">
        <f>HYPERLINK("https://rth.dk/resources/bsgatlas/details.php?id=BSGatlas-5'UTR-1457","BSGatlas-5'UTR-1457")</f>
        <v>BSGatlas-5'UTR-1457</v>
      </c>
      <c r="B1458" s="3">
        <v>2219960</v>
      </c>
      <c r="C1458" s="3">
        <v>2219999</v>
      </c>
      <c r="D1458" s="1" t="s">
        <v>13</v>
      </c>
      <c r="E1458" s="1">
        <v>40</v>
      </c>
      <c r="F1458" s="1" t="s">
        <v>12965</v>
      </c>
      <c r="G1458" s="1" t="s">
        <v>7934</v>
      </c>
    </row>
    <row r="1459" spans="1:7" ht="21" x14ac:dyDescent="0.25">
      <c r="A1459" s="2" t="str">
        <f>HYPERLINK("https://rth.dk/resources/bsgatlas/details.php?id=BSGatlas-5'UTR-1458","BSGatlas-5'UTR-1458")</f>
        <v>BSGatlas-5'UTR-1458</v>
      </c>
      <c r="B1459" s="3">
        <v>2221387</v>
      </c>
      <c r="C1459" s="3">
        <v>2221418</v>
      </c>
      <c r="D1459" s="1" t="s">
        <v>13</v>
      </c>
      <c r="E1459" s="1">
        <v>32</v>
      </c>
      <c r="F1459" s="1" t="s">
        <v>12966</v>
      </c>
      <c r="G1459" s="1" t="s">
        <v>7942</v>
      </c>
    </row>
    <row r="1460" spans="1:7" ht="21" x14ac:dyDescent="0.25">
      <c r="A1460" s="2" t="str">
        <f>HYPERLINK("https://rth.dk/resources/bsgatlas/details.php?id=BSGatlas-5'UTR-1459","BSGatlas-5'UTR-1459")</f>
        <v>BSGatlas-5'UTR-1459</v>
      </c>
      <c r="B1460" s="3">
        <v>2222299</v>
      </c>
      <c r="C1460" s="3">
        <v>2222340</v>
      </c>
      <c r="D1460" s="1" t="s">
        <v>9</v>
      </c>
      <c r="E1460" s="1">
        <v>42</v>
      </c>
      <c r="F1460" s="1" t="s">
        <v>12967</v>
      </c>
      <c r="G1460" s="1" t="s">
        <v>7948</v>
      </c>
    </row>
    <row r="1461" spans="1:7" ht="21" x14ac:dyDescent="0.25">
      <c r="A1461" s="2" t="str">
        <f>HYPERLINK("https://rth.dk/resources/bsgatlas/details.php?id=BSGatlas-5'UTR-1460","BSGatlas-5'UTR-1460")</f>
        <v>BSGatlas-5'UTR-1460</v>
      </c>
      <c r="B1461" s="3">
        <v>2229166</v>
      </c>
      <c r="C1461" s="3">
        <v>2229202</v>
      </c>
      <c r="D1461" s="1" t="s">
        <v>13</v>
      </c>
      <c r="E1461" s="1">
        <v>37</v>
      </c>
      <c r="F1461" s="1" t="s">
        <v>12968</v>
      </c>
      <c r="G1461" s="1" t="s">
        <v>7953</v>
      </c>
    </row>
    <row r="1462" spans="1:7" ht="21" x14ac:dyDescent="0.25">
      <c r="A1462" s="2" t="str">
        <f>HYPERLINK("https://rth.dk/resources/bsgatlas/details.php?id=BSGatlas-5'UTR-1461","BSGatlas-5'UTR-1461")</f>
        <v>BSGatlas-5'UTR-1461</v>
      </c>
      <c r="B1462" s="3">
        <v>2229166</v>
      </c>
      <c r="C1462" s="3">
        <v>2230053</v>
      </c>
      <c r="D1462" s="1" t="s">
        <v>13</v>
      </c>
      <c r="E1462" s="1">
        <v>888</v>
      </c>
      <c r="F1462" s="1" t="s">
        <v>12968</v>
      </c>
      <c r="G1462" s="1" t="s">
        <v>7955</v>
      </c>
    </row>
    <row r="1463" spans="1:7" ht="21" x14ac:dyDescent="0.25">
      <c r="A1463" s="2" t="str">
        <f>HYPERLINK("https://rth.dk/resources/bsgatlas/details.php?id=BSGatlas-5'UTR-1462","BSGatlas-5'UTR-1462")</f>
        <v>BSGatlas-5'UTR-1462</v>
      </c>
      <c r="B1463" s="3">
        <v>2229955</v>
      </c>
      <c r="C1463" s="3">
        <v>2229988</v>
      </c>
      <c r="D1463" s="1" t="s">
        <v>9</v>
      </c>
      <c r="E1463" s="1">
        <v>34</v>
      </c>
      <c r="F1463" s="1" t="s">
        <v>12969</v>
      </c>
      <c r="G1463" s="1" t="s">
        <v>7956</v>
      </c>
    </row>
    <row r="1464" spans="1:7" ht="21" x14ac:dyDescent="0.25">
      <c r="A1464" s="2" t="str">
        <f>HYPERLINK("https://rth.dk/resources/bsgatlas/details.php?id=BSGatlas-5'UTR-1463","BSGatlas-5'UTR-1463")</f>
        <v>BSGatlas-5'UTR-1463</v>
      </c>
      <c r="B1464" s="3">
        <v>2246480</v>
      </c>
      <c r="C1464" s="3">
        <v>2246517</v>
      </c>
      <c r="D1464" s="1" t="s">
        <v>13</v>
      </c>
      <c r="E1464" s="1">
        <v>38</v>
      </c>
      <c r="F1464" s="1" t="s">
        <v>12970</v>
      </c>
      <c r="G1464" s="1" t="s">
        <v>7958</v>
      </c>
    </row>
    <row r="1465" spans="1:7" ht="21" x14ac:dyDescent="0.25">
      <c r="A1465" s="2" t="str">
        <f>HYPERLINK("https://rth.dk/resources/bsgatlas/details.php?id=BSGatlas-5'UTR-1464","BSGatlas-5'UTR-1464")</f>
        <v>BSGatlas-5'UTR-1464</v>
      </c>
      <c r="B1465" s="3">
        <v>2247862</v>
      </c>
      <c r="C1465" s="3">
        <v>2247889</v>
      </c>
      <c r="D1465" s="1" t="s">
        <v>9</v>
      </c>
      <c r="E1465" s="1">
        <v>28</v>
      </c>
      <c r="F1465" s="1" t="s">
        <v>12971</v>
      </c>
      <c r="G1465" s="1" t="s">
        <v>7960</v>
      </c>
    </row>
    <row r="1466" spans="1:7" ht="21" x14ac:dyDescent="0.25">
      <c r="A1466" s="2" t="str">
        <f>HYPERLINK("https://rth.dk/resources/bsgatlas/details.php?id=BSGatlas-5'UTR-1465","BSGatlas-5'UTR-1465")</f>
        <v>BSGatlas-5'UTR-1465</v>
      </c>
      <c r="B1466" s="3">
        <v>2248391</v>
      </c>
      <c r="C1466" s="3">
        <v>2248417</v>
      </c>
      <c r="D1466" s="1" t="s">
        <v>9</v>
      </c>
      <c r="E1466" s="1">
        <v>27</v>
      </c>
      <c r="F1466" s="1" t="s">
        <v>12972</v>
      </c>
      <c r="G1466" s="1" t="s">
        <v>7961</v>
      </c>
    </row>
    <row r="1467" spans="1:7" ht="21" x14ac:dyDescent="0.25">
      <c r="A1467" s="2" t="str">
        <f>HYPERLINK("https://rth.dk/resources/bsgatlas/details.php?id=BSGatlas-5'UTR-1466","BSGatlas-5'UTR-1466")</f>
        <v>BSGatlas-5'UTR-1466</v>
      </c>
      <c r="B1467" s="3">
        <v>2269691</v>
      </c>
      <c r="C1467" s="3">
        <v>2269754</v>
      </c>
      <c r="D1467" s="1" t="s">
        <v>13</v>
      </c>
      <c r="E1467" s="1">
        <v>64</v>
      </c>
      <c r="F1467" s="1" t="s">
        <v>12973</v>
      </c>
      <c r="G1467" s="1" t="s">
        <v>7968</v>
      </c>
    </row>
    <row r="1468" spans="1:7" ht="21" x14ac:dyDescent="0.25">
      <c r="A1468" s="2" t="str">
        <f>HYPERLINK("https://rth.dk/resources/bsgatlas/details.php?id=BSGatlas-5'UTR-1467","BSGatlas-5'UTR-1467")</f>
        <v>BSGatlas-5'UTR-1467</v>
      </c>
      <c r="B1468" s="3">
        <v>2270305</v>
      </c>
      <c r="C1468" s="3">
        <v>2270347</v>
      </c>
      <c r="D1468" s="1" t="s">
        <v>13</v>
      </c>
      <c r="E1468" s="1">
        <v>43</v>
      </c>
      <c r="F1468" s="1" t="s">
        <v>12974</v>
      </c>
      <c r="G1468" s="1" t="s">
        <v>7972</v>
      </c>
    </row>
    <row r="1469" spans="1:7" ht="21" x14ac:dyDescent="0.25">
      <c r="A1469" s="2" t="str">
        <f>HYPERLINK("https://rth.dk/resources/bsgatlas/details.php?id=BSGatlas-5'UTR-1468","BSGatlas-5'UTR-1468")</f>
        <v>BSGatlas-5'UTR-1468</v>
      </c>
      <c r="B1469" s="3">
        <v>2271982</v>
      </c>
      <c r="C1469" s="3">
        <v>2272010</v>
      </c>
      <c r="D1469" s="1" t="s">
        <v>13</v>
      </c>
      <c r="E1469" s="1">
        <v>29</v>
      </c>
      <c r="F1469" s="1" t="s">
        <v>12975</v>
      </c>
      <c r="G1469" s="1" t="s">
        <v>7975</v>
      </c>
    </row>
    <row r="1470" spans="1:7" ht="21" x14ac:dyDescent="0.25">
      <c r="A1470" s="2" t="str">
        <f>HYPERLINK("https://rth.dk/resources/bsgatlas/details.php?id=BSGatlas-5'UTR-1469","BSGatlas-5'UTR-1469")</f>
        <v>BSGatlas-5'UTR-1469</v>
      </c>
      <c r="B1470" s="3">
        <v>2272107</v>
      </c>
      <c r="C1470" s="3">
        <v>2272156</v>
      </c>
      <c r="D1470" s="1" t="s">
        <v>9</v>
      </c>
      <c r="E1470" s="1">
        <v>50</v>
      </c>
      <c r="F1470" s="1" t="s">
        <v>12976</v>
      </c>
      <c r="G1470" s="1" t="s">
        <v>7976</v>
      </c>
    </row>
    <row r="1471" spans="1:7" ht="21" x14ac:dyDescent="0.25">
      <c r="A1471" s="2" t="str">
        <f>HYPERLINK("https://rth.dk/resources/bsgatlas/details.php?id=BSGatlas-5'UTR-1470","BSGatlas-5'UTR-1470")</f>
        <v>BSGatlas-5'UTR-1470</v>
      </c>
      <c r="B1471" s="3">
        <v>2273363</v>
      </c>
      <c r="C1471" s="3">
        <v>2273404</v>
      </c>
      <c r="D1471" s="1" t="s">
        <v>13</v>
      </c>
      <c r="E1471" s="1">
        <v>42</v>
      </c>
      <c r="F1471" s="1" t="s">
        <v>12977</v>
      </c>
      <c r="G1471" s="1" t="s">
        <v>7981</v>
      </c>
    </row>
    <row r="1472" spans="1:7" ht="21" x14ac:dyDescent="0.25">
      <c r="A1472" s="2" t="str">
        <f>HYPERLINK("https://rth.dk/resources/bsgatlas/details.php?id=BSGatlas-5'UTR-1471","BSGatlas-5'UTR-1471")</f>
        <v>BSGatlas-5'UTR-1471</v>
      </c>
      <c r="B1472" s="3">
        <v>2273383</v>
      </c>
      <c r="C1472" s="3">
        <v>2273524</v>
      </c>
      <c r="D1472" s="1" t="s">
        <v>9</v>
      </c>
      <c r="E1472" s="1">
        <v>142</v>
      </c>
      <c r="F1472" s="1" t="s">
        <v>12978</v>
      </c>
      <c r="G1472" s="1" t="s">
        <v>7983</v>
      </c>
    </row>
    <row r="1473" spans="1:7" ht="21" x14ac:dyDescent="0.25">
      <c r="A1473" s="2" t="str">
        <f>HYPERLINK("https://rth.dk/resources/bsgatlas/details.php?id=BSGatlas-5'UTR-1472","BSGatlas-5'UTR-1472")</f>
        <v>BSGatlas-5'UTR-1472</v>
      </c>
      <c r="B1473" s="3">
        <v>2273427</v>
      </c>
      <c r="C1473" s="3">
        <v>2273524</v>
      </c>
      <c r="D1473" s="1" t="s">
        <v>9</v>
      </c>
      <c r="E1473" s="1">
        <v>98</v>
      </c>
      <c r="F1473" s="1" t="s">
        <v>12978</v>
      </c>
      <c r="G1473" s="1" t="s">
        <v>7985</v>
      </c>
    </row>
    <row r="1474" spans="1:7" ht="21" x14ac:dyDescent="0.25">
      <c r="A1474" s="2" t="str">
        <f>HYPERLINK("https://rth.dk/resources/bsgatlas/details.php?id=BSGatlas-5'UTR-1473","BSGatlas-5'UTR-1473")</f>
        <v>BSGatlas-5'UTR-1473</v>
      </c>
      <c r="B1474" s="3">
        <v>2277421</v>
      </c>
      <c r="C1474" s="3">
        <v>2277463</v>
      </c>
      <c r="D1474" s="1" t="s">
        <v>13</v>
      </c>
      <c r="E1474" s="1">
        <v>43</v>
      </c>
      <c r="F1474" s="1" t="s">
        <v>12979</v>
      </c>
      <c r="G1474" s="1" t="s">
        <v>7991</v>
      </c>
    </row>
    <row r="1475" spans="1:7" ht="21" x14ac:dyDescent="0.25">
      <c r="A1475" s="2" t="str">
        <f>HYPERLINK("https://rth.dk/resources/bsgatlas/details.php?id=BSGatlas-5'UTR-1474","BSGatlas-5'UTR-1474")</f>
        <v>BSGatlas-5'UTR-1474</v>
      </c>
      <c r="B1475" s="3">
        <v>2279675</v>
      </c>
      <c r="C1475" s="3">
        <v>2279729</v>
      </c>
      <c r="D1475" s="1" t="s">
        <v>13</v>
      </c>
      <c r="E1475" s="1">
        <v>55</v>
      </c>
      <c r="F1475" s="1" t="s">
        <v>12980</v>
      </c>
      <c r="G1475" s="1" t="s">
        <v>7993</v>
      </c>
    </row>
    <row r="1476" spans="1:7" ht="21" x14ac:dyDescent="0.25">
      <c r="A1476" s="2" t="str">
        <f>HYPERLINK("https://rth.dk/resources/bsgatlas/details.php?id=BSGatlas-5'UTR-1475","BSGatlas-5'UTR-1475")</f>
        <v>BSGatlas-5'UTR-1475</v>
      </c>
      <c r="B1476" s="3">
        <v>2279919</v>
      </c>
      <c r="C1476" s="3">
        <v>2279977</v>
      </c>
      <c r="D1476" s="1" t="s">
        <v>9</v>
      </c>
      <c r="E1476" s="1">
        <v>59</v>
      </c>
      <c r="F1476" s="1" t="s">
        <v>12981</v>
      </c>
      <c r="G1476" s="1" t="s">
        <v>7995</v>
      </c>
    </row>
    <row r="1477" spans="1:7" ht="21" x14ac:dyDescent="0.25">
      <c r="A1477" s="2" t="str">
        <f>HYPERLINK("https://rth.dk/resources/bsgatlas/details.php?id=BSGatlas-5'UTR-1476","BSGatlas-5'UTR-1476")</f>
        <v>BSGatlas-5'UTR-1476</v>
      </c>
      <c r="B1477" s="3">
        <v>2281501</v>
      </c>
      <c r="C1477" s="3">
        <v>2281667</v>
      </c>
      <c r="D1477" s="1" t="s">
        <v>9</v>
      </c>
      <c r="E1477" s="1">
        <v>167</v>
      </c>
      <c r="F1477" s="1" t="s">
        <v>12982</v>
      </c>
      <c r="G1477" s="1" t="s">
        <v>7998</v>
      </c>
    </row>
    <row r="1478" spans="1:7" ht="21" x14ac:dyDescent="0.25">
      <c r="A1478" s="2" t="str">
        <f>HYPERLINK("https://rth.dk/resources/bsgatlas/details.php?id=BSGatlas-5'UTR-1477","BSGatlas-5'UTR-1477")</f>
        <v>BSGatlas-5'UTR-1477</v>
      </c>
      <c r="B1478" s="3">
        <v>2284568</v>
      </c>
      <c r="C1478" s="3">
        <v>2284613</v>
      </c>
      <c r="D1478" s="1" t="s">
        <v>13</v>
      </c>
      <c r="E1478" s="1">
        <v>46</v>
      </c>
      <c r="F1478" s="1" t="s">
        <v>12983</v>
      </c>
      <c r="G1478" s="1" t="s">
        <v>8002</v>
      </c>
    </row>
    <row r="1479" spans="1:7" ht="21" x14ac:dyDescent="0.25">
      <c r="A1479" s="2" t="str">
        <f>HYPERLINK("https://rth.dk/resources/bsgatlas/details.php?id=BSGatlas-5'UTR-1478","BSGatlas-5'UTR-1478")</f>
        <v>BSGatlas-5'UTR-1478</v>
      </c>
      <c r="B1479" s="3">
        <v>2284713</v>
      </c>
      <c r="C1479" s="3">
        <v>2284771</v>
      </c>
      <c r="D1479" s="1" t="s">
        <v>9</v>
      </c>
      <c r="E1479" s="1">
        <v>59</v>
      </c>
      <c r="F1479" s="1" t="s">
        <v>12984</v>
      </c>
      <c r="G1479" s="1" t="s">
        <v>8005</v>
      </c>
    </row>
    <row r="1480" spans="1:7" ht="21" x14ac:dyDescent="0.25">
      <c r="A1480" s="2" t="str">
        <f>HYPERLINK("https://rth.dk/resources/bsgatlas/details.php?id=BSGatlas-5'UTR-1479","BSGatlas-5'UTR-1479")</f>
        <v>BSGatlas-5'UTR-1479</v>
      </c>
      <c r="B1480" s="3">
        <v>2286429</v>
      </c>
      <c r="C1480" s="3">
        <v>2286448</v>
      </c>
      <c r="D1480" s="1" t="s">
        <v>9</v>
      </c>
      <c r="E1480" s="1">
        <v>20</v>
      </c>
      <c r="F1480" s="1" t="s">
        <v>12985</v>
      </c>
      <c r="G1480" s="1" t="s">
        <v>8007</v>
      </c>
    </row>
    <row r="1481" spans="1:7" ht="21" x14ac:dyDescent="0.25">
      <c r="A1481" s="2" t="str">
        <f>HYPERLINK("https://rth.dk/resources/bsgatlas/details.php?id=BSGatlas-5'UTR-1480","BSGatlas-5'UTR-1480")</f>
        <v>BSGatlas-5'UTR-1480</v>
      </c>
      <c r="B1481" s="3">
        <v>2288062</v>
      </c>
      <c r="C1481" s="3">
        <v>2288110</v>
      </c>
      <c r="D1481" s="1" t="s">
        <v>13</v>
      </c>
      <c r="E1481" s="1">
        <v>49</v>
      </c>
      <c r="F1481" s="1" t="s">
        <v>12986</v>
      </c>
      <c r="G1481" s="1" t="s">
        <v>8010</v>
      </c>
    </row>
    <row r="1482" spans="1:7" ht="21" x14ac:dyDescent="0.25">
      <c r="A1482" s="2" t="str">
        <f>HYPERLINK("https://rth.dk/resources/bsgatlas/details.php?id=BSGatlas-5'UTR-1481","BSGatlas-5'UTR-1481")</f>
        <v>BSGatlas-5'UTR-1481</v>
      </c>
      <c r="B1482" s="3">
        <v>2288083</v>
      </c>
      <c r="C1482" s="3">
        <v>2288194</v>
      </c>
      <c r="D1482" s="1" t="s">
        <v>9</v>
      </c>
      <c r="E1482" s="1">
        <v>112</v>
      </c>
      <c r="F1482" s="1" t="s">
        <v>12987</v>
      </c>
      <c r="G1482" s="1" t="s">
        <v>8011</v>
      </c>
    </row>
    <row r="1483" spans="1:7" ht="21" x14ac:dyDescent="0.25">
      <c r="A1483" s="2" t="str">
        <f>HYPERLINK("https://rth.dk/resources/bsgatlas/details.php?id=BSGatlas-5'UTR-1482","BSGatlas-5'UTR-1482")</f>
        <v>BSGatlas-5'UTR-1482</v>
      </c>
      <c r="B1483" s="3">
        <v>2291625</v>
      </c>
      <c r="C1483" s="3">
        <v>2291666</v>
      </c>
      <c r="D1483" s="1" t="s">
        <v>13</v>
      </c>
      <c r="E1483" s="1">
        <v>42</v>
      </c>
      <c r="F1483" s="1" t="s">
        <v>12988</v>
      </c>
      <c r="G1483" s="1" t="s">
        <v>8017</v>
      </c>
    </row>
    <row r="1484" spans="1:7" ht="21" x14ac:dyDescent="0.25">
      <c r="A1484" s="2" t="str">
        <f>HYPERLINK("https://rth.dk/resources/bsgatlas/details.php?id=BSGatlas-5'UTR-1483","BSGatlas-5'UTR-1483")</f>
        <v>BSGatlas-5'UTR-1483</v>
      </c>
      <c r="B1484" s="3">
        <v>2292683</v>
      </c>
      <c r="C1484" s="3">
        <v>2292720</v>
      </c>
      <c r="D1484" s="1" t="s">
        <v>13</v>
      </c>
      <c r="E1484" s="1">
        <v>38</v>
      </c>
      <c r="F1484" s="1" t="s">
        <v>12989</v>
      </c>
      <c r="G1484" s="1" t="s">
        <v>8019</v>
      </c>
    </row>
    <row r="1485" spans="1:7" ht="21" x14ac:dyDescent="0.25">
      <c r="A1485" s="2" t="str">
        <f>HYPERLINK("https://rth.dk/resources/bsgatlas/details.php?id=BSGatlas-5'UTR-1484","BSGatlas-5'UTR-1484")</f>
        <v>BSGatlas-5'UTR-1484</v>
      </c>
      <c r="B1485" s="3">
        <v>2294037</v>
      </c>
      <c r="C1485" s="3">
        <v>2294090</v>
      </c>
      <c r="D1485" s="1" t="s">
        <v>13</v>
      </c>
      <c r="E1485" s="1">
        <v>54</v>
      </c>
      <c r="F1485" s="1" t="s">
        <v>12990</v>
      </c>
      <c r="G1485" s="1" t="s">
        <v>8022</v>
      </c>
    </row>
    <row r="1486" spans="1:7" ht="21" x14ac:dyDescent="0.25">
      <c r="A1486" s="2" t="str">
        <f>HYPERLINK("https://rth.dk/resources/bsgatlas/details.php?id=BSGatlas-5'UTR-1485","BSGatlas-5'UTR-1485")</f>
        <v>BSGatlas-5'UTR-1485</v>
      </c>
      <c r="B1486" s="3">
        <v>2294247</v>
      </c>
      <c r="C1486" s="3">
        <v>2294286</v>
      </c>
      <c r="D1486" s="1" t="s">
        <v>9</v>
      </c>
      <c r="E1486" s="1">
        <v>40</v>
      </c>
      <c r="F1486" s="1" t="s">
        <v>12991</v>
      </c>
      <c r="G1486" s="1" t="s">
        <v>8025</v>
      </c>
    </row>
    <row r="1487" spans="1:7" ht="21" x14ac:dyDescent="0.25">
      <c r="A1487" s="2" t="str">
        <f>HYPERLINK("https://rth.dk/resources/bsgatlas/details.php?id=BSGatlas-5'UTR-1486","BSGatlas-5'UTR-1486")</f>
        <v>BSGatlas-5'UTR-1486</v>
      </c>
      <c r="B1487" s="3">
        <v>2298465</v>
      </c>
      <c r="C1487" s="3">
        <v>2299176</v>
      </c>
      <c r="D1487" s="1" t="s">
        <v>9</v>
      </c>
      <c r="E1487" s="1">
        <v>712</v>
      </c>
      <c r="F1487" s="1" t="s">
        <v>12992</v>
      </c>
      <c r="G1487" s="1" t="s">
        <v>8035</v>
      </c>
    </row>
    <row r="1488" spans="1:7" ht="21" x14ac:dyDescent="0.25">
      <c r="A1488" s="2" t="str">
        <f>HYPERLINK("https://rth.dk/resources/bsgatlas/details.php?id=BSGatlas-5'UTR-1487","BSGatlas-5'UTR-1487")</f>
        <v>BSGatlas-5'UTR-1487</v>
      </c>
      <c r="B1488" s="3">
        <v>2299146</v>
      </c>
      <c r="C1488" s="3">
        <v>2299197</v>
      </c>
      <c r="D1488" s="1" t="s">
        <v>13</v>
      </c>
      <c r="E1488" s="1">
        <v>52</v>
      </c>
      <c r="F1488" s="1" t="s">
        <v>12993</v>
      </c>
      <c r="G1488" s="1" t="s">
        <v>8030</v>
      </c>
    </row>
    <row r="1489" spans="1:7" ht="21" x14ac:dyDescent="0.25">
      <c r="A1489" s="2" t="str">
        <f>HYPERLINK("https://rth.dk/resources/bsgatlas/details.php?id=BSGatlas-5'UTR-1488","BSGatlas-5'UTR-1488")</f>
        <v>BSGatlas-5'UTR-1488</v>
      </c>
      <c r="B1489" s="3">
        <v>2300655</v>
      </c>
      <c r="C1489" s="3">
        <v>2300695</v>
      </c>
      <c r="D1489" s="1" t="s">
        <v>13</v>
      </c>
      <c r="E1489" s="1">
        <v>41</v>
      </c>
      <c r="F1489" s="1" t="s">
        <v>12994</v>
      </c>
      <c r="G1489" s="1" t="s">
        <v>8039</v>
      </c>
    </row>
    <row r="1490" spans="1:7" ht="21" x14ac:dyDescent="0.25">
      <c r="A1490" s="2" t="str">
        <f>HYPERLINK("https://rth.dk/resources/bsgatlas/details.php?id=BSGatlas-5'UTR-1489","BSGatlas-5'UTR-1489")</f>
        <v>BSGatlas-5'UTR-1489</v>
      </c>
      <c r="B1490" s="3">
        <v>2302438</v>
      </c>
      <c r="C1490" s="3">
        <v>2302629</v>
      </c>
      <c r="D1490" s="1" t="s">
        <v>13</v>
      </c>
      <c r="E1490" s="1">
        <v>192</v>
      </c>
      <c r="F1490" s="1" t="s">
        <v>12995</v>
      </c>
      <c r="G1490" s="1" t="s">
        <v>8042</v>
      </c>
    </row>
    <row r="1491" spans="1:7" ht="21" x14ac:dyDescent="0.25">
      <c r="A1491" s="2" t="str">
        <f>HYPERLINK("https://rth.dk/resources/bsgatlas/details.php?id=BSGatlas-5'UTR-1490","BSGatlas-5'UTR-1490")</f>
        <v>BSGatlas-5'UTR-1490</v>
      </c>
      <c r="B1491" s="3">
        <v>2303860</v>
      </c>
      <c r="C1491" s="3">
        <v>2303885</v>
      </c>
      <c r="D1491" s="1" t="s">
        <v>13</v>
      </c>
      <c r="E1491" s="1">
        <v>26</v>
      </c>
      <c r="F1491" s="1" t="s">
        <v>12996</v>
      </c>
      <c r="G1491" s="1" t="s">
        <v>8044</v>
      </c>
    </row>
    <row r="1492" spans="1:7" ht="21" x14ac:dyDescent="0.25">
      <c r="A1492" s="2" t="str">
        <f>HYPERLINK("https://rth.dk/resources/bsgatlas/details.php?id=BSGatlas-5'UTR-1491","BSGatlas-5'UTR-1491")</f>
        <v>BSGatlas-5'UTR-1491</v>
      </c>
      <c r="B1492" s="3">
        <v>2305035</v>
      </c>
      <c r="C1492" s="3">
        <v>2305184</v>
      </c>
      <c r="D1492" s="1" t="s">
        <v>13</v>
      </c>
      <c r="E1492" s="1">
        <v>150</v>
      </c>
      <c r="F1492" s="1" t="s">
        <v>12997</v>
      </c>
      <c r="G1492" s="1" t="s">
        <v>8047</v>
      </c>
    </row>
    <row r="1493" spans="1:7" ht="21" x14ac:dyDescent="0.25">
      <c r="A1493" s="2" t="str">
        <f>HYPERLINK("https://rth.dk/resources/bsgatlas/details.php?id=BSGatlas-5'UTR-1492","BSGatlas-5'UTR-1492")</f>
        <v>BSGatlas-5'UTR-1492</v>
      </c>
      <c r="B1493" s="3">
        <v>2305261</v>
      </c>
      <c r="C1493" s="3">
        <v>2305378</v>
      </c>
      <c r="D1493" s="1" t="s">
        <v>9</v>
      </c>
      <c r="E1493" s="1">
        <v>118</v>
      </c>
      <c r="F1493" s="1" t="s">
        <v>12998</v>
      </c>
      <c r="G1493" s="1" t="s">
        <v>8048</v>
      </c>
    </row>
    <row r="1494" spans="1:7" ht="21" x14ac:dyDescent="0.25">
      <c r="A1494" s="2" t="str">
        <f>HYPERLINK("https://rth.dk/resources/bsgatlas/details.php?id=BSGatlas-5'UTR-1493","BSGatlas-5'UTR-1493")</f>
        <v>BSGatlas-5'UTR-1493</v>
      </c>
      <c r="B1494" s="3">
        <v>2305349</v>
      </c>
      <c r="C1494" s="3">
        <v>2305378</v>
      </c>
      <c r="D1494" s="1" t="s">
        <v>9</v>
      </c>
      <c r="E1494" s="1">
        <v>30</v>
      </c>
      <c r="F1494" s="1" t="s">
        <v>12998</v>
      </c>
      <c r="G1494" s="1" t="s">
        <v>8053</v>
      </c>
    </row>
    <row r="1495" spans="1:7" ht="21" x14ac:dyDescent="0.25">
      <c r="A1495" s="2" t="str">
        <f>HYPERLINK("https://rth.dk/resources/bsgatlas/details.php?id=BSGatlas-5'UTR-1494","BSGatlas-5'UTR-1494")</f>
        <v>BSGatlas-5'UTR-1494</v>
      </c>
      <c r="B1495" s="3">
        <v>2306332</v>
      </c>
      <c r="C1495" s="3">
        <v>2306514</v>
      </c>
      <c r="D1495" s="1" t="s">
        <v>9</v>
      </c>
      <c r="E1495" s="1">
        <v>183</v>
      </c>
      <c r="F1495" s="1" t="s">
        <v>12999</v>
      </c>
      <c r="G1495" s="1" t="s">
        <v>8054</v>
      </c>
    </row>
    <row r="1496" spans="1:7" ht="21" x14ac:dyDescent="0.25">
      <c r="A1496" s="2" t="str">
        <f>HYPERLINK("https://rth.dk/resources/bsgatlas/details.php?id=BSGatlas-5'UTR-1495","BSGatlas-5'UTR-1495")</f>
        <v>BSGatlas-5'UTR-1495</v>
      </c>
      <c r="B1496" s="3">
        <v>2307814</v>
      </c>
      <c r="C1496" s="3">
        <v>2307905</v>
      </c>
      <c r="D1496" s="1" t="s">
        <v>9</v>
      </c>
      <c r="E1496" s="1">
        <v>92</v>
      </c>
      <c r="F1496" s="1" t="s">
        <v>13000</v>
      </c>
      <c r="G1496" s="1" t="s">
        <v>8058</v>
      </c>
    </row>
    <row r="1497" spans="1:7" ht="21" x14ac:dyDescent="0.25">
      <c r="A1497" s="2" t="str">
        <f>HYPERLINK("https://rth.dk/resources/bsgatlas/details.php?id=BSGatlas-5'UTR-1496","BSGatlas-5'UTR-1496")</f>
        <v>BSGatlas-5'UTR-1496</v>
      </c>
      <c r="B1497" s="3">
        <v>2308339</v>
      </c>
      <c r="C1497" s="3">
        <v>2308403</v>
      </c>
      <c r="D1497" s="1" t="s">
        <v>13</v>
      </c>
      <c r="E1497" s="1">
        <v>65</v>
      </c>
      <c r="F1497" s="1" t="s">
        <v>13001</v>
      </c>
      <c r="G1497" s="1" t="s">
        <v>8059</v>
      </c>
    </row>
    <row r="1498" spans="1:7" ht="21" x14ac:dyDescent="0.25">
      <c r="A1498" s="2" t="str">
        <f>HYPERLINK("https://rth.dk/resources/bsgatlas/details.php?id=BSGatlas-5'UTR-1497","BSGatlas-5'UTR-1497")</f>
        <v>BSGatlas-5'UTR-1497</v>
      </c>
      <c r="B1498" s="3">
        <v>2308339</v>
      </c>
      <c r="C1498" s="3">
        <v>2308436</v>
      </c>
      <c r="D1498" s="1" t="s">
        <v>13</v>
      </c>
      <c r="E1498" s="1">
        <v>98</v>
      </c>
      <c r="F1498" s="1" t="s">
        <v>13001</v>
      </c>
      <c r="G1498" s="1" t="s">
        <v>8061</v>
      </c>
    </row>
    <row r="1499" spans="1:7" ht="21" x14ac:dyDescent="0.25">
      <c r="A1499" s="2" t="str">
        <f>HYPERLINK("https://rth.dk/resources/bsgatlas/details.php?id=BSGatlas-5'UTR-1498","BSGatlas-5'UTR-1498")</f>
        <v>BSGatlas-5'UTR-1498</v>
      </c>
      <c r="B1499" s="3">
        <v>2309647</v>
      </c>
      <c r="C1499" s="3">
        <v>2309786</v>
      </c>
      <c r="D1499" s="1" t="s">
        <v>13</v>
      </c>
      <c r="E1499" s="1">
        <v>140</v>
      </c>
      <c r="F1499" s="1" t="s">
        <v>13002</v>
      </c>
      <c r="G1499" s="1" t="s">
        <v>8067</v>
      </c>
    </row>
    <row r="1500" spans="1:7" ht="21" x14ac:dyDescent="0.25">
      <c r="A1500" s="2" t="str">
        <f>HYPERLINK("https://rth.dk/resources/bsgatlas/details.php?id=BSGatlas-5'UTR-1499","BSGatlas-5'UTR-1499")</f>
        <v>BSGatlas-5'UTR-1499</v>
      </c>
      <c r="B1500" s="3">
        <v>2309647</v>
      </c>
      <c r="C1500" s="3">
        <v>2310174</v>
      </c>
      <c r="D1500" s="1" t="s">
        <v>13</v>
      </c>
      <c r="E1500" s="1">
        <v>528</v>
      </c>
      <c r="F1500" s="1" t="s">
        <v>13002</v>
      </c>
      <c r="G1500" s="1" t="s">
        <v>8068</v>
      </c>
    </row>
    <row r="1501" spans="1:7" ht="21" x14ac:dyDescent="0.25">
      <c r="A1501" s="2" t="str">
        <f>HYPERLINK("https://rth.dk/resources/bsgatlas/details.php?id=BSGatlas-5'UTR-1500","BSGatlas-5'UTR-1500")</f>
        <v>BSGatlas-5'UTR-1500</v>
      </c>
      <c r="B1501" s="3">
        <v>2309687</v>
      </c>
      <c r="C1501" s="3">
        <v>2309730</v>
      </c>
      <c r="D1501" s="1" t="s">
        <v>9</v>
      </c>
      <c r="E1501" s="1">
        <v>44</v>
      </c>
      <c r="F1501" s="1" t="s">
        <v>13003</v>
      </c>
      <c r="G1501" s="1" t="s">
        <v>8071</v>
      </c>
    </row>
    <row r="1502" spans="1:7" ht="21" x14ac:dyDescent="0.25">
      <c r="A1502" s="2" t="str">
        <f>HYPERLINK("https://rth.dk/resources/bsgatlas/details.php?id=BSGatlas-5'UTR-1501","BSGatlas-5'UTR-1501")</f>
        <v>BSGatlas-5'UTR-1501</v>
      </c>
      <c r="B1502" s="3">
        <v>2311885</v>
      </c>
      <c r="C1502" s="3">
        <v>2311914</v>
      </c>
      <c r="D1502" s="1" t="s">
        <v>13</v>
      </c>
      <c r="E1502" s="1">
        <v>30</v>
      </c>
      <c r="F1502" s="1" t="s">
        <v>13004</v>
      </c>
      <c r="G1502" s="1" t="s">
        <v>8074</v>
      </c>
    </row>
    <row r="1503" spans="1:7" ht="21" x14ac:dyDescent="0.25">
      <c r="A1503" s="2" t="str">
        <f>HYPERLINK("https://rth.dk/resources/bsgatlas/details.php?id=BSGatlas-5'UTR-1502","BSGatlas-5'UTR-1502")</f>
        <v>BSGatlas-5'UTR-1502</v>
      </c>
      <c r="B1503" s="3">
        <v>2312132</v>
      </c>
      <c r="C1503" s="3">
        <v>2312156</v>
      </c>
      <c r="D1503" s="1" t="s">
        <v>13</v>
      </c>
      <c r="E1503" s="1">
        <v>25</v>
      </c>
      <c r="F1503" s="1" t="s">
        <v>13005</v>
      </c>
      <c r="G1503" s="1" t="s">
        <v>8077</v>
      </c>
    </row>
    <row r="1504" spans="1:7" ht="21" x14ac:dyDescent="0.25">
      <c r="A1504" s="2" t="str">
        <f>HYPERLINK("https://rth.dk/resources/bsgatlas/details.php?id=BSGatlas-5'UTR-1503","BSGatlas-5'UTR-1503")</f>
        <v>BSGatlas-5'UTR-1503</v>
      </c>
      <c r="B1504" s="3">
        <v>2312464</v>
      </c>
      <c r="C1504" s="3">
        <v>2312499</v>
      </c>
      <c r="D1504" s="1" t="s">
        <v>13</v>
      </c>
      <c r="E1504" s="1">
        <v>36</v>
      </c>
      <c r="F1504" s="1" t="s">
        <v>13006</v>
      </c>
      <c r="G1504" s="1" t="s">
        <v>8080</v>
      </c>
    </row>
    <row r="1505" spans="1:7" ht="21" x14ac:dyDescent="0.25">
      <c r="A1505" s="2" t="str">
        <f>HYPERLINK("https://rth.dk/resources/bsgatlas/details.php?id=BSGatlas-5'UTR-1504","BSGatlas-5'UTR-1504")</f>
        <v>BSGatlas-5'UTR-1504</v>
      </c>
      <c r="B1505" s="3">
        <v>2316110</v>
      </c>
      <c r="C1505" s="3">
        <v>2316182</v>
      </c>
      <c r="D1505" s="1" t="s">
        <v>13</v>
      </c>
      <c r="E1505" s="1">
        <v>73</v>
      </c>
      <c r="F1505" s="1" t="s">
        <v>13007</v>
      </c>
      <c r="G1505" s="1" t="s">
        <v>8082</v>
      </c>
    </row>
    <row r="1506" spans="1:7" ht="21" x14ac:dyDescent="0.25">
      <c r="A1506" s="2" t="str">
        <f>HYPERLINK("https://rth.dk/resources/bsgatlas/details.php?id=BSGatlas-5'UTR-1505","BSGatlas-5'UTR-1505")</f>
        <v>BSGatlas-5'UTR-1505</v>
      </c>
      <c r="B1506" s="3">
        <v>2316407</v>
      </c>
      <c r="C1506" s="3">
        <v>2316424</v>
      </c>
      <c r="D1506" s="1" t="s">
        <v>13</v>
      </c>
      <c r="E1506" s="1">
        <v>18</v>
      </c>
      <c r="F1506" s="1" t="s">
        <v>13008</v>
      </c>
      <c r="G1506" s="1" t="s">
        <v>8085</v>
      </c>
    </row>
    <row r="1507" spans="1:7" ht="21" x14ac:dyDescent="0.25">
      <c r="A1507" s="2" t="str">
        <f>HYPERLINK("https://rth.dk/resources/bsgatlas/details.php?id=BSGatlas-5'UTR-1506","BSGatlas-5'UTR-1506")</f>
        <v>BSGatlas-5'UTR-1506</v>
      </c>
      <c r="B1507" s="3">
        <v>2318053</v>
      </c>
      <c r="C1507" s="3">
        <v>2318074</v>
      </c>
      <c r="D1507" s="1" t="s">
        <v>13</v>
      </c>
      <c r="E1507" s="1">
        <v>22</v>
      </c>
      <c r="F1507" s="1" t="s">
        <v>13009</v>
      </c>
      <c r="G1507" s="1" t="s">
        <v>8087</v>
      </c>
    </row>
    <row r="1508" spans="1:7" ht="21" x14ac:dyDescent="0.25">
      <c r="A1508" s="2" t="str">
        <f>HYPERLINK("https://rth.dk/resources/bsgatlas/details.php?id=BSGatlas-5'UTR-1507","BSGatlas-5'UTR-1507")</f>
        <v>BSGatlas-5'UTR-1507</v>
      </c>
      <c r="B1508" s="3">
        <v>2320024</v>
      </c>
      <c r="C1508" s="3">
        <v>2320210</v>
      </c>
      <c r="D1508" s="1" t="s">
        <v>13</v>
      </c>
      <c r="E1508" s="1">
        <v>187</v>
      </c>
      <c r="F1508" s="1" t="s">
        <v>13010</v>
      </c>
      <c r="G1508" s="1" t="s">
        <v>8089</v>
      </c>
    </row>
    <row r="1509" spans="1:7" ht="21" x14ac:dyDescent="0.25">
      <c r="A1509" s="2" t="str">
        <f>HYPERLINK("https://rth.dk/resources/bsgatlas/details.php?id=BSGatlas-5'UTR-1508","BSGatlas-5'UTR-1508")</f>
        <v>BSGatlas-5'UTR-1508</v>
      </c>
      <c r="B1509" s="3">
        <v>2321860</v>
      </c>
      <c r="C1509" s="3">
        <v>2321902</v>
      </c>
      <c r="D1509" s="1" t="s">
        <v>13</v>
      </c>
      <c r="E1509" s="1">
        <v>43</v>
      </c>
      <c r="F1509" s="1" t="s">
        <v>13011</v>
      </c>
      <c r="G1509" s="1" t="s">
        <v>8094</v>
      </c>
    </row>
    <row r="1510" spans="1:7" ht="21" x14ac:dyDescent="0.25">
      <c r="A1510" s="2" t="str">
        <f>HYPERLINK("https://rth.dk/resources/bsgatlas/details.php?id=BSGatlas-5'UTR-1509","BSGatlas-5'UTR-1509")</f>
        <v>BSGatlas-5'UTR-1509</v>
      </c>
      <c r="B1510" s="3">
        <v>2325632</v>
      </c>
      <c r="C1510" s="3">
        <v>2325682</v>
      </c>
      <c r="D1510" s="1" t="s">
        <v>13</v>
      </c>
      <c r="E1510" s="1">
        <v>51</v>
      </c>
      <c r="F1510" s="1" t="s">
        <v>13012</v>
      </c>
      <c r="G1510" s="1" t="s">
        <v>8096</v>
      </c>
    </row>
    <row r="1511" spans="1:7" ht="21" x14ac:dyDescent="0.25">
      <c r="A1511" s="2" t="str">
        <f>HYPERLINK("https://rth.dk/resources/bsgatlas/details.php?id=BSGatlas-5'UTR-1510","BSGatlas-5'UTR-1510")</f>
        <v>BSGatlas-5'UTR-1510</v>
      </c>
      <c r="B1511" s="3">
        <v>2325774</v>
      </c>
      <c r="C1511" s="3">
        <v>2325854</v>
      </c>
      <c r="D1511" s="1" t="s">
        <v>9</v>
      </c>
      <c r="E1511" s="1">
        <v>81</v>
      </c>
      <c r="F1511" s="1" t="s">
        <v>13013</v>
      </c>
      <c r="G1511" s="1" t="s">
        <v>8099</v>
      </c>
    </row>
    <row r="1512" spans="1:7" ht="21" x14ac:dyDescent="0.25">
      <c r="A1512" s="2" t="str">
        <f>HYPERLINK("https://rth.dk/resources/bsgatlas/details.php?id=BSGatlas-5'UTR-1511","BSGatlas-5'UTR-1511")</f>
        <v>BSGatlas-5'UTR-1511</v>
      </c>
      <c r="B1512" s="3">
        <v>2329413</v>
      </c>
      <c r="C1512" s="3">
        <v>2329448</v>
      </c>
      <c r="D1512" s="1" t="s">
        <v>13</v>
      </c>
      <c r="E1512" s="1">
        <v>36</v>
      </c>
      <c r="F1512" s="1" t="s">
        <v>13014</v>
      </c>
      <c r="G1512" s="1" t="s">
        <v>8101</v>
      </c>
    </row>
    <row r="1513" spans="1:7" ht="21" x14ac:dyDescent="0.25">
      <c r="A1513" s="2" t="str">
        <f>HYPERLINK("https://rth.dk/resources/bsgatlas/details.php?id=BSGatlas-5'UTR-1512","BSGatlas-5'UTR-1512")</f>
        <v>BSGatlas-5'UTR-1512</v>
      </c>
      <c r="B1513" s="3">
        <v>2329706</v>
      </c>
      <c r="C1513" s="3">
        <v>2329734</v>
      </c>
      <c r="D1513" s="1" t="s">
        <v>13</v>
      </c>
      <c r="E1513" s="1">
        <v>29</v>
      </c>
      <c r="F1513" s="1" t="s">
        <v>13015</v>
      </c>
      <c r="G1513" s="1" t="s">
        <v>8103</v>
      </c>
    </row>
    <row r="1514" spans="1:7" ht="21" x14ac:dyDescent="0.25">
      <c r="A1514" s="2" t="str">
        <f>HYPERLINK("https://rth.dk/resources/bsgatlas/details.php?id=BSGatlas-5'UTR-1513","BSGatlas-5'UTR-1513")</f>
        <v>BSGatlas-5'UTR-1513</v>
      </c>
      <c r="B1514" s="3">
        <v>2329803</v>
      </c>
      <c r="C1514" s="3">
        <v>2329870</v>
      </c>
      <c r="D1514" s="1" t="s">
        <v>9</v>
      </c>
      <c r="E1514" s="1">
        <v>68</v>
      </c>
      <c r="F1514" s="1" t="s">
        <v>13016</v>
      </c>
      <c r="G1514" s="1" t="s">
        <v>8104</v>
      </c>
    </row>
    <row r="1515" spans="1:7" ht="21" x14ac:dyDescent="0.25">
      <c r="A1515" s="2" t="str">
        <f>HYPERLINK("https://rth.dk/resources/bsgatlas/details.php?id=BSGatlas-5'UTR-1514","BSGatlas-5'UTR-1514")</f>
        <v>BSGatlas-5'UTR-1514</v>
      </c>
      <c r="B1515" s="3">
        <v>2331720</v>
      </c>
      <c r="C1515" s="3">
        <v>2331735</v>
      </c>
      <c r="D1515" s="1" t="s">
        <v>13</v>
      </c>
      <c r="E1515" s="1">
        <v>16</v>
      </c>
      <c r="F1515" s="1" t="s">
        <v>13017</v>
      </c>
      <c r="G1515" s="1" t="s">
        <v>8107</v>
      </c>
    </row>
    <row r="1516" spans="1:7" ht="21" x14ac:dyDescent="0.25">
      <c r="A1516" s="2" t="str">
        <f>HYPERLINK("https://rth.dk/resources/bsgatlas/details.php?id=BSGatlas-5'UTR-1515","BSGatlas-5'UTR-1515")</f>
        <v>BSGatlas-5'UTR-1515</v>
      </c>
      <c r="B1516" s="3">
        <v>2332075</v>
      </c>
      <c r="C1516" s="3">
        <v>2332110</v>
      </c>
      <c r="D1516" s="1" t="s">
        <v>13</v>
      </c>
      <c r="E1516" s="1">
        <v>36</v>
      </c>
      <c r="F1516" s="1" t="s">
        <v>13018</v>
      </c>
      <c r="G1516" s="1" t="s">
        <v>8110</v>
      </c>
    </row>
    <row r="1517" spans="1:7" ht="21" x14ac:dyDescent="0.25">
      <c r="A1517" s="2" t="str">
        <f>HYPERLINK("https://rth.dk/resources/bsgatlas/details.php?id=BSGatlas-5'UTR-1516","BSGatlas-5'UTR-1516")</f>
        <v>BSGatlas-5'UTR-1516</v>
      </c>
      <c r="B1517" s="3">
        <v>2333011</v>
      </c>
      <c r="C1517" s="3">
        <v>2333042</v>
      </c>
      <c r="D1517" s="1" t="s">
        <v>13</v>
      </c>
      <c r="E1517" s="1">
        <v>32</v>
      </c>
      <c r="F1517" s="1" t="s">
        <v>13019</v>
      </c>
      <c r="G1517" s="1" t="s">
        <v>8113</v>
      </c>
    </row>
    <row r="1518" spans="1:7" ht="21" x14ac:dyDescent="0.25">
      <c r="A1518" s="2" t="str">
        <f>HYPERLINK("https://rth.dk/resources/bsgatlas/details.php?id=BSGatlas-5'UTR-1517","BSGatlas-5'UTR-1517")</f>
        <v>BSGatlas-5'UTR-1517</v>
      </c>
      <c r="B1518" s="3">
        <v>2336830</v>
      </c>
      <c r="C1518" s="3">
        <v>2336862</v>
      </c>
      <c r="D1518" s="1" t="s">
        <v>13</v>
      </c>
      <c r="E1518" s="1">
        <v>33</v>
      </c>
      <c r="F1518" s="1" t="s">
        <v>13020</v>
      </c>
      <c r="G1518" s="1" t="s">
        <v>8120</v>
      </c>
    </row>
    <row r="1519" spans="1:7" ht="21" x14ac:dyDescent="0.25">
      <c r="A1519" s="2" t="str">
        <f>HYPERLINK("https://rth.dk/resources/bsgatlas/details.php?id=BSGatlas-5'UTR-1518","BSGatlas-5'UTR-1518")</f>
        <v>BSGatlas-5'UTR-1518</v>
      </c>
      <c r="B1519" s="3">
        <v>2337439</v>
      </c>
      <c r="C1519" s="3">
        <v>2337500</v>
      </c>
      <c r="D1519" s="1" t="s">
        <v>13</v>
      </c>
      <c r="E1519" s="1">
        <v>62</v>
      </c>
      <c r="F1519" s="1" t="s">
        <v>13021</v>
      </c>
      <c r="G1519" s="1" t="s">
        <v>8121</v>
      </c>
    </row>
    <row r="1520" spans="1:7" ht="21" x14ac:dyDescent="0.25">
      <c r="A1520" s="2" t="str">
        <f>HYPERLINK("https://rth.dk/resources/bsgatlas/details.php?id=BSGatlas-5'UTR-1519","BSGatlas-5'UTR-1519")</f>
        <v>BSGatlas-5'UTR-1519</v>
      </c>
      <c r="B1520" s="3">
        <v>2337558</v>
      </c>
      <c r="C1520" s="3">
        <v>2337577</v>
      </c>
      <c r="D1520" s="1" t="s">
        <v>9</v>
      </c>
      <c r="E1520" s="1">
        <v>20</v>
      </c>
      <c r="F1520" s="1" t="s">
        <v>13022</v>
      </c>
      <c r="G1520" s="1" t="s">
        <v>8123</v>
      </c>
    </row>
    <row r="1521" spans="1:7" ht="21" x14ac:dyDescent="0.25">
      <c r="A1521" s="2" t="str">
        <f>HYPERLINK("https://rth.dk/resources/bsgatlas/details.php?id=BSGatlas-5'UTR-1520","BSGatlas-5'UTR-1520")</f>
        <v>BSGatlas-5'UTR-1520</v>
      </c>
      <c r="B1521" s="3">
        <v>2338392</v>
      </c>
      <c r="C1521" s="3">
        <v>2338582</v>
      </c>
      <c r="D1521" s="1" t="s">
        <v>9</v>
      </c>
      <c r="E1521" s="1">
        <v>191</v>
      </c>
      <c r="F1521" s="1" t="s">
        <v>13023</v>
      </c>
      <c r="G1521" s="1" t="s">
        <v>8128</v>
      </c>
    </row>
    <row r="1522" spans="1:7" ht="21" x14ac:dyDescent="0.25">
      <c r="A1522" s="2" t="str">
        <f>HYPERLINK("https://rth.dk/resources/bsgatlas/details.php?id=BSGatlas-5'UTR-1521","BSGatlas-5'UTR-1521")</f>
        <v>BSGatlas-5'UTR-1521</v>
      </c>
      <c r="B1522" s="3">
        <v>2338394</v>
      </c>
      <c r="C1522" s="3">
        <v>2338443</v>
      </c>
      <c r="D1522" s="1" t="s">
        <v>13</v>
      </c>
      <c r="E1522" s="1">
        <v>50</v>
      </c>
      <c r="F1522" s="1" t="s">
        <v>13024</v>
      </c>
      <c r="G1522" s="1" t="s">
        <v>8126</v>
      </c>
    </row>
    <row r="1523" spans="1:7" ht="21" x14ac:dyDescent="0.25">
      <c r="A1523" s="2" t="str">
        <f>HYPERLINK("https://rth.dk/resources/bsgatlas/details.php?id=BSGatlas-5'UTR-1522","BSGatlas-5'UTR-1522")</f>
        <v>BSGatlas-5'UTR-1522</v>
      </c>
      <c r="B1523" s="3">
        <v>2338539</v>
      </c>
      <c r="C1523" s="3">
        <v>2338582</v>
      </c>
      <c r="D1523" s="1" t="s">
        <v>9</v>
      </c>
      <c r="E1523" s="1">
        <v>44</v>
      </c>
      <c r="F1523" s="1" t="s">
        <v>13023</v>
      </c>
      <c r="G1523" s="1" t="s">
        <v>8130</v>
      </c>
    </row>
    <row r="1524" spans="1:7" ht="21" x14ac:dyDescent="0.25">
      <c r="A1524" s="2" t="str">
        <f>HYPERLINK("https://rth.dk/resources/bsgatlas/details.php?id=BSGatlas-5'UTR-1523","BSGatlas-5'UTR-1523")</f>
        <v>BSGatlas-5'UTR-1523</v>
      </c>
      <c r="B1524" s="3">
        <v>2339180</v>
      </c>
      <c r="C1524" s="3">
        <v>2339205</v>
      </c>
      <c r="D1524" s="1" t="s">
        <v>13</v>
      </c>
      <c r="E1524" s="1">
        <v>26</v>
      </c>
      <c r="F1524" s="1" t="s">
        <v>13025</v>
      </c>
      <c r="G1524" s="1" t="s">
        <v>8131</v>
      </c>
    </row>
    <row r="1525" spans="1:7" ht="21" x14ac:dyDescent="0.25">
      <c r="A1525" s="2" t="str">
        <f>HYPERLINK("https://rth.dk/resources/bsgatlas/details.php?id=BSGatlas-5'UTR-1524","BSGatlas-5'UTR-1524")</f>
        <v>BSGatlas-5'UTR-1524</v>
      </c>
      <c r="B1525" s="3">
        <v>2339471</v>
      </c>
      <c r="C1525" s="3">
        <v>2339502</v>
      </c>
      <c r="D1525" s="1" t="s">
        <v>13</v>
      </c>
      <c r="E1525" s="1">
        <v>32</v>
      </c>
      <c r="F1525" s="1" t="s">
        <v>13026</v>
      </c>
      <c r="G1525" s="1" t="s">
        <v>8134</v>
      </c>
    </row>
    <row r="1526" spans="1:7" ht="21" x14ac:dyDescent="0.25">
      <c r="A1526" s="2" t="str">
        <f>HYPERLINK("https://rth.dk/resources/bsgatlas/details.php?id=BSGatlas-5'UTR-1525","BSGatlas-5'UTR-1525")</f>
        <v>BSGatlas-5'UTR-1525</v>
      </c>
      <c r="B1526" s="3">
        <v>2339950</v>
      </c>
      <c r="C1526" s="3">
        <v>2340802</v>
      </c>
      <c r="D1526" s="1" t="s">
        <v>9</v>
      </c>
      <c r="E1526" s="1">
        <v>853</v>
      </c>
      <c r="F1526" s="1" t="s">
        <v>13027</v>
      </c>
      <c r="G1526" s="1" t="s">
        <v>8139</v>
      </c>
    </row>
    <row r="1527" spans="1:7" ht="21" x14ac:dyDescent="0.25">
      <c r="A1527" s="2" t="str">
        <f>HYPERLINK("https://rth.dk/resources/bsgatlas/details.php?id=BSGatlas-5'UTR-1526","BSGatlas-5'UTR-1526")</f>
        <v>BSGatlas-5'UTR-1526</v>
      </c>
      <c r="B1527" s="3">
        <v>2340291</v>
      </c>
      <c r="C1527" s="3">
        <v>2340802</v>
      </c>
      <c r="D1527" s="1" t="s">
        <v>9</v>
      </c>
      <c r="E1527" s="1">
        <v>512</v>
      </c>
      <c r="F1527" s="1" t="s">
        <v>13027</v>
      </c>
      <c r="G1527" s="1" t="s">
        <v>8141</v>
      </c>
    </row>
    <row r="1528" spans="1:7" ht="21" x14ac:dyDescent="0.25">
      <c r="A1528" s="2" t="str">
        <f>HYPERLINK("https://rth.dk/resources/bsgatlas/details.php?id=BSGatlas-5'UTR-1527","BSGatlas-5'UTR-1527")</f>
        <v>BSGatlas-5'UTR-1527</v>
      </c>
      <c r="B1528" s="3">
        <v>2340761</v>
      </c>
      <c r="C1528" s="3">
        <v>2341218</v>
      </c>
      <c r="D1528" s="1" t="s">
        <v>13</v>
      </c>
      <c r="E1528" s="1">
        <v>458</v>
      </c>
      <c r="F1528" s="1" t="s">
        <v>13028</v>
      </c>
      <c r="G1528" s="1" t="s">
        <v>8137</v>
      </c>
    </row>
    <row r="1529" spans="1:7" ht="21" x14ac:dyDescent="0.25">
      <c r="A1529" s="2" t="str">
        <f>HYPERLINK("https://rth.dk/resources/bsgatlas/details.php?id=BSGatlas-5'UTR-1528","BSGatlas-5'UTR-1528")</f>
        <v>BSGatlas-5'UTR-1528</v>
      </c>
      <c r="B1529" s="3">
        <v>2347516</v>
      </c>
      <c r="C1529" s="3">
        <v>2347578</v>
      </c>
      <c r="D1529" s="1" t="s">
        <v>13</v>
      </c>
      <c r="E1529" s="1">
        <v>63</v>
      </c>
      <c r="F1529" s="1" t="s">
        <v>13029</v>
      </c>
      <c r="G1529" s="1" t="s">
        <v>8143</v>
      </c>
    </row>
    <row r="1530" spans="1:7" ht="21" x14ac:dyDescent="0.25">
      <c r="A1530" s="2" t="str">
        <f>HYPERLINK("https://rth.dk/resources/bsgatlas/details.php?id=BSGatlas-5'UTR-1529","BSGatlas-5'UTR-1529")</f>
        <v>BSGatlas-5'UTR-1529</v>
      </c>
      <c r="B1530" s="3">
        <v>2349528</v>
      </c>
      <c r="C1530" s="3">
        <v>2349600</v>
      </c>
      <c r="D1530" s="1" t="s">
        <v>13</v>
      </c>
      <c r="E1530" s="1">
        <v>73</v>
      </c>
      <c r="F1530" s="1" t="s">
        <v>13030</v>
      </c>
      <c r="G1530" s="1" t="s">
        <v>8151</v>
      </c>
    </row>
    <row r="1531" spans="1:7" ht="21" x14ac:dyDescent="0.25">
      <c r="A1531" s="2" t="str">
        <f>HYPERLINK("https://rth.dk/resources/bsgatlas/details.php?id=BSGatlas-5'UTR-1530","BSGatlas-5'UTR-1530")</f>
        <v>BSGatlas-5'UTR-1530</v>
      </c>
      <c r="B1531" s="3">
        <v>2349528</v>
      </c>
      <c r="C1531" s="3">
        <v>2350810</v>
      </c>
      <c r="D1531" s="1" t="s">
        <v>13</v>
      </c>
      <c r="E1531" s="1">
        <v>1283</v>
      </c>
      <c r="F1531" s="1" t="s">
        <v>13030</v>
      </c>
      <c r="G1531" s="1" t="s">
        <v>8152</v>
      </c>
    </row>
    <row r="1532" spans="1:7" ht="21" x14ac:dyDescent="0.25">
      <c r="A1532" s="2" t="str">
        <f>HYPERLINK("https://rth.dk/resources/bsgatlas/details.php?id=BSGatlas-5'UTR-1531","BSGatlas-5'UTR-1531")</f>
        <v>BSGatlas-5'UTR-1531</v>
      </c>
      <c r="B1532" s="3">
        <v>2354672</v>
      </c>
      <c r="C1532" s="3">
        <v>2354880</v>
      </c>
      <c r="D1532" s="1" t="s">
        <v>13</v>
      </c>
      <c r="E1532" s="1">
        <v>209</v>
      </c>
      <c r="F1532" s="1" t="s">
        <v>13031</v>
      </c>
      <c r="G1532" s="1" t="s">
        <v>8155</v>
      </c>
    </row>
    <row r="1533" spans="1:7" ht="21" x14ac:dyDescent="0.25">
      <c r="A1533" s="2" t="str">
        <f>HYPERLINK("https://rth.dk/resources/bsgatlas/details.php?id=BSGatlas-5'UTR-1532","BSGatlas-5'UTR-1532")</f>
        <v>BSGatlas-5'UTR-1532</v>
      </c>
      <c r="B1533" s="3">
        <v>2360490</v>
      </c>
      <c r="C1533" s="3">
        <v>2360512</v>
      </c>
      <c r="D1533" s="1" t="s">
        <v>13</v>
      </c>
      <c r="E1533" s="1">
        <v>23</v>
      </c>
      <c r="F1533" s="1" t="s">
        <v>13032</v>
      </c>
      <c r="G1533" s="1" t="s">
        <v>8157</v>
      </c>
    </row>
    <row r="1534" spans="1:7" ht="21" x14ac:dyDescent="0.25">
      <c r="A1534" s="2" t="str">
        <f>HYPERLINK("https://rth.dk/resources/bsgatlas/details.php?id=BSGatlas-5'UTR-1533","BSGatlas-5'UTR-1533")</f>
        <v>BSGatlas-5'UTR-1533</v>
      </c>
      <c r="B1534" s="3">
        <v>2360490</v>
      </c>
      <c r="C1534" s="3">
        <v>2360594</v>
      </c>
      <c r="D1534" s="1" t="s">
        <v>13</v>
      </c>
      <c r="E1534" s="1">
        <v>105</v>
      </c>
      <c r="F1534" s="1" t="s">
        <v>13032</v>
      </c>
      <c r="G1534" s="1" t="s">
        <v>8158</v>
      </c>
    </row>
    <row r="1535" spans="1:7" ht="21" x14ac:dyDescent="0.25">
      <c r="A1535" s="2" t="str">
        <f>HYPERLINK("https://rth.dk/resources/bsgatlas/details.php?id=BSGatlas-5'UTR-1534","BSGatlas-5'UTR-1534")</f>
        <v>BSGatlas-5'UTR-1534</v>
      </c>
      <c r="B1535" s="3">
        <v>2360586</v>
      </c>
      <c r="C1535" s="3">
        <v>2360630</v>
      </c>
      <c r="D1535" s="1" t="s">
        <v>9</v>
      </c>
      <c r="E1535" s="1">
        <v>45</v>
      </c>
      <c r="F1535" s="1" t="s">
        <v>13033</v>
      </c>
      <c r="G1535" s="1" t="s">
        <v>8159</v>
      </c>
    </row>
    <row r="1536" spans="1:7" ht="21" x14ac:dyDescent="0.25">
      <c r="A1536" s="2" t="str">
        <f>HYPERLINK("https://rth.dk/resources/bsgatlas/details.php?id=BSGatlas-5'UTR-1535","BSGatlas-5'UTR-1535")</f>
        <v>BSGatlas-5'UTR-1535</v>
      </c>
      <c r="B1536" s="3">
        <v>2362338</v>
      </c>
      <c r="C1536" s="3">
        <v>2362360</v>
      </c>
      <c r="D1536" s="1" t="s">
        <v>13</v>
      </c>
      <c r="E1536" s="1">
        <v>23</v>
      </c>
      <c r="F1536" s="1" t="s">
        <v>13034</v>
      </c>
      <c r="G1536" s="1" t="s">
        <v>8160</v>
      </c>
    </row>
    <row r="1537" spans="1:7" ht="21" x14ac:dyDescent="0.25">
      <c r="A1537" s="2" t="str">
        <f>HYPERLINK("https://rth.dk/resources/bsgatlas/details.php?id=BSGatlas-5'UTR-1536","BSGatlas-5'UTR-1536")</f>
        <v>BSGatlas-5'UTR-1536</v>
      </c>
      <c r="B1537" s="3">
        <v>2365092</v>
      </c>
      <c r="C1537" s="3">
        <v>2365160</v>
      </c>
      <c r="D1537" s="1" t="s">
        <v>13</v>
      </c>
      <c r="E1537" s="1">
        <v>69</v>
      </c>
      <c r="F1537" s="1" t="s">
        <v>13035</v>
      </c>
      <c r="G1537" s="1" t="s">
        <v>8164</v>
      </c>
    </row>
    <row r="1538" spans="1:7" ht="21" x14ac:dyDescent="0.25">
      <c r="A1538" s="2" t="str">
        <f>HYPERLINK("https://rth.dk/resources/bsgatlas/details.php?id=BSGatlas-5'UTR-1537","BSGatlas-5'UTR-1537")</f>
        <v>BSGatlas-5'UTR-1537</v>
      </c>
      <c r="B1538" s="3">
        <v>2366275</v>
      </c>
      <c r="C1538" s="3">
        <v>2366319</v>
      </c>
      <c r="D1538" s="1" t="s">
        <v>13</v>
      </c>
      <c r="E1538" s="1">
        <v>45</v>
      </c>
      <c r="F1538" s="1" t="s">
        <v>13036</v>
      </c>
      <c r="G1538" s="1" t="s">
        <v>8166</v>
      </c>
    </row>
    <row r="1539" spans="1:7" ht="21" x14ac:dyDescent="0.25">
      <c r="A1539" s="2" t="str">
        <f>HYPERLINK("https://rth.dk/resources/bsgatlas/details.php?id=BSGatlas-5'UTR-1538","BSGatlas-5'UTR-1538")</f>
        <v>BSGatlas-5'UTR-1538</v>
      </c>
      <c r="B1539" s="3">
        <v>2367618</v>
      </c>
      <c r="C1539" s="3">
        <v>2367686</v>
      </c>
      <c r="D1539" s="1" t="s">
        <v>13</v>
      </c>
      <c r="E1539" s="1">
        <v>69</v>
      </c>
      <c r="F1539" s="1" t="s">
        <v>13037</v>
      </c>
      <c r="G1539" s="1" t="s">
        <v>8169</v>
      </c>
    </row>
    <row r="1540" spans="1:7" ht="21" x14ac:dyDescent="0.25">
      <c r="A1540" s="2" t="str">
        <f>HYPERLINK("https://rth.dk/resources/bsgatlas/details.php?id=BSGatlas-5'UTR-1539","BSGatlas-5'UTR-1539")</f>
        <v>BSGatlas-5'UTR-1539</v>
      </c>
      <c r="B1540" s="3">
        <v>2367618</v>
      </c>
      <c r="C1540" s="3">
        <v>2367759</v>
      </c>
      <c r="D1540" s="1" t="s">
        <v>13</v>
      </c>
      <c r="E1540" s="1">
        <v>142</v>
      </c>
      <c r="F1540" s="1" t="s">
        <v>13037</v>
      </c>
      <c r="G1540" s="1" t="s">
        <v>8170</v>
      </c>
    </row>
    <row r="1541" spans="1:7" ht="21" x14ac:dyDescent="0.25">
      <c r="A1541" s="2" t="str">
        <f>HYPERLINK("https://rth.dk/resources/bsgatlas/details.php?id=BSGatlas-5'UTR-1540","BSGatlas-5'UTR-1540")</f>
        <v>BSGatlas-5'UTR-1540</v>
      </c>
      <c r="B1541" s="3">
        <v>2367618</v>
      </c>
      <c r="C1541" s="3">
        <v>2367905</v>
      </c>
      <c r="D1541" s="1" t="s">
        <v>13</v>
      </c>
      <c r="E1541" s="1">
        <v>288</v>
      </c>
      <c r="F1541" s="1" t="s">
        <v>13037</v>
      </c>
      <c r="G1541" s="1" t="s">
        <v>8171</v>
      </c>
    </row>
    <row r="1542" spans="1:7" ht="21" x14ac:dyDescent="0.25">
      <c r="A1542" s="2" t="str">
        <f>HYPERLINK("https://rth.dk/resources/bsgatlas/details.php?id=BSGatlas-5'UTR-1541","BSGatlas-5'UTR-1541")</f>
        <v>BSGatlas-5'UTR-1541</v>
      </c>
      <c r="B1542" s="3">
        <v>2373506</v>
      </c>
      <c r="C1542" s="3">
        <v>2373757</v>
      </c>
      <c r="D1542" s="1" t="s">
        <v>13</v>
      </c>
      <c r="E1542" s="1">
        <v>252</v>
      </c>
      <c r="F1542" s="1" t="s">
        <v>13038</v>
      </c>
      <c r="G1542" s="1" t="s">
        <v>8177</v>
      </c>
    </row>
    <row r="1543" spans="1:7" ht="21" x14ac:dyDescent="0.25">
      <c r="A1543" s="2" t="str">
        <f>HYPERLINK("https://rth.dk/resources/bsgatlas/details.php?id=BSGatlas-5'UTR-1542","BSGatlas-5'UTR-1542")</f>
        <v>BSGatlas-5'UTR-1542</v>
      </c>
      <c r="B1543" s="3">
        <v>2374134</v>
      </c>
      <c r="C1543" s="3">
        <v>2374175</v>
      </c>
      <c r="D1543" s="1" t="s">
        <v>13</v>
      </c>
      <c r="E1543" s="1">
        <v>42</v>
      </c>
      <c r="F1543" s="1" t="s">
        <v>13039</v>
      </c>
      <c r="G1543" s="1" t="s">
        <v>8179</v>
      </c>
    </row>
    <row r="1544" spans="1:7" ht="21" x14ac:dyDescent="0.25">
      <c r="A1544" s="2" t="str">
        <f>HYPERLINK("https://rth.dk/resources/bsgatlas/details.php?id=BSGatlas-5'UTR-1543","BSGatlas-5'UTR-1543")</f>
        <v>BSGatlas-5'UTR-1543</v>
      </c>
      <c r="B1544" s="3">
        <v>2377416</v>
      </c>
      <c r="C1544" s="3">
        <v>2377619</v>
      </c>
      <c r="D1544" s="1" t="s">
        <v>13</v>
      </c>
      <c r="E1544" s="1">
        <v>204</v>
      </c>
      <c r="F1544" s="1" t="s">
        <v>13040</v>
      </c>
      <c r="G1544" s="1" t="s">
        <v>8181</v>
      </c>
    </row>
    <row r="1545" spans="1:7" ht="21" x14ac:dyDescent="0.25">
      <c r="A1545" s="2" t="str">
        <f>HYPERLINK("https://rth.dk/resources/bsgatlas/details.php?id=BSGatlas-5'UTR-1544","BSGatlas-5'UTR-1544")</f>
        <v>BSGatlas-5'UTR-1544</v>
      </c>
      <c r="B1545" s="3">
        <v>2378015</v>
      </c>
      <c r="C1545" s="3">
        <v>2378154</v>
      </c>
      <c r="D1545" s="1" t="s">
        <v>13</v>
      </c>
      <c r="E1545" s="1">
        <v>140</v>
      </c>
      <c r="F1545" s="1" t="s">
        <v>13041</v>
      </c>
      <c r="G1545" s="1" t="s">
        <v>13042</v>
      </c>
    </row>
    <row r="1546" spans="1:7" ht="21" x14ac:dyDescent="0.25">
      <c r="A1546" s="2" t="str">
        <f>HYPERLINK("https://rth.dk/resources/bsgatlas/details.php?id=BSGatlas-5'UTR-1545","BSGatlas-5'UTR-1545")</f>
        <v>BSGatlas-5'UTR-1545</v>
      </c>
      <c r="B1546" s="3">
        <v>2380272</v>
      </c>
      <c r="C1546" s="3">
        <v>2380324</v>
      </c>
      <c r="D1546" s="1" t="s">
        <v>13</v>
      </c>
      <c r="E1546" s="1">
        <v>53</v>
      </c>
      <c r="F1546" s="1" t="s">
        <v>13043</v>
      </c>
      <c r="G1546" s="1" t="s">
        <v>8190</v>
      </c>
    </row>
    <row r="1547" spans="1:7" ht="21" x14ac:dyDescent="0.25">
      <c r="A1547" s="2" t="str">
        <f>HYPERLINK("https://rth.dk/resources/bsgatlas/details.php?id=BSGatlas-5'UTR-1546","BSGatlas-5'UTR-1546")</f>
        <v>BSGatlas-5'UTR-1546</v>
      </c>
      <c r="B1547" s="3">
        <v>2381117</v>
      </c>
      <c r="C1547" s="3">
        <v>2381160</v>
      </c>
      <c r="D1547" s="1" t="s">
        <v>13</v>
      </c>
      <c r="E1547" s="1">
        <v>44</v>
      </c>
      <c r="F1547" s="1" t="s">
        <v>13044</v>
      </c>
      <c r="G1547" s="1" t="s">
        <v>8192</v>
      </c>
    </row>
    <row r="1548" spans="1:7" ht="21" x14ac:dyDescent="0.25">
      <c r="A1548" s="2" t="str">
        <f>HYPERLINK("https://rth.dk/resources/bsgatlas/details.php?id=BSGatlas-5'UTR-1547","BSGatlas-5'UTR-1547")</f>
        <v>BSGatlas-5'UTR-1547</v>
      </c>
      <c r="B1548" s="3">
        <v>2381803</v>
      </c>
      <c r="C1548" s="3">
        <v>2381853</v>
      </c>
      <c r="D1548" s="1" t="s">
        <v>13</v>
      </c>
      <c r="E1548" s="1">
        <v>51</v>
      </c>
      <c r="F1548" s="1" t="s">
        <v>13045</v>
      </c>
      <c r="G1548" s="1" t="s">
        <v>8193</v>
      </c>
    </row>
    <row r="1549" spans="1:7" ht="21" x14ac:dyDescent="0.25">
      <c r="A1549" s="2" t="str">
        <f>HYPERLINK("https://rth.dk/resources/bsgatlas/details.php?id=BSGatlas-5'UTR-1548","BSGatlas-5'UTR-1548")</f>
        <v>BSGatlas-5'UTR-1548</v>
      </c>
      <c r="B1549" s="3">
        <v>2384370</v>
      </c>
      <c r="C1549" s="3">
        <v>2384456</v>
      </c>
      <c r="D1549" s="1" t="s">
        <v>13</v>
      </c>
      <c r="E1549" s="1">
        <v>87</v>
      </c>
      <c r="F1549" s="1" t="s">
        <v>13046</v>
      </c>
      <c r="G1549" s="1" t="s">
        <v>8196</v>
      </c>
    </row>
    <row r="1550" spans="1:7" ht="21" x14ac:dyDescent="0.25">
      <c r="A1550" s="2" t="str">
        <f>HYPERLINK("https://rth.dk/resources/bsgatlas/details.php?id=BSGatlas-5'UTR-1549","BSGatlas-5'UTR-1549")</f>
        <v>BSGatlas-5'UTR-1549</v>
      </c>
      <c r="B1550" s="3">
        <v>2385355</v>
      </c>
      <c r="C1550" s="3">
        <v>2385394</v>
      </c>
      <c r="D1550" s="1" t="s">
        <v>13</v>
      </c>
      <c r="E1550" s="1">
        <v>40</v>
      </c>
      <c r="F1550" s="1" t="s">
        <v>13047</v>
      </c>
      <c r="G1550" s="1" t="s">
        <v>8198</v>
      </c>
    </row>
    <row r="1551" spans="1:7" ht="21" x14ac:dyDescent="0.25">
      <c r="A1551" s="2" t="str">
        <f>HYPERLINK("https://rth.dk/resources/bsgatlas/details.php?id=BSGatlas-5'UTR-1550","BSGatlas-5'UTR-1550")</f>
        <v>BSGatlas-5'UTR-1550</v>
      </c>
      <c r="B1551" s="3">
        <v>2385821</v>
      </c>
      <c r="C1551" s="3">
        <v>2385842</v>
      </c>
      <c r="D1551" s="1" t="s">
        <v>13</v>
      </c>
      <c r="E1551" s="1">
        <v>22</v>
      </c>
      <c r="F1551" s="1" t="s">
        <v>13048</v>
      </c>
      <c r="G1551" s="1" t="s">
        <v>8201</v>
      </c>
    </row>
    <row r="1552" spans="1:7" ht="21" x14ac:dyDescent="0.25">
      <c r="A1552" s="2" t="str">
        <f>HYPERLINK("https://rth.dk/resources/bsgatlas/details.php?id=BSGatlas-5'UTR-1551","BSGatlas-5'UTR-1551")</f>
        <v>BSGatlas-5'UTR-1551</v>
      </c>
      <c r="B1552" s="3">
        <v>2385821</v>
      </c>
      <c r="C1552" s="3">
        <v>2386002</v>
      </c>
      <c r="D1552" s="1" t="s">
        <v>13</v>
      </c>
      <c r="E1552" s="1">
        <v>182</v>
      </c>
      <c r="F1552" s="1" t="s">
        <v>13048</v>
      </c>
      <c r="G1552" s="1" t="s">
        <v>8203</v>
      </c>
    </row>
    <row r="1553" spans="1:7" ht="21" x14ac:dyDescent="0.25">
      <c r="A1553" s="2" t="str">
        <f>HYPERLINK("https://rth.dk/resources/bsgatlas/details.php?id=BSGatlas-5'UTR-1552","BSGatlas-5'UTR-1552")</f>
        <v>BSGatlas-5'UTR-1552</v>
      </c>
      <c r="B1553" s="3">
        <v>2385821</v>
      </c>
      <c r="C1553" s="3">
        <v>2386034</v>
      </c>
      <c r="D1553" s="1" t="s">
        <v>13</v>
      </c>
      <c r="E1553" s="1">
        <v>214</v>
      </c>
      <c r="F1553" s="1" t="s">
        <v>13048</v>
      </c>
      <c r="G1553" s="1" t="s">
        <v>8204</v>
      </c>
    </row>
    <row r="1554" spans="1:7" ht="21" x14ac:dyDescent="0.25">
      <c r="A1554" s="2" t="str">
        <f>HYPERLINK("https://rth.dk/resources/bsgatlas/details.php?id=BSGatlas-5'UTR-1553","BSGatlas-5'UTR-1553")</f>
        <v>BSGatlas-5'UTR-1553</v>
      </c>
      <c r="B1554" s="3">
        <v>2387673</v>
      </c>
      <c r="C1554" s="3">
        <v>2387738</v>
      </c>
      <c r="D1554" s="1" t="s">
        <v>13</v>
      </c>
      <c r="E1554" s="1">
        <v>66</v>
      </c>
      <c r="F1554" s="1" t="s">
        <v>13049</v>
      </c>
      <c r="G1554" s="1" t="s">
        <v>8206</v>
      </c>
    </row>
    <row r="1555" spans="1:7" ht="21" x14ac:dyDescent="0.25">
      <c r="A1555" s="2" t="str">
        <f>HYPERLINK("https://rth.dk/resources/bsgatlas/details.php?id=BSGatlas-5'UTR-1554","BSGatlas-5'UTR-1554")</f>
        <v>BSGatlas-5'UTR-1554</v>
      </c>
      <c r="B1555" s="3">
        <v>2387673</v>
      </c>
      <c r="C1555" s="3">
        <v>2387825</v>
      </c>
      <c r="D1555" s="1" t="s">
        <v>13</v>
      </c>
      <c r="E1555" s="1">
        <v>153</v>
      </c>
      <c r="F1555" s="1" t="s">
        <v>13049</v>
      </c>
      <c r="G1555" s="1" t="s">
        <v>8208</v>
      </c>
    </row>
    <row r="1556" spans="1:7" ht="21" x14ac:dyDescent="0.25">
      <c r="A1556" s="2" t="str">
        <f>HYPERLINK("https://rth.dk/resources/bsgatlas/details.php?id=BSGatlas-5'UTR-1555","BSGatlas-5'UTR-1555")</f>
        <v>BSGatlas-5'UTR-1555</v>
      </c>
      <c r="B1556" s="3">
        <v>2388813</v>
      </c>
      <c r="C1556" s="3">
        <v>2388870</v>
      </c>
      <c r="D1556" s="1" t="s">
        <v>13</v>
      </c>
      <c r="E1556" s="1">
        <v>58</v>
      </c>
      <c r="F1556" s="1" t="s">
        <v>13050</v>
      </c>
      <c r="G1556" s="1" t="s">
        <v>8211</v>
      </c>
    </row>
    <row r="1557" spans="1:7" ht="21" x14ac:dyDescent="0.25">
      <c r="A1557" s="2" t="str">
        <f>HYPERLINK("https://rth.dk/resources/bsgatlas/details.php?id=BSGatlas-5'UTR-1556","BSGatlas-5'UTR-1556")</f>
        <v>BSGatlas-5'UTR-1556</v>
      </c>
      <c r="B1557" s="3">
        <v>2391516</v>
      </c>
      <c r="C1557" s="3">
        <v>2391641</v>
      </c>
      <c r="D1557" s="1" t="s">
        <v>13</v>
      </c>
      <c r="E1557" s="1">
        <v>126</v>
      </c>
      <c r="F1557" s="1" t="s">
        <v>13051</v>
      </c>
      <c r="G1557" s="1" t="s">
        <v>8216</v>
      </c>
    </row>
    <row r="1558" spans="1:7" ht="21" x14ac:dyDescent="0.25">
      <c r="A1558" s="2" t="str">
        <f>HYPERLINK("https://rth.dk/resources/bsgatlas/details.php?id=BSGatlas-5'UTR-1557","BSGatlas-5'UTR-1557")</f>
        <v>BSGatlas-5'UTR-1557</v>
      </c>
      <c r="B1558" s="3">
        <v>2393240</v>
      </c>
      <c r="C1558" s="3">
        <v>2393428</v>
      </c>
      <c r="D1558" s="1" t="s">
        <v>9</v>
      </c>
      <c r="E1558" s="1">
        <v>189</v>
      </c>
      <c r="F1558" s="1" t="s">
        <v>13052</v>
      </c>
      <c r="G1558" s="1" t="s">
        <v>8222</v>
      </c>
    </row>
    <row r="1559" spans="1:7" ht="21" x14ac:dyDescent="0.25">
      <c r="A1559" s="2" t="str">
        <f>HYPERLINK("https://rth.dk/resources/bsgatlas/details.php?id=BSGatlas-5'UTR-1558","BSGatlas-5'UTR-1558")</f>
        <v>BSGatlas-5'UTR-1558</v>
      </c>
      <c r="B1559" s="3">
        <v>2393350</v>
      </c>
      <c r="C1559" s="3">
        <v>2393380</v>
      </c>
      <c r="D1559" s="1" t="s">
        <v>13</v>
      </c>
      <c r="E1559" s="1">
        <v>31</v>
      </c>
      <c r="F1559" s="1" t="s">
        <v>13053</v>
      </c>
      <c r="G1559" s="1" t="s">
        <v>8218</v>
      </c>
    </row>
    <row r="1560" spans="1:7" ht="21" x14ac:dyDescent="0.25">
      <c r="A1560" s="2" t="str">
        <f>HYPERLINK("https://rth.dk/resources/bsgatlas/details.php?id=BSGatlas-5'UTR-1559","BSGatlas-5'UTR-1559")</f>
        <v>BSGatlas-5'UTR-1559</v>
      </c>
      <c r="B1560" s="3">
        <v>2395812</v>
      </c>
      <c r="C1560" s="3">
        <v>2395952</v>
      </c>
      <c r="D1560" s="1" t="s">
        <v>13</v>
      </c>
      <c r="E1560" s="1">
        <v>141</v>
      </c>
      <c r="F1560" s="1" t="s">
        <v>13054</v>
      </c>
      <c r="G1560" s="1" t="s">
        <v>8226</v>
      </c>
    </row>
    <row r="1561" spans="1:7" ht="21" x14ac:dyDescent="0.25">
      <c r="A1561" s="2" t="str">
        <f>HYPERLINK("https://rth.dk/resources/bsgatlas/details.php?id=BSGatlas-5'UTR-1560","BSGatlas-5'UTR-1560")</f>
        <v>BSGatlas-5'UTR-1560</v>
      </c>
      <c r="B1561" s="3">
        <v>2396974</v>
      </c>
      <c r="C1561" s="3">
        <v>2397003</v>
      </c>
      <c r="D1561" s="1" t="s">
        <v>13</v>
      </c>
      <c r="E1561" s="1">
        <v>30</v>
      </c>
      <c r="F1561" s="1" t="s">
        <v>13055</v>
      </c>
      <c r="G1561" s="1" t="s">
        <v>8230</v>
      </c>
    </row>
    <row r="1562" spans="1:7" ht="21" x14ac:dyDescent="0.25">
      <c r="A1562" s="2" t="str">
        <f>HYPERLINK("https://rth.dk/resources/bsgatlas/details.php?id=BSGatlas-5'UTR-1561","BSGatlas-5'UTR-1561")</f>
        <v>BSGatlas-5'UTR-1561</v>
      </c>
      <c r="B1562" s="3">
        <v>2397672</v>
      </c>
      <c r="C1562" s="3">
        <v>2397715</v>
      </c>
      <c r="D1562" s="1" t="s">
        <v>13</v>
      </c>
      <c r="E1562" s="1">
        <v>44</v>
      </c>
      <c r="F1562" s="1" t="s">
        <v>13056</v>
      </c>
      <c r="G1562" s="1" t="s">
        <v>8232</v>
      </c>
    </row>
    <row r="1563" spans="1:7" ht="21" x14ac:dyDescent="0.25">
      <c r="A1563" s="2" t="str">
        <f>HYPERLINK("https://rth.dk/resources/bsgatlas/details.php?id=BSGatlas-5'UTR-1562","BSGatlas-5'UTR-1562")</f>
        <v>BSGatlas-5'UTR-1562</v>
      </c>
      <c r="B1563" s="3">
        <v>2400069</v>
      </c>
      <c r="C1563" s="3">
        <v>2400103</v>
      </c>
      <c r="D1563" s="1" t="s">
        <v>13</v>
      </c>
      <c r="E1563" s="1">
        <v>35</v>
      </c>
      <c r="F1563" s="1" t="s">
        <v>13057</v>
      </c>
      <c r="G1563" s="1" t="s">
        <v>8240</v>
      </c>
    </row>
    <row r="1564" spans="1:7" ht="21" x14ac:dyDescent="0.25">
      <c r="A1564" s="2" t="str">
        <f>HYPERLINK("https://rth.dk/resources/bsgatlas/details.php?id=BSGatlas-5'UTR-1563","BSGatlas-5'UTR-1563")</f>
        <v>BSGatlas-5'UTR-1563</v>
      </c>
      <c r="B1564" s="3">
        <v>2400864</v>
      </c>
      <c r="C1564" s="3">
        <v>2400904</v>
      </c>
      <c r="D1564" s="1" t="s">
        <v>13</v>
      </c>
      <c r="E1564" s="1">
        <v>41</v>
      </c>
      <c r="F1564" s="1" t="s">
        <v>13058</v>
      </c>
      <c r="G1564" s="1" t="s">
        <v>8243</v>
      </c>
    </row>
    <row r="1565" spans="1:7" ht="21" x14ac:dyDescent="0.25">
      <c r="A1565" s="2" t="str">
        <f>HYPERLINK("https://rth.dk/resources/bsgatlas/details.php?id=BSGatlas-5'UTR-1564","BSGatlas-5'UTR-1564")</f>
        <v>BSGatlas-5'UTR-1564</v>
      </c>
      <c r="B1565" s="3">
        <v>2403350</v>
      </c>
      <c r="C1565" s="3">
        <v>2403396</v>
      </c>
      <c r="D1565" s="1" t="s">
        <v>13</v>
      </c>
      <c r="E1565" s="1">
        <v>47</v>
      </c>
      <c r="F1565" s="1" t="s">
        <v>13059</v>
      </c>
      <c r="G1565" s="1" t="s">
        <v>8248</v>
      </c>
    </row>
    <row r="1566" spans="1:7" ht="21" x14ac:dyDescent="0.25">
      <c r="A1566" s="2" t="str">
        <f>HYPERLINK("https://rth.dk/resources/bsgatlas/details.php?id=BSGatlas-5'UTR-1565","BSGatlas-5'UTR-1565")</f>
        <v>BSGatlas-5'UTR-1565</v>
      </c>
      <c r="B1566" s="3">
        <v>2404090</v>
      </c>
      <c r="C1566" s="3">
        <v>2404172</v>
      </c>
      <c r="D1566" s="1" t="s">
        <v>13</v>
      </c>
      <c r="E1566" s="1">
        <v>83</v>
      </c>
      <c r="F1566" s="1" t="s">
        <v>13060</v>
      </c>
      <c r="G1566" s="1" t="s">
        <v>8250</v>
      </c>
    </row>
    <row r="1567" spans="1:7" ht="21" x14ac:dyDescent="0.25">
      <c r="A1567" s="2" t="str">
        <f>HYPERLINK("https://rth.dk/resources/bsgatlas/details.php?id=BSGatlas-5'UTR-1566","BSGatlas-5'UTR-1566")</f>
        <v>BSGatlas-5'UTR-1566</v>
      </c>
      <c r="B1567" s="3">
        <v>2405028</v>
      </c>
      <c r="C1567" s="3">
        <v>2405065</v>
      </c>
      <c r="D1567" s="1" t="s">
        <v>13</v>
      </c>
      <c r="E1567" s="1">
        <v>38</v>
      </c>
      <c r="F1567" s="1" t="s">
        <v>13061</v>
      </c>
      <c r="G1567" s="1" t="s">
        <v>8252</v>
      </c>
    </row>
    <row r="1568" spans="1:7" ht="21" x14ac:dyDescent="0.25">
      <c r="A1568" s="2" t="str">
        <f>HYPERLINK("https://rth.dk/resources/bsgatlas/details.php?id=BSGatlas-5'UTR-1567","BSGatlas-5'UTR-1567")</f>
        <v>BSGatlas-5'UTR-1567</v>
      </c>
      <c r="B1568" s="3">
        <v>2408773</v>
      </c>
      <c r="C1568" s="3">
        <v>2409729</v>
      </c>
      <c r="D1568" s="1" t="s">
        <v>9</v>
      </c>
      <c r="E1568" s="1">
        <v>957</v>
      </c>
      <c r="F1568" s="1" t="s">
        <v>13062</v>
      </c>
      <c r="G1568" s="1" t="s">
        <v>8257</v>
      </c>
    </row>
    <row r="1569" spans="1:7" ht="21" x14ac:dyDescent="0.25">
      <c r="A1569" s="2" t="str">
        <f>HYPERLINK("https://rth.dk/resources/bsgatlas/details.php?id=BSGatlas-5'UTR-1568","BSGatlas-5'UTR-1568")</f>
        <v>BSGatlas-5'UTR-1568</v>
      </c>
      <c r="B1569" s="3">
        <v>2409463</v>
      </c>
      <c r="C1569" s="3">
        <v>2409527</v>
      </c>
      <c r="D1569" s="1" t="s">
        <v>13</v>
      </c>
      <c r="E1569" s="1">
        <v>65</v>
      </c>
      <c r="F1569" s="1" t="s">
        <v>13063</v>
      </c>
      <c r="G1569" s="1" t="s">
        <v>8256</v>
      </c>
    </row>
    <row r="1570" spans="1:7" ht="21" x14ac:dyDescent="0.25">
      <c r="A1570" s="2" t="str">
        <f>HYPERLINK("https://rth.dk/resources/bsgatlas/details.php?id=BSGatlas-5'UTR-1569","BSGatlas-5'UTR-1569")</f>
        <v>BSGatlas-5'UTR-1569</v>
      </c>
      <c r="B1570" s="3">
        <v>2409565</v>
      </c>
      <c r="C1570" s="3">
        <v>2409729</v>
      </c>
      <c r="D1570" s="1" t="s">
        <v>9</v>
      </c>
      <c r="E1570" s="1">
        <v>165</v>
      </c>
      <c r="F1570" s="1" t="s">
        <v>13062</v>
      </c>
      <c r="G1570" s="1" t="s">
        <v>8259</v>
      </c>
    </row>
    <row r="1571" spans="1:7" ht="21" x14ac:dyDescent="0.25">
      <c r="A1571" s="2" t="str">
        <f>HYPERLINK("https://rth.dk/resources/bsgatlas/details.php?id=BSGatlas-5'UTR-1570","BSGatlas-5'UTR-1570")</f>
        <v>BSGatlas-5'UTR-1570</v>
      </c>
      <c r="B1571" s="3">
        <v>2409636</v>
      </c>
      <c r="C1571" s="3">
        <v>2409729</v>
      </c>
      <c r="D1571" s="1" t="s">
        <v>9</v>
      </c>
      <c r="E1571" s="1">
        <v>94</v>
      </c>
      <c r="F1571" s="1" t="s">
        <v>13062</v>
      </c>
      <c r="G1571" s="1" t="s">
        <v>8260</v>
      </c>
    </row>
    <row r="1572" spans="1:7" ht="21" x14ac:dyDescent="0.25">
      <c r="A1572" s="2" t="str">
        <f>HYPERLINK("https://rth.dk/resources/bsgatlas/details.php?id=BSGatlas-5'UTR-1571","BSGatlas-5'UTR-1571")</f>
        <v>BSGatlas-5'UTR-1571</v>
      </c>
      <c r="B1572" s="3">
        <v>2410589</v>
      </c>
      <c r="C1572" s="3">
        <v>2410903</v>
      </c>
      <c r="D1572" s="1" t="s">
        <v>13</v>
      </c>
      <c r="E1572" s="1">
        <v>315</v>
      </c>
      <c r="F1572" s="1" t="s">
        <v>13064</v>
      </c>
      <c r="G1572" s="1" t="s">
        <v>8261</v>
      </c>
    </row>
    <row r="1573" spans="1:7" ht="21" x14ac:dyDescent="0.25">
      <c r="A1573" s="2" t="str">
        <f>HYPERLINK("https://rth.dk/resources/bsgatlas/details.php?id=BSGatlas-5'UTR-1572","BSGatlas-5'UTR-1572")</f>
        <v>BSGatlas-5'UTR-1572</v>
      </c>
      <c r="B1573" s="3">
        <v>2410859</v>
      </c>
      <c r="C1573" s="3">
        <v>2410903</v>
      </c>
      <c r="D1573" s="1" t="s">
        <v>13</v>
      </c>
      <c r="E1573" s="1">
        <v>45</v>
      </c>
      <c r="F1573" s="1" t="s">
        <v>13065</v>
      </c>
      <c r="G1573" s="1" t="s">
        <v>8261</v>
      </c>
    </row>
    <row r="1574" spans="1:7" ht="21" x14ac:dyDescent="0.25">
      <c r="A1574" s="2" t="str">
        <f>HYPERLINK("https://rth.dk/resources/bsgatlas/details.php?id=BSGatlas-5'UTR-1573","BSGatlas-5'UTR-1573")</f>
        <v>BSGatlas-5'UTR-1573</v>
      </c>
      <c r="B1574" s="3">
        <v>2411033</v>
      </c>
      <c r="C1574" s="3">
        <v>2411086</v>
      </c>
      <c r="D1574" s="1" t="s">
        <v>9</v>
      </c>
      <c r="E1574" s="1">
        <v>54</v>
      </c>
      <c r="F1574" s="1" t="s">
        <v>13066</v>
      </c>
      <c r="G1574" s="1" t="s">
        <v>8263</v>
      </c>
    </row>
    <row r="1575" spans="1:7" ht="21" x14ac:dyDescent="0.25">
      <c r="A1575" s="2" t="str">
        <f>HYPERLINK("https://rth.dk/resources/bsgatlas/details.php?id=BSGatlas-5'UTR-1574","BSGatlas-5'UTR-1574")</f>
        <v>BSGatlas-5'UTR-1574</v>
      </c>
      <c r="B1575" s="3">
        <v>2413473</v>
      </c>
      <c r="C1575" s="3">
        <v>2413513</v>
      </c>
      <c r="D1575" s="1" t="s">
        <v>13</v>
      </c>
      <c r="E1575" s="1">
        <v>41</v>
      </c>
      <c r="F1575" s="1" t="s">
        <v>13067</v>
      </c>
      <c r="G1575" s="1" t="s">
        <v>8267</v>
      </c>
    </row>
    <row r="1576" spans="1:7" ht="21" x14ac:dyDescent="0.25">
      <c r="A1576" s="2" t="str">
        <f>HYPERLINK("https://rth.dk/resources/bsgatlas/details.php?id=BSGatlas-5'UTR-1575","BSGatlas-5'UTR-1575")</f>
        <v>BSGatlas-5'UTR-1575</v>
      </c>
      <c r="B1576" s="3">
        <v>2415021</v>
      </c>
      <c r="C1576" s="3">
        <v>2415264</v>
      </c>
      <c r="D1576" s="1" t="s">
        <v>9</v>
      </c>
      <c r="E1576" s="1">
        <v>244</v>
      </c>
      <c r="F1576" s="1" t="s">
        <v>13068</v>
      </c>
      <c r="G1576" s="1" t="s">
        <v>8274</v>
      </c>
    </row>
    <row r="1577" spans="1:7" ht="21" x14ac:dyDescent="0.25">
      <c r="A1577" s="2" t="str">
        <f>HYPERLINK("https://rth.dk/resources/bsgatlas/details.php?id=BSGatlas-5'UTR-1576","BSGatlas-5'UTR-1576")</f>
        <v>BSGatlas-5'UTR-1576</v>
      </c>
      <c r="B1577" s="3">
        <v>2415179</v>
      </c>
      <c r="C1577" s="3">
        <v>2415264</v>
      </c>
      <c r="D1577" s="1" t="s">
        <v>9</v>
      </c>
      <c r="E1577" s="1">
        <v>86</v>
      </c>
      <c r="F1577" s="1" t="s">
        <v>13068</v>
      </c>
      <c r="G1577" s="1" t="s">
        <v>8276</v>
      </c>
    </row>
    <row r="1578" spans="1:7" ht="21" x14ac:dyDescent="0.25">
      <c r="A1578" s="2" t="str">
        <f>HYPERLINK("https://rth.dk/resources/bsgatlas/details.php?id=BSGatlas-5'UTR-1577","BSGatlas-5'UTR-1577")</f>
        <v>BSGatlas-5'UTR-1577</v>
      </c>
      <c r="B1578" s="3">
        <v>2415211</v>
      </c>
      <c r="C1578" s="3">
        <v>2415228</v>
      </c>
      <c r="D1578" s="1" t="s">
        <v>13</v>
      </c>
      <c r="E1578" s="1">
        <v>18</v>
      </c>
      <c r="F1578" s="1" t="s">
        <v>13069</v>
      </c>
      <c r="G1578" s="1" t="s">
        <v>8271</v>
      </c>
    </row>
    <row r="1579" spans="1:7" ht="21" x14ac:dyDescent="0.25">
      <c r="A1579" s="2" t="str">
        <f>HYPERLINK("https://rth.dk/resources/bsgatlas/details.php?id=BSGatlas-5'UTR-1578","BSGatlas-5'UTR-1578")</f>
        <v>BSGatlas-5'UTR-1578</v>
      </c>
      <c r="B1579" s="3">
        <v>2415211</v>
      </c>
      <c r="C1579" s="3">
        <v>2415262</v>
      </c>
      <c r="D1579" s="1" t="s">
        <v>13</v>
      </c>
      <c r="E1579" s="1">
        <v>52</v>
      </c>
      <c r="F1579" s="1" t="s">
        <v>13069</v>
      </c>
      <c r="G1579" s="1" t="s">
        <v>8273</v>
      </c>
    </row>
    <row r="1580" spans="1:7" ht="21" x14ac:dyDescent="0.25">
      <c r="A1580" s="2" t="str">
        <f>HYPERLINK("https://rth.dk/resources/bsgatlas/details.php?id=BSGatlas-5'UTR-1579","BSGatlas-5'UTR-1579")</f>
        <v>BSGatlas-5'UTR-1579</v>
      </c>
      <c r="B1580" s="3">
        <v>2417903</v>
      </c>
      <c r="C1580" s="3">
        <v>2417927</v>
      </c>
      <c r="D1580" s="1" t="s">
        <v>13</v>
      </c>
      <c r="E1580" s="1">
        <v>25</v>
      </c>
      <c r="F1580" s="1" t="s">
        <v>13070</v>
      </c>
      <c r="G1580" s="1" t="s">
        <v>8278</v>
      </c>
    </row>
    <row r="1581" spans="1:7" ht="21" x14ac:dyDescent="0.25">
      <c r="A1581" s="2" t="str">
        <f>HYPERLINK("https://rth.dk/resources/bsgatlas/details.php?id=BSGatlas-5'UTR-1580","BSGatlas-5'UTR-1580")</f>
        <v>BSGatlas-5'UTR-1580</v>
      </c>
      <c r="B1581" s="3">
        <v>2421343</v>
      </c>
      <c r="C1581" s="3">
        <v>2421374</v>
      </c>
      <c r="D1581" s="1" t="s">
        <v>13</v>
      </c>
      <c r="E1581" s="1">
        <v>32</v>
      </c>
      <c r="F1581" s="1" t="s">
        <v>13071</v>
      </c>
      <c r="G1581" s="1" t="s">
        <v>8281</v>
      </c>
    </row>
    <row r="1582" spans="1:7" ht="21" x14ac:dyDescent="0.25">
      <c r="A1582" s="2" t="str">
        <f>HYPERLINK("https://rth.dk/resources/bsgatlas/details.php?id=BSGatlas-5'UTR-1581","BSGatlas-5'UTR-1581")</f>
        <v>BSGatlas-5'UTR-1581</v>
      </c>
      <c r="B1582" s="3">
        <v>2422172</v>
      </c>
      <c r="C1582" s="3">
        <v>2422204</v>
      </c>
      <c r="D1582" s="1" t="s">
        <v>13</v>
      </c>
      <c r="E1582" s="1">
        <v>33</v>
      </c>
      <c r="F1582" s="1" t="s">
        <v>13072</v>
      </c>
      <c r="G1582" s="1" t="s">
        <v>8283</v>
      </c>
    </row>
    <row r="1583" spans="1:7" ht="21" x14ac:dyDescent="0.25">
      <c r="A1583" s="2" t="str">
        <f>HYPERLINK("https://rth.dk/resources/bsgatlas/details.php?id=BSGatlas-5'UTR-1582","BSGatlas-5'UTR-1582")</f>
        <v>BSGatlas-5'UTR-1582</v>
      </c>
      <c r="B1583" s="3">
        <v>2422172</v>
      </c>
      <c r="C1583" s="3">
        <v>2422273</v>
      </c>
      <c r="D1583" s="1" t="s">
        <v>13</v>
      </c>
      <c r="E1583" s="1">
        <v>102</v>
      </c>
      <c r="F1583" s="1" t="s">
        <v>13072</v>
      </c>
      <c r="G1583" s="1" t="s">
        <v>8284</v>
      </c>
    </row>
    <row r="1584" spans="1:7" ht="21" x14ac:dyDescent="0.25">
      <c r="A1584" s="2" t="str">
        <f>HYPERLINK("https://rth.dk/resources/bsgatlas/details.php?id=BSGatlas-5'UTR-1583","BSGatlas-5'UTR-1583")</f>
        <v>BSGatlas-5'UTR-1583</v>
      </c>
      <c r="B1584" s="3">
        <v>2424531</v>
      </c>
      <c r="C1584" s="3">
        <v>2424558</v>
      </c>
      <c r="D1584" s="1" t="s">
        <v>13</v>
      </c>
      <c r="E1584" s="1">
        <v>28</v>
      </c>
      <c r="F1584" s="1" t="s">
        <v>13073</v>
      </c>
      <c r="G1584" s="1" t="s">
        <v>8287</v>
      </c>
    </row>
    <row r="1585" spans="1:7" ht="21" x14ac:dyDescent="0.25">
      <c r="A1585" s="2" t="str">
        <f>HYPERLINK("https://rth.dk/resources/bsgatlas/details.php?id=BSGatlas-5'UTR-1584","BSGatlas-5'UTR-1584")</f>
        <v>BSGatlas-5'UTR-1584</v>
      </c>
      <c r="B1585" s="3">
        <v>2425193</v>
      </c>
      <c r="C1585" s="3">
        <v>2425217</v>
      </c>
      <c r="D1585" s="1" t="s">
        <v>13</v>
      </c>
      <c r="E1585" s="1">
        <v>25</v>
      </c>
      <c r="F1585" s="1" t="s">
        <v>13074</v>
      </c>
      <c r="G1585" s="1" t="s">
        <v>8289</v>
      </c>
    </row>
    <row r="1586" spans="1:7" ht="21" x14ac:dyDescent="0.25">
      <c r="A1586" s="2" t="str">
        <f>HYPERLINK("https://rth.dk/resources/bsgatlas/details.php?id=BSGatlas-5'UTR-1585","BSGatlas-5'UTR-1585")</f>
        <v>BSGatlas-5'UTR-1585</v>
      </c>
      <c r="B1586" s="3">
        <v>2426461</v>
      </c>
      <c r="C1586" s="3">
        <v>2426867</v>
      </c>
      <c r="D1586" s="1" t="s">
        <v>9</v>
      </c>
      <c r="E1586" s="1">
        <v>407</v>
      </c>
      <c r="F1586" s="1" t="s">
        <v>13075</v>
      </c>
      <c r="G1586" s="1" t="s">
        <v>8293</v>
      </c>
    </row>
    <row r="1587" spans="1:7" ht="21" x14ac:dyDescent="0.25">
      <c r="A1587" s="2" t="str">
        <f>HYPERLINK("https://rth.dk/resources/bsgatlas/details.php?id=BSGatlas-5'UTR-1586","BSGatlas-5'UTR-1586")</f>
        <v>BSGatlas-5'UTR-1586</v>
      </c>
      <c r="B1587" s="3">
        <v>2426586</v>
      </c>
      <c r="C1587" s="3">
        <v>2426647</v>
      </c>
      <c r="D1587" s="1" t="s">
        <v>13</v>
      </c>
      <c r="E1587" s="1">
        <v>62</v>
      </c>
      <c r="F1587" s="1" t="s">
        <v>13076</v>
      </c>
      <c r="G1587" s="1" t="s">
        <v>8292</v>
      </c>
    </row>
    <row r="1588" spans="1:7" ht="21" x14ac:dyDescent="0.25">
      <c r="A1588" s="2" t="str">
        <f>HYPERLINK("https://rth.dk/resources/bsgatlas/details.php?id=BSGatlas-5'UTR-1587","BSGatlas-5'UTR-1587")</f>
        <v>BSGatlas-5'UTR-1587</v>
      </c>
      <c r="B1588" s="3">
        <v>2426835</v>
      </c>
      <c r="C1588" s="3">
        <v>2426867</v>
      </c>
      <c r="D1588" s="1" t="s">
        <v>9</v>
      </c>
      <c r="E1588" s="1">
        <v>33</v>
      </c>
      <c r="F1588" s="1" t="s">
        <v>13075</v>
      </c>
      <c r="G1588" s="1" t="s">
        <v>8295</v>
      </c>
    </row>
    <row r="1589" spans="1:7" ht="21" x14ac:dyDescent="0.25">
      <c r="A1589" s="2" t="str">
        <f>HYPERLINK("https://rth.dk/resources/bsgatlas/details.php?id=BSGatlas-5'UTR-1588","BSGatlas-5'UTR-1588")</f>
        <v>BSGatlas-5'UTR-1588</v>
      </c>
      <c r="B1589" s="3">
        <v>2427779</v>
      </c>
      <c r="C1589" s="3">
        <v>2427853</v>
      </c>
      <c r="D1589" s="1" t="s">
        <v>13</v>
      </c>
      <c r="E1589" s="1">
        <v>75</v>
      </c>
      <c r="F1589" s="1" t="s">
        <v>13077</v>
      </c>
      <c r="G1589" s="1" t="s">
        <v>8296</v>
      </c>
    </row>
    <row r="1590" spans="1:7" ht="21" x14ac:dyDescent="0.25">
      <c r="A1590" s="2" t="str">
        <f>HYPERLINK("https://rth.dk/resources/bsgatlas/details.php?id=BSGatlas-5'UTR-1589","BSGatlas-5'UTR-1589")</f>
        <v>BSGatlas-5'UTR-1589</v>
      </c>
      <c r="B1590" s="3">
        <v>2431343</v>
      </c>
      <c r="C1590" s="3">
        <v>2431637</v>
      </c>
      <c r="D1590" s="1" t="s">
        <v>13</v>
      </c>
      <c r="E1590" s="1">
        <v>295</v>
      </c>
      <c r="F1590" s="1" t="s">
        <v>13078</v>
      </c>
      <c r="G1590" s="1" t="s">
        <v>8299</v>
      </c>
    </row>
    <row r="1591" spans="1:7" ht="21" x14ac:dyDescent="0.25">
      <c r="A1591" s="2" t="str">
        <f>HYPERLINK("https://rth.dk/resources/bsgatlas/details.php?id=BSGatlas-5'UTR-1590","BSGatlas-5'UTR-1590")</f>
        <v>BSGatlas-5'UTR-1590</v>
      </c>
      <c r="B1591" s="3">
        <v>2432081</v>
      </c>
      <c r="C1591" s="3">
        <v>2432126</v>
      </c>
      <c r="D1591" s="1" t="s">
        <v>13</v>
      </c>
      <c r="E1591" s="1">
        <v>46</v>
      </c>
      <c r="F1591" s="1" t="s">
        <v>13079</v>
      </c>
      <c r="G1591" s="1" t="s">
        <v>8301</v>
      </c>
    </row>
    <row r="1592" spans="1:7" ht="21" x14ac:dyDescent="0.25">
      <c r="A1592" s="2" t="str">
        <f>HYPERLINK("https://rth.dk/resources/bsgatlas/details.php?id=BSGatlas-5'UTR-1591","BSGatlas-5'UTR-1591")</f>
        <v>BSGatlas-5'UTR-1591</v>
      </c>
      <c r="B1592" s="3">
        <v>2432081</v>
      </c>
      <c r="C1592" s="3">
        <v>2432170</v>
      </c>
      <c r="D1592" s="1" t="s">
        <v>13</v>
      </c>
      <c r="E1592" s="1">
        <v>90</v>
      </c>
      <c r="F1592" s="1" t="s">
        <v>13079</v>
      </c>
      <c r="G1592" s="1" t="s">
        <v>8303</v>
      </c>
    </row>
    <row r="1593" spans="1:7" ht="21" x14ac:dyDescent="0.25">
      <c r="A1593" s="2" t="str">
        <f>HYPERLINK("https://rth.dk/resources/bsgatlas/details.php?id=BSGatlas-5'UTR-1592","BSGatlas-5'UTR-1592")</f>
        <v>BSGatlas-5'UTR-1592</v>
      </c>
      <c r="B1593" s="3">
        <v>2432081</v>
      </c>
      <c r="C1593" s="3">
        <v>2432238</v>
      </c>
      <c r="D1593" s="1" t="s">
        <v>13</v>
      </c>
      <c r="E1593" s="1">
        <v>158</v>
      </c>
      <c r="F1593" s="1" t="s">
        <v>13079</v>
      </c>
      <c r="G1593" s="1" t="s">
        <v>8304</v>
      </c>
    </row>
    <row r="1594" spans="1:7" ht="21" x14ac:dyDescent="0.25">
      <c r="A1594" s="2" t="str">
        <f>HYPERLINK("https://rth.dk/resources/bsgatlas/details.php?id=BSGatlas-5'UTR-1593","BSGatlas-5'UTR-1593")</f>
        <v>BSGatlas-5'UTR-1593</v>
      </c>
      <c r="B1594" s="3">
        <v>2432870</v>
      </c>
      <c r="C1594" s="3">
        <v>2432899</v>
      </c>
      <c r="D1594" s="1" t="s">
        <v>13</v>
      </c>
      <c r="E1594" s="1">
        <v>30</v>
      </c>
      <c r="F1594" s="1" t="s">
        <v>13080</v>
      </c>
      <c r="G1594" s="1" t="s">
        <v>8306</v>
      </c>
    </row>
    <row r="1595" spans="1:7" ht="21" x14ac:dyDescent="0.25">
      <c r="A1595" s="2" t="str">
        <f>HYPERLINK("https://rth.dk/resources/bsgatlas/details.php?id=BSGatlas-5'UTR-1594","BSGatlas-5'UTR-1594")</f>
        <v>BSGatlas-5'UTR-1594</v>
      </c>
      <c r="B1595" s="3">
        <v>2433522</v>
      </c>
      <c r="C1595" s="3">
        <v>2433586</v>
      </c>
      <c r="D1595" s="1" t="s">
        <v>13</v>
      </c>
      <c r="E1595" s="1">
        <v>65</v>
      </c>
      <c r="F1595" s="1" t="s">
        <v>13081</v>
      </c>
      <c r="G1595" s="1" t="s">
        <v>8309</v>
      </c>
    </row>
    <row r="1596" spans="1:7" ht="21" x14ac:dyDescent="0.25">
      <c r="A1596" s="2" t="str">
        <f>HYPERLINK("https://rth.dk/resources/bsgatlas/details.php?id=BSGatlas-5'UTR-1595","BSGatlas-5'UTR-1595")</f>
        <v>BSGatlas-5'UTR-1595</v>
      </c>
      <c r="B1596" s="3">
        <v>2433522</v>
      </c>
      <c r="C1596" s="3">
        <v>2433617</v>
      </c>
      <c r="D1596" s="1" t="s">
        <v>13</v>
      </c>
      <c r="E1596" s="1">
        <v>96</v>
      </c>
      <c r="F1596" s="1" t="s">
        <v>13081</v>
      </c>
      <c r="G1596" s="1" t="s">
        <v>8310</v>
      </c>
    </row>
    <row r="1597" spans="1:7" ht="21" x14ac:dyDescent="0.25">
      <c r="A1597" s="2" t="str">
        <f>HYPERLINK("https://rth.dk/resources/bsgatlas/details.php?id=BSGatlas-5'UTR-1596","BSGatlas-5'UTR-1596")</f>
        <v>BSGatlas-5'UTR-1596</v>
      </c>
      <c r="B1597" s="3">
        <v>2434970</v>
      </c>
      <c r="C1597" s="3">
        <v>2435012</v>
      </c>
      <c r="D1597" s="1" t="s">
        <v>9</v>
      </c>
      <c r="E1597" s="1">
        <v>43</v>
      </c>
      <c r="F1597" s="1" t="s">
        <v>13082</v>
      </c>
      <c r="G1597" s="1" t="s">
        <v>8315</v>
      </c>
    </row>
    <row r="1598" spans="1:7" ht="21" x14ac:dyDescent="0.25">
      <c r="A1598" s="2" t="str">
        <f>HYPERLINK("https://rth.dk/resources/bsgatlas/details.php?id=BSGatlas-5'UTR-1597","BSGatlas-5'UTR-1597")</f>
        <v>BSGatlas-5'UTR-1597</v>
      </c>
      <c r="B1598" s="3">
        <v>2435791</v>
      </c>
      <c r="C1598" s="3">
        <v>2435822</v>
      </c>
      <c r="D1598" s="1" t="s">
        <v>13</v>
      </c>
      <c r="E1598" s="1">
        <v>32</v>
      </c>
      <c r="F1598" s="1" t="s">
        <v>13083</v>
      </c>
      <c r="G1598" s="1" t="s">
        <v>8317</v>
      </c>
    </row>
    <row r="1599" spans="1:7" ht="21" x14ac:dyDescent="0.25">
      <c r="A1599" s="2" t="str">
        <f>HYPERLINK("https://rth.dk/resources/bsgatlas/details.php?id=BSGatlas-5'UTR-1598","BSGatlas-5'UTR-1598")</f>
        <v>BSGatlas-5'UTR-1598</v>
      </c>
      <c r="B1599" s="3">
        <v>2435791</v>
      </c>
      <c r="C1599" s="3">
        <v>2435878</v>
      </c>
      <c r="D1599" s="1" t="s">
        <v>13</v>
      </c>
      <c r="E1599" s="1">
        <v>88</v>
      </c>
      <c r="F1599" s="1" t="s">
        <v>13083</v>
      </c>
      <c r="G1599" s="1" t="s">
        <v>8319</v>
      </c>
    </row>
    <row r="1600" spans="1:7" ht="21" x14ac:dyDescent="0.25">
      <c r="A1600" s="2" t="str">
        <f>HYPERLINK("https://rth.dk/resources/bsgatlas/details.php?id=BSGatlas-5'UTR-1599","BSGatlas-5'UTR-1599")</f>
        <v>BSGatlas-5'UTR-1599</v>
      </c>
      <c r="B1600" s="3">
        <v>2435947</v>
      </c>
      <c r="C1600" s="3">
        <v>2436045</v>
      </c>
      <c r="D1600" s="1" t="s">
        <v>9</v>
      </c>
      <c r="E1600" s="1">
        <v>99</v>
      </c>
      <c r="F1600" s="1" t="s">
        <v>13084</v>
      </c>
      <c r="G1600" s="1" t="s">
        <v>8320</v>
      </c>
    </row>
    <row r="1601" spans="1:7" ht="21" x14ac:dyDescent="0.25">
      <c r="A1601" s="2" t="str">
        <f>HYPERLINK("https://rth.dk/resources/bsgatlas/details.php?id=BSGatlas-5'UTR-1600","BSGatlas-5'UTR-1600")</f>
        <v>BSGatlas-5'UTR-1600</v>
      </c>
      <c r="B1601" s="3">
        <v>2438266</v>
      </c>
      <c r="C1601" s="3">
        <v>2438331</v>
      </c>
      <c r="D1601" s="1" t="s">
        <v>13</v>
      </c>
      <c r="E1601" s="1">
        <v>66</v>
      </c>
      <c r="F1601" s="1" t="s">
        <v>13085</v>
      </c>
      <c r="G1601" s="1" t="s">
        <v>8324</v>
      </c>
    </row>
    <row r="1602" spans="1:7" ht="21" x14ac:dyDescent="0.25">
      <c r="A1602" s="2" t="str">
        <f>HYPERLINK("https://rth.dk/resources/bsgatlas/details.php?id=BSGatlas-5'UTR-1601","BSGatlas-5'UTR-1601")</f>
        <v>BSGatlas-5'UTR-1601</v>
      </c>
      <c r="B1602" s="3">
        <v>2443304</v>
      </c>
      <c r="C1602" s="3">
        <v>2443331</v>
      </c>
      <c r="D1602" s="1" t="s">
        <v>13</v>
      </c>
      <c r="E1602" s="1">
        <v>28</v>
      </c>
      <c r="F1602" s="1" t="s">
        <v>13086</v>
      </c>
      <c r="G1602" s="1" t="s">
        <v>8329</v>
      </c>
    </row>
    <row r="1603" spans="1:7" ht="21" x14ac:dyDescent="0.25">
      <c r="A1603" s="2" t="str">
        <f>HYPERLINK("https://rth.dk/resources/bsgatlas/details.php?id=BSGatlas-5'UTR-1602","BSGatlas-5'UTR-1602")</f>
        <v>BSGatlas-5'UTR-1602</v>
      </c>
      <c r="B1603" s="3">
        <v>2444998</v>
      </c>
      <c r="C1603" s="3">
        <v>2445025</v>
      </c>
      <c r="D1603" s="1" t="s">
        <v>13</v>
      </c>
      <c r="E1603" s="1">
        <v>28</v>
      </c>
      <c r="F1603" s="1" t="s">
        <v>13087</v>
      </c>
      <c r="G1603" s="1" t="s">
        <v>8332</v>
      </c>
    </row>
    <row r="1604" spans="1:7" ht="21" x14ac:dyDescent="0.25">
      <c r="A1604" s="2" t="str">
        <f>HYPERLINK("https://rth.dk/resources/bsgatlas/details.php?id=BSGatlas-5'UTR-1603","BSGatlas-5'UTR-1603")</f>
        <v>BSGatlas-5'UTR-1603</v>
      </c>
      <c r="B1604" s="3">
        <v>2446263</v>
      </c>
      <c r="C1604" s="3">
        <v>2446288</v>
      </c>
      <c r="D1604" s="1" t="s">
        <v>13</v>
      </c>
      <c r="E1604" s="1">
        <v>26</v>
      </c>
      <c r="F1604" s="1" t="s">
        <v>13088</v>
      </c>
      <c r="G1604" s="1" t="s">
        <v>8335</v>
      </c>
    </row>
    <row r="1605" spans="1:7" ht="21" x14ac:dyDescent="0.25">
      <c r="A1605" s="2" t="str">
        <f>HYPERLINK("https://rth.dk/resources/bsgatlas/details.php?id=BSGatlas-5'UTR-1604","BSGatlas-5'UTR-1604")</f>
        <v>BSGatlas-5'UTR-1604</v>
      </c>
      <c r="B1605" s="3">
        <v>2448430</v>
      </c>
      <c r="C1605" s="3">
        <v>2448454</v>
      </c>
      <c r="D1605" s="1" t="s">
        <v>13</v>
      </c>
      <c r="E1605" s="1">
        <v>25</v>
      </c>
      <c r="F1605" s="1" t="s">
        <v>13089</v>
      </c>
      <c r="G1605" s="1" t="s">
        <v>8337</v>
      </c>
    </row>
    <row r="1606" spans="1:7" ht="21" x14ac:dyDescent="0.25">
      <c r="A1606" s="2" t="str">
        <f>HYPERLINK("https://rth.dk/resources/bsgatlas/details.php?id=BSGatlas-5'UTR-1605","BSGatlas-5'UTR-1605")</f>
        <v>BSGatlas-5'UTR-1605</v>
      </c>
      <c r="B1606" s="3">
        <v>2448430</v>
      </c>
      <c r="C1606" s="3">
        <v>2448483</v>
      </c>
      <c r="D1606" s="1" t="s">
        <v>13</v>
      </c>
      <c r="E1606" s="1">
        <v>54</v>
      </c>
      <c r="F1606" s="1" t="s">
        <v>13089</v>
      </c>
      <c r="G1606" s="1" t="s">
        <v>8339</v>
      </c>
    </row>
    <row r="1607" spans="1:7" ht="21" x14ac:dyDescent="0.25">
      <c r="A1607" s="2" t="str">
        <f>HYPERLINK("https://rth.dk/resources/bsgatlas/details.php?id=BSGatlas-5'UTR-1606","BSGatlas-5'UTR-1606")</f>
        <v>BSGatlas-5'UTR-1606</v>
      </c>
      <c r="B1607" s="3">
        <v>2449716</v>
      </c>
      <c r="C1607" s="3">
        <v>2449759</v>
      </c>
      <c r="D1607" s="1" t="s">
        <v>13</v>
      </c>
      <c r="E1607" s="1">
        <v>44</v>
      </c>
      <c r="F1607" s="1" t="s">
        <v>13090</v>
      </c>
      <c r="G1607" s="1" t="s">
        <v>8342</v>
      </c>
    </row>
    <row r="1608" spans="1:7" ht="21" x14ac:dyDescent="0.25">
      <c r="A1608" s="2" t="str">
        <f>HYPERLINK("https://rth.dk/resources/bsgatlas/details.php?id=BSGatlas-5'UTR-1607","BSGatlas-5'UTR-1607")</f>
        <v>BSGatlas-5'UTR-1607</v>
      </c>
      <c r="B1608" s="3">
        <v>2450290</v>
      </c>
      <c r="C1608" s="3">
        <v>2450317</v>
      </c>
      <c r="D1608" s="1" t="s">
        <v>13</v>
      </c>
      <c r="E1608" s="1">
        <v>28</v>
      </c>
      <c r="F1608" s="1" t="s">
        <v>13091</v>
      </c>
      <c r="G1608" s="1" t="s">
        <v>8343</v>
      </c>
    </row>
    <row r="1609" spans="1:7" ht="21" x14ac:dyDescent="0.25">
      <c r="A1609" s="2" t="str">
        <f>HYPERLINK("https://rth.dk/resources/bsgatlas/details.php?id=BSGatlas-5'UTR-1608","BSGatlas-5'UTR-1608")</f>
        <v>BSGatlas-5'UTR-1608</v>
      </c>
      <c r="B1609" s="3">
        <v>2451047</v>
      </c>
      <c r="C1609" s="3">
        <v>2451083</v>
      </c>
      <c r="D1609" s="1" t="s">
        <v>13</v>
      </c>
      <c r="E1609" s="1">
        <v>37</v>
      </c>
      <c r="F1609" s="1" t="s">
        <v>13092</v>
      </c>
      <c r="G1609" s="1" t="s">
        <v>8345</v>
      </c>
    </row>
    <row r="1610" spans="1:7" ht="21" x14ac:dyDescent="0.25">
      <c r="A1610" s="2" t="str">
        <f>HYPERLINK("https://rth.dk/resources/bsgatlas/details.php?id=BSGatlas-5'UTR-1609","BSGatlas-5'UTR-1609")</f>
        <v>BSGatlas-5'UTR-1609</v>
      </c>
      <c r="B1610" s="3">
        <v>2454206</v>
      </c>
      <c r="C1610" s="3">
        <v>2454263</v>
      </c>
      <c r="D1610" s="1" t="s">
        <v>13</v>
      </c>
      <c r="E1610" s="1">
        <v>58</v>
      </c>
      <c r="F1610" s="1" t="s">
        <v>13093</v>
      </c>
      <c r="G1610" s="1" t="s">
        <v>8348</v>
      </c>
    </row>
    <row r="1611" spans="1:7" ht="21" x14ac:dyDescent="0.25">
      <c r="A1611" s="2" t="str">
        <f>HYPERLINK("https://rth.dk/resources/bsgatlas/details.php?id=BSGatlas-5'UTR-1610","BSGatlas-5'UTR-1610")</f>
        <v>BSGatlas-5'UTR-1610</v>
      </c>
      <c r="B1611" s="3">
        <v>2456808</v>
      </c>
      <c r="C1611" s="3">
        <v>2456875</v>
      </c>
      <c r="D1611" s="1" t="s">
        <v>13</v>
      </c>
      <c r="E1611" s="1">
        <v>68</v>
      </c>
      <c r="F1611" s="1" t="s">
        <v>13094</v>
      </c>
      <c r="G1611" s="1" t="s">
        <v>8351</v>
      </c>
    </row>
    <row r="1612" spans="1:7" ht="21" x14ac:dyDescent="0.25">
      <c r="A1612" s="2" t="str">
        <f>HYPERLINK("https://rth.dk/resources/bsgatlas/details.php?id=BSGatlas-5'UTR-1611","BSGatlas-5'UTR-1611")</f>
        <v>BSGatlas-5'UTR-1611</v>
      </c>
      <c r="B1612" s="3">
        <v>2456951</v>
      </c>
      <c r="C1612" s="3">
        <v>2456990</v>
      </c>
      <c r="D1612" s="1" t="s">
        <v>9</v>
      </c>
      <c r="E1612" s="1">
        <v>40</v>
      </c>
      <c r="F1612" s="1" t="s">
        <v>13095</v>
      </c>
      <c r="G1612" s="1" t="s">
        <v>8353</v>
      </c>
    </row>
    <row r="1613" spans="1:7" ht="21" x14ac:dyDescent="0.25">
      <c r="A1613" s="2" t="str">
        <f>HYPERLINK("https://rth.dk/resources/bsgatlas/details.php?id=BSGatlas-5'UTR-1612","BSGatlas-5'UTR-1612")</f>
        <v>BSGatlas-5'UTR-1612</v>
      </c>
      <c r="B1613" s="3">
        <v>2459066</v>
      </c>
      <c r="C1613" s="3">
        <v>2459122</v>
      </c>
      <c r="D1613" s="1" t="s">
        <v>13</v>
      </c>
      <c r="E1613" s="1">
        <v>57</v>
      </c>
      <c r="F1613" s="1" t="s">
        <v>13096</v>
      </c>
      <c r="G1613" s="1" t="s">
        <v>8358</v>
      </c>
    </row>
    <row r="1614" spans="1:7" ht="21" x14ac:dyDescent="0.25">
      <c r="A1614" s="2" t="str">
        <f>HYPERLINK("https://rth.dk/resources/bsgatlas/details.php?id=BSGatlas-5'UTR-1613","BSGatlas-5'UTR-1613")</f>
        <v>BSGatlas-5'UTR-1613</v>
      </c>
      <c r="B1614" s="3">
        <v>2459107</v>
      </c>
      <c r="C1614" s="3">
        <v>2459141</v>
      </c>
      <c r="D1614" s="1" t="s">
        <v>9</v>
      </c>
      <c r="E1614" s="1">
        <v>35</v>
      </c>
      <c r="F1614" s="1" t="s">
        <v>13097</v>
      </c>
      <c r="G1614" s="1" t="s">
        <v>8360</v>
      </c>
    </row>
    <row r="1615" spans="1:7" ht="21" x14ac:dyDescent="0.25">
      <c r="A1615" s="2" t="str">
        <f>HYPERLINK("https://rth.dk/resources/bsgatlas/details.php?id=BSGatlas-5'UTR-1614","BSGatlas-5'UTR-1614")</f>
        <v>BSGatlas-5'UTR-1614</v>
      </c>
      <c r="B1615" s="3">
        <v>2459290</v>
      </c>
      <c r="C1615" s="3">
        <v>2459326</v>
      </c>
      <c r="D1615" s="1" t="s">
        <v>9</v>
      </c>
      <c r="E1615" s="1">
        <v>37</v>
      </c>
      <c r="F1615" s="1" t="s">
        <v>13098</v>
      </c>
      <c r="G1615" s="1" t="s">
        <v>8362</v>
      </c>
    </row>
    <row r="1616" spans="1:7" ht="21" x14ac:dyDescent="0.25">
      <c r="A1616" s="2" t="str">
        <f>HYPERLINK("https://rth.dk/resources/bsgatlas/details.php?id=BSGatlas-5'UTR-1615","BSGatlas-5'UTR-1615")</f>
        <v>BSGatlas-5'UTR-1615</v>
      </c>
      <c r="B1616" s="3">
        <v>2460502</v>
      </c>
      <c r="C1616" s="3">
        <v>2460532</v>
      </c>
      <c r="D1616" s="1" t="s">
        <v>13</v>
      </c>
      <c r="E1616" s="1">
        <v>31</v>
      </c>
      <c r="F1616" s="1" t="s">
        <v>13099</v>
      </c>
      <c r="G1616" s="1" t="s">
        <v>8363</v>
      </c>
    </row>
    <row r="1617" spans="1:7" ht="21" x14ac:dyDescent="0.25">
      <c r="A1617" s="2" t="str">
        <f>HYPERLINK("https://rth.dk/resources/bsgatlas/details.php?id=BSGatlas-5'UTR-1616","BSGatlas-5'UTR-1616")</f>
        <v>BSGatlas-5'UTR-1616</v>
      </c>
      <c r="B1617" s="3">
        <v>2460610</v>
      </c>
      <c r="C1617" s="3">
        <v>2460664</v>
      </c>
      <c r="D1617" s="1" t="s">
        <v>9</v>
      </c>
      <c r="E1617" s="1">
        <v>55</v>
      </c>
      <c r="F1617" s="1" t="s">
        <v>13100</v>
      </c>
      <c r="G1617" s="1" t="s">
        <v>8366</v>
      </c>
    </row>
    <row r="1618" spans="1:7" ht="21" x14ac:dyDescent="0.25">
      <c r="A1618" s="2" t="str">
        <f>HYPERLINK("https://rth.dk/resources/bsgatlas/details.php?id=BSGatlas-5'UTR-1617","BSGatlas-5'UTR-1617")</f>
        <v>BSGatlas-5'UTR-1617</v>
      </c>
      <c r="B1618" s="3">
        <v>2461860</v>
      </c>
      <c r="C1618" s="3">
        <v>2461940</v>
      </c>
      <c r="D1618" s="1" t="s">
        <v>13</v>
      </c>
      <c r="E1618" s="1">
        <v>81</v>
      </c>
      <c r="F1618" s="1" t="s">
        <v>13101</v>
      </c>
      <c r="G1618" s="1" t="s">
        <v>8369</v>
      </c>
    </row>
    <row r="1619" spans="1:7" ht="21" x14ac:dyDescent="0.25">
      <c r="A1619" s="2" t="str">
        <f>HYPERLINK("https://rth.dk/resources/bsgatlas/details.php?id=BSGatlas-5'UTR-1618","BSGatlas-5'UTR-1618")</f>
        <v>BSGatlas-5'UTR-1618</v>
      </c>
      <c r="B1619" s="3">
        <v>2462196</v>
      </c>
      <c r="C1619" s="3">
        <v>2462227</v>
      </c>
      <c r="D1619" s="1" t="s">
        <v>13</v>
      </c>
      <c r="E1619" s="1">
        <v>32</v>
      </c>
      <c r="F1619" s="1" t="s">
        <v>13102</v>
      </c>
      <c r="G1619" s="1" t="s">
        <v>8372</v>
      </c>
    </row>
    <row r="1620" spans="1:7" ht="21" x14ac:dyDescent="0.25">
      <c r="A1620" s="2" t="str">
        <f>HYPERLINK("https://rth.dk/resources/bsgatlas/details.php?id=BSGatlas-5'UTR-1619","BSGatlas-5'UTR-1619")</f>
        <v>BSGatlas-5'UTR-1619</v>
      </c>
      <c r="B1620" s="3">
        <v>2464041</v>
      </c>
      <c r="C1620" s="3">
        <v>2464118</v>
      </c>
      <c r="D1620" s="1" t="s">
        <v>13</v>
      </c>
      <c r="E1620" s="1">
        <v>78</v>
      </c>
      <c r="F1620" s="1" t="s">
        <v>13103</v>
      </c>
      <c r="G1620" s="1" t="s">
        <v>8374</v>
      </c>
    </row>
    <row r="1621" spans="1:7" ht="21" x14ac:dyDescent="0.25">
      <c r="A1621" s="2" t="str">
        <f>HYPERLINK("https://rth.dk/resources/bsgatlas/details.php?id=BSGatlas-5'UTR-1620","BSGatlas-5'UTR-1620")</f>
        <v>BSGatlas-5'UTR-1620</v>
      </c>
      <c r="B1621" s="3">
        <v>2464735</v>
      </c>
      <c r="C1621" s="3">
        <v>2465966</v>
      </c>
      <c r="D1621" s="1" t="s">
        <v>9</v>
      </c>
      <c r="E1621" s="1">
        <v>1232</v>
      </c>
      <c r="F1621" s="1" t="s">
        <v>13104</v>
      </c>
      <c r="G1621" s="1" t="s">
        <v>8378</v>
      </c>
    </row>
    <row r="1622" spans="1:7" ht="21" x14ac:dyDescent="0.25">
      <c r="A1622" s="2" t="str">
        <f>HYPERLINK("https://rth.dk/resources/bsgatlas/details.php?id=BSGatlas-5'UTR-1621","BSGatlas-5'UTR-1621")</f>
        <v>BSGatlas-5'UTR-1621</v>
      </c>
      <c r="B1622" s="3">
        <v>2465800</v>
      </c>
      <c r="C1622" s="3">
        <v>2465834</v>
      </c>
      <c r="D1622" s="1" t="s">
        <v>13</v>
      </c>
      <c r="E1622" s="1">
        <v>35</v>
      </c>
      <c r="F1622" s="1" t="s">
        <v>13105</v>
      </c>
      <c r="G1622" s="1" t="s">
        <v>8376</v>
      </c>
    </row>
    <row r="1623" spans="1:7" ht="21" x14ac:dyDescent="0.25">
      <c r="A1623" s="2" t="str">
        <f>HYPERLINK("https://rth.dk/resources/bsgatlas/details.php?id=BSGatlas-5'UTR-1622","BSGatlas-5'UTR-1622")</f>
        <v>BSGatlas-5'UTR-1622</v>
      </c>
      <c r="B1623" s="3">
        <v>2465932</v>
      </c>
      <c r="C1623" s="3">
        <v>2465966</v>
      </c>
      <c r="D1623" s="1" t="s">
        <v>9</v>
      </c>
      <c r="E1623" s="1">
        <v>35</v>
      </c>
      <c r="F1623" s="1" t="s">
        <v>13104</v>
      </c>
      <c r="G1623" s="1" t="s">
        <v>8379</v>
      </c>
    </row>
    <row r="1624" spans="1:7" ht="21" x14ac:dyDescent="0.25">
      <c r="A1624" s="2" t="str">
        <f>HYPERLINK("https://rth.dk/resources/bsgatlas/details.php?id=BSGatlas-5'UTR-1623","BSGatlas-5'UTR-1623")</f>
        <v>BSGatlas-5'UTR-1623</v>
      </c>
      <c r="B1624" s="3">
        <v>2466689</v>
      </c>
      <c r="C1624" s="3">
        <v>2466721</v>
      </c>
      <c r="D1624" s="1" t="s">
        <v>9</v>
      </c>
      <c r="E1624" s="1">
        <v>33</v>
      </c>
      <c r="F1624" s="1" t="s">
        <v>13106</v>
      </c>
      <c r="G1624" s="1" t="s">
        <v>8380</v>
      </c>
    </row>
    <row r="1625" spans="1:7" ht="21" x14ac:dyDescent="0.25">
      <c r="A1625" s="2" t="str">
        <f>HYPERLINK("https://rth.dk/resources/bsgatlas/details.php?id=BSGatlas-5'UTR-1624","BSGatlas-5'UTR-1624")</f>
        <v>BSGatlas-5'UTR-1624</v>
      </c>
      <c r="B1625" s="3">
        <v>2472746</v>
      </c>
      <c r="C1625" s="3">
        <v>2472787</v>
      </c>
      <c r="D1625" s="1" t="s">
        <v>13</v>
      </c>
      <c r="E1625" s="1">
        <v>42</v>
      </c>
      <c r="F1625" s="1" t="s">
        <v>13107</v>
      </c>
      <c r="G1625" s="1" t="s">
        <v>8383</v>
      </c>
    </row>
    <row r="1626" spans="1:7" ht="21" x14ac:dyDescent="0.25">
      <c r="A1626" s="2" t="str">
        <f>HYPERLINK("https://rth.dk/resources/bsgatlas/details.php?id=BSGatlas-5'UTR-1625","BSGatlas-5'UTR-1625")</f>
        <v>BSGatlas-5'UTR-1625</v>
      </c>
      <c r="B1626" s="3">
        <v>2472882</v>
      </c>
      <c r="C1626" s="3">
        <v>2473151</v>
      </c>
      <c r="D1626" s="1" t="s">
        <v>9</v>
      </c>
      <c r="E1626" s="1">
        <v>270</v>
      </c>
      <c r="F1626" s="1" t="s">
        <v>13108</v>
      </c>
      <c r="G1626" s="1" t="s">
        <v>8386</v>
      </c>
    </row>
    <row r="1627" spans="1:7" ht="21" x14ac:dyDescent="0.25">
      <c r="A1627" s="2" t="str">
        <f>HYPERLINK("https://rth.dk/resources/bsgatlas/details.php?id=BSGatlas-5'UTR-1626","BSGatlas-5'UTR-1626")</f>
        <v>BSGatlas-5'UTR-1626</v>
      </c>
      <c r="B1627" s="3">
        <v>2475671</v>
      </c>
      <c r="C1627" s="3">
        <v>2475732</v>
      </c>
      <c r="D1627" s="1" t="s">
        <v>13</v>
      </c>
      <c r="E1627" s="1">
        <v>62</v>
      </c>
      <c r="F1627" s="1" t="s">
        <v>13109</v>
      </c>
      <c r="G1627" s="1" t="s">
        <v>8388</v>
      </c>
    </row>
    <row r="1628" spans="1:7" ht="21" x14ac:dyDescent="0.25">
      <c r="A1628" s="2" t="str">
        <f>HYPERLINK("https://rth.dk/resources/bsgatlas/details.php?id=BSGatlas-5'UTR-1627","BSGatlas-5'UTR-1627")</f>
        <v>BSGatlas-5'UTR-1627</v>
      </c>
      <c r="B1628" s="3">
        <v>2475702</v>
      </c>
      <c r="C1628" s="3">
        <v>2475843</v>
      </c>
      <c r="D1628" s="1" t="s">
        <v>9</v>
      </c>
      <c r="E1628" s="1">
        <v>142</v>
      </c>
      <c r="F1628" s="1" t="s">
        <v>13110</v>
      </c>
      <c r="G1628" s="1" t="s">
        <v>8390</v>
      </c>
    </row>
    <row r="1629" spans="1:7" ht="21" x14ac:dyDescent="0.25">
      <c r="A1629" s="2" t="str">
        <f>HYPERLINK("https://rth.dk/resources/bsgatlas/details.php?id=BSGatlas-5'UTR-1628","BSGatlas-5'UTR-1628")</f>
        <v>BSGatlas-5'UTR-1628</v>
      </c>
      <c r="B1629" s="3">
        <v>2475801</v>
      </c>
      <c r="C1629" s="3">
        <v>2475843</v>
      </c>
      <c r="D1629" s="1" t="s">
        <v>9</v>
      </c>
      <c r="E1629" s="1">
        <v>43</v>
      </c>
      <c r="F1629" s="1" t="s">
        <v>13110</v>
      </c>
      <c r="G1629" s="1" t="s">
        <v>8392</v>
      </c>
    </row>
    <row r="1630" spans="1:7" ht="21" x14ac:dyDescent="0.25">
      <c r="A1630" s="2" t="str">
        <f>HYPERLINK("https://rth.dk/resources/bsgatlas/details.php?id=BSGatlas-5'UTR-1629","BSGatlas-5'UTR-1629")</f>
        <v>BSGatlas-5'UTR-1629</v>
      </c>
      <c r="B1630" s="3">
        <v>2476934</v>
      </c>
      <c r="C1630" s="3">
        <v>2476969</v>
      </c>
      <c r="D1630" s="1" t="s">
        <v>9</v>
      </c>
      <c r="E1630" s="1">
        <v>36</v>
      </c>
      <c r="F1630" s="1" t="s">
        <v>13111</v>
      </c>
      <c r="G1630" s="1" t="s">
        <v>8393</v>
      </c>
    </row>
    <row r="1631" spans="1:7" ht="21" x14ac:dyDescent="0.25">
      <c r="A1631" s="2" t="str">
        <f>HYPERLINK("https://rth.dk/resources/bsgatlas/details.php?id=BSGatlas-5'UTR-1630","BSGatlas-5'UTR-1630")</f>
        <v>BSGatlas-5'UTR-1630</v>
      </c>
      <c r="B1631" s="3">
        <v>2477925</v>
      </c>
      <c r="C1631" s="3">
        <v>2477958</v>
      </c>
      <c r="D1631" s="1" t="s">
        <v>13</v>
      </c>
      <c r="E1631" s="1">
        <v>34</v>
      </c>
      <c r="F1631" s="1" t="s">
        <v>13112</v>
      </c>
      <c r="G1631" s="1" t="s">
        <v>13113</v>
      </c>
    </row>
    <row r="1632" spans="1:7" ht="21" x14ac:dyDescent="0.25">
      <c r="A1632" s="2" t="str">
        <f>HYPERLINK("https://rth.dk/resources/bsgatlas/details.php?id=BSGatlas-5'UTR-1631","BSGatlas-5'UTR-1631")</f>
        <v>BSGatlas-5'UTR-1631</v>
      </c>
      <c r="B1632" s="3">
        <v>2478929</v>
      </c>
      <c r="C1632" s="3">
        <v>2478968</v>
      </c>
      <c r="D1632" s="1" t="s">
        <v>13</v>
      </c>
      <c r="E1632" s="1">
        <v>40</v>
      </c>
      <c r="F1632" s="1" t="s">
        <v>13114</v>
      </c>
      <c r="G1632" s="1" t="s">
        <v>8397</v>
      </c>
    </row>
    <row r="1633" spans="1:7" ht="21" x14ac:dyDescent="0.25">
      <c r="A1633" s="2" t="str">
        <f>HYPERLINK("https://rth.dk/resources/bsgatlas/details.php?id=BSGatlas-5'UTR-1632","BSGatlas-5'UTR-1632")</f>
        <v>BSGatlas-5'UTR-1632</v>
      </c>
      <c r="B1633" s="3">
        <v>2479090</v>
      </c>
      <c r="C1633" s="3">
        <v>2479156</v>
      </c>
      <c r="D1633" s="1" t="s">
        <v>9</v>
      </c>
      <c r="E1633" s="1">
        <v>67</v>
      </c>
      <c r="F1633" s="1" t="s">
        <v>13115</v>
      </c>
      <c r="G1633" s="1" t="s">
        <v>8402</v>
      </c>
    </row>
    <row r="1634" spans="1:7" ht="21" x14ac:dyDescent="0.25">
      <c r="A1634" s="2" t="str">
        <f>HYPERLINK("https://rth.dk/resources/bsgatlas/details.php?id=BSGatlas-5'UTR-1633","BSGatlas-5'UTR-1633")</f>
        <v>BSGatlas-5'UTR-1633</v>
      </c>
      <c r="B1634" s="3">
        <v>2482159</v>
      </c>
      <c r="C1634" s="3">
        <v>2482225</v>
      </c>
      <c r="D1634" s="1" t="s">
        <v>13</v>
      </c>
      <c r="E1634" s="1">
        <v>67</v>
      </c>
      <c r="F1634" s="1" t="s">
        <v>13116</v>
      </c>
      <c r="G1634" s="1" t="s">
        <v>8405</v>
      </c>
    </row>
    <row r="1635" spans="1:7" ht="21" x14ac:dyDescent="0.25">
      <c r="A1635" s="2" t="str">
        <f>HYPERLINK("https://rth.dk/resources/bsgatlas/details.php?id=BSGatlas-5'UTR-1634","BSGatlas-5'UTR-1634")</f>
        <v>BSGatlas-5'UTR-1634</v>
      </c>
      <c r="B1635" s="3">
        <v>2483513</v>
      </c>
      <c r="C1635" s="3">
        <v>2483790</v>
      </c>
      <c r="D1635" s="1" t="s">
        <v>13</v>
      </c>
      <c r="E1635" s="1">
        <v>278</v>
      </c>
      <c r="F1635" s="1" t="s">
        <v>13117</v>
      </c>
      <c r="G1635" s="1" t="s">
        <v>8408</v>
      </c>
    </row>
    <row r="1636" spans="1:7" ht="21" x14ac:dyDescent="0.25">
      <c r="A1636" s="2" t="str">
        <f>HYPERLINK("https://rth.dk/resources/bsgatlas/details.php?id=BSGatlas-5'UTR-1635","BSGatlas-5'UTR-1635")</f>
        <v>BSGatlas-5'UTR-1635</v>
      </c>
      <c r="B1636" s="3">
        <v>2483555</v>
      </c>
      <c r="C1636" s="3">
        <v>2483586</v>
      </c>
      <c r="D1636" s="1" t="s">
        <v>9</v>
      </c>
      <c r="E1636" s="1">
        <v>32</v>
      </c>
      <c r="F1636" s="1" t="s">
        <v>13118</v>
      </c>
      <c r="G1636" s="1" t="s">
        <v>8412</v>
      </c>
    </row>
    <row r="1637" spans="1:7" ht="21" x14ac:dyDescent="0.25">
      <c r="A1637" s="2" t="str">
        <f>HYPERLINK("https://rth.dk/resources/bsgatlas/details.php?id=BSGatlas-5'UTR-1636","BSGatlas-5'UTR-1636")</f>
        <v>BSGatlas-5'UTR-1636</v>
      </c>
      <c r="B1637" s="3">
        <v>2484878</v>
      </c>
      <c r="C1637" s="3">
        <v>2484911</v>
      </c>
      <c r="D1637" s="1" t="s">
        <v>9</v>
      </c>
      <c r="E1637" s="1">
        <v>34</v>
      </c>
      <c r="F1637" s="1" t="s">
        <v>13119</v>
      </c>
      <c r="G1637" s="1" t="s">
        <v>8416</v>
      </c>
    </row>
    <row r="1638" spans="1:7" ht="21" x14ac:dyDescent="0.25">
      <c r="A1638" s="2" t="str">
        <f>HYPERLINK("https://rth.dk/resources/bsgatlas/details.php?id=BSGatlas-5'UTR-1637","BSGatlas-5'UTR-1637")</f>
        <v>BSGatlas-5'UTR-1637</v>
      </c>
      <c r="B1638" s="3">
        <v>2489483</v>
      </c>
      <c r="C1638" s="3">
        <v>2489507</v>
      </c>
      <c r="D1638" s="1" t="s">
        <v>13</v>
      </c>
      <c r="E1638" s="1">
        <v>25</v>
      </c>
      <c r="F1638" s="1" t="s">
        <v>13120</v>
      </c>
      <c r="G1638" s="1" t="s">
        <v>8420</v>
      </c>
    </row>
    <row r="1639" spans="1:7" ht="21" x14ac:dyDescent="0.25">
      <c r="A1639" s="2" t="str">
        <f>HYPERLINK("https://rth.dk/resources/bsgatlas/details.php?id=BSGatlas-5'UTR-1638","BSGatlas-5'UTR-1638")</f>
        <v>BSGatlas-5'UTR-1638</v>
      </c>
      <c r="B1639" s="3">
        <v>2492796</v>
      </c>
      <c r="C1639" s="3">
        <v>2492861</v>
      </c>
      <c r="D1639" s="1" t="s">
        <v>13</v>
      </c>
      <c r="E1639" s="1">
        <v>66</v>
      </c>
      <c r="F1639" s="1" t="s">
        <v>13121</v>
      </c>
      <c r="G1639" s="1" t="s">
        <v>8426</v>
      </c>
    </row>
    <row r="1640" spans="1:7" ht="21" x14ac:dyDescent="0.25">
      <c r="A1640" s="2" t="str">
        <f>HYPERLINK("https://rth.dk/resources/bsgatlas/details.php?id=BSGatlas-5'UTR-1639","BSGatlas-5'UTR-1639")</f>
        <v>BSGatlas-5'UTR-1639</v>
      </c>
      <c r="B1640" s="3">
        <v>2493501</v>
      </c>
      <c r="C1640" s="3">
        <v>2493546</v>
      </c>
      <c r="D1640" s="1" t="s">
        <v>13</v>
      </c>
      <c r="E1640" s="1">
        <v>46</v>
      </c>
      <c r="F1640" s="1" t="s">
        <v>13122</v>
      </c>
      <c r="G1640" s="1" t="s">
        <v>8428</v>
      </c>
    </row>
    <row r="1641" spans="1:7" ht="21" x14ac:dyDescent="0.25">
      <c r="A1641" s="2" t="str">
        <f>HYPERLINK("https://rth.dk/resources/bsgatlas/details.php?id=BSGatlas-5'UTR-1640","BSGatlas-5'UTR-1640")</f>
        <v>BSGatlas-5'UTR-1640</v>
      </c>
      <c r="B1641" s="3">
        <v>2493635</v>
      </c>
      <c r="C1641" s="3">
        <v>2493662</v>
      </c>
      <c r="D1641" s="1" t="s">
        <v>9</v>
      </c>
      <c r="E1641" s="1">
        <v>28</v>
      </c>
      <c r="F1641" s="1" t="s">
        <v>13123</v>
      </c>
      <c r="G1641" s="1" t="s">
        <v>8431</v>
      </c>
    </row>
    <row r="1642" spans="1:7" ht="21" x14ac:dyDescent="0.25">
      <c r="A1642" s="2" t="str">
        <f>HYPERLINK("https://rth.dk/resources/bsgatlas/details.php?id=BSGatlas-5'UTR-1641","BSGatlas-5'UTR-1641")</f>
        <v>BSGatlas-5'UTR-1641</v>
      </c>
      <c r="B1642" s="3">
        <v>2494628</v>
      </c>
      <c r="C1642" s="3">
        <v>2494656</v>
      </c>
      <c r="D1642" s="1" t="s">
        <v>9</v>
      </c>
      <c r="E1642" s="1">
        <v>29</v>
      </c>
      <c r="F1642" s="1" t="s">
        <v>13124</v>
      </c>
      <c r="G1642" s="1" t="s">
        <v>8435</v>
      </c>
    </row>
    <row r="1643" spans="1:7" ht="21" x14ac:dyDescent="0.25">
      <c r="A1643" s="2" t="str">
        <f>HYPERLINK("https://rth.dk/resources/bsgatlas/details.php?id=BSGatlas-5'UTR-1642","BSGatlas-5'UTR-1642")</f>
        <v>BSGatlas-5'UTR-1642</v>
      </c>
      <c r="B1643" s="3">
        <v>2504664</v>
      </c>
      <c r="C1643" s="3">
        <v>2504692</v>
      </c>
      <c r="D1643" s="1" t="s">
        <v>13</v>
      </c>
      <c r="E1643" s="1">
        <v>29</v>
      </c>
      <c r="F1643" s="1" t="s">
        <v>13125</v>
      </c>
      <c r="G1643" s="1" t="s">
        <v>8438</v>
      </c>
    </row>
    <row r="1644" spans="1:7" ht="21" x14ac:dyDescent="0.25">
      <c r="A1644" s="2" t="str">
        <f>HYPERLINK("https://rth.dk/resources/bsgatlas/details.php?id=BSGatlas-5'UTR-1643","BSGatlas-5'UTR-1643")</f>
        <v>BSGatlas-5'UTR-1643</v>
      </c>
      <c r="B1644" s="3">
        <v>2506867</v>
      </c>
      <c r="C1644" s="3">
        <v>2506944</v>
      </c>
      <c r="D1644" s="1" t="s">
        <v>13</v>
      </c>
      <c r="E1644" s="1">
        <v>78</v>
      </c>
      <c r="F1644" s="1" t="s">
        <v>13126</v>
      </c>
      <c r="G1644" s="1" t="s">
        <v>8440</v>
      </c>
    </row>
    <row r="1645" spans="1:7" ht="21" x14ac:dyDescent="0.25">
      <c r="A1645" s="2" t="str">
        <f>HYPERLINK("https://rth.dk/resources/bsgatlas/details.php?id=BSGatlas-5'UTR-1644","BSGatlas-5'UTR-1644")</f>
        <v>BSGatlas-5'UTR-1644</v>
      </c>
      <c r="B1645" s="3">
        <v>2506982</v>
      </c>
      <c r="C1645" s="3">
        <v>2507020</v>
      </c>
      <c r="D1645" s="1" t="s">
        <v>9</v>
      </c>
      <c r="E1645" s="1">
        <v>39</v>
      </c>
      <c r="F1645" s="1" t="s">
        <v>13127</v>
      </c>
      <c r="G1645" s="1" t="s">
        <v>8441</v>
      </c>
    </row>
    <row r="1646" spans="1:7" ht="21" x14ac:dyDescent="0.25">
      <c r="A1646" s="2" t="str">
        <f>HYPERLINK("https://rth.dk/resources/bsgatlas/details.php?id=BSGatlas-5'UTR-1645","BSGatlas-5'UTR-1645")</f>
        <v>BSGatlas-5'UTR-1645</v>
      </c>
      <c r="B1646" s="3">
        <v>2508203</v>
      </c>
      <c r="C1646" s="3">
        <v>2508533</v>
      </c>
      <c r="D1646" s="1" t="s">
        <v>13</v>
      </c>
      <c r="E1646" s="1">
        <v>331</v>
      </c>
      <c r="F1646" s="1" t="s">
        <v>13128</v>
      </c>
      <c r="G1646" s="1" t="s">
        <v>8443</v>
      </c>
    </row>
    <row r="1647" spans="1:7" ht="21" x14ac:dyDescent="0.25">
      <c r="A1647" s="2" t="str">
        <f>HYPERLINK("https://rth.dk/resources/bsgatlas/details.php?id=BSGatlas-5'UTR-1646","BSGatlas-5'UTR-1646")</f>
        <v>BSGatlas-5'UTR-1646</v>
      </c>
      <c r="B1647" s="3">
        <v>2514042</v>
      </c>
      <c r="C1647" s="3">
        <v>2514092</v>
      </c>
      <c r="D1647" s="1" t="s">
        <v>13</v>
      </c>
      <c r="E1647" s="1">
        <v>51</v>
      </c>
      <c r="F1647" s="1" t="s">
        <v>13129</v>
      </c>
      <c r="G1647" s="1" t="s">
        <v>8448</v>
      </c>
    </row>
    <row r="1648" spans="1:7" ht="21" x14ac:dyDescent="0.25">
      <c r="A1648" s="2" t="str">
        <f>HYPERLINK("https://rth.dk/resources/bsgatlas/details.php?id=BSGatlas-5'UTR-1647","BSGatlas-5'UTR-1647")</f>
        <v>BSGatlas-5'UTR-1647</v>
      </c>
      <c r="B1648" s="3">
        <v>2514900</v>
      </c>
      <c r="C1648" s="3">
        <v>2514934</v>
      </c>
      <c r="D1648" s="1" t="s">
        <v>13</v>
      </c>
      <c r="E1648" s="1">
        <v>35</v>
      </c>
      <c r="F1648" s="1" t="s">
        <v>13130</v>
      </c>
      <c r="G1648" s="1" t="s">
        <v>8449</v>
      </c>
    </row>
    <row r="1649" spans="1:7" ht="21" x14ac:dyDescent="0.25">
      <c r="A1649" s="2" t="str">
        <f>HYPERLINK("https://rth.dk/resources/bsgatlas/details.php?id=BSGatlas-5'UTR-1648","BSGatlas-5'UTR-1648")</f>
        <v>BSGatlas-5'UTR-1648</v>
      </c>
      <c r="B1649" s="3">
        <v>2515907</v>
      </c>
      <c r="C1649" s="3">
        <v>2515932</v>
      </c>
      <c r="D1649" s="1" t="s">
        <v>13</v>
      </c>
      <c r="E1649" s="1">
        <v>26</v>
      </c>
      <c r="F1649" s="1" t="s">
        <v>13131</v>
      </c>
      <c r="G1649" s="1" t="s">
        <v>8452</v>
      </c>
    </row>
    <row r="1650" spans="1:7" ht="21" x14ac:dyDescent="0.25">
      <c r="A1650" s="2" t="str">
        <f>HYPERLINK("https://rth.dk/resources/bsgatlas/details.php?id=BSGatlas-5'UTR-1649","BSGatlas-5'UTR-1649")</f>
        <v>BSGatlas-5'UTR-1649</v>
      </c>
      <c r="B1650" s="3">
        <v>2516408</v>
      </c>
      <c r="C1650" s="3">
        <v>2516440</v>
      </c>
      <c r="D1650" s="1" t="s">
        <v>9</v>
      </c>
      <c r="E1650" s="1">
        <v>33</v>
      </c>
      <c r="F1650" s="1" t="s">
        <v>13132</v>
      </c>
      <c r="G1650" s="1" t="s">
        <v>8455</v>
      </c>
    </row>
    <row r="1651" spans="1:7" ht="21" x14ac:dyDescent="0.25">
      <c r="A1651" s="2" t="str">
        <f>HYPERLINK("https://rth.dk/resources/bsgatlas/details.php?id=BSGatlas-5'UTR-1650","BSGatlas-5'UTR-1650")</f>
        <v>BSGatlas-5'UTR-1650</v>
      </c>
      <c r="B1651" s="3">
        <v>2517755</v>
      </c>
      <c r="C1651" s="3">
        <v>2517907</v>
      </c>
      <c r="D1651" s="1" t="s">
        <v>13</v>
      </c>
      <c r="E1651" s="1">
        <v>153</v>
      </c>
      <c r="F1651" s="1" t="s">
        <v>13133</v>
      </c>
      <c r="G1651" s="1" t="s">
        <v>8459</v>
      </c>
    </row>
    <row r="1652" spans="1:7" ht="21" x14ac:dyDescent="0.25">
      <c r="A1652" s="2" t="str">
        <f>HYPERLINK("https://rth.dk/resources/bsgatlas/details.php?id=BSGatlas-5'UTR-1651","BSGatlas-5'UTR-1651")</f>
        <v>BSGatlas-5'UTR-1651</v>
      </c>
      <c r="B1652" s="3">
        <v>2518826</v>
      </c>
      <c r="C1652" s="3">
        <v>2518871</v>
      </c>
      <c r="D1652" s="1" t="s">
        <v>13</v>
      </c>
      <c r="E1652" s="1">
        <v>46</v>
      </c>
      <c r="F1652" s="1" t="s">
        <v>13134</v>
      </c>
      <c r="G1652" s="1" t="s">
        <v>8460</v>
      </c>
    </row>
    <row r="1653" spans="1:7" ht="21" x14ac:dyDescent="0.25">
      <c r="A1653" s="2" t="str">
        <f>HYPERLINK("https://rth.dk/resources/bsgatlas/details.php?id=BSGatlas-5'UTR-1652","BSGatlas-5'UTR-1652")</f>
        <v>BSGatlas-5'UTR-1652</v>
      </c>
      <c r="B1653" s="3">
        <v>2518826</v>
      </c>
      <c r="C1653" s="3">
        <v>2519024</v>
      </c>
      <c r="D1653" s="1" t="s">
        <v>13</v>
      </c>
      <c r="E1653" s="1">
        <v>199</v>
      </c>
      <c r="F1653" s="1" t="s">
        <v>13134</v>
      </c>
      <c r="G1653" s="1" t="s">
        <v>8462</v>
      </c>
    </row>
    <row r="1654" spans="1:7" ht="21" x14ac:dyDescent="0.25">
      <c r="A1654" s="2" t="str">
        <f>HYPERLINK("https://rth.dk/resources/bsgatlas/details.php?id=BSGatlas-5'UTR-1653","BSGatlas-5'UTR-1653")</f>
        <v>BSGatlas-5'UTR-1653</v>
      </c>
      <c r="B1654" s="3">
        <v>2518826</v>
      </c>
      <c r="C1654" s="3">
        <v>2519030</v>
      </c>
      <c r="D1654" s="1" t="s">
        <v>13</v>
      </c>
      <c r="E1654" s="1">
        <v>205</v>
      </c>
      <c r="F1654" s="1" t="s">
        <v>13134</v>
      </c>
      <c r="G1654" s="1" t="s">
        <v>8463</v>
      </c>
    </row>
    <row r="1655" spans="1:7" ht="21" x14ac:dyDescent="0.25">
      <c r="A1655" s="2" t="str">
        <f>HYPERLINK("https://rth.dk/resources/bsgatlas/details.php?id=BSGatlas-5'UTR-1654","BSGatlas-5'UTR-1654")</f>
        <v>BSGatlas-5'UTR-1654</v>
      </c>
      <c r="B1655" s="3">
        <v>2520382</v>
      </c>
      <c r="C1655" s="3">
        <v>2520438</v>
      </c>
      <c r="D1655" s="1" t="s">
        <v>13</v>
      </c>
      <c r="E1655" s="1">
        <v>57</v>
      </c>
      <c r="F1655" s="1" t="s">
        <v>13135</v>
      </c>
      <c r="G1655" s="1" t="s">
        <v>8464</v>
      </c>
    </row>
    <row r="1656" spans="1:7" ht="21" x14ac:dyDescent="0.25">
      <c r="A1656" s="2" t="str">
        <f>HYPERLINK("https://rth.dk/resources/bsgatlas/details.php?id=BSGatlas-5'UTR-1655","BSGatlas-5'UTR-1655")</f>
        <v>BSGatlas-5'UTR-1655</v>
      </c>
      <c r="B1656" s="3">
        <v>2525614</v>
      </c>
      <c r="C1656" s="3">
        <v>2525743</v>
      </c>
      <c r="D1656" s="1" t="s">
        <v>13</v>
      </c>
      <c r="E1656" s="1">
        <v>130</v>
      </c>
      <c r="F1656" s="1" t="s">
        <v>13136</v>
      </c>
      <c r="G1656" s="1" t="s">
        <v>8469</v>
      </c>
    </row>
    <row r="1657" spans="1:7" ht="21" x14ac:dyDescent="0.25">
      <c r="A1657" s="2" t="str">
        <f>HYPERLINK("https://rth.dk/resources/bsgatlas/details.php?id=BSGatlas-5'UTR-1656","BSGatlas-5'UTR-1656")</f>
        <v>BSGatlas-5'UTR-1656</v>
      </c>
      <c r="B1657" s="3">
        <v>2529662</v>
      </c>
      <c r="C1657" s="3">
        <v>2529724</v>
      </c>
      <c r="D1657" s="1" t="s">
        <v>13</v>
      </c>
      <c r="E1657" s="1">
        <v>63</v>
      </c>
      <c r="F1657" s="1" t="s">
        <v>13137</v>
      </c>
      <c r="G1657" s="1" t="s">
        <v>8474</v>
      </c>
    </row>
    <row r="1658" spans="1:7" ht="21" x14ac:dyDescent="0.25">
      <c r="A1658" s="2" t="str">
        <f>HYPERLINK("https://rth.dk/resources/bsgatlas/details.php?id=BSGatlas-5'UTR-1657","BSGatlas-5'UTR-1657")</f>
        <v>BSGatlas-5'UTR-1657</v>
      </c>
      <c r="B1658" s="3">
        <v>2532197</v>
      </c>
      <c r="C1658" s="3">
        <v>2532267</v>
      </c>
      <c r="D1658" s="1" t="s">
        <v>13</v>
      </c>
      <c r="E1658" s="1">
        <v>71</v>
      </c>
      <c r="F1658" s="1" t="s">
        <v>13138</v>
      </c>
      <c r="G1658" s="1" t="s">
        <v>8479</v>
      </c>
    </row>
    <row r="1659" spans="1:7" ht="21" x14ac:dyDescent="0.25">
      <c r="A1659" s="2" t="str">
        <f>HYPERLINK("https://rth.dk/resources/bsgatlas/details.php?id=BSGatlas-5'UTR-1658","BSGatlas-5'UTR-1658")</f>
        <v>BSGatlas-5'UTR-1658</v>
      </c>
      <c r="B1659" s="3">
        <v>2537613</v>
      </c>
      <c r="C1659" s="3">
        <v>2537642</v>
      </c>
      <c r="D1659" s="1" t="s">
        <v>13</v>
      </c>
      <c r="E1659" s="1">
        <v>30</v>
      </c>
      <c r="F1659" s="1" t="s">
        <v>13139</v>
      </c>
      <c r="G1659" s="1" t="s">
        <v>8486</v>
      </c>
    </row>
    <row r="1660" spans="1:7" ht="21" x14ac:dyDescent="0.25">
      <c r="A1660" s="2" t="str">
        <f>HYPERLINK("https://rth.dk/resources/bsgatlas/details.php?id=BSGatlas-5'UTR-1659","BSGatlas-5'UTR-1659")</f>
        <v>BSGatlas-5'UTR-1659</v>
      </c>
      <c r="B1660" s="3">
        <v>2537970</v>
      </c>
      <c r="C1660" s="3">
        <v>2538013</v>
      </c>
      <c r="D1660" s="1" t="s">
        <v>13</v>
      </c>
      <c r="E1660" s="1">
        <v>44</v>
      </c>
      <c r="F1660" s="1" t="s">
        <v>13140</v>
      </c>
      <c r="G1660" s="1" t="s">
        <v>8488</v>
      </c>
    </row>
    <row r="1661" spans="1:7" ht="21" x14ac:dyDescent="0.25">
      <c r="A1661" s="2" t="str">
        <f>HYPERLINK("https://rth.dk/resources/bsgatlas/details.php?id=BSGatlas-5'UTR-1660","BSGatlas-5'UTR-1660")</f>
        <v>BSGatlas-5'UTR-1660</v>
      </c>
      <c r="B1661" s="3">
        <v>2540201</v>
      </c>
      <c r="C1661" s="3">
        <v>2540266</v>
      </c>
      <c r="D1661" s="1" t="s">
        <v>13</v>
      </c>
      <c r="E1661" s="1">
        <v>66</v>
      </c>
      <c r="F1661" s="1" t="s">
        <v>13141</v>
      </c>
      <c r="G1661" s="1" t="s">
        <v>8490</v>
      </c>
    </row>
    <row r="1662" spans="1:7" ht="21" x14ac:dyDescent="0.25">
      <c r="A1662" s="2" t="str">
        <f>HYPERLINK("https://rth.dk/resources/bsgatlas/details.php?id=BSGatlas-5'UTR-1661","BSGatlas-5'UTR-1661")</f>
        <v>BSGatlas-5'UTR-1661</v>
      </c>
      <c r="B1662" s="3">
        <v>2540824</v>
      </c>
      <c r="C1662" s="3">
        <v>2540846</v>
      </c>
      <c r="D1662" s="1" t="s">
        <v>13</v>
      </c>
      <c r="E1662" s="1">
        <v>23</v>
      </c>
      <c r="F1662" s="1" t="s">
        <v>13142</v>
      </c>
      <c r="G1662" s="1" t="s">
        <v>8493</v>
      </c>
    </row>
    <row r="1663" spans="1:7" ht="21" x14ac:dyDescent="0.25">
      <c r="A1663" s="2" t="str">
        <f>HYPERLINK("https://rth.dk/resources/bsgatlas/details.php?id=BSGatlas-5'UTR-1662","BSGatlas-5'UTR-1662")</f>
        <v>BSGatlas-5'UTR-1662</v>
      </c>
      <c r="B1663" s="3">
        <v>2540913</v>
      </c>
      <c r="C1663" s="3">
        <v>2541051</v>
      </c>
      <c r="D1663" s="1" t="s">
        <v>9</v>
      </c>
      <c r="E1663" s="1">
        <v>139</v>
      </c>
      <c r="F1663" s="1" t="s">
        <v>13143</v>
      </c>
      <c r="G1663" s="1" t="s">
        <v>8495</v>
      </c>
    </row>
    <row r="1664" spans="1:7" ht="21" x14ac:dyDescent="0.25">
      <c r="A1664" s="2" t="str">
        <f>HYPERLINK("https://rth.dk/resources/bsgatlas/details.php?id=BSGatlas-5'UTR-1663","BSGatlas-5'UTR-1663")</f>
        <v>BSGatlas-5'UTR-1663</v>
      </c>
      <c r="B1664" s="3">
        <v>2540999</v>
      </c>
      <c r="C1664" s="3">
        <v>2541051</v>
      </c>
      <c r="D1664" s="1" t="s">
        <v>9</v>
      </c>
      <c r="E1664" s="1">
        <v>53</v>
      </c>
      <c r="F1664" s="1" t="s">
        <v>13143</v>
      </c>
      <c r="G1664" s="1" t="s">
        <v>8498</v>
      </c>
    </row>
    <row r="1665" spans="1:7" ht="21" x14ac:dyDescent="0.25">
      <c r="A1665" s="2" t="str">
        <f>HYPERLINK("https://rth.dk/resources/bsgatlas/details.php?id=BSGatlas-5'UTR-1664","BSGatlas-5'UTR-1664")</f>
        <v>BSGatlas-5'UTR-1664</v>
      </c>
      <c r="B1665" s="3">
        <v>2543314</v>
      </c>
      <c r="C1665" s="3">
        <v>2543358</v>
      </c>
      <c r="D1665" s="1" t="s">
        <v>13</v>
      </c>
      <c r="E1665" s="1">
        <v>45</v>
      </c>
      <c r="F1665" s="1" t="s">
        <v>13144</v>
      </c>
      <c r="G1665" s="1" t="s">
        <v>8500</v>
      </c>
    </row>
    <row r="1666" spans="1:7" ht="21" x14ac:dyDescent="0.25">
      <c r="A1666" s="2" t="str">
        <f>HYPERLINK("https://rth.dk/resources/bsgatlas/details.php?id=BSGatlas-5'UTR-1665","BSGatlas-5'UTR-1665")</f>
        <v>BSGatlas-5'UTR-1665</v>
      </c>
      <c r="B1666" s="3">
        <v>2543868</v>
      </c>
      <c r="C1666" s="3">
        <v>2543911</v>
      </c>
      <c r="D1666" s="1" t="s">
        <v>13</v>
      </c>
      <c r="E1666" s="1">
        <v>44</v>
      </c>
      <c r="F1666" s="1" t="s">
        <v>13145</v>
      </c>
      <c r="G1666" s="1" t="s">
        <v>8501</v>
      </c>
    </row>
    <row r="1667" spans="1:7" ht="21" x14ac:dyDescent="0.25">
      <c r="A1667" s="2" t="str">
        <f>HYPERLINK("https://rth.dk/resources/bsgatlas/details.php?id=BSGatlas-5'UTR-1666","BSGatlas-5'UTR-1666")</f>
        <v>BSGatlas-5'UTR-1666</v>
      </c>
      <c r="B1667" s="3">
        <v>2544804</v>
      </c>
      <c r="C1667" s="3">
        <v>2544839</v>
      </c>
      <c r="D1667" s="1" t="s">
        <v>13</v>
      </c>
      <c r="E1667" s="1">
        <v>36</v>
      </c>
      <c r="F1667" s="1" t="s">
        <v>13146</v>
      </c>
      <c r="G1667" s="1" t="s">
        <v>8504</v>
      </c>
    </row>
    <row r="1668" spans="1:7" ht="21" x14ac:dyDescent="0.25">
      <c r="A1668" s="2" t="str">
        <f>HYPERLINK("https://rth.dk/resources/bsgatlas/details.php?id=BSGatlas-5'UTR-1667","BSGatlas-5'UTR-1667")</f>
        <v>BSGatlas-5'UTR-1667</v>
      </c>
      <c r="B1668" s="3">
        <v>2544904</v>
      </c>
      <c r="C1668" s="3">
        <v>2544995</v>
      </c>
      <c r="D1668" s="1" t="s">
        <v>9</v>
      </c>
      <c r="E1668" s="1">
        <v>92</v>
      </c>
      <c r="F1668" s="1" t="s">
        <v>13147</v>
      </c>
      <c r="G1668" s="1" t="s">
        <v>8505</v>
      </c>
    </row>
    <row r="1669" spans="1:7" ht="21" x14ac:dyDescent="0.25">
      <c r="A1669" s="2" t="str">
        <f>HYPERLINK("https://rth.dk/resources/bsgatlas/details.php?id=BSGatlas-5'UTR-1668","BSGatlas-5'UTR-1668")</f>
        <v>BSGatlas-5'UTR-1668</v>
      </c>
      <c r="B1669" s="3">
        <v>2549333</v>
      </c>
      <c r="C1669" s="3">
        <v>2549677</v>
      </c>
      <c r="D1669" s="1" t="s">
        <v>13</v>
      </c>
      <c r="E1669" s="1">
        <v>345</v>
      </c>
      <c r="F1669" s="1" t="s">
        <v>13148</v>
      </c>
      <c r="G1669" s="1" t="s">
        <v>8508</v>
      </c>
    </row>
    <row r="1670" spans="1:7" ht="21" x14ac:dyDescent="0.25">
      <c r="A1670" s="2" t="str">
        <f>HYPERLINK("https://rth.dk/resources/bsgatlas/details.php?id=BSGatlas-5'UTR-1669","BSGatlas-5'UTR-1669")</f>
        <v>BSGatlas-5'UTR-1669</v>
      </c>
      <c r="B1670" s="3">
        <v>2549635</v>
      </c>
      <c r="C1670" s="3">
        <v>2549775</v>
      </c>
      <c r="D1670" s="1" t="s">
        <v>9</v>
      </c>
      <c r="E1670" s="1">
        <v>141</v>
      </c>
      <c r="F1670" s="1" t="s">
        <v>13149</v>
      </c>
      <c r="G1670" s="1" t="s">
        <v>8513</v>
      </c>
    </row>
    <row r="1671" spans="1:7" ht="21" x14ac:dyDescent="0.25">
      <c r="A1671" s="2" t="str">
        <f>HYPERLINK("https://rth.dk/resources/bsgatlas/details.php?id=BSGatlas-5'UTR-1670","BSGatlas-5'UTR-1670")</f>
        <v>BSGatlas-5'UTR-1670</v>
      </c>
      <c r="B1671" s="3">
        <v>2552324</v>
      </c>
      <c r="C1671" s="3">
        <v>2552446</v>
      </c>
      <c r="D1671" s="1" t="s">
        <v>9</v>
      </c>
      <c r="E1671" s="1">
        <v>123</v>
      </c>
      <c r="F1671" s="1" t="s">
        <v>13150</v>
      </c>
      <c r="G1671" s="1" t="s">
        <v>8515</v>
      </c>
    </row>
    <row r="1672" spans="1:7" ht="21" x14ac:dyDescent="0.25">
      <c r="A1672" s="2" t="str">
        <f>HYPERLINK("https://rth.dk/resources/bsgatlas/details.php?id=BSGatlas-5'UTR-1671","BSGatlas-5'UTR-1671")</f>
        <v>BSGatlas-5'UTR-1671</v>
      </c>
      <c r="B1672" s="3">
        <v>2552393</v>
      </c>
      <c r="C1672" s="3">
        <v>2552446</v>
      </c>
      <c r="D1672" s="1" t="s">
        <v>9</v>
      </c>
      <c r="E1672" s="1">
        <v>54</v>
      </c>
      <c r="F1672" s="1" t="s">
        <v>13150</v>
      </c>
      <c r="G1672" s="1" t="s">
        <v>8517</v>
      </c>
    </row>
    <row r="1673" spans="1:7" ht="21" x14ac:dyDescent="0.25">
      <c r="A1673" s="2" t="str">
        <f>HYPERLINK("https://rth.dk/resources/bsgatlas/details.php?id=BSGatlas-5'UTR-1672","BSGatlas-5'UTR-1672")</f>
        <v>BSGatlas-5'UTR-1672</v>
      </c>
      <c r="B1673" s="3">
        <v>2552638</v>
      </c>
      <c r="C1673" s="3">
        <v>2552653</v>
      </c>
      <c r="D1673" s="1" t="s">
        <v>9</v>
      </c>
      <c r="E1673" s="1">
        <v>16</v>
      </c>
      <c r="F1673" s="1" t="s">
        <v>13151</v>
      </c>
      <c r="G1673" s="1" t="s">
        <v>8518</v>
      </c>
    </row>
    <row r="1674" spans="1:7" ht="21" x14ac:dyDescent="0.25">
      <c r="A1674" s="2" t="str">
        <f>HYPERLINK("https://rth.dk/resources/bsgatlas/details.php?id=BSGatlas-5'UTR-1673","BSGatlas-5'UTR-1673")</f>
        <v>BSGatlas-5'UTR-1673</v>
      </c>
      <c r="B1674" s="3">
        <v>2553866</v>
      </c>
      <c r="C1674" s="3">
        <v>2553923</v>
      </c>
      <c r="D1674" s="1" t="s">
        <v>13</v>
      </c>
      <c r="E1674" s="1">
        <v>58</v>
      </c>
      <c r="F1674" s="1" t="s">
        <v>13152</v>
      </c>
      <c r="G1674" s="1" t="s">
        <v>8519</v>
      </c>
    </row>
    <row r="1675" spans="1:7" ht="21" x14ac:dyDescent="0.25">
      <c r="A1675" s="2" t="str">
        <f>HYPERLINK("https://rth.dk/resources/bsgatlas/details.php?id=BSGatlas-5'UTR-1674","BSGatlas-5'UTR-1674")</f>
        <v>BSGatlas-5'UTR-1674</v>
      </c>
      <c r="B1675" s="3">
        <v>2555247</v>
      </c>
      <c r="C1675" s="3">
        <v>2555307</v>
      </c>
      <c r="D1675" s="1" t="s">
        <v>13</v>
      </c>
      <c r="E1675" s="1">
        <v>61</v>
      </c>
      <c r="F1675" s="1" t="s">
        <v>13153</v>
      </c>
      <c r="G1675" s="1" t="s">
        <v>8522</v>
      </c>
    </row>
    <row r="1676" spans="1:7" ht="21" x14ac:dyDescent="0.25">
      <c r="A1676" s="2" t="str">
        <f>HYPERLINK("https://rth.dk/resources/bsgatlas/details.php?id=BSGatlas-5'UTR-1675","BSGatlas-5'UTR-1675")</f>
        <v>BSGatlas-5'UTR-1675</v>
      </c>
      <c r="B1676" s="3">
        <v>2555476</v>
      </c>
      <c r="C1676" s="3">
        <v>2555519</v>
      </c>
      <c r="D1676" s="1" t="s">
        <v>9</v>
      </c>
      <c r="E1676" s="1">
        <v>44</v>
      </c>
      <c r="F1676" s="1" t="s">
        <v>13154</v>
      </c>
      <c r="G1676" s="1" t="s">
        <v>8524</v>
      </c>
    </row>
    <row r="1677" spans="1:7" ht="21" x14ac:dyDescent="0.25">
      <c r="A1677" s="2" t="str">
        <f>HYPERLINK("https://rth.dk/resources/bsgatlas/details.php?id=BSGatlas-5'UTR-1676","BSGatlas-5'UTR-1676")</f>
        <v>BSGatlas-5'UTR-1676</v>
      </c>
      <c r="B1677" s="3">
        <v>2555502</v>
      </c>
      <c r="C1677" s="3">
        <v>2555519</v>
      </c>
      <c r="D1677" s="1" t="s">
        <v>9</v>
      </c>
      <c r="E1677" s="1">
        <v>18</v>
      </c>
      <c r="F1677" s="1" t="s">
        <v>13154</v>
      </c>
      <c r="G1677" s="1" t="s">
        <v>8526</v>
      </c>
    </row>
    <row r="1678" spans="1:7" ht="21" x14ac:dyDescent="0.25">
      <c r="A1678" s="2" t="str">
        <f>HYPERLINK("https://rth.dk/resources/bsgatlas/details.php?id=BSGatlas-5'UTR-1677","BSGatlas-5'UTR-1677")</f>
        <v>BSGatlas-5'UTR-1677</v>
      </c>
      <c r="B1678" s="3">
        <v>2556066</v>
      </c>
      <c r="C1678" s="3">
        <v>2556100</v>
      </c>
      <c r="D1678" s="1" t="s">
        <v>13</v>
      </c>
      <c r="E1678" s="1">
        <v>35</v>
      </c>
      <c r="F1678" s="1" t="s">
        <v>13155</v>
      </c>
      <c r="G1678" s="1" t="s">
        <v>8527</v>
      </c>
    </row>
    <row r="1679" spans="1:7" ht="21" x14ac:dyDescent="0.25">
      <c r="A1679" s="2" t="str">
        <f>HYPERLINK("https://rth.dk/resources/bsgatlas/details.php?id=BSGatlas-5'UTR-1678","BSGatlas-5'UTR-1678")</f>
        <v>BSGatlas-5'UTR-1678</v>
      </c>
      <c r="B1679" s="3">
        <v>2560077</v>
      </c>
      <c r="C1679" s="3">
        <v>2560096</v>
      </c>
      <c r="D1679" s="1" t="s">
        <v>13</v>
      </c>
      <c r="E1679" s="1">
        <v>20</v>
      </c>
      <c r="F1679" s="1" t="s">
        <v>13156</v>
      </c>
      <c r="G1679" s="1" t="s">
        <v>8530</v>
      </c>
    </row>
    <row r="1680" spans="1:7" ht="21" x14ac:dyDescent="0.25">
      <c r="A1680" s="2" t="str">
        <f>HYPERLINK("https://rth.dk/resources/bsgatlas/details.php?id=BSGatlas-5'UTR-1679","BSGatlas-5'UTR-1679")</f>
        <v>BSGatlas-5'UTR-1679</v>
      </c>
      <c r="B1680" s="3">
        <v>2561442</v>
      </c>
      <c r="C1680" s="3">
        <v>2561487</v>
      </c>
      <c r="D1680" s="1" t="s">
        <v>13</v>
      </c>
      <c r="E1680" s="1">
        <v>46</v>
      </c>
      <c r="F1680" s="1" t="s">
        <v>13157</v>
      </c>
      <c r="G1680" s="1" t="s">
        <v>8531</v>
      </c>
    </row>
    <row r="1681" spans="1:7" ht="21" x14ac:dyDescent="0.25">
      <c r="A1681" s="2" t="str">
        <f>HYPERLINK("https://rth.dk/resources/bsgatlas/details.php?id=BSGatlas-5'UTR-1680","BSGatlas-5'UTR-1680")</f>
        <v>BSGatlas-5'UTR-1680</v>
      </c>
      <c r="B1681" s="3">
        <v>2561564</v>
      </c>
      <c r="C1681" s="3">
        <v>2561585</v>
      </c>
      <c r="D1681" s="1" t="s">
        <v>9</v>
      </c>
      <c r="E1681" s="1">
        <v>22</v>
      </c>
      <c r="F1681" s="1" t="s">
        <v>13158</v>
      </c>
      <c r="G1681" s="1" t="s">
        <v>8533</v>
      </c>
    </row>
    <row r="1682" spans="1:7" ht="21" x14ac:dyDescent="0.25">
      <c r="A1682" s="2" t="str">
        <f>HYPERLINK("https://rth.dk/resources/bsgatlas/details.php?id=BSGatlas-5'UTR-1681","BSGatlas-5'UTR-1681")</f>
        <v>BSGatlas-5'UTR-1681</v>
      </c>
      <c r="B1682" s="3">
        <v>2564406</v>
      </c>
      <c r="C1682" s="3">
        <v>2564435</v>
      </c>
      <c r="D1682" s="1" t="s">
        <v>13</v>
      </c>
      <c r="E1682" s="1">
        <v>30</v>
      </c>
      <c r="F1682" s="1" t="s">
        <v>13159</v>
      </c>
      <c r="G1682" s="1" t="s">
        <v>8537</v>
      </c>
    </row>
    <row r="1683" spans="1:7" ht="21" x14ac:dyDescent="0.25">
      <c r="A1683" s="2" t="str">
        <f>HYPERLINK("https://rth.dk/resources/bsgatlas/details.php?id=BSGatlas-5'UTR-1682","BSGatlas-5'UTR-1682")</f>
        <v>BSGatlas-5'UTR-1682</v>
      </c>
      <c r="B1683" s="3">
        <v>2564523</v>
      </c>
      <c r="C1683" s="3">
        <v>2564638</v>
      </c>
      <c r="D1683" s="1" t="s">
        <v>9</v>
      </c>
      <c r="E1683" s="1">
        <v>116</v>
      </c>
      <c r="F1683" s="1" t="s">
        <v>13160</v>
      </c>
      <c r="G1683" s="1" t="s">
        <v>8539</v>
      </c>
    </row>
    <row r="1684" spans="1:7" ht="21" x14ac:dyDescent="0.25">
      <c r="A1684" s="2" t="str">
        <f>HYPERLINK("https://rth.dk/resources/bsgatlas/details.php?id=BSGatlas-5'UTR-1683","BSGatlas-5'UTR-1683")</f>
        <v>BSGatlas-5'UTR-1683</v>
      </c>
      <c r="B1684" s="3">
        <v>2564595</v>
      </c>
      <c r="C1684" s="3">
        <v>2564638</v>
      </c>
      <c r="D1684" s="1" t="s">
        <v>9</v>
      </c>
      <c r="E1684" s="1">
        <v>44</v>
      </c>
      <c r="F1684" s="1" t="s">
        <v>13160</v>
      </c>
      <c r="G1684" s="1" t="s">
        <v>8542</v>
      </c>
    </row>
    <row r="1685" spans="1:7" ht="21" x14ac:dyDescent="0.25">
      <c r="A1685" s="2" t="str">
        <f>HYPERLINK("https://rth.dk/resources/bsgatlas/details.php?id=BSGatlas-5'UTR-1684","BSGatlas-5'UTR-1684")</f>
        <v>BSGatlas-5'UTR-1684</v>
      </c>
      <c r="B1685" s="3">
        <v>2565558</v>
      </c>
      <c r="C1685" s="3">
        <v>2565597</v>
      </c>
      <c r="D1685" s="1" t="s">
        <v>13</v>
      </c>
      <c r="E1685" s="1">
        <v>40</v>
      </c>
      <c r="F1685" s="1" t="s">
        <v>13161</v>
      </c>
      <c r="G1685" s="1" t="s">
        <v>8543</v>
      </c>
    </row>
    <row r="1686" spans="1:7" ht="21" x14ac:dyDescent="0.25">
      <c r="A1686" s="2" t="str">
        <f>HYPERLINK("https://rth.dk/resources/bsgatlas/details.php?id=BSGatlas-5'UTR-1685","BSGatlas-5'UTR-1685")</f>
        <v>BSGatlas-5'UTR-1685</v>
      </c>
      <c r="B1686" s="3">
        <v>2565558</v>
      </c>
      <c r="C1686" s="3">
        <v>2565691</v>
      </c>
      <c r="D1686" s="1" t="s">
        <v>13</v>
      </c>
      <c r="E1686" s="1">
        <v>134</v>
      </c>
      <c r="F1686" s="1" t="s">
        <v>13161</v>
      </c>
      <c r="G1686" s="1" t="s">
        <v>8545</v>
      </c>
    </row>
    <row r="1687" spans="1:7" ht="21" x14ac:dyDescent="0.25">
      <c r="A1687" s="2" t="str">
        <f>HYPERLINK("https://rth.dk/resources/bsgatlas/details.php?id=BSGatlas-5'UTR-1686","BSGatlas-5'UTR-1686")</f>
        <v>BSGatlas-5'UTR-1686</v>
      </c>
      <c r="B1687" s="3">
        <v>2565671</v>
      </c>
      <c r="C1687" s="3">
        <v>2565715</v>
      </c>
      <c r="D1687" s="1" t="s">
        <v>9</v>
      </c>
      <c r="E1687" s="1">
        <v>45</v>
      </c>
      <c r="F1687" s="1" t="s">
        <v>13162</v>
      </c>
      <c r="G1687" s="1" t="s">
        <v>8546</v>
      </c>
    </row>
    <row r="1688" spans="1:7" ht="21" x14ac:dyDescent="0.25">
      <c r="A1688" s="2" t="str">
        <f>HYPERLINK("https://rth.dk/resources/bsgatlas/details.php?id=BSGatlas-5'UTR-1687","BSGatlas-5'UTR-1687")</f>
        <v>BSGatlas-5'UTR-1687</v>
      </c>
      <c r="B1688" s="3">
        <v>2568490</v>
      </c>
      <c r="C1688" s="3">
        <v>2568530</v>
      </c>
      <c r="D1688" s="1" t="s">
        <v>13</v>
      </c>
      <c r="E1688" s="1">
        <v>41</v>
      </c>
      <c r="F1688" s="1" t="s">
        <v>13163</v>
      </c>
      <c r="G1688" s="1" t="s">
        <v>8550</v>
      </c>
    </row>
    <row r="1689" spans="1:7" ht="21" x14ac:dyDescent="0.25">
      <c r="A1689" s="2" t="str">
        <f>HYPERLINK("https://rth.dk/resources/bsgatlas/details.php?id=BSGatlas-5'UTR-1688","BSGatlas-5'UTR-1688")</f>
        <v>BSGatlas-5'UTR-1688</v>
      </c>
      <c r="B1689" s="3">
        <v>2570489</v>
      </c>
      <c r="C1689" s="3">
        <v>2570556</v>
      </c>
      <c r="D1689" s="1" t="s">
        <v>13</v>
      </c>
      <c r="E1689" s="1">
        <v>68</v>
      </c>
      <c r="F1689" s="1" t="s">
        <v>13164</v>
      </c>
      <c r="G1689" s="1" t="s">
        <v>8552</v>
      </c>
    </row>
    <row r="1690" spans="1:7" ht="21" x14ac:dyDescent="0.25">
      <c r="A1690" s="2" t="str">
        <f>HYPERLINK("https://rth.dk/resources/bsgatlas/details.php?id=BSGatlas-5'UTR-1689","BSGatlas-5'UTR-1689")</f>
        <v>BSGatlas-5'UTR-1689</v>
      </c>
      <c r="B1690" s="3">
        <v>2573430</v>
      </c>
      <c r="C1690" s="3">
        <v>2573461</v>
      </c>
      <c r="D1690" s="1" t="s">
        <v>13</v>
      </c>
      <c r="E1690" s="1">
        <v>32</v>
      </c>
      <c r="F1690" s="1" t="s">
        <v>13165</v>
      </c>
      <c r="G1690" s="1" t="s">
        <v>8555</v>
      </c>
    </row>
    <row r="1691" spans="1:7" ht="21" x14ac:dyDescent="0.25">
      <c r="A1691" s="2" t="str">
        <f>HYPERLINK("https://rth.dk/resources/bsgatlas/details.php?id=BSGatlas-5'UTR-1690","BSGatlas-5'UTR-1690")</f>
        <v>BSGatlas-5'UTR-1690</v>
      </c>
      <c r="B1691" s="3">
        <v>2573693</v>
      </c>
      <c r="C1691" s="3">
        <v>2573721</v>
      </c>
      <c r="D1691" s="1" t="s">
        <v>13</v>
      </c>
      <c r="E1691" s="1">
        <v>29</v>
      </c>
      <c r="F1691" s="1" t="s">
        <v>13166</v>
      </c>
      <c r="G1691" s="1" t="s">
        <v>8557</v>
      </c>
    </row>
    <row r="1692" spans="1:7" ht="21" x14ac:dyDescent="0.25">
      <c r="A1692" s="2" t="str">
        <f>HYPERLINK("https://rth.dk/resources/bsgatlas/details.php?id=BSGatlas-5'UTR-1691","BSGatlas-5'UTR-1691")</f>
        <v>BSGatlas-5'UTR-1691</v>
      </c>
      <c r="B1692" s="3">
        <v>2574557</v>
      </c>
      <c r="C1692" s="3">
        <v>2574604</v>
      </c>
      <c r="D1692" s="1" t="s">
        <v>13</v>
      </c>
      <c r="E1692" s="1">
        <v>48</v>
      </c>
      <c r="F1692" s="1" t="s">
        <v>13167</v>
      </c>
      <c r="G1692" s="1" t="s">
        <v>8560</v>
      </c>
    </row>
    <row r="1693" spans="1:7" ht="21" x14ac:dyDescent="0.25">
      <c r="A1693" s="2" t="str">
        <f>HYPERLINK("https://rth.dk/resources/bsgatlas/details.php?id=BSGatlas-5'UTR-1692","BSGatlas-5'UTR-1692")</f>
        <v>BSGatlas-5'UTR-1692</v>
      </c>
      <c r="B1693" s="3">
        <v>2576156</v>
      </c>
      <c r="C1693" s="3">
        <v>2576367</v>
      </c>
      <c r="D1693" s="1" t="s">
        <v>9</v>
      </c>
      <c r="E1693" s="1">
        <v>212</v>
      </c>
      <c r="F1693" s="1" t="s">
        <v>13168</v>
      </c>
      <c r="G1693" s="1" t="s">
        <v>8565</v>
      </c>
    </row>
    <row r="1694" spans="1:7" ht="21" x14ac:dyDescent="0.25">
      <c r="A1694" s="2" t="str">
        <f>HYPERLINK("https://rth.dk/resources/bsgatlas/details.php?id=BSGatlas-5'UTR-1693","BSGatlas-5'UTR-1693")</f>
        <v>BSGatlas-5'UTR-1693</v>
      </c>
      <c r="B1694" s="3">
        <v>2576187</v>
      </c>
      <c r="C1694" s="3">
        <v>2576235</v>
      </c>
      <c r="D1694" s="1" t="s">
        <v>13</v>
      </c>
      <c r="E1694" s="1">
        <v>49</v>
      </c>
      <c r="F1694" s="1" t="s">
        <v>13169</v>
      </c>
      <c r="G1694" s="1" t="s">
        <v>8563</v>
      </c>
    </row>
    <row r="1695" spans="1:7" ht="21" x14ac:dyDescent="0.25">
      <c r="A1695" s="2" t="str">
        <f>HYPERLINK("https://rth.dk/resources/bsgatlas/details.php?id=BSGatlas-5'UTR-1694","BSGatlas-5'UTR-1694")</f>
        <v>BSGatlas-5'UTR-1694</v>
      </c>
      <c r="B1695" s="3">
        <v>2576330</v>
      </c>
      <c r="C1695" s="3">
        <v>2576367</v>
      </c>
      <c r="D1695" s="1" t="s">
        <v>9</v>
      </c>
      <c r="E1695" s="1">
        <v>38</v>
      </c>
      <c r="F1695" s="1" t="s">
        <v>13168</v>
      </c>
      <c r="G1695" s="1" t="s">
        <v>8567</v>
      </c>
    </row>
    <row r="1696" spans="1:7" ht="21" x14ac:dyDescent="0.25">
      <c r="A1696" s="2" t="str">
        <f>HYPERLINK("https://rth.dk/resources/bsgatlas/details.php?id=BSGatlas-5'UTR-1695","BSGatlas-5'UTR-1695")</f>
        <v>BSGatlas-5'UTR-1695</v>
      </c>
      <c r="B1696" s="3">
        <v>2581617</v>
      </c>
      <c r="C1696" s="3">
        <v>2581658</v>
      </c>
      <c r="D1696" s="1" t="s">
        <v>13</v>
      </c>
      <c r="E1696" s="1">
        <v>42</v>
      </c>
      <c r="F1696" s="1" t="s">
        <v>13170</v>
      </c>
      <c r="G1696" s="1" t="s">
        <v>8569</v>
      </c>
    </row>
    <row r="1697" spans="1:7" ht="21" x14ac:dyDescent="0.25">
      <c r="A1697" s="2" t="str">
        <f>HYPERLINK("https://rth.dk/resources/bsgatlas/details.php?id=BSGatlas-5'UTR-1696","BSGatlas-5'UTR-1696")</f>
        <v>BSGatlas-5'UTR-1696</v>
      </c>
      <c r="B1697" s="3">
        <v>2581617</v>
      </c>
      <c r="C1697" s="3">
        <v>2582523</v>
      </c>
      <c r="D1697" s="1" t="s">
        <v>13</v>
      </c>
      <c r="E1697" s="1">
        <v>907</v>
      </c>
      <c r="F1697" s="1" t="s">
        <v>13170</v>
      </c>
      <c r="G1697" s="1" t="s">
        <v>8571</v>
      </c>
    </row>
    <row r="1698" spans="1:7" ht="21" x14ac:dyDescent="0.25">
      <c r="A1698" s="2" t="str">
        <f>HYPERLINK("https://rth.dk/resources/bsgatlas/details.php?id=BSGatlas-5'UTR-1697","BSGatlas-5'UTR-1697")</f>
        <v>BSGatlas-5'UTR-1697</v>
      </c>
      <c r="B1698" s="3">
        <v>2583921</v>
      </c>
      <c r="C1698" s="3">
        <v>2583976</v>
      </c>
      <c r="D1698" s="1" t="s">
        <v>13</v>
      </c>
      <c r="E1698" s="1">
        <v>56</v>
      </c>
      <c r="F1698" s="1" t="s">
        <v>13171</v>
      </c>
      <c r="G1698" s="1" t="s">
        <v>8574</v>
      </c>
    </row>
    <row r="1699" spans="1:7" ht="21" x14ac:dyDescent="0.25">
      <c r="A1699" s="2" t="str">
        <f>HYPERLINK("https://rth.dk/resources/bsgatlas/details.php?id=BSGatlas-5'UTR-1698","BSGatlas-5'UTR-1698")</f>
        <v>BSGatlas-5'UTR-1698</v>
      </c>
      <c r="B1699" s="3">
        <v>2585327</v>
      </c>
      <c r="C1699" s="3">
        <v>2585361</v>
      </c>
      <c r="D1699" s="1" t="s">
        <v>13</v>
      </c>
      <c r="E1699" s="1">
        <v>35</v>
      </c>
      <c r="F1699" s="1" t="s">
        <v>13172</v>
      </c>
      <c r="G1699" s="1" t="s">
        <v>8575</v>
      </c>
    </row>
    <row r="1700" spans="1:7" ht="21" x14ac:dyDescent="0.25">
      <c r="A1700" s="2" t="str">
        <f>HYPERLINK("https://rth.dk/resources/bsgatlas/details.php?id=BSGatlas-5'UTR-1699","BSGatlas-5'UTR-1699")</f>
        <v>BSGatlas-5'UTR-1699</v>
      </c>
      <c r="B1700" s="3">
        <v>2586042</v>
      </c>
      <c r="C1700" s="3">
        <v>2586105</v>
      </c>
      <c r="D1700" s="1" t="s">
        <v>13</v>
      </c>
      <c r="E1700" s="1">
        <v>64</v>
      </c>
      <c r="F1700" s="1" t="s">
        <v>13173</v>
      </c>
      <c r="G1700" s="1" t="s">
        <v>8576</v>
      </c>
    </row>
    <row r="1701" spans="1:7" ht="21" x14ac:dyDescent="0.25">
      <c r="A1701" s="2" t="str">
        <f>HYPERLINK("https://rth.dk/resources/bsgatlas/details.php?id=BSGatlas-5'UTR-1700","BSGatlas-5'UTR-1700")</f>
        <v>BSGatlas-5'UTR-1700</v>
      </c>
      <c r="B1701" s="3">
        <v>2586042</v>
      </c>
      <c r="C1701" s="3">
        <v>2586175</v>
      </c>
      <c r="D1701" s="1" t="s">
        <v>13</v>
      </c>
      <c r="E1701" s="1">
        <v>134</v>
      </c>
      <c r="F1701" s="1" t="s">
        <v>13173</v>
      </c>
      <c r="G1701" s="1" t="s">
        <v>8578</v>
      </c>
    </row>
    <row r="1702" spans="1:7" ht="21" x14ac:dyDescent="0.25">
      <c r="A1702" s="2" t="str">
        <f>HYPERLINK("https://rth.dk/resources/bsgatlas/details.php?id=BSGatlas-5'UTR-1701","BSGatlas-5'UTR-1701")</f>
        <v>BSGatlas-5'UTR-1701</v>
      </c>
      <c r="B1702" s="3">
        <v>2586703</v>
      </c>
      <c r="C1702" s="3">
        <v>2586996</v>
      </c>
      <c r="D1702" s="1" t="s">
        <v>13</v>
      </c>
      <c r="E1702" s="1">
        <v>294</v>
      </c>
      <c r="F1702" s="1" t="s">
        <v>13174</v>
      </c>
      <c r="G1702" s="1" t="s">
        <v>8580</v>
      </c>
    </row>
    <row r="1703" spans="1:7" ht="21" x14ac:dyDescent="0.25">
      <c r="A1703" s="2" t="str">
        <f>HYPERLINK("https://rth.dk/resources/bsgatlas/details.php?id=BSGatlas-5'UTR-1702","BSGatlas-5'UTR-1702")</f>
        <v>BSGatlas-5'UTR-1702</v>
      </c>
      <c r="B1703" s="3">
        <v>2586780</v>
      </c>
      <c r="C1703" s="3">
        <v>2586813</v>
      </c>
      <c r="D1703" s="1" t="s">
        <v>9</v>
      </c>
      <c r="E1703" s="1">
        <v>34</v>
      </c>
      <c r="F1703" s="1" t="s">
        <v>13175</v>
      </c>
      <c r="G1703" s="1" t="s">
        <v>8581</v>
      </c>
    </row>
    <row r="1704" spans="1:7" ht="21" x14ac:dyDescent="0.25">
      <c r="A1704" s="2" t="str">
        <f>HYPERLINK("https://rth.dk/resources/bsgatlas/details.php?id=BSGatlas-5'UTR-1703","BSGatlas-5'UTR-1703")</f>
        <v>BSGatlas-5'UTR-1703</v>
      </c>
      <c r="B1704" s="3">
        <v>2588424</v>
      </c>
      <c r="C1704" s="3">
        <v>2588470</v>
      </c>
      <c r="D1704" s="1" t="s">
        <v>13</v>
      </c>
      <c r="E1704" s="1">
        <v>47</v>
      </c>
      <c r="F1704" s="1" t="s">
        <v>13176</v>
      </c>
      <c r="G1704" s="1" t="s">
        <v>8583</v>
      </c>
    </row>
    <row r="1705" spans="1:7" ht="21" x14ac:dyDescent="0.25">
      <c r="A1705" s="2" t="str">
        <f>HYPERLINK("https://rth.dk/resources/bsgatlas/details.php?id=BSGatlas-5'UTR-1704","BSGatlas-5'UTR-1704")</f>
        <v>BSGatlas-5'UTR-1704</v>
      </c>
      <c r="B1705" s="3">
        <v>2588443</v>
      </c>
      <c r="C1705" s="3">
        <v>2588701</v>
      </c>
      <c r="D1705" s="1" t="s">
        <v>9</v>
      </c>
      <c r="E1705" s="1">
        <v>259</v>
      </c>
      <c r="F1705" s="1" t="s">
        <v>13177</v>
      </c>
      <c r="G1705" s="1" t="s">
        <v>8586</v>
      </c>
    </row>
    <row r="1706" spans="1:7" ht="21" x14ac:dyDescent="0.25">
      <c r="A1706" s="2" t="str">
        <f>HYPERLINK("https://rth.dk/resources/bsgatlas/details.php?id=BSGatlas-5'UTR-1705","BSGatlas-5'UTR-1705")</f>
        <v>BSGatlas-5'UTR-1705</v>
      </c>
      <c r="B1706" s="3">
        <v>2588674</v>
      </c>
      <c r="C1706" s="3">
        <v>2588701</v>
      </c>
      <c r="D1706" s="1" t="s">
        <v>9</v>
      </c>
      <c r="E1706" s="1">
        <v>28</v>
      </c>
      <c r="F1706" s="1" t="s">
        <v>13177</v>
      </c>
      <c r="G1706" s="1" t="s">
        <v>8588</v>
      </c>
    </row>
    <row r="1707" spans="1:7" ht="21" x14ac:dyDescent="0.25">
      <c r="A1707" s="2" t="str">
        <f>HYPERLINK("https://rth.dk/resources/bsgatlas/details.php?id=BSGatlas-5'UTR-1706","BSGatlas-5'UTR-1706")</f>
        <v>BSGatlas-5'UTR-1706</v>
      </c>
      <c r="B1707" s="3">
        <v>2589046</v>
      </c>
      <c r="C1707" s="3">
        <v>2589123</v>
      </c>
      <c r="D1707" s="1" t="s">
        <v>9</v>
      </c>
      <c r="E1707" s="1">
        <v>78</v>
      </c>
      <c r="F1707" s="1" t="s">
        <v>13178</v>
      </c>
      <c r="G1707" s="1" t="s">
        <v>8589</v>
      </c>
    </row>
    <row r="1708" spans="1:7" ht="21" x14ac:dyDescent="0.25">
      <c r="A1708" s="2" t="str">
        <f>HYPERLINK("https://rth.dk/resources/bsgatlas/details.php?id=BSGatlas-5'UTR-1707","BSGatlas-5'UTR-1707")</f>
        <v>BSGatlas-5'UTR-1707</v>
      </c>
      <c r="B1708" s="3">
        <v>2590671</v>
      </c>
      <c r="C1708" s="3">
        <v>2590706</v>
      </c>
      <c r="D1708" s="1" t="s">
        <v>13</v>
      </c>
      <c r="E1708" s="1">
        <v>36</v>
      </c>
      <c r="F1708" s="1" t="s">
        <v>13179</v>
      </c>
      <c r="G1708" s="1" t="s">
        <v>8590</v>
      </c>
    </row>
    <row r="1709" spans="1:7" ht="21" x14ac:dyDescent="0.25">
      <c r="A1709" s="2" t="str">
        <f>HYPERLINK("https://rth.dk/resources/bsgatlas/details.php?id=BSGatlas-5'UTR-1708","BSGatlas-5'UTR-1708")</f>
        <v>BSGatlas-5'UTR-1708</v>
      </c>
      <c r="B1709" s="3">
        <v>2590765</v>
      </c>
      <c r="C1709" s="3">
        <v>2590804</v>
      </c>
      <c r="D1709" s="1" t="s">
        <v>9</v>
      </c>
      <c r="E1709" s="1">
        <v>40</v>
      </c>
      <c r="F1709" s="1" t="s">
        <v>13180</v>
      </c>
      <c r="G1709" s="1" t="s">
        <v>8592</v>
      </c>
    </row>
    <row r="1710" spans="1:7" ht="21" x14ac:dyDescent="0.25">
      <c r="A1710" s="2" t="str">
        <f>HYPERLINK("https://rth.dk/resources/bsgatlas/details.php?id=BSGatlas-5'UTR-1709","BSGatlas-5'UTR-1709")</f>
        <v>BSGatlas-5'UTR-1709</v>
      </c>
      <c r="B1710" s="3">
        <v>2591865</v>
      </c>
      <c r="C1710" s="3">
        <v>2591960</v>
      </c>
      <c r="D1710" s="1" t="s">
        <v>13</v>
      </c>
      <c r="E1710" s="1">
        <v>96</v>
      </c>
      <c r="F1710" s="1" t="s">
        <v>13181</v>
      </c>
      <c r="G1710" s="1" t="s">
        <v>8595</v>
      </c>
    </row>
    <row r="1711" spans="1:7" ht="21" x14ac:dyDescent="0.25">
      <c r="A1711" s="2" t="str">
        <f>HYPERLINK("https://rth.dk/resources/bsgatlas/details.php?id=BSGatlas-5'UTR-1710","BSGatlas-5'UTR-1710")</f>
        <v>BSGatlas-5'UTR-1710</v>
      </c>
      <c r="B1711" s="3">
        <v>2592884</v>
      </c>
      <c r="C1711" s="3">
        <v>2592928</v>
      </c>
      <c r="D1711" s="1" t="s">
        <v>13</v>
      </c>
      <c r="E1711" s="1">
        <v>45</v>
      </c>
      <c r="F1711" s="1" t="s">
        <v>13182</v>
      </c>
      <c r="G1711" s="1" t="s">
        <v>8598</v>
      </c>
    </row>
    <row r="1712" spans="1:7" ht="21" x14ac:dyDescent="0.25">
      <c r="A1712" s="2" t="str">
        <f>HYPERLINK("https://rth.dk/resources/bsgatlas/details.php?id=BSGatlas-5'UTR-1711","BSGatlas-5'UTR-1711")</f>
        <v>BSGatlas-5'UTR-1711</v>
      </c>
      <c r="B1712" s="3">
        <v>2592917</v>
      </c>
      <c r="C1712" s="3">
        <v>2593000</v>
      </c>
      <c r="D1712" s="1" t="s">
        <v>9</v>
      </c>
      <c r="E1712" s="1">
        <v>84</v>
      </c>
      <c r="F1712" s="1" t="s">
        <v>13183</v>
      </c>
      <c r="G1712" s="1" t="s">
        <v>8606</v>
      </c>
    </row>
    <row r="1713" spans="1:7" ht="21" x14ac:dyDescent="0.25">
      <c r="A1713" s="2" t="str">
        <f>HYPERLINK("https://rth.dk/resources/bsgatlas/details.php?id=BSGatlas-5'UTR-1712","BSGatlas-5'UTR-1712")</f>
        <v>BSGatlas-5'UTR-1712</v>
      </c>
      <c r="B1713" s="3">
        <v>2592962</v>
      </c>
      <c r="C1713" s="3">
        <v>2593000</v>
      </c>
      <c r="D1713" s="1" t="s">
        <v>9</v>
      </c>
      <c r="E1713" s="1">
        <v>39</v>
      </c>
      <c r="F1713" s="1" t="s">
        <v>13183</v>
      </c>
      <c r="G1713" s="1" t="s">
        <v>8609</v>
      </c>
    </row>
    <row r="1714" spans="1:7" ht="21" x14ac:dyDescent="0.25">
      <c r="A1714" s="2" t="str">
        <f>HYPERLINK("https://rth.dk/resources/bsgatlas/details.php?id=BSGatlas-5'UTR-1713","BSGatlas-5'UTR-1713")</f>
        <v>BSGatlas-5'UTR-1713</v>
      </c>
      <c r="B1714" s="3">
        <v>2594174</v>
      </c>
      <c r="C1714" s="3">
        <v>2594229</v>
      </c>
      <c r="D1714" s="1" t="s">
        <v>13</v>
      </c>
      <c r="E1714" s="1">
        <v>56</v>
      </c>
      <c r="F1714" s="1" t="s">
        <v>13184</v>
      </c>
      <c r="G1714" s="1" t="s">
        <v>8600</v>
      </c>
    </row>
    <row r="1715" spans="1:7" ht="21" x14ac:dyDescent="0.25">
      <c r="A1715" s="2" t="str">
        <f>HYPERLINK("https://rth.dk/resources/bsgatlas/details.php?id=BSGatlas-5'UTR-1714","BSGatlas-5'UTR-1714")</f>
        <v>BSGatlas-5'UTR-1714</v>
      </c>
      <c r="B1715" s="3">
        <v>2595500</v>
      </c>
      <c r="C1715" s="3">
        <v>2595547</v>
      </c>
      <c r="D1715" s="1" t="s">
        <v>13</v>
      </c>
      <c r="E1715" s="1">
        <v>48</v>
      </c>
      <c r="F1715" s="1" t="s">
        <v>13185</v>
      </c>
      <c r="G1715" s="1" t="s">
        <v>8602</v>
      </c>
    </row>
    <row r="1716" spans="1:7" ht="21" x14ac:dyDescent="0.25">
      <c r="A1716" s="2" t="str">
        <f>HYPERLINK("https://rth.dk/resources/bsgatlas/details.php?id=BSGatlas-5'UTR-1715","BSGatlas-5'UTR-1715")</f>
        <v>BSGatlas-5'UTR-1715</v>
      </c>
      <c r="B1716" s="3">
        <v>2595625</v>
      </c>
      <c r="C1716" s="3">
        <v>2595669</v>
      </c>
      <c r="D1716" s="1" t="s">
        <v>9</v>
      </c>
      <c r="E1716" s="1">
        <v>45</v>
      </c>
      <c r="F1716" s="1" t="s">
        <v>13186</v>
      </c>
      <c r="G1716" s="1" t="s">
        <v>8612</v>
      </c>
    </row>
    <row r="1717" spans="1:7" ht="21" x14ac:dyDescent="0.25">
      <c r="A1717" s="2" t="str">
        <f>HYPERLINK("https://rth.dk/resources/bsgatlas/details.php?id=BSGatlas-5'UTR-1716","BSGatlas-5'UTR-1716")</f>
        <v>BSGatlas-5'UTR-1716</v>
      </c>
      <c r="B1717" s="3">
        <v>2596439</v>
      </c>
      <c r="C1717" s="3">
        <v>2596535</v>
      </c>
      <c r="D1717" s="1" t="s">
        <v>9</v>
      </c>
      <c r="E1717" s="1">
        <v>97</v>
      </c>
      <c r="F1717" s="1" t="s">
        <v>13187</v>
      </c>
      <c r="G1717" s="1" t="s">
        <v>8617</v>
      </c>
    </row>
    <row r="1718" spans="1:7" ht="21" x14ac:dyDescent="0.25">
      <c r="A1718" s="2" t="str">
        <f>HYPERLINK("https://rth.dk/resources/bsgatlas/details.php?id=BSGatlas-5'UTR-1717","BSGatlas-5'UTR-1717")</f>
        <v>BSGatlas-5'UTR-1717</v>
      </c>
      <c r="B1718" s="3">
        <v>2599266</v>
      </c>
      <c r="C1718" s="3">
        <v>2599375</v>
      </c>
      <c r="D1718" s="1" t="s">
        <v>13</v>
      </c>
      <c r="E1718" s="1">
        <v>110</v>
      </c>
      <c r="F1718" s="1" t="s">
        <v>13188</v>
      </c>
      <c r="G1718" s="1" t="s">
        <v>8619</v>
      </c>
    </row>
    <row r="1719" spans="1:7" ht="21" x14ac:dyDescent="0.25">
      <c r="A1719" s="2" t="str">
        <f>HYPERLINK("https://rth.dk/resources/bsgatlas/details.php?id=BSGatlas-5'UTR-1718","BSGatlas-5'UTR-1718")</f>
        <v>BSGatlas-5'UTR-1718</v>
      </c>
      <c r="B1719" s="3">
        <v>2599885</v>
      </c>
      <c r="C1719" s="3">
        <v>2599924</v>
      </c>
      <c r="D1719" s="1" t="s">
        <v>13</v>
      </c>
      <c r="E1719" s="1">
        <v>40</v>
      </c>
      <c r="F1719" s="1" t="s">
        <v>13189</v>
      </c>
      <c r="G1719" s="1" t="s">
        <v>8621</v>
      </c>
    </row>
    <row r="1720" spans="1:7" ht="21" x14ac:dyDescent="0.25">
      <c r="A1720" s="2" t="str">
        <f>HYPERLINK("https://rth.dk/resources/bsgatlas/details.php?id=BSGatlas-5'UTR-1719","BSGatlas-5'UTR-1719")</f>
        <v>BSGatlas-5'UTR-1719</v>
      </c>
      <c r="B1720" s="3">
        <v>2599885</v>
      </c>
      <c r="C1720" s="3">
        <v>2600047</v>
      </c>
      <c r="D1720" s="1" t="s">
        <v>13</v>
      </c>
      <c r="E1720" s="1">
        <v>163</v>
      </c>
      <c r="F1720" s="1" t="s">
        <v>13189</v>
      </c>
      <c r="G1720" s="1" t="s">
        <v>8623</v>
      </c>
    </row>
    <row r="1721" spans="1:7" ht="21" x14ac:dyDescent="0.25">
      <c r="A1721" s="2" t="str">
        <f>HYPERLINK("https://rth.dk/resources/bsgatlas/details.php?id=BSGatlas-5'UTR-1720","BSGatlas-5'UTR-1720")</f>
        <v>BSGatlas-5'UTR-1720</v>
      </c>
      <c r="B1721" s="3">
        <v>2599914</v>
      </c>
      <c r="C1721" s="3">
        <v>2600156</v>
      </c>
      <c r="D1721" s="1" t="s">
        <v>9</v>
      </c>
      <c r="E1721" s="1">
        <v>243</v>
      </c>
      <c r="F1721" s="1" t="s">
        <v>13190</v>
      </c>
      <c r="G1721" s="1" t="s">
        <v>8624</v>
      </c>
    </row>
    <row r="1722" spans="1:7" ht="21" x14ac:dyDescent="0.25">
      <c r="A1722" s="2" t="str">
        <f>HYPERLINK("https://rth.dk/resources/bsgatlas/details.php?id=BSGatlas-5'UTR-1721","BSGatlas-5'UTR-1721")</f>
        <v>BSGatlas-5'UTR-1721</v>
      </c>
      <c r="B1722" s="3">
        <v>2600050</v>
      </c>
      <c r="C1722" s="3">
        <v>2600156</v>
      </c>
      <c r="D1722" s="1" t="s">
        <v>9</v>
      </c>
      <c r="E1722" s="1">
        <v>107</v>
      </c>
      <c r="F1722" s="1" t="s">
        <v>13190</v>
      </c>
      <c r="G1722" s="1" t="s">
        <v>8625</v>
      </c>
    </row>
    <row r="1723" spans="1:7" ht="21" x14ac:dyDescent="0.25">
      <c r="A1723" s="2" t="str">
        <f>HYPERLINK("https://rth.dk/resources/bsgatlas/details.php?id=BSGatlas-5'UTR-1722","BSGatlas-5'UTR-1722")</f>
        <v>BSGatlas-5'UTR-1722</v>
      </c>
      <c r="B1723" s="3">
        <v>2603867</v>
      </c>
      <c r="C1723" s="3">
        <v>2603970</v>
      </c>
      <c r="D1723" s="1" t="s">
        <v>13</v>
      </c>
      <c r="E1723" s="1">
        <v>104</v>
      </c>
      <c r="F1723" s="1" t="s">
        <v>13191</v>
      </c>
      <c r="G1723" s="1" t="s">
        <v>8632</v>
      </c>
    </row>
    <row r="1724" spans="1:7" ht="21" x14ac:dyDescent="0.25">
      <c r="A1724" s="2" t="str">
        <f>HYPERLINK("https://rth.dk/resources/bsgatlas/details.php?id=BSGatlas-5'UTR-1723","BSGatlas-5'UTR-1723")</f>
        <v>BSGatlas-5'UTR-1723</v>
      </c>
      <c r="B1724" s="3">
        <v>2603867</v>
      </c>
      <c r="C1724" s="3">
        <v>2604026</v>
      </c>
      <c r="D1724" s="1" t="s">
        <v>13</v>
      </c>
      <c r="E1724" s="1">
        <v>160</v>
      </c>
      <c r="F1724" s="1" t="s">
        <v>13191</v>
      </c>
      <c r="G1724" s="1" t="s">
        <v>8633</v>
      </c>
    </row>
    <row r="1725" spans="1:7" ht="21" x14ac:dyDescent="0.25">
      <c r="A1725" s="2" t="str">
        <f>HYPERLINK("https://rth.dk/resources/bsgatlas/details.php?id=BSGatlas-5'UTR-1724","BSGatlas-5'UTR-1724")</f>
        <v>BSGatlas-5'UTR-1724</v>
      </c>
      <c r="B1725" s="3">
        <v>2603867</v>
      </c>
      <c r="C1725" s="3">
        <v>2604053</v>
      </c>
      <c r="D1725" s="1" t="s">
        <v>13</v>
      </c>
      <c r="E1725" s="1">
        <v>187</v>
      </c>
      <c r="F1725" s="1" t="s">
        <v>13191</v>
      </c>
      <c r="G1725" s="1" t="s">
        <v>8634</v>
      </c>
    </row>
    <row r="1726" spans="1:7" ht="21" x14ac:dyDescent="0.25">
      <c r="A1726" s="2" t="str">
        <f>HYPERLINK("https://rth.dk/resources/bsgatlas/details.php?id=BSGatlas-5'UTR-1725","BSGatlas-5'UTR-1725")</f>
        <v>BSGatlas-5'UTR-1725</v>
      </c>
      <c r="B1726" s="3">
        <v>2603867</v>
      </c>
      <c r="C1726" s="3">
        <v>2604066</v>
      </c>
      <c r="D1726" s="1" t="s">
        <v>13</v>
      </c>
      <c r="E1726" s="1">
        <v>200</v>
      </c>
      <c r="F1726" s="1" t="s">
        <v>13191</v>
      </c>
      <c r="G1726" s="1" t="s">
        <v>8635</v>
      </c>
    </row>
    <row r="1727" spans="1:7" ht="21" x14ac:dyDescent="0.25">
      <c r="A1727" s="2" t="str">
        <f>HYPERLINK("https://rth.dk/resources/bsgatlas/details.php?id=BSGatlas-5'UTR-1726","BSGatlas-5'UTR-1726")</f>
        <v>BSGatlas-5'UTR-1726</v>
      </c>
      <c r="B1727" s="3">
        <v>2605597</v>
      </c>
      <c r="C1727" s="3">
        <v>2605732</v>
      </c>
      <c r="D1727" s="1" t="s">
        <v>13</v>
      </c>
      <c r="E1727" s="1">
        <v>136</v>
      </c>
      <c r="F1727" s="1" t="s">
        <v>13192</v>
      </c>
      <c r="G1727" s="1" t="s">
        <v>8639</v>
      </c>
    </row>
    <row r="1728" spans="1:7" ht="21" x14ac:dyDescent="0.25">
      <c r="A1728" s="2" t="str">
        <f>HYPERLINK("https://rth.dk/resources/bsgatlas/details.php?id=BSGatlas-5'UTR-1727","BSGatlas-5'UTR-1727")</f>
        <v>BSGatlas-5'UTR-1727</v>
      </c>
      <c r="B1728" s="3">
        <v>2608649</v>
      </c>
      <c r="C1728" s="3">
        <v>2608922</v>
      </c>
      <c r="D1728" s="1" t="s">
        <v>13</v>
      </c>
      <c r="E1728" s="1">
        <v>274</v>
      </c>
      <c r="F1728" s="1" t="s">
        <v>13193</v>
      </c>
      <c r="G1728" s="1" t="s">
        <v>8642</v>
      </c>
    </row>
    <row r="1729" spans="1:7" ht="21" x14ac:dyDescent="0.25">
      <c r="A1729" s="2" t="str">
        <f>HYPERLINK("https://rth.dk/resources/bsgatlas/details.php?id=BSGatlas-5'UTR-1728","BSGatlas-5'UTR-1728")</f>
        <v>BSGatlas-5'UTR-1728</v>
      </c>
      <c r="B1729" s="3">
        <v>2611337</v>
      </c>
      <c r="C1729" s="3">
        <v>2611378</v>
      </c>
      <c r="D1729" s="1" t="s">
        <v>13</v>
      </c>
      <c r="E1729" s="1">
        <v>42</v>
      </c>
      <c r="F1729" s="1" t="s">
        <v>13194</v>
      </c>
      <c r="G1729" s="1" t="s">
        <v>8648</v>
      </c>
    </row>
    <row r="1730" spans="1:7" ht="21" x14ac:dyDescent="0.25">
      <c r="A1730" s="2" t="str">
        <f>HYPERLINK("https://rth.dk/resources/bsgatlas/details.php?id=BSGatlas-5'UTR-1729","BSGatlas-5'UTR-1729")</f>
        <v>BSGatlas-5'UTR-1729</v>
      </c>
      <c r="B1730" s="3">
        <v>2615455</v>
      </c>
      <c r="C1730" s="3">
        <v>2615524</v>
      </c>
      <c r="D1730" s="1" t="s">
        <v>13</v>
      </c>
      <c r="E1730" s="1">
        <v>70</v>
      </c>
      <c r="F1730" s="1" t="s">
        <v>13195</v>
      </c>
      <c r="G1730" s="1" t="s">
        <v>8650</v>
      </c>
    </row>
    <row r="1731" spans="1:7" ht="21" x14ac:dyDescent="0.25">
      <c r="A1731" s="2" t="str">
        <f>HYPERLINK("https://rth.dk/resources/bsgatlas/details.php?id=BSGatlas-5'UTR-1730","BSGatlas-5'UTR-1730")</f>
        <v>BSGatlas-5'UTR-1730</v>
      </c>
      <c r="B1731" s="3">
        <v>2615455</v>
      </c>
      <c r="C1731" s="3">
        <v>2615611</v>
      </c>
      <c r="D1731" s="1" t="s">
        <v>13</v>
      </c>
      <c r="E1731" s="1">
        <v>157</v>
      </c>
      <c r="F1731" s="1" t="s">
        <v>13195</v>
      </c>
      <c r="G1731" s="1" t="s">
        <v>8652</v>
      </c>
    </row>
    <row r="1732" spans="1:7" ht="21" x14ac:dyDescent="0.25">
      <c r="A1732" s="2" t="str">
        <f>HYPERLINK("https://rth.dk/resources/bsgatlas/details.php?id=BSGatlas-5'UTR-1731","BSGatlas-5'UTR-1731")</f>
        <v>BSGatlas-5'UTR-1731</v>
      </c>
      <c r="B1732" s="3">
        <v>2615455</v>
      </c>
      <c r="C1732" s="3">
        <v>2615826</v>
      </c>
      <c r="D1732" s="1" t="s">
        <v>13</v>
      </c>
      <c r="E1732" s="1">
        <v>372</v>
      </c>
      <c r="F1732" s="1" t="s">
        <v>13195</v>
      </c>
      <c r="G1732" s="1" t="s">
        <v>8653</v>
      </c>
    </row>
    <row r="1733" spans="1:7" ht="21" x14ac:dyDescent="0.25">
      <c r="A1733" s="2" t="str">
        <f>HYPERLINK("https://rth.dk/resources/bsgatlas/details.php?id=BSGatlas-5'UTR-1732","BSGatlas-5'UTR-1732")</f>
        <v>BSGatlas-5'UTR-1732</v>
      </c>
      <c r="B1733" s="3">
        <v>2619779</v>
      </c>
      <c r="C1733" s="3">
        <v>2619832</v>
      </c>
      <c r="D1733" s="1" t="s">
        <v>13</v>
      </c>
      <c r="E1733" s="1">
        <v>54</v>
      </c>
      <c r="F1733" s="1" t="s">
        <v>13196</v>
      </c>
      <c r="G1733" s="1" t="s">
        <v>8656</v>
      </c>
    </row>
    <row r="1734" spans="1:7" ht="21" x14ac:dyDescent="0.25">
      <c r="A1734" s="2" t="str">
        <f>HYPERLINK("https://rth.dk/resources/bsgatlas/details.php?id=BSGatlas-5'UTR-1733","BSGatlas-5'UTR-1733")</f>
        <v>BSGatlas-5'UTR-1733</v>
      </c>
      <c r="B1734" s="3">
        <v>2620485</v>
      </c>
      <c r="C1734" s="3">
        <v>2620717</v>
      </c>
      <c r="D1734" s="1" t="s">
        <v>9</v>
      </c>
      <c r="E1734" s="1">
        <v>233</v>
      </c>
      <c r="F1734" s="1" t="s">
        <v>13197</v>
      </c>
      <c r="G1734" s="1" t="s">
        <v>8663</v>
      </c>
    </row>
    <row r="1735" spans="1:7" ht="21" x14ac:dyDescent="0.25">
      <c r="A1735" s="2" t="str">
        <f>HYPERLINK("https://rth.dk/resources/bsgatlas/details.php?id=BSGatlas-5'UTR-1734","BSGatlas-5'UTR-1734")</f>
        <v>BSGatlas-5'UTR-1734</v>
      </c>
      <c r="B1735" s="3">
        <v>2620544</v>
      </c>
      <c r="C1735" s="3">
        <v>2620620</v>
      </c>
      <c r="D1735" s="1" t="s">
        <v>13</v>
      </c>
      <c r="E1735" s="1">
        <v>77</v>
      </c>
      <c r="F1735" s="1" t="s">
        <v>13198</v>
      </c>
      <c r="G1735" s="1" t="s">
        <v>8660</v>
      </c>
    </row>
    <row r="1736" spans="1:7" ht="21" x14ac:dyDescent="0.25">
      <c r="A1736" s="2" t="str">
        <f>HYPERLINK("https://rth.dk/resources/bsgatlas/details.php?id=BSGatlas-5'UTR-1735","BSGatlas-5'UTR-1735")</f>
        <v>BSGatlas-5'UTR-1735</v>
      </c>
      <c r="B1736" s="3">
        <v>2620683</v>
      </c>
      <c r="C1736" s="3">
        <v>2620717</v>
      </c>
      <c r="D1736" s="1" t="s">
        <v>9</v>
      </c>
      <c r="E1736" s="1">
        <v>35</v>
      </c>
      <c r="F1736" s="1" t="s">
        <v>13197</v>
      </c>
      <c r="G1736" s="1" t="s">
        <v>8664</v>
      </c>
    </row>
    <row r="1737" spans="1:7" ht="21" x14ac:dyDescent="0.25">
      <c r="A1737" s="2" t="str">
        <f>HYPERLINK("https://rth.dk/resources/bsgatlas/details.php?id=BSGatlas-5'UTR-1736","BSGatlas-5'UTR-1736")</f>
        <v>BSGatlas-5'UTR-1736</v>
      </c>
      <c r="B1737" s="3">
        <v>2625840</v>
      </c>
      <c r="C1737" s="3">
        <v>2625951</v>
      </c>
      <c r="D1737" s="1" t="s">
        <v>9</v>
      </c>
      <c r="E1737" s="1">
        <v>112</v>
      </c>
      <c r="F1737" s="1" t="s">
        <v>13199</v>
      </c>
      <c r="G1737" s="1" t="s">
        <v>8675</v>
      </c>
    </row>
    <row r="1738" spans="1:7" ht="21" x14ac:dyDescent="0.25">
      <c r="A1738" s="2" t="str">
        <f>HYPERLINK("https://rth.dk/resources/bsgatlas/details.php?id=BSGatlas-5'UTR-1737","BSGatlas-5'UTR-1737")</f>
        <v>BSGatlas-5'UTR-1737</v>
      </c>
      <c r="B1738" s="3">
        <v>2628534</v>
      </c>
      <c r="C1738" s="3">
        <v>2628555</v>
      </c>
      <c r="D1738" s="1" t="s">
        <v>13</v>
      </c>
      <c r="E1738" s="1">
        <v>22</v>
      </c>
      <c r="F1738" s="1" t="s">
        <v>13200</v>
      </c>
      <c r="G1738" s="1" t="s">
        <v>8666</v>
      </c>
    </row>
    <row r="1739" spans="1:7" ht="21" x14ac:dyDescent="0.25">
      <c r="A1739" s="2" t="str">
        <f>HYPERLINK("https://rth.dk/resources/bsgatlas/details.php?id=BSGatlas-5'UTR-1738","BSGatlas-5'UTR-1738")</f>
        <v>BSGatlas-5'UTR-1738</v>
      </c>
      <c r="B1739" s="3">
        <v>2629637</v>
      </c>
      <c r="C1739" s="3">
        <v>2629682</v>
      </c>
      <c r="D1739" s="1" t="s">
        <v>13</v>
      </c>
      <c r="E1739" s="1">
        <v>46</v>
      </c>
      <c r="F1739" s="1" t="s">
        <v>13201</v>
      </c>
      <c r="G1739" s="1" t="s">
        <v>8669</v>
      </c>
    </row>
    <row r="1740" spans="1:7" ht="21" x14ac:dyDescent="0.25">
      <c r="A1740" s="2" t="str">
        <f>HYPERLINK("https://rth.dk/resources/bsgatlas/details.php?id=BSGatlas-5'UTR-1739","BSGatlas-5'UTR-1739")</f>
        <v>BSGatlas-5'UTR-1739</v>
      </c>
      <c r="B1740" s="3">
        <v>2629637</v>
      </c>
      <c r="C1740" s="3">
        <v>2629819</v>
      </c>
      <c r="D1740" s="1" t="s">
        <v>13</v>
      </c>
      <c r="E1740" s="1">
        <v>183</v>
      </c>
      <c r="F1740" s="1" t="s">
        <v>13201</v>
      </c>
      <c r="G1740" s="1" t="s">
        <v>8670</v>
      </c>
    </row>
    <row r="1741" spans="1:7" ht="21" x14ac:dyDescent="0.25">
      <c r="A1741" s="2" t="str">
        <f>HYPERLINK("https://rth.dk/resources/bsgatlas/details.php?id=BSGatlas-5'UTR-1740","BSGatlas-5'UTR-1740")</f>
        <v>BSGatlas-5'UTR-1740</v>
      </c>
      <c r="B1741" s="3">
        <v>2632748</v>
      </c>
      <c r="C1741" s="3">
        <v>2632785</v>
      </c>
      <c r="D1741" s="1" t="s">
        <v>13</v>
      </c>
      <c r="E1741" s="1">
        <v>38</v>
      </c>
      <c r="F1741" s="1" t="s">
        <v>13202</v>
      </c>
      <c r="G1741" s="1" t="s">
        <v>8674</v>
      </c>
    </row>
    <row r="1742" spans="1:7" ht="21" x14ac:dyDescent="0.25">
      <c r="A1742" s="2" t="str">
        <f>HYPERLINK("https://rth.dk/resources/bsgatlas/details.php?id=BSGatlas-5'UTR-1741","BSGatlas-5'UTR-1741")</f>
        <v>BSGatlas-5'UTR-1741</v>
      </c>
      <c r="B1742" s="3">
        <v>2634442</v>
      </c>
      <c r="C1742" s="3">
        <v>2634464</v>
      </c>
      <c r="D1742" s="1" t="s">
        <v>13</v>
      </c>
      <c r="E1742" s="1">
        <v>23</v>
      </c>
      <c r="F1742" s="1" t="s">
        <v>13203</v>
      </c>
      <c r="G1742" s="1" t="s">
        <v>8685</v>
      </c>
    </row>
    <row r="1743" spans="1:7" ht="21" x14ac:dyDescent="0.25">
      <c r="A1743" s="2" t="str">
        <f>HYPERLINK("https://rth.dk/resources/bsgatlas/details.php?id=BSGatlas-5'UTR-1742","BSGatlas-5'UTR-1742")</f>
        <v>BSGatlas-5'UTR-1742</v>
      </c>
      <c r="B1743" s="3">
        <v>2635611</v>
      </c>
      <c r="C1743" s="3">
        <v>2635635</v>
      </c>
      <c r="D1743" s="1" t="s">
        <v>13</v>
      </c>
      <c r="E1743" s="1">
        <v>25</v>
      </c>
      <c r="F1743" s="1" t="s">
        <v>13204</v>
      </c>
      <c r="G1743" s="1" t="s">
        <v>8688</v>
      </c>
    </row>
    <row r="1744" spans="1:7" ht="21" x14ac:dyDescent="0.25">
      <c r="A1744" s="2" t="str">
        <f>HYPERLINK("https://rth.dk/resources/bsgatlas/details.php?id=BSGatlas-5'UTR-1743","BSGatlas-5'UTR-1743")</f>
        <v>BSGatlas-5'UTR-1743</v>
      </c>
      <c r="B1744" s="3">
        <v>2635726</v>
      </c>
      <c r="C1744" s="3">
        <v>2635815</v>
      </c>
      <c r="D1744" s="1" t="s">
        <v>9</v>
      </c>
      <c r="E1744" s="1">
        <v>90</v>
      </c>
      <c r="F1744" s="1" t="s">
        <v>13205</v>
      </c>
      <c r="G1744" s="1" t="s">
        <v>8691</v>
      </c>
    </row>
    <row r="1745" spans="1:7" ht="21" x14ac:dyDescent="0.25">
      <c r="A1745" s="2" t="str">
        <f>HYPERLINK("https://rth.dk/resources/bsgatlas/details.php?id=BSGatlas-5'UTR-1744","BSGatlas-5'UTR-1744")</f>
        <v>BSGatlas-5'UTR-1744</v>
      </c>
      <c r="B1745" s="3">
        <v>2637139</v>
      </c>
      <c r="C1745" s="3">
        <v>2637180</v>
      </c>
      <c r="D1745" s="1" t="s">
        <v>13</v>
      </c>
      <c r="E1745" s="1">
        <v>42</v>
      </c>
      <c r="F1745" s="1" t="s">
        <v>13206</v>
      </c>
      <c r="G1745" s="1" t="s">
        <v>8693</v>
      </c>
    </row>
    <row r="1746" spans="1:7" ht="21" x14ac:dyDescent="0.25">
      <c r="A1746" s="2" t="str">
        <f>HYPERLINK("https://rth.dk/resources/bsgatlas/details.php?id=BSGatlas-5'UTR-1745","BSGatlas-5'UTR-1745")</f>
        <v>BSGatlas-5'UTR-1745</v>
      </c>
      <c r="B1746" s="3">
        <v>2637336</v>
      </c>
      <c r="C1746" s="3">
        <v>2637369</v>
      </c>
      <c r="D1746" s="1" t="s">
        <v>9</v>
      </c>
      <c r="E1746" s="1">
        <v>34</v>
      </c>
      <c r="F1746" s="1" t="s">
        <v>13207</v>
      </c>
      <c r="G1746" s="1" t="s">
        <v>8697</v>
      </c>
    </row>
    <row r="1747" spans="1:7" ht="21" x14ac:dyDescent="0.25">
      <c r="A1747" s="2" t="str">
        <f>HYPERLINK("https://rth.dk/resources/bsgatlas/details.php?id=BSGatlas-5'UTR-1746","BSGatlas-5'UTR-1746")</f>
        <v>BSGatlas-5'UTR-1746</v>
      </c>
      <c r="B1747" s="3">
        <v>2637542</v>
      </c>
      <c r="C1747" s="3">
        <v>2637576</v>
      </c>
      <c r="D1747" s="1" t="s">
        <v>13</v>
      </c>
      <c r="E1747" s="1">
        <v>35</v>
      </c>
      <c r="F1747" s="1" t="s">
        <v>13208</v>
      </c>
      <c r="G1747" s="1" t="s">
        <v>8695</v>
      </c>
    </row>
    <row r="1748" spans="1:7" ht="21" x14ac:dyDescent="0.25">
      <c r="A1748" s="2" t="str">
        <f>HYPERLINK("https://rth.dk/resources/bsgatlas/details.php?id=BSGatlas-5'UTR-1747","BSGatlas-5'UTR-1747")</f>
        <v>BSGatlas-5'UTR-1747</v>
      </c>
      <c r="B1748" s="3">
        <v>2640446</v>
      </c>
      <c r="C1748" s="3">
        <v>2640483</v>
      </c>
      <c r="D1748" s="1" t="s">
        <v>13</v>
      </c>
      <c r="E1748" s="1">
        <v>38</v>
      </c>
      <c r="F1748" s="1" t="s">
        <v>13209</v>
      </c>
      <c r="G1748" s="1" t="s">
        <v>13210</v>
      </c>
    </row>
    <row r="1749" spans="1:7" ht="21" x14ac:dyDescent="0.25">
      <c r="A1749" s="2" t="str">
        <f>HYPERLINK("https://rth.dk/resources/bsgatlas/details.php?id=BSGatlas-5'UTR-1748","BSGatlas-5'UTR-1748")</f>
        <v>BSGatlas-5'UTR-1748</v>
      </c>
      <c r="B1749" s="3">
        <v>2641130</v>
      </c>
      <c r="C1749" s="3">
        <v>2641193</v>
      </c>
      <c r="D1749" s="1" t="s">
        <v>13</v>
      </c>
      <c r="E1749" s="1">
        <v>64</v>
      </c>
      <c r="F1749" s="1" t="s">
        <v>13211</v>
      </c>
      <c r="G1749" s="1" t="s">
        <v>8700</v>
      </c>
    </row>
    <row r="1750" spans="1:7" ht="21" x14ac:dyDescent="0.25">
      <c r="A1750" s="2" t="str">
        <f>HYPERLINK("https://rth.dk/resources/bsgatlas/details.php?id=BSGatlas-5'UTR-1749","BSGatlas-5'UTR-1749")</f>
        <v>BSGatlas-5'UTR-1749</v>
      </c>
      <c r="B1750" s="3">
        <v>2641130</v>
      </c>
      <c r="C1750" s="3">
        <v>2642033</v>
      </c>
      <c r="D1750" s="1" t="s">
        <v>13</v>
      </c>
      <c r="E1750" s="1">
        <v>904</v>
      </c>
      <c r="F1750" s="1" t="s">
        <v>13211</v>
      </c>
      <c r="G1750" s="1" t="s">
        <v>8701</v>
      </c>
    </row>
    <row r="1751" spans="1:7" ht="21" x14ac:dyDescent="0.25">
      <c r="A1751" s="2" t="str">
        <f>HYPERLINK("https://rth.dk/resources/bsgatlas/details.php?id=BSGatlas-5'UTR-1750","BSGatlas-5'UTR-1750")</f>
        <v>BSGatlas-5'UTR-1750</v>
      </c>
      <c r="B1751" s="3">
        <v>2641168</v>
      </c>
      <c r="C1751" s="3">
        <v>2641214</v>
      </c>
      <c r="D1751" s="1" t="s">
        <v>9</v>
      </c>
      <c r="E1751" s="1">
        <v>47</v>
      </c>
      <c r="F1751" s="1" t="s">
        <v>13212</v>
      </c>
      <c r="G1751" s="1" t="s">
        <v>8702</v>
      </c>
    </row>
    <row r="1752" spans="1:7" ht="21" x14ac:dyDescent="0.25">
      <c r="A1752" s="2" t="str">
        <f>HYPERLINK("https://rth.dk/resources/bsgatlas/details.php?id=BSGatlas-5'UTR-1751","BSGatlas-5'UTR-1751")</f>
        <v>BSGatlas-5'UTR-1751</v>
      </c>
      <c r="B1752" s="3">
        <v>2647372</v>
      </c>
      <c r="C1752" s="3">
        <v>2647456</v>
      </c>
      <c r="D1752" s="1" t="s">
        <v>9</v>
      </c>
      <c r="E1752" s="1">
        <v>85</v>
      </c>
      <c r="F1752" s="1" t="s">
        <v>13213</v>
      </c>
      <c r="G1752" s="1" t="s">
        <v>8709</v>
      </c>
    </row>
    <row r="1753" spans="1:7" ht="21" x14ac:dyDescent="0.25">
      <c r="A1753" s="2" t="str">
        <f>HYPERLINK("https://rth.dk/resources/bsgatlas/details.php?id=BSGatlas-5'UTR-1752","BSGatlas-5'UTR-1752")</f>
        <v>BSGatlas-5'UTR-1752</v>
      </c>
      <c r="B1753" s="3">
        <v>2648651</v>
      </c>
      <c r="C1753" s="3">
        <v>2648686</v>
      </c>
      <c r="D1753" s="1" t="s">
        <v>13</v>
      </c>
      <c r="E1753" s="1">
        <v>36</v>
      </c>
      <c r="F1753" s="1" t="s">
        <v>13214</v>
      </c>
      <c r="G1753" s="1" t="s">
        <v>8715</v>
      </c>
    </row>
    <row r="1754" spans="1:7" ht="21" x14ac:dyDescent="0.25">
      <c r="A1754" s="2" t="str">
        <f>HYPERLINK("https://rth.dk/resources/bsgatlas/details.php?id=BSGatlas-5'UTR-1753","BSGatlas-5'UTR-1753")</f>
        <v>BSGatlas-5'UTR-1753</v>
      </c>
      <c r="B1754" s="3">
        <v>2648651</v>
      </c>
      <c r="C1754" s="3">
        <v>2648818</v>
      </c>
      <c r="D1754" s="1" t="s">
        <v>13</v>
      </c>
      <c r="E1754" s="1">
        <v>168</v>
      </c>
      <c r="F1754" s="1" t="s">
        <v>13214</v>
      </c>
      <c r="G1754" s="1" t="s">
        <v>8716</v>
      </c>
    </row>
    <row r="1755" spans="1:7" ht="21" x14ac:dyDescent="0.25">
      <c r="A1755" s="2" t="str">
        <f>HYPERLINK("https://rth.dk/resources/bsgatlas/details.php?id=BSGatlas-5'UTR-1754","BSGatlas-5'UTR-1754")</f>
        <v>BSGatlas-5'UTR-1754</v>
      </c>
      <c r="B1755" s="3">
        <v>2649061</v>
      </c>
      <c r="C1755" s="3">
        <v>2649842</v>
      </c>
      <c r="D1755" s="1" t="s">
        <v>9</v>
      </c>
      <c r="E1755" s="1">
        <v>782</v>
      </c>
      <c r="F1755" s="1" t="s">
        <v>13215</v>
      </c>
      <c r="G1755" s="1" t="s">
        <v>8719</v>
      </c>
    </row>
    <row r="1756" spans="1:7" ht="21" x14ac:dyDescent="0.25">
      <c r="A1756" s="2" t="str">
        <f>HYPERLINK("https://rth.dk/resources/bsgatlas/details.php?id=BSGatlas-5'UTR-1755","BSGatlas-5'UTR-1755")</f>
        <v>BSGatlas-5'UTR-1755</v>
      </c>
      <c r="B1756" s="3">
        <v>2649776</v>
      </c>
      <c r="C1756" s="3">
        <v>2649842</v>
      </c>
      <c r="D1756" s="1" t="s">
        <v>9</v>
      </c>
      <c r="E1756" s="1">
        <v>67</v>
      </c>
      <c r="F1756" s="1" t="s">
        <v>13215</v>
      </c>
      <c r="G1756" s="1" t="s">
        <v>8721</v>
      </c>
    </row>
    <row r="1757" spans="1:7" ht="21" x14ac:dyDescent="0.25">
      <c r="A1757" s="2" t="str">
        <f>HYPERLINK("https://rth.dk/resources/bsgatlas/details.php?id=BSGatlas-5'UTR-1756","BSGatlas-5'UTR-1756")</f>
        <v>BSGatlas-5'UTR-1756</v>
      </c>
      <c r="B1757" s="3">
        <v>2651581</v>
      </c>
      <c r="C1757" s="3">
        <v>2651632</v>
      </c>
      <c r="D1757" s="1" t="s">
        <v>9</v>
      </c>
      <c r="E1757" s="1">
        <v>52</v>
      </c>
      <c r="F1757" s="1" t="s">
        <v>13216</v>
      </c>
      <c r="G1757" s="1" t="s">
        <v>8723</v>
      </c>
    </row>
    <row r="1758" spans="1:7" ht="21" x14ac:dyDescent="0.25">
      <c r="A1758" s="2" t="str">
        <f>HYPERLINK("https://rth.dk/resources/bsgatlas/details.php?id=BSGatlas-5'UTR-1757","BSGatlas-5'UTR-1757")</f>
        <v>BSGatlas-5'UTR-1757</v>
      </c>
      <c r="B1758" s="3">
        <v>2652797</v>
      </c>
      <c r="C1758" s="3">
        <v>2652819</v>
      </c>
      <c r="D1758" s="1" t="s">
        <v>13</v>
      </c>
      <c r="E1758" s="1">
        <v>23</v>
      </c>
      <c r="F1758" s="1" t="s">
        <v>13217</v>
      </c>
      <c r="G1758" s="1" t="s">
        <v>8724</v>
      </c>
    </row>
    <row r="1759" spans="1:7" ht="21" x14ac:dyDescent="0.25">
      <c r="A1759" s="2" t="str">
        <f>HYPERLINK("https://rth.dk/resources/bsgatlas/details.php?id=BSGatlas-5'UTR-1758","BSGatlas-5'UTR-1758")</f>
        <v>BSGatlas-5'UTR-1758</v>
      </c>
      <c r="B1759" s="3">
        <v>2652954</v>
      </c>
      <c r="C1759" s="3">
        <v>2652993</v>
      </c>
      <c r="D1759" s="1" t="s">
        <v>9</v>
      </c>
      <c r="E1759" s="1">
        <v>40</v>
      </c>
      <c r="F1759" s="1" t="s">
        <v>13218</v>
      </c>
      <c r="G1759" s="1" t="s">
        <v>8726</v>
      </c>
    </row>
    <row r="1760" spans="1:7" ht="21" x14ac:dyDescent="0.25">
      <c r="A1760" s="2" t="str">
        <f>HYPERLINK("https://rth.dk/resources/bsgatlas/details.php?id=BSGatlas-5'UTR-1759","BSGatlas-5'UTR-1759")</f>
        <v>BSGatlas-5'UTR-1759</v>
      </c>
      <c r="B1760" s="3">
        <v>2654873</v>
      </c>
      <c r="C1760" s="3">
        <v>2654984</v>
      </c>
      <c r="D1760" s="1" t="s">
        <v>13</v>
      </c>
      <c r="E1760" s="1">
        <v>112</v>
      </c>
      <c r="F1760" s="1" t="s">
        <v>13219</v>
      </c>
      <c r="G1760" s="1" t="s">
        <v>8729</v>
      </c>
    </row>
    <row r="1761" spans="1:7" ht="21" x14ac:dyDescent="0.25">
      <c r="A1761" s="2" t="str">
        <f>HYPERLINK("https://rth.dk/resources/bsgatlas/details.php?id=BSGatlas-5'UTR-1760","BSGatlas-5'UTR-1760")</f>
        <v>BSGatlas-5'UTR-1760</v>
      </c>
      <c r="B1761" s="3">
        <v>2657634</v>
      </c>
      <c r="C1761" s="3">
        <v>2657687</v>
      </c>
      <c r="D1761" s="1" t="s">
        <v>13</v>
      </c>
      <c r="E1761" s="1">
        <v>54</v>
      </c>
      <c r="F1761" s="1" t="s">
        <v>13220</v>
      </c>
      <c r="G1761" s="1" t="s">
        <v>8732</v>
      </c>
    </row>
    <row r="1762" spans="1:7" ht="21" x14ac:dyDescent="0.25">
      <c r="A1762" s="2" t="str">
        <f>HYPERLINK("https://rth.dk/resources/bsgatlas/details.php?id=BSGatlas-5'UTR-1761","BSGatlas-5'UTR-1761")</f>
        <v>BSGatlas-5'UTR-1761</v>
      </c>
      <c r="B1762" s="3">
        <v>2658770</v>
      </c>
      <c r="C1762" s="3">
        <v>2658803</v>
      </c>
      <c r="D1762" s="1" t="s">
        <v>13</v>
      </c>
      <c r="E1762" s="1">
        <v>34</v>
      </c>
      <c r="F1762" s="1" t="s">
        <v>13221</v>
      </c>
      <c r="G1762" s="1" t="s">
        <v>8735</v>
      </c>
    </row>
    <row r="1763" spans="1:7" ht="21" x14ac:dyDescent="0.25">
      <c r="A1763" s="2" t="str">
        <f>HYPERLINK("https://rth.dk/resources/bsgatlas/details.php?id=BSGatlas-5'UTR-1762","BSGatlas-5'UTR-1762")</f>
        <v>BSGatlas-5'UTR-1762</v>
      </c>
      <c r="B1763" s="3">
        <v>2659166</v>
      </c>
      <c r="C1763" s="3">
        <v>2659213</v>
      </c>
      <c r="D1763" s="1" t="s">
        <v>9</v>
      </c>
      <c r="E1763" s="1">
        <v>48</v>
      </c>
      <c r="F1763" s="1" t="s">
        <v>13222</v>
      </c>
      <c r="G1763" s="1" t="s">
        <v>8738</v>
      </c>
    </row>
    <row r="1764" spans="1:7" ht="21" x14ac:dyDescent="0.25">
      <c r="A1764" s="2" t="str">
        <f>HYPERLINK("https://rth.dk/resources/bsgatlas/details.php?id=BSGatlas-5'UTR-1763","BSGatlas-5'UTR-1763")</f>
        <v>BSGatlas-5'UTR-1763</v>
      </c>
      <c r="B1764" s="3">
        <v>2660244</v>
      </c>
      <c r="C1764" s="3">
        <v>2660330</v>
      </c>
      <c r="D1764" s="1" t="s">
        <v>9</v>
      </c>
      <c r="E1764" s="1">
        <v>87</v>
      </c>
      <c r="F1764" s="1" t="s">
        <v>13223</v>
      </c>
      <c r="G1764" s="1" t="s">
        <v>8740</v>
      </c>
    </row>
    <row r="1765" spans="1:7" ht="21" x14ac:dyDescent="0.25">
      <c r="A1765" s="2" t="str">
        <f>HYPERLINK("https://rth.dk/resources/bsgatlas/details.php?id=BSGatlas-5'UTR-1764","BSGatlas-5'UTR-1764")</f>
        <v>BSGatlas-5'UTR-1764</v>
      </c>
      <c r="B1765" s="3">
        <v>2660296</v>
      </c>
      <c r="C1765" s="3">
        <v>2660330</v>
      </c>
      <c r="D1765" s="1" t="s">
        <v>9</v>
      </c>
      <c r="E1765" s="1">
        <v>35</v>
      </c>
      <c r="F1765" s="1" t="s">
        <v>13223</v>
      </c>
      <c r="G1765" s="1" t="s">
        <v>8741</v>
      </c>
    </row>
    <row r="1766" spans="1:7" ht="21" x14ac:dyDescent="0.25">
      <c r="A1766" s="2" t="str">
        <f>HYPERLINK("https://rth.dk/resources/bsgatlas/details.php?id=BSGatlas-5'UTR-1765","BSGatlas-5'UTR-1765")</f>
        <v>BSGatlas-5'UTR-1765</v>
      </c>
      <c r="B1766" s="3">
        <v>2661062</v>
      </c>
      <c r="C1766" s="3">
        <v>2661102</v>
      </c>
      <c r="D1766" s="1" t="s">
        <v>9</v>
      </c>
      <c r="E1766" s="1">
        <v>41</v>
      </c>
      <c r="F1766" s="1" t="s">
        <v>13224</v>
      </c>
      <c r="G1766" s="1" t="s">
        <v>8743</v>
      </c>
    </row>
    <row r="1767" spans="1:7" ht="21" x14ac:dyDescent="0.25">
      <c r="A1767" s="2" t="str">
        <f>HYPERLINK("https://rth.dk/resources/bsgatlas/details.php?id=BSGatlas-5'UTR-1766","BSGatlas-5'UTR-1766")</f>
        <v>BSGatlas-5'UTR-1766</v>
      </c>
      <c r="B1767" s="3">
        <v>2664408</v>
      </c>
      <c r="C1767" s="3">
        <v>2664454</v>
      </c>
      <c r="D1767" s="1" t="s">
        <v>13</v>
      </c>
      <c r="E1767" s="1">
        <v>47</v>
      </c>
      <c r="F1767" s="1" t="s">
        <v>13225</v>
      </c>
      <c r="G1767" s="1" t="s">
        <v>8746</v>
      </c>
    </row>
    <row r="1768" spans="1:7" ht="21" x14ac:dyDescent="0.25">
      <c r="A1768" s="2" t="str">
        <f>HYPERLINK("https://rth.dk/resources/bsgatlas/details.php?id=BSGatlas-5'UTR-1767","BSGatlas-5'UTR-1767")</f>
        <v>BSGatlas-5'UTR-1767</v>
      </c>
      <c r="B1768" s="3">
        <v>2664530</v>
      </c>
      <c r="C1768" s="3">
        <v>2664732</v>
      </c>
      <c r="D1768" s="1" t="s">
        <v>9</v>
      </c>
      <c r="E1768" s="1">
        <v>203</v>
      </c>
      <c r="F1768" s="1" t="s">
        <v>13226</v>
      </c>
      <c r="G1768" s="1" t="s">
        <v>8751</v>
      </c>
    </row>
    <row r="1769" spans="1:7" ht="21" x14ac:dyDescent="0.25">
      <c r="A1769" s="2" t="str">
        <f>HYPERLINK("https://rth.dk/resources/bsgatlas/details.php?id=BSGatlas-5'UTR-1768","BSGatlas-5'UTR-1768")</f>
        <v>BSGatlas-5'UTR-1768</v>
      </c>
      <c r="B1769" s="3">
        <v>2678724</v>
      </c>
      <c r="C1769" s="3">
        <v>2678799</v>
      </c>
      <c r="D1769" s="1" t="s">
        <v>9</v>
      </c>
      <c r="E1769" s="1">
        <v>76</v>
      </c>
      <c r="F1769" s="1" t="s">
        <v>13227</v>
      </c>
      <c r="G1769" s="1" t="s">
        <v>8765</v>
      </c>
    </row>
    <row r="1770" spans="1:7" ht="21" x14ac:dyDescent="0.25">
      <c r="A1770" s="2" t="str">
        <f>HYPERLINK("https://rth.dk/resources/bsgatlas/details.php?id=BSGatlas-5'UTR-1769","BSGatlas-5'UTR-1769")</f>
        <v>BSGatlas-5'UTR-1769</v>
      </c>
      <c r="B1770" s="3">
        <v>2679585</v>
      </c>
      <c r="C1770" s="3">
        <v>2680187</v>
      </c>
      <c r="D1770" s="1" t="s">
        <v>13</v>
      </c>
      <c r="E1770" s="1">
        <v>603</v>
      </c>
      <c r="F1770" s="1" t="s">
        <v>13228</v>
      </c>
      <c r="G1770" s="1" t="s">
        <v>8768</v>
      </c>
    </row>
    <row r="1771" spans="1:7" ht="21" x14ac:dyDescent="0.25">
      <c r="A1771" s="2" t="str">
        <f>HYPERLINK("https://rth.dk/resources/bsgatlas/details.php?id=BSGatlas-5'UTR-1770","BSGatlas-5'UTR-1770")</f>
        <v>BSGatlas-5'UTR-1770</v>
      </c>
      <c r="B1771" s="3">
        <v>2682881</v>
      </c>
      <c r="C1771" s="3">
        <v>2683035</v>
      </c>
      <c r="D1771" s="1" t="s">
        <v>13</v>
      </c>
      <c r="E1771" s="1">
        <v>155</v>
      </c>
      <c r="F1771" s="1" t="s">
        <v>13229</v>
      </c>
      <c r="G1771" s="1" t="s">
        <v>8769</v>
      </c>
    </row>
    <row r="1772" spans="1:7" ht="21" x14ac:dyDescent="0.25">
      <c r="A1772" s="2" t="str">
        <f>HYPERLINK("https://rth.dk/resources/bsgatlas/details.php?id=BSGatlas-5'UTR-1771","BSGatlas-5'UTR-1771")</f>
        <v>BSGatlas-5'UTR-1771</v>
      </c>
      <c r="B1772" s="3">
        <v>2684142</v>
      </c>
      <c r="C1772" s="3">
        <v>2684367</v>
      </c>
      <c r="D1772" s="1" t="s">
        <v>13</v>
      </c>
      <c r="E1772" s="1">
        <v>226</v>
      </c>
      <c r="F1772" s="1" t="s">
        <v>13230</v>
      </c>
      <c r="G1772" s="1" t="s">
        <v>8770</v>
      </c>
    </row>
    <row r="1773" spans="1:7" ht="21" x14ac:dyDescent="0.25">
      <c r="A1773" s="2" t="str">
        <f>HYPERLINK("https://rth.dk/resources/bsgatlas/details.php?id=BSGatlas-5'UTR-1772","BSGatlas-5'UTR-1772")</f>
        <v>BSGatlas-5'UTR-1772</v>
      </c>
      <c r="B1773" s="3">
        <v>2685815</v>
      </c>
      <c r="C1773" s="3">
        <v>2685841</v>
      </c>
      <c r="D1773" s="1" t="s">
        <v>13</v>
      </c>
      <c r="E1773" s="1">
        <v>27</v>
      </c>
      <c r="F1773" s="1" t="s">
        <v>13231</v>
      </c>
      <c r="G1773" s="1" t="s">
        <v>8772</v>
      </c>
    </row>
    <row r="1774" spans="1:7" ht="21" x14ac:dyDescent="0.25">
      <c r="A1774" s="2" t="str">
        <f>HYPERLINK("https://rth.dk/resources/bsgatlas/details.php?id=BSGatlas-5'UTR-1773","BSGatlas-5'UTR-1773")</f>
        <v>BSGatlas-5'UTR-1773</v>
      </c>
      <c r="B1774" s="3">
        <v>2690845</v>
      </c>
      <c r="C1774" s="3">
        <v>2690878</v>
      </c>
      <c r="D1774" s="1" t="s">
        <v>13</v>
      </c>
      <c r="E1774" s="1">
        <v>34</v>
      </c>
      <c r="F1774" s="1" t="s">
        <v>13232</v>
      </c>
      <c r="G1774" s="1" t="s">
        <v>8775</v>
      </c>
    </row>
    <row r="1775" spans="1:7" ht="21" x14ac:dyDescent="0.25">
      <c r="A1775" s="2" t="str">
        <f>HYPERLINK("https://rth.dk/resources/bsgatlas/details.php?id=BSGatlas-5'UTR-1774","BSGatlas-5'UTR-1774")</f>
        <v>BSGatlas-5'UTR-1774</v>
      </c>
      <c r="B1775" s="3">
        <v>2690845</v>
      </c>
      <c r="C1775" s="3">
        <v>2690989</v>
      </c>
      <c r="D1775" s="1" t="s">
        <v>13</v>
      </c>
      <c r="E1775" s="1">
        <v>145</v>
      </c>
      <c r="F1775" s="1" t="s">
        <v>13232</v>
      </c>
      <c r="G1775" s="1" t="s">
        <v>8777</v>
      </c>
    </row>
    <row r="1776" spans="1:7" ht="21" x14ac:dyDescent="0.25">
      <c r="A1776" s="2" t="str">
        <f>HYPERLINK("https://rth.dk/resources/bsgatlas/details.php?id=BSGatlas-5'UTR-1775","BSGatlas-5'UTR-1775")</f>
        <v>BSGatlas-5'UTR-1775</v>
      </c>
      <c r="B1776" s="3">
        <v>2691590</v>
      </c>
      <c r="C1776" s="3">
        <v>2691642</v>
      </c>
      <c r="D1776" s="1" t="s">
        <v>9</v>
      </c>
      <c r="E1776" s="1">
        <v>53</v>
      </c>
      <c r="F1776" s="1" t="s">
        <v>13233</v>
      </c>
      <c r="G1776" s="1" t="s">
        <v>8779</v>
      </c>
    </row>
    <row r="1777" spans="1:7" ht="21" x14ac:dyDescent="0.25">
      <c r="A1777" s="2" t="str">
        <f>HYPERLINK("https://rth.dk/resources/bsgatlas/details.php?id=BSGatlas-5'UTR-1776","BSGatlas-5'UTR-1776")</f>
        <v>BSGatlas-5'UTR-1776</v>
      </c>
      <c r="B1777" s="3">
        <v>2693606</v>
      </c>
      <c r="C1777" s="3">
        <v>2693656</v>
      </c>
      <c r="D1777" s="1" t="s">
        <v>13</v>
      </c>
      <c r="E1777" s="1">
        <v>51</v>
      </c>
      <c r="F1777" s="1" t="s">
        <v>13234</v>
      </c>
      <c r="G1777" s="1" t="s">
        <v>8783</v>
      </c>
    </row>
    <row r="1778" spans="1:7" ht="21" x14ac:dyDescent="0.25">
      <c r="A1778" s="2" t="str">
        <f>HYPERLINK("https://rth.dk/resources/bsgatlas/details.php?id=BSGatlas-5'UTR-1777","BSGatlas-5'UTR-1777")</f>
        <v>BSGatlas-5'UTR-1777</v>
      </c>
      <c r="B1778" s="3">
        <v>2698855</v>
      </c>
      <c r="C1778" s="3">
        <v>2698893</v>
      </c>
      <c r="D1778" s="1" t="s">
        <v>9</v>
      </c>
      <c r="E1778" s="1">
        <v>39</v>
      </c>
      <c r="F1778" s="1" t="s">
        <v>13235</v>
      </c>
      <c r="G1778" s="1" t="s">
        <v>8785</v>
      </c>
    </row>
    <row r="1779" spans="1:7" ht="21" x14ac:dyDescent="0.25">
      <c r="A1779" s="2" t="str">
        <f>HYPERLINK("https://rth.dk/resources/bsgatlas/details.php?id=BSGatlas-5'UTR-1778","BSGatlas-5'UTR-1778")</f>
        <v>BSGatlas-5'UTR-1778</v>
      </c>
      <c r="B1779" s="3">
        <v>2700569</v>
      </c>
      <c r="C1779" s="3">
        <v>2700625</v>
      </c>
      <c r="D1779" s="1" t="s">
        <v>13</v>
      </c>
      <c r="E1779" s="1">
        <v>57</v>
      </c>
      <c r="F1779" s="1" t="s">
        <v>13236</v>
      </c>
      <c r="G1779" s="1" t="s">
        <v>8787</v>
      </c>
    </row>
    <row r="1780" spans="1:7" ht="21" x14ac:dyDescent="0.25">
      <c r="A1780" s="2" t="str">
        <f>HYPERLINK("https://rth.dk/resources/bsgatlas/details.php?id=BSGatlas-5'UTR-1779","BSGatlas-5'UTR-1779")</f>
        <v>BSGatlas-5'UTR-1779</v>
      </c>
      <c r="B1780" s="3">
        <v>2700569</v>
      </c>
      <c r="C1780" s="3">
        <v>2701351</v>
      </c>
      <c r="D1780" s="1" t="s">
        <v>13</v>
      </c>
      <c r="E1780" s="1">
        <v>783</v>
      </c>
      <c r="F1780" s="1" t="s">
        <v>13236</v>
      </c>
      <c r="G1780" s="1" t="s">
        <v>8788</v>
      </c>
    </row>
    <row r="1781" spans="1:7" ht="21" x14ac:dyDescent="0.25">
      <c r="A1781" s="2" t="str">
        <f>HYPERLINK("https://rth.dk/resources/bsgatlas/details.php?id=BSGatlas-5'UTR-1780","BSGatlas-5'UTR-1780")</f>
        <v>BSGatlas-5'UTR-1780</v>
      </c>
      <c r="B1781" s="3">
        <v>2700681</v>
      </c>
      <c r="C1781" s="3">
        <v>2700838</v>
      </c>
      <c r="D1781" s="1" t="s">
        <v>9</v>
      </c>
      <c r="E1781" s="1">
        <v>158</v>
      </c>
      <c r="F1781" s="1" t="s">
        <v>13237</v>
      </c>
      <c r="G1781" s="1" t="s">
        <v>8790</v>
      </c>
    </row>
    <row r="1782" spans="1:7" ht="21" x14ac:dyDescent="0.25">
      <c r="A1782" s="2" t="str">
        <f>HYPERLINK("https://rth.dk/resources/bsgatlas/details.php?id=BSGatlas-5'UTR-1781","BSGatlas-5'UTR-1781")</f>
        <v>BSGatlas-5'UTR-1781</v>
      </c>
      <c r="B1782" s="3">
        <v>2705130</v>
      </c>
      <c r="C1782" s="3">
        <v>2705205</v>
      </c>
      <c r="D1782" s="1" t="s">
        <v>13</v>
      </c>
      <c r="E1782" s="1">
        <v>76</v>
      </c>
      <c r="F1782" s="1" t="s">
        <v>13238</v>
      </c>
      <c r="G1782" s="1" t="s">
        <v>8797</v>
      </c>
    </row>
    <row r="1783" spans="1:7" ht="21" x14ac:dyDescent="0.25">
      <c r="A1783" s="2" t="str">
        <f>HYPERLINK("https://rth.dk/resources/bsgatlas/details.php?id=BSGatlas-5'UTR-1782","BSGatlas-5'UTR-1782")</f>
        <v>BSGatlas-5'UTR-1782</v>
      </c>
      <c r="B1783" s="3">
        <v>2705319</v>
      </c>
      <c r="C1783" s="3">
        <v>2705398</v>
      </c>
      <c r="D1783" s="1" t="s">
        <v>9</v>
      </c>
      <c r="E1783" s="1">
        <v>80</v>
      </c>
      <c r="F1783" s="1" t="s">
        <v>13239</v>
      </c>
      <c r="G1783" s="1" t="s">
        <v>8800</v>
      </c>
    </row>
    <row r="1784" spans="1:7" ht="21" x14ac:dyDescent="0.25">
      <c r="A1784" s="2" t="str">
        <f>HYPERLINK("https://rth.dk/resources/bsgatlas/details.php?id=BSGatlas-5'UTR-1783","BSGatlas-5'UTR-1783")</f>
        <v>BSGatlas-5'UTR-1783</v>
      </c>
      <c r="B1784" s="3">
        <v>2708699</v>
      </c>
      <c r="C1784" s="3">
        <v>2708787</v>
      </c>
      <c r="D1784" s="1" t="s">
        <v>13</v>
      </c>
      <c r="E1784" s="1">
        <v>89</v>
      </c>
      <c r="F1784" s="1" t="s">
        <v>13240</v>
      </c>
      <c r="G1784" s="1" t="s">
        <v>13241</v>
      </c>
    </row>
    <row r="1785" spans="1:7" ht="21" x14ac:dyDescent="0.25">
      <c r="A1785" s="2" t="str">
        <f>HYPERLINK("https://rth.dk/resources/bsgatlas/details.php?id=BSGatlas-5'UTR-1784","BSGatlas-5'UTR-1784")</f>
        <v>BSGatlas-5'UTR-1784</v>
      </c>
      <c r="B1785" s="3">
        <v>2709419</v>
      </c>
      <c r="C1785" s="3">
        <v>2709469</v>
      </c>
      <c r="D1785" s="1" t="s">
        <v>13</v>
      </c>
      <c r="E1785" s="1">
        <v>51</v>
      </c>
      <c r="F1785" s="1" t="s">
        <v>13242</v>
      </c>
      <c r="G1785" s="1" t="s">
        <v>8806</v>
      </c>
    </row>
    <row r="1786" spans="1:7" ht="21" x14ac:dyDescent="0.25">
      <c r="A1786" s="2" t="str">
        <f>HYPERLINK("https://rth.dk/resources/bsgatlas/details.php?id=BSGatlas-5'UTR-1785","BSGatlas-5'UTR-1785")</f>
        <v>BSGatlas-5'UTR-1785</v>
      </c>
      <c r="B1786" s="3">
        <v>2714548</v>
      </c>
      <c r="C1786" s="3">
        <v>2714632</v>
      </c>
      <c r="D1786" s="1" t="s">
        <v>13</v>
      </c>
      <c r="E1786" s="1">
        <v>85</v>
      </c>
      <c r="F1786" s="1" t="s">
        <v>13243</v>
      </c>
      <c r="G1786" s="1" t="s">
        <v>8809</v>
      </c>
    </row>
    <row r="1787" spans="1:7" ht="21" x14ac:dyDescent="0.25">
      <c r="A1787" s="2" t="str">
        <f>HYPERLINK("https://rth.dk/resources/bsgatlas/details.php?id=BSGatlas-5'UTR-1786","BSGatlas-5'UTR-1786")</f>
        <v>BSGatlas-5'UTR-1786</v>
      </c>
      <c r="B1787" s="3">
        <v>2715493</v>
      </c>
      <c r="C1787" s="3">
        <v>2715523</v>
      </c>
      <c r="D1787" s="1" t="s">
        <v>13</v>
      </c>
      <c r="E1787" s="1">
        <v>31</v>
      </c>
      <c r="F1787" s="1" t="s">
        <v>13244</v>
      </c>
      <c r="G1787" s="1" t="s">
        <v>8817</v>
      </c>
    </row>
    <row r="1788" spans="1:7" ht="21" x14ac:dyDescent="0.25">
      <c r="A1788" s="2" t="str">
        <f>HYPERLINK("https://rth.dk/resources/bsgatlas/details.php?id=BSGatlas-5'UTR-1787","BSGatlas-5'UTR-1787")</f>
        <v>BSGatlas-5'UTR-1787</v>
      </c>
      <c r="B1788" s="3">
        <v>2716856</v>
      </c>
      <c r="C1788" s="3">
        <v>2716883</v>
      </c>
      <c r="D1788" s="1" t="s">
        <v>13</v>
      </c>
      <c r="E1788" s="1">
        <v>28</v>
      </c>
      <c r="F1788" s="1" t="s">
        <v>13245</v>
      </c>
      <c r="G1788" s="1" t="s">
        <v>8819</v>
      </c>
    </row>
    <row r="1789" spans="1:7" ht="21" x14ac:dyDescent="0.25">
      <c r="A1789" s="2" t="str">
        <f>HYPERLINK("https://rth.dk/resources/bsgatlas/details.php?id=BSGatlas-5'UTR-1788","BSGatlas-5'UTR-1788")</f>
        <v>BSGatlas-5'UTR-1788</v>
      </c>
      <c r="B1789" s="3">
        <v>2716904</v>
      </c>
      <c r="C1789" s="3">
        <v>2716973</v>
      </c>
      <c r="D1789" s="1" t="s">
        <v>9</v>
      </c>
      <c r="E1789" s="1">
        <v>70</v>
      </c>
      <c r="F1789" s="1" t="s">
        <v>13246</v>
      </c>
      <c r="G1789" s="1" t="s">
        <v>8821</v>
      </c>
    </row>
    <row r="1790" spans="1:7" ht="21" x14ac:dyDescent="0.25">
      <c r="A1790" s="2" t="str">
        <f>HYPERLINK("https://rth.dk/resources/bsgatlas/details.php?id=BSGatlas-5'UTR-1789","BSGatlas-5'UTR-1789")</f>
        <v>BSGatlas-5'UTR-1789</v>
      </c>
      <c r="B1790" s="3">
        <v>2720263</v>
      </c>
      <c r="C1790" s="3">
        <v>2720343</v>
      </c>
      <c r="D1790" s="1" t="s">
        <v>13</v>
      </c>
      <c r="E1790" s="1">
        <v>81</v>
      </c>
      <c r="F1790" s="1" t="s">
        <v>13247</v>
      </c>
      <c r="G1790" s="1" t="s">
        <v>8822</v>
      </c>
    </row>
    <row r="1791" spans="1:7" ht="21" x14ac:dyDescent="0.25">
      <c r="A1791" s="2" t="str">
        <f>HYPERLINK("https://rth.dk/resources/bsgatlas/details.php?id=BSGatlas-5'UTR-1790","BSGatlas-5'UTR-1790")</f>
        <v>BSGatlas-5'UTR-1790</v>
      </c>
      <c r="B1791" s="3">
        <v>2721735</v>
      </c>
      <c r="C1791" s="3">
        <v>2721778</v>
      </c>
      <c r="D1791" s="1" t="s">
        <v>9</v>
      </c>
      <c r="E1791" s="1">
        <v>44</v>
      </c>
      <c r="F1791" s="1" t="s">
        <v>13248</v>
      </c>
      <c r="G1791" s="1" t="s">
        <v>8825</v>
      </c>
    </row>
    <row r="1792" spans="1:7" ht="21" x14ac:dyDescent="0.25">
      <c r="A1792" s="2" t="str">
        <f>HYPERLINK("https://rth.dk/resources/bsgatlas/details.php?id=BSGatlas-5'UTR-1791","BSGatlas-5'UTR-1791")</f>
        <v>BSGatlas-5'UTR-1791</v>
      </c>
      <c r="B1792" s="3">
        <v>2724827</v>
      </c>
      <c r="C1792" s="3">
        <v>2724869</v>
      </c>
      <c r="D1792" s="1" t="s">
        <v>13</v>
      </c>
      <c r="E1792" s="1">
        <v>43</v>
      </c>
      <c r="F1792" s="1" t="s">
        <v>13249</v>
      </c>
      <c r="G1792" s="1" t="s">
        <v>8828</v>
      </c>
    </row>
    <row r="1793" spans="1:7" ht="21" x14ac:dyDescent="0.25">
      <c r="A1793" s="2" t="str">
        <f>HYPERLINK("https://rth.dk/resources/bsgatlas/details.php?id=BSGatlas-5'UTR-1792","BSGatlas-5'UTR-1792")</f>
        <v>BSGatlas-5'UTR-1792</v>
      </c>
      <c r="B1793" s="3">
        <v>2724827</v>
      </c>
      <c r="C1793" s="3">
        <v>2724954</v>
      </c>
      <c r="D1793" s="1" t="s">
        <v>13</v>
      </c>
      <c r="E1793" s="1">
        <v>128</v>
      </c>
      <c r="F1793" s="1" t="s">
        <v>13249</v>
      </c>
      <c r="G1793" s="1" t="s">
        <v>8830</v>
      </c>
    </row>
    <row r="1794" spans="1:7" ht="21" x14ac:dyDescent="0.25">
      <c r="A1794" s="2" t="str">
        <f>HYPERLINK("https://rth.dk/resources/bsgatlas/details.php?id=BSGatlas-5'UTR-1793","BSGatlas-5'UTR-1793")</f>
        <v>BSGatlas-5'UTR-1793</v>
      </c>
      <c r="B1794" s="3">
        <v>2725791</v>
      </c>
      <c r="C1794" s="3">
        <v>2725837</v>
      </c>
      <c r="D1794" s="1" t="s">
        <v>9</v>
      </c>
      <c r="E1794" s="1">
        <v>47</v>
      </c>
      <c r="F1794" s="1" t="s">
        <v>13250</v>
      </c>
      <c r="G1794" s="1" t="s">
        <v>8832</v>
      </c>
    </row>
    <row r="1795" spans="1:7" ht="21" x14ac:dyDescent="0.25">
      <c r="A1795" s="2" t="str">
        <f>HYPERLINK("https://rth.dk/resources/bsgatlas/details.php?id=BSGatlas-5'UTR-1794","BSGatlas-5'UTR-1794")</f>
        <v>BSGatlas-5'UTR-1794</v>
      </c>
      <c r="B1795" s="3">
        <v>2730835</v>
      </c>
      <c r="C1795" s="3">
        <v>2730853</v>
      </c>
      <c r="D1795" s="1" t="s">
        <v>13</v>
      </c>
      <c r="E1795" s="1">
        <v>19</v>
      </c>
      <c r="F1795" s="1" t="s">
        <v>13251</v>
      </c>
      <c r="G1795" s="1" t="s">
        <v>8837</v>
      </c>
    </row>
    <row r="1796" spans="1:7" ht="21" x14ac:dyDescent="0.25">
      <c r="A1796" s="2" t="str">
        <f>HYPERLINK("https://rth.dk/resources/bsgatlas/details.php?id=BSGatlas-5'UTR-1795","BSGatlas-5'UTR-1795")</f>
        <v>BSGatlas-5'UTR-1795</v>
      </c>
      <c r="B1796" s="3">
        <v>2733543</v>
      </c>
      <c r="C1796" s="3">
        <v>2733581</v>
      </c>
      <c r="D1796" s="1" t="s">
        <v>13</v>
      </c>
      <c r="E1796" s="1">
        <v>39</v>
      </c>
      <c r="F1796" s="1" t="s">
        <v>13252</v>
      </c>
      <c r="G1796" s="1" t="s">
        <v>8840</v>
      </c>
    </row>
    <row r="1797" spans="1:7" ht="21" x14ac:dyDescent="0.25">
      <c r="A1797" s="2" t="str">
        <f>HYPERLINK("https://rth.dk/resources/bsgatlas/details.php?id=BSGatlas-5'UTR-1796","BSGatlas-5'UTR-1796")</f>
        <v>BSGatlas-5'UTR-1796</v>
      </c>
      <c r="B1797" s="3">
        <v>2736536</v>
      </c>
      <c r="C1797" s="3">
        <v>2736637</v>
      </c>
      <c r="D1797" s="1" t="s">
        <v>13</v>
      </c>
      <c r="E1797" s="1">
        <v>102</v>
      </c>
      <c r="F1797" s="1" t="s">
        <v>13253</v>
      </c>
      <c r="G1797" s="1" t="s">
        <v>8844</v>
      </c>
    </row>
    <row r="1798" spans="1:7" ht="21" x14ac:dyDescent="0.25">
      <c r="A1798" s="2" t="str">
        <f>HYPERLINK("https://rth.dk/resources/bsgatlas/details.php?id=BSGatlas-5'UTR-1797","BSGatlas-5'UTR-1797")</f>
        <v>BSGatlas-5'UTR-1797</v>
      </c>
      <c r="B1798" s="3">
        <v>2736844</v>
      </c>
      <c r="C1798" s="3">
        <v>2736915</v>
      </c>
      <c r="D1798" s="1" t="s">
        <v>9</v>
      </c>
      <c r="E1798" s="1">
        <v>72</v>
      </c>
      <c r="F1798" s="1" t="s">
        <v>13254</v>
      </c>
      <c r="G1798" s="1" t="s">
        <v>8846</v>
      </c>
    </row>
    <row r="1799" spans="1:7" ht="21" x14ac:dyDescent="0.25">
      <c r="A1799" s="2" t="str">
        <f>HYPERLINK("https://rth.dk/resources/bsgatlas/details.php?id=BSGatlas-5'UTR-1798","BSGatlas-5'UTR-1798")</f>
        <v>BSGatlas-5'UTR-1798</v>
      </c>
      <c r="B1799" s="3">
        <v>2738257</v>
      </c>
      <c r="C1799" s="3">
        <v>2738308</v>
      </c>
      <c r="D1799" s="1" t="s">
        <v>9</v>
      </c>
      <c r="E1799" s="1">
        <v>52</v>
      </c>
      <c r="F1799" s="1" t="s">
        <v>13255</v>
      </c>
      <c r="G1799" s="1" t="s">
        <v>8848</v>
      </c>
    </row>
    <row r="1800" spans="1:7" ht="21" x14ac:dyDescent="0.25">
      <c r="A1800" s="2" t="str">
        <f>HYPERLINK("https://rth.dk/resources/bsgatlas/details.php?id=BSGatlas-5'UTR-1799","BSGatlas-5'UTR-1799")</f>
        <v>BSGatlas-5'UTR-1799</v>
      </c>
      <c r="B1800" s="3">
        <v>2739439</v>
      </c>
      <c r="C1800" s="3">
        <v>2739486</v>
      </c>
      <c r="D1800" s="1" t="s">
        <v>9</v>
      </c>
      <c r="E1800" s="1">
        <v>48</v>
      </c>
      <c r="F1800" s="1" t="s">
        <v>13256</v>
      </c>
      <c r="G1800" s="1" t="s">
        <v>8849</v>
      </c>
    </row>
    <row r="1801" spans="1:7" ht="21" x14ac:dyDescent="0.25">
      <c r="A1801" s="2" t="str">
        <f>HYPERLINK("https://rth.dk/resources/bsgatlas/details.php?id=BSGatlas-5'UTR-1800","BSGatlas-5'UTR-1800")</f>
        <v>BSGatlas-5'UTR-1800</v>
      </c>
      <c r="B1801" s="3">
        <v>2740413</v>
      </c>
      <c r="C1801" s="3">
        <v>2740517</v>
      </c>
      <c r="D1801" s="1" t="s">
        <v>9</v>
      </c>
      <c r="E1801" s="1">
        <v>105</v>
      </c>
      <c r="F1801" s="1" t="s">
        <v>13257</v>
      </c>
      <c r="G1801" s="1" t="s">
        <v>8851</v>
      </c>
    </row>
    <row r="1802" spans="1:7" ht="21" x14ac:dyDescent="0.25">
      <c r="A1802" s="2" t="str">
        <f>HYPERLINK("https://rth.dk/resources/bsgatlas/details.php?id=BSGatlas-5'UTR-1801","BSGatlas-5'UTR-1801")</f>
        <v>BSGatlas-5'UTR-1801</v>
      </c>
      <c r="B1802" s="3">
        <v>2742112</v>
      </c>
      <c r="C1802" s="3">
        <v>2742159</v>
      </c>
      <c r="D1802" s="1" t="s">
        <v>13</v>
      </c>
      <c r="E1802" s="1">
        <v>48</v>
      </c>
      <c r="F1802" s="1" t="s">
        <v>13258</v>
      </c>
      <c r="G1802" s="1" t="s">
        <v>8856</v>
      </c>
    </row>
    <row r="1803" spans="1:7" ht="21" x14ac:dyDescent="0.25">
      <c r="A1803" s="2" t="str">
        <f>HYPERLINK("https://rth.dk/resources/bsgatlas/details.php?id=BSGatlas-5'UTR-1802","BSGatlas-5'UTR-1802")</f>
        <v>BSGatlas-5'UTR-1802</v>
      </c>
      <c r="B1803" s="3">
        <v>2742774</v>
      </c>
      <c r="C1803" s="3">
        <v>2742843</v>
      </c>
      <c r="D1803" s="1" t="s">
        <v>13</v>
      </c>
      <c r="E1803" s="1">
        <v>70</v>
      </c>
      <c r="F1803" s="1" t="s">
        <v>13259</v>
      </c>
      <c r="G1803" s="1" t="s">
        <v>8857</v>
      </c>
    </row>
    <row r="1804" spans="1:7" ht="21" x14ac:dyDescent="0.25">
      <c r="A1804" s="2" t="str">
        <f>HYPERLINK("https://rth.dk/resources/bsgatlas/details.php?id=BSGatlas-5'UTR-1803","BSGatlas-5'UTR-1803")</f>
        <v>BSGatlas-5'UTR-1803</v>
      </c>
      <c r="B1804" s="3">
        <v>2746463</v>
      </c>
      <c r="C1804" s="3">
        <v>2746503</v>
      </c>
      <c r="D1804" s="1" t="s">
        <v>13</v>
      </c>
      <c r="E1804" s="1">
        <v>41</v>
      </c>
      <c r="F1804" s="1" t="s">
        <v>13260</v>
      </c>
      <c r="G1804" s="1" t="s">
        <v>8859</v>
      </c>
    </row>
    <row r="1805" spans="1:7" ht="21" x14ac:dyDescent="0.25">
      <c r="A1805" s="2" t="str">
        <f>HYPERLINK("https://rth.dk/resources/bsgatlas/details.php?id=BSGatlas-5'UTR-1804","BSGatlas-5'UTR-1804")</f>
        <v>BSGatlas-5'UTR-1804</v>
      </c>
      <c r="B1805" s="3">
        <v>2746463</v>
      </c>
      <c r="C1805" s="3">
        <v>2746578</v>
      </c>
      <c r="D1805" s="1" t="s">
        <v>13</v>
      </c>
      <c r="E1805" s="1">
        <v>116</v>
      </c>
      <c r="F1805" s="1" t="s">
        <v>13260</v>
      </c>
      <c r="G1805" s="1" t="s">
        <v>8860</v>
      </c>
    </row>
    <row r="1806" spans="1:7" ht="21" x14ac:dyDescent="0.25">
      <c r="A1806" s="2" t="str">
        <f>HYPERLINK("https://rth.dk/resources/bsgatlas/details.php?id=BSGatlas-5'UTR-1805","BSGatlas-5'UTR-1805")</f>
        <v>BSGatlas-5'UTR-1805</v>
      </c>
      <c r="B1806" s="3">
        <v>2748817</v>
      </c>
      <c r="C1806" s="3">
        <v>2748856</v>
      </c>
      <c r="D1806" s="1" t="s">
        <v>13</v>
      </c>
      <c r="E1806" s="1">
        <v>40</v>
      </c>
      <c r="F1806" s="1" t="s">
        <v>13261</v>
      </c>
      <c r="G1806" s="1" t="s">
        <v>8862</v>
      </c>
    </row>
    <row r="1807" spans="1:7" ht="21" x14ac:dyDescent="0.25">
      <c r="A1807" s="2" t="str">
        <f>HYPERLINK("https://rth.dk/resources/bsgatlas/details.php?id=BSGatlas-5'UTR-1806","BSGatlas-5'UTR-1806")</f>
        <v>BSGatlas-5'UTR-1806</v>
      </c>
      <c r="B1807" s="3">
        <v>2749037</v>
      </c>
      <c r="C1807" s="3">
        <v>2749260</v>
      </c>
      <c r="D1807" s="1" t="s">
        <v>9</v>
      </c>
      <c r="E1807" s="1">
        <v>224</v>
      </c>
      <c r="F1807" s="1" t="s">
        <v>13262</v>
      </c>
      <c r="G1807" s="1" t="s">
        <v>8864</v>
      </c>
    </row>
    <row r="1808" spans="1:7" ht="21" x14ac:dyDescent="0.25">
      <c r="A1808" s="2" t="str">
        <f>HYPERLINK("https://rth.dk/resources/bsgatlas/details.php?id=BSGatlas-5'UTR-1807","BSGatlas-5'UTR-1807")</f>
        <v>BSGatlas-5'UTR-1807</v>
      </c>
      <c r="B1808" s="3">
        <v>2751651</v>
      </c>
      <c r="C1808" s="3">
        <v>2751754</v>
      </c>
      <c r="D1808" s="1" t="s">
        <v>13</v>
      </c>
      <c r="E1808" s="1">
        <v>104</v>
      </c>
      <c r="F1808" s="1" t="s">
        <v>13263</v>
      </c>
      <c r="G1808" s="1" t="s">
        <v>8867</v>
      </c>
    </row>
    <row r="1809" spans="1:7" ht="21" x14ac:dyDescent="0.25">
      <c r="A1809" s="2" t="str">
        <f>HYPERLINK("https://rth.dk/resources/bsgatlas/details.php?id=BSGatlas-5'UTR-1808","BSGatlas-5'UTR-1808")</f>
        <v>BSGatlas-5'UTR-1808</v>
      </c>
      <c r="B1809" s="3">
        <v>2752553</v>
      </c>
      <c r="C1809" s="3">
        <v>2752611</v>
      </c>
      <c r="D1809" s="1" t="s">
        <v>13</v>
      </c>
      <c r="E1809" s="1">
        <v>59</v>
      </c>
      <c r="F1809" s="1" t="s">
        <v>13264</v>
      </c>
      <c r="G1809" s="1" t="s">
        <v>8869</v>
      </c>
    </row>
    <row r="1810" spans="1:7" ht="21" x14ac:dyDescent="0.25">
      <c r="A1810" s="2" t="str">
        <f>HYPERLINK("https://rth.dk/resources/bsgatlas/details.php?id=BSGatlas-5'UTR-1809","BSGatlas-5'UTR-1809")</f>
        <v>BSGatlas-5'UTR-1809</v>
      </c>
      <c r="B1810" s="3">
        <v>2752780</v>
      </c>
      <c r="C1810" s="3">
        <v>2752802</v>
      </c>
      <c r="D1810" s="1" t="s">
        <v>9</v>
      </c>
      <c r="E1810" s="1">
        <v>23</v>
      </c>
      <c r="F1810" s="1" t="s">
        <v>13265</v>
      </c>
      <c r="G1810" s="1" t="s">
        <v>8872</v>
      </c>
    </row>
    <row r="1811" spans="1:7" ht="21" x14ac:dyDescent="0.25">
      <c r="A1811" s="2" t="str">
        <f>HYPERLINK("https://rth.dk/resources/bsgatlas/details.php?id=BSGatlas-5'UTR-1810","BSGatlas-5'UTR-1810")</f>
        <v>BSGatlas-5'UTR-1810</v>
      </c>
      <c r="B1811" s="3">
        <v>2755804</v>
      </c>
      <c r="C1811" s="3">
        <v>2755846</v>
      </c>
      <c r="D1811" s="1" t="s">
        <v>13</v>
      </c>
      <c r="E1811" s="1">
        <v>43</v>
      </c>
      <c r="F1811" s="1" t="s">
        <v>13266</v>
      </c>
      <c r="G1811" s="1" t="s">
        <v>8875</v>
      </c>
    </row>
    <row r="1812" spans="1:7" ht="21" x14ac:dyDescent="0.25">
      <c r="A1812" s="2" t="str">
        <f>HYPERLINK("https://rth.dk/resources/bsgatlas/details.php?id=BSGatlas-5'UTR-1811","BSGatlas-5'UTR-1811")</f>
        <v>BSGatlas-5'UTR-1811</v>
      </c>
      <c r="B1812" s="3">
        <v>2755804</v>
      </c>
      <c r="C1812" s="3">
        <v>2755963</v>
      </c>
      <c r="D1812" s="1" t="s">
        <v>13</v>
      </c>
      <c r="E1812" s="1">
        <v>160</v>
      </c>
      <c r="F1812" s="1" t="s">
        <v>13266</v>
      </c>
      <c r="G1812" s="1" t="s">
        <v>8876</v>
      </c>
    </row>
    <row r="1813" spans="1:7" ht="21" x14ac:dyDescent="0.25">
      <c r="A1813" s="2" t="str">
        <f>HYPERLINK("https://rth.dk/resources/bsgatlas/details.php?id=BSGatlas-5'UTR-1812","BSGatlas-5'UTR-1812")</f>
        <v>BSGatlas-5'UTR-1812</v>
      </c>
      <c r="B1813" s="3">
        <v>2755836</v>
      </c>
      <c r="C1813" s="3">
        <v>2755987</v>
      </c>
      <c r="D1813" s="1" t="s">
        <v>9</v>
      </c>
      <c r="E1813" s="1">
        <v>152</v>
      </c>
      <c r="F1813" s="1" t="s">
        <v>13267</v>
      </c>
      <c r="G1813" s="1" t="s">
        <v>8878</v>
      </c>
    </row>
    <row r="1814" spans="1:7" ht="21" x14ac:dyDescent="0.25">
      <c r="A1814" s="2" t="str">
        <f>HYPERLINK("https://rth.dk/resources/bsgatlas/details.php?id=BSGatlas-5'UTR-1813","BSGatlas-5'UTR-1813")</f>
        <v>BSGatlas-5'UTR-1813</v>
      </c>
      <c r="B1814" s="3">
        <v>2756226</v>
      </c>
      <c r="C1814" s="3">
        <v>2756312</v>
      </c>
      <c r="D1814" s="1" t="s">
        <v>9</v>
      </c>
      <c r="E1814" s="1">
        <v>87</v>
      </c>
      <c r="F1814" s="1" t="s">
        <v>13268</v>
      </c>
      <c r="G1814" s="1" t="s">
        <v>8883</v>
      </c>
    </row>
    <row r="1815" spans="1:7" ht="21" x14ac:dyDescent="0.25">
      <c r="A1815" s="2" t="str">
        <f>HYPERLINK("https://rth.dk/resources/bsgatlas/details.php?id=BSGatlas-5'UTR-1814","BSGatlas-5'UTR-1814")</f>
        <v>BSGatlas-5'UTR-1814</v>
      </c>
      <c r="B1815" s="3">
        <v>2757464</v>
      </c>
      <c r="C1815" s="3">
        <v>2757492</v>
      </c>
      <c r="D1815" s="1" t="s">
        <v>9</v>
      </c>
      <c r="E1815" s="1">
        <v>29</v>
      </c>
      <c r="F1815" s="1" t="s">
        <v>13269</v>
      </c>
      <c r="G1815" s="1" t="s">
        <v>8884</v>
      </c>
    </row>
    <row r="1816" spans="1:7" ht="21" x14ac:dyDescent="0.25">
      <c r="A1816" s="2" t="str">
        <f>HYPERLINK("https://rth.dk/resources/bsgatlas/details.php?id=BSGatlas-5'UTR-1815","BSGatlas-5'UTR-1815")</f>
        <v>BSGatlas-5'UTR-1815</v>
      </c>
      <c r="B1816" s="3">
        <v>2762835</v>
      </c>
      <c r="C1816" s="3">
        <v>2762862</v>
      </c>
      <c r="D1816" s="1" t="s">
        <v>13</v>
      </c>
      <c r="E1816" s="1">
        <v>28</v>
      </c>
      <c r="F1816" s="1" t="s">
        <v>13270</v>
      </c>
      <c r="G1816" s="1" t="s">
        <v>8886</v>
      </c>
    </row>
    <row r="1817" spans="1:7" ht="21" x14ac:dyDescent="0.25">
      <c r="A1817" s="2" t="str">
        <f>HYPERLINK("https://rth.dk/resources/bsgatlas/details.php?id=BSGatlas-5'UTR-1816","BSGatlas-5'UTR-1816")</f>
        <v>BSGatlas-5'UTR-1816</v>
      </c>
      <c r="B1817" s="3">
        <v>2765832</v>
      </c>
      <c r="C1817" s="3">
        <v>2766054</v>
      </c>
      <c r="D1817" s="1" t="s">
        <v>13</v>
      </c>
      <c r="E1817" s="1">
        <v>223</v>
      </c>
      <c r="F1817" s="1" t="s">
        <v>13271</v>
      </c>
      <c r="G1817" s="1" t="s">
        <v>8889</v>
      </c>
    </row>
    <row r="1818" spans="1:7" ht="21" x14ac:dyDescent="0.25">
      <c r="A1818" s="2" t="str">
        <f>HYPERLINK("https://rth.dk/resources/bsgatlas/details.php?id=BSGatlas-5'UTR-1817","BSGatlas-5'UTR-1817")</f>
        <v>BSGatlas-5'UTR-1817</v>
      </c>
      <c r="B1818" s="3">
        <v>2766510</v>
      </c>
      <c r="C1818" s="3">
        <v>2766558</v>
      </c>
      <c r="D1818" s="1" t="s">
        <v>9</v>
      </c>
      <c r="E1818" s="1">
        <v>49</v>
      </c>
      <c r="F1818" s="1" t="s">
        <v>13272</v>
      </c>
      <c r="G1818" s="1" t="s">
        <v>8890</v>
      </c>
    </row>
    <row r="1819" spans="1:7" ht="21" x14ac:dyDescent="0.25">
      <c r="A1819" s="2" t="str">
        <f>HYPERLINK("https://rth.dk/resources/bsgatlas/details.php?id=BSGatlas-5'UTR-1818","BSGatlas-5'UTR-1818")</f>
        <v>BSGatlas-5'UTR-1818</v>
      </c>
      <c r="B1819" s="3">
        <v>2768674</v>
      </c>
      <c r="C1819" s="3">
        <v>2768739</v>
      </c>
      <c r="D1819" s="1" t="s">
        <v>13</v>
      </c>
      <c r="E1819" s="1">
        <v>66</v>
      </c>
      <c r="F1819" s="1" t="s">
        <v>13273</v>
      </c>
      <c r="G1819" s="1" t="s">
        <v>8892</v>
      </c>
    </row>
    <row r="1820" spans="1:7" ht="21" x14ac:dyDescent="0.25">
      <c r="A1820" s="2" t="str">
        <f>HYPERLINK("https://rth.dk/resources/bsgatlas/details.php?id=BSGatlas-5'UTR-1819","BSGatlas-5'UTR-1819")</f>
        <v>BSGatlas-5'UTR-1819</v>
      </c>
      <c r="B1820" s="3">
        <v>2768778</v>
      </c>
      <c r="C1820" s="3">
        <v>2768827</v>
      </c>
      <c r="D1820" s="1" t="s">
        <v>9</v>
      </c>
      <c r="E1820" s="1">
        <v>50</v>
      </c>
      <c r="F1820" s="1" t="s">
        <v>13274</v>
      </c>
      <c r="G1820" s="1" t="s">
        <v>8895</v>
      </c>
    </row>
    <row r="1821" spans="1:7" ht="21" x14ac:dyDescent="0.25">
      <c r="A1821" s="2" t="str">
        <f>HYPERLINK("https://rth.dk/resources/bsgatlas/details.php?id=BSGatlas-5'UTR-1820","BSGatlas-5'UTR-1820")</f>
        <v>BSGatlas-5'UTR-1820</v>
      </c>
      <c r="B1821" s="3">
        <v>2769794</v>
      </c>
      <c r="C1821" s="3">
        <v>2769850</v>
      </c>
      <c r="D1821" s="1" t="s">
        <v>9</v>
      </c>
      <c r="E1821" s="1">
        <v>57</v>
      </c>
      <c r="F1821" s="1" t="s">
        <v>13275</v>
      </c>
      <c r="G1821" s="1" t="s">
        <v>8898</v>
      </c>
    </row>
    <row r="1822" spans="1:7" ht="21" x14ac:dyDescent="0.25">
      <c r="A1822" s="2" t="str">
        <f>HYPERLINK("https://rth.dk/resources/bsgatlas/details.php?id=BSGatlas-5'UTR-1821","BSGatlas-5'UTR-1821")</f>
        <v>BSGatlas-5'UTR-1821</v>
      </c>
      <c r="B1822" s="3">
        <v>2773331</v>
      </c>
      <c r="C1822" s="3">
        <v>2773356</v>
      </c>
      <c r="D1822" s="1" t="s">
        <v>9</v>
      </c>
      <c r="E1822" s="1">
        <v>26</v>
      </c>
      <c r="F1822" s="1" t="s">
        <v>13276</v>
      </c>
      <c r="G1822" s="1" t="s">
        <v>13277</v>
      </c>
    </row>
    <row r="1823" spans="1:7" ht="21" x14ac:dyDescent="0.25">
      <c r="A1823" s="2" t="str">
        <f>HYPERLINK("https://rth.dk/resources/bsgatlas/details.php?id=BSGatlas-5'UTR-1822","BSGatlas-5'UTR-1822")</f>
        <v>BSGatlas-5'UTR-1822</v>
      </c>
      <c r="B1823" s="3">
        <v>2773764</v>
      </c>
      <c r="C1823" s="3">
        <v>2773780</v>
      </c>
      <c r="D1823" s="1" t="s">
        <v>9</v>
      </c>
      <c r="E1823" s="1">
        <v>17</v>
      </c>
      <c r="F1823" s="1" t="s">
        <v>13278</v>
      </c>
      <c r="G1823" s="1" t="s">
        <v>8901</v>
      </c>
    </row>
    <row r="1824" spans="1:7" ht="21" x14ac:dyDescent="0.25">
      <c r="A1824" s="2" t="str">
        <f>HYPERLINK("https://rth.dk/resources/bsgatlas/details.php?id=BSGatlas-5'UTR-1823","BSGatlas-5'UTR-1823")</f>
        <v>BSGatlas-5'UTR-1823</v>
      </c>
      <c r="B1824" s="3">
        <v>2778419</v>
      </c>
      <c r="C1824" s="3">
        <v>2778506</v>
      </c>
      <c r="D1824" s="1" t="s">
        <v>13</v>
      </c>
      <c r="E1824" s="1">
        <v>88</v>
      </c>
      <c r="F1824" s="1" t="s">
        <v>13279</v>
      </c>
      <c r="G1824" s="1" t="s">
        <v>8906</v>
      </c>
    </row>
    <row r="1825" spans="1:7" ht="21" x14ac:dyDescent="0.25">
      <c r="A1825" s="2" t="str">
        <f>HYPERLINK("https://rth.dk/resources/bsgatlas/details.php?id=BSGatlas-5'UTR-1824","BSGatlas-5'UTR-1824")</f>
        <v>BSGatlas-5'UTR-1824</v>
      </c>
      <c r="B1825" s="3">
        <v>2780893</v>
      </c>
      <c r="C1825" s="3">
        <v>2780996</v>
      </c>
      <c r="D1825" s="1" t="s">
        <v>13</v>
      </c>
      <c r="E1825" s="1">
        <v>104</v>
      </c>
      <c r="F1825" s="1" t="s">
        <v>13280</v>
      </c>
      <c r="G1825" s="1" t="s">
        <v>8914</v>
      </c>
    </row>
    <row r="1826" spans="1:7" ht="21" x14ac:dyDescent="0.25">
      <c r="A1826" s="2" t="str">
        <f>HYPERLINK("https://rth.dk/resources/bsgatlas/details.php?id=BSGatlas-5'UTR-1825","BSGatlas-5'UTR-1825")</f>
        <v>BSGatlas-5'UTR-1825</v>
      </c>
      <c r="B1826" s="3">
        <v>2781001</v>
      </c>
      <c r="C1826" s="3">
        <v>2781209</v>
      </c>
      <c r="D1826" s="1" t="s">
        <v>9</v>
      </c>
      <c r="E1826" s="1">
        <v>209</v>
      </c>
      <c r="F1826" s="1" t="s">
        <v>13281</v>
      </c>
      <c r="G1826" s="1" t="s">
        <v>8916</v>
      </c>
    </row>
    <row r="1827" spans="1:7" ht="21" x14ac:dyDescent="0.25">
      <c r="A1827" s="2" t="str">
        <f>HYPERLINK("https://rth.dk/resources/bsgatlas/details.php?id=BSGatlas-5'UTR-1826","BSGatlas-5'UTR-1826")</f>
        <v>BSGatlas-5'UTR-1826</v>
      </c>
      <c r="B1827" s="3">
        <v>2787825</v>
      </c>
      <c r="C1827" s="3">
        <v>2788073</v>
      </c>
      <c r="D1827" s="1" t="s">
        <v>13</v>
      </c>
      <c r="E1827" s="1">
        <v>249</v>
      </c>
      <c r="F1827" s="1" t="s">
        <v>13282</v>
      </c>
      <c r="G1827" s="1" t="s">
        <v>8921</v>
      </c>
    </row>
    <row r="1828" spans="1:7" ht="21" x14ac:dyDescent="0.25">
      <c r="A1828" s="2" t="str">
        <f>HYPERLINK("https://rth.dk/resources/bsgatlas/details.php?id=BSGatlas-5'UTR-1827","BSGatlas-5'UTR-1827")</f>
        <v>BSGatlas-5'UTR-1827</v>
      </c>
      <c r="B1828" s="3">
        <v>2788487</v>
      </c>
      <c r="C1828" s="3">
        <v>2788546</v>
      </c>
      <c r="D1828" s="1" t="s">
        <v>13</v>
      </c>
      <c r="E1828" s="1">
        <v>60</v>
      </c>
      <c r="F1828" s="1" t="s">
        <v>13283</v>
      </c>
      <c r="G1828" s="1" t="s">
        <v>8923</v>
      </c>
    </row>
    <row r="1829" spans="1:7" ht="21" x14ac:dyDescent="0.25">
      <c r="A1829" s="2" t="str">
        <f>HYPERLINK("https://rth.dk/resources/bsgatlas/details.php?id=BSGatlas-5'UTR-1828","BSGatlas-5'UTR-1828")</f>
        <v>BSGatlas-5'UTR-1828</v>
      </c>
      <c r="B1829" s="3">
        <v>2788570</v>
      </c>
      <c r="C1829" s="3">
        <v>2788680</v>
      </c>
      <c r="D1829" s="1" t="s">
        <v>9</v>
      </c>
      <c r="E1829" s="1">
        <v>111</v>
      </c>
      <c r="F1829" s="1" t="s">
        <v>13284</v>
      </c>
      <c r="G1829" s="1" t="s">
        <v>8926</v>
      </c>
    </row>
    <row r="1830" spans="1:7" ht="21" x14ac:dyDescent="0.25">
      <c r="A1830" s="2" t="str">
        <f>HYPERLINK("https://rth.dk/resources/bsgatlas/details.php?id=BSGatlas-5'UTR-1829","BSGatlas-5'UTR-1829")</f>
        <v>BSGatlas-5'UTR-1829</v>
      </c>
      <c r="B1830" s="3">
        <v>2788636</v>
      </c>
      <c r="C1830" s="3">
        <v>2788680</v>
      </c>
      <c r="D1830" s="1" t="s">
        <v>9</v>
      </c>
      <c r="E1830" s="1">
        <v>45</v>
      </c>
      <c r="F1830" s="1" t="s">
        <v>13284</v>
      </c>
      <c r="G1830" s="1" t="s">
        <v>8928</v>
      </c>
    </row>
    <row r="1831" spans="1:7" ht="21" x14ac:dyDescent="0.25">
      <c r="A1831" s="2" t="str">
        <f>HYPERLINK("https://rth.dk/resources/bsgatlas/details.php?id=BSGatlas-5'UTR-1830","BSGatlas-5'UTR-1830")</f>
        <v>BSGatlas-5'UTR-1830</v>
      </c>
      <c r="B1831" s="3">
        <v>2789621</v>
      </c>
      <c r="C1831" s="3">
        <v>2789724</v>
      </c>
      <c r="D1831" s="1" t="s">
        <v>13</v>
      </c>
      <c r="E1831" s="1">
        <v>104</v>
      </c>
      <c r="F1831" s="1" t="s">
        <v>13285</v>
      </c>
      <c r="G1831" s="1" t="s">
        <v>8929</v>
      </c>
    </row>
    <row r="1832" spans="1:7" ht="21" x14ac:dyDescent="0.25">
      <c r="A1832" s="2" t="str">
        <f>HYPERLINK("https://rth.dk/resources/bsgatlas/details.php?id=BSGatlas-5'UTR-1831","BSGatlas-5'UTR-1831")</f>
        <v>BSGatlas-5'UTR-1831</v>
      </c>
      <c r="B1832" s="3">
        <v>2791967</v>
      </c>
      <c r="C1832" s="3">
        <v>2792100</v>
      </c>
      <c r="D1832" s="1" t="s">
        <v>13</v>
      </c>
      <c r="E1832" s="1">
        <v>134</v>
      </c>
      <c r="F1832" s="1" t="s">
        <v>13286</v>
      </c>
      <c r="G1832" s="1" t="s">
        <v>8935</v>
      </c>
    </row>
    <row r="1833" spans="1:7" ht="21" x14ac:dyDescent="0.25">
      <c r="A1833" s="2" t="str">
        <f>HYPERLINK("https://rth.dk/resources/bsgatlas/details.php?id=BSGatlas-5'UTR-1832","BSGatlas-5'UTR-1832")</f>
        <v>BSGatlas-5'UTR-1832</v>
      </c>
      <c r="B1833" s="3">
        <v>2791967</v>
      </c>
      <c r="C1833" s="3">
        <v>2792210</v>
      </c>
      <c r="D1833" s="1" t="s">
        <v>13</v>
      </c>
      <c r="E1833" s="1">
        <v>244</v>
      </c>
      <c r="F1833" s="1" t="s">
        <v>13286</v>
      </c>
      <c r="G1833" s="1" t="s">
        <v>8937</v>
      </c>
    </row>
    <row r="1834" spans="1:7" ht="21" x14ac:dyDescent="0.25">
      <c r="A1834" s="2" t="str">
        <f>HYPERLINK("https://rth.dk/resources/bsgatlas/details.php?id=BSGatlas-5'UTR-1833","BSGatlas-5'UTR-1833")</f>
        <v>BSGatlas-5'UTR-1833</v>
      </c>
      <c r="B1834" s="3">
        <v>2795735</v>
      </c>
      <c r="C1834" s="3">
        <v>2795840</v>
      </c>
      <c r="D1834" s="1" t="s">
        <v>13</v>
      </c>
      <c r="E1834" s="1">
        <v>106</v>
      </c>
      <c r="F1834" s="1" t="s">
        <v>13287</v>
      </c>
      <c r="G1834" s="1" t="s">
        <v>8939</v>
      </c>
    </row>
    <row r="1835" spans="1:7" ht="21" x14ac:dyDescent="0.25">
      <c r="A1835" s="2" t="str">
        <f>HYPERLINK("https://rth.dk/resources/bsgatlas/details.php?id=BSGatlas-5'UTR-1834","BSGatlas-5'UTR-1834")</f>
        <v>BSGatlas-5'UTR-1834</v>
      </c>
      <c r="B1835" s="3">
        <v>2796969</v>
      </c>
      <c r="C1835" s="3">
        <v>2797005</v>
      </c>
      <c r="D1835" s="1" t="s">
        <v>13</v>
      </c>
      <c r="E1835" s="1">
        <v>37</v>
      </c>
      <c r="F1835" s="1" t="s">
        <v>13288</v>
      </c>
      <c r="G1835" s="1" t="s">
        <v>8940</v>
      </c>
    </row>
    <row r="1836" spans="1:7" ht="21" x14ac:dyDescent="0.25">
      <c r="A1836" s="2" t="str">
        <f>HYPERLINK("https://rth.dk/resources/bsgatlas/details.php?id=BSGatlas-5'UTR-1835","BSGatlas-5'UTR-1835")</f>
        <v>BSGatlas-5'UTR-1835</v>
      </c>
      <c r="B1836" s="3">
        <v>2798089</v>
      </c>
      <c r="C1836" s="3">
        <v>2798150</v>
      </c>
      <c r="D1836" s="1" t="s">
        <v>13</v>
      </c>
      <c r="E1836" s="1">
        <v>62</v>
      </c>
      <c r="F1836" s="1" t="s">
        <v>13289</v>
      </c>
      <c r="G1836" s="1" t="s">
        <v>8947</v>
      </c>
    </row>
    <row r="1837" spans="1:7" ht="21" x14ac:dyDescent="0.25">
      <c r="A1837" s="2" t="str">
        <f>HYPERLINK("https://rth.dk/resources/bsgatlas/details.php?id=BSGatlas-5'UTR-1836","BSGatlas-5'UTR-1836")</f>
        <v>BSGatlas-5'UTR-1836</v>
      </c>
      <c r="B1837" s="3">
        <v>2800810</v>
      </c>
      <c r="C1837" s="3">
        <v>2801120</v>
      </c>
      <c r="D1837" s="1" t="s">
        <v>13</v>
      </c>
      <c r="E1837" s="1">
        <v>311</v>
      </c>
      <c r="F1837" s="1" t="s">
        <v>13290</v>
      </c>
      <c r="G1837" s="1" t="s">
        <v>8950</v>
      </c>
    </row>
    <row r="1838" spans="1:7" ht="21" x14ac:dyDescent="0.25">
      <c r="A1838" s="2" t="str">
        <f>HYPERLINK("https://rth.dk/resources/bsgatlas/details.php?id=BSGatlas-5'UTR-1837","BSGatlas-5'UTR-1837")</f>
        <v>BSGatlas-5'UTR-1837</v>
      </c>
      <c r="B1838" s="3">
        <v>2802123</v>
      </c>
      <c r="C1838" s="3">
        <v>2802358</v>
      </c>
      <c r="D1838" s="1" t="s">
        <v>9</v>
      </c>
      <c r="E1838" s="1">
        <v>236</v>
      </c>
      <c r="F1838" s="1" t="s">
        <v>13291</v>
      </c>
      <c r="G1838" s="1" t="s">
        <v>8955</v>
      </c>
    </row>
    <row r="1839" spans="1:7" ht="21" x14ac:dyDescent="0.25">
      <c r="A1839" s="2" t="str">
        <f>HYPERLINK("https://rth.dk/resources/bsgatlas/details.php?id=BSGatlas-5'UTR-1838","BSGatlas-5'UTR-1838")</f>
        <v>BSGatlas-5'UTR-1838</v>
      </c>
      <c r="B1839" s="3">
        <v>2802202</v>
      </c>
      <c r="C1839" s="3">
        <v>2802220</v>
      </c>
      <c r="D1839" s="1" t="s">
        <v>13</v>
      </c>
      <c r="E1839" s="1">
        <v>19</v>
      </c>
      <c r="F1839" s="1" t="s">
        <v>13292</v>
      </c>
      <c r="G1839" s="1" t="s">
        <v>8953</v>
      </c>
    </row>
    <row r="1840" spans="1:7" ht="21" x14ac:dyDescent="0.25">
      <c r="A1840" s="2" t="str">
        <f>HYPERLINK("https://rth.dk/resources/bsgatlas/details.php?id=BSGatlas-5'UTR-1839","BSGatlas-5'UTR-1839")</f>
        <v>BSGatlas-5'UTR-1839</v>
      </c>
      <c r="B1840" s="3">
        <v>2805692</v>
      </c>
      <c r="C1840" s="3">
        <v>2805815</v>
      </c>
      <c r="D1840" s="1" t="s">
        <v>13</v>
      </c>
      <c r="E1840" s="1">
        <v>124</v>
      </c>
      <c r="F1840" s="1" t="s">
        <v>13293</v>
      </c>
      <c r="G1840" s="1" t="s">
        <v>8960</v>
      </c>
    </row>
    <row r="1841" spans="1:7" ht="21" x14ac:dyDescent="0.25">
      <c r="A1841" s="2" t="str">
        <f>HYPERLINK("https://rth.dk/resources/bsgatlas/details.php?id=BSGatlas-5'UTR-1840","BSGatlas-5'UTR-1840")</f>
        <v>BSGatlas-5'UTR-1840</v>
      </c>
      <c r="B1841" s="3">
        <v>2806546</v>
      </c>
      <c r="C1841" s="3">
        <v>2806566</v>
      </c>
      <c r="D1841" s="1" t="s">
        <v>9</v>
      </c>
      <c r="E1841" s="1">
        <v>21</v>
      </c>
      <c r="F1841" s="1" t="s">
        <v>13294</v>
      </c>
      <c r="G1841" s="1" t="s">
        <v>8970</v>
      </c>
    </row>
    <row r="1842" spans="1:7" ht="21" x14ac:dyDescent="0.25">
      <c r="A1842" s="2" t="str">
        <f>HYPERLINK("https://rth.dk/resources/bsgatlas/details.php?id=BSGatlas-5'UTR-1841","BSGatlas-5'UTR-1841")</f>
        <v>BSGatlas-5'UTR-1841</v>
      </c>
      <c r="B1842" s="3">
        <v>2812133</v>
      </c>
      <c r="C1842" s="3">
        <v>2812216</v>
      </c>
      <c r="D1842" s="1" t="s">
        <v>13</v>
      </c>
      <c r="E1842" s="1">
        <v>84</v>
      </c>
      <c r="F1842" s="1" t="s">
        <v>13295</v>
      </c>
      <c r="G1842" s="1" t="s">
        <v>8969</v>
      </c>
    </row>
    <row r="1843" spans="1:7" ht="21" x14ac:dyDescent="0.25">
      <c r="A1843" s="2" t="str">
        <f>HYPERLINK("https://rth.dk/resources/bsgatlas/details.php?id=BSGatlas-5'UTR-1842","BSGatlas-5'UTR-1842")</f>
        <v>BSGatlas-5'UTR-1842</v>
      </c>
      <c r="B1843" s="3">
        <v>2812308</v>
      </c>
      <c r="C1843" s="3">
        <v>2812336</v>
      </c>
      <c r="D1843" s="1" t="s">
        <v>9</v>
      </c>
      <c r="E1843" s="1">
        <v>29</v>
      </c>
      <c r="F1843" s="1" t="s">
        <v>13296</v>
      </c>
      <c r="G1843" s="1" t="s">
        <v>8974</v>
      </c>
    </row>
    <row r="1844" spans="1:7" ht="21" x14ac:dyDescent="0.25">
      <c r="A1844" s="2" t="str">
        <f>HYPERLINK("https://rth.dk/resources/bsgatlas/details.php?id=BSGatlas-5'UTR-1843","BSGatlas-5'UTR-1843")</f>
        <v>BSGatlas-5'UTR-1843</v>
      </c>
      <c r="B1844" s="3">
        <v>2817809</v>
      </c>
      <c r="C1844" s="3">
        <v>2818174</v>
      </c>
      <c r="D1844" s="1" t="s">
        <v>13</v>
      </c>
      <c r="E1844" s="1">
        <v>366</v>
      </c>
      <c r="F1844" s="1" t="s">
        <v>13297</v>
      </c>
      <c r="G1844" s="1" t="s">
        <v>8981</v>
      </c>
    </row>
    <row r="1845" spans="1:7" ht="21" x14ac:dyDescent="0.25">
      <c r="A1845" s="2" t="str">
        <f>HYPERLINK("https://rth.dk/resources/bsgatlas/details.php?id=BSGatlas-5'UTR-1844","BSGatlas-5'UTR-1844")</f>
        <v>BSGatlas-5'UTR-1844</v>
      </c>
      <c r="B1845" s="3">
        <v>2818161</v>
      </c>
      <c r="C1845" s="3">
        <v>2818494</v>
      </c>
      <c r="D1845" s="1" t="s">
        <v>9</v>
      </c>
      <c r="E1845" s="1">
        <v>334</v>
      </c>
      <c r="F1845" s="1" t="s">
        <v>13298</v>
      </c>
      <c r="G1845" s="1" t="s">
        <v>8983</v>
      </c>
    </row>
    <row r="1846" spans="1:7" ht="21" x14ac:dyDescent="0.25">
      <c r="A1846" s="2" t="str">
        <f>HYPERLINK("https://rth.dk/resources/bsgatlas/details.php?id=BSGatlas-5'UTR-1845","BSGatlas-5'UTR-1845")</f>
        <v>BSGatlas-5'UTR-1845</v>
      </c>
      <c r="B1846" s="3">
        <v>2818361</v>
      </c>
      <c r="C1846" s="3">
        <v>2818409</v>
      </c>
      <c r="D1846" s="1" t="s">
        <v>13</v>
      </c>
      <c r="E1846" s="1">
        <v>49</v>
      </c>
      <c r="F1846" s="1" t="s">
        <v>13299</v>
      </c>
      <c r="G1846" s="1" t="s">
        <v>8985</v>
      </c>
    </row>
    <row r="1847" spans="1:7" ht="21" x14ac:dyDescent="0.25">
      <c r="A1847" s="2" t="str">
        <f>HYPERLINK("https://rth.dk/resources/bsgatlas/details.php?id=BSGatlas-5'UTR-1846","BSGatlas-5'UTR-1846")</f>
        <v>BSGatlas-5'UTR-1846</v>
      </c>
      <c r="B1847" s="3">
        <v>2818447</v>
      </c>
      <c r="C1847" s="3">
        <v>2818494</v>
      </c>
      <c r="D1847" s="1" t="s">
        <v>9</v>
      </c>
      <c r="E1847" s="1">
        <v>48</v>
      </c>
      <c r="F1847" s="1" t="s">
        <v>13298</v>
      </c>
      <c r="G1847" s="1" t="s">
        <v>8986</v>
      </c>
    </row>
    <row r="1848" spans="1:7" ht="21" x14ac:dyDescent="0.25">
      <c r="A1848" s="2" t="str">
        <f>HYPERLINK("https://rth.dk/resources/bsgatlas/details.php?id=BSGatlas-5'UTR-1847","BSGatlas-5'UTR-1847")</f>
        <v>BSGatlas-5'UTR-1847</v>
      </c>
      <c r="B1848" s="3">
        <v>2822733</v>
      </c>
      <c r="C1848" s="3">
        <v>2822769</v>
      </c>
      <c r="D1848" s="1" t="s">
        <v>13</v>
      </c>
      <c r="E1848" s="1">
        <v>37</v>
      </c>
      <c r="F1848" s="1" t="s">
        <v>13300</v>
      </c>
      <c r="G1848" s="1" t="s">
        <v>8988</v>
      </c>
    </row>
    <row r="1849" spans="1:7" ht="21" x14ac:dyDescent="0.25">
      <c r="A1849" s="2" t="str">
        <f>HYPERLINK("https://rth.dk/resources/bsgatlas/details.php?id=BSGatlas-5'UTR-1848","BSGatlas-5'UTR-1848")</f>
        <v>BSGatlas-5'UTR-1848</v>
      </c>
      <c r="B1849" s="3">
        <v>2822733</v>
      </c>
      <c r="C1849" s="3">
        <v>2822806</v>
      </c>
      <c r="D1849" s="1" t="s">
        <v>13</v>
      </c>
      <c r="E1849" s="1">
        <v>74</v>
      </c>
      <c r="F1849" s="1" t="s">
        <v>13300</v>
      </c>
      <c r="G1849" s="1" t="s">
        <v>8990</v>
      </c>
    </row>
    <row r="1850" spans="1:7" ht="21" x14ac:dyDescent="0.25">
      <c r="A1850" s="2" t="str">
        <f>HYPERLINK("https://rth.dk/resources/bsgatlas/details.php?id=BSGatlas-5'UTR-1849","BSGatlas-5'UTR-1849")</f>
        <v>BSGatlas-5'UTR-1849</v>
      </c>
      <c r="B1850" s="3">
        <v>2823413</v>
      </c>
      <c r="C1850" s="3">
        <v>2823891</v>
      </c>
      <c r="D1850" s="1" t="s">
        <v>13</v>
      </c>
      <c r="E1850" s="1">
        <v>479</v>
      </c>
      <c r="F1850" s="1" t="s">
        <v>13301</v>
      </c>
      <c r="G1850" s="1" t="s">
        <v>8991</v>
      </c>
    </row>
    <row r="1851" spans="1:7" ht="21" x14ac:dyDescent="0.25">
      <c r="A1851" s="2" t="str">
        <f>HYPERLINK("https://rth.dk/resources/bsgatlas/details.php?id=BSGatlas-5'UTR-1850","BSGatlas-5'UTR-1850")</f>
        <v>BSGatlas-5'UTR-1850</v>
      </c>
      <c r="B1851" s="3">
        <v>2825779</v>
      </c>
      <c r="C1851" s="3">
        <v>2825804</v>
      </c>
      <c r="D1851" s="1" t="s">
        <v>13</v>
      </c>
      <c r="E1851" s="1">
        <v>26</v>
      </c>
      <c r="F1851" s="1" t="s">
        <v>13302</v>
      </c>
      <c r="G1851" s="1" t="s">
        <v>8994</v>
      </c>
    </row>
    <row r="1852" spans="1:7" ht="21" x14ac:dyDescent="0.25">
      <c r="A1852" s="2" t="str">
        <f>HYPERLINK("https://rth.dk/resources/bsgatlas/details.php?id=BSGatlas-5'UTR-1851","BSGatlas-5'UTR-1851")</f>
        <v>BSGatlas-5'UTR-1851</v>
      </c>
      <c r="B1852" s="3">
        <v>2826169</v>
      </c>
      <c r="C1852" s="3">
        <v>2826201</v>
      </c>
      <c r="D1852" s="1" t="s">
        <v>13</v>
      </c>
      <c r="E1852" s="1">
        <v>33</v>
      </c>
      <c r="F1852" s="1" t="s">
        <v>13303</v>
      </c>
      <c r="G1852" s="1" t="s">
        <v>8995</v>
      </c>
    </row>
    <row r="1853" spans="1:7" ht="21" x14ac:dyDescent="0.25">
      <c r="A1853" s="2" t="str">
        <f>HYPERLINK("https://rth.dk/resources/bsgatlas/details.php?id=BSGatlas-5'UTR-1852","BSGatlas-5'UTR-1852")</f>
        <v>BSGatlas-5'UTR-1852</v>
      </c>
      <c r="B1853" s="3">
        <v>2826742</v>
      </c>
      <c r="C1853" s="3">
        <v>2826818</v>
      </c>
      <c r="D1853" s="1" t="s">
        <v>13</v>
      </c>
      <c r="E1853" s="1">
        <v>77</v>
      </c>
      <c r="F1853" s="1" t="s">
        <v>13304</v>
      </c>
      <c r="G1853" s="1" t="s">
        <v>8997</v>
      </c>
    </row>
    <row r="1854" spans="1:7" ht="21" x14ac:dyDescent="0.25">
      <c r="A1854" s="2" t="str">
        <f>HYPERLINK("https://rth.dk/resources/bsgatlas/details.php?id=BSGatlas-5'UTR-1853","BSGatlas-5'UTR-1853")</f>
        <v>BSGatlas-5'UTR-1853</v>
      </c>
      <c r="B1854" s="3">
        <v>2828699</v>
      </c>
      <c r="C1854" s="3">
        <v>2829564</v>
      </c>
      <c r="D1854" s="1" t="s">
        <v>9</v>
      </c>
      <c r="E1854" s="1">
        <v>866</v>
      </c>
      <c r="F1854" s="1" t="s">
        <v>13305</v>
      </c>
      <c r="G1854" s="1" t="s">
        <v>9002</v>
      </c>
    </row>
    <row r="1855" spans="1:7" ht="21" x14ac:dyDescent="0.25">
      <c r="A1855" s="2" t="str">
        <f>HYPERLINK("https://rth.dk/resources/bsgatlas/details.php?id=BSGatlas-5'UTR-1854","BSGatlas-5'UTR-1854")</f>
        <v>BSGatlas-5'UTR-1854</v>
      </c>
      <c r="B1855" s="3">
        <v>2829448</v>
      </c>
      <c r="C1855" s="3">
        <v>2829527</v>
      </c>
      <c r="D1855" s="1" t="s">
        <v>13</v>
      </c>
      <c r="E1855" s="1">
        <v>80</v>
      </c>
      <c r="F1855" s="1" t="s">
        <v>13306</v>
      </c>
      <c r="G1855" s="1" t="s">
        <v>8999</v>
      </c>
    </row>
    <row r="1856" spans="1:7" ht="21" x14ac:dyDescent="0.25">
      <c r="A1856" s="2" t="str">
        <f>HYPERLINK("https://rth.dk/resources/bsgatlas/details.php?id=BSGatlas-5'UTR-1855","BSGatlas-5'UTR-1855")</f>
        <v>BSGatlas-5'UTR-1855</v>
      </c>
      <c r="B1856" s="3">
        <v>2829448</v>
      </c>
      <c r="C1856" s="3">
        <v>2830447</v>
      </c>
      <c r="D1856" s="1" t="s">
        <v>13</v>
      </c>
      <c r="E1856" s="1">
        <v>1000</v>
      </c>
      <c r="F1856" s="1" t="s">
        <v>13306</v>
      </c>
      <c r="G1856" s="1" t="s">
        <v>9001</v>
      </c>
    </row>
    <row r="1857" spans="1:7" ht="21" x14ac:dyDescent="0.25">
      <c r="A1857" s="2" t="str">
        <f>HYPERLINK("https://rth.dk/resources/bsgatlas/details.php?id=BSGatlas-5'UTR-1856","BSGatlas-5'UTR-1856")</f>
        <v>BSGatlas-5'UTR-1856</v>
      </c>
      <c r="B1857" s="3">
        <v>2829513</v>
      </c>
      <c r="C1857" s="3">
        <v>2829564</v>
      </c>
      <c r="D1857" s="1" t="s">
        <v>9</v>
      </c>
      <c r="E1857" s="1">
        <v>52</v>
      </c>
      <c r="F1857" s="1" t="s">
        <v>13305</v>
      </c>
      <c r="G1857" s="1" t="s">
        <v>9006</v>
      </c>
    </row>
    <row r="1858" spans="1:7" ht="21" x14ac:dyDescent="0.25">
      <c r="A1858" s="2" t="str">
        <f>HYPERLINK("https://rth.dk/resources/bsgatlas/details.php?id=BSGatlas-5'UTR-1857","BSGatlas-5'UTR-1857")</f>
        <v>BSGatlas-5'UTR-1857</v>
      </c>
      <c r="B1858" s="3">
        <v>2831780</v>
      </c>
      <c r="C1858" s="3">
        <v>2831811</v>
      </c>
      <c r="D1858" s="1" t="s">
        <v>13</v>
      </c>
      <c r="E1858" s="1">
        <v>32</v>
      </c>
      <c r="F1858" s="1" t="s">
        <v>13307</v>
      </c>
      <c r="G1858" s="1" t="s">
        <v>9007</v>
      </c>
    </row>
    <row r="1859" spans="1:7" ht="21" x14ac:dyDescent="0.25">
      <c r="A1859" s="2" t="str">
        <f>HYPERLINK("https://rth.dk/resources/bsgatlas/details.php?id=BSGatlas-5'UTR-1858","BSGatlas-5'UTR-1858")</f>
        <v>BSGatlas-5'UTR-1858</v>
      </c>
      <c r="B1859" s="3">
        <v>2831887</v>
      </c>
      <c r="C1859" s="3">
        <v>2831915</v>
      </c>
      <c r="D1859" s="1" t="s">
        <v>9</v>
      </c>
      <c r="E1859" s="1">
        <v>29</v>
      </c>
      <c r="F1859" s="1" t="s">
        <v>13308</v>
      </c>
      <c r="G1859" s="1" t="s">
        <v>9008</v>
      </c>
    </row>
    <row r="1860" spans="1:7" ht="21" x14ac:dyDescent="0.25">
      <c r="A1860" s="2" t="str">
        <f>HYPERLINK("https://rth.dk/resources/bsgatlas/details.php?id=BSGatlas-5'UTR-1859","BSGatlas-5'UTR-1859")</f>
        <v>BSGatlas-5'UTR-1859</v>
      </c>
      <c r="B1860" s="3">
        <v>2832690</v>
      </c>
      <c r="C1860" s="3">
        <v>2832779</v>
      </c>
      <c r="D1860" s="1" t="s">
        <v>13</v>
      </c>
      <c r="E1860" s="1">
        <v>90</v>
      </c>
      <c r="F1860" s="1" t="s">
        <v>13309</v>
      </c>
      <c r="G1860" s="1" t="s">
        <v>9009</v>
      </c>
    </row>
    <row r="1861" spans="1:7" ht="21" x14ac:dyDescent="0.25">
      <c r="A1861" s="2" t="str">
        <f>HYPERLINK("https://rth.dk/resources/bsgatlas/details.php?id=BSGatlas-5'UTR-1860","BSGatlas-5'UTR-1860")</f>
        <v>BSGatlas-5'UTR-1860</v>
      </c>
      <c r="B1861" s="3">
        <v>2832690</v>
      </c>
      <c r="C1861" s="3">
        <v>2832823</v>
      </c>
      <c r="D1861" s="1" t="s">
        <v>13</v>
      </c>
      <c r="E1861" s="1">
        <v>134</v>
      </c>
      <c r="F1861" s="1" t="s">
        <v>13309</v>
      </c>
      <c r="G1861" s="1" t="s">
        <v>9011</v>
      </c>
    </row>
    <row r="1862" spans="1:7" ht="21" x14ac:dyDescent="0.25">
      <c r="A1862" s="2" t="str">
        <f>HYPERLINK("https://rth.dk/resources/bsgatlas/details.php?id=BSGatlas-5'UTR-1861","BSGatlas-5'UTR-1861")</f>
        <v>BSGatlas-5'UTR-1861</v>
      </c>
      <c r="B1862" s="3">
        <v>2836770</v>
      </c>
      <c r="C1862" s="3">
        <v>2836805</v>
      </c>
      <c r="D1862" s="1" t="s">
        <v>13</v>
      </c>
      <c r="E1862" s="1">
        <v>36</v>
      </c>
      <c r="F1862" s="1" t="s">
        <v>13310</v>
      </c>
      <c r="G1862" s="1" t="s">
        <v>9013</v>
      </c>
    </row>
    <row r="1863" spans="1:7" ht="21" x14ac:dyDescent="0.25">
      <c r="A1863" s="2" t="str">
        <f>HYPERLINK("https://rth.dk/resources/bsgatlas/details.php?id=BSGatlas-5'UTR-1862","BSGatlas-5'UTR-1862")</f>
        <v>BSGatlas-5'UTR-1862</v>
      </c>
      <c r="B1863" s="3">
        <v>2837421</v>
      </c>
      <c r="C1863" s="3">
        <v>2837446</v>
      </c>
      <c r="D1863" s="1" t="s">
        <v>13</v>
      </c>
      <c r="E1863" s="1">
        <v>26</v>
      </c>
      <c r="F1863" s="1" t="s">
        <v>13311</v>
      </c>
      <c r="G1863" s="1" t="s">
        <v>9016</v>
      </c>
    </row>
    <row r="1864" spans="1:7" ht="21" x14ac:dyDescent="0.25">
      <c r="A1864" s="2" t="str">
        <f>HYPERLINK("https://rth.dk/resources/bsgatlas/details.php?id=BSGatlas-5'UTR-1863","BSGatlas-5'UTR-1863")</f>
        <v>BSGatlas-5'UTR-1863</v>
      </c>
      <c r="B1864" s="3">
        <v>2838776</v>
      </c>
      <c r="C1864" s="3">
        <v>2838815</v>
      </c>
      <c r="D1864" s="1" t="s">
        <v>13</v>
      </c>
      <c r="E1864" s="1">
        <v>40</v>
      </c>
      <c r="F1864" s="1" t="s">
        <v>13312</v>
      </c>
      <c r="G1864" s="1" t="s">
        <v>9019</v>
      </c>
    </row>
    <row r="1865" spans="1:7" ht="21" x14ac:dyDescent="0.25">
      <c r="A1865" s="2" t="str">
        <f>HYPERLINK("https://rth.dk/resources/bsgatlas/details.php?id=BSGatlas-5'UTR-1864","BSGatlas-5'UTR-1864")</f>
        <v>BSGatlas-5'UTR-1864</v>
      </c>
      <c r="B1865" s="3">
        <v>2839872</v>
      </c>
      <c r="C1865" s="3">
        <v>2839929</v>
      </c>
      <c r="D1865" s="1" t="s">
        <v>13</v>
      </c>
      <c r="E1865" s="1">
        <v>58</v>
      </c>
      <c r="F1865" s="1" t="s">
        <v>13313</v>
      </c>
      <c r="G1865" s="1" t="s">
        <v>9020</v>
      </c>
    </row>
    <row r="1866" spans="1:7" ht="21" x14ac:dyDescent="0.25">
      <c r="A1866" s="2" t="str">
        <f>HYPERLINK("https://rth.dk/resources/bsgatlas/details.php?id=BSGatlas-5'UTR-1865","BSGatlas-5'UTR-1865")</f>
        <v>BSGatlas-5'UTR-1865</v>
      </c>
      <c r="B1866" s="3">
        <v>2840027</v>
      </c>
      <c r="C1866" s="3">
        <v>2840110</v>
      </c>
      <c r="D1866" s="1" t="s">
        <v>9</v>
      </c>
      <c r="E1866" s="1">
        <v>84</v>
      </c>
      <c r="F1866" s="1" t="s">
        <v>13314</v>
      </c>
      <c r="G1866" s="1" t="s">
        <v>9022</v>
      </c>
    </row>
    <row r="1867" spans="1:7" ht="21" x14ac:dyDescent="0.25">
      <c r="A1867" s="2" t="str">
        <f>HYPERLINK("https://rth.dk/resources/bsgatlas/details.php?id=BSGatlas-5'UTR-1866","BSGatlas-5'UTR-1866")</f>
        <v>BSGatlas-5'UTR-1866</v>
      </c>
      <c r="B1867" s="3">
        <v>2840073</v>
      </c>
      <c r="C1867" s="3">
        <v>2840110</v>
      </c>
      <c r="D1867" s="1" t="s">
        <v>9</v>
      </c>
      <c r="E1867" s="1">
        <v>38</v>
      </c>
      <c r="F1867" s="1" t="s">
        <v>13314</v>
      </c>
      <c r="G1867" s="1" t="s">
        <v>9024</v>
      </c>
    </row>
    <row r="1868" spans="1:7" ht="21" x14ac:dyDescent="0.25">
      <c r="A1868" s="2" t="str">
        <f>HYPERLINK("https://rth.dk/resources/bsgatlas/details.php?id=BSGatlas-5'UTR-1867","BSGatlas-5'UTR-1867")</f>
        <v>BSGatlas-5'UTR-1867</v>
      </c>
      <c r="B1868" s="3">
        <v>2841518</v>
      </c>
      <c r="C1868" s="3">
        <v>2841611</v>
      </c>
      <c r="D1868" s="1" t="s">
        <v>9</v>
      </c>
      <c r="E1868" s="1">
        <v>94</v>
      </c>
      <c r="F1868" s="1" t="s">
        <v>13315</v>
      </c>
      <c r="G1868" s="1" t="s">
        <v>9031</v>
      </c>
    </row>
    <row r="1869" spans="1:7" ht="21" x14ac:dyDescent="0.25">
      <c r="A1869" s="2" t="str">
        <f>HYPERLINK("https://rth.dk/resources/bsgatlas/details.php?id=BSGatlas-5'UTR-1868","BSGatlas-5'UTR-1868")</f>
        <v>BSGatlas-5'UTR-1868</v>
      </c>
      <c r="B1869" s="3">
        <v>2841570</v>
      </c>
      <c r="C1869" s="3">
        <v>2841611</v>
      </c>
      <c r="D1869" s="1" t="s">
        <v>9</v>
      </c>
      <c r="E1869" s="1">
        <v>42</v>
      </c>
      <c r="F1869" s="1" t="s">
        <v>13315</v>
      </c>
      <c r="G1869" s="1" t="s">
        <v>9034</v>
      </c>
    </row>
    <row r="1870" spans="1:7" ht="21" x14ac:dyDescent="0.25">
      <c r="A1870" s="2" t="str">
        <f>HYPERLINK("https://rth.dk/resources/bsgatlas/details.php?id=BSGatlas-5'UTR-1869","BSGatlas-5'UTR-1869")</f>
        <v>BSGatlas-5'UTR-1869</v>
      </c>
      <c r="B1870" s="3">
        <v>2843828</v>
      </c>
      <c r="C1870" s="3">
        <v>2843868</v>
      </c>
      <c r="D1870" s="1" t="s">
        <v>13</v>
      </c>
      <c r="E1870" s="1">
        <v>41</v>
      </c>
      <c r="F1870" s="1" t="s">
        <v>13316</v>
      </c>
      <c r="G1870" s="1" t="s">
        <v>9035</v>
      </c>
    </row>
    <row r="1871" spans="1:7" ht="21" x14ac:dyDescent="0.25">
      <c r="A1871" s="2" t="str">
        <f>HYPERLINK("https://rth.dk/resources/bsgatlas/details.php?id=BSGatlas-5'UTR-1870","BSGatlas-5'UTR-1870")</f>
        <v>BSGatlas-5'UTR-1870</v>
      </c>
      <c r="B1871" s="3">
        <v>2844527</v>
      </c>
      <c r="C1871" s="3">
        <v>2844572</v>
      </c>
      <c r="D1871" s="1" t="s">
        <v>13</v>
      </c>
      <c r="E1871" s="1">
        <v>46</v>
      </c>
      <c r="F1871" s="1" t="s">
        <v>13317</v>
      </c>
      <c r="G1871" s="1" t="s">
        <v>9037</v>
      </c>
    </row>
    <row r="1872" spans="1:7" ht="21" x14ac:dyDescent="0.25">
      <c r="A1872" s="2" t="str">
        <f>HYPERLINK("https://rth.dk/resources/bsgatlas/details.php?id=BSGatlas-5'UTR-1871","BSGatlas-5'UTR-1871")</f>
        <v>BSGatlas-5'UTR-1871</v>
      </c>
      <c r="B1872" s="3">
        <v>2845838</v>
      </c>
      <c r="C1872" s="3">
        <v>2845894</v>
      </c>
      <c r="D1872" s="1" t="s">
        <v>13</v>
      </c>
      <c r="E1872" s="1">
        <v>57</v>
      </c>
      <c r="F1872" s="1" t="s">
        <v>13318</v>
      </c>
      <c r="G1872" s="1" t="s">
        <v>9040</v>
      </c>
    </row>
    <row r="1873" spans="1:7" ht="21" x14ac:dyDescent="0.25">
      <c r="A1873" s="2" t="str">
        <f>HYPERLINK("https://rth.dk/resources/bsgatlas/details.php?id=BSGatlas-5'UTR-1872","BSGatlas-5'UTR-1872")</f>
        <v>BSGatlas-5'UTR-1872</v>
      </c>
      <c r="B1873" s="3">
        <v>2849466</v>
      </c>
      <c r="C1873" s="3">
        <v>2849497</v>
      </c>
      <c r="D1873" s="1" t="s">
        <v>13</v>
      </c>
      <c r="E1873" s="1">
        <v>32</v>
      </c>
      <c r="F1873" s="1" t="s">
        <v>13319</v>
      </c>
      <c r="G1873" s="1" t="s">
        <v>9045</v>
      </c>
    </row>
    <row r="1874" spans="1:7" ht="21" x14ac:dyDescent="0.25">
      <c r="A1874" s="2" t="str">
        <f>HYPERLINK("https://rth.dk/resources/bsgatlas/details.php?id=BSGatlas-5'UTR-1873","BSGatlas-5'UTR-1873")</f>
        <v>BSGatlas-5'UTR-1873</v>
      </c>
      <c r="B1874" s="3">
        <v>2849466</v>
      </c>
      <c r="C1874" s="3">
        <v>2849588</v>
      </c>
      <c r="D1874" s="1" t="s">
        <v>13</v>
      </c>
      <c r="E1874" s="1">
        <v>123</v>
      </c>
      <c r="F1874" s="1" t="s">
        <v>13319</v>
      </c>
      <c r="G1874" s="1" t="s">
        <v>9046</v>
      </c>
    </row>
    <row r="1875" spans="1:7" ht="21" x14ac:dyDescent="0.25">
      <c r="A1875" s="2" t="str">
        <f>HYPERLINK("https://rth.dk/resources/bsgatlas/details.php?id=BSGatlas-5'UTR-1874","BSGatlas-5'UTR-1874")</f>
        <v>BSGatlas-5'UTR-1874</v>
      </c>
      <c r="B1875" s="3">
        <v>2849532</v>
      </c>
      <c r="C1875" s="3">
        <v>2849569</v>
      </c>
      <c r="D1875" s="1" t="s">
        <v>9</v>
      </c>
      <c r="E1875" s="1">
        <v>38</v>
      </c>
      <c r="F1875" s="1" t="s">
        <v>13320</v>
      </c>
      <c r="G1875" s="1" t="s">
        <v>9048</v>
      </c>
    </row>
    <row r="1876" spans="1:7" ht="21" x14ac:dyDescent="0.25">
      <c r="A1876" s="2" t="str">
        <f>HYPERLINK("https://rth.dk/resources/bsgatlas/details.php?id=BSGatlas-5'UTR-1875","BSGatlas-5'UTR-1875")</f>
        <v>BSGatlas-5'UTR-1875</v>
      </c>
      <c r="B1876" s="3">
        <v>2850485</v>
      </c>
      <c r="C1876" s="3">
        <v>2850716</v>
      </c>
      <c r="D1876" s="1" t="s">
        <v>9</v>
      </c>
      <c r="E1876" s="1">
        <v>232</v>
      </c>
      <c r="F1876" s="1" t="s">
        <v>13321</v>
      </c>
      <c r="G1876" s="1" t="s">
        <v>9051</v>
      </c>
    </row>
    <row r="1877" spans="1:7" ht="21" x14ac:dyDescent="0.25">
      <c r="A1877" s="2" t="str">
        <f>HYPERLINK("https://rth.dk/resources/bsgatlas/details.php?id=BSGatlas-5'UTR-1876","BSGatlas-5'UTR-1876")</f>
        <v>BSGatlas-5'UTR-1876</v>
      </c>
      <c r="B1877" s="3">
        <v>2854559</v>
      </c>
      <c r="C1877" s="3">
        <v>2854611</v>
      </c>
      <c r="D1877" s="1" t="s">
        <v>13</v>
      </c>
      <c r="E1877" s="1">
        <v>53</v>
      </c>
      <c r="F1877" s="1" t="s">
        <v>13322</v>
      </c>
      <c r="G1877" s="1" t="s">
        <v>9055</v>
      </c>
    </row>
    <row r="1878" spans="1:7" ht="21" x14ac:dyDescent="0.25">
      <c r="A1878" s="2" t="str">
        <f>HYPERLINK("https://rth.dk/resources/bsgatlas/details.php?id=BSGatlas-5'UTR-1877","BSGatlas-5'UTR-1877")</f>
        <v>BSGatlas-5'UTR-1877</v>
      </c>
      <c r="B1878" s="3">
        <v>2855826</v>
      </c>
      <c r="C1878" s="3">
        <v>2855947</v>
      </c>
      <c r="D1878" s="1" t="s">
        <v>13</v>
      </c>
      <c r="E1878" s="1">
        <v>122</v>
      </c>
      <c r="F1878" s="1" t="s">
        <v>13323</v>
      </c>
      <c r="G1878" s="1" t="s">
        <v>9060</v>
      </c>
    </row>
    <row r="1879" spans="1:7" ht="21" x14ac:dyDescent="0.25">
      <c r="A1879" s="2" t="str">
        <f>HYPERLINK("https://rth.dk/resources/bsgatlas/details.php?id=BSGatlas-5'UTR-1878","BSGatlas-5'UTR-1878")</f>
        <v>BSGatlas-5'UTR-1878</v>
      </c>
      <c r="B1879" s="3">
        <v>2857626</v>
      </c>
      <c r="C1879" s="3">
        <v>2857656</v>
      </c>
      <c r="D1879" s="1" t="s">
        <v>13</v>
      </c>
      <c r="E1879" s="1">
        <v>31</v>
      </c>
      <c r="F1879" s="1" t="s">
        <v>13324</v>
      </c>
      <c r="G1879" s="1" t="s">
        <v>9062</v>
      </c>
    </row>
    <row r="1880" spans="1:7" ht="21" x14ac:dyDescent="0.25">
      <c r="A1880" s="2" t="str">
        <f>HYPERLINK("https://rth.dk/resources/bsgatlas/details.php?id=BSGatlas-5'UTR-1879","BSGatlas-5'UTR-1879")</f>
        <v>BSGatlas-5'UTR-1879</v>
      </c>
      <c r="B1880" s="3">
        <v>2861748</v>
      </c>
      <c r="C1880" s="3">
        <v>2861789</v>
      </c>
      <c r="D1880" s="1" t="s">
        <v>13</v>
      </c>
      <c r="E1880" s="1">
        <v>42</v>
      </c>
      <c r="F1880" s="1" t="s">
        <v>13325</v>
      </c>
      <c r="G1880" s="1" t="s">
        <v>9068</v>
      </c>
    </row>
    <row r="1881" spans="1:7" ht="21" x14ac:dyDescent="0.25">
      <c r="A1881" s="2" t="str">
        <f>HYPERLINK("https://rth.dk/resources/bsgatlas/details.php?id=BSGatlas-5'UTR-1880","BSGatlas-5'UTR-1880")</f>
        <v>BSGatlas-5'UTR-1880</v>
      </c>
      <c r="B1881" s="3">
        <v>2863141</v>
      </c>
      <c r="C1881" s="3">
        <v>2863196</v>
      </c>
      <c r="D1881" s="1" t="s">
        <v>13</v>
      </c>
      <c r="E1881" s="1">
        <v>56</v>
      </c>
      <c r="F1881" s="1" t="s">
        <v>13326</v>
      </c>
      <c r="G1881" s="1" t="s">
        <v>9071</v>
      </c>
    </row>
    <row r="1882" spans="1:7" ht="21" x14ac:dyDescent="0.25">
      <c r="A1882" s="2" t="str">
        <f>HYPERLINK("https://rth.dk/resources/bsgatlas/details.php?id=BSGatlas-5'UTR-1881","BSGatlas-5'UTR-1881")</f>
        <v>BSGatlas-5'UTR-1881</v>
      </c>
      <c r="B1882" s="3">
        <v>2864292</v>
      </c>
      <c r="C1882" s="3">
        <v>2864347</v>
      </c>
      <c r="D1882" s="1" t="s">
        <v>13</v>
      </c>
      <c r="E1882" s="1">
        <v>56</v>
      </c>
      <c r="F1882" s="1" t="s">
        <v>13327</v>
      </c>
      <c r="G1882" s="1" t="s">
        <v>9074</v>
      </c>
    </row>
    <row r="1883" spans="1:7" ht="21" x14ac:dyDescent="0.25">
      <c r="A1883" s="2" t="str">
        <f>HYPERLINK("https://rth.dk/resources/bsgatlas/details.php?id=BSGatlas-5'UTR-1882","BSGatlas-5'UTR-1882")</f>
        <v>BSGatlas-5'UTR-1882</v>
      </c>
      <c r="B1883" s="3">
        <v>2865172</v>
      </c>
      <c r="C1883" s="3">
        <v>2865200</v>
      </c>
      <c r="D1883" s="1" t="s">
        <v>13</v>
      </c>
      <c r="E1883" s="1">
        <v>29</v>
      </c>
      <c r="F1883" s="1" t="s">
        <v>13328</v>
      </c>
      <c r="G1883" s="1" t="s">
        <v>9076</v>
      </c>
    </row>
    <row r="1884" spans="1:7" ht="21" x14ac:dyDescent="0.25">
      <c r="A1884" s="2" t="str">
        <f>HYPERLINK("https://rth.dk/resources/bsgatlas/details.php?id=BSGatlas-5'UTR-1883","BSGatlas-5'UTR-1883")</f>
        <v>BSGatlas-5'UTR-1883</v>
      </c>
      <c r="B1884" s="3">
        <v>2869306</v>
      </c>
      <c r="C1884" s="3">
        <v>2869618</v>
      </c>
      <c r="D1884" s="1" t="s">
        <v>13</v>
      </c>
      <c r="E1884" s="1">
        <v>313</v>
      </c>
      <c r="F1884" s="1" t="s">
        <v>13329</v>
      </c>
      <c r="G1884" s="1" t="s">
        <v>9079</v>
      </c>
    </row>
    <row r="1885" spans="1:7" ht="21" x14ac:dyDescent="0.25">
      <c r="A1885" s="2" t="str">
        <f>HYPERLINK("https://rth.dk/resources/bsgatlas/details.php?id=BSGatlas-5'UTR-1884","BSGatlas-5'UTR-1884")</f>
        <v>BSGatlas-5'UTR-1884</v>
      </c>
      <c r="B1885" s="3">
        <v>2869306</v>
      </c>
      <c r="C1885" s="3">
        <v>2869739</v>
      </c>
      <c r="D1885" s="1" t="s">
        <v>13</v>
      </c>
      <c r="E1885" s="1">
        <v>434</v>
      </c>
      <c r="F1885" s="1" t="s">
        <v>13329</v>
      </c>
      <c r="G1885" s="1" t="s">
        <v>9081</v>
      </c>
    </row>
    <row r="1886" spans="1:7" ht="21" x14ac:dyDescent="0.25">
      <c r="A1886" s="2" t="str">
        <f>HYPERLINK("https://rth.dk/resources/bsgatlas/details.php?id=BSGatlas-5'UTR-1885","BSGatlas-5'UTR-1885")</f>
        <v>BSGatlas-5'UTR-1885</v>
      </c>
      <c r="B1886" s="3">
        <v>2869716</v>
      </c>
      <c r="C1886" s="3">
        <v>2869754</v>
      </c>
      <c r="D1886" s="1" t="s">
        <v>9</v>
      </c>
      <c r="E1886" s="1">
        <v>39</v>
      </c>
      <c r="F1886" s="1" t="s">
        <v>13330</v>
      </c>
      <c r="G1886" s="1" t="s">
        <v>9084</v>
      </c>
    </row>
    <row r="1887" spans="1:7" ht="21" x14ac:dyDescent="0.25">
      <c r="A1887" s="2" t="str">
        <f>HYPERLINK("https://rth.dk/resources/bsgatlas/details.php?id=BSGatlas-5'UTR-1886","BSGatlas-5'UTR-1886")</f>
        <v>BSGatlas-5'UTR-1886</v>
      </c>
      <c r="B1887" s="3">
        <v>2872749</v>
      </c>
      <c r="C1887" s="3">
        <v>2872790</v>
      </c>
      <c r="D1887" s="1" t="s">
        <v>13</v>
      </c>
      <c r="E1887" s="1">
        <v>42</v>
      </c>
      <c r="F1887" s="1" t="s">
        <v>13331</v>
      </c>
      <c r="G1887" s="1" t="s">
        <v>9086</v>
      </c>
    </row>
    <row r="1888" spans="1:7" ht="21" x14ac:dyDescent="0.25">
      <c r="A1888" s="2" t="str">
        <f>HYPERLINK("https://rth.dk/resources/bsgatlas/details.php?id=BSGatlas-5'UTR-1887","BSGatlas-5'UTR-1887")</f>
        <v>BSGatlas-5'UTR-1887</v>
      </c>
      <c r="B1888" s="3">
        <v>2879133</v>
      </c>
      <c r="C1888" s="3">
        <v>2879203</v>
      </c>
      <c r="D1888" s="1" t="s">
        <v>13</v>
      </c>
      <c r="E1888" s="1">
        <v>71</v>
      </c>
      <c r="F1888" s="1" t="s">
        <v>13332</v>
      </c>
      <c r="G1888" s="1" t="s">
        <v>9089</v>
      </c>
    </row>
    <row r="1889" spans="1:7" ht="21" x14ac:dyDescent="0.25">
      <c r="A1889" s="2" t="str">
        <f>HYPERLINK("https://rth.dk/resources/bsgatlas/details.php?id=BSGatlas-5'UTR-1888","BSGatlas-5'UTR-1888")</f>
        <v>BSGatlas-5'UTR-1888</v>
      </c>
      <c r="B1889" s="3">
        <v>2879133</v>
      </c>
      <c r="C1889" s="3">
        <v>2879294</v>
      </c>
      <c r="D1889" s="1" t="s">
        <v>13</v>
      </c>
      <c r="E1889" s="1">
        <v>162</v>
      </c>
      <c r="F1889" s="1" t="s">
        <v>13332</v>
      </c>
      <c r="G1889" s="1" t="s">
        <v>9091</v>
      </c>
    </row>
    <row r="1890" spans="1:7" ht="21" x14ac:dyDescent="0.25">
      <c r="A1890" s="2" t="str">
        <f>HYPERLINK("https://rth.dk/resources/bsgatlas/details.php?id=BSGatlas-5'UTR-1889","BSGatlas-5'UTR-1889")</f>
        <v>BSGatlas-5'UTR-1889</v>
      </c>
      <c r="B1890" s="3">
        <v>2879133</v>
      </c>
      <c r="C1890" s="3">
        <v>2879712</v>
      </c>
      <c r="D1890" s="1" t="s">
        <v>13</v>
      </c>
      <c r="E1890" s="1">
        <v>580</v>
      </c>
      <c r="F1890" s="1" t="s">
        <v>13332</v>
      </c>
      <c r="G1890" s="1" t="s">
        <v>9092</v>
      </c>
    </row>
    <row r="1891" spans="1:7" ht="21" x14ac:dyDescent="0.25">
      <c r="A1891" s="2" t="str">
        <f>HYPERLINK("https://rth.dk/resources/bsgatlas/details.php?id=BSGatlas-5'UTR-1890","BSGatlas-5'UTR-1890")</f>
        <v>BSGatlas-5'UTR-1890</v>
      </c>
      <c r="B1891" s="3">
        <v>2879133</v>
      </c>
      <c r="C1891" s="3">
        <v>2879844</v>
      </c>
      <c r="D1891" s="1" t="s">
        <v>13</v>
      </c>
      <c r="E1891" s="1">
        <v>712</v>
      </c>
      <c r="F1891" s="1" t="s">
        <v>13332</v>
      </c>
      <c r="G1891" s="1" t="s">
        <v>9093</v>
      </c>
    </row>
    <row r="1892" spans="1:7" ht="21" x14ac:dyDescent="0.25">
      <c r="A1892" s="2" t="str">
        <f>HYPERLINK("https://rth.dk/resources/bsgatlas/details.php?id=BSGatlas-5'UTR-1891","BSGatlas-5'UTR-1891")</f>
        <v>BSGatlas-5'UTR-1891</v>
      </c>
      <c r="B1892" s="3">
        <v>2879262</v>
      </c>
      <c r="C1892" s="3">
        <v>2879363</v>
      </c>
      <c r="D1892" s="1" t="s">
        <v>9</v>
      </c>
      <c r="E1892" s="1">
        <v>102</v>
      </c>
      <c r="F1892" s="1" t="s">
        <v>13333</v>
      </c>
      <c r="G1892" s="1" t="s">
        <v>9094</v>
      </c>
    </row>
    <row r="1893" spans="1:7" ht="21" x14ac:dyDescent="0.25">
      <c r="A1893" s="2" t="str">
        <f>HYPERLINK("https://rth.dk/resources/bsgatlas/details.php?id=BSGatlas-5'UTR-1892","BSGatlas-5'UTR-1892")</f>
        <v>BSGatlas-5'UTR-1892</v>
      </c>
      <c r="B1893" s="3">
        <v>2882790</v>
      </c>
      <c r="C1893" s="3">
        <v>2882816</v>
      </c>
      <c r="D1893" s="1" t="s">
        <v>13</v>
      </c>
      <c r="E1893" s="1">
        <v>27</v>
      </c>
      <c r="F1893" s="1" t="s">
        <v>13334</v>
      </c>
      <c r="G1893" s="1" t="s">
        <v>9097</v>
      </c>
    </row>
    <row r="1894" spans="1:7" ht="21" x14ac:dyDescent="0.25">
      <c r="A1894" s="2" t="str">
        <f>HYPERLINK("https://rth.dk/resources/bsgatlas/details.php?id=BSGatlas-5'UTR-1893","BSGatlas-5'UTR-1893")</f>
        <v>BSGatlas-5'UTR-1893</v>
      </c>
      <c r="B1894" s="3">
        <v>2882790</v>
      </c>
      <c r="C1894" s="3">
        <v>2882888</v>
      </c>
      <c r="D1894" s="1" t="s">
        <v>13</v>
      </c>
      <c r="E1894" s="1">
        <v>99</v>
      </c>
      <c r="F1894" s="1" t="s">
        <v>13334</v>
      </c>
      <c r="G1894" s="1" t="s">
        <v>9099</v>
      </c>
    </row>
    <row r="1895" spans="1:7" ht="21" x14ac:dyDescent="0.25">
      <c r="A1895" s="2" t="str">
        <f>HYPERLINK("https://rth.dk/resources/bsgatlas/details.php?id=BSGatlas-5'UTR-1894","BSGatlas-5'UTR-1894")</f>
        <v>BSGatlas-5'UTR-1894</v>
      </c>
      <c r="B1895" s="3">
        <v>2884629</v>
      </c>
      <c r="C1895" s="3">
        <v>2884676</v>
      </c>
      <c r="D1895" s="1" t="s">
        <v>13</v>
      </c>
      <c r="E1895" s="1">
        <v>48</v>
      </c>
      <c r="F1895" s="1" t="s">
        <v>13335</v>
      </c>
      <c r="G1895" s="1" t="s">
        <v>9100</v>
      </c>
    </row>
    <row r="1896" spans="1:7" ht="21" x14ac:dyDescent="0.25">
      <c r="A1896" s="2" t="str">
        <f>HYPERLINK("https://rth.dk/resources/bsgatlas/details.php?id=BSGatlas-5'UTR-1895","BSGatlas-5'UTR-1895")</f>
        <v>BSGatlas-5'UTR-1895</v>
      </c>
      <c r="B1896" s="3">
        <v>2886043</v>
      </c>
      <c r="C1896" s="3">
        <v>2886122</v>
      </c>
      <c r="D1896" s="1" t="s">
        <v>13</v>
      </c>
      <c r="E1896" s="1">
        <v>80</v>
      </c>
      <c r="F1896" s="1" t="s">
        <v>13336</v>
      </c>
      <c r="G1896" s="1" t="s">
        <v>9102</v>
      </c>
    </row>
    <row r="1897" spans="1:7" ht="21" x14ac:dyDescent="0.25">
      <c r="A1897" s="2" t="str">
        <f>HYPERLINK("https://rth.dk/resources/bsgatlas/details.php?id=BSGatlas-5'UTR-1896","BSGatlas-5'UTR-1896")</f>
        <v>BSGatlas-5'UTR-1896</v>
      </c>
      <c r="B1897" s="3">
        <v>2887589</v>
      </c>
      <c r="C1897" s="3">
        <v>2887779</v>
      </c>
      <c r="D1897" s="1" t="s">
        <v>13</v>
      </c>
      <c r="E1897" s="1">
        <v>191</v>
      </c>
      <c r="F1897" s="1" t="s">
        <v>13337</v>
      </c>
      <c r="G1897" s="1" t="s">
        <v>9104</v>
      </c>
    </row>
    <row r="1898" spans="1:7" ht="21" x14ac:dyDescent="0.25">
      <c r="A1898" s="2" t="str">
        <f>HYPERLINK("https://rth.dk/resources/bsgatlas/details.php?id=BSGatlas-5'UTR-1897","BSGatlas-5'UTR-1897")</f>
        <v>BSGatlas-5'UTR-1897</v>
      </c>
      <c r="B1898" s="3">
        <v>2888821</v>
      </c>
      <c r="C1898" s="3">
        <v>2888864</v>
      </c>
      <c r="D1898" s="1" t="s">
        <v>13</v>
      </c>
      <c r="E1898" s="1">
        <v>44</v>
      </c>
      <c r="F1898" s="1" t="s">
        <v>13338</v>
      </c>
      <c r="G1898" s="1" t="s">
        <v>9107</v>
      </c>
    </row>
    <row r="1899" spans="1:7" ht="21" x14ac:dyDescent="0.25">
      <c r="A1899" s="2" t="str">
        <f>HYPERLINK("https://rth.dk/resources/bsgatlas/details.php?id=BSGatlas-5'UTR-1898","BSGatlas-5'UTR-1898")</f>
        <v>BSGatlas-5'UTR-1898</v>
      </c>
      <c r="B1899" s="3">
        <v>2890878</v>
      </c>
      <c r="C1899" s="3">
        <v>2892550</v>
      </c>
      <c r="D1899" s="1" t="s">
        <v>9</v>
      </c>
      <c r="E1899" s="1">
        <v>1673</v>
      </c>
      <c r="F1899" s="1" t="s">
        <v>13339</v>
      </c>
      <c r="G1899" s="1" t="s">
        <v>9112</v>
      </c>
    </row>
    <row r="1900" spans="1:7" ht="21" x14ac:dyDescent="0.25">
      <c r="A1900" s="2" t="str">
        <f>HYPERLINK("https://rth.dk/resources/bsgatlas/details.php?id=BSGatlas-5'UTR-1899","BSGatlas-5'UTR-1899")</f>
        <v>BSGatlas-5'UTR-1899</v>
      </c>
      <c r="B1900" s="3">
        <v>2896972</v>
      </c>
      <c r="C1900" s="3">
        <v>2897454</v>
      </c>
      <c r="D1900" s="1" t="s">
        <v>13</v>
      </c>
      <c r="E1900" s="1">
        <v>483</v>
      </c>
      <c r="F1900" s="1" t="s">
        <v>13340</v>
      </c>
      <c r="G1900" s="1" t="s">
        <v>9109</v>
      </c>
    </row>
    <row r="1901" spans="1:7" ht="21" x14ac:dyDescent="0.25">
      <c r="A1901" s="2" t="str">
        <f>HYPERLINK("https://rth.dk/resources/bsgatlas/details.php?id=BSGatlas-5'UTR-1900","BSGatlas-5'UTR-1900")</f>
        <v>BSGatlas-5'UTR-1900</v>
      </c>
      <c r="B1901" s="3">
        <v>2896972</v>
      </c>
      <c r="C1901" s="3">
        <v>2897603</v>
      </c>
      <c r="D1901" s="1" t="s">
        <v>13</v>
      </c>
      <c r="E1901" s="1">
        <v>632</v>
      </c>
      <c r="F1901" s="1" t="s">
        <v>13340</v>
      </c>
      <c r="G1901" s="1" t="s">
        <v>9111</v>
      </c>
    </row>
    <row r="1902" spans="1:7" ht="21" x14ac:dyDescent="0.25">
      <c r="A1902" s="2" t="str">
        <f>HYPERLINK("https://rth.dk/resources/bsgatlas/details.php?id=BSGatlas-5'UTR-1901","BSGatlas-5'UTR-1901")</f>
        <v>BSGatlas-5'UTR-1901</v>
      </c>
      <c r="B1902" s="3">
        <v>2897762</v>
      </c>
      <c r="C1902" s="3">
        <v>2897788</v>
      </c>
      <c r="D1902" s="1" t="s">
        <v>9</v>
      </c>
      <c r="E1902" s="1">
        <v>27</v>
      </c>
      <c r="F1902" s="1" t="s">
        <v>13341</v>
      </c>
      <c r="G1902" s="1" t="s">
        <v>9118</v>
      </c>
    </row>
    <row r="1903" spans="1:7" ht="21" x14ac:dyDescent="0.25">
      <c r="A1903" s="2" t="str">
        <f>HYPERLINK("https://rth.dk/resources/bsgatlas/details.php?id=BSGatlas-5'UTR-1902","BSGatlas-5'UTR-1902")</f>
        <v>BSGatlas-5'UTR-1902</v>
      </c>
      <c r="B1903" s="3">
        <v>2898227</v>
      </c>
      <c r="C1903" s="3">
        <v>2898292</v>
      </c>
      <c r="D1903" s="1" t="s">
        <v>9</v>
      </c>
      <c r="E1903" s="1">
        <v>66</v>
      </c>
      <c r="F1903" s="1" t="s">
        <v>13342</v>
      </c>
      <c r="G1903" s="1" t="s">
        <v>9120</v>
      </c>
    </row>
    <row r="1904" spans="1:7" ht="21" x14ac:dyDescent="0.25">
      <c r="A1904" s="2" t="str">
        <f>HYPERLINK("https://rth.dk/resources/bsgatlas/details.php?id=BSGatlas-5'UTR-1903","BSGatlas-5'UTR-1903")</f>
        <v>BSGatlas-5'UTR-1903</v>
      </c>
      <c r="B1904" s="3">
        <v>2898882</v>
      </c>
      <c r="C1904" s="3">
        <v>2898931</v>
      </c>
      <c r="D1904" s="1" t="s">
        <v>9</v>
      </c>
      <c r="E1904" s="1">
        <v>50</v>
      </c>
      <c r="F1904" s="1" t="s">
        <v>13343</v>
      </c>
      <c r="G1904" s="1" t="s">
        <v>9122</v>
      </c>
    </row>
    <row r="1905" spans="1:7" ht="21" x14ac:dyDescent="0.25">
      <c r="A1905" s="2" t="str">
        <f>HYPERLINK("https://rth.dk/resources/bsgatlas/details.php?id=BSGatlas-5'UTR-1904","BSGatlas-5'UTR-1904")</f>
        <v>BSGatlas-5'UTR-1904</v>
      </c>
      <c r="B1905" s="3">
        <v>2899889</v>
      </c>
      <c r="C1905" s="3">
        <v>2899929</v>
      </c>
      <c r="D1905" s="1" t="s">
        <v>13</v>
      </c>
      <c r="E1905" s="1">
        <v>41</v>
      </c>
      <c r="F1905" s="1" t="s">
        <v>13344</v>
      </c>
      <c r="G1905" s="1" t="s">
        <v>9125</v>
      </c>
    </row>
    <row r="1906" spans="1:7" ht="21" x14ac:dyDescent="0.25">
      <c r="A1906" s="2" t="str">
        <f>HYPERLINK("https://rth.dk/resources/bsgatlas/details.php?id=BSGatlas-5'UTR-1905","BSGatlas-5'UTR-1905")</f>
        <v>BSGatlas-5'UTR-1905</v>
      </c>
      <c r="B1906" s="3">
        <v>2901891</v>
      </c>
      <c r="C1906" s="3">
        <v>2901989</v>
      </c>
      <c r="D1906" s="1" t="s">
        <v>13</v>
      </c>
      <c r="E1906" s="1">
        <v>99</v>
      </c>
      <c r="F1906" s="1" t="s">
        <v>13345</v>
      </c>
      <c r="G1906" s="1" t="s">
        <v>9129</v>
      </c>
    </row>
    <row r="1907" spans="1:7" ht="21" x14ac:dyDescent="0.25">
      <c r="A1907" s="2" t="str">
        <f>HYPERLINK("https://rth.dk/resources/bsgatlas/details.php?id=BSGatlas-5'UTR-1906","BSGatlas-5'UTR-1906")</f>
        <v>BSGatlas-5'UTR-1906</v>
      </c>
      <c r="B1907" s="3">
        <v>2903102</v>
      </c>
      <c r="C1907" s="3">
        <v>2903127</v>
      </c>
      <c r="D1907" s="1" t="s">
        <v>13</v>
      </c>
      <c r="E1907" s="1">
        <v>26</v>
      </c>
      <c r="F1907" s="1" t="s">
        <v>13346</v>
      </c>
      <c r="G1907" s="1" t="s">
        <v>9130</v>
      </c>
    </row>
    <row r="1908" spans="1:7" ht="21" x14ac:dyDescent="0.25">
      <c r="A1908" s="2" t="str">
        <f>HYPERLINK("https://rth.dk/resources/bsgatlas/details.php?id=BSGatlas-5'UTR-1907","BSGatlas-5'UTR-1907")</f>
        <v>BSGatlas-5'UTR-1907</v>
      </c>
      <c r="B1908" s="3">
        <v>2904483</v>
      </c>
      <c r="C1908" s="3">
        <v>2904535</v>
      </c>
      <c r="D1908" s="1" t="s">
        <v>13</v>
      </c>
      <c r="E1908" s="1">
        <v>53</v>
      </c>
      <c r="F1908" s="1" t="s">
        <v>13347</v>
      </c>
      <c r="G1908" s="1" t="s">
        <v>9134</v>
      </c>
    </row>
    <row r="1909" spans="1:7" ht="21" x14ac:dyDescent="0.25">
      <c r="A1909" s="2" t="str">
        <f>HYPERLINK("https://rth.dk/resources/bsgatlas/details.php?id=BSGatlas-5'UTR-1908","BSGatlas-5'UTR-1908")</f>
        <v>BSGatlas-5'UTR-1908</v>
      </c>
      <c r="B1909" s="3">
        <v>2904951</v>
      </c>
      <c r="C1909" s="3">
        <v>2905013</v>
      </c>
      <c r="D1909" s="1" t="s">
        <v>13</v>
      </c>
      <c r="E1909" s="1">
        <v>63</v>
      </c>
      <c r="F1909" s="1" t="s">
        <v>13348</v>
      </c>
      <c r="G1909" s="1" t="s">
        <v>9136</v>
      </c>
    </row>
    <row r="1910" spans="1:7" ht="21" x14ac:dyDescent="0.25">
      <c r="A1910" s="2" t="str">
        <f>HYPERLINK("https://rth.dk/resources/bsgatlas/details.php?id=BSGatlas-5'UTR-1909","BSGatlas-5'UTR-1909")</f>
        <v>BSGatlas-5'UTR-1909</v>
      </c>
      <c r="B1910" s="3">
        <v>2908529</v>
      </c>
      <c r="C1910" s="3">
        <v>2909030</v>
      </c>
      <c r="D1910" s="1" t="s">
        <v>9</v>
      </c>
      <c r="E1910" s="1">
        <v>502</v>
      </c>
      <c r="F1910" s="1" t="s">
        <v>13349</v>
      </c>
      <c r="G1910" s="1" t="s">
        <v>9141</v>
      </c>
    </row>
    <row r="1911" spans="1:7" ht="21" x14ac:dyDescent="0.25">
      <c r="A1911" s="2" t="str">
        <f>HYPERLINK("https://rth.dk/resources/bsgatlas/details.php?id=BSGatlas-5'UTR-1910","BSGatlas-5'UTR-1910")</f>
        <v>BSGatlas-5'UTR-1910</v>
      </c>
      <c r="B1911" s="3">
        <v>2908737</v>
      </c>
      <c r="C1911" s="3">
        <v>2908827</v>
      </c>
      <c r="D1911" s="1" t="s">
        <v>13</v>
      </c>
      <c r="E1911" s="1">
        <v>91</v>
      </c>
      <c r="F1911" s="1" t="s">
        <v>13350</v>
      </c>
      <c r="G1911" s="1" t="s">
        <v>9139</v>
      </c>
    </row>
    <row r="1912" spans="1:7" ht="21" x14ac:dyDescent="0.25">
      <c r="A1912" s="2" t="str">
        <f>HYPERLINK("https://rth.dk/resources/bsgatlas/details.php?id=BSGatlas-5'UTR-1911","BSGatlas-5'UTR-1911")</f>
        <v>BSGatlas-5'UTR-1911</v>
      </c>
      <c r="B1912" s="3">
        <v>2909002</v>
      </c>
      <c r="C1912" s="3">
        <v>2909030</v>
      </c>
      <c r="D1912" s="1" t="s">
        <v>9</v>
      </c>
      <c r="E1912" s="1">
        <v>29</v>
      </c>
      <c r="F1912" s="1" t="s">
        <v>13349</v>
      </c>
      <c r="G1912" s="1" t="s">
        <v>9143</v>
      </c>
    </row>
    <row r="1913" spans="1:7" ht="21" x14ac:dyDescent="0.25">
      <c r="A1913" s="2" t="str">
        <f>HYPERLINK("https://rth.dk/resources/bsgatlas/details.php?id=BSGatlas-5'UTR-1912","BSGatlas-5'UTR-1912")</f>
        <v>BSGatlas-5'UTR-1912</v>
      </c>
      <c r="B1913" s="3">
        <v>2910746</v>
      </c>
      <c r="C1913" s="3">
        <v>2911077</v>
      </c>
      <c r="D1913" s="1" t="s">
        <v>13</v>
      </c>
      <c r="E1913" s="1">
        <v>332</v>
      </c>
      <c r="F1913" s="1" t="s">
        <v>13351</v>
      </c>
      <c r="G1913" s="1" t="s">
        <v>9145</v>
      </c>
    </row>
    <row r="1914" spans="1:7" ht="21" x14ac:dyDescent="0.25">
      <c r="A1914" s="2" t="str">
        <f>HYPERLINK("https://rth.dk/resources/bsgatlas/details.php?id=BSGatlas-5'UTR-1913","BSGatlas-5'UTR-1913")</f>
        <v>BSGatlas-5'UTR-1913</v>
      </c>
      <c r="B1914" s="3">
        <v>2912888</v>
      </c>
      <c r="C1914" s="3">
        <v>2912929</v>
      </c>
      <c r="D1914" s="1" t="s">
        <v>13</v>
      </c>
      <c r="E1914" s="1">
        <v>42</v>
      </c>
      <c r="F1914" s="1" t="s">
        <v>13352</v>
      </c>
      <c r="G1914" s="1" t="s">
        <v>9149</v>
      </c>
    </row>
    <row r="1915" spans="1:7" ht="21" x14ac:dyDescent="0.25">
      <c r="A1915" s="2" t="str">
        <f>HYPERLINK("https://rth.dk/resources/bsgatlas/details.php?id=BSGatlas-5'UTR-1914","BSGatlas-5'UTR-1914")</f>
        <v>BSGatlas-5'UTR-1914</v>
      </c>
      <c r="B1915" s="3">
        <v>2913338</v>
      </c>
      <c r="C1915" s="3">
        <v>2913368</v>
      </c>
      <c r="D1915" s="1" t="s">
        <v>13</v>
      </c>
      <c r="E1915" s="1">
        <v>31</v>
      </c>
      <c r="F1915" s="1" t="s">
        <v>13353</v>
      </c>
      <c r="G1915" s="1" t="s">
        <v>9150</v>
      </c>
    </row>
    <row r="1916" spans="1:7" ht="21" x14ac:dyDescent="0.25">
      <c r="A1916" s="2" t="str">
        <f>HYPERLINK("https://rth.dk/resources/bsgatlas/details.php?id=BSGatlas-5'UTR-1915","BSGatlas-5'UTR-1915")</f>
        <v>BSGatlas-5'UTR-1915</v>
      </c>
      <c r="B1916" s="3">
        <v>2915148</v>
      </c>
      <c r="C1916" s="3">
        <v>2915247</v>
      </c>
      <c r="D1916" s="1" t="s">
        <v>13</v>
      </c>
      <c r="E1916" s="1">
        <v>100</v>
      </c>
      <c r="F1916" s="1" t="s">
        <v>13354</v>
      </c>
      <c r="G1916" s="1" t="s">
        <v>9153</v>
      </c>
    </row>
    <row r="1917" spans="1:7" ht="21" x14ac:dyDescent="0.25">
      <c r="A1917" s="2" t="str">
        <f>HYPERLINK("https://rth.dk/resources/bsgatlas/details.php?id=BSGatlas-5'UTR-1916","BSGatlas-5'UTR-1916")</f>
        <v>BSGatlas-5'UTR-1916</v>
      </c>
      <c r="B1917" s="3">
        <v>2918541</v>
      </c>
      <c r="C1917" s="3">
        <v>2918585</v>
      </c>
      <c r="D1917" s="1" t="s">
        <v>13</v>
      </c>
      <c r="E1917" s="1">
        <v>45</v>
      </c>
      <c r="F1917" s="1" t="s">
        <v>13355</v>
      </c>
      <c r="G1917" s="1" t="s">
        <v>9156</v>
      </c>
    </row>
    <row r="1918" spans="1:7" ht="21" x14ac:dyDescent="0.25">
      <c r="A1918" s="2" t="str">
        <f>HYPERLINK("https://rth.dk/resources/bsgatlas/details.php?id=BSGatlas-5'UTR-1917","BSGatlas-5'UTR-1917")</f>
        <v>BSGatlas-5'UTR-1917</v>
      </c>
      <c r="B1918" s="3">
        <v>2920328</v>
      </c>
      <c r="C1918" s="3">
        <v>2920365</v>
      </c>
      <c r="D1918" s="1" t="s">
        <v>13</v>
      </c>
      <c r="E1918" s="1">
        <v>38</v>
      </c>
      <c r="F1918" s="1" t="s">
        <v>13356</v>
      </c>
      <c r="G1918" s="1" t="s">
        <v>9159</v>
      </c>
    </row>
    <row r="1919" spans="1:7" ht="21" x14ac:dyDescent="0.25">
      <c r="A1919" s="2" t="str">
        <f>HYPERLINK("https://rth.dk/resources/bsgatlas/details.php?id=BSGatlas-5'UTR-1918","BSGatlas-5'UTR-1918")</f>
        <v>BSGatlas-5'UTR-1918</v>
      </c>
      <c r="B1919" s="3">
        <v>2925897</v>
      </c>
      <c r="C1919" s="3">
        <v>2925940</v>
      </c>
      <c r="D1919" s="1" t="s">
        <v>13</v>
      </c>
      <c r="E1919" s="1">
        <v>44</v>
      </c>
      <c r="F1919" s="1" t="s">
        <v>13357</v>
      </c>
      <c r="G1919" s="1" t="s">
        <v>9162</v>
      </c>
    </row>
    <row r="1920" spans="1:7" ht="21" x14ac:dyDescent="0.25">
      <c r="A1920" s="2" t="str">
        <f>HYPERLINK("https://rth.dk/resources/bsgatlas/details.php?id=BSGatlas-5'UTR-1919","BSGatlas-5'UTR-1919")</f>
        <v>BSGatlas-5'UTR-1919</v>
      </c>
      <c r="B1920" s="3">
        <v>2925897</v>
      </c>
      <c r="C1920" s="3">
        <v>2926719</v>
      </c>
      <c r="D1920" s="1" t="s">
        <v>13</v>
      </c>
      <c r="E1920" s="1">
        <v>823</v>
      </c>
      <c r="F1920" s="1" t="s">
        <v>13357</v>
      </c>
      <c r="G1920" s="1" t="s">
        <v>9163</v>
      </c>
    </row>
    <row r="1921" spans="1:7" ht="21" x14ac:dyDescent="0.25">
      <c r="A1921" s="2" t="str">
        <f>HYPERLINK("https://rth.dk/resources/bsgatlas/details.php?id=BSGatlas-5'UTR-1920","BSGatlas-5'UTR-1920")</f>
        <v>BSGatlas-5'UTR-1920</v>
      </c>
      <c r="B1921" s="3">
        <v>2925987</v>
      </c>
      <c r="C1921" s="3">
        <v>2926031</v>
      </c>
      <c r="D1921" s="1" t="s">
        <v>9</v>
      </c>
      <c r="E1921" s="1">
        <v>45</v>
      </c>
      <c r="F1921" s="1" t="s">
        <v>13358</v>
      </c>
      <c r="G1921" s="1" t="s">
        <v>9168</v>
      </c>
    </row>
    <row r="1922" spans="1:7" ht="21" x14ac:dyDescent="0.25">
      <c r="A1922" s="2" t="str">
        <f>HYPERLINK("https://rth.dk/resources/bsgatlas/details.php?id=BSGatlas-5'UTR-1921","BSGatlas-5'UTR-1921")</f>
        <v>BSGatlas-5'UTR-1921</v>
      </c>
      <c r="B1922" s="3">
        <v>2930472</v>
      </c>
      <c r="C1922" s="3">
        <v>2930790</v>
      </c>
      <c r="D1922" s="1" t="s">
        <v>13</v>
      </c>
      <c r="E1922" s="1">
        <v>319</v>
      </c>
      <c r="F1922" s="1" t="s">
        <v>13359</v>
      </c>
      <c r="G1922" s="1" t="s">
        <v>9172</v>
      </c>
    </row>
    <row r="1923" spans="1:7" ht="21" x14ac:dyDescent="0.25">
      <c r="A1923" s="2" t="str">
        <f>HYPERLINK("https://rth.dk/resources/bsgatlas/details.php?id=BSGatlas-5'UTR-1922","BSGatlas-5'UTR-1922")</f>
        <v>BSGatlas-5'UTR-1922</v>
      </c>
      <c r="B1923" s="3">
        <v>2931573</v>
      </c>
      <c r="C1923" s="3">
        <v>2931613</v>
      </c>
      <c r="D1923" s="1" t="s">
        <v>13</v>
      </c>
      <c r="E1923" s="1">
        <v>41</v>
      </c>
      <c r="F1923" s="1" t="s">
        <v>13360</v>
      </c>
      <c r="G1923" s="1" t="s">
        <v>9175</v>
      </c>
    </row>
    <row r="1924" spans="1:7" ht="21" x14ac:dyDescent="0.25">
      <c r="A1924" s="2" t="str">
        <f>HYPERLINK("https://rth.dk/resources/bsgatlas/details.php?id=BSGatlas-5'UTR-1923","BSGatlas-5'UTR-1923")</f>
        <v>BSGatlas-5'UTR-1923</v>
      </c>
      <c r="B1924" s="3">
        <v>2931642</v>
      </c>
      <c r="C1924" s="3">
        <v>2931692</v>
      </c>
      <c r="D1924" s="1" t="s">
        <v>9</v>
      </c>
      <c r="E1924" s="1">
        <v>51</v>
      </c>
      <c r="F1924" s="1" t="s">
        <v>13361</v>
      </c>
      <c r="G1924" s="1" t="s">
        <v>9176</v>
      </c>
    </row>
    <row r="1925" spans="1:7" ht="21" x14ac:dyDescent="0.25">
      <c r="A1925" s="2" t="str">
        <f>HYPERLINK("https://rth.dk/resources/bsgatlas/details.php?id=BSGatlas-5'UTR-1924","BSGatlas-5'UTR-1924")</f>
        <v>BSGatlas-5'UTR-1924</v>
      </c>
      <c r="B1925" s="3">
        <v>2931663</v>
      </c>
      <c r="C1925" s="3">
        <v>2931692</v>
      </c>
      <c r="D1925" s="1" t="s">
        <v>9</v>
      </c>
      <c r="E1925" s="1">
        <v>30</v>
      </c>
      <c r="F1925" s="1" t="s">
        <v>13361</v>
      </c>
      <c r="G1925" s="1" t="s">
        <v>9178</v>
      </c>
    </row>
    <row r="1926" spans="1:7" ht="21" x14ac:dyDescent="0.25">
      <c r="A1926" s="2" t="str">
        <f>HYPERLINK("https://rth.dk/resources/bsgatlas/details.php?id=BSGatlas-5'UTR-1925","BSGatlas-5'UTR-1925")</f>
        <v>BSGatlas-5'UTR-1925</v>
      </c>
      <c r="B1926" s="3">
        <v>2931949</v>
      </c>
      <c r="C1926" s="3">
        <v>2931976</v>
      </c>
      <c r="D1926" s="1" t="s">
        <v>9</v>
      </c>
      <c r="E1926" s="1">
        <v>28</v>
      </c>
      <c r="F1926" s="1" t="s">
        <v>13362</v>
      </c>
      <c r="G1926" s="1" t="s">
        <v>9180</v>
      </c>
    </row>
    <row r="1927" spans="1:7" ht="21" x14ac:dyDescent="0.25">
      <c r="A1927" s="2" t="str">
        <f>HYPERLINK("https://rth.dk/resources/bsgatlas/details.php?id=BSGatlas-5'UTR-1926","BSGatlas-5'UTR-1926")</f>
        <v>BSGatlas-5'UTR-1926</v>
      </c>
      <c r="B1927" s="3">
        <v>2933141</v>
      </c>
      <c r="C1927" s="3">
        <v>2933185</v>
      </c>
      <c r="D1927" s="1" t="s">
        <v>9</v>
      </c>
      <c r="E1927" s="1">
        <v>45</v>
      </c>
      <c r="F1927" s="1" t="s">
        <v>13363</v>
      </c>
      <c r="G1927" s="1" t="s">
        <v>9182</v>
      </c>
    </row>
    <row r="1928" spans="1:7" ht="21" x14ac:dyDescent="0.25">
      <c r="A1928" s="2" t="str">
        <f>HYPERLINK("https://rth.dk/resources/bsgatlas/details.php?id=BSGatlas-5'UTR-1927","BSGatlas-5'UTR-1927")</f>
        <v>BSGatlas-5'UTR-1927</v>
      </c>
      <c r="B1928" s="3">
        <v>2936439</v>
      </c>
      <c r="C1928" s="3">
        <v>2936502</v>
      </c>
      <c r="D1928" s="1" t="s">
        <v>13</v>
      </c>
      <c r="E1928" s="1">
        <v>64</v>
      </c>
      <c r="F1928" s="1" t="s">
        <v>13364</v>
      </c>
      <c r="G1928" s="1" t="s">
        <v>9186</v>
      </c>
    </row>
    <row r="1929" spans="1:7" ht="21" x14ac:dyDescent="0.25">
      <c r="A1929" s="2" t="str">
        <f>HYPERLINK("https://rth.dk/resources/bsgatlas/details.php?id=BSGatlas-5'UTR-1928","BSGatlas-5'UTR-1928")</f>
        <v>BSGatlas-5'UTR-1928</v>
      </c>
      <c r="B1929" s="3">
        <v>2938178</v>
      </c>
      <c r="C1929" s="3">
        <v>2938213</v>
      </c>
      <c r="D1929" s="1" t="s">
        <v>13</v>
      </c>
      <c r="E1929" s="1">
        <v>36</v>
      </c>
      <c r="F1929" s="1" t="s">
        <v>13365</v>
      </c>
      <c r="G1929" s="1" t="s">
        <v>9188</v>
      </c>
    </row>
    <row r="1930" spans="1:7" ht="21" x14ac:dyDescent="0.25">
      <c r="A1930" s="2" t="str">
        <f>HYPERLINK("https://rth.dk/resources/bsgatlas/details.php?id=BSGatlas-5'UTR-1929","BSGatlas-5'UTR-1929")</f>
        <v>BSGatlas-5'UTR-1929</v>
      </c>
      <c r="B1930" s="3">
        <v>2939832</v>
      </c>
      <c r="C1930" s="3">
        <v>2939847</v>
      </c>
      <c r="D1930" s="1" t="s">
        <v>13</v>
      </c>
      <c r="E1930" s="1">
        <v>16</v>
      </c>
      <c r="F1930" s="1" t="s">
        <v>13366</v>
      </c>
      <c r="G1930" s="1" t="s">
        <v>9189</v>
      </c>
    </row>
    <row r="1931" spans="1:7" ht="21" x14ac:dyDescent="0.25">
      <c r="A1931" s="2" t="str">
        <f>HYPERLINK("https://rth.dk/resources/bsgatlas/details.php?id=BSGatlas-5'UTR-1930","BSGatlas-5'UTR-1930")</f>
        <v>BSGatlas-5'UTR-1930</v>
      </c>
      <c r="B1931" s="3">
        <v>2948875</v>
      </c>
      <c r="C1931" s="3">
        <v>2948972</v>
      </c>
      <c r="D1931" s="1" t="s">
        <v>13</v>
      </c>
      <c r="E1931" s="1">
        <v>98</v>
      </c>
      <c r="F1931" s="1" t="s">
        <v>13367</v>
      </c>
      <c r="G1931" s="1" t="s">
        <v>9192</v>
      </c>
    </row>
    <row r="1932" spans="1:7" ht="21" x14ac:dyDescent="0.25">
      <c r="A1932" s="2" t="str">
        <f>HYPERLINK("https://rth.dk/resources/bsgatlas/details.php?id=BSGatlas-5'UTR-1931","BSGatlas-5'UTR-1931")</f>
        <v>BSGatlas-5'UTR-1931</v>
      </c>
      <c r="B1932" s="3">
        <v>2950024</v>
      </c>
      <c r="C1932" s="3">
        <v>2950139</v>
      </c>
      <c r="D1932" s="1" t="s">
        <v>13</v>
      </c>
      <c r="E1932" s="1">
        <v>116</v>
      </c>
      <c r="F1932" s="1" t="s">
        <v>13368</v>
      </c>
      <c r="G1932" s="1" t="s">
        <v>9195</v>
      </c>
    </row>
    <row r="1933" spans="1:7" ht="21" x14ac:dyDescent="0.25">
      <c r="A1933" s="2" t="str">
        <f>HYPERLINK("https://rth.dk/resources/bsgatlas/details.php?id=BSGatlas-5'UTR-1932","BSGatlas-5'UTR-1932")</f>
        <v>BSGatlas-5'UTR-1932</v>
      </c>
      <c r="B1933" s="3">
        <v>2951306</v>
      </c>
      <c r="C1933" s="3">
        <v>2951355</v>
      </c>
      <c r="D1933" s="1" t="s">
        <v>13</v>
      </c>
      <c r="E1933" s="1">
        <v>50</v>
      </c>
      <c r="F1933" s="1" t="s">
        <v>13369</v>
      </c>
      <c r="G1933" s="1" t="s">
        <v>9197</v>
      </c>
    </row>
    <row r="1934" spans="1:7" ht="21" x14ac:dyDescent="0.25">
      <c r="A1934" s="2" t="str">
        <f>HYPERLINK("https://rth.dk/resources/bsgatlas/details.php?id=BSGatlas-5'UTR-1933","BSGatlas-5'UTR-1933")</f>
        <v>BSGatlas-5'UTR-1933</v>
      </c>
      <c r="B1934" s="3">
        <v>2951458</v>
      </c>
      <c r="C1934" s="3">
        <v>2951490</v>
      </c>
      <c r="D1934" s="1" t="s">
        <v>9</v>
      </c>
      <c r="E1934" s="1">
        <v>33</v>
      </c>
      <c r="F1934" s="1" t="s">
        <v>13370</v>
      </c>
      <c r="G1934" s="1" t="s">
        <v>9199</v>
      </c>
    </row>
    <row r="1935" spans="1:7" ht="21" x14ac:dyDescent="0.25">
      <c r="A1935" s="2" t="str">
        <f>HYPERLINK("https://rth.dk/resources/bsgatlas/details.php?id=BSGatlas-5'UTR-1934","BSGatlas-5'UTR-1934")</f>
        <v>BSGatlas-5'UTR-1934</v>
      </c>
      <c r="B1935" s="3">
        <v>2953349</v>
      </c>
      <c r="C1935" s="3">
        <v>2953550</v>
      </c>
      <c r="D1935" s="1" t="s">
        <v>13</v>
      </c>
      <c r="E1935" s="1">
        <v>202</v>
      </c>
      <c r="F1935" s="1" t="s">
        <v>13371</v>
      </c>
      <c r="G1935" s="1" t="s">
        <v>9203</v>
      </c>
    </row>
    <row r="1936" spans="1:7" ht="21" x14ac:dyDescent="0.25">
      <c r="A1936" s="2" t="str">
        <f>HYPERLINK("https://rth.dk/resources/bsgatlas/details.php?id=BSGatlas-5'UTR-1935","BSGatlas-5'UTR-1935")</f>
        <v>BSGatlas-5'UTR-1935</v>
      </c>
      <c r="B1936" s="3">
        <v>2953349</v>
      </c>
      <c r="C1936" s="3">
        <v>2953623</v>
      </c>
      <c r="D1936" s="1" t="s">
        <v>13</v>
      </c>
      <c r="E1936" s="1">
        <v>275</v>
      </c>
      <c r="F1936" s="1" t="s">
        <v>13371</v>
      </c>
      <c r="G1936" s="1" t="s">
        <v>9205</v>
      </c>
    </row>
    <row r="1937" spans="1:7" ht="21" x14ac:dyDescent="0.25">
      <c r="A1937" s="2" t="str">
        <f>HYPERLINK("https://rth.dk/resources/bsgatlas/details.php?id=BSGatlas-5'UTR-1936","BSGatlas-5'UTR-1936")</f>
        <v>BSGatlas-5'UTR-1936</v>
      </c>
      <c r="B1937" s="3">
        <v>2953763</v>
      </c>
      <c r="C1937" s="3">
        <v>2953795</v>
      </c>
      <c r="D1937" s="1" t="s">
        <v>9</v>
      </c>
      <c r="E1937" s="1">
        <v>33</v>
      </c>
      <c r="F1937" s="1" t="s">
        <v>13372</v>
      </c>
      <c r="G1937" s="1" t="s">
        <v>9210</v>
      </c>
    </row>
    <row r="1938" spans="1:7" ht="21" x14ac:dyDescent="0.25">
      <c r="A1938" s="2" t="str">
        <f>HYPERLINK("https://rth.dk/resources/bsgatlas/details.php?id=BSGatlas-5'UTR-1937","BSGatlas-5'UTR-1937")</f>
        <v>BSGatlas-5'UTR-1937</v>
      </c>
      <c r="B1938" s="3">
        <v>2955649</v>
      </c>
      <c r="C1938" s="3">
        <v>2955690</v>
      </c>
      <c r="D1938" s="1" t="s">
        <v>13</v>
      </c>
      <c r="E1938" s="1">
        <v>42</v>
      </c>
      <c r="F1938" s="1" t="s">
        <v>13373</v>
      </c>
      <c r="G1938" s="1" t="s">
        <v>9215</v>
      </c>
    </row>
    <row r="1939" spans="1:7" ht="21" x14ac:dyDescent="0.25">
      <c r="A1939" s="2" t="str">
        <f>HYPERLINK("https://rth.dk/resources/bsgatlas/details.php?id=BSGatlas-5'UTR-1938","BSGatlas-5'UTR-1938")</f>
        <v>BSGatlas-5'UTR-1938</v>
      </c>
      <c r="B1939" s="3">
        <v>2958267</v>
      </c>
      <c r="C1939" s="3">
        <v>2958368</v>
      </c>
      <c r="D1939" s="1" t="s">
        <v>13</v>
      </c>
      <c r="E1939" s="1">
        <v>102</v>
      </c>
      <c r="F1939" s="1" t="s">
        <v>13374</v>
      </c>
      <c r="G1939" s="1" t="s">
        <v>9218</v>
      </c>
    </row>
    <row r="1940" spans="1:7" ht="21" x14ac:dyDescent="0.25">
      <c r="A1940" s="2" t="str">
        <f>HYPERLINK("https://rth.dk/resources/bsgatlas/details.php?id=BSGatlas-5'UTR-1939","BSGatlas-5'UTR-1939")</f>
        <v>BSGatlas-5'UTR-1939</v>
      </c>
      <c r="B1940" s="3">
        <v>2958376</v>
      </c>
      <c r="C1940" s="3">
        <v>2958434</v>
      </c>
      <c r="D1940" s="1" t="s">
        <v>9</v>
      </c>
      <c r="E1940" s="1">
        <v>59</v>
      </c>
      <c r="F1940" s="1" t="s">
        <v>13375</v>
      </c>
      <c r="G1940" s="1" t="s">
        <v>9219</v>
      </c>
    </row>
    <row r="1941" spans="1:7" ht="21" x14ac:dyDescent="0.25">
      <c r="A1941" s="2" t="str">
        <f>HYPERLINK("https://rth.dk/resources/bsgatlas/details.php?id=BSGatlas-5'UTR-1940","BSGatlas-5'UTR-1940")</f>
        <v>BSGatlas-5'UTR-1940</v>
      </c>
      <c r="B1941" s="3">
        <v>2961188</v>
      </c>
      <c r="C1941" s="3">
        <v>2961235</v>
      </c>
      <c r="D1941" s="1" t="s">
        <v>13</v>
      </c>
      <c r="E1941" s="1">
        <v>48</v>
      </c>
      <c r="F1941" s="1" t="s">
        <v>13376</v>
      </c>
      <c r="G1941" s="1" t="s">
        <v>9221</v>
      </c>
    </row>
    <row r="1942" spans="1:7" ht="21" x14ac:dyDescent="0.25">
      <c r="A1942" s="2" t="str">
        <f>HYPERLINK("https://rth.dk/resources/bsgatlas/details.php?id=BSGatlas-5'UTR-1941","BSGatlas-5'UTR-1941")</f>
        <v>BSGatlas-5'UTR-1941</v>
      </c>
      <c r="B1942" s="3">
        <v>2961188</v>
      </c>
      <c r="C1942" s="3">
        <v>2961494</v>
      </c>
      <c r="D1942" s="1" t="s">
        <v>13</v>
      </c>
      <c r="E1942" s="1">
        <v>307</v>
      </c>
      <c r="F1942" s="1" t="s">
        <v>13376</v>
      </c>
      <c r="G1942" s="1" t="s">
        <v>9223</v>
      </c>
    </row>
    <row r="1943" spans="1:7" ht="21" x14ac:dyDescent="0.25">
      <c r="A1943" s="2" t="str">
        <f>HYPERLINK("https://rth.dk/resources/bsgatlas/details.php?id=BSGatlas-5'UTR-1942","BSGatlas-5'UTR-1942")</f>
        <v>BSGatlas-5'UTR-1942</v>
      </c>
      <c r="B1943" s="3">
        <v>2962431</v>
      </c>
      <c r="C1943" s="3">
        <v>2962454</v>
      </c>
      <c r="D1943" s="1" t="s">
        <v>13</v>
      </c>
      <c r="E1943" s="1">
        <v>24</v>
      </c>
      <c r="F1943" s="1" t="s">
        <v>13377</v>
      </c>
      <c r="G1943" s="1" t="s">
        <v>9225</v>
      </c>
    </row>
    <row r="1944" spans="1:7" ht="21" x14ac:dyDescent="0.25">
      <c r="A1944" s="2" t="str">
        <f>HYPERLINK("https://rth.dk/resources/bsgatlas/details.php?id=BSGatlas-5'UTR-1943","BSGatlas-5'UTR-1943")</f>
        <v>BSGatlas-5'UTR-1943</v>
      </c>
      <c r="B1944" s="3">
        <v>2965566</v>
      </c>
      <c r="C1944" s="3">
        <v>2965603</v>
      </c>
      <c r="D1944" s="1" t="s">
        <v>13</v>
      </c>
      <c r="E1944" s="1">
        <v>38</v>
      </c>
      <c r="F1944" s="1" t="s">
        <v>13378</v>
      </c>
      <c r="G1944" s="1" t="s">
        <v>9227</v>
      </c>
    </row>
    <row r="1945" spans="1:7" ht="21" x14ac:dyDescent="0.25">
      <c r="A1945" s="2" t="str">
        <f>HYPERLINK("https://rth.dk/resources/bsgatlas/details.php?id=BSGatlas-5'UTR-1944","BSGatlas-5'UTR-1944")</f>
        <v>BSGatlas-5'UTR-1944</v>
      </c>
      <c r="B1945" s="3">
        <v>2966139</v>
      </c>
      <c r="C1945" s="3">
        <v>2966287</v>
      </c>
      <c r="D1945" s="1" t="s">
        <v>13</v>
      </c>
      <c r="E1945" s="1">
        <v>149</v>
      </c>
      <c r="F1945" s="1" t="s">
        <v>13379</v>
      </c>
      <c r="G1945" s="1" t="s">
        <v>9232</v>
      </c>
    </row>
    <row r="1946" spans="1:7" ht="21" x14ac:dyDescent="0.25">
      <c r="A1946" s="2" t="str">
        <f>HYPERLINK("https://rth.dk/resources/bsgatlas/details.php?id=BSGatlas-5'UTR-1945","BSGatlas-5'UTR-1945")</f>
        <v>BSGatlas-5'UTR-1945</v>
      </c>
      <c r="B1946" s="3">
        <v>2966793</v>
      </c>
      <c r="C1946" s="3">
        <v>2966932</v>
      </c>
      <c r="D1946" s="1" t="s">
        <v>13</v>
      </c>
      <c r="E1946" s="1">
        <v>140</v>
      </c>
      <c r="F1946" s="1" t="s">
        <v>13380</v>
      </c>
      <c r="G1946" s="1" t="s">
        <v>9234</v>
      </c>
    </row>
    <row r="1947" spans="1:7" ht="21" x14ac:dyDescent="0.25">
      <c r="A1947" s="2" t="str">
        <f>HYPERLINK("https://rth.dk/resources/bsgatlas/details.php?id=BSGatlas-5'UTR-1946","BSGatlas-5'UTR-1946")</f>
        <v>BSGatlas-5'UTR-1946</v>
      </c>
      <c r="B1947" s="3">
        <v>2966793</v>
      </c>
      <c r="C1947" s="3">
        <v>2967033</v>
      </c>
      <c r="D1947" s="1" t="s">
        <v>13</v>
      </c>
      <c r="E1947" s="1">
        <v>241</v>
      </c>
      <c r="F1947" s="1" t="s">
        <v>13380</v>
      </c>
      <c r="G1947" s="1" t="s">
        <v>9236</v>
      </c>
    </row>
    <row r="1948" spans="1:7" ht="21" x14ac:dyDescent="0.25">
      <c r="A1948" s="2" t="str">
        <f>HYPERLINK("https://rth.dk/resources/bsgatlas/details.php?id=BSGatlas-5'UTR-1947","BSGatlas-5'UTR-1947")</f>
        <v>BSGatlas-5'UTR-1947</v>
      </c>
      <c r="B1948" s="3">
        <v>2966935</v>
      </c>
      <c r="C1948" s="3">
        <v>2968824</v>
      </c>
      <c r="D1948" s="1" t="s">
        <v>9</v>
      </c>
      <c r="E1948" s="1">
        <v>1890</v>
      </c>
      <c r="F1948" s="1" t="s">
        <v>13381</v>
      </c>
      <c r="G1948" s="1" t="s">
        <v>9241</v>
      </c>
    </row>
    <row r="1949" spans="1:7" ht="21" x14ac:dyDescent="0.25">
      <c r="A1949" s="2" t="str">
        <f>HYPERLINK("https://rth.dk/resources/bsgatlas/details.php?id=BSGatlas-5'UTR-1948","BSGatlas-5'UTR-1948")</f>
        <v>BSGatlas-5'UTR-1948</v>
      </c>
      <c r="B1949" s="3">
        <v>2968054</v>
      </c>
      <c r="C1949" s="3">
        <v>2968100</v>
      </c>
      <c r="D1949" s="1" t="s">
        <v>13</v>
      </c>
      <c r="E1949" s="1">
        <v>47</v>
      </c>
      <c r="F1949" s="1" t="s">
        <v>13382</v>
      </c>
      <c r="G1949" s="1" t="s">
        <v>9238</v>
      </c>
    </row>
    <row r="1950" spans="1:7" ht="21" x14ac:dyDescent="0.25">
      <c r="A1950" s="2" t="str">
        <f>HYPERLINK("https://rth.dk/resources/bsgatlas/details.php?id=BSGatlas-5'UTR-1949","BSGatlas-5'UTR-1949")</f>
        <v>BSGatlas-5'UTR-1949</v>
      </c>
      <c r="B1950" s="3">
        <v>2968054</v>
      </c>
      <c r="C1950" s="3">
        <v>2968129</v>
      </c>
      <c r="D1950" s="1" t="s">
        <v>13</v>
      </c>
      <c r="E1950" s="1">
        <v>76</v>
      </c>
      <c r="F1950" s="1" t="s">
        <v>13382</v>
      </c>
      <c r="G1950" s="1" t="s">
        <v>9239</v>
      </c>
    </row>
    <row r="1951" spans="1:7" ht="21" x14ac:dyDescent="0.25">
      <c r="A1951" s="2" t="str">
        <f>HYPERLINK("https://rth.dk/resources/bsgatlas/details.php?id=BSGatlas-5'UTR-1950","BSGatlas-5'UTR-1950")</f>
        <v>BSGatlas-5'UTR-1950</v>
      </c>
      <c r="B1951" s="3">
        <v>2968640</v>
      </c>
      <c r="C1951" s="3">
        <v>2968771</v>
      </c>
      <c r="D1951" s="1" t="s">
        <v>13</v>
      </c>
      <c r="E1951" s="1">
        <v>132</v>
      </c>
      <c r="F1951" s="1" t="s">
        <v>13383</v>
      </c>
      <c r="G1951" s="1" t="s">
        <v>9243</v>
      </c>
    </row>
    <row r="1952" spans="1:7" ht="21" x14ac:dyDescent="0.25">
      <c r="A1952" s="2" t="str">
        <f>HYPERLINK("https://rth.dk/resources/bsgatlas/details.php?id=BSGatlas-5'UTR-1951","BSGatlas-5'UTR-1951")</f>
        <v>BSGatlas-5'UTR-1951</v>
      </c>
      <c r="B1952" s="3">
        <v>2968640</v>
      </c>
      <c r="C1952" s="3">
        <v>2969662</v>
      </c>
      <c r="D1952" s="1" t="s">
        <v>13</v>
      </c>
      <c r="E1952" s="1">
        <v>1023</v>
      </c>
      <c r="F1952" s="1" t="s">
        <v>13383</v>
      </c>
      <c r="G1952" s="1" t="s">
        <v>9245</v>
      </c>
    </row>
    <row r="1953" spans="1:7" ht="21" x14ac:dyDescent="0.25">
      <c r="A1953" s="2" t="str">
        <f>HYPERLINK("https://rth.dk/resources/bsgatlas/details.php?id=BSGatlas-5'UTR-1952","BSGatlas-5'UTR-1952")</f>
        <v>BSGatlas-5'UTR-1952</v>
      </c>
      <c r="B1953" s="3">
        <v>2968717</v>
      </c>
      <c r="C1953" s="3">
        <v>2968824</v>
      </c>
      <c r="D1953" s="1" t="s">
        <v>9</v>
      </c>
      <c r="E1953" s="1">
        <v>108</v>
      </c>
      <c r="F1953" s="1" t="s">
        <v>13381</v>
      </c>
      <c r="G1953" s="1" t="s">
        <v>9246</v>
      </c>
    </row>
    <row r="1954" spans="1:7" ht="21" x14ac:dyDescent="0.25">
      <c r="A1954" s="2" t="str">
        <f>HYPERLINK("https://rth.dk/resources/bsgatlas/details.php?id=BSGatlas-5'UTR-1953","BSGatlas-5'UTR-1953")</f>
        <v>BSGatlas-5'UTR-1953</v>
      </c>
      <c r="B1954" s="3">
        <v>2975824</v>
      </c>
      <c r="C1954" s="3">
        <v>2975888</v>
      </c>
      <c r="D1954" s="1" t="s">
        <v>13</v>
      </c>
      <c r="E1954" s="1">
        <v>65</v>
      </c>
      <c r="F1954" s="1" t="s">
        <v>13384</v>
      </c>
      <c r="G1954" s="1" t="s">
        <v>9250</v>
      </c>
    </row>
    <row r="1955" spans="1:7" ht="21" x14ac:dyDescent="0.25">
      <c r="A1955" s="2" t="str">
        <f>HYPERLINK("https://rth.dk/resources/bsgatlas/details.php?id=BSGatlas-5'UTR-1954","BSGatlas-5'UTR-1954")</f>
        <v>BSGatlas-5'UTR-1954</v>
      </c>
      <c r="B1955" s="3">
        <v>2978522</v>
      </c>
      <c r="C1955" s="3">
        <v>2978545</v>
      </c>
      <c r="D1955" s="1" t="s">
        <v>13</v>
      </c>
      <c r="E1955" s="1">
        <v>24</v>
      </c>
      <c r="F1955" s="1" t="s">
        <v>13385</v>
      </c>
      <c r="G1955" s="1" t="s">
        <v>9252</v>
      </c>
    </row>
    <row r="1956" spans="1:7" ht="21" x14ac:dyDescent="0.25">
      <c r="A1956" s="2" t="str">
        <f>HYPERLINK("https://rth.dk/resources/bsgatlas/details.php?id=BSGatlas-5'UTR-1955","BSGatlas-5'UTR-1955")</f>
        <v>BSGatlas-5'UTR-1955</v>
      </c>
      <c r="B1956" s="3">
        <v>2978522</v>
      </c>
      <c r="C1956" s="3">
        <v>2978560</v>
      </c>
      <c r="D1956" s="1" t="s">
        <v>13</v>
      </c>
      <c r="E1956" s="1">
        <v>39</v>
      </c>
      <c r="F1956" s="1" t="s">
        <v>13385</v>
      </c>
      <c r="G1956" s="1" t="s">
        <v>9254</v>
      </c>
    </row>
    <row r="1957" spans="1:7" ht="21" x14ac:dyDescent="0.25">
      <c r="A1957" s="2" t="str">
        <f>HYPERLINK("https://rth.dk/resources/bsgatlas/details.php?id=BSGatlas-5'UTR-1956","BSGatlas-5'UTR-1956")</f>
        <v>BSGatlas-5'UTR-1956</v>
      </c>
      <c r="B1957" s="3">
        <v>2978522</v>
      </c>
      <c r="C1957" s="3">
        <v>2978571</v>
      </c>
      <c r="D1957" s="1" t="s">
        <v>13</v>
      </c>
      <c r="E1957" s="1">
        <v>50</v>
      </c>
      <c r="F1957" s="1" t="s">
        <v>13385</v>
      </c>
      <c r="G1957" s="1" t="s">
        <v>9255</v>
      </c>
    </row>
    <row r="1958" spans="1:7" ht="21" x14ac:dyDescent="0.25">
      <c r="A1958" s="2" t="str">
        <f>HYPERLINK("https://rth.dk/resources/bsgatlas/details.php?id=BSGatlas-5'UTR-1957","BSGatlas-5'UTR-1957")</f>
        <v>BSGatlas-5'UTR-1957</v>
      </c>
      <c r="B1958" s="3">
        <v>2978522</v>
      </c>
      <c r="C1958" s="3">
        <v>2978591</v>
      </c>
      <c r="D1958" s="1" t="s">
        <v>13</v>
      </c>
      <c r="E1958" s="1">
        <v>70</v>
      </c>
      <c r="F1958" s="1" t="s">
        <v>13385</v>
      </c>
      <c r="G1958" s="1" t="s">
        <v>9256</v>
      </c>
    </row>
    <row r="1959" spans="1:7" ht="21" x14ac:dyDescent="0.25">
      <c r="A1959" s="2" t="str">
        <f>HYPERLINK("https://rth.dk/resources/bsgatlas/details.php?id=BSGatlas-5'UTR-1958","BSGatlas-5'UTR-1958")</f>
        <v>BSGatlas-5'UTR-1958</v>
      </c>
      <c r="B1959" s="3">
        <v>2978522</v>
      </c>
      <c r="C1959" s="3">
        <v>2978616</v>
      </c>
      <c r="D1959" s="1" t="s">
        <v>13</v>
      </c>
      <c r="E1959" s="1">
        <v>95</v>
      </c>
      <c r="F1959" s="1" t="s">
        <v>13385</v>
      </c>
      <c r="G1959" s="1" t="s">
        <v>9257</v>
      </c>
    </row>
    <row r="1960" spans="1:7" ht="21" x14ac:dyDescent="0.25">
      <c r="A1960" s="2" t="str">
        <f>HYPERLINK("https://rth.dk/resources/bsgatlas/details.php?id=BSGatlas-5'UTR-1959","BSGatlas-5'UTR-1959")</f>
        <v>BSGatlas-5'UTR-1959</v>
      </c>
      <c r="B1960" s="3">
        <v>2978522</v>
      </c>
      <c r="C1960" s="3">
        <v>2978697</v>
      </c>
      <c r="D1960" s="1" t="s">
        <v>13</v>
      </c>
      <c r="E1960" s="1">
        <v>176</v>
      </c>
      <c r="F1960" s="1" t="s">
        <v>13385</v>
      </c>
      <c r="G1960" s="1" t="s">
        <v>9258</v>
      </c>
    </row>
    <row r="1961" spans="1:7" ht="21" x14ac:dyDescent="0.25">
      <c r="A1961" s="2" t="str">
        <f>HYPERLINK("https://rth.dk/resources/bsgatlas/details.php?id=BSGatlas-5'UTR-1960","BSGatlas-5'UTR-1960")</f>
        <v>BSGatlas-5'UTR-1960</v>
      </c>
      <c r="B1961" s="3">
        <v>2980987</v>
      </c>
      <c r="C1961" s="3">
        <v>2981069</v>
      </c>
      <c r="D1961" s="1" t="s">
        <v>13</v>
      </c>
      <c r="E1961" s="1">
        <v>83</v>
      </c>
      <c r="F1961" s="1" t="s">
        <v>13386</v>
      </c>
      <c r="G1961" s="1" t="s">
        <v>9262</v>
      </c>
    </row>
    <row r="1962" spans="1:7" ht="21" x14ac:dyDescent="0.25">
      <c r="A1962" s="2" t="str">
        <f>HYPERLINK("https://rth.dk/resources/bsgatlas/details.php?id=BSGatlas-5'UTR-1961","BSGatlas-5'UTR-1961")</f>
        <v>BSGatlas-5'UTR-1961</v>
      </c>
      <c r="B1962" s="3">
        <v>2982119</v>
      </c>
      <c r="C1962" s="3">
        <v>2983164</v>
      </c>
      <c r="D1962" s="1" t="s">
        <v>9</v>
      </c>
      <c r="E1962" s="1">
        <v>1046</v>
      </c>
      <c r="F1962" s="1" t="s">
        <v>13387</v>
      </c>
      <c r="G1962" s="1" t="s">
        <v>9266</v>
      </c>
    </row>
    <row r="1963" spans="1:7" ht="21" x14ac:dyDescent="0.25">
      <c r="A1963" s="2" t="str">
        <f>HYPERLINK("https://rth.dk/resources/bsgatlas/details.php?id=BSGatlas-5'UTR-1962","BSGatlas-5'UTR-1962")</f>
        <v>BSGatlas-5'UTR-1962</v>
      </c>
      <c r="B1963" s="3">
        <v>2982269</v>
      </c>
      <c r="C1963" s="3">
        <v>2982463</v>
      </c>
      <c r="D1963" s="1" t="s">
        <v>13</v>
      </c>
      <c r="E1963" s="1">
        <v>195</v>
      </c>
      <c r="F1963" s="1" t="s">
        <v>13388</v>
      </c>
      <c r="G1963" s="1" t="s">
        <v>9264</v>
      </c>
    </row>
    <row r="1964" spans="1:7" ht="21" x14ac:dyDescent="0.25">
      <c r="A1964" s="2" t="str">
        <f>HYPERLINK("https://rth.dk/resources/bsgatlas/details.php?id=BSGatlas-5'UTR-1963","BSGatlas-5'UTR-1963")</f>
        <v>BSGatlas-5'UTR-1963</v>
      </c>
      <c r="B1964" s="3">
        <v>2982455</v>
      </c>
      <c r="C1964" s="3">
        <v>2983164</v>
      </c>
      <c r="D1964" s="1" t="s">
        <v>9</v>
      </c>
      <c r="E1964" s="1">
        <v>710</v>
      </c>
      <c r="F1964" s="1" t="s">
        <v>13387</v>
      </c>
      <c r="G1964" s="1" t="s">
        <v>9269</v>
      </c>
    </row>
    <row r="1965" spans="1:7" ht="21" x14ac:dyDescent="0.25">
      <c r="A1965" s="2" t="str">
        <f>HYPERLINK("https://rth.dk/resources/bsgatlas/details.php?id=BSGatlas-5'UTR-1964","BSGatlas-5'UTR-1964")</f>
        <v>BSGatlas-5'UTR-1964</v>
      </c>
      <c r="B1965" s="3">
        <v>2983067</v>
      </c>
      <c r="C1965" s="3">
        <v>2983094</v>
      </c>
      <c r="D1965" s="1" t="s">
        <v>13</v>
      </c>
      <c r="E1965" s="1">
        <v>28</v>
      </c>
      <c r="F1965" s="1" t="s">
        <v>13389</v>
      </c>
      <c r="G1965" s="1" t="s">
        <v>9270</v>
      </c>
    </row>
    <row r="1966" spans="1:7" ht="21" x14ac:dyDescent="0.25">
      <c r="A1966" s="2" t="str">
        <f>HYPERLINK("https://rth.dk/resources/bsgatlas/details.php?id=BSGatlas-5'UTR-1965","BSGatlas-5'UTR-1965")</f>
        <v>BSGatlas-5'UTR-1965</v>
      </c>
      <c r="B1966" s="3">
        <v>2983126</v>
      </c>
      <c r="C1966" s="3">
        <v>2983164</v>
      </c>
      <c r="D1966" s="1" t="s">
        <v>9</v>
      </c>
      <c r="E1966" s="1">
        <v>39</v>
      </c>
      <c r="F1966" s="1" t="s">
        <v>13387</v>
      </c>
      <c r="G1966" s="1" t="s">
        <v>9272</v>
      </c>
    </row>
    <row r="1967" spans="1:7" ht="21" x14ac:dyDescent="0.25">
      <c r="A1967" s="2" t="str">
        <f>HYPERLINK("https://rth.dk/resources/bsgatlas/details.php?id=BSGatlas-5'UTR-1966","BSGatlas-5'UTR-1966")</f>
        <v>BSGatlas-5'UTR-1966</v>
      </c>
      <c r="B1967" s="3">
        <v>2987547</v>
      </c>
      <c r="C1967" s="3">
        <v>2987649</v>
      </c>
      <c r="D1967" s="1" t="s">
        <v>13</v>
      </c>
      <c r="E1967" s="1">
        <v>103</v>
      </c>
      <c r="F1967" s="1" t="s">
        <v>13390</v>
      </c>
      <c r="G1967" s="1" t="s">
        <v>9274</v>
      </c>
    </row>
    <row r="1968" spans="1:7" ht="21" x14ac:dyDescent="0.25">
      <c r="A1968" s="2" t="str">
        <f>HYPERLINK("https://rth.dk/resources/bsgatlas/details.php?id=BSGatlas-5'UTR-1967","BSGatlas-5'UTR-1967")</f>
        <v>BSGatlas-5'UTR-1967</v>
      </c>
      <c r="B1968" s="3">
        <v>2989552</v>
      </c>
      <c r="C1968" s="3">
        <v>2989649</v>
      </c>
      <c r="D1968" s="1" t="s">
        <v>9</v>
      </c>
      <c r="E1968" s="1">
        <v>98</v>
      </c>
      <c r="F1968" s="1" t="s">
        <v>13391</v>
      </c>
      <c r="G1968" s="1" t="s">
        <v>9282</v>
      </c>
    </row>
    <row r="1969" spans="1:7" ht="21" x14ac:dyDescent="0.25">
      <c r="A1969" s="2" t="str">
        <f>HYPERLINK("https://rth.dk/resources/bsgatlas/details.php?id=BSGatlas-5'UTR-1968","BSGatlas-5'UTR-1968")</f>
        <v>BSGatlas-5'UTR-1968</v>
      </c>
      <c r="B1969" s="3">
        <v>2989565</v>
      </c>
      <c r="C1969" s="3">
        <v>2989649</v>
      </c>
      <c r="D1969" s="1" t="s">
        <v>13</v>
      </c>
      <c r="E1969" s="1">
        <v>85</v>
      </c>
      <c r="F1969" s="1" t="s">
        <v>13392</v>
      </c>
      <c r="G1969" s="1" t="s">
        <v>9280</v>
      </c>
    </row>
    <row r="1970" spans="1:7" ht="21" x14ac:dyDescent="0.25">
      <c r="A1970" s="2" t="str">
        <f>HYPERLINK("https://rth.dk/resources/bsgatlas/details.php?id=BSGatlas-5'UTR-1969","BSGatlas-5'UTR-1969")</f>
        <v>BSGatlas-5'UTR-1969</v>
      </c>
      <c r="B1970" s="3">
        <v>2991239</v>
      </c>
      <c r="C1970" s="3">
        <v>2992509</v>
      </c>
      <c r="D1970" s="1" t="s">
        <v>13</v>
      </c>
      <c r="E1970" s="1">
        <v>1271</v>
      </c>
      <c r="F1970" s="1" t="s">
        <v>13393</v>
      </c>
      <c r="G1970" s="1" t="s">
        <v>9286</v>
      </c>
    </row>
    <row r="1971" spans="1:7" ht="21" x14ac:dyDescent="0.25">
      <c r="A1971" s="2" t="str">
        <f>HYPERLINK("https://rth.dk/resources/bsgatlas/details.php?id=BSGatlas-5'UTR-1970","BSGatlas-5'UTR-1970")</f>
        <v>BSGatlas-5'UTR-1970</v>
      </c>
      <c r="B1971" s="3">
        <v>2994616</v>
      </c>
      <c r="C1971" s="3">
        <v>2994665</v>
      </c>
      <c r="D1971" s="1" t="s">
        <v>13</v>
      </c>
      <c r="E1971" s="1">
        <v>50</v>
      </c>
      <c r="F1971" s="1" t="s">
        <v>13394</v>
      </c>
      <c r="G1971" s="1" t="s">
        <v>9288</v>
      </c>
    </row>
    <row r="1972" spans="1:7" ht="21" x14ac:dyDescent="0.25">
      <c r="A1972" s="2" t="str">
        <f>HYPERLINK("https://rth.dk/resources/bsgatlas/details.php?id=BSGatlas-5'UTR-1971","BSGatlas-5'UTR-1971")</f>
        <v>BSGatlas-5'UTR-1971</v>
      </c>
      <c r="B1972" s="3">
        <v>2994737</v>
      </c>
      <c r="C1972" s="3">
        <v>2994756</v>
      </c>
      <c r="D1972" s="1" t="s">
        <v>9</v>
      </c>
      <c r="E1972" s="1">
        <v>20</v>
      </c>
      <c r="F1972" s="1" t="s">
        <v>13395</v>
      </c>
      <c r="G1972" s="1" t="s">
        <v>9290</v>
      </c>
    </row>
    <row r="1973" spans="1:7" ht="21" x14ac:dyDescent="0.25">
      <c r="A1973" s="2" t="str">
        <f>HYPERLINK("https://rth.dk/resources/bsgatlas/details.php?id=BSGatlas-5'UTR-1972","BSGatlas-5'UTR-1972")</f>
        <v>BSGatlas-5'UTR-1972</v>
      </c>
      <c r="B1973" s="3">
        <v>2995648</v>
      </c>
      <c r="C1973" s="3">
        <v>2995699</v>
      </c>
      <c r="D1973" s="1" t="s">
        <v>9</v>
      </c>
      <c r="E1973" s="1">
        <v>52</v>
      </c>
      <c r="F1973" s="1" t="s">
        <v>13396</v>
      </c>
      <c r="G1973" s="1" t="s">
        <v>9291</v>
      </c>
    </row>
    <row r="1974" spans="1:7" ht="21" x14ac:dyDescent="0.25">
      <c r="A1974" s="2" t="str">
        <f>HYPERLINK("https://rth.dk/resources/bsgatlas/details.php?id=BSGatlas-5'UTR-1973","BSGatlas-5'UTR-1973")</f>
        <v>BSGatlas-5'UTR-1973</v>
      </c>
      <c r="B1974" s="3">
        <v>2996284</v>
      </c>
      <c r="C1974" s="3">
        <v>2996980</v>
      </c>
      <c r="D1974" s="1" t="s">
        <v>9</v>
      </c>
      <c r="E1974" s="1">
        <v>697</v>
      </c>
      <c r="F1974" s="1" t="s">
        <v>13397</v>
      </c>
      <c r="G1974" s="1" t="s">
        <v>9296</v>
      </c>
    </row>
    <row r="1975" spans="1:7" ht="21" x14ac:dyDescent="0.25">
      <c r="A1975" s="2" t="str">
        <f>HYPERLINK("https://rth.dk/resources/bsgatlas/details.php?id=BSGatlas-5'UTR-1974","BSGatlas-5'UTR-1974")</f>
        <v>BSGatlas-5'UTR-1974</v>
      </c>
      <c r="B1975" s="3">
        <v>2996680</v>
      </c>
      <c r="C1975" s="3">
        <v>2996980</v>
      </c>
      <c r="D1975" s="1" t="s">
        <v>9</v>
      </c>
      <c r="E1975" s="1">
        <v>301</v>
      </c>
      <c r="F1975" s="1" t="s">
        <v>13397</v>
      </c>
      <c r="G1975" s="1" t="s">
        <v>9298</v>
      </c>
    </row>
    <row r="1976" spans="1:7" ht="21" x14ac:dyDescent="0.25">
      <c r="A1976" s="2" t="str">
        <f>HYPERLINK("https://rth.dk/resources/bsgatlas/details.php?id=BSGatlas-5'UTR-1975","BSGatlas-5'UTR-1975")</f>
        <v>BSGatlas-5'UTR-1975</v>
      </c>
      <c r="B1976" s="3">
        <v>2996849</v>
      </c>
      <c r="C1976" s="3">
        <v>2996884</v>
      </c>
      <c r="D1976" s="1" t="s">
        <v>13</v>
      </c>
      <c r="E1976" s="1">
        <v>36</v>
      </c>
      <c r="F1976" s="1" t="s">
        <v>13398</v>
      </c>
      <c r="G1976" s="1" t="s">
        <v>9293</v>
      </c>
    </row>
    <row r="1977" spans="1:7" ht="21" x14ac:dyDescent="0.25">
      <c r="A1977" s="2" t="str">
        <f>HYPERLINK("https://rth.dk/resources/bsgatlas/details.php?id=BSGatlas-5'UTR-1976","BSGatlas-5'UTR-1976")</f>
        <v>BSGatlas-5'UTR-1976</v>
      </c>
      <c r="B1977" s="3">
        <v>2998620</v>
      </c>
      <c r="C1977" s="3">
        <v>2998667</v>
      </c>
      <c r="D1977" s="1" t="s">
        <v>13</v>
      </c>
      <c r="E1977" s="1">
        <v>48</v>
      </c>
      <c r="F1977" s="1" t="s">
        <v>13399</v>
      </c>
      <c r="G1977" s="1" t="s">
        <v>9299</v>
      </c>
    </row>
    <row r="1978" spans="1:7" ht="21" x14ac:dyDescent="0.25">
      <c r="A1978" s="2" t="str">
        <f>HYPERLINK("https://rth.dk/resources/bsgatlas/details.php?id=BSGatlas-5'UTR-1977","BSGatlas-5'UTR-1977")</f>
        <v>BSGatlas-5'UTR-1977</v>
      </c>
      <c r="B1978" s="3">
        <v>3008785</v>
      </c>
      <c r="C1978" s="3">
        <v>3008841</v>
      </c>
      <c r="D1978" s="1" t="s">
        <v>13</v>
      </c>
      <c r="E1978" s="1">
        <v>57</v>
      </c>
      <c r="F1978" s="1" t="s">
        <v>13400</v>
      </c>
      <c r="G1978" s="1" t="s">
        <v>9301</v>
      </c>
    </row>
    <row r="1979" spans="1:7" ht="21" x14ac:dyDescent="0.25">
      <c r="A1979" s="2" t="str">
        <f>HYPERLINK("https://rth.dk/resources/bsgatlas/details.php?id=BSGatlas-5'UTR-1978","BSGatlas-5'UTR-1978")</f>
        <v>BSGatlas-5'UTR-1978</v>
      </c>
      <c r="B1979" s="3">
        <v>3008785</v>
      </c>
      <c r="C1979" s="3">
        <v>3008842</v>
      </c>
      <c r="D1979" s="1" t="s">
        <v>13</v>
      </c>
      <c r="E1979" s="1">
        <v>58</v>
      </c>
      <c r="F1979" s="1" t="s">
        <v>13400</v>
      </c>
      <c r="G1979" s="1" t="s">
        <v>9303</v>
      </c>
    </row>
    <row r="1980" spans="1:7" ht="21" x14ac:dyDescent="0.25">
      <c r="A1980" s="2" t="str">
        <f>HYPERLINK("https://rth.dk/resources/bsgatlas/details.php?id=BSGatlas-5'UTR-1979","BSGatlas-5'UTR-1979")</f>
        <v>BSGatlas-5'UTR-1979</v>
      </c>
      <c r="B1980" s="3">
        <v>3008857</v>
      </c>
      <c r="C1980" s="3">
        <v>3008938</v>
      </c>
      <c r="D1980" s="1" t="s">
        <v>9</v>
      </c>
      <c r="E1980" s="1">
        <v>82</v>
      </c>
      <c r="F1980" s="1" t="s">
        <v>13401</v>
      </c>
      <c r="G1980" s="1" t="s">
        <v>9304</v>
      </c>
    </row>
    <row r="1981" spans="1:7" ht="21" x14ac:dyDescent="0.25">
      <c r="A1981" s="2" t="str">
        <f>HYPERLINK("https://rth.dk/resources/bsgatlas/details.php?id=BSGatlas-5'UTR-1980","BSGatlas-5'UTR-1980")</f>
        <v>BSGatlas-5'UTR-1980</v>
      </c>
      <c r="B1981" s="3">
        <v>3008860</v>
      </c>
      <c r="C1981" s="3">
        <v>3008938</v>
      </c>
      <c r="D1981" s="1" t="s">
        <v>9</v>
      </c>
      <c r="E1981" s="1">
        <v>79</v>
      </c>
      <c r="F1981" s="1" t="s">
        <v>13401</v>
      </c>
      <c r="G1981" s="1" t="s">
        <v>9306</v>
      </c>
    </row>
    <row r="1982" spans="1:7" ht="21" x14ac:dyDescent="0.25">
      <c r="A1982" s="2" t="str">
        <f>HYPERLINK("https://rth.dk/resources/bsgatlas/details.php?id=BSGatlas-5'UTR-1981","BSGatlas-5'UTR-1981")</f>
        <v>BSGatlas-5'UTR-1981</v>
      </c>
      <c r="B1982" s="3">
        <v>3011428</v>
      </c>
      <c r="C1982" s="3">
        <v>3011495</v>
      </c>
      <c r="D1982" s="1" t="s">
        <v>13</v>
      </c>
      <c r="E1982" s="1">
        <v>68</v>
      </c>
      <c r="F1982" s="1" t="s">
        <v>13402</v>
      </c>
      <c r="G1982" s="1" t="s">
        <v>9309</v>
      </c>
    </row>
    <row r="1983" spans="1:7" ht="21" x14ac:dyDescent="0.25">
      <c r="A1983" s="2" t="str">
        <f>HYPERLINK("https://rth.dk/resources/bsgatlas/details.php?id=BSGatlas-5'UTR-1982","BSGatlas-5'UTR-1982")</f>
        <v>BSGatlas-5'UTR-1982</v>
      </c>
      <c r="B1983" s="3">
        <v>3014344</v>
      </c>
      <c r="C1983" s="3">
        <v>3014421</v>
      </c>
      <c r="D1983" s="1" t="s">
        <v>13</v>
      </c>
      <c r="E1983" s="1">
        <v>78</v>
      </c>
      <c r="F1983" s="1" t="s">
        <v>13403</v>
      </c>
      <c r="G1983" s="1" t="s">
        <v>9312</v>
      </c>
    </row>
    <row r="1984" spans="1:7" ht="21" x14ac:dyDescent="0.25">
      <c r="A1984" s="2" t="str">
        <f>HYPERLINK("https://rth.dk/resources/bsgatlas/details.php?id=BSGatlas-5'UTR-1983","BSGatlas-5'UTR-1983")</f>
        <v>BSGatlas-5'UTR-1983</v>
      </c>
      <c r="B1984" s="3">
        <v>3015026</v>
      </c>
      <c r="C1984" s="3">
        <v>3015060</v>
      </c>
      <c r="D1984" s="1" t="s">
        <v>13</v>
      </c>
      <c r="E1984" s="1">
        <v>35</v>
      </c>
      <c r="F1984" s="1" t="s">
        <v>13404</v>
      </c>
      <c r="G1984" s="1" t="s">
        <v>9314</v>
      </c>
    </row>
    <row r="1985" spans="1:7" ht="21" x14ac:dyDescent="0.25">
      <c r="A1985" s="2" t="str">
        <f>HYPERLINK("https://rth.dk/resources/bsgatlas/details.php?id=BSGatlas-5'UTR-1984","BSGatlas-5'UTR-1984")</f>
        <v>BSGatlas-5'UTR-1984</v>
      </c>
      <c r="B1985" s="3">
        <v>3016298</v>
      </c>
      <c r="C1985" s="3">
        <v>3016390</v>
      </c>
      <c r="D1985" s="1" t="s">
        <v>13</v>
      </c>
      <c r="E1985" s="1">
        <v>93</v>
      </c>
      <c r="F1985" s="1" t="s">
        <v>13405</v>
      </c>
      <c r="G1985" s="1" t="s">
        <v>9317</v>
      </c>
    </row>
    <row r="1986" spans="1:7" ht="21" x14ac:dyDescent="0.25">
      <c r="A1986" s="2" t="str">
        <f>HYPERLINK("https://rth.dk/resources/bsgatlas/details.php?id=BSGatlas-5'UTR-1985","BSGatlas-5'UTR-1985")</f>
        <v>BSGatlas-5'UTR-1985</v>
      </c>
      <c r="B1986" s="3">
        <v>3018199</v>
      </c>
      <c r="C1986" s="3">
        <v>3018238</v>
      </c>
      <c r="D1986" s="1" t="s">
        <v>13</v>
      </c>
      <c r="E1986" s="1">
        <v>40</v>
      </c>
      <c r="F1986" s="1" t="s">
        <v>13406</v>
      </c>
      <c r="G1986" s="1" t="s">
        <v>9322</v>
      </c>
    </row>
    <row r="1987" spans="1:7" ht="21" x14ac:dyDescent="0.25">
      <c r="A1987" s="2" t="str">
        <f>HYPERLINK("https://rth.dk/resources/bsgatlas/details.php?id=BSGatlas-5'UTR-1986","BSGatlas-5'UTR-1986")</f>
        <v>BSGatlas-5'UTR-1986</v>
      </c>
      <c r="B1987" s="3">
        <v>3018764</v>
      </c>
      <c r="C1987" s="3">
        <v>3018870</v>
      </c>
      <c r="D1987" s="1" t="s">
        <v>13</v>
      </c>
      <c r="E1987" s="1">
        <v>107</v>
      </c>
      <c r="F1987" s="1" t="s">
        <v>13407</v>
      </c>
      <c r="G1987" s="1" t="s">
        <v>9325</v>
      </c>
    </row>
    <row r="1988" spans="1:7" ht="21" x14ac:dyDescent="0.25">
      <c r="A1988" s="2" t="str">
        <f>HYPERLINK("https://rth.dk/resources/bsgatlas/details.php?id=BSGatlas-5'UTR-1987","BSGatlas-5'UTR-1987")</f>
        <v>BSGatlas-5'UTR-1987</v>
      </c>
      <c r="B1988" s="3">
        <v>3019458</v>
      </c>
      <c r="C1988" s="3">
        <v>3019474</v>
      </c>
      <c r="D1988" s="1" t="s">
        <v>13</v>
      </c>
      <c r="E1988" s="1">
        <v>17</v>
      </c>
      <c r="F1988" s="1" t="s">
        <v>13408</v>
      </c>
      <c r="G1988" s="1" t="s">
        <v>9328</v>
      </c>
    </row>
    <row r="1989" spans="1:7" ht="21" x14ac:dyDescent="0.25">
      <c r="A1989" s="2" t="str">
        <f>HYPERLINK("https://rth.dk/resources/bsgatlas/details.php?id=BSGatlas-5'UTR-1988","BSGatlas-5'UTR-1988")</f>
        <v>BSGatlas-5'UTR-1988</v>
      </c>
      <c r="B1989" s="3">
        <v>3021047</v>
      </c>
      <c r="C1989" s="3">
        <v>3021074</v>
      </c>
      <c r="D1989" s="1" t="s">
        <v>13</v>
      </c>
      <c r="E1989" s="1">
        <v>28</v>
      </c>
      <c r="F1989" s="1" t="s">
        <v>13409</v>
      </c>
      <c r="G1989" s="1" t="s">
        <v>9331</v>
      </c>
    </row>
    <row r="1990" spans="1:7" ht="21" x14ac:dyDescent="0.25">
      <c r="A1990" s="2" t="str">
        <f>HYPERLINK("https://rth.dk/resources/bsgatlas/details.php?id=BSGatlas-5'UTR-1989","BSGatlas-5'UTR-1989")</f>
        <v>BSGatlas-5'UTR-1989</v>
      </c>
      <c r="B1990" s="3">
        <v>3021047</v>
      </c>
      <c r="C1990" s="3">
        <v>3021169</v>
      </c>
      <c r="D1990" s="1" t="s">
        <v>13</v>
      </c>
      <c r="E1990" s="1">
        <v>123</v>
      </c>
      <c r="F1990" s="1" t="s">
        <v>13409</v>
      </c>
      <c r="G1990" s="1" t="s">
        <v>9333</v>
      </c>
    </row>
    <row r="1991" spans="1:7" ht="21" x14ac:dyDescent="0.25">
      <c r="A1991" s="2" t="str">
        <f>HYPERLINK("https://rth.dk/resources/bsgatlas/details.php?id=BSGatlas-5'UTR-1990","BSGatlas-5'UTR-1990")</f>
        <v>BSGatlas-5'UTR-1990</v>
      </c>
      <c r="B1991" s="3">
        <v>3021157</v>
      </c>
      <c r="C1991" s="3">
        <v>3021233</v>
      </c>
      <c r="D1991" s="1" t="s">
        <v>9</v>
      </c>
      <c r="E1991" s="1">
        <v>77</v>
      </c>
      <c r="F1991" s="1" t="s">
        <v>13410</v>
      </c>
      <c r="G1991" s="1" t="s">
        <v>9335</v>
      </c>
    </row>
    <row r="1992" spans="1:7" ht="21" x14ac:dyDescent="0.25">
      <c r="A1992" s="2" t="str">
        <f>HYPERLINK("https://rth.dk/resources/bsgatlas/details.php?id=BSGatlas-5'UTR-1991","BSGatlas-5'UTR-1991")</f>
        <v>BSGatlas-5'UTR-1991</v>
      </c>
      <c r="B1992" s="3">
        <v>3025266</v>
      </c>
      <c r="C1992" s="3">
        <v>3025317</v>
      </c>
      <c r="D1992" s="1" t="s">
        <v>13</v>
      </c>
      <c r="E1992" s="1">
        <v>52</v>
      </c>
      <c r="F1992" s="1" t="s">
        <v>13411</v>
      </c>
      <c r="G1992" s="1" t="s">
        <v>9340</v>
      </c>
    </row>
    <row r="1993" spans="1:7" ht="21" x14ac:dyDescent="0.25">
      <c r="A1993" s="2" t="str">
        <f>HYPERLINK("https://rth.dk/resources/bsgatlas/details.php?id=BSGatlas-5'UTR-1992","BSGatlas-5'UTR-1992")</f>
        <v>BSGatlas-5'UTR-1992</v>
      </c>
      <c r="B1993" s="3">
        <v>3025654</v>
      </c>
      <c r="C1993" s="3">
        <v>3025671</v>
      </c>
      <c r="D1993" s="1" t="s">
        <v>13</v>
      </c>
      <c r="E1993" s="1">
        <v>18</v>
      </c>
      <c r="F1993" s="1" t="s">
        <v>13412</v>
      </c>
      <c r="G1993" s="1" t="s">
        <v>9341</v>
      </c>
    </row>
    <row r="1994" spans="1:7" ht="21" x14ac:dyDescent="0.25">
      <c r="A1994" s="2" t="str">
        <f>HYPERLINK("https://rth.dk/resources/bsgatlas/details.php?id=BSGatlas-5'UTR-1993","BSGatlas-5'UTR-1993")</f>
        <v>BSGatlas-5'UTR-1993</v>
      </c>
      <c r="B1994" s="3">
        <v>3028102</v>
      </c>
      <c r="C1994" s="3">
        <v>3029246</v>
      </c>
      <c r="D1994" s="1" t="s">
        <v>13</v>
      </c>
      <c r="E1994" s="1">
        <v>1145</v>
      </c>
      <c r="F1994" s="1" t="s">
        <v>13413</v>
      </c>
      <c r="G1994" s="1" t="s">
        <v>9344</v>
      </c>
    </row>
    <row r="1995" spans="1:7" ht="21" x14ac:dyDescent="0.25">
      <c r="A1995" s="2" t="str">
        <f>HYPERLINK("https://rth.dk/resources/bsgatlas/details.php?id=BSGatlas-5'UTR-1994","BSGatlas-5'UTR-1994")</f>
        <v>BSGatlas-5'UTR-1994</v>
      </c>
      <c r="B1995" s="3">
        <v>3028207</v>
      </c>
      <c r="C1995" s="3">
        <v>3028297</v>
      </c>
      <c r="D1995" s="1" t="s">
        <v>9</v>
      </c>
      <c r="E1995" s="1">
        <v>91</v>
      </c>
      <c r="F1995" s="1" t="s">
        <v>13414</v>
      </c>
      <c r="G1995" s="1" t="s">
        <v>9345</v>
      </c>
    </row>
    <row r="1996" spans="1:7" ht="21" x14ac:dyDescent="0.25">
      <c r="A1996" s="2" t="str">
        <f>HYPERLINK("https://rth.dk/resources/bsgatlas/details.php?id=BSGatlas-5'UTR-1995","BSGatlas-5'UTR-1995")</f>
        <v>BSGatlas-5'UTR-1995</v>
      </c>
      <c r="B1996" s="3">
        <v>3031417</v>
      </c>
      <c r="C1996" s="3">
        <v>3031488</v>
      </c>
      <c r="D1996" s="1" t="s">
        <v>13</v>
      </c>
      <c r="E1996" s="1">
        <v>72</v>
      </c>
      <c r="F1996" s="1" t="s">
        <v>13415</v>
      </c>
      <c r="G1996" s="1" t="s">
        <v>9348</v>
      </c>
    </row>
    <row r="1997" spans="1:7" ht="21" x14ac:dyDescent="0.25">
      <c r="A1997" s="2" t="str">
        <f>HYPERLINK("https://rth.dk/resources/bsgatlas/details.php?id=BSGatlas-5'UTR-1996","BSGatlas-5'UTR-1996")</f>
        <v>BSGatlas-5'UTR-1996</v>
      </c>
      <c r="B1997" s="3">
        <v>3031417</v>
      </c>
      <c r="C1997" s="3">
        <v>3031513</v>
      </c>
      <c r="D1997" s="1" t="s">
        <v>13</v>
      </c>
      <c r="E1997" s="1">
        <v>97</v>
      </c>
      <c r="F1997" s="1" t="s">
        <v>13415</v>
      </c>
      <c r="G1997" s="1" t="s">
        <v>9350</v>
      </c>
    </row>
    <row r="1998" spans="1:7" ht="21" x14ac:dyDescent="0.25">
      <c r="A1998" s="2" t="str">
        <f>HYPERLINK("https://rth.dk/resources/bsgatlas/details.php?id=BSGatlas-5'UTR-1997","BSGatlas-5'UTR-1997")</f>
        <v>BSGatlas-5'UTR-1997</v>
      </c>
      <c r="B1998" s="3">
        <v>3031417</v>
      </c>
      <c r="C1998" s="3">
        <v>3032101</v>
      </c>
      <c r="D1998" s="1" t="s">
        <v>13</v>
      </c>
      <c r="E1998" s="1">
        <v>685</v>
      </c>
      <c r="F1998" s="1" t="s">
        <v>13415</v>
      </c>
      <c r="G1998" s="1" t="s">
        <v>9351</v>
      </c>
    </row>
    <row r="1999" spans="1:7" ht="21" x14ac:dyDescent="0.25">
      <c r="A1999" s="2" t="str">
        <f>HYPERLINK("https://rth.dk/resources/bsgatlas/details.php?id=BSGatlas-5'UTR-1998","BSGatlas-5'UTR-1998")</f>
        <v>BSGatlas-5'UTR-1998</v>
      </c>
      <c r="B1999" s="3">
        <v>3031523</v>
      </c>
      <c r="C1999" s="3">
        <v>3031614</v>
      </c>
      <c r="D1999" s="1" t="s">
        <v>9</v>
      </c>
      <c r="E1999" s="1">
        <v>92</v>
      </c>
      <c r="F1999" s="1" t="s">
        <v>13416</v>
      </c>
      <c r="G1999" s="1" t="s">
        <v>9352</v>
      </c>
    </row>
    <row r="2000" spans="1:7" ht="21" x14ac:dyDescent="0.25">
      <c r="A2000" s="2" t="str">
        <f>HYPERLINK("https://rth.dk/resources/bsgatlas/details.php?id=BSGatlas-5'UTR-1999","BSGatlas-5'UTR-1999")</f>
        <v>BSGatlas-5'UTR-1999</v>
      </c>
      <c r="B2000" s="3">
        <v>3032765</v>
      </c>
      <c r="C2000" s="3">
        <v>3033167</v>
      </c>
      <c r="D2000" s="1" t="s">
        <v>9</v>
      </c>
      <c r="E2000" s="1">
        <v>403</v>
      </c>
      <c r="F2000" s="1" t="s">
        <v>13417</v>
      </c>
      <c r="G2000" s="1" t="s">
        <v>9358</v>
      </c>
    </row>
    <row r="2001" spans="1:7" ht="21" x14ac:dyDescent="0.25">
      <c r="A2001" s="2" t="str">
        <f>HYPERLINK("https://rth.dk/resources/bsgatlas/details.php?id=BSGatlas-5'UTR-2000","BSGatlas-5'UTR-2000")</f>
        <v>BSGatlas-5'UTR-2000</v>
      </c>
      <c r="B2001" s="3">
        <v>3032910</v>
      </c>
      <c r="C2001" s="3">
        <v>3033167</v>
      </c>
      <c r="D2001" s="1" t="s">
        <v>9</v>
      </c>
      <c r="E2001" s="1">
        <v>258</v>
      </c>
      <c r="F2001" s="1" t="s">
        <v>13417</v>
      </c>
      <c r="G2001" s="1" t="s">
        <v>9359</v>
      </c>
    </row>
    <row r="2002" spans="1:7" ht="21" x14ac:dyDescent="0.25">
      <c r="A2002" s="2" t="str">
        <f>HYPERLINK("https://rth.dk/resources/bsgatlas/details.php?id=BSGatlas-5'UTR-2001","BSGatlas-5'UTR-2001")</f>
        <v>BSGatlas-5'UTR-2001</v>
      </c>
      <c r="B2002" s="3">
        <v>3033040</v>
      </c>
      <c r="C2002" s="3">
        <v>3033074</v>
      </c>
      <c r="D2002" s="1" t="s">
        <v>13</v>
      </c>
      <c r="E2002" s="1">
        <v>35</v>
      </c>
      <c r="F2002" s="1" t="s">
        <v>13418</v>
      </c>
      <c r="G2002" s="1" t="s">
        <v>9356</v>
      </c>
    </row>
    <row r="2003" spans="1:7" ht="21" x14ac:dyDescent="0.25">
      <c r="A2003" s="2" t="str">
        <f>HYPERLINK("https://rth.dk/resources/bsgatlas/details.php?id=BSGatlas-5'UTR-2002","BSGatlas-5'UTR-2002")</f>
        <v>BSGatlas-5'UTR-2002</v>
      </c>
      <c r="B2003" s="3">
        <v>3033042</v>
      </c>
      <c r="C2003" s="3">
        <v>3033167</v>
      </c>
      <c r="D2003" s="1" t="s">
        <v>9</v>
      </c>
      <c r="E2003" s="1">
        <v>126</v>
      </c>
      <c r="F2003" s="1" t="s">
        <v>13417</v>
      </c>
      <c r="G2003" s="1" t="s">
        <v>9360</v>
      </c>
    </row>
    <row r="2004" spans="1:7" ht="21" x14ac:dyDescent="0.25">
      <c r="A2004" s="2" t="str">
        <f>HYPERLINK("https://rth.dk/resources/bsgatlas/details.php?id=BSGatlas-5'UTR-2003","BSGatlas-5'UTR-2003")</f>
        <v>BSGatlas-5'UTR-2003</v>
      </c>
      <c r="B2004" s="3">
        <v>3034933</v>
      </c>
      <c r="C2004" s="3">
        <v>3035730</v>
      </c>
      <c r="D2004" s="1" t="s">
        <v>9</v>
      </c>
      <c r="E2004" s="1">
        <v>798</v>
      </c>
      <c r="F2004" s="1" t="s">
        <v>13419</v>
      </c>
      <c r="G2004" s="1" t="s">
        <v>9363</v>
      </c>
    </row>
    <row r="2005" spans="1:7" ht="21" x14ac:dyDescent="0.25">
      <c r="A2005" s="2" t="str">
        <f>HYPERLINK("https://rth.dk/resources/bsgatlas/details.php?id=BSGatlas-5'UTR-2004","BSGatlas-5'UTR-2004")</f>
        <v>BSGatlas-5'UTR-2004</v>
      </c>
      <c r="B2005" s="3">
        <v>3035435</v>
      </c>
      <c r="C2005" s="3">
        <v>3035473</v>
      </c>
      <c r="D2005" s="1" t="s">
        <v>13</v>
      </c>
      <c r="E2005" s="1">
        <v>39</v>
      </c>
      <c r="F2005" s="1" t="s">
        <v>13420</v>
      </c>
      <c r="G2005" s="1" t="s">
        <v>9361</v>
      </c>
    </row>
    <row r="2006" spans="1:7" ht="21" x14ac:dyDescent="0.25">
      <c r="A2006" s="2" t="str">
        <f>HYPERLINK("https://rth.dk/resources/bsgatlas/details.php?id=BSGatlas-5'UTR-2005","BSGatlas-5'UTR-2005")</f>
        <v>BSGatlas-5'UTR-2005</v>
      </c>
      <c r="B2006" s="3">
        <v>3035548</v>
      </c>
      <c r="C2006" s="3">
        <v>3035730</v>
      </c>
      <c r="D2006" s="1" t="s">
        <v>9</v>
      </c>
      <c r="E2006" s="1">
        <v>183</v>
      </c>
      <c r="F2006" s="1" t="s">
        <v>13419</v>
      </c>
      <c r="G2006" s="1" t="s">
        <v>9368</v>
      </c>
    </row>
    <row r="2007" spans="1:7" ht="21" x14ac:dyDescent="0.25">
      <c r="A2007" s="2" t="str">
        <f>HYPERLINK("https://rth.dk/resources/bsgatlas/details.php?id=BSGatlas-5'UTR-2006","BSGatlas-5'UTR-2006")</f>
        <v>BSGatlas-5'UTR-2006</v>
      </c>
      <c r="B2007" s="3">
        <v>3037871</v>
      </c>
      <c r="C2007" s="3">
        <v>3038168</v>
      </c>
      <c r="D2007" s="1" t="s">
        <v>13</v>
      </c>
      <c r="E2007" s="1">
        <v>298</v>
      </c>
      <c r="F2007" s="1" t="s">
        <v>13421</v>
      </c>
      <c r="G2007" s="1" t="s">
        <v>9371</v>
      </c>
    </row>
    <row r="2008" spans="1:7" ht="21" x14ac:dyDescent="0.25">
      <c r="A2008" s="2" t="str">
        <f>HYPERLINK("https://rth.dk/resources/bsgatlas/details.php?id=BSGatlas-5'UTR-2007","BSGatlas-5'UTR-2007")</f>
        <v>BSGatlas-5'UTR-2007</v>
      </c>
      <c r="B2008" s="3">
        <v>3039931</v>
      </c>
      <c r="C2008" s="3">
        <v>3039961</v>
      </c>
      <c r="D2008" s="1" t="s">
        <v>13</v>
      </c>
      <c r="E2008" s="1">
        <v>31</v>
      </c>
      <c r="F2008" s="1" t="s">
        <v>13422</v>
      </c>
      <c r="G2008" s="1" t="s">
        <v>9375</v>
      </c>
    </row>
    <row r="2009" spans="1:7" ht="21" x14ac:dyDescent="0.25">
      <c r="A2009" s="2" t="str">
        <f>HYPERLINK("https://rth.dk/resources/bsgatlas/details.php?id=BSGatlas-5'UTR-2008","BSGatlas-5'UTR-2008")</f>
        <v>BSGatlas-5'UTR-2008</v>
      </c>
      <c r="B2009" s="3">
        <v>3039973</v>
      </c>
      <c r="C2009" s="3">
        <v>3040092</v>
      </c>
      <c r="D2009" s="1" t="s">
        <v>9</v>
      </c>
      <c r="E2009" s="1">
        <v>120</v>
      </c>
      <c r="F2009" s="1" t="s">
        <v>13423</v>
      </c>
      <c r="G2009" s="1" t="s">
        <v>9381</v>
      </c>
    </row>
    <row r="2010" spans="1:7" ht="21" x14ac:dyDescent="0.25">
      <c r="A2010" s="2" t="str">
        <f>HYPERLINK("https://rth.dk/resources/bsgatlas/details.php?id=BSGatlas-5'UTR-2009","BSGatlas-5'UTR-2009")</f>
        <v>BSGatlas-5'UTR-2009</v>
      </c>
      <c r="B2010" s="3">
        <v>3040051</v>
      </c>
      <c r="C2010" s="3">
        <v>3040092</v>
      </c>
      <c r="D2010" s="1" t="s">
        <v>9</v>
      </c>
      <c r="E2010" s="1">
        <v>42</v>
      </c>
      <c r="F2010" s="1" t="s">
        <v>13423</v>
      </c>
      <c r="G2010" s="1" t="s">
        <v>9383</v>
      </c>
    </row>
    <row r="2011" spans="1:7" ht="21" x14ac:dyDescent="0.25">
      <c r="A2011" s="2" t="str">
        <f>HYPERLINK("https://rth.dk/resources/bsgatlas/details.php?id=BSGatlas-5'UTR-2010","BSGatlas-5'UTR-2010")</f>
        <v>BSGatlas-5'UTR-2010</v>
      </c>
      <c r="B2011" s="3">
        <v>3045169</v>
      </c>
      <c r="C2011" s="3">
        <v>3045219</v>
      </c>
      <c r="D2011" s="1" t="s">
        <v>13</v>
      </c>
      <c r="E2011" s="1">
        <v>51</v>
      </c>
      <c r="F2011" s="1" t="s">
        <v>13424</v>
      </c>
      <c r="G2011" s="1" t="s">
        <v>9386</v>
      </c>
    </row>
    <row r="2012" spans="1:7" ht="21" x14ac:dyDescent="0.25">
      <c r="A2012" s="2" t="str">
        <f>HYPERLINK("https://rth.dk/resources/bsgatlas/details.php?id=BSGatlas-5'UTR-2011","BSGatlas-5'UTR-2011")</f>
        <v>BSGatlas-5'UTR-2011</v>
      </c>
      <c r="B2012" s="3">
        <v>3045169</v>
      </c>
      <c r="C2012" s="3">
        <v>3045329</v>
      </c>
      <c r="D2012" s="1" t="s">
        <v>13</v>
      </c>
      <c r="E2012" s="1">
        <v>161</v>
      </c>
      <c r="F2012" s="1" t="s">
        <v>13424</v>
      </c>
      <c r="G2012" s="1" t="s">
        <v>9388</v>
      </c>
    </row>
    <row r="2013" spans="1:7" ht="21" x14ac:dyDescent="0.25">
      <c r="A2013" s="2" t="str">
        <f>HYPERLINK("https://rth.dk/resources/bsgatlas/details.php?id=BSGatlas-5'UTR-2012","BSGatlas-5'UTR-2012")</f>
        <v>BSGatlas-5'UTR-2012</v>
      </c>
      <c r="B2013" s="3">
        <v>3046521</v>
      </c>
      <c r="C2013" s="3">
        <v>3046582</v>
      </c>
      <c r="D2013" s="1" t="s">
        <v>13</v>
      </c>
      <c r="E2013" s="1">
        <v>62</v>
      </c>
      <c r="F2013" s="1" t="s">
        <v>13425</v>
      </c>
      <c r="G2013" s="1" t="s">
        <v>9391</v>
      </c>
    </row>
    <row r="2014" spans="1:7" ht="21" x14ac:dyDescent="0.25">
      <c r="A2014" s="2" t="str">
        <f>HYPERLINK("https://rth.dk/resources/bsgatlas/details.php?id=BSGatlas-5'UTR-2013","BSGatlas-5'UTR-2013")</f>
        <v>BSGatlas-5'UTR-2013</v>
      </c>
      <c r="B2014" s="3">
        <v>3046521</v>
      </c>
      <c r="C2014" s="3">
        <v>3046684</v>
      </c>
      <c r="D2014" s="1" t="s">
        <v>13</v>
      </c>
      <c r="E2014" s="1">
        <v>164</v>
      </c>
      <c r="F2014" s="1" t="s">
        <v>13425</v>
      </c>
      <c r="G2014" s="1" t="s">
        <v>9393</v>
      </c>
    </row>
    <row r="2015" spans="1:7" ht="21" x14ac:dyDescent="0.25">
      <c r="A2015" s="2" t="str">
        <f>HYPERLINK("https://rth.dk/resources/bsgatlas/details.php?id=BSGatlas-5'UTR-2014","BSGatlas-5'UTR-2014")</f>
        <v>BSGatlas-5'UTR-2014</v>
      </c>
      <c r="B2015" s="3">
        <v>3048015</v>
      </c>
      <c r="C2015" s="3">
        <v>3048041</v>
      </c>
      <c r="D2015" s="1" t="s">
        <v>13</v>
      </c>
      <c r="E2015" s="1">
        <v>27</v>
      </c>
      <c r="F2015" s="1" t="s">
        <v>13426</v>
      </c>
      <c r="G2015" s="1" t="s">
        <v>9395</v>
      </c>
    </row>
    <row r="2016" spans="1:7" ht="21" x14ac:dyDescent="0.25">
      <c r="A2016" s="2" t="str">
        <f>HYPERLINK("https://rth.dk/resources/bsgatlas/details.php?id=BSGatlas-5'UTR-2015","BSGatlas-5'UTR-2015")</f>
        <v>BSGatlas-5'UTR-2015</v>
      </c>
      <c r="B2016" s="3">
        <v>3048015</v>
      </c>
      <c r="C2016" s="3">
        <v>3048090</v>
      </c>
      <c r="D2016" s="1" t="s">
        <v>13</v>
      </c>
      <c r="E2016" s="1">
        <v>76</v>
      </c>
      <c r="F2016" s="1" t="s">
        <v>13426</v>
      </c>
      <c r="G2016" s="1" t="s">
        <v>9397</v>
      </c>
    </row>
    <row r="2017" spans="1:7" ht="21" x14ac:dyDescent="0.25">
      <c r="A2017" s="2" t="str">
        <f>HYPERLINK("https://rth.dk/resources/bsgatlas/details.php?id=BSGatlas-5'UTR-2016","BSGatlas-5'UTR-2016")</f>
        <v>BSGatlas-5'UTR-2016</v>
      </c>
      <c r="B2017" s="3">
        <v>3049475</v>
      </c>
      <c r="C2017" s="3">
        <v>3049501</v>
      </c>
      <c r="D2017" s="1" t="s">
        <v>13</v>
      </c>
      <c r="E2017" s="1">
        <v>27</v>
      </c>
      <c r="F2017" s="1" t="s">
        <v>13427</v>
      </c>
      <c r="G2017" s="1" t="s">
        <v>9398</v>
      </c>
    </row>
    <row r="2018" spans="1:7" ht="21" x14ac:dyDescent="0.25">
      <c r="A2018" s="2" t="str">
        <f>HYPERLINK("https://rth.dk/resources/bsgatlas/details.php?id=BSGatlas-5'UTR-2017","BSGatlas-5'UTR-2017")</f>
        <v>BSGatlas-5'UTR-2017</v>
      </c>
      <c r="B2018" s="3">
        <v>3049475</v>
      </c>
      <c r="C2018" s="3">
        <v>3049699</v>
      </c>
      <c r="D2018" s="1" t="s">
        <v>13</v>
      </c>
      <c r="E2018" s="1">
        <v>225</v>
      </c>
      <c r="F2018" s="1" t="s">
        <v>13427</v>
      </c>
      <c r="G2018" s="1" t="s">
        <v>9400</v>
      </c>
    </row>
    <row r="2019" spans="1:7" ht="21" x14ac:dyDescent="0.25">
      <c r="A2019" s="2" t="str">
        <f>HYPERLINK("https://rth.dk/resources/bsgatlas/details.php?id=BSGatlas-5'UTR-2018","BSGatlas-5'UTR-2018")</f>
        <v>BSGatlas-5'UTR-2018</v>
      </c>
      <c r="B2019" s="3">
        <v>3052583</v>
      </c>
      <c r="C2019" s="3">
        <v>3052627</v>
      </c>
      <c r="D2019" s="1" t="s">
        <v>13</v>
      </c>
      <c r="E2019" s="1">
        <v>45</v>
      </c>
      <c r="F2019" s="1" t="s">
        <v>13428</v>
      </c>
      <c r="G2019" s="1" t="s">
        <v>9402</v>
      </c>
    </row>
    <row r="2020" spans="1:7" ht="21" x14ac:dyDescent="0.25">
      <c r="A2020" s="2" t="str">
        <f>HYPERLINK("https://rth.dk/resources/bsgatlas/details.php?id=BSGatlas-5'UTR-2019","BSGatlas-5'UTR-2019")</f>
        <v>BSGatlas-5'UTR-2019</v>
      </c>
      <c r="B2020" s="3">
        <v>3054511</v>
      </c>
      <c r="C2020" s="3">
        <v>3054567</v>
      </c>
      <c r="D2020" s="1" t="s">
        <v>13</v>
      </c>
      <c r="E2020" s="1">
        <v>57</v>
      </c>
      <c r="F2020" s="1" t="s">
        <v>13429</v>
      </c>
      <c r="G2020" s="1" t="s">
        <v>9404</v>
      </c>
    </row>
    <row r="2021" spans="1:7" ht="21" x14ac:dyDescent="0.25">
      <c r="A2021" s="2" t="str">
        <f>HYPERLINK("https://rth.dk/resources/bsgatlas/details.php?id=BSGatlas-5'UTR-2020","BSGatlas-5'UTR-2020")</f>
        <v>BSGatlas-5'UTR-2020</v>
      </c>
      <c r="B2021" s="3">
        <v>3054685</v>
      </c>
      <c r="C2021" s="3">
        <v>3054746</v>
      </c>
      <c r="D2021" s="1" t="s">
        <v>9</v>
      </c>
      <c r="E2021" s="1">
        <v>62</v>
      </c>
      <c r="F2021" s="1" t="s">
        <v>13430</v>
      </c>
      <c r="G2021" s="1" t="s">
        <v>9407</v>
      </c>
    </row>
    <row r="2022" spans="1:7" ht="21" x14ac:dyDescent="0.25">
      <c r="A2022" s="2" t="str">
        <f>HYPERLINK("https://rth.dk/resources/bsgatlas/details.php?id=BSGatlas-5'UTR-2021","BSGatlas-5'UTR-2021")</f>
        <v>BSGatlas-5'UTR-2021</v>
      </c>
      <c r="B2022" s="3">
        <v>3056320</v>
      </c>
      <c r="C2022" s="3">
        <v>3056346</v>
      </c>
      <c r="D2022" s="1" t="s">
        <v>13</v>
      </c>
      <c r="E2022" s="1">
        <v>27</v>
      </c>
      <c r="F2022" s="1" t="s">
        <v>13431</v>
      </c>
      <c r="G2022" s="1" t="s">
        <v>9409</v>
      </c>
    </row>
    <row r="2023" spans="1:7" ht="21" x14ac:dyDescent="0.25">
      <c r="A2023" s="2" t="str">
        <f>HYPERLINK("https://rth.dk/resources/bsgatlas/details.php?id=BSGatlas-5'UTR-2022","BSGatlas-5'UTR-2022")</f>
        <v>BSGatlas-5'UTR-2022</v>
      </c>
      <c r="B2023" s="3">
        <v>3056440</v>
      </c>
      <c r="C2023" s="3">
        <v>3056479</v>
      </c>
      <c r="D2023" s="1" t="s">
        <v>9</v>
      </c>
      <c r="E2023" s="1">
        <v>40</v>
      </c>
      <c r="F2023" s="1" t="s">
        <v>13432</v>
      </c>
      <c r="G2023" s="1" t="s">
        <v>9411</v>
      </c>
    </row>
    <row r="2024" spans="1:7" ht="21" x14ac:dyDescent="0.25">
      <c r="A2024" s="2" t="str">
        <f>HYPERLINK("https://rth.dk/resources/bsgatlas/details.php?id=BSGatlas-5'UTR-2023","BSGatlas-5'UTR-2023")</f>
        <v>BSGatlas-5'UTR-2023</v>
      </c>
      <c r="B2024" s="3">
        <v>3058549</v>
      </c>
      <c r="C2024" s="3">
        <v>3058588</v>
      </c>
      <c r="D2024" s="1" t="s">
        <v>13</v>
      </c>
      <c r="E2024" s="1">
        <v>40</v>
      </c>
      <c r="F2024" s="1" t="s">
        <v>13433</v>
      </c>
      <c r="G2024" s="1" t="s">
        <v>9413</v>
      </c>
    </row>
    <row r="2025" spans="1:7" ht="21" x14ac:dyDescent="0.25">
      <c r="A2025" s="2" t="str">
        <f>HYPERLINK("https://rth.dk/resources/bsgatlas/details.php?id=BSGatlas-5'UTR-2024","BSGatlas-5'UTR-2024")</f>
        <v>BSGatlas-5'UTR-2024</v>
      </c>
      <c r="B2025" s="3">
        <v>3059401</v>
      </c>
      <c r="C2025" s="3">
        <v>3059490</v>
      </c>
      <c r="D2025" s="1" t="s">
        <v>13</v>
      </c>
      <c r="E2025" s="1">
        <v>90</v>
      </c>
      <c r="F2025" s="1" t="s">
        <v>13434</v>
      </c>
      <c r="G2025" s="1" t="s">
        <v>9416</v>
      </c>
    </row>
    <row r="2026" spans="1:7" ht="21" x14ac:dyDescent="0.25">
      <c r="A2026" s="2" t="str">
        <f>HYPERLINK("https://rth.dk/resources/bsgatlas/details.php?id=BSGatlas-5'UTR-2025","BSGatlas-5'UTR-2025")</f>
        <v>BSGatlas-5'UTR-2025</v>
      </c>
      <c r="B2026" s="3">
        <v>3060188</v>
      </c>
      <c r="C2026" s="3">
        <v>3060223</v>
      </c>
      <c r="D2026" s="1" t="s">
        <v>13</v>
      </c>
      <c r="E2026" s="1">
        <v>36</v>
      </c>
      <c r="F2026" s="1" t="s">
        <v>13435</v>
      </c>
      <c r="G2026" s="1" t="s">
        <v>9418</v>
      </c>
    </row>
    <row r="2027" spans="1:7" ht="21" x14ac:dyDescent="0.25">
      <c r="A2027" s="2" t="str">
        <f>HYPERLINK("https://rth.dk/resources/bsgatlas/details.php?id=BSGatlas-5'UTR-2026","BSGatlas-5'UTR-2026")</f>
        <v>BSGatlas-5'UTR-2026</v>
      </c>
      <c r="B2027" s="3">
        <v>3060360</v>
      </c>
      <c r="C2027" s="3">
        <v>3060395</v>
      </c>
      <c r="D2027" s="1" t="s">
        <v>9</v>
      </c>
      <c r="E2027" s="1">
        <v>36</v>
      </c>
      <c r="F2027" s="1" t="s">
        <v>13436</v>
      </c>
      <c r="G2027" s="1" t="s">
        <v>9421</v>
      </c>
    </row>
    <row r="2028" spans="1:7" ht="21" x14ac:dyDescent="0.25">
      <c r="A2028" s="2" t="str">
        <f>HYPERLINK("https://rth.dk/resources/bsgatlas/details.php?id=BSGatlas-5'UTR-2027","BSGatlas-5'UTR-2027")</f>
        <v>BSGatlas-5'UTR-2027</v>
      </c>
      <c r="B2028" s="3">
        <v>3061288</v>
      </c>
      <c r="C2028" s="3">
        <v>3061624</v>
      </c>
      <c r="D2028" s="1" t="s">
        <v>13</v>
      </c>
      <c r="E2028" s="1">
        <v>337</v>
      </c>
      <c r="F2028" s="1" t="s">
        <v>13437</v>
      </c>
      <c r="G2028" s="1" t="s">
        <v>9423</v>
      </c>
    </row>
    <row r="2029" spans="1:7" ht="21" x14ac:dyDescent="0.25">
      <c r="A2029" s="2" t="str">
        <f>HYPERLINK("https://rth.dk/resources/bsgatlas/details.php?id=BSGatlas-5'UTR-2028","BSGatlas-5'UTR-2028")</f>
        <v>BSGatlas-5'UTR-2028</v>
      </c>
      <c r="B2029" s="3">
        <v>3066168</v>
      </c>
      <c r="C2029" s="3">
        <v>3066451</v>
      </c>
      <c r="D2029" s="1" t="s">
        <v>9</v>
      </c>
      <c r="E2029" s="1">
        <v>284</v>
      </c>
      <c r="F2029" s="1" t="s">
        <v>13438</v>
      </c>
      <c r="G2029" s="1" t="s">
        <v>9430</v>
      </c>
    </row>
    <row r="2030" spans="1:7" ht="21" x14ac:dyDescent="0.25">
      <c r="A2030" s="2" t="str">
        <f>HYPERLINK("https://rth.dk/resources/bsgatlas/details.php?id=BSGatlas-5'UTR-2029","BSGatlas-5'UTR-2029")</f>
        <v>BSGatlas-5'UTR-2029</v>
      </c>
      <c r="B2030" s="3">
        <v>3066302</v>
      </c>
      <c r="C2030" s="3">
        <v>3066337</v>
      </c>
      <c r="D2030" s="1" t="s">
        <v>13</v>
      </c>
      <c r="E2030" s="1">
        <v>36</v>
      </c>
      <c r="F2030" s="1" t="s">
        <v>13439</v>
      </c>
      <c r="G2030" s="1" t="s">
        <v>9428</v>
      </c>
    </row>
    <row r="2031" spans="1:7" ht="21" x14ac:dyDescent="0.25">
      <c r="A2031" s="2" t="str">
        <f>HYPERLINK("https://rth.dk/resources/bsgatlas/details.php?id=BSGatlas-5'UTR-2030","BSGatlas-5'UTR-2030")</f>
        <v>BSGatlas-5'UTR-2030</v>
      </c>
      <c r="B2031" s="3">
        <v>3066302</v>
      </c>
      <c r="C2031" s="3">
        <v>3066420</v>
      </c>
      <c r="D2031" s="1" t="s">
        <v>13</v>
      </c>
      <c r="E2031" s="1">
        <v>119</v>
      </c>
      <c r="F2031" s="1" t="s">
        <v>13439</v>
      </c>
      <c r="G2031" s="1" t="s">
        <v>9429</v>
      </c>
    </row>
    <row r="2032" spans="1:7" ht="21" x14ac:dyDescent="0.25">
      <c r="A2032" s="2" t="str">
        <f>HYPERLINK("https://rth.dk/resources/bsgatlas/details.php?id=BSGatlas-5'UTR-2031","BSGatlas-5'UTR-2031")</f>
        <v>BSGatlas-5'UTR-2031</v>
      </c>
      <c r="B2032" s="3">
        <v>3066410</v>
      </c>
      <c r="C2032" s="3">
        <v>3066451</v>
      </c>
      <c r="D2032" s="1" t="s">
        <v>9</v>
      </c>
      <c r="E2032" s="1">
        <v>42</v>
      </c>
      <c r="F2032" s="1" t="s">
        <v>13438</v>
      </c>
      <c r="G2032" s="1" t="s">
        <v>9432</v>
      </c>
    </row>
    <row r="2033" spans="1:7" ht="21" x14ac:dyDescent="0.25">
      <c r="A2033" s="2" t="str">
        <f>HYPERLINK("https://rth.dk/resources/bsgatlas/details.php?id=BSGatlas-5'UTR-2032","BSGatlas-5'UTR-2032")</f>
        <v>BSGatlas-5'UTR-2032</v>
      </c>
      <c r="B2033" s="3">
        <v>3068811</v>
      </c>
      <c r="C2033" s="3">
        <v>3069252</v>
      </c>
      <c r="D2033" s="1" t="s">
        <v>13</v>
      </c>
      <c r="E2033" s="1">
        <v>442</v>
      </c>
      <c r="F2033" s="1" t="s">
        <v>13440</v>
      </c>
      <c r="G2033" s="1" t="s">
        <v>9433</v>
      </c>
    </row>
    <row r="2034" spans="1:7" ht="21" x14ac:dyDescent="0.25">
      <c r="A2034" s="2" t="str">
        <f>HYPERLINK("https://rth.dk/resources/bsgatlas/details.php?id=BSGatlas-5'UTR-2033","BSGatlas-5'UTR-2033")</f>
        <v>BSGatlas-5'UTR-2033</v>
      </c>
      <c r="B2034" s="3">
        <v>3068870</v>
      </c>
      <c r="C2034" s="3">
        <v>3068908</v>
      </c>
      <c r="D2034" s="1" t="s">
        <v>9</v>
      </c>
      <c r="E2034" s="1">
        <v>39</v>
      </c>
      <c r="F2034" s="1" t="s">
        <v>13441</v>
      </c>
      <c r="G2034" s="1" t="s">
        <v>9435</v>
      </c>
    </row>
    <row r="2035" spans="1:7" ht="21" x14ac:dyDescent="0.25">
      <c r="A2035" s="2" t="str">
        <f>HYPERLINK("https://rth.dk/resources/bsgatlas/details.php?id=BSGatlas-5'UTR-2034","BSGatlas-5'UTR-2034")</f>
        <v>BSGatlas-5'UTR-2034</v>
      </c>
      <c r="B2035" s="3">
        <v>3070547</v>
      </c>
      <c r="C2035" s="3">
        <v>3072289</v>
      </c>
      <c r="D2035" s="1" t="s">
        <v>9</v>
      </c>
      <c r="E2035" s="1">
        <v>1743</v>
      </c>
      <c r="F2035" s="1" t="s">
        <v>13442</v>
      </c>
      <c r="G2035" s="1" t="s">
        <v>9442</v>
      </c>
    </row>
    <row r="2036" spans="1:7" ht="21" x14ac:dyDescent="0.25">
      <c r="A2036" s="2" t="str">
        <f>HYPERLINK("https://rth.dk/resources/bsgatlas/details.php?id=BSGatlas-5'UTR-2035","BSGatlas-5'UTR-2035")</f>
        <v>BSGatlas-5'UTR-2035</v>
      </c>
      <c r="B2036" s="3">
        <v>3072110</v>
      </c>
      <c r="C2036" s="3">
        <v>3072141</v>
      </c>
      <c r="D2036" s="1" t="s">
        <v>13</v>
      </c>
      <c r="E2036" s="1">
        <v>32</v>
      </c>
      <c r="F2036" s="1" t="s">
        <v>13443</v>
      </c>
      <c r="G2036" s="1" t="s">
        <v>9439</v>
      </c>
    </row>
    <row r="2037" spans="1:7" ht="21" x14ac:dyDescent="0.25">
      <c r="A2037" s="2" t="str">
        <f>HYPERLINK("https://rth.dk/resources/bsgatlas/details.php?id=BSGatlas-5'UTR-2036","BSGatlas-5'UTR-2036")</f>
        <v>BSGatlas-5'UTR-2036</v>
      </c>
      <c r="B2037" s="3">
        <v>3072180</v>
      </c>
      <c r="C2037" s="3">
        <v>3072289</v>
      </c>
      <c r="D2037" s="1" t="s">
        <v>9</v>
      </c>
      <c r="E2037" s="1">
        <v>110</v>
      </c>
      <c r="F2037" s="1" t="s">
        <v>13442</v>
      </c>
      <c r="G2037" s="1" t="s">
        <v>9443</v>
      </c>
    </row>
    <row r="2038" spans="1:7" ht="21" x14ac:dyDescent="0.25">
      <c r="A2038" s="2" t="str">
        <f>HYPERLINK("https://rth.dk/resources/bsgatlas/details.php?id=BSGatlas-5'UTR-2037","BSGatlas-5'UTR-2037")</f>
        <v>BSGatlas-5'UTR-2037</v>
      </c>
      <c r="B2038" s="3">
        <v>3075165</v>
      </c>
      <c r="C2038" s="3">
        <v>3075213</v>
      </c>
      <c r="D2038" s="1" t="s">
        <v>13</v>
      </c>
      <c r="E2038" s="1">
        <v>49</v>
      </c>
      <c r="F2038" s="1" t="s">
        <v>13444</v>
      </c>
      <c r="G2038" s="1" t="s">
        <v>9448</v>
      </c>
    </row>
    <row r="2039" spans="1:7" ht="21" x14ac:dyDescent="0.25">
      <c r="A2039" s="2" t="str">
        <f>HYPERLINK("https://rth.dk/resources/bsgatlas/details.php?id=BSGatlas-5'UTR-2038","BSGatlas-5'UTR-2038")</f>
        <v>BSGatlas-5'UTR-2038</v>
      </c>
      <c r="B2039" s="3">
        <v>3075321</v>
      </c>
      <c r="C2039" s="3">
        <v>3075367</v>
      </c>
      <c r="D2039" s="1" t="s">
        <v>9</v>
      </c>
      <c r="E2039" s="1">
        <v>47</v>
      </c>
      <c r="F2039" s="1" t="s">
        <v>13445</v>
      </c>
      <c r="G2039" s="1" t="s">
        <v>9452</v>
      </c>
    </row>
    <row r="2040" spans="1:7" ht="21" x14ac:dyDescent="0.25">
      <c r="A2040" s="2" t="str">
        <f>HYPERLINK("https://rth.dk/resources/bsgatlas/details.php?id=BSGatlas-5'UTR-2039","BSGatlas-5'UTR-2039")</f>
        <v>BSGatlas-5'UTR-2039</v>
      </c>
      <c r="B2040" s="3">
        <v>3076730</v>
      </c>
      <c r="C2040" s="3">
        <v>3076818</v>
      </c>
      <c r="D2040" s="1" t="s">
        <v>9</v>
      </c>
      <c r="E2040" s="1">
        <v>89</v>
      </c>
      <c r="F2040" s="1" t="s">
        <v>13446</v>
      </c>
      <c r="G2040" s="1" t="s">
        <v>9455</v>
      </c>
    </row>
    <row r="2041" spans="1:7" ht="21" x14ac:dyDescent="0.25">
      <c r="A2041" s="2" t="str">
        <f>HYPERLINK("https://rth.dk/resources/bsgatlas/details.php?id=BSGatlas-5'UTR-2040","BSGatlas-5'UTR-2040")</f>
        <v>BSGatlas-5'UTR-2040</v>
      </c>
      <c r="B2041" s="3">
        <v>3078575</v>
      </c>
      <c r="C2041" s="3">
        <v>3078595</v>
      </c>
      <c r="D2041" s="1" t="s">
        <v>13</v>
      </c>
      <c r="E2041" s="1">
        <v>21</v>
      </c>
      <c r="F2041" s="1" t="s">
        <v>13447</v>
      </c>
      <c r="G2041" s="1" t="s">
        <v>9456</v>
      </c>
    </row>
    <row r="2042" spans="1:7" ht="21" x14ac:dyDescent="0.25">
      <c r="A2042" s="2" t="str">
        <f>HYPERLINK("https://rth.dk/resources/bsgatlas/details.php?id=BSGatlas-5'UTR-2041","BSGatlas-5'UTR-2041")</f>
        <v>BSGatlas-5'UTR-2041</v>
      </c>
      <c r="B2042" s="3">
        <v>3083225</v>
      </c>
      <c r="C2042" s="3">
        <v>3083251</v>
      </c>
      <c r="D2042" s="1" t="s">
        <v>13</v>
      </c>
      <c r="E2042" s="1">
        <v>27</v>
      </c>
      <c r="F2042" s="1" t="s">
        <v>13448</v>
      </c>
      <c r="G2042" s="1" t="s">
        <v>9459</v>
      </c>
    </row>
    <row r="2043" spans="1:7" ht="21" x14ac:dyDescent="0.25">
      <c r="A2043" s="2" t="str">
        <f>HYPERLINK("https://rth.dk/resources/bsgatlas/details.php?id=BSGatlas-5'UTR-2042","BSGatlas-5'UTR-2042")</f>
        <v>BSGatlas-5'UTR-2042</v>
      </c>
      <c r="B2043" s="3">
        <v>3083401</v>
      </c>
      <c r="C2043" s="3">
        <v>3083441</v>
      </c>
      <c r="D2043" s="1" t="s">
        <v>9</v>
      </c>
      <c r="E2043" s="1">
        <v>41</v>
      </c>
      <c r="F2043" s="1" t="s">
        <v>13449</v>
      </c>
      <c r="G2043" s="1" t="s">
        <v>9460</v>
      </c>
    </row>
    <row r="2044" spans="1:7" ht="21" x14ac:dyDescent="0.25">
      <c r="A2044" s="2" t="str">
        <f>HYPERLINK("https://rth.dk/resources/bsgatlas/details.php?id=BSGatlas-5'UTR-2043","BSGatlas-5'UTR-2043")</f>
        <v>BSGatlas-5'UTR-2043</v>
      </c>
      <c r="B2044" s="3">
        <v>3088181</v>
      </c>
      <c r="C2044" s="3">
        <v>3088266</v>
      </c>
      <c r="D2044" s="1" t="s">
        <v>13</v>
      </c>
      <c r="E2044" s="1">
        <v>86</v>
      </c>
      <c r="F2044" s="1" t="s">
        <v>13450</v>
      </c>
      <c r="G2044" s="1" t="s">
        <v>9464</v>
      </c>
    </row>
    <row r="2045" spans="1:7" ht="21" x14ac:dyDescent="0.25">
      <c r="A2045" s="2" t="str">
        <f>HYPERLINK("https://rth.dk/resources/bsgatlas/details.php?id=BSGatlas-5'UTR-2044","BSGatlas-5'UTR-2044")</f>
        <v>BSGatlas-5'UTR-2044</v>
      </c>
      <c r="B2045" s="3">
        <v>3095455</v>
      </c>
      <c r="C2045" s="3">
        <v>3095548</v>
      </c>
      <c r="D2045" s="1" t="s">
        <v>13</v>
      </c>
      <c r="E2045" s="1">
        <v>94</v>
      </c>
      <c r="F2045" s="1" t="s">
        <v>13451</v>
      </c>
      <c r="G2045" s="1" t="s">
        <v>9466</v>
      </c>
    </row>
    <row r="2046" spans="1:7" ht="21" x14ac:dyDescent="0.25">
      <c r="A2046" s="2" t="str">
        <f>HYPERLINK("https://rth.dk/resources/bsgatlas/details.php?id=BSGatlas-5'UTR-2045","BSGatlas-5'UTR-2045")</f>
        <v>BSGatlas-5'UTR-2045</v>
      </c>
      <c r="B2046" s="3">
        <v>3096564</v>
      </c>
      <c r="C2046" s="3">
        <v>3096604</v>
      </c>
      <c r="D2046" s="1" t="s">
        <v>13</v>
      </c>
      <c r="E2046" s="1">
        <v>41</v>
      </c>
      <c r="F2046" s="1" t="s">
        <v>13452</v>
      </c>
      <c r="G2046" s="1" t="s">
        <v>9470</v>
      </c>
    </row>
    <row r="2047" spans="1:7" ht="21" x14ac:dyDescent="0.25">
      <c r="A2047" s="2" t="str">
        <f>HYPERLINK("https://rth.dk/resources/bsgatlas/details.php?id=BSGatlas-5'UTR-2046","BSGatlas-5'UTR-2046")</f>
        <v>BSGatlas-5'UTR-2046</v>
      </c>
      <c r="B2047" s="3">
        <v>3096723</v>
      </c>
      <c r="C2047" s="3">
        <v>3096782</v>
      </c>
      <c r="D2047" s="1" t="s">
        <v>9</v>
      </c>
      <c r="E2047" s="1">
        <v>60</v>
      </c>
      <c r="F2047" s="1" t="s">
        <v>13453</v>
      </c>
      <c r="G2047" s="1" t="s">
        <v>9473</v>
      </c>
    </row>
    <row r="2048" spans="1:7" ht="21" x14ac:dyDescent="0.25">
      <c r="A2048" s="2" t="str">
        <f>HYPERLINK("https://rth.dk/resources/bsgatlas/details.php?id=BSGatlas-5'UTR-2047","BSGatlas-5'UTR-2047")</f>
        <v>BSGatlas-5'UTR-2047</v>
      </c>
      <c r="B2048" s="3">
        <v>3097804</v>
      </c>
      <c r="C2048" s="3">
        <v>3097850</v>
      </c>
      <c r="D2048" s="1" t="s">
        <v>9</v>
      </c>
      <c r="E2048" s="1">
        <v>47</v>
      </c>
      <c r="F2048" s="1" t="s">
        <v>13454</v>
      </c>
      <c r="G2048" s="1" t="s">
        <v>9477</v>
      </c>
    </row>
    <row r="2049" spans="1:7" ht="21" x14ac:dyDescent="0.25">
      <c r="A2049" s="2" t="str">
        <f>HYPERLINK("https://rth.dk/resources/bsgatlas/details.php?id=BSGatlas-5'UTR-2048","BSGatlas-5'UTR-2048")</f>
        <v>BSGatlas-5'UTR-2048</v>
      </c>
      <c r="B2049" s="3">
        <v>3100862</v>
      </c>
      <c r="C2049" s="3">
        <v>3100881</v>
      </c>
      <c r="D2049" s="1" t="s">
        <v>9</v>
      </c>
      <c r="E2049" s="1">
        <v>20</v>
      </c>
      <c r="F2049" s="1" t="s">
        <v>13455</v>
      </c>
      <c r="G2049" s="1" t="s">
        <v>9478</v>
      </c>
    </row>
    <row r="2050" spans="1:7" ht="21" x14ac:dyDescent="0.25">
      <c r="A2050" s="2" t="str">
        <f>HYPERLINK("https://rth.dk/resources/bsgatlas/details.php?id=BSGatlas-5'UTR-2049","BSGatlas-5'UTR-2049")</f>
        <v>BSGatlas-5'UTR-2049</v>
      </c>
      <c r="B2050" s="3">
        <v>3102512</v>
      </c>
      <c r="C2050" s="3">
        <v>3102544</v>
      </c>
      <c r="D2050" s="1" t="s">
        <v>13</v>
      </c>
      <c r="E2050" s="1">
        <v>33</v>
      </c>
      <c r="F2050" s="1" t="s">
        <v>13456</v>
      </c>
      <c r="G2050" s="1" t="s">
        <v>9479</v>
      </c>
    </row>
    <row r="2051" spans="1:7" ht="21" x14ac:dyDescent="0.25">
      <c r="A2051" s="2" t="str">
        <f>HYPERLINK("https://rth.dk/resources/bsgatlas/details.php?id=BSGatlas-5'UTR-2050","BSGatlas-5'UTR-2050")</f>
        <v>BSGatlas-5'UTR-2050</v>
      </c>
      <c r="B2051" s="3">
        <v>3105043</v>
      </c>
      <c r="C2051" s="3">
        <v>3105400</v>
      </c>
      <c r="D2051" s="1" t="s">
        <v>13</v>
      </c>
      <c r="E2051" s="1">
        <v>358</v>
      </c>
      <c r="F2051" s="1" t="s">
        <v>13457</v>
      </c>
      <c r="G2051" s="1" t="s">
        <v>9481</v>
      </c>
    </row>
    <row r="2052" spans="1:7" ht="21" x14ac:dyDescent="0.25">
      <c r="A2052" s="2" t="str">
        <f>HYPERLINK("https://rth.dk/resources/bsgatlas/details.php?id=BSGatlas-5'UTR-2051","BSGatlas-5'UTR-2051")</f>
        <v>BSGatlas-5'UTR-2051</v>
      </c>
      <c r="B2052" s="3">
        <v>3105805</v>
      </c>
      <c r="C2052" s="3">
        <v>3106064</v>
      </c>
      <c r="D2052" s="1" t="s">
        <v>13</v>
      </c>
      <c r="E2052" s="1">
        <v>260</v>
      </c>
      <c r="F2052" s="1" t="s">
        <v>13458</v>
      </c>
      <c r="G2052" s="1" t="s">
        <v>9485</v>
      </c>
    </row>
    <row r="2053" spans="1:7" ht="21" x14ac:dyDescent="0.25">
      <c r="A2053" s="2" t="str">
        <f>HYPERLINK("https://rth.dk/resources/bsgatlas/details.php?id=BSGatlas-5'UTR-2052","BSGatlas-5'UTR-2052")</f>
        <v>BSGatlas-5'UTR-2052</v>
      </c>
      <c r="B2053" s="3">
        <v>3106140</v>
      </c>
      <c r="C2053" s="3">
        <v>3106210</v>
      </c>
      <c r="D2053" s="1" t="s">
        <v>9</v>
      </c>
      <c r="E2053" s="1">
        <v>71</v>
      </c>
      <c r="F2053" s="1" t="s">
        <v>13459</v>
      </c>
      <c r="G2053" s="1" t="s">
        <v>9486</v>
      </c>
    </row>
    <row r="2054" spans="1:7" ht="21" x14ac:dyDescent="0.25">
      <c r="A2054" s="2" t="str">
        <f>HYPERLINK("https://rth.dk/resources/bsgatlas/details.php?id=BSGatlas-5'UTR-2053","BSGatlas-5'UTR-2053")</f>
        <v>BSGatlas-5'UTR-2053</v>
      </c>
      <c r="B2054" s="3">
        <v>3108425</v>
      </c>
      <c r="C2054" s="3">
        <v>3108524</v>
      </c>
      <c r="D2054" s="1" t="s">
        <v>13</v>
      </c>
      <c r="E2054" s="1">
        <v>100</v>
      </c>
      <c r="F2054" s="1" t="s">
        <v>13460</v>
      </c>
      <c r="G2054" s="1" t="s">
        <v>9488</v>
      </c>
    </row>
    <row r="2055" spans="1:7" ht="21" x14ac:dyDescent="0.25">
      <c r="A2055" s="2" t="str">
        <f>HYPERLINK("https://rth.dk/resources/bsgatlas/details.php?id=BSGatlas-5'UTR-2054","BSGatlas-5'UTR-2054")</f>
        <v>BSGatlas-5'UTR-2054</v>
      </c>
      <c r="B2055" s="3">
        <v>3108584</v>
      </c>
      <c r="C2055" s="3">
        <v>3108614</v>
      </c>
      <c r="D2055" s="1" t="s">
        <v>9</v>
      </c>
      <c r="E2055" s="1">
        <v>31</v>
      </c>
      <c r="F2055" s="1" t="s">
        <v>13461</v>
      </c>
      <c r="G2055" s="1" t="s">
        <v>9490</v>
      </c>
    </row>
    <row r="2056" spans="1:7" ht="21" x14ac:dyDescent="0.25">
      <c r="A2056" s="2" t="str">
        <f>HYPERLINK("https://rth.dk/resources/bsgatlas/details.php?id=BSGatlas-5'UTR-2055","BSGatlas-5'UTR-2055")</f>
        <v>BSGatlas-5'UTR-2055</v>
      </c>
      <c r="B2056" s="3">
        <v>3112088</v>
      </c>
      <c r="C2056" s="3">
        <v>3112114</v>
      </c>
      <c r="D2056" s="1" t="s">
        <v>13</v>
      </c>
      <c r="E2056" s="1">
        <v>27</v>
      </c>
      <c r="F2056" s="1" t="s">
        <v>13462</v>
      </c>
      <c r="G2056" s="1" t="s">
        <v>9495</v>
      </c>
    </row>
    <row r="2057" spans="1:7" ht="21" x14ac:dyDescent="0.25">
      <c r="A2057" s="2" t="str">
        <f>HYPERLINK("https://rth.dk/resources/bsgatlas/details.php?id=BSGatlas-5'UTR-2056","BSGatlas-5'UTR-2056")</f>
        <v>BSGatlas-5'UTR-2056</v>
      </c>
      <c r="B2057" s="3">
        <v>3113882</v>
      </c>
      <c r="C2057" s="3">
        <v>3113918</v>
      </c>
      <c r="D2057" s="1" t="s">
        <v>13</v>
      </c>
      <c r="E2057" s="1">
        <v>37</v>
      </c>
      <c r="F2057" s="1" t="s">
        <v>13463</v>
      </c>
      <c r="G2057" s="1" t="s">
        <v>9497</v>
      </c>
    </row>
    <row r="2058" spans="1:7" ht="21" x14ac:dyDescent="0.25">
      <c r="A2058" s="2" t="str">
        <f>HYPERLINK("https://rth.dk/resources/bsgatlas/details.php?id=BSGatlas-5'UTR-2057","BSGatlas-5'UTR-2057")</f>
        <v>BSGatlas-5'UTR-2057</v>
      </c>
      <c r="B2058" s="3">
        <v>3119410</v>
      </c>
      <c r="C2058" s="3">
        <v>3119483</v>
      </c>
      <c r="D2058" s="1" t="s">
        <v>13</v>
      </c>
      <c r="E2058" s="1">
        <v>74</v>
      </c>
      <c r="F2058" s="1" t="s">
        <v>13464</v>
      </c>
      <c r="G2058" s="1" t="s">
        <v>9502</v>
      </c>
    </row>
    <row r="2059" spans="1:7" ht="21" x14ac:dyDescent="0.25">
      <c r="A2059" s="2" t="str">
        <f>HYPERLINK("https://rth.dk/resources/bsgatlas/details.php?id=BSGatlas-5'UTR-2058","BSGatlas-5'UTR-2058")</f>
        <v>BSGatlas-5'UTR-2058</v>
      </c>
      <c r="B2059" s="3">
        <v>3119837</v>
      </c>
      <c r="C2059" s="3">
        <v>3119881</v>
      </c>
      <c r="D2059" s="1" t="s">
        <v>13</v>
      </c>
      <c r="E2059" s="1">
        <v>45</v>
      </c>
      <c r="F2059" s="1" t="s">
        <v>13465</v>
      </c>
      <c r="G2059" s="1" t="s">
        <v>9504</v>
      </c>
    </row>
    <row r="2060" spans="1:7" ht="21" x14ac:dyDescent="0.25">
      <c r="A2060" s="2" t="str">
        <f>HYPERLINK("https://rth.dk/resources/bsgatlas/details.php?id=BSGatlas-5'UTR-2059","BSGatlas-5'UTR-2059")</f>
        <v>BSGatlas-5'UTR-2059</v>
      </c>
      <c r="B2060" s="3">
        <v>3119892</v>
      </c>
      <c r="C2060" s="3">
        <v>3119999</v>
      </c>
      <c r="D2060" s="1" t="s">
        <v>9</v>
      </c>
      <c r="E2060" s="1">
        <v>108</v>
      </c>
      <c r="F2060" s="1" t="s">
        <v>13466</v>
      </c>
      <c r="G2060" s="1" t="s">
        <v>9507</v>
      </c>
    </row>
    <row r="2061" spans="1:7" ht="21" x14ac:dyDescent="0.25">
      <c r="A2061" s="2" t="str">
        <f>HYPERLINK("https://rth.dk/resources/bsgatlas/details.php?id=BSGatlas-5'UTR-2060","BSGatlas-5'UTR-2060")</f>
        <v>BSGatlas-5'UTR-2060</v>
      </c>
      <c r="B2061" s="3">
        <v>3119958</v>
      </c>
      <c r="C2061" s="3">
        <v>3119999</v>
      </c>
      <c r="D2061" s="1" t="s">
        <v>9</v>
      </c>
      <c r="E2061" s="1">
        <v>42</v>
      </c>
      <c r="F2061" s="1" t="s">
        <v>13466</v>
      </c>
      <c r="G2061" s="1" t="s">
        <v>9509</v>
      </c>
    </row>
    <row r="2062" spans="1:7" ht="21" x14ac:dyDescent="0.25">
      <c r="A2062" s="2" t="str">
        <f>HYPERLINK("https://rth.dk/resources/bsgatlas/details.php?id=BSGatlas-5'UTR-2061","BSGatlas-5'UTR-2061")</f>
        <v>BSGatlas-5'UTR-2061</v>
      </c>
      <c r="B2062" s="3">
        <v>3123123</v>
      </c>
      <c r="C2062" s="3">
        <v>3123490</v>
      </c>
      <c r="D2062" s="1" t="s">
        <v>9</v>
      </c>
      <c r="E2062" s="1">
        <v>368</v>
      </c>
      <c r="F2062" s="1" t="s">
        <v>13467</v>
      </c>
      <c r="G2062" s="1" t="s">
        <v>9514</v>
      </c>
    </row>
    <row r="2063" spans="1:7" ht="21" x14ac:dyDescent="0.25">
      <c r="A2063" s="2" t="str">
        <f>HYPERLINK("https://rth.dk/resources/bsgatlas/details.php?id=BSGatlas-5'UTR-2062","BSGatlas-5'UTR-2062")</f>
        <v>BSGatlas-5'UTR-2062</v>
      </c>
      <c r="B2063" s="3">
        <v>3123441</v>
      </c>
      <c r="C2063" s="3">
        <v>3124021</v>
      </c>
      <c r="D2063" s="1" t="s">
        <v>13</v>
      </c>
      <c r="E2063" s="1">
        <v>581</v>
      </c>
      <c r="F2063" s="1" t="s">
        <v>13468</v>
      </c>
      <c r="G2063" s="1" t="s">
        <v>9512</v>
      </c>
    </row>
    <row r="2064" spans="1:7" ht="21" x14ac:dyDescent="0.25">
      <c r="A2064" s="2" t="str">
        <f>HYPERLINK("https://rth.dk/resources/bsgatlas/details.php?id=BSGatlas-5'UTR-2063","BSGatlas-5'UTR-2063")</f>
        <v>BSGatlas-5'UTR-2063</v>
      </c>
      <c r="B2064" s="3">
        <v>3123441</v>
      </c>
      <c r="C2064" s="3">
        <v>3124157</v>
      </c>
      <c r="D2064" s="1" t="s">
        <v>13</v>
      </c>
      <c r="E2064" s="1">
        <v>717</v>
      </c>
      <c r="F2064" s="1" t="s">
        <v>13468</v>
      </c>
      <c r="G2064" s="1" t="s">
        <v>9513</v>
      </c>
    </row>
    <row r="2065" spans="1:7" ht="21" x14ac:dyDescent="0.25">
      <c r="A2065" s="2" t="str">
        <f>HYPERLINK("https://rth.dk/resources/bsgatlas/details.php?id=BSGatlas-5'UTR-2064","BSGatlas-5'UTR-2064")</f>
        <v>BSGatlas-5'UTR-2064</v>
      </c>
      <c r="B2065" s="3">
        <v>3129027</v>
      </c>
      <c r="C2065" s="3">
        <v>3129076</v>
      </c>
      <c r="D2065" s="1" t="s">
        <v>13</v>
      </c>
      <c r="E2065" s="1">
        <v>50</v>
      </c>
      <c r="F2065" s="1" t="s">
        <v>13469</v>
      </c>
      <c r="G2065" s="1" t="s">
        <v>9517</v>
      </c>
    </row>
    <row r="2066" spans="1:7" ht="21" x14ac:dyDescent="0.25">
      <c r="A2066" s="2" t="str">
        <f>HYPERLINK("https://rth.dk/resources/bsgatlas/details.php?id=BSGatlas-5'UTR-2065","BSGatlas-5'UTR-2065")</f>
        <v>BSGatlas-5'UTR-2065</v>
      </c>
      <c r="B2066" s="3">
        <v>3129027</v>
      </c>
      <c r="C2066" s="3">
        <v>3129357</v>
      </c>
      <c r="D2066" s="1" t="s">
        <v>13</v>
      </c>
      <c r="E2066" s="1">
        <v>331</v>
      </c>
      <c r="F2066" s="1" t="s">
        <v>13469</v>
      </c>
      <c r="G2066" s="1" t="s">
        <v>9519</v>
      </c>
    </row>
    <row r="2067" spans="1:7" ht="21" x14ac:dyDescent="0.25">
      <c r="A2067" s="2" t="str">
        <f>HYPERLINK("https://rth.dk/resources/bsgatlas/details.php?id=BSGatlas-5'UTR-2066","BSGatlas-5'UTR-2066")</f>
        <v>BSGatlas-5'UTR-2066</v>
      </c>
      <c r="B2067" s="3">
        <v>3129491</v>
      </c>
      <c r="C2067" s="3">
        <v>3129530</v>
      </c>
      <c r="D2067" s="1" t="s">
        <v>9</v>
      </c>
      <c r="E2067" s="1">
        <v>40</v>
      </c>
      <c r="F2067" s="1" t="s">
        <v>13470</v>
      </c>
      <c r="G2067" s="1" t="s">
        <v>9520</v>
      </c>
    </row>
    <row r="2068" spans="1:7" ht="21" x14ac:dyDescent="0.25">
      <c r="A2068" s="2" t="str">
        <f>HYPERLINK("https://rth.dk/resources/bsgatlas/details.php?id=BSGatlas-5'UTR-2067","BSGatlas-5'UTR-2067")</f>
        <v>BSGatlas-5'UTR-2067</v>
      </c>
      <c r="B2068" s="3">
        <v>3132219</v>
      </c>
      <c r="C2068" s="3">
        <v>3132312</v>
      </c>
      <c r="D2068" s="1" t="s">
        <v>13</v>
      </c>
      <c r="E2068" s="1">
        <v>94</v>
      </c>
      <c r="F2068" s="1" t="s">
        <v>13471</v>
      </c>
      <c r="G2068" s="1" t="s">
        <v>9523</v>
      </c>
    </row>
    <row r="2069" spans="1:7" ht="21" x14ac:dyDescent="0.25">
      <c r="A2069" s="2" t="str">
        <f>HYPERLINK("https://rth.dk/resources/bsgatlas/details.php?id=BSGatlas-5'UTR-2068","BSGatlas-5'UTR-2068")</f>
        <v>BSGatlas-5'UTR-2068</v>
      </c>
      <c r="B2069" s="3">
        <v>3132322</v>
      </c>
      <c r="C2069" s="3">
        <v>3132370</v>
      </c>
      <c r="D2069" s="1" t="s">
        <v>9</v>
      </c>
      <c r="E2069" s="1">
        <v>49</v>
      </c>
      <c r="F2069" s="1" t="s">
        <v>13472</v>
      </c>
      <c r="G2069" s="1" t="s">
        <v>9525</v>
      </c>
    </row>
    <row r="2070" spans="1:7" ht="21" x14ac:dyDescent="0.25">
      <c r="A2070" s="2" t="str">
        <f>HYPERLINK("https://rth.dk/resources/bsgatlas/details.php?id=BSGatlas-5'UTR-2069","BSGatlas-5'UTR-2069")</f>
        <v>BSGatlas-5'UTR-2069</v>
      </c>
      <c r="B2070" s="3">
        <v>3135459</v>
      </c>
      <c r="C2070" s="3">
        <v>3135491</v>
      </c>
      <c r="D2070" s="1" t="s">
        <v>13</v>
      </c>
      <c r="E2070" s="1">
        <v>33</v>
      </c>
      <c r="F2070" s="1" t="s">
        <v>13473</v>
      </c>
      <c r="G2070" s="1" t="s">
        <v>9527</v>
      </c>
    </row>
    <row r="2071" spans="1:7" ht="21" x14ac:dyDescent="0.25">
      <c r="A2071" s="2" t="str">
        <f>HYPERLINK("https://rth.dk/resources/bsgatlas/details.php?id=BSGatlas-5'UTR-2070","BSGatlas-5'UTR-2070")</f>
        <v>BSGatlas-5'UTR-2070</v>
      </c>
      <c r="B2071" s="3">
        <v>3135459</v>
      </c>
      <c r="C2071" s="3">
        <v>3135540</v>
      </c>
      <c r="D2071" s="1" t="s">
        <v>13</v>
      </c>
      <c r="E2071" s="1">
        <v>82</v>
      </c>
      <c r="F2071" s="1" t="s">
        <v>13473</v>
      </c>
      <c r="G2071" s="1" t="s">
        <v>9529</v>
      </c>
    </row>
    <row r="2072" spans="1:7" ht="21" x14ac:dyDescent="0.25">
      <c r="A2072" s="2" t="str">
        <f>HYPERLINK("https://rth.dk/resources/bsgatlas/details.php?id=BSGatlas-5'UTR-2071","BSGatlas-5'UTR-2071")</f>
        <v>BSGatlas-5'UTR-2071</v>
      </c>
      <c r="B2072" s="3">
        <v>3135459</v>
      </c>
      <c r="C2072" s="3">
        <v>3135638</v>
      </c>
      <c r="D2072" s="1" t="s">
        <v>13</v>
      </c>
      <c r="E2072" s="1">
        <v>180</v>
      </c>
      <c r="F2072" s="1" t="s">
        <v>13473</v>
      </c>
      <c r="G2072" s="1" t="s">
        <v>9530</v>
      </c>
    </row>
    <row r="2073" spans="1:7" ht="21" x14ac:dyDescent="0.25">
      <c r="A2073" s="2" t="str">
        <f>HYPERLINK("https://rth.dk/resources/bsgatlas/details.php?id=BSGatlas-5'UTR-2072","BSGatlas-5'UTR-2072")</f>
        <v>BSGatlas-5'UTR-2072</v>
      </c>
      <c r="B2073" s="3">
        <v>3136072</v>
      </c>
      <c r="C2073" s="3">
        <v>3136117</v>
      </c>
      <c r="D2073" s="1" t="s">
        <v>13</v>
      </c>
      <c r="E2073" s="1">
        <v>46</v>
      </c>
      <c r="F2073" s="1" t="s">
        <v>13474</v>
      </c>
      <c r="G2073" s="1" t="s">
        <v>9532</v>
      </c>
    </row>
    <row r="2074" spans="1:7" ht="21" x14ac:dyDescent="0.25">
      <c r="A2074" s="2" t="str">
        <f>HYPERLINK("https://rth.dk/resources/bsgatlas/details.php?id=BSGatlas-5'UTR-2073","BSGatlas-5'UTR-2073")</f>
        <v>BSGatlas-5'UTR-2073</v>
      </c>
      <c r="B2074" s="3">
        <v>3136675</v>
      </c>
      <c r="C2074" s="3">
        <v>3136694</v>
      </c>
      <c r="D2074" s="1" t="s">
        <v>13</v>
      </c>
      <c r="E2074" s="1">
        <v>20</v>
      </c>
      <c r="F2074" s="1" t="s">
        <v>13475</v>
      </c>
      <c r="G2074" s="1" t="s">
        <v>9533</v>
      </c>
    </row>
    <row r="2075" spans="1:7" ht="21" x14ac:dyDescent="0.25">
      <c r="A2075" s="2" t="str">
        <f>HYPERLINK("https://rth.dk/resources/bsgatlas/details.php?id=BSGatlas-5'UTR-2074","BSGatlas-5'UTR-2074")</f>
        <v>BSGatlas-5'UTR-2074</v>
      </c>
      <c r="B2075" s="3">
        <v>3136675</v>
      </c>
      <c r="C2075" s="3">
        <v>3136707</v>
      </c>
      <c r="D2075" s="1" t="s">
        <v>13</v>
      </c>
      <c r="E2075" s="1">
        <v>33</v>
      </c>
      <c r="F2075" s="1" t="s">
        <v>13475</v>
      </c>
      <c r="G2075" s="1" t="s">
        <v>9535</v>
      </c>
    </row>
    <row r="2076" spans="1:7" ht="21" x14ac:dyDescent="0.25">
      <c r="A2076" s="2" t="str">
        <f>HYPERLINK("https://rth.dk/resources/bsgatlas/details.php?id=BSGatlas-5'UTR-2075","BSGatlas-5'UTR-2075")</f>
        <v>BSGatlas-5'UTR-2075</v>
      </c>
      <c r="B2076" s="3">
        <v>3137375</v>
      </c>
      <c r="C2076" s="3">
        <v>3137415</v>
      </c>
      <c r="D2076" s="1" t="s">
        <v>13</v>
      </c>
      <c r="E2076" s="1">
        <v>41</v>
      </c>
      <c r="F2076" s="1" t="s">
        <v>13476</v>
      </c>
      <c r="G2076" s="1" t="s">
        <v>9537</v>
      </c>
    </row>
    <row r="2077" spans="1:7" ht="21" x14ac:dyDescent="0.25">
      <c r="A2077" s="2" t="str">
        <f>HYPERLINK("https://rth.dk/resources/bsgatlas/details.php?id=BSGatlas-5'UTR-2076","BSGatlas-5'UTR-2076")</f>
        <v>BSGatlas-5'UTR-2076</v>
      </c>
      <c r="B2077" s="3">
        <v>3138065</v>
      </c>
      <c r="C2077" s="3">
        <v>3138097</v>
      </c>
      <c r="D2077" s="1" t="s">
        <v>9</v>
      </c>
      <c r="E2077" s="1">
        <v>33</v>
      </c>
      <c r="F2077" s="1" t="s">
        <v>13477</v>
      </c>
      <c r="G2077" s="1" t="s">
        <v>9545</v>
      </c>
    </row>
    <row r="2078" spans="1:7" ht="21" x14ac:dyDescent="0.25">
      <c r="A2078" s="2" t="str">
        <f>HYPERLINK("https://rth.dk/resources/bsgatlas/details.php?id=BSGatlas-5'UTR-2077","BSGatlas-5'UTR-2077")</f>
        <v>BSGatlas-5'UTR-2077</v>
      </c>
      <c r="B2078" s="3">
        <v>3138884</v>
      </c>
      <c r="C2078" s="3">
        <v>3138924</v>
      </c>
      <c r="D2078" s="1" t="s">
        <v>13</v>
      </c>
      <c r="E2078" s="1">
        <v>41</v>
      </c>
      <c r="F2078" s="1" t="s">
        <v>13478</v>
      </c>
      <c r="G2078" s="1" t="s">
        <v>9543</v>
      </c>
    </row>
    <row r="2079" spans="1:7" ht="21" x14ac:dyDescent="0.25">
      <c r="A2079" s="2" t="str">
        <f>HYPERLINK("https://rth.dk/resources/bsgatlas/details.php?id=BSGatlas-5'UTR-2078","BSGatlas-5'UTR-2078")</f>
        <v>BSGatlas-5'UTR-2078</v>
      </c>
      <c r="B2079" s="3">
        <v>3139226</v>
      </c>
      <c r="C2079" s="3">
        <v>3139258</v>
      </c>
      <c r="D2079" s="1" t="s">
        <v>13</v>
      </c>
      <c r="E2079" s="1">
        <v>33</v>
      </c>
      <c r="F2079" s="1" t="s">
        <v>13479</v>
      </c>
      <c r="G2079" s="1" t="s">
        <v>9546</v>
      </c>
    </row>
    <row r="2080" spans="1:7" ht="21" x14ac:dyDescent="0.25">
      <c r="A2080" s="2" t="str">
        <f>HYPERLINK("https://rth.dk/resources/bsgatlas/details.php?id=BSGatlas-5'UTR-2079","BSGatlas-5'UTR-2079")</f>
        <v>BSGatlas-5'UTR-2079</v>
      </c>
      <c r="B2080" s="3">
        <v>3139226</v>
      </c>
      <c r="C2080" s="3">
        <v>3139297</v>
      </c>
      <c r="D2080" s="1" t="s">
        <v>13</v>
      </c>
      <c r="E2080" s="1">
        <v>72</v>
      </c>
      <c r="F2080" s="1" t="s">
        <v>13479</v>
      </c>
      <c r="G2080" s="1" t="s">
        <v>9548</v>
      </c>
    </row>
    <row r="2081" spans="1:7" ht="21" x14ac:dyDescent="0.25">
      <c r="A2081" s="2" t="str">
        <f>HYPERLINK("https://rth.dk/resources/bsgatlas/details.php?id=BSGatlas-5'UTR-2080","BSGatlas-5'UTR-2080")</f>
        <v>BSGatlas-5'UTR-2080</v>
      </c>
      <c r="B2081" s="3">
        <v>3139385</v>
      </c>
      <c r="C2081" s="3">
        <v>3139431</v>
      </c>
      <c r="D2081" s="1" t="s">
        <v>9</v>
      </c>
      <c r="E2081" s="1">
        <v>47</v>
      </c>
      <c r="F2081" s="1" t="s">
        <v>13480</v>
      </c>
      <c r="G2081" s="1" t="s">
        <v>9550</v>
      </c>
    </row>
    <row r="2082" spans="1:7" ht="21" x14ac:dyDescent="0.25">
      <c r="A2082" s="2" t="str">
        <f>HYPERLINK("https://rth.dk/resources/bsgatlas/details.php?id=BSGatlas-5'UTR-2081","BSGatlas-5'UTR-2081")</f>
        <v>BSGatlas-5'UTR-2081</v>
      </c>
      <c r="B2082" s="3">
        <v>3141871</v>
      </c>
      <c r="C2082" s="3">
        <v>3141900</v>
      </c>
      <c r="D2082" s="1" t="s">
        <v>9</v>
      </c>
      <c r="E2082" s="1">
        <v>30</v>
      </c>
      <c r="F2082" s="1" t="s">
        <v>13481</v>
      </c>
      <c r="G2082" s="1" t="s">
        <v>9552</v>
      </c>
    </row>
    <row r="2083" spans="1:7" ht="21" x14ac:dyDescent="0.25">
      <c r="A2083" s="2" t="str">
        <f>HYPERLINK("https://rth.dk/resources/bsgatlas/details.php?id=BSGatlas-5'UTR-2082","BSGatlas-5'UTR-2082")</f>
        <v>BSGatlas-5'UTR-2082</v>
      </c>
      <c r="B2083" s="3">
        <v>3145958</v>
      </c>
      <c r="C2083" s="3">
        <v>3145995</v>
      </c>
      <c r="D2083" s="1" t="s">
        <v>13</v>
      </c>
      <c r="E2083" s="1">
        <v>38</v>
      </c>
      <c r="F2083" s="1" t="s">
        <v>13482</v>
      </c>
      <c r="G2083" s="1" t="s">
        <v>9554</v>
      </c>
    </row>
    <row r="2084" spans="1:7" ht="21" x14ac:dyDescent="0.25">
      <c r="A2084" s="2" t="str">
        <f>HYPERLINK("https://rth.dk/resources/bsgatlas/details.php?id=BSGatlas-5'UTR-2083","BSGatlas-5'UTR-2083")</f>
        <v>BSGatlas-5'UTR-2083</v>
      </c>
      <c r="B2084" s="3">
        <v>3145958</v>
      </c>
      <c r="C2084" s="3">
        <v>3146088</v>
      </c>
      <c r="D2084" s="1" t="s">
        <v>13</v>
      </c>
      <c r="E2084" s="1">
        <v>131</v>
      </c>
      <c r="F2084" s="1" t="s">
        <v>13482</v>
      </c>
      <c r="G2084" s="1" t="s">
        <v>9556</v>
      </c>
    </row>
    <row r="2085" spans="1:7" ht="21" x14ac:dyDescent="0.25">
      <c r="A2085" s="2" t="str">
        <f>HYPERLINK("https://rth.dk/resources/bsgatlas/details.php?id=BSGatlas-5'UTR-2084","BSGatlas-5'UTR-2084")</f>
        <v>BSGatlas-5'UTR-2084</v>
      </c>
      <c r="B2085" s="3">
        <v>3149716</v>
      </c>
      <c r="C2085" s="3">
        <v>3149833</v>
      </c>
      <c r="D2085" s="1" t="s">
        <v>13</v>
      </c>
      <c r="E2085" s="1">
        <v>118</v>
      </c>
      <c r="F2085" s="1" t="s">
        <v>13483</v>
      </c>
      <c r="G2085" s="1" t="s">
        <v>9565</v>
      </c>
    </row>
    <row r="2086" spans="1:7" ht="21" x14ac:dyDescent="0.25">
      <c r="A2086" s="2" t="str">
        <f>HYPERLINK("https://rth.dk/resources/bsgatlas/details.php?id=BSGatlas-5'UTR-2085","BSGatlas-5'UTR-2085")</f>
        <v>BSGatlas-5'UTR-2085</v>
      </c>
      <c r="B2086" s="3">
        <v>3149716</v>
      </c>
      <c r="C2086" s="3">
        <v>3149999</v>
      </c>
      <c r="D2086" s="1" t="s">
        <v>13</v>
      </c>
      <c r="E2086" s="1">
        <v>284</v>
      </c>
      <c r="F2086" s="1" t="s">
        <v>13483</v>
      </c>
      <c r="G2086" s="1" t="s">
        <v>9566</v>
      </c>
    </row>
    <row r="2087" spans="1:7" ht="21" x14ac:dyDescent="0.25">
      <c r="A2087" s="2" t="str">
        <f>HYPERLINK("https://rth.dk/resources/bsgatlas/details.php?id=BSGatlas-5'UTR-2086","BSGatlas-5'UTR-2086")</f>
        <v>BSGatlas-5'UTR-2086</v>
      </c>
      <c r="B2087" s="3">
        <v>3153717</v>
      </c>
      <c r="C2087" s="3">
        <v>3153830</v>
      </c>
      <c r="D2087" s="1" t="s">
        <v>13</v>
      </c>
      <c r="E2087" s="1">
        <v>114</v>
      </c>
      <c r="F2087" s="1" t="s">
        <v>13484</v>
      </c>
      <c r="G2087" s="1" t="s">
        <v>9568</v>
      </c>
    </row>
    <row r="2088" spans="1:7" ht="21" x14ac:dyDescent="0.25">
      <c r="A2088" s="2" t="str">
        <f>HYPERLINK("https://rth.dk/resources/bsgatlas/details.php?id=BSGatlas-5'UTR-2087","BSGatlas-5'UTR-2087")</f>
        <v>BSGatlas-5'UTR-2087</v>
      </c>
      <c r="B2088" s="3">
        <v>3153717</v>
      </c>
      <c r="C2088" s="3">
        <v>3153982</v>
      </c>
      <c r="D2088" s="1" t="s">
        <v>13</v>
      </c>
      <c r="E2088" s="1">
        <v>266</v>
      </c>
      <c r="F2088" s="1" t="s">
        <v>13484</v>
      </c>
      <c r="G2088" s="1" t="s">
        <v>9569</v>
      </c>
    </row>
    <row r="2089" spans="1:7" ht="21" x14ac:dyDescent="0.25">
      <c r="A2089" s="2" t="str">
        <f>HYPERLINK("https://rth.dk/resources/bsgatlas/details.php?id=BSGatlas-5'UTR-2088","BSGatlas-5'UTR-2088")</f>
        <v>BSGatlas-5'UTR-2088</v>
      </c>
      <c r="B2089" s="3">
        <v>3153978</v>
      </c>
      <c r="C2089" s="3">
        <v>3154007</v>
      </c>
      <c r="D2089" s="1" t="s">
        <v>9</v>
      </c>
      <c r="E2089" s="1">
        <v>30</v>
      </c>
      <c r="F2089" s="1" t="s">
        <v>13485</v>
      </c>
      <c r="G2089" s="1" t="s">
        <v>9573</v>
      </c>
    </row>
    <row r="2090" spans="1:7" ht="21" x14ac:dyDescent="0.25">
      <c r="A2090" s="2" t="str">
        <f>HYPERLINK("https://rth.dk/resources/bsgatlas/details.php?id=BSGatlas-5'UTR-2089","BSGatlas-5'UTR-2089")</f>
        <v>BSGatlas-5'UTR-2089</v>
      </c>
      <c r="B2090" s="3">
        <v>3155553</v>
      </c>
      <c r="C2090" s="3">
        <v>3155588</v>
      </c>
      <c r="D2090" s="1" t="s">
        <v>13</v>
      </c>
      <c r="E2090" s="1">
        <v>36</v>
      </c>
      <c r="F2090" s="1" t="s">
        <v>13486</v>
      </c>
      <c r="G2090" s="1" t="s">
        <v>9575</v>
      </c>
    </row>
    <row r="2091" spans="1:7" ht="21" x14ac:dyDescent="0.25">
      <c r="A2091" s="2" t="str">
        <f>HYPERLINK("https://rth.dk/resources/bsgatlas/details.php?id=BSGatlas-5'UTR-2090","BSGatlas-5'UTR-2090")</f>
        <v>BSGatlas-5'UTR-2090</v>
      </c>
      <c r="B2091" s="3">
        <v>3155676</v>
      </c>
      <c r="C2091" s="3">
        <v>3155725</v>
      </c>
      <c r="D2091" s="1" t="s">
        <v>9</v>
      </c>
      <c r="E2091" s="1">
        <v>50</v>
      </c>
      <c r="F2091" s="1" t="s">
        <v>13487</v>
      </c>
      <c r="G2091" s="1" t="s">
        <v>9578</v>
      </c>
    </row>
    <row r="2092" spans="1:7" ht="21" x14ac:dyDescent="0.25">
      <c r="A2092" s="2" t="str">
        <f>HYPERLINK("https://rth.dk/resources/bsgatlas/details.php?id=BSGatlas-5'UTR-2091","BSGatlas-5'UTR-2091")</f>
        <v>BSGatlas-5'UTR-2091</v>
      </c>
      <c r="B2092" s="3">
        <v>3161894</v>
      </c>
      <c r="C2092" s="3">
        <v>3161930</v>
      </c>
      <c r="D2092" s="1" t="s">
        <v>13</v>
      </c>
      <c r="E2092" s="1">
        <v>37</v>
      </c>
      <c r="F2092" s="1" t="s">
        <v>13488</v>
      </c>
      <c r="G2092" s="1" t="s">
        <v>9582</v>
      </c>
    </row>
    <row r="2093" spans="1:7" ht="21" x14ac:dyDescent="0.25">
      <c r="A2093" s="2" t="str">
        <f>HYPERLINK("https://rth.dk/resources/bsgatlas/details.php?id=BSGatlas-5'UTR-2092","BSGatlas-5'UTR-2092")</f>
        <v>BSGatlas-5'UTR-2092</v>
      </c>
      <c r="B2093" s="3">
        <v>3162057</v>
      </c>
      <c r="C2093" s="3">
        <v>3162084</v>
      </c>
      <c r="D2093" s="1" t="s">
        <v>9</v>
      </c>
      <c r="E2093" s="1">
        <v>28</v>
      </c>
      <c r="F2093" s="1" t="s">
        <v>13489</v>
      </c>
      <c r="G2093" s="1" t="s">
        <v>9585</v>
      </c>
    </row>
    <row r="2094" spans="1:7" ht="21" x14ac:dyDescent="0.25">
      <c r="A2094" s="2" t="str">
        <f>HYPERLINK("https://rth.dk/resources/bsgatlas/details.php?id=BSGatlas-5'UTR-2093","BSGatlas-5'UTR-2093")</f>
        <v>BSGatlas-5'UTR-2093</v>
      </c>
      <c r="B2094" s="3">
        <v>3163205</v>
      </c>
      <c r="C2094" s="3">
        <v>3163237</v>
      </c>
      <c r="D2094" s="1" t="s">
        <v>9</v>
      </c>
      <c r="E2094" s="1">
        <v>33</v>
      </c>
      <c r="F2094" s="1" t="s">
        <v>13490</v>
      </c>
      <c r="G2094" s="1" t="s">
        <v>9588</v>
      </c>
    </row>
    <row r="2095" spans="1:7" ht="21" x14ac:dyDescent="0.25">
      <c r="A2095" s="2" t="str">
        <f>HYPERLINK("https://rth.dk/resources/bsgatlas/details.php?id=BSGatlas-5'UTR-2094","BSGatlas-5'UTR-2094")</f>
        <v>BSGatlas-5'UTR-2094</v>
      </c>
      <c r="B2095" s="3">
        <v>3171646</v>
      </c>
      <c r="C2095" s="3">
        <v>3171691</v>
      </c>
      <c r="D2095" s="1" t="s">
        <v>13</v>
      </c>
      <c r="E2095" s="1">
        <v>46</v>
      </c>
      <c r="F2095" s="1" t="s">
        <v>13491</v>
      </c>
      <c r="G2095" s="1" t="s">
        <v>9594</v>
      </c>
    </row>
    <row r="2096" spans="1:7" ht="21" x14ac:dyDescent="0.25">
      <c r="A2096" s="2" t="str">
        <f>HYPERLINK("https://rth.dk/resources/bsgatlas/details.php?id=BSGatlas-5'UTR-2095","BSGatlas-5'UTR-2095")</f>
        <v>BSGatlas-5'UTR-2095</v>
      </c>
      <c r="B2096" s="3">
        <v>3178640</v>
      </c>
      <c r="C2096" s="3">
        <v>3178818</v>
      </c>
      <c r="D2096" s="1" t="s">
        <v>13</v>
      </c>
      <c r="E2096" s="1">
        <v>179</v>
      </c>
      <c r="F2096" s="1" t="s">
        <v>13492</v>
      </c>
      <c r="G2096" s="1" t="s">
        <v>9596</v>
      </c>
    </row>
    <row r="2097" spans="1:7" ht="21" x14ac:dyDescent="0.25">
      <c r="A2097" s="2" t="str">
        <f>HYPERLINK("https://rth.dk/resources/bsgatlas/details.php?id=BSGatlas-5'UTR-2096","BSGatlas-5'UTR-2096")</f>
        <v>BSGatlas-5'UTR-2096</v>
      </c>
      <c r="B2097" s="3">
        <v>3178640</v>
      </c>
      <c r="C2097" s="3">
        <v>3178908</v>
      </c>
      <c r="D2097" s="1" t="s">
        <v>13</v>
      </c>
      <c r="E2097" s="1">
        <v>269</v>
      </c>
      <c r="F2097" s="1" t="s">
        <v>13492</v>
      </c>
      <c r="G2097" s="1" t="s">
        <v>9598</v>
      </c>
    </row>
    <row r="2098" spans="1:7" ht="21" x14ac:dyDescent="0.25">
      <c r="A2098" s="2" t="str">
        <f>HYPERLINK("https://rth.dk/resources/bsgatlas/details.php?id=BSGatlas-5'UTR-2097","BSGatlas-5'UTR-2097")</f>
        <v>BSGatlas-5'UTR-2097</v>
      </c>
      <c r="B2098" s="3">
        <v>3178774</v>
      </c>
      <c r="C2098" s="3">
        <v>3179306</v>
      </c>
      <c r="D2098" s="1" t="s">
        <v>9</v>
      </c>
      <c r="E2098" s="1">
        <v>533</v>
      </c>
      <c r="F2098" s="1" t="s">
        <v>13493</v>
      </c>
      <c r="G2098" s="1" t="s">
        <v>9602</v>
      </c>
    </row>
    <row r="2099" spans="1:7" ht="21" x14ac:dyDescent="0.25">
      <c r="A2099" s="2" t="str">
        <f>HYPERLINK("https://rth.dk/resources/bsgatlas/details.php?id=BSGatlas-5'UTR-2098","BSGatlas-5'UTR-2098")</f>
        <v>BSGatlas-5'UTR-2098</v>
      </c>
      <c r="B2099" s="3">
        <v>3179072</v>
      </c>
      <c r="C2099" s="3">
        <v>3179306</v>
      </c>
      <c r="D2099" s="1" t="s">
        <v>9</v>
      </c>
      <c r="E2099" s="1">
        <v>235</v>
      </c>
      <c r="F2099" s="1" t="s">
        <v>13493</v>
      </c>
      <c r="G2099" s="1" t="s">
        <v>9604</v>
      </c>
    </row>
    <row r="2100" spans="1:7" ht="21" x14ac:dyDescent="0.25">
      <c r="A2100" s="2" t="str">
        <f>HYPERLINK("https://rth.dk/resources/bsgatlas/details.php?id=BSGatlas-5'UTR-2099","BSGatlas-5'UTR-2099")</f>
        <v>BSGatlas-5'UTR-2099</v>
      </c>
      <c r="B2100" s="3">
        <v>3182539</v>
      </c>
      <c r="C2100" s="3">
        <v>3182585</v>
      </c>
      <c r="D2100" s="1" t="s">
        <v>13</v>
      </c>
      <c r="E2100" s="1">
        <v>47</v>
      </c>
      <c r="F2100" s="1" t="s">
        <v>13494</v>
      </c>
      <c r="G2100" s="1" t="s">
        <v>9607</v>
      </c>
    </row>
    <row r="2101" spans="1:7" ht="21" x14ac:dyDescent="0.25">
      <c r="A2101" s="2" t="str">
        <f>HYPERLINK("https://rth.dk/resources/bsgatlas/details.php?id=BSGatlas-5'UTR-2100","BSGatlas-5'UTR-2100")</f>
        <v>BSGatlas-5'UTR-2100</v>
      </c>
      <c r="B2101" s="3">
        <v>3182539</v>
      </c>
      <c r="C2101" s="3">
        <v>3182678</v>
      </c>
      <c r="D2101" s="1" t="s">
        <v>13</v>
      </c>
      <c r="E2101" s="1">
        <v>140</v>
      </c>
      <c r="F2101" s="1" t="s">
        <v>13494</v>
      </c>
      <c r="G2101" s="1" t="s">
        <v>9609</v>
      </c>
    </row>
    <row r="2102" spans="1:7" ht="21" x14ac:dyDescent="0.25">
      <c r="A2102" s="2" t="str">
        <f>HYPERLINK("https://rth.dk/resources/bsgatlas/details.php?id=BSGatlas-5'UTR-2101","BSGatlas-5'UTR-2101")</f>
        <v>BSGatlas-5'UTR-2101</v>
      </c>
      <c r="B2102" s="3">
        <v>3182673</v>
      </c>
      <c r="C2102" s="3">
        <v>3182707</v>
      </c>
      <c r="D2102" s="1" t="s">
        <v>9</v>
      </c>
      <c r="E2102" s="1">
        <v>35</v>
      </c>
      <c r="F2102" s="1" t="s">
        <v>13495</v>
      </c>
      <c r="G2102" s="1" t="s">
        <v>9611</v>
      </c>
    </row>
    <row r="2103" spans="1:7" ht="21" x14ac:dyDescent="0.25">
      <c r="A2103" s="2" t="str">
        <f>HYPERLINK("https://rth.dk/resources/bsgatlas/details.php?id=BSGatlas-5'UTR-2102","BSGatlas-5'UTR-2102")</f>
        <v>BSGatlas-5'UTR-2102</v>
      </c>
      <c r="B2103" s="3">
        <v>3183779</v>
      </c>
      <c r="C2103" s="3">
        <v>3183822</v>
      </c>
      <c r="D2103" s="1" t="s">
        <v>13</v>
      </c>
      <c r="E2103" s="1">
        <v>44</v>
      </c>
      <c r="F2103" s="1" t="s">
        <v>13496</v>
      </c>
      <c r="G2103" s="1" t="s">
        <v>9614</v>
      </c>
    </row>
    <row r="2104" spans="1:7" ht="21" x14ac:dyDescent="0.25">
      <c r="A2104" s="2" t="str">
        <f>HYPERLINK("https://rth.dk/resources/bsgatlas/details.php?id=BSGatlas-5'UTR-2103","BSGatlas-5'UTR-2103")</f>
        <v>BSGatlas-5'UTR-2103</v>
      </c>
      <c r="B2104" s="3">
        <v>3186564</v>
      </c>
      <c r="C2104" s="3">
        <v>3186616</v>
      </c>
      <c r="D2104" s="1" t="s">
        <v>13</v>
      </c>
      <c r="E2104" s="1">
        <v>53</v>
      </c>
      <c r="F2104" s="1" t="s">
        <v>13497</v>
      </c>
      <c r="G2104" s="1" t="s">
        <v>9619</v>
      </c>
    </row>
    <row r="2105" spans="1:7" ht="21" x14ac:dyDescent="0.25">
      <c r="A2105" s="2" t="str">
        <f>HYPERLINK("https://rth.dk/resources/bsgatlas/details.php?id=BSGatlas-5'UTR-2104","BSGatlas-5'UTR-2104")</f>
        <v>BSGatlas-5'UTR-2104</v>
      </c>
      <c r="B2105" s="3">
        <v>3186711</v>
      </c>
      <c r="C2105" s="3">
        <v>3186763</v>
      </c>
      <c r="D2105" s="1" t="s">
        <v>9</v>
      </c>
      <c r="E2105" s="1">
        <v>53</v>
      </c>
      <c r="F2105" s="1" t="s">
        <v>13498</v>
      </c>
      <c r="G2105" s="1" t="s">
        <v>9620</v>
      </c>
    </row>
    <row r="2106" spans="1:7" ht="21" x14ac:dyDescent="0.25">
      <c r="A2106" s="2" t="str">
        <f>HYPERLINK("https://rth.dk/resources/bsgatlas/details.php?id=BSGatlas-5'UTR-2105","BSGatlas-5'UTR-2105")</f>
        <v>BSGatlas-5'UTR-2105</v>
      </c>
      <c r="B2106" s="3">
        <v>3187402</v>
      </c>
      <c r="C2106" s="3">
        <v>3187503</v>
      </c>
      <c r="D2106" s="1" t="s">
        <v>9</v>
      </c>
      <c r="E2106" s="1">
        <v>102</v>
      </c>
      <c r="F2106" s="1" t="s">
        <v>13499</v>
      </c>
      <c r="G2106" s="1" t="s">
        <v>9622</v>
      </c>
    </row>
    <row r="2107" spans="1:7" ht="21" x14ac:dyDescent="0.25">
      <c r="A2107" s="2" t="str">
        <f>HYPERLINK("https://rth.dk/resources/bsgatlas/details.php?id=BSGatlas-5'UTR-2106","BSGatlas-5'UTR-2106")</f>
        <v>BSGatlas-5'UTR-2106</v>
      </c>
      <c r="B2107" s="3">
        <v>3188168</v>
      </c>
      <c r="C2107" s="3">
        <v>3188414</v>
      </c>
      <c r="D2107" s="1" t="s">
        <v>9</v>
      </c>
      <c r="E2107" s="1">
        <v>247</v>
      </c>
      <c r="F2107" s="1" t="s">
        <v>13500</v>
      </c>
      <c r="G2107" s="1" t="s">
        <v>9625</v>
      </c>
    </row>
    <row r="2108" spans="1:7" ht="21" x14ac:dyDescent="0.25">
      <c r="A2108" s="2" t="str">
        <f>HYPERLINK("https://rth.dk/resources/bsgatlas/details.php?id=BSGatlas-5'UTR-2107","BSGatlas-5'UTR-2107")</f>
        <v>BSGatlas-5'UTR-2107</v>
      </c>
      <c r="B2108" s="3">
        <v>3190725</v>
      </c>
      <c r="C2108" s="3">
        <v>3190767</v>
      </c>
      <c r="D2108" s="1" t="s">
        <v>13</v>
      </c>
      <c r="E2108" s="1">
        <v>43</v>
      </c>
      <c r="F2108" s="1" t="s">
        <v>13501</v>
      </c>
      <c r="G2108" s="1" t="s">
        <v>9628</v>
      </c>
    </row>
    <row r="2109" spans="1:7" ht="21" x14ac:dyDescent="0.25">
      <c r="A2109" s="2" t="str">
        <f>HYPERLINK("https://rth.dk/resources/bsgatlas/details.php?id=BSGatlas-5'UTR-2108","BSGatlas-5'UTR-2108")</f>
        <v>BSGatlas-5'UTR-2108</v>
      </c>
      <c r="B2109" s="3">
        <v>3191682</v>
      </c>
      <c r="C2109" s="3">
        <v>3191737</v>
      </c>
      <c r="D2109" s="1" t="s">
        <v>13</v>
      </c>
      <c r="E2109" s="1">
        <v>56</v>
      </c>
      <c r="F2109" s="1" t="s">
        <v>13502</v>
      </c>
      <c r="G2109" s="1" t="s">
        <v>9631</v>
      </c>
    </row>
    <row r="2110" spans="1:7" ht="21" x14ac:dyDescent="0.25">
      <c r="A2110" s="2" t="str">
        <f>HYPERLINK("https://rth.dk/resources/bsgatlas/details.php?id=BSGatlas-5'UTR-2109","BSGatlas-5'UTR-2109")</f>
        <v>BSGatlas-5'UTR-2109</v>
      </c>
      <c r="B2110" s="3">
        <v>3193096</v>
      </c>
      <c r="C2110" s="3">
        <v>3193863</v>
      </c>
      <c r="D2110" s="1" t="s">
        <v>9</v>
      </c>
      <c r="E2110" s="1">
        <v>768</v>
      </c>
      <c r="F2110" s="1" t="s">
        <v>13503</v>
      </c>
      <c r="G2110" s="1" t="s">
        <v>9634</v>
      </c>
    </row>
    <row r="2111" spans="1:7" ht="21" x14ac:dyDescent="0.25">
      <c r="A2111" s="2" t="str">
        <f>HYPERLINK("https://rth.dk/resources/bsgatlas/details.php?id=BSGatlas-5'UTR-2110","BSGatlas-5'UTR-2110")</f>
        <v>BSGatlas-5'UTR-2110</v>
      </c>
      <c r="B2111" s="3">
        <v>3193378</v>
      </c>
      <c r="C2111" s="3">
        <v>3193546</v>
      </c>
      <c r="D2111" s="1" t="s">
        <v>13</v>
      </c>
      <c r="E2111" s="1">
        <v>169</v>
      </c>
      <c r="F2111" s="1" t="s">
        <v>13504</v>
      </c>
      <c r="G2111" s="1" t="s">
        <v>9632</v>
      </c>
    </row>
    <row r="2112" spans="1:7" ht="21" x14ac:dyDescent="0.25">
      <c r="A2112" s="2" t="str">
        <f>HYPERLINK("https://rth.dk/resources/bsgatlas/details.php?id=BSGatlas-5'UTR-2111","BSGatlas-5'UTR-2111")</f>
        <v>BSGatlas-5'UTR-2111</v>
      </c>
      <c r="B2112" s="3">
        <v>3193811</v>
      </c>
      <c r="C2112" s="3">
        <v>3193863</v>
      </c>
      <c r="D2112" s="1" t="s">
        <v>9</v>
      </c>
      <c r="E2112" s="1">
        <v>53</v>
      </c>
      <c r="F2112" s="1" t="s">
        <v>13503</v>
      </c>
      <c r="G2112" s="1" t="s">
        <v>9636</v>
      </c>
    </row>
    <row r="2113" spans="1:7" ht="21" x14ac:dyDescent="0.25">
      <c r="A2113" s="2" t="str">
        <f>HYPERLINK("https://rth.dk/resources/bsgatlas/details.php?id=BSGatlas-5'UTR-2112","BSGatlas-5'UTR-2112")</f>
        <v>BSGatlas-5'UTR-2112</v>
      </c>
      <c r="B2113" s="3">
        <v>3194527</v>
      </c>
      <c r="C2113" s="3">
        <v>3194558</v>
      </c>
      <c r="D2113" s="1" t="s">
        <v>13</v>
      </c>
      <c r="E2113" s="1">
        <v>32</v>
      </c>
      <c r="F2113" s="1" t="s">
        <v>13505</v>
      </c>
      <c r="G2113" s="1" t="s">
        <v>9640</v>
      </c>
    </row>
    <row r="2114" spans="1:7" ht="21" x14ac:dyDescent="0.25">
      <c r="A2114" s="2" t="str">
        <f>HYPERLINK("https://rth.dk/resources/bsgatlas/details.php?id=BSGatlas-5'UTR-2113","BSGatlas-5'UTR-2113")</f>
        <v>BSGatlas-5'UTR-2113</v>
      </c>
      <c r="B2114" s="3">
        <v>3196724</v>
      </c>
      <c r="C2114" s="3">
        <v>3196767</v>
      </c>
      <c r="D2114" s="1" t="s">
        <v>13</v>
      </c>
      <c r="E2114" s="1">
        <v>44</v>
      </c>
      <c r="F2114" s="1" t="s">
        <v>13506</v>
      </c>
      <c r="G2114" s="1" t="s">
        <v>9638</v>
      </c>
    </row>
    <row r="2115" spans="1:7" ht="21" x14ac:dyDescent="0.25">
      <c r="A2115" s="2" t="str">
        <f>HYPERLINK("https://rth.dk/resources/bsgatlas/details.php?id=BSGatlas-5'UTR-2114","BSGatlas-5'UTR-2114")</f>
        <v>BSGatlas-5'UTR-2114</v>
      </c>
      <c r="B2115" s="3">
        <v>3196748</v>
      </c>
      <c r="C2115" s="3">
        <v>3196906</v>
      </c>
      <c r="D2115" s="1" t="s">
        <v>9</v>
      </c>
      <c r="E2115" s="1">
        <v>159</v>
      </c>
      <c r="F2115" s="1" t="s">
        <v>13507</v>
      </c>
      <c r="G2115" s="1" t="s">
        <v>9642</v>
      </c>
    </row>
    <row r="2116" spans="1:7" ht="21" x14ac:dyDescent="0.25">
      <c r="A2116" s="2" t="str">
        <f>HYPERLINK("https://rth.dk/resources/bsgatlas/details.php?id=BSGatlas-5'UTR-2115","BSGatlas-5'UTR-2115")</f>
        <v>BSGatlas-5'UTR-2115</v>
      </c>
      <c r="B2116" s="3">
        <v>3196859</v>
      </c>
      <c r="C2116" s="3">
        <v>3196906</v>
      </c>
      <c r="D2116" s="1" t="s">
        <v>9</v>
      </c>
      <c r="E2116" s="1">
        <v>48</v>
      </c>
      <c r="F2116" s="1" t="s">
        <v>13507</v>
      </c>
      <c r="G2116" s="1" t="s">
        <v>9645</v>
      </c>
    </row>
    <row r="2117" spans="1:7" ht="21" x14ac:dyDescent="0.25">
      <c r="A2117" s="2" t="str">
        <f>HYPERLINK("https://rth.dk/resources/bsgatlas/details.php?id=BSGatlas-5'UTR-2116","BSGatlas-5'UTR-2116")</f>
        <v>BSGatlas-5'UTR-2116</v>
      </c>
      <c r="B2117" s="3">
        <v>3201803</v>
      </c>
      <c r="C2117" s="3">
        <v>3201853</v>
      </c>
      <c r="D2117" s="1" t="s">
        <v>13</v>
      </c>
      <c r="E2117" s="1">
        <v>51</v>
      </c>
      <c r="F2117" s="1" t="s">
        <v>13508</v>
      </c>
      <c r="G2117" s="1" t="s">
        <v>9647</v>
      </c>
    </row>
    <row r="2118" spans="1:7" ht="21" x14ac:dyDescent="0.25">
      <c r="A2118" s="2" t="str">
        <f>HYPERLINK("https://rth.dk/resources/bsgatlas/details.php?id=BSGatlas-5'UTR-2117","BSGatlas-5'UTR-2117")</f>
        <v>BSGatlas-5'UTR-2117</v>
      </c>
      <c r="B2118" s="3">
        <v>3203929</v>
      </c>
      <c r="C2118" s="3">
        <v>3203965</v>
      </c>
      <c r="D2118" s="1" t="s">
        <v>13</v>
      </c>
      <c r="E2118" s="1">
        <v>37</v>
      </c>
      <c r="F2118" s="1" t="s">
        <v>13509</v>
      </c>
      <c r="G2118" s="1" t="s">
        <v>9650</v>
      </c>
    </row>
    <row r="2119" spans="1:7" ht="21" x14ac:dyDescent="0.25">
      <c r="A2119" s="2" t="str">
        <f>HYPERLINK("https://rth.dk/resources/bsgatlas/details.php?id=BSGatlas-5'UTR-2118","BSGatlas-5'UTR-2118")</f>
        <v>BSGatlas-5'UTR-2118</v>
      </c>
      <c r="B2119" s="3">
        <v>3206055</v>
      </c>
      <c r="C2119" s="3">
        <v>3206089</v>
      </c>
      <c r="D2119" s="1" t="s">
        <v>13</v>
      </c>
      <c r="E2119" s="1">
        <v>35</v>
      </c>
      <c r="F2119" s="1" t="s">
        <v>13510</v>
      </c>
      <c r="G2119" s="1" t="s">
        <v>9651</v>
      </c>
    </row>
    <row r="2120" spans="1:7" ht="21" x14ac:dyDescent="0.25">
      <c r="A2120" s="2" t="str">
        <f>HYPERLINK("https://rth.dk/resources/bsgatlas/details.php?id=BSGatlas-5'UTR-2119","BSGatlas-5'UTR-2119")</f>
        <v>BSGatlas-5'UTR-2119</v>
      </c>
      <c r="B2120" s="3">
        <v>3208154</v>
      </c>
      <c r="C2120" s="3">
        <v>3208190</v>
      </c>
      <c r="D2120" s="1" t="s">
        <v>13</v>
      </c>
      <c r="E2120" s="1">
        <v>37</v>
      </c>
      <c r="F2120" s="1" t="s">
        <v>13511</v>
      </c>
      <c r="G2120" s="1" t="s">
        <v>9654</v>
      </c>
    </row>
    <row r="2121" spans="1:7" ht="21" x14ac:dyDescent="0.25">
      <c r="A2121" s="2" t="str">
        <f>HYPERLINK("https://rth.dk/resources/bsgatlas/details.php?id=BSGatlas-5'UTR-2120","BSGatlas-5'UTR-2120")</f>
        <v>BSGatlas-5'UTR-2120</v>
      </c>
      <c r="B2121" s="3">
        <v>3210268</v>
      </c>
      <c r="C2121" s="3">
        <v>3210308</v>
      </c>
      <c r="D2121" s="1" t="s">
        <v>13</v>
      </c>
      <c r="E2121" s="1">
        <v>41</v>
      </c>
      <c r="F2121" s="1" t="s">
        <v>13512</v>
      </c>
      <c r="G2121" s="1" t="s">
        <v>9657</v>
      </c>
    </row>
    <row r="2122" spans="1:7" ht="21" x14ac:dyDescent="0.25">
      <c r="A2122" s="2" t="str">
        <f>HYPERLINK("https://rth.dk/resources/bsgatlas/details.php?id=BSGatlas-5'UTR-2121","BSGatlas-5'UTR-2121")</f>
        <v>BSGatlas-5'UTR-2121</v>
      </c>
      <c r="B2122" s="3">
        <v>3212433</v>
      </c>
      <c r="C2122" s="3">
        <v>3212475</v>
      </c>
      <c r="D2122" s="1" t="s">
        <v>13</v>
      </c>
      <c r="E2122" s="1">
        <v>43</v>
      </c>
      <c r="F2122" s="1" t="s">
        <v>13513</v>
      </c>
      <c r="G2122" s="1" t="s">
        <v>9658</v>
      </c>
    </row>
    <row r="2123" spans="1:7" ht="21" x14ac:dyDescent="0.25">
      <c r="A2123" s="2" t="str">
        <f>HYPERLINK("https://rth.dk/resources/bsgatlas/details.php?id=BSGatlas-5'UTR-2122","BSGatlas-5'UTR-2122")</f>
        <v>BSGatlas-5'UTR-2122</v>
      </c>
      <c r="B2123" s="3">
        <v>3212433</v>
      </c>
      <c r="C2123" s="3">
        <v>3212624</v>
      </c>
      <c r="D2123" s="1" t="s">
        <v>13</v>
      </c>
      <c r="E2123" s="1">
        <v>192</v>
      </c>
      <c r="F2123" s="1" t="s">
        <v>13513</v>
      </c>
      <c r="G2123" s="1" t="s">
        <v>9660</v>
      </c>
    </row>
    <row r="2124" spans="1:7" ht="21" x14ac:dyDescent="0.25">
      <c r="A2124" s="2" t="str">
        <f>HYPERLINK("https://rth.dk/resources/bsgatlas/details.php?id=BSGatlas-5'UTR-2123","BSGatlas-5'UTR-2123")</f>
        <v>BSGatlas-5'UTR-2123</v>
      </c>
      <c r="B2124" s="3">
        <v>3212570</v>
      </c>
      <c r="C2124" s="3">
        <v>3212591</v>
      </c>
      <c r="D2124" s="1" t="s">
        <v>9</v>
      </c>
      <c r="E2124" s="1">
        <v>22</v>
      </c>
      <c r="F2124" s="1" t="s">
        <v>13514</v>
      </c>
      <c r="G2124" s="1" t="s">
        <v>9662</v>
      </c>
    </row>
    <row r="2125" spans="1:7" ht="21" x14ac:dyDescent="0.25">
      <c r="A2125" s="2" t="str">
        <f>HYPERLINK("https://rth.dk/resources/bsgatlas/details.php?id=BSGatlas-5'UTR-2124","BSGatlas-5'UTR-2124")</f>
        <v>BSGatlas-5'UTR-2124</v>
      </c>
      <c r="B2125" s="3">
        <v>3216036</v>
      </c>
      <c r="C2125" s="3">
        <v>3216078</v>
      </c>
      <c r="D2125" s="1" t="s">
        <v>13</v>
      </c>
      <c r="E2125" s="1">
        <v>43</v>
      </c>
      <c r="F2125" s="1" t="s">
        <v>13515</v>
      </c>
      <c r="G2125" s="1" t="s">
        <v>9669</v>
      </c>
    </row>
    <row r="2126" spans="1:7" ht="21" x14ac:dyDescent="0.25">
      <c r="A2126" s="2" t="str">
        <f>HYPERLINK("https://rth.dk/resources/bsgatlas/details.php?id=BSGatlas-5'UTR-2125","BSGatlas-5'UTR-2125")</f>
        <v>BSGatlas-5'UTR-2125</v>
      </c>
      <c r="B2126" s="3">
        <v>3218173</v>
      </c>
      <c r="C2126" s="3">
        <v>3218229</v>
      </c>
      <c r="D2126" s="1" t="s">
        <v>13</v>
      </c>
      <c r="E2126" s="1">
        <v>57</v>
      </c>
      <c r="F2126" s="1" t="s">
        <v>13516</v>
      </c>
      <c r="G2126" s="1" t="s">
        <v>9672</v>
      </c>
    </row>
    <row r="2127" spans="1:7" ht="21" x14ac:dyDescent="0.25">
      <c r="A2127" s="2" t="str">
        <f>HYPERLINK("https://rth.dk/resources/bsgatlas/details.php?id=BSGatlas-5'UTR-2126","BSGatlas-5'UTR-2126")</f>
        <v>BSGatlas-5'UTR-2126</v>
      </c>
      <c r="B2127" s="3">
        <v>3218478</v>
      </c>
      <c r="C2127" s="3">
        <v>3218504</v>
      </c>
      <c r="D2127" s="1" t="s">
        <v>13</v>
      </c>
      <c r="E2127" s="1">
        <v>27</v>
      </c>
      <c r="F2127" s="1" t="s">
        <v>13517</v>
      </c>
      <c r="G2127" s="1" t="s">
        <v>9675</v>
      </c>
    </row>
    <row r="2128" spans="1:7" ht="21" x14ac:dyDescent="0.25">
      <c r="A2128" s="2" t="str">
        <f>HYPERLINK("https://rth.dk/resources/bsgatlas/details.php?id=BSGatlas-5'UTR-2127","BSGatlas-5'UTR-2127")</f>
        <v>BSGatlas-5'UTR-2127</v>
      </c>
      <c r="B2128" s="3">
        <v>3220672</v>
      </c>
      <c r="C2128" s="3">
        <v>3220915</v>
      </c>
      <c r="D2128" s="1" t="s">
        <v>13</v>
      </c>
      <c r="E2128" s="1">
        <v>244</v>
      </c>
      <c r="F2128" s="1" t="s">
        <v>13518</v>
      </c>
      <c r="G2128" s="1" t="s">
        <v>9679</v>
      </c>
    </row>
    <row r="2129" spans="1:7" ht="21" x14ac:dyDescent="0.25">
      <c r="A2129" s="2" t="str">
        <f>HYPERLINK("https://rth.dk/resources/bsgatlas/details.php?id=BSGatlas-5'UTR-2128","BSGatlas-5'UTR-2128")</f>
        <v>BSGatlas-5'UTR-2128</v>
      </c>
      <c r="B2129" s="3">
        <v>3222083</v>
      </c>
      <c r="C2129" s="3">
        <v>3222121</v>
      </c>
      <c r="D2129" s="1" t="s">
        <v>13</v>
      </c>
      <c r="E2129" s="1">
        <v>39</v>
      </c>
      <c r="F2129" s="1" t="s">
        <v>13519</v>
      </c>
      <c r="G2129" s="1" t="s">
        <v>9683</v>
      </c>
    </row>
    <row r="2130" spans="1:7" ht="21" x14ac:dyDescent="0.25">
      <c r="A2130" s="2" t="str">
        <f>HYPERLINK("https://rth.dk/resources/bsgatlas/details.php?id=BSGatlas-5'UTR-2129","BSGatlas-5'UTR-2129")</f>
        <v>BSGatlas-5'UTR-2129</v>
      </c>
      <c r="B2130" s="3">
        <v>3223367</v>
      </c>
      <c r="C2130" s="3">
        <v>3223413</v>
      </c>
      <c r="D2130" s="1" t="s">
        <v>13</v>
      </c>
      <c r="E2130" s="1">
        <v>47</v>
      </c>
      <c r="F2130" s="1" t="s">
        <v>13520</v>
      </c>
      <c r="G2130" s="1" t="s">
        <v>9685</v>
      </c>
    </row>
    <row r="2131" spans="1:7" ht="21" x14ac:dyDescent="0.25">
      <c r="A2131" s="2" t="str">
        <f>HYPERLINK("https://rth.dk/resources/bsgatlas/details.php?id=BSGatlas-5'UTR-2130","BSGatlas-5'UTR-2130")</f>
        <v>BSGatlas-5'UTR-2130</v>
      </c>
      <c r="B2131" s="3">
        <v>3224634</v>
      </c>
      <c r="C2131" s="3">
        <v>3224667</v>
      </c>
      <c r="D2131" s="1" t="s">
        <v>13</v>
      </c>
      <c r="E2131" s="1">
        <v>34</v>
      </c>
      <c r="F2131" s="1" t="s">
        <v>13521</v>
      </c>
      <c r="G2131" s="1" t="s">
        <v>9687</v>
      </c>
    </row>
    <row r="2132" spans="1:7" ht="21" x14ac:dyDescent="0.25">
      <c r="A2132" s="2" t="str">
        <f>HYPERLINK("https://rth.dk/resources/bsgatlas/details.php?id=BSGatlas-5'UTR-2131","BSGatlas-5'UTR-2131")</f>
        <v>BSGatlas-5'UTR-2131</v>
      </c>
      <c r="B2132" s="3">
        <v>3224634</v>
      </c>
      <c r="C2132" s="3">
        <v>3224824</v>
      </c>
      <c r="D2132" s="1" t="s">
        <v>13</v>
      </c>
      <c r="E2132" s="1">
        <v>191</v>
      </c>
      <c r="F2132" s="1" t="s">
        <v>13521</v>
      </c>
      <c r="G2132" s="1" t="s">
        <v>9689</v>
      </c>
    </row>
    <row r="2133" spans="1:7" ht="21" x14ac:dyDescent="0.25">
      <c r="A2133" s="2" t="str">
        <f>HYPERLINK("https://rth.dk/resources/bsgatlas/details.php?id=BSGatlas-5'UTR-2132","BSGatlas-5'UTR-2132")</f>
        <v>BSGatlas-5'UTR-2132</v>
      </c>
      <c r="B2133" s="3">
        <v>3224751</v>
      </c>
      <c r="C2133" s="3">
        <v>3224864</v>
      </c>
      <c r="D2133" s="1" t="s">
        <v>9</v>
      </c>
      <c r="E2133" s="1">
        <v>114</v>
      </c>
      <c r="F2133" s="1" t="s">
        <v>13522</v>
      </c>
      <c r="G2133" s="1" t="s">
        <v>9690</v>
      </c>
    </row>
    <row r="2134" spans="1:7" ht="21" x14ac:dyDescent="0.25">
      <c r="A2134" s="2" t="str">
        <f>HYPERLINK("https://rth.dk/resources/bsgatlas/details.php?id=BSGatlas-5'UTR-2133","BSGatlas-5'UTR-2133")</f>
        <v>BSGatlas-5'UTR-2133</v>
      </c>
      <c r="B2134" s="3">
        <v>3224832</v>
      </c>
      <c r="C2134" s="3">
        <v>3224864</v>
      </c>
      <c r="D2134" s="1" t="s">
        <v>9</v>
      </c>
      <c r="E2134" s="1">
        <v>33</v>
      </c>
      <c r="F2134" s="1" t="s">
        <v>13522</v>
      </c>
      <c r="G2134" s="1" t="s">
        <v>9693</v>
      </c>
    </row>
    <row r="2135" spans="1:7" ht="21" x14ac:dyDescent="0.25">
      <c r="A2135" s="2" t="str">
        <f>HYPERLINK("https://rth.dk/resources/bsgatlas/details.php?id=BSGatlas-5'UTR-2134","BSGatlas-5'UTR-2134")</f>
        <v>BSGatlas-5'UTR-2134</v>
      </c>
      <c r="B2135" s="3">
        <v>3225570</v>
      </c>
      <c r="C2135" s="3">
        <v>3225619</v>
      </c>
      <c r="D2135" s="1" t="s">
        <v>13</v>
      </c>
      <c r="E2135" s="1">
        <v>50</v>
      </c>
      <c r="F2135" s="1" t="s">
        <v>13523</v>
      </c>
      <c r="G2135" s="1" t="s">
        <v>9694</v>
      </c>
    </row>
    <row r="2136" spans="1:7" ht="21" x14ac:dyDescent="0.25">
      <c r="A2136" s="2" t="str">
        <f>HYPERLINK("https://rth.dk/resources/bsgatlas/details.php?id=BSGatlas-5'UTR-2135","BSGatlas-5'UTR-2135")</f>
        <v>BSGatlas-5'UTR-2135</v>
      </c>
      <c r="B2136" s="3">
        <v>3226842</v>
      </c>
      <c r="C2136" s="3">
        <v>3227581</v>
      </c>
      <c r="D2136" s="1" t="s">
        <v>9</v>
      </c>
      <c r="E2136" s="1">
        <v>740</v>
      </c>
      <c r="F2136" s="1" t="s">
        <v>13524</v>
      </c>
      <c r="G2136" s="1" t="s">
        <v>9699</v>
      </c>
    </row>
    <row r="2137" spans="1:7" ht="21" x14ac:dyDescent="0.25">
      <c r="A2137" s="2" t="str">
        <f>HYPERLINK("https://rth.dk/resources/bsgatlas/details.php?id=BSGatlas-5'UTR-2136","BSGatlas-5'UTR-2136")</f>
        <v>BSGatlas-5'UTR-2136</v>
      </c>
      <c r="B2137" s="3">
        <v>3227433</v>
      </c>
      <c r="C2137" s="3">
        <v>3227484</v>
      </c>
      <c r="D2137" s="1" t="s">
        <v>13</v>
      </c>
      <c r="E2137" s="1">
        <v>52</v>
      </c>
      <c r="F2137" s="1" t="s">
        <v>13525</v>
      </c>
      <c r="G2137" s="1" t="s">
        <v>9698</v>
      </c>
    </row>
    <row r="2138" spans="1:7" ht="21" x14ac:dyDescent="0.25">
      <c r="A2138" s="2" t="str">
        <f>HYPERLINK("https://rth.dk/resources/bsgatlas/details.php?id=BSGatlas-5'UTR-2137","BSGatlas-5'UTR-2137")</f>
        <v>BSGatlas-5'UTR-2137</v>
      </c>
      <c r="B2138" s="3">
        <v>3227490</v>
      </c>
      <c r="C2138" s="3">
        <v>3227581</v>
      </c>
      <c r="D2138" s="1" t="s">
        <v>9</v>
      </c>
      <c r="E2138" s="1">
        <v>92</v>
      </c>
      <c r="F2138" s="1" t="s">
        <v>13524</v>
      </c>
      <c r="G2138" s="1" t="s">
        <v>9702</v>
      </c>
    </row>
    <row r="2139" spans="1:7" ht="21" x14ac:dyDescent="0.25">
      <c r="A2139" s="2" t="str">
        <f>HYPERLINK("https://rth.dk/resources/bsgatlas/details.php?id=BSGatlas-5'UTR-2138","BSGatlas-5'UTR-2138")</f>
        <v>BSGatlas-5'UTR-2138</v>
      </c>
      <c r="B2139" s="3">
        <v>3228691</v>
      </c>
      <c r="C2139" s="3">
        <v>3228722</v>
      </c>
      <c r="D2139" s="1" t="s">
        <v>13</v>
      </c>
      <c r="E2139" s="1">
        <v>32</v>
      </c>
      <c r="F2139" s="1" t="s">
        <v>13526</v>
      </c>
      <c r="G2139" s="1" t="s">
        <v>9703</v>
      </c>
    </row>
    <row r="2140" spans="1:7" ht="21" x14ac:dyDescent="0.25">
      <c r="A2140" s="2" t="str">
        <f>HYPERLINK("https://rth.dk/resources/bsgatlas/details.php?id=BSGatlas-5'UTR-2139","BSGatlas-5'UTR-2139")</f>
        <v>BSGatlas-5'UTR-2139</v>
      </c>
      <c r="B2140" s="3">
        <v>3228711</v>
      </c>
      <c r="C2140" s="3">
        <v>3228778</v>
      </c>
      <c r="D2140" s="1" t="s">
        <v>9</v>
      </c>
      <c r="E2140" s="1">
        <v>68</v>
      </c>
      <c r="F2140" s="1" t="s">
        <v>13527</v>
      </c>
      <c r="G2140" s="1" t="s">
        <v>9705</v>
      </c>
    </row>
    <row r="2141" spans="1:7" ht="21" x14ac:dyDescent="0.25">
      <c r="A2141" s="2" t="str">
        <f>HYPERLINK("https://rth.dk/resources/bsgatlas/details.php?id=BSGatlas-5'UTR-2140","BSGatlas-5'UTR-2140")</f>
        <v>BSGatlas-5'UTR-2140</v>
      </c>
      <c r="B2141" s="3">
        <v>3230039</v>
      </c>
      <c r="C2141" s="3">
        <v>3230067</v>
      </c>
      <c r="D2141" s="1" t="s">
        <v>9</v>
      </c>
      <c r="E2141" s="1">
        <v>29</v>
      </c>
      <c r="F2141" s="1" t="s">
        <v>13528</v>
      </c>
      <c r="G2141" s="1" t="s">
        <v>9708</v>
      </c>
    </row>
    <row r="2142" spans="1:7" ht="21" x14ac:dyDescent="0.25">
      <c r="A2142" s="2" t="str">
        <f>HYPERLINK("https://rth.dk/resources/bsgatlas/details.php?id=BSGatlas-5'UTR-2141","BSGatlas-5'UTR-2141")</f>
        <v>BSGatlas-5'UTR-2141</v>
      </c>
      <c r="B2142" s="3">
        <v>3231370</v>
      </c>
      <c r="C2142" s="3">
        <v>3231399</v>
      </c>
      <c r="D2142" s="1" t="s">
        <v>9</v>
      </c>
      <c r="E2142" s="1">
        <v>30</v>
      </c>
      <c r="F2142" s="1" t="s">
        <v>13529</v>
      </c>
      <c r="G2142" s="1" t="s">
        <v>9712</v>
      </c>
    </row>
    <row r="2143" spans="1:7" ht="21" x14ac:dyDescent="0.25">
      <c r="A2143" s="2" t="str">
        <f>HYPERLINK("https://rth.dk/resources/bsgatlas/details.php?id=BSGatlas-5'UTR-2142","BSGatlas-5'UTR-2142")</f>
        <v>BSGatlas-5'UTR-2142</v>
      </c>
      <c r="B2143" s="3">
        <v>3232429</v>
      </c>
      <c r="C2143" s="3">
        <v>3232481</v>
      </c>
      <c r="D2143" s="1" t="s">
        <v>13</v>
      </c>
      <c r="E2143" s="1">
        <v>53</v>
      </c>
      <c r="F2143" s="1" t="s">
        <v>13530</v>
      </c>
      <c r="G2143" s="1" t="s">
        <v>9710</v>
      </c>
    </row>
    <row r="2144" spans="1:7" ht="21" x14ac:dyDescent="0.25">
      <c r="A2144" s="2" t="str">
        <f>HYPERLINK("https://rth.dk/resources/bsgatlas/details.php?id=BSGatlas-5'UTR-2143","BSGatlas-5'UTR-2143")</f>
        <v>BSGatlas-5'UTR-2143</v>
      </c>
      <c r="B2144" s="3">
        <v>3232574</v>
      </c>
      <c r="C2144" s="3">
        <v>3232640</v>
      </c>
      <c r="D2144" s="1" t="s">
        <v>9</v>
      </c>
      <c r="E2144" s="1">
        <v>67</v>
      </c>
      <c r="F2144" s="1" t="s">
        <v>13531</v>
      </c>
      <c r="G2144" s="1" t="s">
        <v>9713</v>
      </c>
    </row>
    <row r="2145" spans="1:7" ht="21" x14ac:dyDescent="0.25">
      <c r="A2145" s="2" t="str">
        <f>HYPERLINK("https://rth.dk/resources/bsgatlas/details.php?id=BSGatlas-5'UTR-2144","BSGatlas-5'UTR-2144")</f>
        <v>BSGatlas-5'UTR-2144</v>
      </c>
      <c r="B2145" s="3">
        <v>3233891</v>
      </c>
      <c r="C2145" s="3">
        <v>3233911</v>
      </c>
      <c r="D2145" s="1" t="s">
        <v>9</v>
      </c>
      <c r="E2145" s="1">
        <v>21</v>
      </c>
      <c r="F2145" s="1" t="s">
        <v>13532</v>
      </c>
      <c r="G2145" s="1" t="s">
        <v>9715</v>
      </c>
    </row>
    <row r="2146" spans="1:7" ht="21" x14ac:dyDescent="0.25">
      <c r="A2146" s="2" t="str">
        <f>HYPERLINK("https://rth.dk/resources/bsgatlas/details.php?id=BSGatlas-5'UTR-2145","BSGatlas-5'UTR-2145")</f>
        <v>BSGatlas-5'UTR-2145</v>
      </c>
      <c r="B2146" s="3">
        <v>3236453</v>
      </c>
      <c r="C2146" s="3">
        <v>3237157</v>
      </c>
      <c r="D2146" s="1" t="s">
        <v>9</v>
      </c>
      <c r="E2146" s="1">
        <v>705</v>
      </c>
      <c r="F2146" s="1" t="s">
        <v>13533</v>
      </c>
      <c r="G2146" s="1" t="s">
        <v>9721</v>
      </c>
    </row>
    <row r="2147" spans="1:7" ht="21" x14ac:dyDescent="0.25">
      <c r="A2147" s="2" t="str">
        <f>HYPERLINK("https://rth.dk/resources/bsgatlas/details.php?id=BSGatlas-5'UTR-2146","BSGatlas-5'UTR-2146")</f>
        <v>BSGatlas-5'UTR-2146</v>
      </c>
      <c r="B2147" s="3">
        <v>3236979</v>
      </c>
      <c r="C2147" s="3">
        <v>3237013</v>
      </c>
      <c r="D2147" s="1" t="s">
        <v>13</v>
      </c>
      <c r="E2147" s="1">
        <v>35</v>
      </c>
      <c r="F2147" s="1" t="s">
        <v>13534</v>
      </c>
      <c r="G2147" s="1" t="s">
        <v>9718</v>
      </c>
    </row>
    <row r="2148" spans="1:7" ht="21" x14ac:dyDescent="0.25">
      <c r="A2148" s="2" t="str">
        <f>HYPERLINK("https://rth.dk/resources/bsgatlas/details.php?id=BSGatlas-5'UTR-2147","BSGatlas-5'UTR-2147")</f>
        <v>BSGatlas-5'UTR-2147</v>
      </c>
      <c r="B2148" s="3">
        <v>3239640</v>
      </c>
      <c r="C2148" s="3">
        <v>3239930</v>
      </c>
      <c r="D2148" s="1" t="s">
        <v>9</v>
      </c>
      <c r="E2148" s="1">
        <v>291</v>
      </c>
      <c r="F2148" s="1" t="s">
        <v>13535</v>
      </c>
      <c r="G2148" s="1" t="s">
        <v>9723</v>
      </c>
    </row>
    <row r="2149" spans="1:7" ht="21" x14ac:dyDescent="0.25">
      <c r="A2149" s="2" t="str">
        <f>HYPERLINK("https://rth.dk/resources/bsgatlas/details.php?id=BSGatlas-5'UTR-2148","BSGatlas-5'UTR-2148")</f>
        <v>BSGatlas-5'UTR-2148</v>
      </c>
      <c r="B2149" s="3">
        <v>3244743</v>
      </c>
      <c r="C2149" s="3">
        <v>3244770</v>
      </c>
      <c r="D2149" s="1" t="s">
        <v>9</v>
      </c>
      <c r="E2149" s="1">
        <v>28</v>
      </c>
      <c r="F2149" s="1" t="s">
        <v>13536</v>
      </c>
      <c r="G2149" s="1" t="s">
        <v>9726</v>
      </c>
    </row>
    <row r="2150" spans="1:7" ht="21" x14ac:dyDescent="0.25">
      <c r="A2150" s="2" t="str">
        <f>HYPERLINK("https://rth.dk/resources/bsgatlas/details.php?id=BSGatlas-5'UTR-2149","BSGatlas-5'UTR-2149")</f>
        <v>BSGatlas-5'UTR-2149</v>
      </c>
      <c r="B2150" s="3">
        <v>3246331</v>
      </c>
      <c r="C2150" s="3">
        <v>3246598</v>
      </c>
      <c r="D2150" s="1" t="s">
        <v>9</v>
      </c>
      <c r="E2150" s="1">
        <v>268</v>
      </c>
      <c r="F2150" s="1" t="s">
        <v>13537</v>
      </c>
      <c r="G2150" s="1" t="s">
        <v>9730</v>
      </c>
    </row>
    <row r="2151" spans="1:7" ht="21" x14ac:dyDescent="0.25">
      <c r="A2151" s="2" t="str">
        <f>HYPERLINK("https://rth.dk/resources/bsgatlas/details.php?id=BSGatlas-5'UTR-2150","BSGatlas-5'UTR-2150")</f>
        <v>BSGatlas-5'UTR-2150</v>
      </c>
      <c r="B2151" s="3">
        <v>3246367</v>
      </c>
      <c r="C2151" s="3">
        <v>3246385</v>
      </c>
      <c r="D2151" s="1" t="s">
        <v>13</v>
      </c>
      <c r="E2151" s="1">
        <v>19</v>
      </c>
      <c r="F2151" s="1" t="s">
        <v>13538</v>
      </c>
      <c r="G2151" s="1" t="s">
        <v>9728</v>
      </c>
    </row>
    <row r="2152" spans="1:7" ht="21" x14ac:dyDescent="0.25">
      <c r="A2152" s="2" t="str">
        <f>HYPERLINK("https://rth.dk/resources/bsgatlas/details.php?id=BSGatlas-5'UTR-2151","BSGatlas-5'UTR-2151")</f>
        <v>BSGatlas-5'UTR-2151</v>
      </c>
      <c r="B2152" s="3">
        <v>3246432</v>
      </c>
      <c r="C2152" s="3">
        <v>3246598</v>
      </c>
      <c r="D2152" s="1" t="s">
        <v>9</v>
      </c>
      <c r="E2152" s="1">
        <v>167</v>
      </c>
      <c r="F2152" s="1" t="s">
        <v>13537</v>
      </c>
      <c r="G2152" s="1" t="s">
        <v>9733</v>
      </c>
    </row>
    <row r="2153" spans="1:7" ht="21" x14ac:dyDescent="0.25">
      <c r="A2153" s="2" t="str">
        <f>HYPERLINK("https://rth.dk/resources/bsgatlas/details.php?id=BSGatlas-5'UTR-2152","BSGatlas-5'UTR-2152")</f>
        <v>BSGatlas-5'UTR-2152</v>
      </c>
      <c r="B2153" s="3">
        <v>3246529</v>
      </c>
      <c r="C2153" s="3">
        <v>3246598</v>
      </c>
      <c r="D2153" s="1" t="s">
        <v>9</v>
      </c>
      <c r="E2153" s="1">
        <v>70</v>
      </c>
      <c r="F2153" s="1" t="s">
        <v>13537</v>
      </c>
      <c r="G2153" s="1" t="s">
        <v>9734</v>
      </c>
    </row>
    <row r="2154" spans="1:7" ht="21" x14ac:dyDescent="0.25">
      <c r="A2154" s="2" t="str">
        <f>HYPERLINK("https://rth.dk/resources/bsgatlas/details.php?id=BSGatlas-5'UTR-2153","BSGatlas-5'UTR-2153")</f>
        <v>BSGatlas-5'UTR-2153</v>
      </c>
      <c r="B2154" s="3">
        <v>3249719</v>
      </c>
      <c r="C2154" s="3">
        <v>3249761</v>
      </c>
      <c r="D2154" s="1" t="s">
        <v>9</v>
      </c>
      <c r="E2154" s="1">
        <v>43</v>
      </c>
      <c r="F2154" s="1" t="s">
        <v>13539</v>
      </c>
      <c r="G2154" s="1" t="s">
        <v>9736</v>
      </c>
    </row>
    <row r="2155" spans="1:7" ht="21" x14ac:dyDescent="0.25">
      <c r="A2155" s="2" t="str">
        <f>HYPERLINK("https://rth.dk/resources/bsgatlas/details.php?id=BSGatlas-5'UTR-2154","BSGatlas-5'UTR-2154")</f>
        <v>BSGatlas-5'UTR-2154</v>
      </c>
      <c r="B2155" s="3">
        <v>3253448</v>
      </c>
      <c r="C2155" s="3">
        <v>3253474</v>
      </c>
      <c r="D2155" s="1" t="s">
        <v>13</v>
      </c>
      <c r="E2155" s="1">
        <v>27</v>
      </c>
      <c r="F2155" s="1" t="s">
        <v>13540</v>
      </c>
      <c r="G2155" s="1" t="s">
        <v>9738</v>
      </c>
    </row>
    <row r="2156" spans="1:7" ht="21" x14ac:dyDescent="0.25">
      <c r="A2156" s="2" t="str">
        <f>HYPERLINK("https://rth.dk/resources/bsgatlas/details.php?id=BSGatlas-5'UTR-2155","BSGatlas-5'UTR-2155")</f>
        <v>BSGatlas-5'UTR-2155</v>
      </c>
      <c r="B2156" s="3">
        <v>3254559</v>
      </c>
      <c r="C2156" s="3">
        <v>3255432</v>
      </c>
      <c r="D2156" s="1" t="s">
        <v>9</v>
      </c>
      <c r="E2156" s="1">
        <v>874</v>
      </c>
      <c r="F2156" s="1" t="s">
        <v>13541</v>
      </c>
      <c r="G2156" s="1" t="s">
        <v>9746</v>
      </c>
    </row>
    <row r="2157" spans="1:7" ht="21" x14ac:dyDescent="0.25">
      <c r="A2157" s="2" t="str">
        <f>HYPERLINK("https://rth.dk/resources/bsgatlas/details.php?id=BSGatlas-5'UTR-2156","BSGatlas-5'UTR-2156")</f>
        <v>BSGatlas-5'UTR-2156</v>
      </c>
      <c r="B2157" s="3">
        <v>3256907</v>
      </c>
      <c r="C2157" s="3">
        <v>3256967</v>
      </c>
      <c r="D2157" s="1" t="s">
        <v>13</v>
      </c>
      <c r="E2157" s="1">
        <v>61</v>
      </c>
      <c r="F2157" s="1" t="s">
        <v>13542</v>
      </c>
      <c r="G2157" s="1" t="s">
        <v>9741</v>
      </c>
    </row>
    <row r="2158" spans="1:7" ht="21" x14ac:dyDescent="0.25">
      <c r="A2158" s="2" t="str">
        <f>HYPERLINK("https://rth.dk/resources/bsgatlas/details.php?id=BSGatlas-5'UTR-2157","BSGatlas-5'UTR-2157")</f>
        <v>BSGatlas-5'UTR-2157</v>
      </c>
      <c r="B2158" s="3">
        <v>3256907</v>
      </c>
      <c r="C2158" s="3">
        <v>3257021</v>
      </c>
      <c r="D2158" s="1" t="s">
        <v>13</v>
      </c>
      <c r="E2158" s="1">
        <v>115</v>
      </c>
      <c r="F2158" s="1" t="s">
        <v>13542</v>
      </c>
      <c r="G2158" s="1" t="s">
        <v>9742</v>
      </c>
    </row>
    <row r="2159" spans="1:7" ht="21" x14ac:dyDescent="0.25">
      <c r="A2159" s="2" t="str">
        <f>HYPERLINK("https://rth.dk/resources/bsgatlas/details.php?id=BSGatlas-5'UTR-2158","BSGatlas-5'UTR-2158")</f>
        <v>BSGatlas-5'UTR-2158</v>
      </c>
      <c r="B2159" s="3">
        <v>3257232</v>
      </c>
      <c r="C2159" s="3">
        <v>3257307</v>
      </c>
      <c r="D2159" s="1" t="s">
        <v>13</v>
      </c>
      <c r="E2159" s="1">
        <v>76</v>
      </c>
      <c r="F2159" s="1" t="s">
        <v>13543</v>
      </c>
      <c r="G2159" s="1" t="s">
        <v>9750</v>
      </c>
    </row>
    <row r="2160" spans="1:7" ht="21" x14ac:dyDescent="0.25">
      <c r="A2160" s="2" t="str">
        <f>HYPERLINK("https://rth.dk/resources/bsgatlas/details.php?id=BSGatlas-5'UTR-2159","BSGatlas-5'UTR-2159")</f>
        <v>BSGatlas-5'UTR-2159</v>
      </c>
      <c r="B2160" s="3">
        <v>3257232</v>
      </c>
      <c r="C2160" s="3">
        <v>3257429</v>
      </c>
      <c r="D2160" s="1" t="s">
        <v>13</v>
      </c>
      <c r="E2160" s="1">
        <v>198</v>
      </c>
      <c r="F2160" s="1" t="s">
        <v>13543</v>
      </c>
      <c r="G2160" s="1" t="s">
        <v>9752</v>
      </c>
    </row>
    <row r="2161" spans="1:7" ht="21" x14ac:dyDescent="0.25">
      <c r="A2161" s="2" t="str">
        <f>HYPERLINK("https://rth.dk/resources/bsgatlas/details.php?id=BSGatlas-5'UTR-2160","BSGatlas-5'UTR-2160")</f>
        <v>BSGatlas-5'UTR-2160</v>
      </c>
      <c r="B2161" s="3">
        <v>3257666</v>
      </c>
      <c r="C2161" s="3">
        <v>3257693</v>
      </c>
      <c r="D2161" s="1" t="s">
        <v>9</v>
      </c>
      <c r="E2161" s="1">
        <v>28</v>
      </c>
      <c r="F2161" s="1" t="s">
        <v>13544</v>
      </c>
      <c r="G2161" s="1" t="s">
        <v>9756</v>
      </c>
    </row>
    <row r="2162" spans="1:7" ht="21" x14ac:dyDescent="0.25">
      <c r="A2162" s="2" t="str">
        <f>HYPERLINK("https://rth.dk/resources/bsgatlas/details.php?id=BSGatlas-5'UTR-2161","BSGatlas-5'UTR-2161")</f>
        <v>BSGatlas-5'UTR-2161</v>
      </c>
      <c r="B2162" s="3">
        <v>3259266</v>
      </c>
      <c r="C2162" s="3">
        <v>3259299</v>
      </c>
      <c r="D2162" s="1" t="s">
        <v>13</v>
      </c>
      <c r="E2162" s="1">
        <v>34</v>
      </c>
      <c r="F2162" s="1" t="s">
        <v>13545</v>
      </c>
      <c r="G2162" s="1" t="s">
        <v>9754</v>
      </c>
    </row>
    <row r="2163" spans="1:7" ht="21" x14ac:dyDescent="0.25">
      <c r="A2163" s="2" t="str">
        <f>HYPERLINK("https://rth.dk/resources/bsgatlas/details.php?id=BSGatlas-5'UTR-2162","BSGatlas-5'UTR-2162")</f>
        <v>BSGatlas-5'UTR-2162</v>
      </c>
      <c r="B2163" s="3">
        <v>3261442</v>
      </c>
      <c r="C2163" s="3">
        <v>3261477</v>
      </c>
      <c r="D2163" s="1" t="s">
        <v>13</v>
      </c>
      <c r="E2163" s="1">
        <v>36</v>
      </c>
      <c r="F2163" s="1" t="s">
        <v>13546</v>
      </c>
      <c r="G2163" s="1" t="s">
        <v>9760</v>
      </c>
    </row>
    <row r="2164" spans="1:7" ht="21" x14ac:dyDescent="0.25">
      <c r="A2164" s="2" t="str">
        <f>HYPERLINK("https://rth.dk/resources/bsgatlas/details.php?id=BSGatlas-5'UTR-2163","BSGatlas-5'UTR-2163")</f>
        <v>BSGatlas-5'UTR-2163</v>
      </c>
      <c r="B2164" s="3">
        <v>3262257</v>
      </c>
      <c r="C2164" s="3">
        <v>3262291</v>
      </c>
      <c r="D2164" s="1" t="s">
        <v>13</v>
      </c>
      <c r="E2164" s="1">
        <v>35</v>
      </c>
      <c r="F2164" s="1" t="s">
        <v>13547</v>
      </c>
      <c r="G2164" s="1" t="s">
        <v>9762</v>
      </c>
    </row>
    <row r="2165" spans="1:7" ht="21" x14ac:dyDescent="0.25">
      <c r="A2165" s="2" t="str">
        <f>HYPERLINK("https://rth.dk/resources/bsgatlas/details.php?id=BSGatlas-5'UTR-2164","BSGatlas-5'UTR-2164")</f>
        <v>BSGatlas-5'UTR-2164</v>
      </c>
      <c r="B2165" s="3">
        <v>3262551</v>
      </c>
      <c r="C2165" s="3">
        <v>3262575</v>
      </c>
      <c r="D2165" s="1" t="s">
        <v>13</v>
      </c>
      <c r="E2165" s="1">
        <v>25</v>
      </c>
      <c r="F2165" s="1" t="s">
        <v>13548</v>
      </c>
      <c r="G2165" s="1" t="s">
        <v>9763</v>
      </c>
    </row>
    <row r="2166" spans="1:7" ht="21" x14ac:dyDescent="0.25">
      <c r="A2166" s="2" t="str">
        <f>HYPERLINK("https://rth.dk/resources/bsgatlas/details.php?id=BSGatlas-5'UTR-2165","BSGatlas-5'UTR-2165")</f>
        <v>BSGatlas-5'UTR-2165</v>
      </c>
      <c r="B2166" s="3">
        <v>3263403</v>
      </c>
      <c r="C2166" s="3">
        <v>3263835</v>
      </c>
      <c r="D2166" s="1" t="s">
        <v>9</v>
      </c>
      <c r="E2166" s="1">
        <v>433</v>
      </c>
      <c r="F2166" s="1" t="s">
        <v>13549</v>
      </c>
      <c r="G2166" s="1" t="s">
        <v>9766</v>
      </c>
    </row>
    <row r="2167" spans="1:7" ht="21" x14ac:dyDescent="0.25">
      <c r="A2167" s="2" t="str">
        <f>HYPERLINK("https://rth.dk/resources/bsgatlas/details.php?id=BSGatlas-5'UTR-2166","BSGatlas-5'UTR-2166")</f>
        <v>BSGatlas-5'UTR-2166</v>
      </c>
      <c r="B2167" s="3">
        <v>3263720</v>
      </c>
      <c r="C2167" s="3">
        <v>3263784</v>
      </c>
      <c r="D2167" s="1" t="s">
        <v>13</v>
      </c>
      <c r="E2167" s="1">
        <v>65</v>
      </c>
      <c r="F2167" s="1" t="s">
        <v>13550</v>
      </c>
      <c r="G2167" s="1" t="s">
        <v>9765</v>
      </c>
    </row>
    <row r="2168" spans="1:7" ht="21" x14ac:dyDescent="0.25">
      <c r="A2168" s="2" t="str">
        <f>HYPERLINK("https://rth.dk/resources/bsgatlas/details.php?id=BSGatlas-5'UTR-2167","BSGatlas-5'UTR-2167")</f>
        <v>BSGatlas-5'UTR-2167</v>
      </c>
      <c r="B2168" s="3">
        <v>3263799</v>
      </c>
      <c r="C2168" s="3">
        <v>3263835</v>
      </c>
      <c r="D2168" s="1" t="s">
        <v>9</v>
      </c>
      <c r="E2168" s="1">
        <v>37</v>
      </c>
      <c r="F2168" s="1" t="s">
        <v>13549</v>
      </c>
      <c r="G2168" s="1" t="s">
        <v>9767</v>
      </c>
    </row>
    <row r="2169" spans="1:7" ht="21" x14ac:dyDescent="0.25">
      <c r="A2169" s="2" t="str">
        <f>HYPERLINK("https://rth.dk/resources/bsgatlas/details.php?id=BSGatlas-5'UTR-2168","BSGatlas-5'UTR-2168")</f>
        <v>BSGatlas-5'UTR-2168</v>
      </c>
      <c r="B2169" s="3">
        <v>3264501</v>
      </c>
      <c r="C2169" s="3">
        <v>3264535</v>
      </c>
      <c r="D2169" s="1" t="s">
        <v>13</v>
      </c>
      <c r="E2169" s="1">
        <v>35</v>
      </c>
      <c r="F2169" s="1" t="s">
        <v>13551</v>
      </c>
      <c r="G2169" s="1" t="s">
        <v>9768</v>
      </c>
    </row>
    <row r="2170" spans="1:7" ht="21" x14ac:dyDescent="0.25">
      <c r="A2170" s="2" t="str">
        <f>HYPERLINK("https://rth.dk/resources/bsgatlas/details.php?id=BSGatlas-5'UTR-2169","BSGatlas-5'UTR-2169")</f>
        <v>BSGatlas-5'UTR-2169</v>
      </c>
      <c r="B2170" s="3">
        <v>3265208</v>
      </c>
      <c r="C2170" s="3">
        <v>3265239</v>
      </c>
      <c r="D2170" s="1" t="s">
        <v>13</v>
      </c>
      <c r="E2170" s="1">
        <v>32</v>
      </c>
      <c r="F2170" s="1" t="s">
        <v>13552</v>
      </c>
      <c r="G2170" s="1" t="s">
        <v>9770</v>
      </c>
    </row>
    <row r="2171" spans="1:7" ht="21" x14ac:dyDescent="0.25">
      <c r="A2171" s="2" t="str">
        <f>HYPERLINK("https://rth.dk/resources/bsgatlas/details.php?id=BSGatlas-5'UTR-2170","BSGatlas-5'UTR-2170")</f>
        <v>BSGatlas-5'UTR-2170</v>
      </c>
      <c r="B2171" s="3">
        <v>3265208</v>
      </c>
      <c r="C2171" s="3">
        <v>3265329</v>
      </c>
      <c r="D2171" s="1" t="s">
        <v>13</v>
      </c>
      <c r="E2171" s="1">
        <v>122</v>
      </c>
      <c r="F2171" s="1" t="s">
        <v>13552</v>
      </c>
      <c r="G2171" s="1" t="s">
        <v>9771</v>
      </c>
    </row>
    <row r="2172" spans="1:7" ht="21" x14ac:dyDescent="0.25">
      <c r="A2172" s="2" t="str">
        <f>HYPERLINK("https://rth.dk/resources/bsgatlas/details.php?id=BSGatlas-5'UTR-2171","BSGatlas-5'UTR-2171")</f>
        <v>BSGatlas-5'UTR-2171</v>
      </c>
      <c r="B2172" s="3">
        <v>3266137</v>
      </c>
      <c r="C2172" s="3">
        <v>3266163</v>
      </c>
      <c r="D2172" s="1" t="s">
        <v>13</v>
      </c>
      <c r="E2172" s="1">
        <v>27</v>
      </c>
      <c r="F2172" s="1" t="s">
        <v>13553</v>
      </c>
      <c r="G2172" s="1" t="s">
        <v>9772</v>
      </c>
    </row>
    <row r="2173" spans="1:7" ht="21" x14ac:dyDescent="0.25">
      <c r="A2173" s="2" t="str">
        <f>HYPERLINK("https://rth.dk/resources/bsgatlas/details.php?id=BSGatlas-5'UTR-2172","BSGatlas-5'UTR-2172")</f>
        <v>BSGatlas-5'UTR-2172</v>
      </c>
      <c r="B2173" s="3">
        <v>3276434</v>
      </c>
      <c r="C2173" s="3">
        <v>3276513</v>
      </c>
      <c r="D2173" s="1" t="s">
        <v>13</v>
      </c>
      <c r="E2173" s="1">
        <v>80</v>
      </c>
      <c r="F2173" s="1" t="s">
        <v>13554</v>
      </c>
      <c r="G2173" s="1" t="s">
        <v>9775</v>
      </c>
    </row>
    <row r="2174" spans="1:7" ht="21" x14ac:dyDescent="0.25">
      <c r="A2174" s="2" t="str">
        <f>HYPERLINK("https://rth.dk/resources/bsgatlas/details.php?id=BSGatlas-5'UTR-2173","BSGatlas-5'UTR-2173")</f>
        <v>BSGatlas-5'UTR-2173</v>
      </c>
      <c r="B2174" s="3">
        <v>3276434</v>
      </c>
      <c r="C2174" s="3">
        <v>3276944</v>
      </c>
      <c r="D2174" s="1" t="s">
        <v>13</v>
      </c>
      <c r="E2174" s="1">
        <v>511</v>
      </c>
      <c r="F2174" s="1" t="s">
        <v>13554</v>
      </c>
      <c r="G2174" s="1" t="s">
        <v>9776</v>
      </c>
    </row>
    <row r="2175" spans="1:7" ht="21" x14ac:dyDescent="0.25">
      <c r="A2175" s="2" t="str">
        <f>HYPERLINK("https://rth.dk/resources/bsgatlas/details.php?id=BSGatlas-5'UTR-2174","BSGatlas-5'UTR-2174")</f>
        <v>BSGatlas-5'UTR-2174</v>
      </c>
      <c r="B2175" s="3">
        <v>3276494</v>
      </c>
      <c r="C2175" s="3">
        <v>3276604</v>
      </c>
      <c r="D2175" s="1" t="s">
        <v>9</v>
      </c>
      <c r="E2175" s="1">
        <v>111</v>
      </c>
      <c r="F2175" s="1" t="s">
        <v>13555</v>
      </c>
      <c r="G2175" s="1" t="s">
        <v>9784</v>
      </c>
    </row>
    <row r="2176" spans="1:7" ht="21" x14ac:dyDescent="0.25">
      <c r="A2176" s="2" t="str">
        <f>HYPERLINK("https://rth.dk/resources/bsgatlas/details.php?id=BSGatlas-5'UTR-2175","BSGatlas-5'UTR-2175")</f>
        <v>BSGatlas-5'UTR-2175</v>
      </c>
      <c r="B2176" s="3">
        <v>3276802</v>
      </c>
      <c r="C2176" s="3">
        <v>3276955</v>
      </c>
      <c r="D2176" s="1" t="s">
        <v>9</v>
      </c>
      <c r="E2176" s="1">
        <v>154</v>
      </c>
      <c r="F2176" s="1" t="s">
        <v>13556</v>
      </c>
      <c r="G2176" s="1" t="s">
        <v>9786</v>
      </c>
    </row>
    <row r="2177" spans="1:7" ht="21" x14ac:dyDescent="0.25">
      <c r="A2177" s="2" t="str">
        <f>HYPERLINK("https://rth.dk/resources/bsgatlas/details.php?id=BSGatlas-5'UTR-2176","BSGatlas-5'UTR-2176")</f>
        <v>BSGatlas-5'UTR-2176</v>
      </c>
      <c r="B2177" s="3">
        <v>3276919</v>
      </c>
      <c r="C2177" s="3">
        <v>3276955</v>
      </c>
      <c r="D2177" s="1" t="s">
        <v>9</v>
      </c>
      <c r="E2177" s="1">
        <v>37</v>
      </c>
      <c r="F2177" s="1" t="s">
        <v>13556</v>
      </c>
      <c r="G2177" s="1" t="s">
        <v>9787</v>
      </c>
    </row>
    <row r="2178" spans="1:7" ht="21" x14ac:dyDescent="0.25">
      <c r="A2178" s="2" t="str">
        <f>HYPERLINK("https://rth.dk/resources/bsgatlas/details.php?id=BSGatlas-5'UTR-2177","BSGatlas-5'UTR-2177")</f>
        <v>BSGatlas-5'UTR-2177</v>
      </c>
      <c r="B2178" s="3">
        <v>3278300</v>
      </c>
      <c r="C2178" s="3">
        <v>3278325</v>
      </c>
      <c r="D2178" s="1" t="s">
        <v>9</v>
      </c>
      <c r="E2178" s="1">
        <v>26</v>
      </c>
      <c r="F2178" s="1" t="s">
        <v>13557</v>
      </c>
      <c r="G2178" s="1" t="s">
        <v>9788</v>
      </c>
    </row>
    <row r="2179" spans="1:7" ht="21" x14ac:dyDescent="0.25">
      <c r="A2179" s="2" t="str">
        <f>HYPERLINK("https://rth.dk/resources/bsgatlas/details.php?id=BSGatlas-5'UTR-2178","BSGatlas-5'UTR-2178")</f>
        <v>BSGatlas-5'UTR-2178</v>
      </c>
      <c r="B2179" s="3">
        <v>3279528</v>
      </c>
      <c r="C2179" s="3">
        <v>3279573</v>
      </c>
      <c r="D2179" s="1" t="s">
        <v>9</v>
      </c>
      <c r="E2179" s="1">
        <v>46</v>
      </c>
      <c r="F2179" s="1" t="s">
        <v>13558</v>
      </c>
      <c r="G2179" s="1" t="s">
        <v>9792</v>
      </c>
    </row>
    <row r="2180" spans="1:7" ht="21" x14ac:dyDescent="0.25">
      <c r="A2180" s="2" t="str">
        <f>HYPERLINK("https://rth.dk/resources/bsgatlas/details.php?id=BSGatlas-5'UTR-2179","BSGatlas-5'UTR-2179")</f>
        <v>BSGatlas-5'UTR-2179</v>
      </c>
      <c r="B2180" s="3">
        <v>3292296</v>
      </c>
      <c r="C2180" s="3">
        <v>3292405</v>
      </c>
      <c r="D2180" s="1" t="s">
        <v>13</v>
      </c>
      <c r="E2180" s="1">
        <v>110</v>
      </c>
      <c r="F2180" s="1" t="s">
        <v>13559</v>
      </c>
      <c r="G2180" s="1" t="s">
        <v>9794</v>
      </c>
    </row>
    <row r="2181" spans="1:7" ht="21" x14ac:dyDescent="0.25">
      <c r="A2181" s="2" t="str">
        <f>HYPERLINK("https://rth.dk/resources/bsgatlas/details.php?id=BSGatlas-5'UTR-2180","BSGatlas-5'UTR-2180")</f>
        <v>BSGatlas-5'UTR-2180</v>
      </c>
      <c r="B2181" s="3">
        <v>3293359</v>
      </c>
      <c r="C2181" s="3">
        <v>3293440</v>
      </c>
      <c r="D2181" s="1" t="s">
        <v>13</v>
      </c>
      <c r="E2181" s="1">
        <v>82</v>
      </c>
      <c r="F2181" s="1" t="s">
        <v>13560</v>
      </c>
      <c r="G2181" s="1" t="s">
        <v>9797</v>
      </c>
    </row>
    <row r="2182" spans="1:7" ht="21" x14ac:dyDescent="0.25">
      <c r="A2182" s="2" t="str">
        <f>HYPERLINK("https://rth.dk/resources/bsgatlas/details.php?id=BSGatlas-5'UTR-2181","BSGatlas-5'UTR-2181")</f>
        <v>BSGatlas-5'UTR-2181</v>
      </c>
      <c r="B2182" s="3">
        <v>3294169</v>
      </c>
      <c r="C2182" s="3">
        <v>3294254</v>
      </c>
      <c r="D2182" s="1" t="s">
        <v>13</v>
      </c>
      <c r="E2182" s="1">
        <v>86</v>
      </c>
      <c r="F2182" s="1" t="s">
        <v>13561</v>
      </c>
      <c r="G2182" s="1" t="s">
        <v>9799</v>
      </c>
    </row>
    <row r="2183" spans="1:7" ht="21" x14ac:dyDescent="0.25">
      <c r="A2183" s="2" t="str">
        <f>HYPERLINK("https://rth.dk/resources/bsgatlas/details.php?id=BSGatlas-5'UTR-2182","BSGatlas-5'UTR-2182")</f>
        <v>BSGatlas-5'UTR-2182</v>
      </c>
      <c r="B2183" s="3">
        <v>3294222</v>
      </c>
      <c r="C2183" s="3">
        <v>3294270</v>
      </c>
      <c r="D2183" s="1" t="s">
        <v>9</v>
      </c>
      <c r="E2183" s="1">
        <v>49</v>
      </c>
      <c r="F2183" s="1" t="s">
        <v>13562</v>
      </c>
      <c r="G2183" s="1" t="s">
        <v>9800</v>
      </c>
    </row>
    <row r="2184" spans="1:7" ht="21" x14ac:dyDescent="0.25">
      <c r="A2184" s="2" t="str">
        <f>HYPERLINK("https://rth.dk/resources/bsgatlas/details.php?id=BSGatlas-5'UTR-2183","BSGatlas-5'UTR-2183")</f>
        <v>BSGatlas-5'UTR-2183</v>
      </c>
      <c r="B2184" s="3">
        <v>3296270</v>
      </c>
      <c r="C2184" s="3">
        <v>3296327</v>
      </c>
      <c r="D2184" s="1" t="s">
        <v>13</v>
      </c>
      <c r="E2184" s="1">
        <v>58</v>
      </c>
      <c r="F2184" s="1" t="s">
        <v>13563</v>
      </c>
      <c r="G2184" s="1" t="s">
        <v>9802</v>
      </c>
    </row>
    <row r="2185" spans="1:7" ht="21" x14ac:dyDescent="0.25">
      <c r="A2185" s="2" t="str">
        <f>HYPERLINK("https://rth.dk/resources/bsgatlas/details.php?id=BSGatlas-5'UTR-2184","BSGatlas-5'UTR-2184")</f>
        <v>BSGatlas-5'UTR-2184</v>
      </c>
      <c r="B2185" s="3">
        <v>3297500</v>
      </c>
      <c r="C2185" s="3">
        <v>3298077</v>
      </c>
      <c r="D2185" s="1" t="s">
        <v>9</v>
      </c>
      <c r="E2185" s="1">
        <v>578</v>
      </c>
      <c r="F2185" s="1" t="s">
        <v>13564</v>
      </c>
      <c r="G2185" s="1" t="s">
        <v>9806</v>
      </c>
    </row>
    <row r="2186" spans="1:7" ht="21" x14ac:dyDescent="0.25">
      <c r="A2186" s="2" t="str">
        <f>HYPERLINK("https://rth.dk/resources/bsgatlas/details.php?id=BSGatlas-5'UTR-2185","BSGatlas-5'UTR-2185")</f>
        <v>BSGatlas-5'UTR-2185</v>
      </c>
      <c r="B2186" s="3">
        <v>3297919</v>
      </c>
      <c r="C2186" s="3">
        <v>3297999</v>
      </c>
      <c r="D2186" s="1" t="s">
        <v>13</v>
      </c>
      <c r="E2186" s="1">
        <v>81</v>
      </c>
      <c r="F2186" s="1" t="s">
        <v>13565</v>
      </c>
      <c r="G2186" s="1" t="s">
        <v>9804</v>
      </c>
    </row>
    <row r="2187" spans="1:7" ht="21" x14ac:dyDescent="0.25">
      <c r="A2187" s="2" t="str">
        <f>HYPERLINK("https://rth.dk/resources/bsgatlas/details.php?id=BSGatlas-5'UTR-2186","BSGatlas-5'UTR-2186")</f>
        <v>BSGatlas-5'UTR-2186</v>
      </c>
      <c r="B2187" s="3">
        <v>3297962</v>
      </c>
      <c r="C2187" s="3">
        <v>3298077</v>
      </c>
      <c r="D2187" s="1" t="s">
        <v>9</v>
      </c>
      <c r="E2187" s="1">
        <v>116</v>
      </c>
      <c r="F2187" s="1" t="s">
        <v>13564</v>
      </c>
      <c r="G2187" s="1" t="s">
        <v>9808</v>
      </c>
    </row>
    <row r="2188" spans="1:7" ht="21" x14ac:dyDescent="0.25">
      <c r="A2188" s="2" t="str">
        <f>HYPERLINK("https://rth.dk/resources/bsgatlas/details.php?id=BSGatlas-5'UTR-2187","BSGatlas-5'UTR-2187")</f>
        <v>BSGatlas-5'UTR-2187</v>
      </c>
      <c r="B2188" s="3">
        <v>3299664</v>
      </c>
      <c r="C2188" s="3">
        <v>3299688</v>
      </c>
      <c r="D2188" s="1" t="s">
        <v>13</v>
      </c>
      <c r="E2188" s="1">
        <v>25</v>
      </c>
      <c r="F2188" s="1" t="s">
        <v>13566</v>
      </c>
      <c r="G2188" s="1" t="s">
        <v>9813</v>
      </c>
    </row>
    <row r="2189" spans="1:7" ht="21" x14ac:dyDescent="0.25">
      <c r="A2189" s="2" t="str">
        <f>HYPERLINK("https://rth.dk/resources/bsgatlas/details.php?id=BSGatlas-5'UTR-2188","BSGatlas-5'UTR-2188")</f>
        <v>BSGatlas-5'UTR-2188</v>
      </c>
      <c r="B2189" s="3">
        <v>3299861</v>
      </c>
      <c r="C2189" s="3">
        <v>3299906</v>
      </c>
      <c r="D2189" s="1" t="s">
        <v>13</v>
      </c>
      <c r="E2189" s="1">
        <v>46</v>
      </c>
      <c r="F2189" s="1" t="s">
        <v>13567</v>
      </c>
      <c r="G2189" s="1" t="s">
        <v>9816</v>
      </c>
    </row>
    <row r="2190" spans="1:7" ht="21" x14ac:dyDescent="0.25">
      <c r="A2190" s="2" t="str">
        <f>HYPERLINK("https://rth.dk/resources/bsgatlas/details.php?id=BSGatlas-5'UTR-2189","BSGatlas-5'UTR-2189")</f>
        <v>BSGatlas-5'UTR-2189</v>
      </c>
      <c r="B2190" s="3">
        <v>3301254</v>
      </c>
      <c r="C2190" s="3">
        <v>3301382</v>
      </c>
      <c r="D2190" s="1" t="s">
        <v>13</v>
      </c>
      <c r="E2190" s="1">
        <v>129</v>
      </c>
      <c r="F2190" s="1" t="s">
        <v>13568</v>
      </c>
      <c r="G2190" s="1" t="s">
        <v>9820</v>
      </c>
    </row>
    <row r="2191" spans="1:7" ht="21" x14ac:dyDescent="0.25">
      <c r="A2191" s="2" t="str">
        <f>HYPERLINK("https://rth.dk/resources/bsgatlas/details.php?id=BSGatlas-5'UTR-2190","BSGatlas-5'UTR-2190")</f>
        <v>BSGatlas-5'UTR-2190</v>
      </c>
      <c r="B2191" s="3">
        <v>3301254</v>
      </c>
      <c r="C2191" s="3">
        <v>3301447</v>
      </c>
      <c r="D2191" s="1" t="s">
        <v>13</v>
      </c>
      <c r="E2191" s="1">
        <v>194</v>
      </c>
      <c r="F2191" s="1" t="s">
        <v>13568</v>
      </c>
      <c r="G2191" s="1" t="s">
        <v>9822</v>
      </c>
    </row>
    <row r="2192" spans="1:7" ht="21" x14ac:dyDescent="0.25">
      <c r="A2192" s="2" t="str">
        <f>HYPERLINK("https://rth.dk/resources/bsgatlas/details.php?id=BSGatlas-5'UTR-2191","BSGatlas-5'UTR-2191")</f>
        <v>BSGatlas-5'UTR-2191</v>
      </c>
      <c r="B2192" s="3">
        <v>3301254</v>
      </c>
      <c r="C2192" s="3">
        <v>3301624</v>
      </c>
      <c r="D2192" s="1" t="s">
        <v>13</v>
      </c>
      <c r="E2192" s="1">
        <v>371</v>
      </c>
      <c r="F2192" s="1" t="s">
        <v>13568</v>
      </c>
      <c r="G2192" s="1" t="s">
        <v>9823</v>
      </c>
    </row>
    <row r="2193" spans="1:7" ht="21" x14ac:dyDescent="0.25">
      <c r="A2193" s="2" t="str">
        <f>HYPERLINK("https://rth.dk/resources/bsgatlas/details.php?id=BSGatlas-5'UTR-2192","BSGatlas-5'UTR-2192")</f>
        <v>BSGatlas-5'UTR-2192</v>
      </c>
      <c r="B2193" s="3">
        <v>3301541</v>
      </c>
      <c r="C2193" s="3">
        <v>3301586</v>
      </c>
      <c r="D2193" s="1" t="s">
        <v>9</v>
      </c>
      <c r="E2193" s="1">
        <v>46</v>
      </c>
      <c r="F2193" s="1" t="s">
        <v>13569</v>
      </c>
      <c r="G2193" s="1" t="s">
        <v>9824</v>
      </c>
    </row>
    <row r="2194" spans="1:7" ht="21" x14ac:dyDescent="0.25">
      <c r="A2194" s="2" t="str">
        <f>HYPERLINK("https://rth.dk/resources/bsgatlas/details.php?id=BSGatlas-5'UTR-2193","BSGatlas-5'UTR-2193")</f>
        <v>BSGatlas-5'UTR-2193</v>
      </c>
      <c r="B2194" s="3">
        <v>3302763</v>
      </c>
      <c r="C2194" s="3">
        <v>3302893</v>
      </c>
      <c r="D2194" s="1" t="s">
        <v>13</v>
      </c>
      <c r="E2194" s="1">
        <v>131</v>
      </c>
      <c r="F2194" s="1" t="s">
        <v>13570</v>
      </c>
      <c r="G2194" s="1" t="s">
        <v>9826</v>
      </c>
    </row>
    <row r="2195" spans="1:7" ht="21" x14ac:dyDescent="0.25">
      <c r="A2195" s="2" t="str">
        <f>HYPERLINK("https://rth.dk/resources/bsgatlas/details.php?id=BSGatlas-5'UTR-2194","BSGatlas-5'UTR-2194")</f>
        <v>BSGatlas-5'UTR-2194</v>
      </c>
      <c r="B2195" s="3">
        <v>3302763</v>
      </c>
      <c r="C2195" s="3">
        <v>3303143</v>
      </c>
      <c r="D2195" s="1" t="s">
        <v>13</v>
      </c>
      <c r="E2195" s="1">
        <v>381</v>
      </c>
      <c r="F2195" s="1" t="s">
        <v>13570</v>
      </c>
      <c r="G2195" s="1" t="s">
        <v>9828</v>
      </c>
    </row>
    <row r="2196" spans="1:7" ht="21" x14ac:dyDescent="0.25">
      <c r="A2196" s="2" t="str">
        <f>HYPERLINK("https://rth.dk/resources/bsgatlas/details.php?id=BSGatlas-5'UTR-2195","BSGatlas-5'UTR-2195")</f>
        <v>BSGatlas-5'UTR-2195</v>
      </c>
      <c r="B2196" s="3">
        <v>3302979</v>
      </c>
      <c r="C2196" s="3">
        <v>3303042</v>
      </c>
      <c r="D2196" s="1" t="s">
        <v>9</v>
      </c>
      <c r="E2196" s="1">
        <v>64</v>
      </c>
      <c r="F2196" s="1" t="s">
        <v>13571</v>
      </c>
      <c r="G2196" s="1" t="s">
        <v>9829</v>
      </c>
    </row>
    <row r="2197" spans="1:7" ht="21" x14ac:dyDescent="0.25">
      <c r="A2197" s="2" t="str">
        <f>HYPERLINK("https://rth.dk/resources/bsgatlas/details.php?id=BSGatlas-5'UTR-2196","BSGatlas-5'UTR-2196")</f>
        <v>BSGatlas-5'UTR-2196</v>
      </c>
      <c r="B2197" s="3">
        <v>3305261</v>
      </c>
      <c r="C2197" s="3">
        <v>3305320</v>
      </c>
      <c r="D2197" s="1" t="s">
        <v>13</v>
      </c>
      <c r="E2197" s="1">
        <v>60</v>
      </c>
      <c r="F2197" s="1" t="s">
        <v>13572</v>
      </c>
      <c r="G2197" s="1" t="s">
        <v>9833</v>
      </c>
    </row>
    <row r="2198" spans="1:7" ht="21" x14ac:dyDescent="0.25">
      <c r="A2198" s="2" t="str">
        <f>HYPERLINK("https://rth.dk/resources/bsgatlas/details.php?id=BSGatlas-5'UTR-2197","BSGatlas-5'UTR-2197")</f>
        <v>BSGatlas-5'UTR-2197</v>
      </c>
      <c r="B2198" s="3">
        <v>3305261</v>
      </c>
      <c r="C2198" s="3">
        <v>3305428</v>
      </c>
      <c r="D2198" s="1" t="s">
        <v>13</v>
      </c>
      <c r="E2198" s="1">
        <v>168</v>
      </c>
      <c r="F2198" s="1" t="s">
        <v>13572</v>
      </c>
      <c r="G2198" s="1" t="s">
        <v>9835</v>
      </c>
    </row>
    <row r="2199" spans="1:7" ht="21" x14ac:dyDescent="0.25">
      <c r="A2199" s="2" t="str">
        <f>HYPERLINK("https://rth.dk/resources/bsgatlas/details.php?id=BSGatlas-5'UTR-2198","BSGatlas-5'UTR-2198")</f>
        <v>BSGatlas-5'UTR-2198</v>
      </c>
      <c r="B2199" s="3">
        <v>3305961</v>
      </c>
      <c r="C2199" s="3">
        <v>3306002</v>
      </c>
      <c r="D2199" s="1" t="s">
        <v>13</v>
      </c>
      <c r="E2199" s="1">
        <v>42</v>
      </c>
      <c r="F2199" s="1" t="s">
        <v>13573</v>
      </c>
      <c r="G2199" s="1" t="s">
        <v>9836</v>
      </c>
    </row>
    <row r="2200" spans="1:7" ht="21" x14ac:dyDescent="0.25">
      <c r="A2200" s="2" t="str">
        <f>HYPERLINK("https://rth.dk/resources/bsgatlas/details.php?id=BSGatlas-5'UTR-2199","BSGatlas-5'UTR-2199")</f>
        <v>BSGatlas-5'UTR-2199</v>
      </c>
      <c r="B2200" s="3">
        <v>3306894</v>
      </c>
      <c r="C2200" s="3">
        <v>3306930</v>
      </c>
      <c r="D2200" s="1" t="s">
        <v>13</v>
      </c>
      <c r="E2200" s="1">
        <v>37</v>
      </c>
      <c r="F2200" s="1" t="s">
        <v>13574</v>
      </c>
      <c r="G2200" s="1" t="s">
        <v>9840</v>
      </c>
    </row>
    <row r="2201" spans="1:7" ht="21" x14ac:dyDescent="0.25">
      <c r="A2201" s="2" t="str">
        <f>HYPERLINK("https://rth.dk/resources/bsgatlas/details.php?id=BSGatlas-5'UTR-2200","BSGatlas-5'UTR-2200")</f>
        <v>BSGatlas-5'UTR-2200</v>
      </c>
      <c r="B2201" s="3">
        <v>3308231</v>
      </c>
      <c r="C2201" s="3">
        <v>3308273</v>
      </c>
      <c r="D2201" s="1" t="s">
        <v>13</v>
      </c>
      <c r="E2201" s="1">
        <v>43</v>
      </c>
      <c r="F2201" s="1" t="s">
        <v>13575</v>
      </c>
      <c r="G2201" s="1" t="s">
        <v>9841</v>
      </c>
    </row>
    <row r="2202" spans="1:7" ht="21" x14ac:dyDescent="0.25">
      <c r="A2202" s="2" t="str">
        <f>HYPERLINK("https://rth.dk/resources/bsgatlas/details.php?id=BSGatlas-5'UTR-2201","BSGatlas-5'UTR-2201")</f>
        <v>BSGatlas-5'UTR-2201</v>
      </c>
      <c r="B2202" s="3">
        <v>3308604</v>
      </c>
      <c r="C2202" s="3">
        <v>3308620</v>
      </c>
      <c r="D2202" s="1" t="s">
        <v>13</v>
      </c>
      <c r="E2202" s="1">
        <v>17</v>
      </c>
      <c r="F2202" s="1" t="s">
        <v>13576</v>
      </c>
      <c r="G2202" s="1" t="s">
        <v>9846</v>
      </c>
    </row>
    <row r="2203" spans="1:7" ht="21" x14ac:dyDescent="0.25">
      <c r="A2203" s="2" t="str">
        <f>HYPERLINK("https://rth.dk/resources/bsgatlas/details.php?id=BSGatlas-5'UTR-2202","BSGatlas-5'UTR-2202")</f>
        <v>BSGatlas-5'UTR-2202</v>
      </c>
      <c r="B2203" s="3">
        <v>3308787</v>
      </c>
      <c r="C2203" s="3">
        <v>3308867</v>
      </c>
      <c r="D2203" s="1" t="s">
        <v>9</v>
      </c>
      <c r="E2203" s="1">
        <v>81</v>
      </c>
      <c r="F2203" s="1" t="s">
        <v>13577</v>
      </c>
      <c r="G2203" s="1" t="s">
        <v>9847</v>
      </c>
    </row>
    <row r="2204" spans="1:7" ht="21" x14ac:dyDescent="0.25">
      <c r="A2204" s="2" t="str">
        <f>HYPERLINK("https://rth.dk/resources/bsgatlas/details.php?id=BSGatlas-5'UTR-2203","BSGatlas-5'UTR-2203")</f>
        <v>BSGatlas-5'UTR-2203</v>
      </c>
      <c r="B2204" s="3">
        <v>3310286</v>
      </c>
      <c r="C2204" s="3">
        <v>3310335</v>
      </c>
      <c r="D2204" s="1" t="s">
        <v>13</v>
      </c>
      <c r="E2204" s="1">
        <v>50</v>
      </c>
      <c r="F2204" s="1" t="s">
        <v>13578</v>
      </c>
      <c r="G2204" s="1" t="s">
        <v>9849</v>
      </c>
    </row>
    <row r="2205" spans="1:7" ht="21" x14ac:dyDescent="0.25">
      <c r="A2205" s="2" t="str">
        <f>HYPERLINK("https://rth.dk/resources/bsgatlas/details.php?id=BSGatlas-5'UTR-2204","BSGatlas-5'UTR-2204")</f>
        <v>BSGatlas-5'UTR-2204</v>
      </c>
      <c r="B2205" s="3">
        <v>3312736</v>
      </c>
      <c r="C2205" s="3">
        <v>3312774</v>
      </c>
      <c r="D2205" s="1" t="s">
        <v>13</v>
      </c>
      <c r="E2205" s="1">
        <v>39</v>
      </c>
      <c r="F2205" s="1" t="s">
        <v>13579</v>
      </c>
      <c r="G2205" s="1" t="s">
        <v>9853</v>
      </c>
    </row>
    <row r="2206" spans="1:7" ht="21" x14ac:dyDescent="0.25">
      <c r="A2206" s="2" t="str">
        <f>HYPERLINK("https://rth.dk/resources/bsgatlas/details.php?id=BSGatlas-5'UTR-2205","BSGatlas-5'UTR-2205")</f>
        <v>BSGatlas-5'UTR-2205</v>
      </c>
      <c r="B2206" s="3">
        <v>3316045</v>
      </c>
      <c r="C2206" s="3">
        <v>3317502</v>
      </c>
      <c r="D2206" s="1" t="s">
        <v>9</v>
      </c>
      <c r="E2206" s="1">
        <v>1458</v>
      </c>
      <c r="F2206" s="1" t="s">
        <v>13580</v>
      </c>
      <c r="G2206" s="1" t="s">
        <v>9861</v>
      </c>
    </row>
    <row r="2207" spans="1:7" ht="21" x14ac:dyDescent="0.25">
      <c r="A2207" s="2" t="str">
        <f>HYPERLINK("https://rth.dk/resources/bsgatlas/details.php?id=BSGatlas-5'UTR-2206","BSGatlas-5'UTR-2206")</f>
        <v>BSGatlas-5'UTR-2206</v>
      </c>
      <c r="B2207" s="3">
        <v>3316129</v>
      </c>
      <c r="C2207" s="3">
        <v>3316211</v>
      </c>
      <c r="D2207" s="1" t="s">
        <v>13</v>
      </c>
      <c r="E2207" s="1">
        <v>83</v>
      </c>
      <c r="F2207" s="1" t="s">
        <v>13581</v>
      </c>
      <c r="G2207" s="1" t="s">
        <v>9857</v>
      </c>
    </row>
    <row r="2208" spans="1:7" ht="21" x14ac:dyDescent="0.25">
      <c r="A2208" s="2" t="str">
        <f>HYPERLINK("https://rth.dk/resources/bsgatlas/details.php?id=BSGatlas-5'UTR-2207","BSGatlas-5'UTR-2207")</f>
        <v>BSGatlas-5'UTR-2207</v>
      </c>
      <c r="B2208" s="3">
        <v>3317182</v>
      </c>
      <c r="C2208" s="3">
        <v>3317502</v>
      </c>
      <c r="D2208" s="1" t="s">
        <v>9</v>
      </c>
      <c r="E2208" s="1">
        <v>321</v>
      </c>
      <c r="F2208" s="1" t="s">
        <v>13580</v>
      </c>
      <c r="G2208" s="1" t="s">
        <v>9862</v>
      </c>
    </row>
    <row r="2209" spans="1:7" ht="21" x14ac:dyDescent="0.25">
      <c r="A2209" s="2" t="str">
        <f>HYPERLINK("https://rth.dk/resources/bsgatlas/details.php?id=BSGatlas-5'UTR-2208","BSGatlas-5'UTR-2208")</f>
        <v>BSGatlas-5'UTR-2208</v>
      </c>
      <c r="B2209" s="3">
        <v>3317349</v>
      </c>
      <c r="C2209" s="3">
        <v>3317379</v>
      </c>
      <c r="D2209" s="1" t="s">
        <v>13</v>
      </c>
      <c r="E2209" s="1">
        <v>31</v>
      </c>
      <c r="F2209" s="1" t="s">
        <v>13582</v>
      </c>
      <c r="G2209" s="1" t="s">
        <v>9860</v>
      </c>
    </row>
    <row r="2210" spans="1:7" ht="21" x14ac:dyDescent="0.25">
      <c r="A2210" s="2" t="str">
        <f>HYPERLINK("https://rth.dk/resources/bsgatlas/details.php?id=BSGatlas-5'UTR-2209","BSGatlas-5'UTR-2209")</f>
        <v>BSGatlas-5'UTR-2209</v>
      </c>
      <c r="B2210" s="3">
        <v>3317409</v>
      </c>
      <c r="C2210" s="3">
        <v>3317502</v>
      </c>
      <c r="D2210" s="1" t="s">
        <v>9</v>
      </c>
      <c r="E2210" s="1">
        <v>94</v>
      </c>
      <c r="F2210" s="1" t="s">
        <v>13580</v>
      </c>
      <c r="G2210" s="1" t="s">
        <v>9863</v>
      </c>
    </row>
    <row r="2211" spans="1:7" ht="21" x14ac:dyDescent="0.25">
      <c r="A2211" s="2" t="str">
        <f>HYPERLINK("https://rth.dk/resources/bsgatlas/details.php?id=BSGatlas-5'UTR-2210","BSGatlas-5'UTR-2210")</f>
        <v>BSGatlas-5'UTR-2210</v>
      </c>
      <c r="B2211" s="3">
        <v>3317475</v>
      </c>
      <c r="C2211" s="3">
        <v>3317502</v>
      </c>
      <c r="D2211" s="1" t="s">
        <v>9</v>
      </c>
      <c r="E2211" s="1">
        <v>28</v>
      </c>
      <c r="F2211" s="1" t="s">
        <v>13580</v>
      </c>
      <c r="G2211" s="1" t="s">
        <v>9864</v>
      </c>
    </row>
    <row r="2212" spans="1:7" ht="21" x14ac:dyDescent="0.25">
      <c r="A2212" s="2" t="str">
        <f>HYPERLINK("https://rth.dk/resources/bsgatlas/details.php?id=BSGatlas-5'UTR-2211","BSGatlas-5'UTR-2211")</f>
        <v>BSGatlas-5'UTR-2211</v>
      </c>
      <c r="B2212" s="3">
        <v>3319561</v>
      </c>
      <c r="C2212" s="3">
        <v>3319606</v>
      </c>
      <c r="D2212" s="1" t="s">
        <v>13</v>
      </c>
      <c r="E2212" s="1">
        <v>46</v>
      </c>
      <c r="F2212" s="1" t="s">
        <v>13583</v>
      </c>
      <c r="G2212" s="1" t="s">
        <v>9866</v>
      </c>
    </row>
    <row r="2213" spans="1:7" ht="21" x14ac:dyDescent="0.25">
      <c r="A2213" s="2" t="str">
        <f>HYPERLINK("https://rth.dk/resources/bsgatlas/details.php?id=BSGatlas-5'UTR-2212","BSGatlas-5'UTR-2212")</f>
        <v>BSGatlas-5'UTR-2212</v>
      </c>
      <c r="B2213" s="3">
        <v>3319653</v>
      </c>
      <c r="C2213" s="3">
        <v>3319676</v>
      </c>
      <c r="D2213" s="1" t="s">
        <v>9</v>
      </c>
      <c r="E2213" s="1">
        <v>24</v>
      </c>
      <c r="F2213" s="1" t="s">
        <v>13584</v>
      </c>
      <c r="G2213" s="1" t="s">
        <v>9868</v>
      </c>
    </row>
    <row r="2214" spans="1:7" ht="21" x14ac:dyDescent="0.25">
      <c r="A2214" s="2" t="str">
        <f>HYPERLINK("https://rth.dk/resources/bsgatlas/details.php?id=BSGatlas-5'UTR-2213","BSGatlas-5'UTR-2213")</f>
        <v>BSGatlas-5'UTR-2213</v>
      </c>
      <c r="B2214" s="3">
        <v>3321220</v>
      </c>
      <c r="C2214" s="3">
        <v>3321355</v>
      </c>
      <c r="D2214" s="1" t="s">
        <v>13</v>
      </c>
      <c r="E2214" s="1">
        <v>136</v>
      </c>
      <c r="F2214" s="1" t="s">
        <v>13585</v>
      </c>
      <c r="G2214" s="1" t="s">
        <v>9870</v>
      </c>
    </row>
    <row r="2215" spans="1:7" ht="21" x14ac:dyDescent="0.25">
      <c r="A2215" s="2" t="str">
        <f>HYPERLINK("https://rth.dk/resources/bsgatlas/details.php?id=BSGatlas-5'UTR-2214","BSGatlas-5'UTR-2214")</f>
        <v>BSGatlas-5'UTR-2214</v>
      </c>
      <c r="B2215" s="3">
        <v>3321220</v>
      </c>
      <c r="C2215" s="3">
        <v>3321533</v>
      </c>
      <c r="D2215" s="1" t="s">
        <v>13</v>
      </c>
      <c r="E2215" s="1">
        <v>314</v>
      </c>
      <c r="F2215" s="1" t="s">
        <v>13585</v>
      </c>
      <c r="G2215" s="1" t="s">
        <v>9872</v>
      </c>
    </row>
    <row r="2216" spans="1:7" ht="21" x14ac:dyDescent="0.25">
      <c r="A2216" s="2" t="str">
        <f>HYPERLINK("https://rth.dk/resources/bsgatlas/details.php?id=BSGatlas-5'UTR-2215","BSGatlas-5'UTR-2215")</f>
        <v>BSGatlas-5'UTR-2215</v>
      </c>
      <c r="B2216" s="3">
        <v>3321427</v>
      </c>
      <c r="C2216" s="3">
        <v>3321455</v>
      </c>
      <c r="D2216" s="1" t="s">
        <v>9</v>
      </c>
      <c r="E2216" s="1">
        <v>29</v>
      </c>
      <c r="F2216" s="1" t="s">
        <v>13586</v>
      </c>
      <c r="G2216" s="1" t="s">
        <v>9873</v>
      </c>
    </row>
    <row r="2217" spans="1:7" ht="21" x14ac:dyDescent="0.25">
      <c r="A2217" s="2" t="str">
        <f>HYPERLINK("https://rth.dk/resources/bsgatlas/details.php?id=BSGatlas-5'UTR-2216","BSGatlas-5'UTR-2216")</f>
        <v>BSGatlas-5'UTR-2216</v>
      </c>
      <c r="B2217" s="3">
        <v>3323227</v>
      </c>
      <c r="C2217" s="3">
        <v>3323245</v>
      </c>
      <c r="D2217" s="1" t="s">
        <v>13</v>
      </c>
      <c r="E2217" s="1">
        <v>19</v>
      </c>
      <c r="F2217" s="1" t="s">
        <v>13587</v>
      </c>
      <c r="G2217" s="1" t="s">
        <v>9875</v>
      </c>
    </row>
    <row r="2218" spans="1:7" ht="21" x14ac:dyDescent="0.25">
      <c r="A2218" s="2" t="str">
        <f>HYPERLINK("https://rth.dk/resources/bsgatlas/details.php?id=BSGatlas-5'UTR-2217","BSGatlas-5'UTR-2217")</f>
        <v>BSGatlas-5'UTR-2217</v>
      </c>
      <c r="B2218" s="3">
        <v>3323605</v>
      </c>
      <c r="C2218" s="3">
        <v>3323642</v>
      </c>
      <c r="D2218" s="1" t="s">
        <v>13</v>
      </c>
      <c r="E2218" s="1">
        <v>38</v>
      </c>
      <c r="F2218" s="1" t="s">
        <v>13588</v>
      </c>
      <c r="G2218" s="1" t="s">
        <v>9877</v>
      </c>
    </row>
    <row r="2219" spans="1:7" ht="21" x14ac:dyDescent="0.25">
      <c r="A2219" s="2" t="str">
        <f>HYPERLINK("https://rth.dk/resources/bsgatlas/details.php?id=BSGatlas-5'UTR-2218","BSGatlas-5'UTR-2218")</f>
        <v>BSGatlas-5'UTR-2218</v>
      </c>
      <c r="B2219" s="3">
        <v>3326765</v>
      </c>
      <c r="C2219" s="3">
        <v>3326791</v>
      </c>
      <c r="D2219" s="1" t="s">
        <v>13</v>
      </c>
      <c r="E2219" s="1">
        <v>27</v>
      </c>
      <c r="F2219" s="1" t="s">
        <v>13589</v>
      </c>
      <c r="G2219" s="1" t="s">
        <v>9880</v>
      </c>
    </row>
    <row r="2220" spans="1:7" ht="21" x14ac:dyDescent="0.25">
      <c r="A2220" s="2" t="str">
        <f>HYPERLINK("https://rth.dk/resources/bsgatlas/details.php?id=BSGatlas-5'UTR-2219","BSGatlas-5'UTR-2219")</f>
        <v>BSGatlas-5'UTR-2219</v>
      </c>
      <c r="B2220" s="3">
        <v>3327150</v>
      </c>
      <c r="C2220" s="3">
        <v>3327182</v>
      </c>
      <c r="D2220" s="1" t="s">
        <v>13</v>
      </c>
      <c r="E2220" s="1">
        <v>33</v>
      </c>
      <c r="F2220" s="1" t="s">
        <v>13590</v>
      </c>
      <c r="G2220" s="1" t="s">
        <v>9882</v>
      </c>
    </row>
    <row r="2221" spans="1:7" ht="21" x14ac:dyDescent="0.25">
      <c r="A2221" s="2" t="str">
        <f>HYPERLINK("https://rth.dk/resources/bsgatlas/details.php?id=BSGatlas-5'UTR-2220","BSGatlas-5'UTR-2220")</f>
        <v>BSGatlas-5'UTR-2220</v>
      </c>
      <c r="B2221" s="3">
        <v>3328587</v>
      </c>
      <c r="C2221" s="3">
        <v>3328654</v>
      </c>
      <c r="D2221" s="1" t="s">
        <v>13</v>
      </c>
      <c r="E2221" s="1">
        <v>68</v>
      </c>
      <c r="F2221" s="1" t="s">
        <v>13591</v>
      </c>
      <c r="G2221" s="1" t="s">
        <v>9883</v>
      </c>
    </row>
    <row r="2222" spans="1:7" ht="21" x14ac:dyDescent="0.25">
      <c r="A2222" s="2" t="str">
        <f>HYPERLINK("https://rth.dk/resources/bsgatlas/details.php?id=BSGatlas-5'UTR-2221","BSGatlas-5'UTR-2221")</f>
        <v>BSGatlas-5'UTR-2221</v>
      </c>
      <c r="B2222" s="3">
        <v>3328587</v>
      </c>
      <c r="C2222" s="3">
        <v>3328683</v>
      </c>
      <c r="D2222" s="1" t="s">
        <v>13</v>
      </c>
      <c r="E2222" s="1">
        <v>97</v>
      </c>
      <c r="F2222" s="1" t="s">
        <v>13591</v>
      </c>
      <c r="G2222" s="1" t="s">
        <v>9885</v>
      </c>
    </row>
    <row r="2223" spans="1:7" ht="21" x14ac:dyDescent="0.25">
      <c r="A2223" s="2" t="str">
        <f>HYPERLINK("https://rth.dk/resources/bsgatlas/details.php?id=BSGatlas-5'UTR-2222","BSGatlas-5'UTR-2222")</f>
        <v>BSGatlas-5'UTR-2222</v>
      </c>
      <c r="B2223" s="3">
        <v>3328672</v>
      </c>
      <c r="C2223" s="3">
        <v>3328762</v>
      </c>
      <c r="D2223" s="1" t="s">
        <v>9</v>
      </c>
      <c r="E2223" s="1">
        <v>91</v>
      </c>
      <c r="F2223" s="1" t="s">
        <v>13592</v>
      </c>
      <c r="G2223" s="1" t="s">
        <v>9889</v>
      </c>
    </row>
    <row r="2224" spans="1:7" ht="21" x14ac:dyDescent="0.25">
      <c r="A2224" s="2" t="str">
        <f>HYPERLINK("https://rth.dk/resources/bsgatlas/details.php?id=BSGatlas-5'UTR-2223","BSGatlas-5'UTR-2223")</f>
        <v>BSGatlas-5'UTR-2223</v>
      </c>
      <c r="B2224" s="3">
        <v>3330475</v>
      </c>
      <c r="C2224" s="3">
        <v>3330502</v>
      </c>
      <c r="D2224" s="1" t="s">
        <v>9</v>
      </c>
      <c r="E2224" s="1">
        <v>28</v>
      </c>
      <c r="F2224" s="1" t="s">
        <v>13593</v>
      </c>
      <c r="G2224" s="1" t="s">
        <v>9893</v>
      </c>
    </row>
    <row r="2225" spans="1:7" ht="21" x14ac:dyDescent="0.25">
      <c r="A2225" s="2" t="str">
        <f>HYPERLINK("https://rth.dk/resources/bsgatlas/details.php?id=BSGatlas-5'UTR-2224","BSGatlas-5'UTR-2224")</f>
        <v>BSGatlas-5'UTR-2224</v>
      </c>
      <c r="B2225" s="3">
        <v>3335378</v>
      </c>
      <c r="C2225" s="3">
        <v>3335414</v>
      </c>
      <c r="D2225" s="1" t="s">
        <v>9</v>
      </c>
      <c r="E2225" s="1">
        <v>37</v>
      </c>
      <c r="F2225" s="1" t="s">
        <v>13594</v>
      </c>
      <c r="G2225" s="1" t="s">
        <v>9895</v>
      </c>
    </row>
    <row r="2226" spans="1:7" ht="21" x14ac:dyDescent="0.25">
      <c r="A2226" s="2" t="str">
        <f>HYPERLINK("https://rth.dk/resources/bsgatlas/details.php?id=BSGatlas-5'UTR-2225","BSGatlas-5'UTR-2225")</f>
        <v>BSGatlas-5'UTR-2225</v>
      </c>
      <c r="B2226" s="3">
        <v>3340937</v>
      </c>
      <c r="C2226" s="3">
        <v>3341024</v>
      </c>
      <c r="D2226" s="1" t="s">
        <v>13</v>
      </c>
      <c r="E2226" s="1">
        <v>88</v>
      </c>
      <c r="F2226" s="1" t="s">
        <v>13595</v>
      </c>
      <c r="G2226" s="1" t="s">
        <v>9898</v>
      </c>
    </row>
    <row r="2227" spans="1:7" ht="21" x14ac:dyDescent="0.25">
      <c r="A2227" s="2" t="str">
        <f>HYPERLINK("https://rth.dk/resources/bsgatlas/details.php?id=BSGatlas-5'UTR-2226","BSGatlas-5'UTR-2226")</f>
        <v>BSGatlas-5'UTR-2226</v>
      </c>
      <c r="B2227" s="3">
        <v>3340937</v>
      </c>
      <c r="C2227" s="3">
        <v>3341058</v>
      </c>
      <c r="D2227" s="1" t="s">
        <v>13</v>
      </c>
      <c r="E2227" s="1">
        <v>122</v>
      </c>
      <c r="F2227" s="1" t="s">
        <v>13595</v>
      </c>
      <c r="G2227" s="1" t="s">
        <v>9900</v>
      </c>
    </row>
    <row r="2228" spans="1:7" ht="21" x14ac:dyDescent="0.25">
      <c r="A2228" s="2" t="str">
        <f>HYPERLINK("https://rth.dk/resources/bsgatlas/details.php?id=BSGatlas-5'UTR-2227","BSGatlas-5'UTR-2227")</f>
        <v>BSGatlas-5'UTR-2227</v>
      </c>
      <c r="B2228" s="3">
        <v>3343671</v>
      </c>
      <c r="C2228" s="3">
        <v>3343697</v>
      </c>
      <c r="D2228" s="1" t="s">
        <v>13</v>
      </c>
      <c r="E2228" s="1">
        <v>27</v>
      </c>
      <c r="F2228" s="1" t="s">
        <v>13596</v>
      </c>
      <c r="G2228" s="1" t="s">
        <v>9904</v>
      </c>
    </row>
    <row r="2229" spans="1:7" ht="21" x14ac:dyDescent="0.25">
      <c r="A2229" s="2" t="str">
        <f>HYPERLINK("https://rth.dk/resources/bsgatlas/details.php?id=BSGatlas-5'UTR-2228","BSGatlas-5'UTR-2228")</f>
        <v>BSGatlas-5'UTR-2228</v>
      </c>
      <c r="B2229" s="3">
        <v>3344072</v>
      </c>
      <c r="C2229" s="3">
        <v>3344113</v>
      </c>
      <c r="D2229" s="1" t="s">
        <v>9</v>
      </c>
      <c r="E2229" s="1">
        <v>42</v>
      </c>
      <c r="F2229" s="1" t="s">
        <v>13597</v>
      </c>
      <c r="G2229" s="1" t="s">
        <v>9906</v>
      </c>
    </row>
    <row r="2230" spans="1:7" ht="21" x14ac:dyDescent="0.25">
      <c r="A2230" s="2" t="str">
        <f>HYPERLINK("https://rth.dk/resources/bsgatlas/details.php?id=BSGatlas-5'UTR-2229","BSGatlas-5'UTR-2229")</f>
        <v>BSGatlas-5'UTR-2229</v>
      </c>
      <c r="B2230" s="3">
        <v>3346185</v>
      </c>
      <c r="C2230" s="3">
        <v>3346298</v>
      </c>
      <c r="D2230" s="1" t="s">
        <v>9</v>
      </c>
      <c r="E2230" s="1">
        <v>114</v>
      </c>
      <c r="F2230" s="1" t="s">
        <v>13598</v>
      </c>
      <c r="G2230" s="1" t="s">
        <v>9920</v>
      </c>
    </row>
    <row r="2231" spans="1:7" ht="21" x14ac:dyDescent="0.25">
      <c r="A2231" s="2" t="str">
        <f>HYPERLINK("https://rth.dk/resources/bsgatlas/details.php?id=BSGatlas-5'UTR-2230","BSGatlas-5'UTR-2230")</f>
        <v>BSGatlas-5'UTR-2230</v>
      </c>
      <c r="B2231" s="3">
        <v>3346253</v>
      </c>
      <c r="C2231" s="3">
        <v>3346298</v>
      </c>
      <c r="D2231" s="1" t="s">
        <v>9</v>
      </c>
      <c r="E2231" s="1">
        <v>46</v>
      </c>
      <c r="F2231" s="1" t="s">
        <v>13598</v>
      </c>
      <c r="G2231" s="1" t="s">
        <v>9921</v>
      </c>
    </row>
    <row r="2232" spans="1:7" ht="21" x14ac:dyDescent="0.25">
      <c r="A2232" s="2" t="str">
        <f>HYPERLINK("https://rth.dk/resources/bsgatlas/details.php?id=BSGatlas-5'UTR-2231","BSGatlas-5'UTR-2231")</f>
        <v>BSGatlas-5'UTR-2231</v>
      </c>
      <c r="B2232" s="3">
        <v>3352096</v>
      </c>
      <c r="C2232" s="3">
        <v>3352143</v>
      </c>
      <c r="D2232" s="1" t="s">
        <v>13</v>
      </c>
      <c r="E2232" s="1">
        <v>48</v>
      </c>
      <c r="F2232" s="1" t="s">
        <v>13599</v>
      </c>
      <c r="G2232" s="1" t="s">
        <v>9913</v>
      </c>
    </row>
    <row r="2233" spans="1:7" ht="21" x14ac:dyDescent="0.25">
      <c r="A2233" s="2" t="str">
        <f>HYPERLINK("https://rth.dk/resources/bsgatlas/details.php?id=BSGatlas-5'UTR-2232","BSGatlas-5'UTR-2232")</f>
        <v>BSGatlas-5'UTR-2232</v>
      </c>
      <c r="B2233" s="3">
        <v>3352686</v>
      </c>
      <c r="C2233" s="3">
        <v>3352750</v>
      </c>
      <c r="D2233" s="1" t="s">
        <v>13</v>
      </c>
      <c r="E2233" s="1">
        <v>65</v>
      </c>
      <c r="F2233" s="1" t="s">
        <v>13600</v>
      </c>
      <c r="G2233" s="1" t="s">
        <v>9915</v>
      </c>
    </row>
    <row r="2234" spans="1:7" ht="21" x14ac:dyDescent="0.25">
      <c r="A2234" s="2" t="str">
        <f>HYPERLINK("https://rth.dk/resources/bsgatlas/details.php?id=BSGatlas-5'UTR-2233","BSGatlas-5'UTR-2233")</f>
        <v>BSGatlas-5'UTR-2233</v>
      </c>
      <c r="B2234" s="3">
        <v>3353907</v>
      </c>
      <c r="C2234" s="3">
        <v>3353938</v>
      </c>
      <c r="D2234" s="1" t="s">
        <v>13</v>
      </c>
      <c r="E2234" s="1">
        <v>32</v>
      </c>
      <c r="F2234" s="1" t="s">
        <v>13601</v>
      </c>
      <c r="G2234" s="1" t="s">
        <v>9917</v>
      </c>
    </row>
    <row r="2235" spans="1:7" ht="21" x14ac:dyDescent="0.25">
      <c r="A2235" s="2" t="str">
        <f>HYPERLINK("https://rth.dk/resources/bsgatlas/details.php?id=BSGatlas-5'UTR-2234","BSGatlas-5'UTR-2234")</f>
        <v>BSGatlas-5'UTR-2234</v>
      </c>
      <c r="B2235" s="3">
        <v>3353907</v>
      </c>
      <c r="C2235" s="3">
        <v>3354048</v>
      </c>
      <c r="D2235" s="1" t="s">
        <v>13</v>
      </c>
      <c r="E2235" s="1">
        <v>142</v>
      </c>
      <c r="F2235" s="1" t="s">
        <v>13601</v>
      </c>
      <c r="G2235" s="1" t="s">
        <v>9918</v>
      </c>
    </row>
    <row r="2236" spans="1:7" ht="21" x14ac:dyDescent="0.25">
      <c r="A2236" s="2" t="str">
        <f>HYPERLINK("https://rth.dk/resources/bsgatlas/details.php?id=BSGatlas-5'UTR-2235","BSGatlas-5'UTR-2235")</f>
        <v>BSGatlas-5'UTR-2235</v>
      </c>
      <c r="B2236" s="3">
        <v>3353907</v>
      </c>
      <c r="C2236" s="3">
        <v>3354356</v>
      </c>
      <c r="D2236" s="1" t="s">
        <v>13</v>
      </c>
      <c r="E2236" s="1">
        <v>450</v>
      </c>
      <c r="F2236" s="1" t="s">
        <v>13601</v>
      </c>
      <c r="G2236" s="1" t="s">
        <v>9919</v>
      </c>
    </row>
    <row r="2237" spans="1:7" ht="21" x14ac:dyDescent="0.25">
      <c r="A2237" s="2" t="str">
        <f>HYPERLINK("https://rth.dk/resources/bsgatlas/details.php?id=BSGatlas-5'UTR-2236","BSGatlas-5'UTR-2236")</f>
        <v>BSGatlas-5'UTR-2236</v>
      </c>
      <c r="B2237" s="3">
        <v>3354043</v>
      </c>
      <c r="C2237" s="3">
        <v>3354066</v>
      </c>
      <c r="D2237" s="1" t="s">
        <v>9</v>
      </c>
      <c r="E2237" s="1">
        <v>24</v>
      </c>
      <c r="F2237" s="1" t="s">
        <v>13602</v>
      </c>
      <c r="G2237" s="1" t="s">
        <v>9931</v>
      </c>
    </row>
    <row r="2238" spans="1:7" ht="21" x14ac:dyDescent="0.25">
      <c r="A2238" s="2" t="str">
        <f>HYPERLINK("https://rth.dk/resources/bsgatlas/details.php?id=BSGatlas-5'UTR-2237","BSGatlas-5'UTR-2237")</f>
        <v>BSGatlas-5'UTR-2237</v>
      </c>
      <c r="B2238" s="3">
        <v>3355323</v>
      </c>
      <c r="C2238" s="3">
        <v>3355345</v>
      </c>
      <c r="D2238" s="1" t="s">
        <v>13</v>
      </c>
      <c r="E2238" s="1">
        <v>23</v>
      </c>
      <c r="F2238" s="1" t="s">
        <v>13603</v>
      </c>
      <c r="G2238" s="1" t="s">
        <v>9935</v>
      </c>
    </row>
    <row r="2239" spans="1:7" ht="21" x14ac:dyDescent="0.25">
      <c r="A2239" s="2" t="str">
        <f>HYPERLINK("https://rth.dk/resources/bsgatlas/details.php?id=BSGatlas-5'UTR-2238","BSGatlas-5'UTR-2238")</f>
        <v>BSGatlas-5'UTR-2238</v>
      </c>
      <c r="B2239" s="3">
        <v>3360780</v>
      </c>
      <c r="C2239" s="3">
        <v>3360825</v>
      </c>
      <c r="D2239" s="1" t="s">
        <v>13</v>
      </c>
      <c r="E2239" s="1">
        <v>46</v>
      </c>
      <c r="F2239" s="1" t="s">
        <v>13604</v>
      </c>
      <c r="G2239" s="1" t="s">
        <v>9937</v>
      </c>
    </row>
    <row r="2240" spans="1:7" ht="21" x14ac:dyDescent="0.25">
      <c r="A2240" s="2" t="str">
        <f>HYPERLINK("https://rth.dk/resources/bsgatlas/details.php?id=BSGatlas-5'UTR-2239","BSGatlas-5'UTR-2239")</f>
        <v>BSGatlas-5'UTR-2239</v>
      </c>
      <c r="B2240" s="3">
        <v>3360780</v>
      </c>
      <c r="C2240" s="3">
        <v>3360890</v>
      </c>
      <c r="D2240" s="1" t="s">
        <v>13</v>
      </c>
      <c r="E2240" s="1">
        <v>111</v>
      </c>
      <c r="F2240" s="1" t="s">
        <v>13604</v>
      </c>
      <c r="G2240" s="1" t="s">
        <v>9939</v>
      </c>
    </row>
    <row r="2241" spans="1:7" ht="21" x14ac:dyDescent="0.25">
      <c r="A2241" s="2" t="str">
        <f>HYPERLINK("https://rth.dk/resources/bsgatlas/details.php?id=BSGatlas-5'UTR-2240","BSGatlas-5'UTR-2240")</f>
        <v>BSGatlas-5'UTR-2240</v>
      </c>
      <c r="B2241" s="3">
        <v>3361682</v>
      </c>
      <c r="C2241" s="3">
        <v>3361705</v>
      </c>
      <c r="D2241" s="1" t="s">
        <v>13</v>
      </c>
      <c r="E2241" s="1">
        <v>24</v>
      </c>
      <c r="F2241" s="1" t="s">
        <v>13605</v>
      </c>
      <c r="G2241" s="1" t="s">
        <v>9942</v>
      </c>
    </row>
    <row r="2242" spans="1:7" ht="21" x14ac:dyDescent="0.25">
      <c r="A2242" s="2" t="str">
        <f>HYPERLINK("https://rth.dk/resources/bsgatlas/details.php?id=BSGatlas-5'UTR-2241","BSGatlas-5'UTR-2241")</f>
        <v>BSGatlas-5'UTR-2241</v>
      </c>
      <c r="B2242" s="3">
        <v>3364291</v>
      </c>
      <c r="C2242" s="3">
        <v>3364542</v>
      </c>
      <c r="D2242" s="1" t="s">
        <v>13</v>
      </c>
      <c r="E2242" s="1">
        <v>252</v>
      </c>
      <c r="F2242" s="1" t="s">
        <v>13606</v>
      </c>
      <c r="G2242" s="1" t="s">
        <v>9944</v>
      </c>
    </row>
    <row r="2243" spans="1:7" ht="21" x14ac:dyDescent="0.25">
      <c r="A2243" s="2" t="str">
        <f>HYPERLINK("https://rth.dk/resources/bsgatlas/details.php?id=BSGatlas-5'UTR-2242","BSGatlas-5'UTR-2242")</f>
        <v>BSGatlas-5'UTR-2242</v>
      </c>
      <c r="B2243" s="3">
        <v>3366067</v>
      </c>
      <c r="C2243" s="3">
        <v>3366082</v>
      </c>
      <c r="D2243" s="1" t="s">
        <v>13</v>
      </c>
      <c r="E2243" s="1">
        <v>16</v>
      </c>
      <c r="F2243" s="1" t="s">
        <v>13607</v>
      </c>
      <c r="G2243" s="1" t="s">
        <v>9949</v>
      </c>
    </row>
    <row r="2244" spans="1:7" ht="21" x14ac:dyDescent="0.25">
      <c r="A2244" s="2" t="str">
        <f>HYPERLINK("https://rth.dk/resources/bsgatlas/details.php?id=BSGatlas-5'UTR-2243","BSGatlas-5'UTR-2243")</f>
        <v>BSGatlas-5'UTR-2243</v>
      </c>
      <c r="B2244" s="3">
        <v>3366506</v>
      </c>
      <c r="C2244" s="3">
        <v>3366544</v>
      </c>
      <c r="D2244" s="1" t="s">
        <v>13</v>
      </c>
      <c r="E2244" s="1">
        <v>39</v>
      </c>
      <c r="F2244" s="1" t="s">
        <v>13608</v>
      </c>
      <c r="G2244" s="1" t="s">
        <v>9952</v>
      </c>
    </row>
    <row r="2245" spans="1:7" ht="21" x14ac:dyDescent="0.25">
      <c r="A2245" s="2" t="str">
        <f>HYPERLINK("https://rth.dk/resources/bsgatlas/details.php?id=BSGatlas-5'UTR-2244","BSGatlas-5'UTR-2244")</f>
        <v>BSGatlas-5'UTR-2244</v>
      </c>
      <c r="B2245" s="3">
        <v>3366929</v>
      </c>
      <c r="C2245" s="3">
        <v>3366962</v>
      </c>
      <c r="D2245" s="1" t="s">
        <v>13</v>
      </c>
      <c r="E2245" s="1">
        <v>34</v>
      </c>
      <c r="F2245" s="1" t="s">
        <v>13609</v>
      </c>
      <c r="G2245" s="1" t="s">
        <v>9954</v>
      </c>
    </row>
    <row r="2246" spans="1:7" ht="21" x14ac:dyDescent="0.25">
      <c r="A2246" s="2" t="str">
        <f>HYPERLINK("https://rth.dk/resources/bsgatlas/details.php?id=BSGatlas-5'UTR-2245","BSGatlas-5'UTR-2245")</f>
        <v>BSGatlas-5'UTR-2245</v>
      </c>
      <c r="B2246" s="3">
        <v>3371836</v>
      </c>
      <c r="C2246" s="3">
        <v>3372569</v>
      </c>
      <c r="D2246" s="1" t="s">
        <v>9</v>
      </c>
      <c r="E2246" s="1">
        <v>734</v>
      </c>
      <c r="F2246" s="1" t="s">
        <v>13610</v>
      </c>
      <c r="G2246" s="1" t="s">
        <v>9960</v>
      </c>
    </row>
    <row r="2247" spans="1:7" ht="21" x14ac:dyDescent="0.25">
      <c r="A2247" s="2" t="str">
        <f>HYPERLINK("https://rth.dk/resources/bsgatlas/details.php?id=BSGatlas-5'UTR-2246","BSGatlas-5'UTR-2246")</f>
        <v>BSGatlas-5'UTR-2246</v>
      </c>
      <c r="B2247" s="3">
        <v>3372394</v>
      </c>
      <c r="C2247" s="3">
        <v>3372465</v>
      </c>
      <c r="D2247" s="1" t="s">
        <v>13</v>
      </c>
      <c r="E2247" s="1">
        <v>72</v>
      </c>
      <c r="F2247" s="1" t="s">
        <v>13611</v>
      </c>
      <c r="G2247" s="1" t="s">
        <v>9956</v>
      </c>
    </row>
    <row r="2248" spans="1:7" ht="21" x14ac:dyDescent="0.25">
      <c r="A2248" s="2" t="str">
        <f>HYPERLINK("https://rth.dk/resources/bsgatlas/details.php?id=BSGatlas-5'UTR-2247","BSGatlas-5'UTR-2247")</f>
        <v>BSGatlas-5'UTR-2247</v>
      </c>
      <c r="B2248" s="3">
        <v>3373648</v>
      </c>
      <c r="C2248" s="3">
        <v>3374171</v>
      </c>
      <c r="D2248" s="1" t="s">
        <v>13</v>
      </c>
      <c r="E2248" s="1">
        <v>524</v>
      </c>
      <c r="F2248" s="1" t="s">
        <v>13612</v>
      </c>
      <c r="G2248" s="1" t="s">
        <v>9959</v>
      </c>
    </row>
    <row r="2249" spans="1:7" ht="21" x14ac:dyDescent="0.25">
      <c r="A2249" s="2" t="str">
        <f>HYPERLINK("https://rth.dk/resources/bsgatlas/details.php?id=BSGatlas-5'UTR-2248","BSGatlas-5'UTR-2248")</f>
        <v>BSGatlas-5'UTR-2248</v>
      </c>
      <c r="B2249" s="3">
        <v>3374426</v>
      </c>
      <c r="C2249" s="3">
        <v>3374492</v>
      </c>
      <c r="D2249" s="1" t="s">
        <v>9</v>
      </c>
      <c r="E2249" s="1">
        <v>67</v>
      </c>
      <c r="F2249" s="1" t="s">
        <v>13613</v>
      </c>
      <c r="G2249" s="1" t="s">
        <v>9965</v>
      </c>
    </row>
    <row r="2250" spans="1:7" ht="21" x14ac:dyDescent="0.25">
      <c r="A2250" s="2" t="str">
        <f>HYPERLINK("https://rth.dk/resources/bsgatlas/details.php?id=BSGatlas-5'UTR-2249","BSGatlas-5'UTR-2249")</f>
        <v>BSGatlas-5'UTR-2249</v>
      </c>
      <c r="B2250" s="3">
        <v>3377759</v>
      </c>
      <c r="C2250" s="3">
        <v>3377808</v>
      </c>
      <c r="D2250" s="1" t="s">
        <v>13</v>
      </c>
      <c r="E2250" s="1">
        <v>50</v>
      </c>
      <c r="F2250" s="1" t="s">
        <v>13614</v>
      </c>
      <c r="G2250" s="1" t="s">
        <v>9968</v>
      </c>
    </row>
    <row r="2251" spans="1:7" ht="21" x14ac:dyDescent="0.25">
      <c r="A2251" s="2" t="str">
        <f>HYPERLINK("https://rth.dk/resources/bsgatlas/details.php?id=BSGatlas-5'UTR-2250","BSGatlas-5'UTR-2250")</f>
        <v>BSGatlas-5'UTR-2250</v>
      </c>
      <c r="B2251" s="3">
        <v>3377833</v>
      </c>
      <c r="C2251" s="3">
        <v>3377893</v>
      </c>
      <c r="D2251" s="1" t="s">
        <v>9</v>
      </c>
      <c r="E2251" s="1">
        <v>61</v>
      </c>
      <c r="F2251" s="1" t="s">
        <v>13615</v>
      </c>
      <c r="G2251" s="1" t="s">
        <v>9969</v>
      </c>
    </row>
    <row r="2252" spans="1:7" ht="21" x14ac:dyDescent="0.25">
      <c r="A2252" s="2" t="str">
        <f>HYPERLINK("https://rth.dk/resources/bsgatlas/details.php?id=BSGatlas-5'UTR-2251","BSGatlas-5'UTR-2251")</f>
        <v>BSGatlas-5'UTR-2251</v>
      </c>
      <c r="B2252" s="3">
        <v>3379939</v>
      </c>
      <c r="C2252" s="3">
        <v>3380077</v>
      </c>
      <c r="D2252" s="1" t="s">
        <v>13</v>
      </c>
      <c r="E2252" s="1">
        <v>139</v>
      </c>
      <c r="F2252" s="1" t="s">
        <v>13616</v>
      </c>
      <c r="G2252" s="1" t="s">
        <v>9971</v>
      </c>
    </row>
    <row r="2253" spans="1:7" ht="21" x14ac:dyDescent="0.25">
      <c r="A2253" s="2" t="str">
        <f>HYPERLINK("https://rth.dk/resources/bsgatlas/details.php?id=BSGatlas-5'UTR-2252","BSGatlas-5'UTR-2252")</f>
        <v>BSGatlas-5'UTR-2252</v>
      </c>
      <c r="B2253" s="3">
        <v>3380594</v>
      </c>
      <c r="C2253" s="3">
        <v>3380624</v>
      </c>
      <c r="D2253" s="1" t="s">
        <v>13</v>
      </c>
      <c r="E2253" s="1">
        <v>31</v>
      </c>
      <c r="F2253" s="1" t="s">
        <v>13617</v>
      </c>
      <c r="G2253" s="1" t="s">
        <v>9974</v>
      </c>
    </row>
    <row r="2254" spans="1:7" ht="21" x14ac:dyDescent="0.25">
      <c r="A2254" s="2" t="str">
        <f>HYPERLINK("https://rth.dk/resources/bsgatlas/details.php?id=BSGatlas-5'UTR-2253","BSGatlas-5'UTR-2253")</f>
        <v>BSGatlas-5'UTR-2253</v>
      </c>
      <c r="B2254" s="3">
        <v>3382499</v>
      </c>
      <c r="C2254" s="3">
        <v>3382538</v>
      </c>
      <c r="D2254" s="1" t="s">
        <v>13</v>
      </c>
      <c r="E2254" s="1">
        <v>40</v>
      </c>
      <c r="F2254" s="1" t="s">
        <v>13618</v>
      </c>
      <c r="G2254" s="1" t="s">
        <v>9976</v>
      </c>
    </row>
    <row r="2255" spans="1:7" ht="21" x14ac:dyDescent="0.25">
      <c r="A2255" s="2" t="str">
        <f>HYPERLINK("https://rth.dk/resources/bsgatlas/details.php?id=BSGatlas-5'UTR-2254","BSGatlas-5'UTR-2254")</f>
        <v>BSGatlas-5'UTR-2254</v>
      </c>
      <c r="B2255" s="3">
        <v>3382593</v>
      </c>
      <c r="C2255" s="3">
        <v>3382633</v>
      </c>
      <c r="D2255" s="1" t="s">
        <v>9</v>
      </c>
      <c r="E2255" s="1">
        <v>41</v>
      </c>
      <c r="F2255" s="1" t="s">
        <v>13619</v>
      </c>
      <c r="G2255" s="1" t="s">
        <v>9979</v>
      </c>
    </row>
    <row r="2256" spans="1:7" ht="21" x14ac:dyDescent="0.25">
      <c r="A2256" s="2" t="str">
        <f>HYPERLINK("https://rth.dk/resources/bsgatlas/details.php?id=BSGatlas-5'UTR-2255","BSGatlas-5'UTR-2255")</f>
        <v>BSGatlas-5'UTR-2255</v>
      </c>
      <c r="B2256" s="3">
        <v>3383537</v>
      </c>
      <c r="C2256" s="3">
        <v>3383565</v>
      </c>
      <c r="D2256" s="1" t="s">
        <v>9</v>
      </c>
      <c r="E2256" s="1">
        <v>29</v>
      </c>
      <c r="F2256" s="1" t="s">
        <v>13620</v>
      </c>
      <c r="G2256" s="1" t="s">
        <v>9983</v>
      </c>
    </row>
    <row r="2257" spans="1:7" ht="21" x14ac:dyDescent="0.25">
      <c r="A2257" s="2" t="str">
        <f>HYPERLINK("https://rth.dk/resources/bsgatlas/details.php?id=BSGatlas-5'UTR-2256","BSGatlas-5'UTR-2256")</f>
        <v>BSGatlas-5'UTR-2256</v>
      </c>
      <c r="B2257" s="3">
        <v>3385446</v>
      </c>
      <c r="C2257" s="3">
        <v>3385618</v>
      </c>
      <c r="D2257" s="1" t="s">
        <v>13</v>
      </c>
      <c r="E2257" s="1">
        <v>173</v>
      </c>
      <c r="F2257" s="1" t="s">
        <v>13621</v>
      </c>
      <c r="G2257" s="1" t="s">
        <v>9984</v>
      </c>
    </row>
    <row r="2258" spans="1:7" ht="21" x14ac:dyDescent="0.25">
      <c r="A2258" s="2" t="str">
        <f>HYPERLINK("https://rth.dk/resources/bsgatlas/details.php?id=BSGatlas-5'UTR-2257","BSGatlas-5'UTR-2257")</f>
        <v>BSGatlas-5'UTR-2257</v>
      </c>
      <c r="B2258" s="3">
        <v>3385446</v>
      </c>
      <c r="C2258" s="3">
        <v>3385697</v>
      </c>
      <c r="D2258" s="1" t="s">
        <v>13</v>
      </c>
      <c r="E2258" s="1">
        <v>252</v>
      </c>
      <c r="F2258" s="1" t="s">
        <v>13621</v>
      </c>
      <c r="G2258" s="1" t="s">
        <v>9986</v>
      </c>
    </row>
    <row r="2259" spans="1:7" ht="21" x14ac:dyDescent="0.25">
      <c r="A2259" s="2" t="str">
        <f>HYPERLINK("https://rth.dk/resources/bsgatlas/details.php?id=BSGatlas-5'UTR-2258","BSGatlas-5'UTR-2258")</f>
        <v>BSGatlas-5'UTR-2258</v>
      </c>
      <c r="B2259" s="3">
        <v>3385625</v>
      </c>
      <c r="C2259" s="3">
        <v>3385724</v>
      </c>
      <c r="D2259" s="1" t="s">
        <v>9</v>
      </c>
      <c r="E2259" s="1">
        <v>100</v>
      </c>
      <c r="F2259" s="1" t="s">
        <v>13622</v>
      </c>
      <c r="G2259" s="1" t="s">
        <v>9988</v>
      </c>
    </row>
    <row r="2260" spans="1:7" ht="21" x14ac:dyDescent="0.25">
      <c r="A2260" s="2" t="str">
        <f>HYPERLINK("https://rth.dk/resources/bsgatlas/details.php?id=BSGatlas-5'UTR-2259","BSGatlas-5'UTR-2259")</f>
        <v>BSGatlas-5'UTR-2259</v>
      </c>
      <c r="B2260" s="3">
        <v>3385706</v>
      </c>
      <c r="C2260" s="3">
        <v>3385724</v>
      </c>
      <c r="D2260" s="1" t="s">
        <v>9</v>
      </c>
      <c r="E2260" s="1">
        <v>19</v>
      </c>
      <c r="F2260" s="1" t="s">
        <v>13622</v>
      </c>
      <c r="G2260" s="1" t="s">
        <v>9991</v>
      </c>
    </row>
    <row r="2261" spans="1:7" ht="21" x14ac:dyDescent="0.25">
      <c r="A2261" s="2" t="str">
        <f>HYPERLINK("https://rth.dk/resources/bsgatlas/details.php?id=BSGatlas-5'UTR-2260","BSGatlas-5'UTR-2260")</f>
        <v>BSGatlas-5'UTR-2260</v>
      </c>
      <c r="B2261" s="3">
        <v>3387945</v>
      </c>
      <c r="C2261" s="3">
        <v>3388007</v>
      </c>
      <c r="D2261" s="1" t="s">
        <v>13</v>
      </c>
      <c r="E2261" s="1">
        <v>63</v>
      </c>
      <c r="F2261" s="1" t="s">
        <v>13623</v>
      </c>
      <c r="G2261" s="1" t="s">
        <v>9992</v>
      </c>
    </row>
    <row r="2262" spans="1:7" ht="21" x14ac:dyDescent="0.25">
      <c r="A2262" s="2" t="str">
        <f>HYPERLINK("https://rth.dk/resources/bsgatlas/details.php?id=BSGatlas-5'UTR-2261","BSGatlas-5'UTR-2261")</f>
        <v>BSGatlas-5'UTR-2261</v>
      </c>
      <c r="B2262" s="3">
        <v>3387945</v>
      </c>
      <c r="C2262" s="3">
        <v>3388287</v>
      </c>
      <c r="D2262" s="1" t="s">
        <v>13</v>
      </c>
      <c r="E2262" s="1">
        <v>343</v>
      </c>
      <c r="F2262" s="1" t="s">
        <v>13623</v>
      </c>
      <c r="G2262" s="1" t="s">
        <v>9994</v>
      </c>
    </row>
    <row r="2263" spans="1:7" ht="21" x14ac:dyDescent="0.25">
      <c r="A2263" s="2" t="str">
        <f>HYPERLINK("https://rth.dk/resources/bsgatlas/details.php?id=BSGatlas-5'UTR-2262","BSGatlas-5'UTR-2262")</f>
        <v>BSGatlas-5'UTR-2262</v>
      </c>
      <c r="B2263" s="3">
        <v>3387945</v>
      </c>
      <c r="C2263" s="3">
        <v>3388830</v>
      </c>
      <c r="D2263" s="1" t="s">
        <v>13</v>
      </c>
      <c r="E2263" s="1">
        <v>886</v>
      </c>
      <c r="F2263" s="1" t="s">
        <v>13623</v>
      </c>
      <c r="G2263" s="1" t="s">
        <v>9995</v>
      </c>
    </row>
    <row r="2264" spans="1:7" ht="21" x14ac:dyDescent="0.25">
      <c r="A2264" s="2" t="str">
        <f>HYPERLINK("https://rth.dk/resources/bsgatlas/details.php?id=BSGatlas-5'UTR-2263","BSGatlas-5'UTR-2263")</f>
        <v>BSGatlas-5'UTR-2263</v>
      </c>
      <c r="B2264" s="3">
        <v>3388000</v>
      </c>
      <c r="C2264" s="3">
        <v>3388113</v>
      </c>
      <c r="D2264" s="1" t="s">
        <v>9</v>
      </c>
      <c r="E2264" s="1">
        <v>114</v>
      </c>
      <c r="F2264" s="1" t="s">
        <v>13624</v>
      </c>
      <c r="G2264" s="1" t="s">
        <v>9996</v>
      </c>
    </row>
    <row r="2265" spans="1:7" ht="21" x14ac:dyDescent="0.25">
      <c r="A2265" s="2" t="str">
        <f>HYPERLINK("https://rth.dk/resources/bsgatlas/details.php?id=BSGatlas-5'UTR-2264","BSGatlas-5'UTR-2264")</f>
        <v>BSGatlas-5'UTR-2264</v>
      </c>
      <c r="B2265" s="3">
        <v>3390412</v>
      </c>
      <c r="C2265" s="3">
        <v>3390443</v>
      </c>
      <c r="D2265" s="1" t="s">
        <v>13</v>
      </c>
      <c r="E2265" s="1">
        <v>32</v>
      </c>
      <c r="F2265" s="1" t="s">
        <v>13625</v>
      </c>
      <c r="G2265" s="1" t="s">
        <v>9999</v>
      </c>
    </row>
    <row r="2266" spans="1:7" ht="21" x14ac:dyDescent="0.25">
      <c r="A2266" s="2" t="str">
        <f>HYPERLINK("https://rth.dk/resources/bsgatlas/details.php?id=BSGatlas-5'UTR-2265","BSGatlas-5'UTR-2265")</f>
        <v>BSGatlas-5'UTR-2265</v>
      </c>
      <c r="B2266" s="3">
        <v>3390664</v>
      </c>
      <c r="C2266" s="3">
        <v>3390698</v>
      </c>
      <c r="D2266" s="1" t="s">
        <v>13</v>
      </c>
      <c r="E2266" s="1">
        <v>35</v>
      </c>
      <c r="F2266" s="1" t="s">
        <v>13626</v>
      </c>
      <c r="G2266" s="1" t="s">
        <v>10002</v>
      </c>
    </row>
    <row r="2267" spans="1:7" ht="21" x14ac:dyDescent="0.25">
      <c r="A2267" s="2" t="str">
        <f>HYPERLINK("https://rth.dk/resources/bsgatlas/details.php?id=BSGatlas-5'UTR-2266","BSGatlas-5'UTR-2266")</f>
        <v>BSGatlas-5'UTR-2266</v>
      </c>
      <c r="B2267" s="3">
        <v>3390664</v>
      </c>
      <c r="C2267" s="3">
        <v>3390712</v>
      </c>
      <c r="D2267" s="1" t="s">
        <v>13</v>
      </c>
      <c r="E2267" s="1">
        <v>49</v>
      </c>
      <c r="F2267" s="1" t="s">
        <v>13626</v>
      </c>
      <c r="G2267" s="1" t="s">
        <v>10003</v>
      </c>
    </row>
    <row r="2268" spans="1:7" ht="21" x14ac:dyDescent="0.25">
      <c r="A2268" s="2" t="str">
        <f>HYPERLINK("https://rth.dk/resources/bsgatlas/details.php?id=BSGatlas-5'UTR-2267","BSGatlas-5'UTR-2267")</f>
        <v>BSGatlas-5'UTR-2267</v>
      </c>
      <c r="B2268" s="3">
        <v>3390753</v>
      </c>
      <c r="C2268" s="3">
        <v>3390782</v>
      </c>
      <c r="D2268" s="1" t="s">
        <v>9</v>
      </c>
      <c r="E2268" s="1">
        <v>30</v>
      </c>
      <c r="F2268" s="1" t="s">
        <v>13627</v>
      </c>
      <c r="G2268" s="1" t="s">
        <v>10005</v>
      </c>
    </row>
    <row r="2269" spans="1:7" ht="21" x14ac:dyDescent="0.25">
      <c r="A2269" s="2" t="str">
        <f>HYPERLINK("https://rth.dk/resources/bsgatlas/details.php?id=BSGatlas-5'UTR-2268","BSGatlas-5'UTR-2268")</f>
        <v>BSGatlas-5'UTR-2268</v>
      </c>
      <c r="B2269" s="3">
        <v>3397745</v>
      </c>
      <c r="C2269" s="3">
        <v>3397765</v>
      </c>
      <c r="D2269" s="1" t="s">
        <v>13</v>
      </c>
      <c r="E2269" s="1">
        <v>21</v>
      </c>
      <c r="F2269" s="1" t="s">
        <v>13628</v>
      </c>
      <c r="G2269" s="1" t="s">
        <v>10007</v>
      </c>
    </row>
    <row r="2270" spans="1:7" ht="21" x14ac:dyDescent="0.25">
      <c r="A2270" s="2" t="str">
        <f>HYPERLINK("https://rth.dk/resources/bsgatlas/details.php?id=BSGatlas-5'UTR-2269","BSGatlas-5'UTR-2269")</f>
        <v>BSGatlas-5'UTR-2269</v>
      </c>
      <c r="B2270" s="3">
        <v>3398930</v>
      </c>
      <c r="C2270" s="3">
        <v>3398956</v>
      </c>
      <c r="D2270" s="1" t="s">
        <v>13</v>
      </c>
      <c r="E2270" s="1">
        <v>27</v>
      </c>
      <c r="F2270" s="1" t="s">
        <v>13629</v>
      </c>
      <c r="G2270" s="1" t="s">
        <v>10010</v>
      </c>
    </row>
    <row r="2271" spans="1:7" ht="21" x14ac:dyDescent="0.25">
      <c r="A2271" s="2" t="str">
        <f>HYPERLINK("https://rth.dk/resources/bsgatlas/details.php?id=BSGatlas-5'UTR-2270","BSGatlas-5'UTR-2270")</f>
        <v>BSGatlas-5'UTR-2270</v>
      </c>
      <c r="B2271" s="3">
        <v>3400360</v>
      </c>
      <c r="C2271" s="3">
        <v>3400405</v>
      </c>
      <c r="D2271" s="1" t="s">
        <v>13</v>
      </c>
      <c r="E2271" s="1">
        <v>46</v>
      </c>
      <c r="F2271" s="1" t="s">
        <v>13630</v>
      </c>
      <c r="G2271" s="1" t="s">
        <v>10013</v>
      </c>
    </row>
    <row r="2272" spans="1:7" ht="21" x14ac:dyDescent="0.25">
      <c r="A2272" s="2" t="str">
        <f>HYPERLINK("https://rth.dk/resources/bsgatlas/details.php?id=BSGatlas-5'UTR-2271","BSGatlas-5'UTR-2271")</f>
        <v>BSGatlas-5'UTR-2271</v>
      </c>
      <c r="B2272" s="3">
        <v>3404437</v>
      </c>
      <c r="C2272" s="3">
        <v>3404707</v>
      </c>
      <c r="D2272" s="1" t="s">
        <v>13</v>
      </c>
      <c r="E2272" s="1">
        <v>271</v>
      </c>
      <c r="F2272" s="1" t="s">
        <v>13631</v>
      </c>
      <c r="G2272" s="1" t="s">
        <v>10016</v>
      </c>
    </row>
    <row r="2273" spans="1:7" ht="21" x14ac:dyDescent="0.25">
      <c r="A2273" s="2" t="str">
        <f>HYPERLINK("https://rth.dk/resources/bsgatlas/details.php?id=BSGatlas-5'UTR-2272","BSGatlas-5'UTR-2272")</f>
        <v>BSGatlas-5'UTR-2272</v>
      </c>
      <c r="B2273" s="3">
        <v>3404795</v>
      </c>
      <c r="C2273" s="3">
        <v>3404835</v>
      </c>
      <c r="D2273" s="1" t="s">
        <v>9</v>
      </c>
      <c r="E2273" s="1">
        <v>41</v>
      </c>
      <c r="F2273" s="1" t="s">
        <v>13632</v>
      </c>
      <c r="G2273" s="1" t="s">
        <v>10018</v>
      </c>
    </row>
    <row r="2274" spans="1:7" ht="21" x14ac:dyDescent="0.25">
      <c r="A2274" s="2" t="str">
        <f>HYPERLINK("https://rth.dk/resources/bsgatlas/details.php?id=BSGatlas-5'UTR-2273","BSGatlas-5'UTR-2273")</f>
        <v>BSGatlas-5'UTR-2273</v>
      </c>
      <c r="B2274" s="3">
        <v>3406542</v>
      </c>
      <c r="C2274" s="3">
        <v>3406585</v>
      </c>
      <c r="D2274" s="1" t="s">
        <v>13</v>
      </c>
      <c r="E2274" s="1">
        <v>44</v>
      </c>
      <c r="F2274" s="1" t="s">
        <v>13633</v>
      </c>
      <c r="G2274" s="1" t="s">
        <v>10021</v>
      </c>
    </row>
    <row r="2275" spans="1:7" ht="21" x14ac:dyDescent="0.25">
      <c r="A2275" s="2" t="str">
        <f>HYPERLINK("https://rth.dk/resources/bsgatlas/details.php?id=BSGatlas-5'UTR-2274","BSGatlas-5'UTR-2274")</f>
        <v>BSGatlas-5'UTR-2274</v>
      </c>
      <c r="B2275" s="3">
        <v>3409066</v>
      </c>
      <c r="C2275" s="3">
        <v>3409115</v>
      </c>
      <c r="D2275" s="1" t="s">
        <v>13</v>
      </c>
      <c r="E2275" s="1">
        <v>50</v>
      </c>
      <c r="F2275" s="1" t="s">
        <v>13634</v>
      </c>
      <c r="G2275" s="1" t="s">
        <v>10024</v>
      </c>
    </row>
    <row r="2276" spans="1:7" ht="21" x14ac:dyDescent="0.25">
      <c r="A2276" s="2" t="str">
        <f>HYPERLINK("https://rth.dk/resources/bsgatlas/details.php?id=BSGatlas-5'UTR-2275","BSGatlas-5'UTR-2275")</f>
        <v>BSGatlas-5'UTR-2275</v>
      </c>
      <c r="B2276" s="3">
        <v>3409992</v>
      </c>
      <c r="C2276" s="3">
        <v>3410048</v>
      </c>
      <c r="D2276" s="1" t="s">
        <v>13</v>
      </c>
      <c r="E2276" s="1">
        <v>57</v>
      </c>
      <c r="F2276" s="1" t="s">
        <v>13635</v>
      </c>
      <c r="G2276" s="1" t="s">
        <v>10029</v>
      </c>
    </row>
    <row r="2277" spans="1:7" ht="21" x14ac:dyDescent="0.25">
      <c r="A2277" s="2" t="str">
        <f>HYPERLINK("https://rth.dk/resources/bsgatlas/details.php?id=BSGatlas-5'UTR-2276","BSGatlas-5'UTR-2276")</f>
        <v>BSGatlas-5'UTR-2276</v>
      </c>
      <c r="B2277" s="3">
        <v>3410395</v>
      </c>
      <c r="C2277" s="3">
        <v>3410466</v>
      </c>
      <c r="D2277" s="1" t="s">
        <v>9</v>
      </c>
      <c r="E2277" s="1">
        <v>72</v>
      </c>
      <c r="F2277" s="1" t="s">
        <v>13636</v>
      </c>
      <c r="G2277" s="1" t="s">
        <v>10034</v>
      </c>
    </row>
    <row r="2278" spans="1:7" ht="21" x14ac:dyDescent="0.25">
      <c r="A2278" s="2" t="str">
        <f>HYPERLINK("https://rth.dk/resources/bsgatlas/details.php?id=BSGatlas-5'UTR-2277","BSGatlas-5'UTR-2277")</f>
        <v>BSGatlas-5'UTR-2277</v>
      </c>
      <c r="B2278" s="3">
        <v>3415216</v>
      </c>
      <c r="C2278" s="3">
        <v>3415273</v>
      </c>
      <c r="D2278" s="1" t="s">
        <v>13</v>
      </c>
      <c r="E2278" s="1">
        <v>58</v>
      </c>
      <c r="F2278" s="1" t="s">
        <v>13637</v>
      </c>
      <c r="G2278" s="1" t="s">
        <v>10039</v>
      </c>
    </row>
    <row r="2279" spans="1:7" ht="21" x14ac:dyDescent="0.25">
      <c r="A2279" s="2" t="str">
        <f>HYPERLINK("https://rth.dk/resources/bsgatlas/details.php?id=BSGatlas-5'UTR-2278","BSGatlas-5'UTR-2278")</f>
        <v>BSGatlas-5'UTR-2278</v>
      </c>
      <c r="B2279" s="3">
        <v>3418419</v>
      </c>
      <c r="C2279" s="3">
        <v>3418474</v>
      </c>
      <c r="D2279" s="1" t="s">
        <v>9</v>
      </c>
      <c r="E2279" s="1">
        <v>56</v>
      </c>
      <c r="F2279" s="1" t="s">
        <v>13638</v>
      </c>
      <c r="G2279" s="1" t="s">
        <v>10044</v>
      </c>
    </row>
    <row r="2280" spans="1:7" ht="21" x14ac:dyDescent="0.25">
      <c r="A2280" s="2" t="str">
        <f>HYPERLINK("https://rth.dk/resources/bsgatlas/details.php?id=BSGatlas-5'UTR-2279","BSGatlas-5'UTR-2279")</f>
        <v>BSGatlas-5'UTR-2279</v>
      </c>
      <c r="B2280" s="3">
        <v>3421065</v>
      </c>
      <c r="C2280" s="3">
        <v>3421389</v>
      </c>
      <c r="D2280" s="1" t="s">
        <v>13</v>
      </c>
      <c r="E2280" s="1">
        <v>325</v>
      </c>
      <c r="F2280" s="1" t="s">
        <v>13639</v>
      </c>
      <c r="G2280" s="1" t="s">
        <v>10047</v>
      </c>
    </row>
    <row r="2281" spans="1:7" ht="21" x14ac:dyDescent="0.25">
      <c r="A2281" s="2" t="str">
        <f>HYPERLINK("https://rth.dk/resources/bsgatlas/details.php?id=BSGatlas-5'UTR-2280","BSGatlas-5'UTR-2280")</f>
        <v>BSGatlas-5'UTR-2280</v>
      </c>
      <c r="B2281" s="3">
        <v>3421605</v>
      </c>
      <c r="C2281" s="3">
        <v>3421634</v>
      </c>
      <c r="D2281" s="1" t="s">
        <v>13</v>
      </c>
      <c r="E2281" s="1">
        <v>30</v>
      </c>
      <c r="F2281" s="1" t="s">
        <v>13640</v>
      </c>
      <c r="G2281" s="1" t="s">
        <v>10052</v>
      </c>
    </row>
    <row r="2282" spans="1:7" ht="21" x14ac:dyDescent="0.25">
      <c r="A2282" s="2" t="str">
        <f>HYPERLINK("https://rth.dk/resources/bsgatlas/details.php?id=BSGatlas-5'UTR-2281","BSGatlas-5'UTR-2281")</f>
        <v>BSGatlas-5'UTR-2281</v>
      </c>
      <c r="B2282" s="3">
        <v>3421605</v>
      </c>
      <c r="C2282" s="3">
        <v>3422223</v>
      </c>
      <c r="D2282" s="1" t="s">
        <v>13</v>
      </c>
      <c r="E2282" s="1">
        <v>619</v>
      </c>
      <c r="F2282" s="1" t="s">
        <v>13640</v>
      </c>
      <c r="G2282" s="1" t="s">
        <v>10054</v>
      </c>
    </row>
    <row r="2283" spans="1:7" ht="21" x14ac:dyDescent="0.25">
      <c r="A2283" s="2" t="str">
        <f>HYPERLINK("https://rth.dk/resources/bsgatlas/details.php?id=BSGatlas-5'UTR-2282","BSGatlas-5'UTR-2282")</f>
        <v>BSGatlas-5'UTR-2282</v>
      </c>
      <c r="B2283" s="3">
        <v>3421716</v>
      </c>
      <c r="C2283" s="3">
        <v>3421772</v>
      </c>
      <c r="D2283" s="1" t="s">
        <v>9</v>
      </c>
      <c r="E2283" s="1">
        <v>57</v>
      </c>
      <c r="F2283" s="1" t="s">
        <v>13641</v>
      </c>
      <c r="G2283" s="1" t="s">
        <v>10055</v>
      </c>
    </row>
    <row r="2284" spans="1:7" ht="21" x14ac:dyDescent="0.25">
      <c r="A2284" s="2" t="str">
        <f>HYPERLINK("https://rth.dk/resources/bsgatlas/details.php?id=BSGatlas-5'UTR-2283","BSGatlas-5'UTR-2283")</f>
        <v>BSGatlas-5'UTR-2283</v>
      </c>
      <c r="B2284" s="3">
        <v>3422301</v>
      </c>
      <c r="C2284" s="3">
        <v>3422354</v>
      </c>
      <c r="D2284" s="1" t="s">
        <v>9</v>
      </c>
      <c r="E2284" s="1">
        <v>54</v>
      </c>
      <c r="F2284" s="1" t="s">
        <v>13642</v>
      </c>
      <c r="G2284" s="1" t="s">
        <v>10056</v>
      </c>
    </row>
    <row r="2285" spans="1:7" ht="21" x14ac:dyDescent="0.25">
      <c r="A2285" s="2" t="str">
        <f>HYPERLINK("https://rth.dk/resources/bsgatlas/details.php?id=BSGatlas-5'UTR-2284","BSGatlas-5'UTR-2284")</f>
        <v>BSGatlas-5'UTR-2284</v>
      </c>
      <c r="B2285" s="3">
        <v>3425161</v>
      </c>
      <c r="C2285" s="3">
        <v>3425194</v>
      </c>
      <c r="D2285" s="1" t="s">
        <v>13</v>
      </c>
      <c r="E2285" s="1">
        <v>34</v>
      </c>
      <c r="F2285" s="1" t="s">
        <v>13643</v>
      </c>
      <c r="G2285" s="1" t="s">
        <v>10058</v>
      </c>
    </row>
    <row r="2286" spans="1:7" ht="21" x14ac:dyDescent="0.25">
      <c r="A2286" s="2" t="str">
        <f>HYPERLINK("https://rth.dk/resources/bsgatlas/details.php?id=BSGatlas-5'UTR-2285","BSGatlas-5'UTR-2285")</f>
        <v>BSGatlas-5'UTR-2285</v>
      </c>
      <c r="B2286" s="3">
        <v>3425239</v>
      </c>
      <c r="C2286" s="3">
        <v>3425272</v>
      </c>
      <c r="D2286" s="1" t="s">
        <v>9</v>
      </c>
      <c r="E2286" s="1">
        <v>34</v>
      </c>
      <c r="F2286" s="1" t="s">
        <v>13644</v>
      </c>
      <c r="G2286" s="1" t="s">
        <v>10061</v>
      </c>
    </row>
    <row r="2287" spans="1:7" ht="21" x14ac:dyDescent="0.25">
      <c r="A2287" s="2" t="str">
        <f>HYPERLINK("https://rth.dk/resources/bsgatlas/details.php?id=BSGatlas-5'UTR-2286","BSGatlas-5'UTR-2286")</f>
        <v>BSGatlas-5'UTR-2286</v>
      </c>
      <c r="B2287" s="3">
        <v>3427471</v>
      </c>
      <c r="C2287" s="3">
        <v>3427802</v>
      </c>
      <c r="D2287" s="1" t="s">
        <v>9</v>
      </c>
      <c r="E2287" s="1">
        <v>332</v>
      </c>
      <c r="F2287" s="1" t="s">
        <v>13645</v>
      </c>
      <c r="G2287" s="1" t="s">
        <v>10066</v>
      </c>
    </row>
    <row r="2288" spans="1:7" ht="21" x14ac:dyDescent="0.25">
      <c r="A2288" s="2" t="str">
        <f>HYPERLINK("https://rth.dk/resources/bsgatlas/details.php?id=BSGatlas-5'UTR-2287","BSGatlas-5'UTR-2287")</f>
        <v>BSGatlas-5'UTR-2287</v>
      </c>
      <c r="B2288" s="3">
        <v>3427579</v>
      </c>
      <c r="C2288" s="3">
        <v>3427627</v>
      </c>
      <c r="D2288" s="1" t="s">
        <v>13</v>
      </c>
      <c r="E2288" s="1">
        <v>49</v>
      </c>
      <c r="F2288" s="1" t="s">
        <v>13646</v>
      </c>
      <c r="G2288" s="1" t="s">
        <v>10064</v>
      </c>
    </row>
    <row r="2289" spans="1:7" ht="21" x14ac:dyDescent="0.25">
      <c r="A2289" s="2" t="str">
        <f>HYPERLINK("https://rth.dk/resources/bsgatlas/details.php?id=BSGatlas-5'UTR-2288","BSGatlas-5'UTR-2288")</f>
        <v>BSGatlas-5'UTR-2288</v>
      </c>
      <c r="B2289" s="3">
        <v>3427755</v>
      </c>
      <c r="C2289" s="3">
        <v>3427802</v>
      </c>
      <c r="D2289" s="1" t="s">
        <v>9</v>
      </c>
      <c r="E2289" s="1">
        <v>48</v>
      </c>
      <c r="F2289" s="1" t="s">
        <v>13645</v>
      </c>
      <c r="G2289" s="1" t="s">
        <v>10068</v>
      </c>
    </row>
    <row r="2290" spans="1:7" ht="21" x14ac:dyDescent="0.25">
      <c r="A2290" s="2" t="str">
        <f>HYPERLINK("https://rth.dk/resources/bsgatlas/details.php?id=BSGatlas-5'UTR-2289","BSGatlas-5'UTR-2289")</f>
        <v>BSGatlas-5'UTR-2289</v>
      </c>
      <c r="B2290" s="3">
        <v>3430343</v>
      </c>
      <c r="C2290" s="3">
        <v>3430495</v>
      </c>
      <c r="D2290" s="1" t="s">
        <v>13</v>
      </c>
      <c r="E2290" s="1">
        <v>153</v>
      </c>
      <c r="F2290" s="1" t="s">
        <v>13647</v>
      </c>
      <c r="G2290" s="1" t="s">
        <v>10071</v>
      </c>
    </row>
    <row r="2291" spans="1:7" ht="21" x14ac:dyDescent="0.25">
      <c r="A2291" s="2" t="str">
        <f>HYPERLINK("https://rth.dk/resources/bsgatlas/details.php?id=BSGatlas-5'UTR-2290","BSGatlas-5'UTR-2290")</f>
        <v>BSGatlas-5'UTR-2290</v>
      </c>
      <c r="B2291" s="3">
        <v>3434156</v>
      </c>
      <c r="C2291" s="3">
        <v>3434200</v>
      </c>
      <c r="D2291" s="1" t="s">
        <v>13</v>
      </c>
      <c r="E2291" s="1">
        <v>45</v>
      </c>
      <c r="F2291" s="1" t="s">
        <v>13648</v>
      </c>
      <c r="G2291" s="1" t="s">
        <v>10073</v>
      </c>
    </row>
    <row r="2292" spans="1:7" ht="21" x14ac:dyDescent="0.25">
      <c r="A2292" s="2" t="str">
        <f>HYPERLINK("https://rth.dk/resources/bsgatlas/details.php?id=BSGatlas-5'UTR-2291","BSGatlas-5'UTR-2291")</f>
        <v>BSGatlas-5'UTR-2291</v>
      </c>
      <c r="B2292" s="3">
        <v>3436651</v>
      </c>
      <c r="C2292" s="3">
        <v>3436699</v>
      </c>
      <c r="D2292" s="1" t="s">
        <v>13</v>
      </c>
      <c r="E2292" s="1">
        <v>49</v>
      </c>
      <c r="F2292" s="1" t="s">
        <v>13649</v>
      </c>
      <c r="G2292" s="1" t="s">
        <v>10075</v>
      </c>
    </row>
    <row r="2293" spans="1:7" ht="21" x14ac:dyDescent="0.25">
      <c r="A2293" s="2" t="str">
        <f>HYPERLINK("https://rth.dk/resources/bsgatlas/details.php?id=BSGatlas-5'UTR-2292","BSGatlas-5'UTR-2292")</f>
        <v>BSGatlas-5'UTR-2292</v>
      </c>
      <c r="B2293" s="3">
        <v>3436651</v>
      </c>
      <c r="C2293" s="3">
        <v>3436753</v>
      </c>
      <c r="D2293" s="1" t="s">
        <v>13</v>
      </c>
      <c r="E2293" s="1">
        <v>103</v>
      </c>
      <c r="F2293" s="1" t="s">
        <v>13649</v>
      </c>
      <c r="G2293" s="1" t="s">
        <v>10077</v>
      </c>
    </row>
    <row r="2294" spans="1:7" ht="21" x14ac:dyDescent="0.25">
      <c r="A2294" s="2" t="str">
        <f>HYPERLINK("https://rth.dk/resources/bsgatlas/details.php?id=BSGatlas-5'UTR-2293","BSGatlas-5'UTR-2293")</f>
        <v>BSGatlas-5'UTR-2293</v>
      </c>
      <c r="B2294" s="3">
        <v>3436651</v>
      </c>
      <c r="C2294" s="3">
        <v>3436809</v>
      </c>
      <c r="D2294" s="1" t="s">
        <v>13</v>
      </c>
      <c r="E2294" s="1">
        <v>159</v>
      </c>
      <c r="F2294" s="1" t="s">
        <v>13649</v>
      </c>
      <c r="G2294" s="1" t="s">
        <v>10078</v>
      </c>
    </row>
    <row r="2295" spans="1:7" ht="21" x14ac:dyDescent="0.25">
      <c r="A2295" s="2" t="str">
        <f>HYPERLINK("https://rth.dk/resources/bsgatlas/details.php?id=BSGatlas-5'UTR-2294","BSGatlas-5'UTR-2294")</f>
        <v>BSGatlas-5'UTR-2294</v>
      </c>
      <c r="B2295" s="3">
        <v>3437457</v>
      </c>
      <c r="C2295" s="3">
        <v>3437513</v>
      </c>
      <c r="D2295" s="1" t="s">
        <v>13</v>
      </c>
      <c r="E2295" s="1">
        <v>57</v>
      </c>
      <c r="F2295" s="1" t="s">
        <v>13650</v>
      </c>
      <c r="G2295" s="1" t="s">
        <v>10079</v>
      </c>
    </row>
    <row r="2296" spans="1:7" ht="21" x14ac:dyDescent="0.25">
      <c r="A2296" s="2" t="str">
        <f>HYPERLINK("https://rth.dk/resources/bsgatlas/details.php?id=BSGatlas-5'UTR-2295","BSGatlas-5'UTR-2295")</f>
        <v>BSGatlas-5'UTR-2295</v>
      </c>
      <c r="B2296" s="3">
        <v>3438733</v>
      </c>
      <c r="C2296" s="3">
        <v>3438800</v>
      </c>
      <c r="D2296" s="1" t="s">
        <v>13</v>
      </c>
      <c r="E2296" s="1">
        <v>68</v>
      </c>
      <c r="F2296" s="1" t="s">
        <v>13651</v>
      </c>
      <c r="G2296" s="1" t="s">
        <v>10082</v>
      </c>
    </row>
    <row r="2297" spans="1:7" ht="21" x14ac:dyDescent="0.25">
      <c r="A2297" s="2" t="str">
        <f>HYPERLINK("https://rth.dk/resources/bsgatlas/details.php?id=BSGatlas-5'UTR-2296","BSGatlas-5'UTR-2296")</f>
        <v>BSGatlas-5'UTR-2296</v>
      </c>
      <c r="B2297" s="3">
        <v>3440961</v>
      </c>
      <c r="C2297" s="3">
        <v>3441054</v>
      </c>
      <c r="D2297" s="1" t="s">
        <v>13</v>
      </c>
      <c r="E2297" s="1">
        <v>94</v>
      </c>
      <c r="F2297" s="1" t="s">
        <v>13652</v>
      </c>
      <c r="G2297" s="1" t="s">
        <v>10084</v>
      </c>
    </row>
    <row r="2298" spans="1:7" ht="21" x14ac:dyDescent="0.25">
      <c r="A2298" s="2" t="str">
        <f>HYPERLINK("https://rth.dk/resources/bsgatlas/details.php?id=BSGatlas-5'UTR-2297","BSGatlas-5'UTR-2297")</f>
        <v>BSGatlas-5'UTR-2297</v>
      </c>
      <c r="B2298" s="3">
        <v>3443822</v>
      </c>
      <c r="C2298" s="3">
        <v>3443867</v>
      </c>
      <c r="D2298" s="1" t="s">
        <v>13</v>
      </c>
      <c r="E2298" s="1">
        <v>46</v>
      </c>
      <c r="F2298" s="1" t="s">
        <v>13653</v>
      </c>
      <c r="G2298" s="1" t="s">
        <v>10087</v>
      </c>
    </row>
    <row r="2299" spans="1:7" ht="21" x14ac:dyDescent="0.25">
      <c r="A2299" s="2" t="str">
        <f>HYPERLINK("https://rth.dk/resources/bsgatlas/details.php?id=BSGatlas-5'UTR-2298","BSGatlas-5'UTR-2298")</f>
        <v>BSGatlas-5'UTR-2298</v>
      </c>
      <c r="B2299" s="3">
        <v>3444176</v>
      </c>
      <c r="C2299" s="3">
        <v>3444329</v>
      </c>
      <c r="D2299" s="1" t="s">
        <v>9</v>
      </c>
      <c r="E2299" s="1">
        <v>154</v>
      </c>
      <c r="F2299" s="1" t="s">
        <v>13654</v>
      </c>
      <c r="G2299" s="1" t="s">
        <v>10092</v>
      </c>
    </row>
    <row r="2300" spans="1:7" ht="21" x14ac:dyDescent="0.25">
      <c r="A2300" s="2" t="str">
        <f>HYPERLINK("https://rth.dk/resources/bsgatlas/details.php?id=BSGatlas-5'UTR-2299","BSGatlas-5'UTR-2299")</f>
        <v>BSGatlas-5'UTR-2299</v>
      </c>
      <c r="B2300" s="3">
        <v>3444201</v>
      </c>
      <c r="C2300" s="3">
        <v>3444241</v>
      </c>
      <c r="D2300" s="1" t="s">
        <v>13</v>
      </c>
      <c r="E2300" s="1">
        <v>41</v>
      </c>
      <c r="F2300" s="1" t="s">
        <v>13655</v>
      </c>
      <c r="G2300" s="1" t="s">
        <v>10091</v>
      </c>
    </row>
    <row r="2301" spans="1:7" ht="21" x14ac:dyDescent="0.25">
      <c r="A2301" s="2" t="str">
        <f>HYPERLINK("https://rth.dk/resources/bsgatlas/details.php?id=BSGatlas-5'UTR-2300","BSGatlas-5'UTR-2300")</f>
        <v>BSGatlas-5'UTR-2300</v>
      </c>
      <c r="B2301" s="3">
        <v>3446077</v>
      </c>
      <c r="C2301" s="3">
        <v>3446112</v>
      </c>
      <c r="D2301" s="1" t="s">
        <v>13</v>
      </c>
      <c r="E2301" s="1">
        <v>36</v>
      </c>
      <c r="F2301" s="1" t="s">
        <v>13656</v>
      </c>
      <c r="G2301" s="1" t="s">
        <v>10095</v>
      </c>
    </row>
    <row r="2302" spans="1:7" ht="21" x14ac:dyDescent="0.25">
      <c r="A2302" s="2" t="str">
        <f>HYPERLINK("https://rth.dk/resources/bsgatlas/details.php?id=BSGatlas-5'UTR-2301","BSGatlas-5'UTR-2301")</f>
        <v>BSGatlas-5'UTR-2301</v>
      </c>
      <c r="B2302" s="3">
        <v>3446077</v>
      </c>
      <c r="C2302" s="3">
        <v>3446158</v>
      </c>
      <c r="D2302" s="1" t="s">
        <v>13</v>
      </c>
      <c r="E2302" s="1">
        <v>82</v>
      </c>
      <c r="F2302" s="1" t="s">
        <v>13656</v>
      </c>
      <c r="G2302" s="1" t="s">
        <v>10097</v>
      </c>
    </row>
    <row r="2303" spans="1:7" ht="21" x14ac:dyDescent="0.25">
      <c r="A2303" s="2" t="str">
        <f>HYPERLINK("https://rth.dk/resources/bsgatlas/details.php?id=BSGatlas-5'UTR-2302","BSGatlas-5'UTR-2302")</f>
        <v>BSGatlas-5'UTR-2302</v>
      </c>
      <c r="B2303" s="3">
        <v>3448132</v>
      </c>
      <c r="C2303" s="3">
        <v>3448183</v>
      </c>
      <c r="D2303" s="1" t="s">
        <v>13</v>
      </c>
      <c r="E2303" s="1">
        <v>52</v>
      </c>
      <c r="F2303" s="1" t="s">
        <v>13657</v>
      </c>
      <c r="G2303" s="1" t="s">
        <v>10098</v>
      </c>
    </row>
    <row r="2304" spans="1:7" ht="21" x14ac:dyDescent="0.25">
      <c r="A2304" s="2" t="str">
        <f>HYPERLINK("https://rth.dk/resources/bsgatlas/details.php?id=BSGatlas-5'UTR-2303","BSGatlas-5'UTR-2303")</f>
        <v>BSGatlas-5'UTR-2303</v>
      </c>
      <c r="B2304" s="3">
        <v>3449621</v>
      </c>
      <c r="C2304" s="3">
        <v>3449664</v>
      </c>
      <c r="D2304" s="1" t="s">
        <v>13</v>
      </c>
      <c r="E2304" s="1">
        <v>44</v>
      </c>
      <c r="F2304" s="1" t="s">
        <v>13658</v>
      </c>
      <c r="G2304" s="1" t="s">
        <v>10100</v>
      </c>
    </row>
    <row r="2305" spans="1:7" ht="21" x14ac:dyDescent="0.25">
      <c r="A2305" s="2" t="str">
        <f>HYPERLINK("https://rth.dk/resources/bsgatlas/details.php?id=BSGatlas-5'UTR-2304","BSGatlas-5'UTR-2304")</f>
        <v>BSGatlas-5'UTR-2304</v>
      </c>
      <c r="B2305" s="3">
        <v>3450526</v>
      </c>
      <c r="C2305" s="3">
        <v>3450559</v>
      </c>
      <c r="D2305" s="1" t="s">
        <v>13</v>
      </c>
      <c r="E2305" s="1">
        <v>34</v>
      </c>
      <c r="F2305" s="1" t="s">
        <v>13659</v>
      </c>
      <c r="G2305" s="1" t="s">
        <v>10102</v>
      </c>
    </row>
    <row r="2306" spans="1:7" ht="21" x14ac:dyDescent="0.25">
      <c r="A2306" s="2" t="str">
        <f>HYPERLINK("https://rth.dk/resources/bsgatlas/details.php?id=BSGatlas-5'UTR-2305","BSGatlas-5'UTR-2305")</f>
        <v>BSGatlas-5'UTR-2305</v>
      </c>
      <c r="B2306" s="3">
        <v>3450526</v>
      </c>
      <c r="C2306" s="3">
        <v>3450603</v>
      </c>
      <c r="D2306" s="1" t="s">
        <v>13</v>
      </c>
      <c r="E2306" s="1">
        <v>78</v>
      </c>
      <c r="F2306" s="1" t="s">
        <v>13659</v>
      </c>
      <c r="G2306" s="1" t="s">
        <v>10103</v>
      </c>
    </row>
    <row r="2307" spans="1:7" ht="21" x14ac:dyDescent="0.25">
      <c r="A2307" s="2" t="str">
        <f>HYPERLINK("https://rth.dk/resources/bsgatlas/details.php?id=BSGatlas-5'UTR-2306","BSGatlas-5'UTR-2306")</f>
        <v>BSGatlas-5'UTR-2306</v>
      </c>
      <c r="B2307" s="3">
        <v>3451071</v>
      </c>
      <c r="C2307" s="3">
        <v>3451131</v>
      </c>
      <c r="D2307" s="1" t="s">
        <v>13</v>
      </c>
      <c r="E2307" s="1">
        <v>61</v>
      </c>
      <c r="F2307" s="1" t="s">
        <v>13660</v>
      </c>
      <c r="G2307" s="1" t="s">
        <v>10106</v>
      </c>
    </row>
    <row r="2308" spans="1:7" ht="21" x14ac:dyDescent="0.25">
      <c r="A2308" s="2" t="str">
        <f>HYPERLINK("https://rth.dk/resources/bsgatlas/details.php?id=BSGatlas-5'UTR-2307","BSGatlas-5'UTR-2307")</f>
        <v>BSGatlas-5'UTR-2307</v>
      </c>
      <c r="B2308" s="3">
        <v>3451071</v>
      </c>
      <c r="C2308" s="3">
        <v>3451197</v>
      </c>
      <c r="D2308" s="1" t="s">
        <v>13</v>
      </c>
      <c r="E2308" s="1">
        <v>127</v>
      </c>
      <c r="F2308" s="1" t="s">
        <v>13660</v>
      </c>
      <c r="G2308" s="1" t="s">
        <v>10107</v>
      </c>
    </row>
    <row r="2309" spans="1:7" ht="21" x14ac:dyDescent="0.25">
      <c r="A2309" s="2" t="str">
        <f>HYPERLINK("https://rth.dk/resources/bsgatlas/details.php?id=BSGatlas-5'UTR-2308","BSGatlas-5'UTR-2308")</f>
        <v>BSGatlas-5'UTR-2308</v>
      </c>
      <c r="B2309" s="3">
        <v>3451718</v>
      </c>
      <c r="C2309" s="3">
        <v>3451765</v>
      </c>
      <c r="D2309" s="1" t="s">
        <v>13</v>
      </c>
      <c r="E2309" s="1">
        <v>48</v>
      </c>
      <c r="F2309" s="1" t="s">
        <v>13661</v>
      </c>
      <c r="G2309" s="1" t="s">
        <v>10109</v>
      </c>
    </row>
    <row r="2310" spans="1:7" ht="21" x14ac:dyDescent="0.25">
      <c r="A2310" s="2" t="str">
        <f>HYPERLINK("https://rth.dk/resources/bsgatlas/details.php?id=BSGatlas-5'UTR-2309","BSGatlas-5'UTR-2309")</f>
        <v>BSGatlas-5'UTR-2309</v>
      </c>
      <c r="B2310" s="3">
        <v>3454961</v>
      </c>
      <c r="C2310" s="3">
        <v>3454991</v>
      </c>
      <c r="D2310" s="1" t="s">
        <v>13</v>
      </c>
      <c r="E2310" s="1">
        <v>31</v>
      </c>
      <c r="F2310" s="1" t="s">
        <v>13662</v>
      </c>
      <c r="G2310" s="1" t="s">
        <v>10112</v>
      </c>
    </row>
    <row r="2311" spans="1:7" ht="21" x14ac:dyDescent="0.25">
      <c r="A2311" s="2" t="str">
        <f>HYPERLINK("https://rth.dk/resources/bsgatlas/details.php?id=BSGatlas-5'UTR-2310","BSGatlas-5'UTR-2310")</f>
        <v>BSGatlas-5'UTR-2310</v>
      </c>
      <c r="B2311" s="3">
        <v>3455323</v>
      </c>
      <c r="C2311" s="3">
        <v>3455354</v>
      </c>
      <c r="D2311" s="1" t="s">
        <v>13</v>
      </c>
      <c r="E2311" s="1">
        <v>32</v>
      </c>
      <c r="F2311" s="1" t="s">
        <v>13663</v>
      </c>
      <c r="G2311" s="1" t="s">
        <v>10114</v>
      </c>
    </row>
    <row r="2312" spans="1:7" ht="21" x14ac:dyDescent="0.25">
      <c r="A2312" s="2" t="str">
        <f>HYPERLINK("https://rth.dk/resources/bsgatlas/details.php?id=BSGatlas-5'UTR-2311","BSGatlas-5'UTR-2311")</f>
        <v>BSGatlas-5'UTR-2311</v>
      </c>
      <c r="B2312" s="3">
        <v>3455433</v>
      </c>
      <c r="C2312" s="3">
        <v>3455472</v>
      </c>
      <c r="D2312" s="1" t="s">
        <v>9</v>
      </c>
      <c r="E2312" s="1">
        <v>40</v>
      </c>
      <c r="F2312" s="1" t="s">
        <v>13664</v>
      </c>
      <c r="G2312" s="1" t="s">
        <v>10116</v>
      </c>
    </row>
    <row r="2313" spans="1:7" ht="21" x14ac:dyDescent="0.25">
      <c r="A2313" s="2" t="str">
        <f>HYPERLINK("https://rth.dk/resources/bsgatlas/details.php?id=BSGatlas-5'UTR-2312","BSGatlas-5'UTR-2312")</f>
        <v>BSGatlas-5'UTR-2312</v>
      </c>
      <c r="B2313" s="3">
        <v>3456621</v>
      </c>
      <c r="C2313" s="3">
        <v>3456667</v>
      </c>
      <c r="D2313" s="1" t="s">
        <v>9</v>
      </c>
      <c r="E2313" s="1">
        <v>47</v>
      </c>
      <c r="F2313" s="1" t="s">
        <v>13665</v>
      </c>
      <c r="G2313" s="1" t="s">
        <v>10119</v>
      </c>
    </row>
    <row r="2314" spans="1:7" ht="21" x14ac:dyDescent="0.25">
      <c r="A2314" s="2" t="str">
        <f>HYPERLINK("https://rth.dk/resources/bsgatlas/details.php?id=BSGatlas-5'UTR-2313","BSGatlas-5'UTR-2313")</f>
        <v>BSGatlas-5'UTR-2313</v>
      </c>
      <c r="B2314" s="3">
        <v>3457589</v>
      </c>
      <c r="C2314" s="3">
        <v>3457615</v>
      </c>
      <c r="D2314" s="1" t="s">
        <v>9</v>
      </c>
      <c r="E2314" s="1">
        <v>27</v>
      </c>
      <c r="F2314" s="1" t="s">
        <v>13666</v>
      </c>
      <c r="G2314" s="1" t="s">
        <v>10120</v>
      </c>
    </row>
    <row r="2315" spans="1:7" ht="21" x14ac:dyDescent="0.25">
      <c r="A2315" s="2" t="str">
        <f>HYPERLINK("https://rth.dk/resources/bsgatlas/details.php?id=BSGatlas-5'UTR-2314","BSGatlas-5'UTR-2314")</f>
        <v>BSGatlas-5'UTR-2314</v>
      </c>
      <c r="B2315" s="3">
        <v>3458028</v>
      </c>
      <c r="C2315" s="3">
        <v>3458066</v>
      </c>
      <c r="D2315" s="1" t="s">
        <v>9</v>
      </c>
      <c r="E2315" s="1">
        <v>39</v>
      </c>
      <c r="F2315" s="1" t="s">
        <v>13667</v>
      </c>
      <c r="G2315" s="1" t="s">
        <v>10121</v>
      </c>
    </row>
    <row r="2316" spans="1:7" ht="21" x14ac:dyDescent="0.25">
      <c r="A2316" s="2" t="str">
        <f>HYPERLINK("https://rth.dk/resources/bsgatlas/details.php?id=BSGatlas-5'UTR-2315","BSGatlas-5'UTR-2315")</f>
        <v>BSGatlas-5'UTR-2315</v>
      </c>
      <c r="B2316" s="3">
        <v>3463250</v>
      </c>
      <c r="C2316" s="3">
        <v>3463319</v>
      </c>
      <c r="D2316" s="1" t="s">
        <v>13</v>
      </c>
      <c r="E2316" s="1">
        <v>70</v>
      </c>
      <c r="F2316" s="1" t="s">
        <v>13668</v>
      </c>
      <c r="G2316" s="1" t="s">
        <v>10124</v>
      </c>
    </row>
    <row r="2317" spans="1:7" ht="21" x14ac:dyDescent="0.25">
      <c r="A2317" s="2" t="str">
        <f>HYPERLINK("https://rth.dk/resources/bsgatlas/details.php?id=BSGatlas-5'UTR-2316","BSGatlas-5'UTR-2316")</f>
        <v>BSGatlas-5'UTR-2316</v>
      </c>
      <c r="B2317" s="3">
        <v>3463374</v>
      </c>
      <c r="C2317" s="3">
        <v>3463534</v>
      </c>
      <c r="D2317" s="1" t="s">
        <v>9</v>
      </c>
      <c r="E2317" s="1">
        <v>161</v>
      </c>
      <c r="F2317" s="1" t="s">
        <v>13669</v>
      </c>
      <c r="G2317" s="1" t="s">
        <v>10128</v>
      </c>
    </row>
    <row r="2318" spans="1:7" ht="21" x14ac:dyDescent="0.25">
      <c r="A2318" s="2" t="str">
        <f>HYPERLINK("https://rth.dk/resources/bsgatlas/details.php?id=BSGatlas-5'UTR-2317","BSGatlas-5'UTR-2317")</f>
        <v>BSGatlas-5'UTR-2317</v>
      </c>
      <c r="B2318" s="3">
        <v>3463492</v>
      </c>
      <c r="C2318" s="3">
        <v>3463534</v>
      </c>
      <c r="D2318" s="1" t="s">
        <v>9</v>
      </c>
      <c r="E2318" s="1">
        <v>43</v>
      </c>
      <c r="F2318" s="1" t="s">
        <v>13669</v>
      </c>
      <c r="G2318" s="1" t="s">
        <v>10130</v>
      </c>
    </row>
    <row r="2319" spans="1:7" ht="21" x14ac:dyDescent="0.25">
      <c r="A2319" s="2" t="str">
        <f>HYPERLINK("https://rth.dk/resources/bsgatlas/details.php?id=BSGatlas-5'UTR-2318","BSGatlas-5'UTR-2318")</f>
        <v>BSGatlas-5'UTR-2318</v>
      </c>
      <c r="B2319" s="3">
        <v>3464210</v>
      </c>
      <c r="C2319" s="3">
        <v>3464289</v>
      </c>
      <c r="D2319" s="1" t="s">
        <v>9</v>
      </c>
      <c r="E2319" s="1">
        <v>80</v>
      </c>
      <c r="F2319" s="1" t="s">
        <v>13670</v>
      </c>
      <c r="G2319" s="1" t="s">
        <v>10135</v>
      </c>
    </row>
    <row r="2320" spans="1:7" ht="21" x14ac:dyDescent="0.25">
      <c r="A2320" s="2" t="str">
        <f>HYPERLINK("https://rth.dk/resources/bsgatlas/details.php?id=BSGatlas-5'UTR-2319","BSGatlas-5'UTR-2319")</f>
        <v>BSGatlas-5'UTR-2319</v>
      </c>
      <c r="B2320" s="3">
        <v>3464253</v>
      </c>
      <c r="C2320" s="3">
        <v>3464324</v>
      </c>
      <c r="D2320" s="1" t="s">
        <v>13</v>
      </c>
      <c r="E2320" s="1">
        <v>72</v>
      </c>
      <c r="F2320" s="1" t="s">
        <v>13671</v>
      </c>
      <c r="G2320" s="1" t="s">
        <v>10132</v>
      </c>
    </row>
    <row r="2321" spans="1:7" ht="21" x14ac:dyDescent="0.25">
      <c r="A2321" s="2" t="str">
        <f>HYPERLINK("https://rth.dk/resources/bsgatlas/details.php?id=BSGatlas-5'UTR-2320","BSGatlas-5'UTR-2320")</f>
        <v>BSGatlas-5'UTR-2320</v>
      </c>
      <c r="B2321" s="3">
        <v>3464253</v>
      </c>
      <c r="C2321" s="3">
        <v>3465663</v>
      </c>
      <c r="D2321" s="1" t="s">
        <v>13</v>
      </c>
      <c r="E2321" s="1">
        <v>1411</v>
      </c>
      <c r="F2321" s="1" t="s">
        <v>13671</v>
      </c>
      <c r="G2321" s="1" t="s">
        <v>10133</v>
      </c>
    </row>
    <row r="2322" spans="1:7" ht="21" x14ac:dyDescent="0.25">
      <c r="A2322" s="2" t="str">
        <f>HYPERLINK("https://rth.dk/resources/bsgatlas/details.php?id=BSGatlas-5'UTR-2321","BSGatlas-5'UTR-2321")</f>
        <v>BSGatlas-5'UTR-2321</v>
      </c>
      <c r="B2322" s="3">
        <v>3465630</v>
      </c>
      <c r="C2322" s="3">
        <v>3465776</v>
      </c>
      <c r="D2322" s="1" t="s">
        <v>9</v>
      </c>
      <c r="E2322" s="1">
        <v>147</v>
      </c>
      <c r="F2322" s="1" t="s">
        <v>13672</v>
      </c>
      <c r="G2322" s="1" t="s">
        <v>10138</v>
      </c>
    </row>
    <row r="2323" spans="1:7" ht="21" x14ac:dyDescent="0.25">
      <c r="A2323" s="2" t="str">
        <f>HYPERLINK("https://rth.dk/resources/bsgatlas/details.php?id=BSGatlas-5'UTR-2322","BSGatlas-5'UTR-2322")</f>
        <v>BSGatlas-5'UTR-2322</v>
      </c>
      <c r="B2323" s="3">
        <v>3467326</v>
      </c>
      <c r="C2323" s="3">
        <v>3467384</v>
      </c>
      <c r="D2323" s="1" t="s">
        <v>13</v>
      </c>
      <c r="E2323" s="1">
        <v>59</v>
      </c>
      <c r="F2323" s="1" t="s">
        <v>13673</v>
      </c>
      <c r="G2323" s="1" t="s">
        <v>10140</v>
      </c>
    </row>
    <row r="2324" spans="1:7" ht="21" x14ac:dyDescent="0.25">
      <c r="A2324" s="2" t="str">
        <f>HYPERLINK("https://rth.dk/resources/bsgatlas/details.php?id=BSGatlas-5'UTR-2323","BSGatlas-5'UTR-2323")</f>
        <v>BSGatlas-5'UTR-2323</v>
      </c>
      <c r="B2324" s="3">
        <v>3471002</v>
      </c>
      <c r="C2324" s="3">
        <v>3471061</v>
      </c>
      <c r="D2324" s="1" t="s">
        <v>13</v>
      </c>
      <c r="E2324" s="1">
        <v>60</v>
      </c>
      <c r="F2324" s="1" t="s">
        <v>13674</v>
      </c>
      <c r="G2324" s="1" t="s">
        <v>10145</v>
      </c>
    </row>
    <row r="2325" spans="1:7" ht="21" x14ac:dyDescent="0.25">
      <c r="A2325" s="2" t="str">
        <f>HYPERLINK("https://rth.dk/resources/bsgatlas/details.php?id=BSGatlas-5'UTR-2324","BSGatlas-5'UTR-2324")</f>
        <v>BSGatlas-5'UTR-2324</v>
      </c>
      <c r="B2325" s="3">
        <v>3471230</v>
      </c>
      <c r="C2325" s="3">
        <v>3471266</v>
      </c>
      <c r="D2325" s="1" t="s">
        <v>9</v>
      </c>
      <c r="E2325" s="1">
        <v>37</v>
      </c>
      <c r="F2325" s="1" t="s">
        <v>13675</v>
      </c>
      <c r="G2325" s="1" t="s">
        <v>10147</v>
      </c>
    </row>
    <row r="2326" spans="1:7" ht="21" x14ac:dyDescent="0.25">
      <c r="A2326" s="2" t="str">
        <f>HYPERLINK("https://rth.dk/resources/bsgatlas/details.php?id=BSGatlas-5'UTR-2325","BSGatlas-5'UTR-2325")</f>
        <v>BSGatlas-5'UTR-2325</v>
      </c>
      <c r="B2326" s="3">
        <v>3472476</v>
      </c>
      <c r="C2326" s="3">
        <v>3472523</v>
      </c>
      <c r="D2326" s="1" t="s">
        <v>13</v>
      </c>
      <c r="E2326" s="1">
        <v>48</v>
      </c>
      <c r="F2326" s="1" t="s">
        <v>13676</v>
      </c>
      <c r="G2326" s="1" t="s">
        <v>10148</v>
      </c>
    </row>
    <row r="2327" spans="1:7" ht="21" x14ac:dyDescent="0.25">
      <c r="A2327" s="2" t="str">
        <f>HYPERLINK("https://rth.dk/resources/bsgatlas/details.php?id=BSGatlas-5'UTR-2326","BSGatlas-5'UTR-2326")</f>
        <v>BSGatlas-5'UTR-2326</v>
      </c>
      <c r="B2327" s="3">
        <v>3472590</v>
      </c>
      <c r="C2327" s="3">
        <v>3472626</v>
      </c>
      <c r="D2327" s="1" t="s">
        <v>9</v>
      </c>
      <c r="E2327" s="1">
        <v>37</v>
      </c>
      <c r="F2327" s="1" t="s">
        <v>13677</v>
      </c>
      <c r="G2327" s="1" t="s">
        <v>10150</v>
      </c>
    </row>
    <row r="2328" spans="1:7" ht="21" x14ac:dyDescent="0.25">
      <c r="A2328" s="2" t="str">
        <f>HYPERLINK("https://rth.dk/resources/bsgatlas/details.php?id=BSGatlas-5'UTR-2327","BSGatlas-5'UTR-2327")</f>
        <v>BSGatlas-5'UTR-2327</v>
      </c>
      <c r="B2328" s="3">
        <v>3473320</v>
      </c>
      <c r="C2328" s="3">
        <v>3473372</v>
      </c>
      <c r="D2328" s="1" t="s">
        <v>9</v>
      </c>
      <c r="E2328" s="1">
        <v>53</v>
      </c>
      <c r="F2328" s="1" t="s">
        <v>13678</v>
      </c>
      <c r="G2328" s="1" t="s">
        <v>10152</v>
      </c>
    </row>
    <row r="2329" spans="1:7" ht="21" x14ac:dyDescent="0.25">
      <c r="A2329" s="2" t="str">
        <f>HYPERLINK("https://rth.dk/resources/bsgatlas/details.php?id=BSGatlas-5'UTR-2328","BSGatlas-5'UTR-2328")</f>
        <v>BSGatlas-5'UTR-2328</v>
      </c>
      <c r="B2329" s="3">
        <v>3475923</v>
      </c>
      <c r="C2329" s="3">
        <v>3475978</v>
      </c>
      <c r="D2329" s="1" t="s">
        <v>13</v>
      </c>
      <c r="E2329" s="1">
        <v>56</v>
      </c>
      <c r="F2329" s="1" t="s">
        <v>13679</v>
      </c>
      <c r="G2329" s="1" t="s">
        <v>10154</v>
      </c>
    </row>
    <row r="2330" spans="1:7" ht="21" x14ac:dyDescent="0.25">
      <c r="A2330" s="2" t="str">
        <f>HYPERLINK("https://rth.dk/resources/bsgatlas/details.php?id=BSGatlas-5'UTR-2329","BSGatlas-5'UTR-2329")</f>
        <v>BSGatlas-5'UTR-2329</v>
      </c>
      <c r="B2330" s="3">
        <v>3475974</v>
      </c>
      <c r="C2330" s="3">
        <v>3476043</v>
      </c>
      <c r="D2330" s="1" t="s">
        <v>9</v>
      </c>
      <c r="E2330" s="1">
        <v>70</v>
      </c>
      <c r="F2330" s="1" t="s">
        <v>13680</v>
      </c>
      <c r="G2330" s="1" t="s">
        <v>10157</v>
      </c>
    </row>
    <row r="2331" spans="1:7" ht="21" x14ac:dyDescent="0.25">
      <c r="A2331" s="2" t="str">
        <f>HYPERLINK("https://rth.dk/resources/bsgatlas/details.php?id=BSGatlas-5'UTR-2330","BSGatlas-5'UTR-2330")</f>
        <v>BSGatlas-5'UTR-2330</v>
      </c>
      <c r="B2331" s="3">
        <v>3481381</v>
      </c>
      <c r="C2331" s="3">
        <v>3481636</v>
      </c>
      <c r="D2331" s="1" t="s">
        <v>13</v>
      </c>
      <c r="E2331" s="1">
        <v>256</v>
      </c>
      <c r="F2331" s="1" t="s">
        <v>13681</v>
      </c>
      <c r="G2331" s="1" t="s">
        <v>10160</v>
      </c>
    </row>
    <row r="2332" spans="1:7" ht="21" x14ac:dyDescent="0.25">
      <c r="A2332" s="2" t="str">
        <f>HYPERLINK("https://rth.dk/resources/bsgatlas/details.php?id=BSGatlas-5'UTR-2331","BSGatlas-5'UTR-2331")</f>
        <v>BSGatlas-5'UTR-2331</v>
      </c>
      <c r="B2332" s="3">
        <v>3482705</v>
      </c>
      <c r="C2332" s="3">
        <v>3482768</v>
      </c>
      <c r="D2332" s="1" t="s">
        <v>13</v>
      </c>
      <c r="E2332" s="1">
        <v>64</v>
      </c>
      <c r="F2332" s="1" t="s">
        <v>13682</v>
      </c>
      <c r="G2332" s="1" t="s">
        <v>10163</v>
      </c>
    </row>
    <row r="2333" spans="1:7" ht="21" x14ac:dyDescent="0.25">
      <c r="A2333" s="2" t="str">
        <f>HYPERLINK("https://rth.dk/resources/bsgatlas/details.php?id=BSGatlas-5'UTR-2332","BSGatlas-5'UTR-2332")</f>
        <v>BSGatlas-5'UTR-2332</v>
      </c>
      <c r="B2333" s="3">
        <v>3483774</v>
      </c>
      <c r="C2333" s="3">
        <v>3483870</v>
      </c>
      <c r="D2333" s="1" t="s">
        <v>13</v>
      </c>
      <c r="E2333" s="1">
        <v>97</v>
      </c>
      <c r="F2333" s="1" t="s">
        <v>13683</v>
      </c>
      <c r="G2333" s="1" t="s">
        <v>10165</v>
      </c>
    </row>
    <row r="2334" spans="1:7" ht="21" x14ac:dyDescent="0.25">
      <c r="A2334" s="2" t="str">
        <f>HYPERLINK("https://rth.dk/resources/bsgatlas/details.php?id=BSGatlas-5'UTR-2333","BSGatlas-5'UTR-2333")</f>
        <v>BSGatlas-5'UTR-2333</v>
      </c>
      <c r="B2334" s="3">
        <v>3483774</v>
      </c>
      <c r="C2334" s="3">
        <v>3483996</v>
      </c>
      <c r="D2334" s="1" t="s">
        <v>13</v>
      </c>
      <c r="E2334" s="1">
        <v>223</v>
      </c>
      <c r="F2334" s="1" t="s">
        <v>13683</v>
      </c>
      <c r="G2334" s="1" t="s">
        <v>10166</v>
      </c>
    </row>
    <row r="2335" spans="1:7" ht="21" x14ac:dyDescent="0.25">
      <c r="A2335" s="2" t="str">
        <f>HYPERLINK("https://rth.dk/resources/bsgatlas/details.php?id=BSGatlas-5'UTR-2334","BSGatlas-5'UTR-2334")</f>
        <v>BSGatlas-5'UTR-2334</v>
      </c>
      <c r="B2335" s="3">
        <v>3485466</v>
      </c>
      <c r="C2335" s="3">
        <v>3485569</v>
      </c>
      <c r="D2335" s="1" t="s">
        <v>13</v>
      </c>
      <c r="E2335" s="1">
        <v>104</v>
      </c>
      <c r="F2335" s="1" t="s">
        <v>13684</v>
      </c>
      <c r="G2335" s="1" t="s">
        <v>10169</v>
      </c>
    </row>
    <row r="2336" spans="1:7" ht="21" x14ac:dyDescent="0.25">
      <c r="A2336" s="2" t="str">
        <f>HYPERLINK("https://rth.dk/resources/bsgatlas/details.php?id=BSGatlas-5'UTR-2335","BSGatlas-5'UTR-2335")</f>
        <v>BSGatlas-5'UTR-2335</v>
      </c>
      <c r="B2336" s="3">
        <v>3485643</v>
      </c>
      <c r="C2336" s="3">
        <v>3485670</v>
      </c>
      <c r="D2336" s="1" t="s">
        <v>9</v>
      </c>
      <c r="E2336" s="1">
        <v>28</v>
      </c>
      <c r="F2336" s="1" t="s">
        <v>13685</v>
      </c>
      <c r="G2336" s="1" t="s">
        <v>10172</v>
      </c>
    </row>
    <row r="2337" spans="1:7" ht="21" x14ac:dyDescent="0.25">
      <c r="A2337" s="2" t="str">
        <f>HYPERLINK("https://rth.dk/resources/bsgatlas/details.php?id=BSGatlas-5'UTR-2336","BSGatlas-5'UTR-2336")</f>
        <v>BSGatlas-5'UTR-2336</v>
      </c>
      <c r="B2337" s="3">
        <v>3487817</v>
      </c>
      <c r="C2337" s="3">
        <v>3487895</v>
      </c>
      <c r="D2337" s="1" t="s">
        <v>13</v>
      </c>
      <c r="E2337" s="1">
        <v>79</v>
      </c>
      <c r="F2337" s="1" t="s">
        <v>13686</v>
      </c>
      <c r="G2337" s="1" t="s">
        <v>10174</v>
      </c>
    </row>
    <row r="2338" spans="1:7" ht="21" x14ac:dyDescent="0.25">
      <c r="A2338" s="2" t="str">
        <f>HYPERLINK("https://rth.dk/resources/bsgatlas/details.php?id=BSGatlas-5'UTR-2337","BSGatlas-5'UTR-2337")</f>
        <v>BSGatlas-5'UTR-2337</v>
      </c>
      <c r="B2338" s="3">
        <v>3488542</v>
      </c>
      <c r="C2338" s="3">
        <v>3488952</v>
      </c>
      <c r="D2338" s="1" t="s">
        <v>9</v>
      </c>
      <c r="E2338" s="1">
        <v>411</v>
      </c>
      <c r="F2338" s="1" t="s">
        <v>13687</v>
      </c>
      <c r="G2338" s="1" t="s">
        <v>10177</v>
      </c>
    </row>
    <row r="2339" spans="1:7" ht="21" x14ac:dyDescent="0.25">
      <c r="A2339" s="2" t="str">
        <f>HYPERLINK("https://rth.dk/resources/bsgatlas/details.php?id=BSGatlas-5'UTR-2338","BSGatlas-5'UTR-2338")</f>
        <v>BSGatlas-5'UTR-2338</v>
      </c>
      <c r="B2339" s="3">
        <v>3488852</v>
      </c>
      <c r="C2339" s="3">
        <v>3488904</v>
      </c>
      <c r="D2339" s="1" t="s">
        <v>13</v>
      </c>
      <c r="E2339" s="1">
        <v>53</v>
      </c>
      <c r="F2339" s="1" t="s">
        <v>13688</v>
      </c>
      <c r="G2339" s="1" t="s">
        <v>10176</v>
      </c>
    </row>
    <row r="2340" spans="1:7" ht="21" x14ac:dyDescent="0.25">
      <c r="A2340" s="2" t="str">
        <f>HYPERLINK("https://rth.dk/resources/bsgatlas/details.php?id=BSGatlas-5'UTR-2339","BSGatlas-5'UTR-2339")</f>
        <v>BSGatlas-5'UTR-2339</v>
      </c>
      <c r="B2340" s="3">
        <v>3488909</v>
      </c>
      <c r="C2340" s="3">
        <v>3488952</v>
      </c>
      <c r="D2340" s="1" t="s">
        <v>9</v>
      </c>
      <c r="E2340" s="1">
        <v>44</v>
      </c>
      <c r="F2340" s="1" t="s">
        <v>13687</v>
      </c>
      <c r="G2340" s="1" t="s">
        <v>10179</v>
      </c>
    </row>
    <row r="2341" spans="1:7" ht="21" x14ac:dyDescent="0.25">
      <c r="A2341" s="2" t="str">
        <f>HYPERLINK("https://rth.dk/resources/bsgatlas/details.php?id=BSGatlas-5'UTR-2340","BSGatlas-5'UTR-2340")</f>
        <v>BSGatlas-5'UTR-2340</v>
      </c>
      <c r="B2341" s="3">
        <v>3492689</v>
      </c>
      <c r="C2341" s="3">
        <v>3492717</v>
      </c>
      <c r="D2341" s="1" t="s">
        <v>13</v>
      </c>
      <c r="E2341" s="1">
        <v>29</v>
      </c>
      <c r="F2341" s="1" t="s">
        <v>13689</v>
      </c>
      <c r="G2341" s="1" t="s">
        <v>10181</v>
      </c>
    </row>
    <row r="2342" spans="1:7" ht="21" x14ac:dyDescent="0.25">
      <c r="A2342" s="2" t="str">
        <f>HYPERLINK("https://rth.dk/resources/bsgatlas/details.php?id=BSGatlas-5'UTR-2341","BSGatlas-5'UTR-2341")</f>
        <v>BSGatlas-5'UTR-2341</v>
      </c>
      <c r="B2342" s="3">
        <v>3495701</v>
      </c>
      <c r="C2342" s="3">
        <v>3495768</v>
      </c>
      <c r="D2342" s="1" t="s">
        <v>13</v>
      </c>
      <c r="E2342" s="1">
        <v>68</v>
      </c>
      <c r="F2342" s="1" t="s">
        <v>13690</v>
      </c>
      <c r="G2342" s="1" t="s">
        <v>10183</v>
      </c>
    </row>
    <row r="2343" spans="1:7" ht="21" x14ac:dyDescent="0.25">
      <c r="A2343" s="2" t="str">
        <f>HYPERLINK("https://rth.dk/resources/bsgatlas/details.php?id=BSGatlas-5'UTR-2342","BSGatlas-5'UTR-2342")</f>
        <v>BSGatlas-5'UTR-2342</v>
      </c>
      <c r="B2343" s="3">
        <v>3497610</v>
      </c>
      <c r="C2343" s="3">
        <v>3497654</v>
      </c>
      <c r="D2343" s="1" t="s">
        <v>13</v>
      </c>
      <c r="E2343" s="1">
        <v>45</v>
      </c>
      <c r="F2343" s="1" t="s">
        <v>13691</v>
      </c>
      <c r="G2343" s="1" t="s">
        <v>10185</v>
      </c>
    </row>
    <row r="2344" spans="1:7" ht="21" x14ac:dyDescent="0.25">
      <c r="A2344" s="2" t="str">
        <f>HYPERLINK("https://rth.dk/resources/bsgatlas/details.php?id=BSGatlas-5'UTR-2343","BSGatlas-5'UTR-2343")</f>
        <v>BSGatlas-5'UTR-2343</v>
      </c>
      <c r="B2344" s="3">
        <v>3499257</v>
      </c>
      <c r="C2344" s="3">
        <v>3499288</v>
      </c>
      <c r="D2344" s="1" t="s">
        <v>13</v>
      </c>
      <c r="E2344" s="1">
        <v>32</v>
      </c>
      <c r="F2344" s="1" t="s">
        <v>13692</v>
      </c>
      <c r="G2344" s="1" t="s">
        <v>10187</v>
      </c>
    </row>
    <row r="2345" spans="1:7" ht="21" x14ac:dyDescent="0.25">
      <c r="A2345" s="2" t="str">
        <f>HYPERLINK("https://rth.dk/resources/bsgatlas/details.php?id=BSGatlas-5'UTR-2344","BSGatlas-5'UTR-2344")</f>
        <v>BSGatlas-5'UTR-2344</v>
      </c>
      <c r="B2345" s="3">
        <v>3499491</v>
      </c>
      <c r="C2345" s="3">
        <v>3499541</v>
      </c>
      <c r="D2345" s="1" t="s">
        <v>9</v>
      </c>
      <c r="E2345" s="1">
        <v>51</v>
      </c>
      <c r="F2345" s="1" t="s">
        <v>13693</v>
      </c>
      <c r="G2345" s="1" t="s">
        <v>10189</v>
      </c>
    </row>
    <row r="2346" spans="1:7" ht="21" x14ac:dyDescent="0.25">
      <c r="A2346" s="2" t="str">
        <f>HYPERLINK("https://rth.dk/resources/bsgatlas/details.php?id=BSGatlas-5'UTR-2345","BSGatlas-5'UTR-2345")</f>
        <v>BSGatlas-5'UTR-2345</v>
      </c>
      <c r="B2346" s="3">
        <v>3508518</v>
      </c>
      <c r="C2346" s="3">
        <v>3508556</v>
      </c>
      <c r="D2346" s="1" t="s">
        <v>13</v>
      </c>
      <c r="E2346" s="1">
        <v>39</v>
      </c>
      <c r="F2346" s="1" t="s">
        <v>13694</v>
      </c>
      <c r="G2346" s="1" t="s">
        <v>10192</v>
      </c>
    </row>
    <row r="2347" spans="1:7" ht="21" x14ac:dyDescent="0.25">
      <c r="A2347" s="2" t="str">
        <f>HYPERLINK("https://rth.dk/resources/bsgatlas/details.php?id=BSGatlas-5'UTR-2346","BSGatlas-5'UTR-2346")</f>
        <v>BSGatlas-5'UTR-2346</v>
      </c>
      <c r="B2347" s="3">
        <v>3510490</v>
      </c>
      <c r="C2347" s="3">
        <v>3510597</v>
      </c>
      <c r="D2347" s="1" t="s">
        <v>13</v>
      </c>
      <c r="E2347" s="1">
        <v>108</v>
      </c>
      <c r="F2347" s="1" t="s">
        <v>13695</v>
      </c>
      <c r="G2347" s="1" t="s">
        <v>10195</v>
      </c>
    </row>
    <row r="2348" spans="1:7" ht="21" x14ac:dyDescent="0.25">
      <c r="A2348" s="2" t="str">
        <f>HYPERLINK("https://rth.dk/resources/bsgatlas/details.php?id=BSGatlas-5'UTR-2347","BSGatlas-5'UTR-2347")</f>
        <v>BSGatlas-5'UTR-2347</v>
      </c>
      <c r="B2348" s="3">
        <v>3510490</v>
      </c>
      <c r="C2348" s="3">
        <v>3510684</v>
      </c>
      <c r="D2348" s="1" t="s">
        <v>13</v>
      </c>
      <c r="E2348" s="1">
        <v>195</v>
      </c>
      <c r="F2348" s="1" t="s">
        <v>13695</v>
      </c>
      <c r="G2348" s="1" t="s">
        <v>10197</v>
      </c>
    </row>
    <row r="2349" spans="1:7" ht="21" x14ac:dyDescent="0.25">
      <c r="A2349" s="2" t="str">
        <f>HYPERLINK("https://rth.dk/resources/bsgatlas/details.php?id=BSGatlas-5'UTR-2348","BSGatlas-5'UTR-2348")</f>
        <v>BSGatlas-5'UTR-2348</v>
      </c>
      <c r="B2349" s="3">
        <v>3510671</v>
      </c>
      <c r="C2349" s="3">
        <v>3510780</v>
      </c>
      <c r="D2349" s="1" t="s">
        <v>9</v>
      </c>
      <c r="E2349" s="1">
        <v>110</v>
      </c>
      <c r="F2349" s="1" t="s">
        <v>13696</v>
      </c>
      <c r="G2349" s="1" t="s">
        <v>10198</v>
      </c>
    </row>
    <row r="2350" spans="1:7" ht="21" x14ac:dyDescent="0.25">
      <c r="A2350" s="2" t="str">
        <f>HYPERLINK("https://rth.dk/resources/bsgatlas/details.php?id=BSGatlas-5'UTR-2349","BSGatlas-5'UTR-2349")</f>
        <v>BSGatlas-5'UTR-2349</v>
      </c>
      <c r="B2350" s="3">
        <v>3513628</v>
      </c>
      <c r="C2350" s="3">
        <v>3513887</v>
      </c>
      <c r="D2350" s="1" t="s">
        <v>9</v>
      </c>
      <c r="E2350" s="1">
        <v>260</v>
      </c>
      <c r="F2350" s="1" t="s">
        <v>13697</v>
      </c>
      <c r="G2350" s="1" t="s">
        <v>10203</v>
      </c>
    </row>
    <row r="2351" spans="1:7" ht="21" x14ac:dyDescent="0.25">
      <c r="A2351" s="2" t="str">
        <f>HYPERLINK("https://rth.dk/resources/bsgatlas/details.php?id=BSGatlas-5'UTR-2350","BSGatlas-5'UTR-2350")</f>
        <v>BSGatlas-5'UTR-2350</v>
      </c>
      <c r="B2351" s="3">
        <v>3513808</v>
      </c>
      <c r="C2351" s="3">
        <v>3513837</v>
      </c>
      <c r="D2351" s="1" t="s">
        <v>13</v>
      </c>
      <c r="E2351" s="1">
        <v>30</v>
      </c>
      <c r="F2351" s="1" t="s">
        <v>13698</v>
      </c>
      <c r="G2351" s="1" t="s">
        <v>10201</v>
      </c>
    </row>
    <row r="2352" spans="1:7" ht="21" x14ac:dyDescent="0.25">
      <c r="A2352" s="2" t="str">
        <f>HYPERLINK("https://rth.dk/resources/bsgatlas/details.php?id=BSGatlas-5'UTR-2351","BSGatlas-5'UTR-2351")</f>
        <v>BSGatlas-5'UTR-2351</v>
      </c>
      <c r="B2352" s="3">
        <v>3528203</v>
      </c>
      <c r="C2352" s="3">
        <v>3528263</v>
      </c>
      <c r="D2352" s="1" t="s">
        <v>13</v>
      </c>
      <c r="E2352" s="1">
        <v>61</v>
      </c>
      <c r="F2352" s="1" t="s">
        <v>13699</v>
      </c>
      <c r="G2352" s="1" t="s">
        <v>13700</v>
      </c>
    </row>
    <row r="2353" spans="1:7" ht="21" x14ac:dyDescent="0.25">
      <c r="A2353" s="2" t="str">
        <f>HYPERLINK("https://rth.dk/resources/bsgatlas/details.php?id=BSGatlas-5'UTR-2352","BSGatlas-5'UTR-2352")</f>
        <v>BSGatlas-5'UTR-2352</v>
      </c>
      <c r="B2353" s="3">
        <v>3529837</v>
      </c>
      <c r="C2353" s="3">
        <v>3530101</v>
      </c>
      <c r="D2353" s="1" t="s">
        <v>9</v>
      </c>
      <c r="E2353" s="1">
        <v>265</v>
      </c>
      <c r="F2353" s="1" t="s">
        <v>13701</v>
      </c>
      <c r="G2353" s="1" t="s">
        <v>10208</v>
      </c>
    </row>
    <row r="2354" spans="1:7" ht="21" x14ac:dyDescent="0.25">
      <c r="A2354" s="2" t="str">
        <f>HYPERLINK("https://rth.dk/resources/bsgatlas/details.php?id=BSGatlas-5'UTR-2353","BSGatlas-5'UTR-2353")</f>
        <v>BSGatlas-5'UTR-2353</v>
      </c>
      <c r="B2354" s="3">
        <v>3529855</v>
      </c>
      <c r="C2354" s="3">
        <v>3529911</v>
      </c>
      <c r="D2354" s="1" t="s">
        <v>13</v>
      </c>
      <c r="E2354" s="1">
        <v>57</v>
      </c>
      <c r="F2354" s="1" t="s">
        <v>13702</v>
      </c>
      <c r="G2354" s="1" t="s">
        <v>10206</v>
      </c>
    </row>
    <row r="2355" spans="1:7" ht="21" x14ac:dyDescent="0.25">
      <c r="A2355" s="2" t="str">
        <f>HYPERLINK("https://rth.dk/resources/bsgatlas/details.php?id=BSGatlas-5'UTR-2354","BSGatlas-5'UTR-2354")</f>
        <v>BSGatlas-5'UTR-2354</v>
      </c>
      <c r="B2355" s="3">
        <v>3530057</v>
      </c>
      <c r="C2355" s="3">
        <v>3530101</v>
      </c>
      <c r="D2355" s="1" t="s">
        <v>9</v>
      </c>
      <c r="E2355" s="1">
        <v>45</v>
      </c>
      <c r="F2355" s="1" t="s">
        <v>13701</v>
      </c>
      <c r="G2355" s="1" t="s">
        <v>10210</v>
      </c>
    </row>
    <row r="2356" spans="1:7" ht="21" x14ac:dyDescent="0.25">
      <c r="A2356" s="2" t="str">
        <f>HYPERLINK("https://rth.dk/resources/bsgatlas/details.php?id=BSGatlas-5'UTR-2355","BSGatlas-5'UTR-2355")</f>
        <v>BSGatlas-5'UTR-2355</v>
      </c>
      <c r="B2356" s="3">
        <v>3530590</v>
      </c>
      <c r="C2356" s="3">
        <v>3530635</v>
      </c>
      <c r="D2356" s="1" t="s">
        <v>9</v>
      </c>
      <c r="E2356" s="1">
        <v>46</v>
      </c>
      <c r="F2356" s="1" t="s">
        <v>13703</v>
      </c>
      <c r="G2356" s="1" t="s">
        <v>10211</v>
      </c>
    </row>
    <row r="2357" spans="1:7" ht="21" x14ac:dyDescent="0.25">
      <c r="A2357" s="2" t="str">
        <f>HYPERLINK("https://rth.dk/resources/bsgatlas/details.php?id=BSGatlas-5'UTR-2356","BSGatlas-5'UTR-2356")</f>
        <v>BSGatlas-5'UTR-2356</v>
      </c>
      <c r="B2357" s="3">
        <v>3533288</v>
      </c>
      <c r="C2357" s="3">
        <v>3533345</v>
      </c>
      <c r="D2357" s="1" t="s">
        <v>13</v>
      </c>
      <c r="E2357" s="1">
        <v>58</v>
      </c>
      <c r="F2357" s="1" t="s">
        <v>13704</v>
      </c>
      <c r="G2357" s="1" t="s">
        <v>10214</v>
      </c>
    </row>
    <row r="2358" spans="1:7" ht="21" x14ac:dyDescent="0.25">
      <c r="A2358" s="2" t="str">
        <f>HYPERLINK("https://rth.dk/resources/bsgatlas/details.php?id=BSGatlas-5'UTR-2357","BSGatlas-5'UTR-2357")</f>
        <v>BSGatlas-5'UTR-2357</v>
      </c>
      <c r="B2358" s="3">
        <v>3535813</v>
      </c>
      <c r="C2358" s="3">
        <v>3536012</v>
      </c>
      <c r="D2358" s="1" t="s">
        <v>9</v>
      </c>
      <c r="E2358" s="1">
        <v>200</v>
      </c>
      <c r="F2358" s="1" t="s">
        <v>13705</v>
      </c>
      <c r="G2358" s="1" t="s">
        <v>10219</v>
      </c>
    </row>
    <row r="2359" spans="1:7" ht="21" x14ac:dyDescent="0.25">
      <c r="A2359" s="2" t="str">
        <f>HYPERLINK("https://rth.dk/resources/bsgatlas/details.php?id=BSGatlas-5'UTR-2358","BSGatlas-5'UTR-2358")</f>
        <v>BSGatlas-5'UTR-2358</v>
      </c>
      <c r="B2359" s="3">
        <v>3539137</v>
      </c>
      <c r="C2359" s="3">
        <v>3539165</v>
      </c>
      <c r="D2359" s="1" t="s">
        <v>9</v>
      </c>
      <c r="E2359" s="1">
        <v>29</v>
      </c>
      <c r="F2359" s="1" t="s">
        <v>13706</v>
      </c>
      <c r="G2359" s="1" t="s">
        <v>10225</v>
      </c>
    </row>
    <row r="2360" spans="1:7" ht="21" x14ac:dyDescent="0.25">
      <c r="A2360" s="2" t="str">
        <f>HYPERLINK("https://rth.dk/resources/bsgatlas/details.php?id=BSGatlas-5'UTR-2359","BSGatlas-5'UTR-2359")</f>
        <v>BSGatlas-5'UTR-2359</v>
      </c>
      <c r="B2360" s="3">
        <v>3542691</v>
      </c>
      <c r="C2360" s="3">
        <v>3542722</v>
      </c>
      <c r="D2360" s="1" t="s">
        <v>13</v>
      </c>
      <c r="E2360" s="1">
        <v>32</v>
      </c>
      <c r="F2360" s="1" t="s">
        <v>13707</v>
      </c>
      <c r="G2360" s="1" t="s">
        <v>10230</v>
      </c>
    </row>
    <row r="2361" spans="1:7" ht="21" x14ac:dyDescent="0.25">
      <c r="A2361" s="2" t="str">
        <f>HYPERLINK("https://rth.dk/resources/bsgatlas/details.php?id=BSGatlas-5'UTR-2360","BSGatlas-5'UTR-2360")</f>
        <v>BSGatlas-5'UTR-2360</v>
      </c>
      <c r="B2361" s="3">
        <v>3544286</v>
      </c>
      <c r="C2361" s="3">
        <v>3544323</v>
      </c>
      <c r="D2361" s="1" t="s">
        <v>13</v>
      </c>
      <c r="E2361" s="1">
        <v>38</v>
      </c>
      <c r="F2361" s="1" t="s">
        <v>13708</v>
      </c>
      <c r="G2361" s="1" t="s">
        <v>10233</v>
      </c>
    </row>
    <row r="2362" spans="1:7" ht="21" x14ac:dyDescent="0.25">
      <c r="A2362" s="2" t="str">
        <f>HYPERLINK("https://rth.dk/resources/bsgatlas/details.php?id=BSGatlas-5'UTR-2361","BSGatlas-5'UTR-2361")</f>
        <v>BSGatlas-5'UTR-2361</v>
      </c>
      <c r="B2362" s="3">
        <v>3544372</v>
      </c>
      <c r="C2362" s="3">
        <v>3544642</v>
      </c>
      <c r="D2362" s="1" t="s">
        <v>9</v>
      </c>
      <c r="E2362" s="1">
        <v>271</v>
      </c>
      <c r="F2362" s="1" t="s">
        <v>13709</v>
      </c>
      <c r="G2362" s="1" t="s">
        <v>10235</v>
      </c>
    </row>
    <row r="2363" spans="1:7" ht="21" x14ac:dyDescent="0.25">
      <c r="A2363" s="2" t="str">
        <f>HYPERLINK("https://rth.dk/resources/bsgatlas/details.php?id=BSGatlas-5'UTR-2362","BSGatlas-5'UTR-2362")</f>
        <v>BSGatlas-5'UTR-2362</v>
      </c>
      <c r="B2363" s="3">
        <v>3544599</v>
      </c>
      <c r="C2363" s="3">
        <v>3544642</v>
      </c>
      <c r="D2363" s="1" t="s">
        <v>9</v>
      </c>
      <c r="E2363" s="1">
        <v>44</v>
      </c>
      <c r="F2363" s="1" t="s">
        <v>13709</v>
      </c>
      <c r="G2363" s="1" t="s">
        <v>10237</v>
      </c>
    </row>
    <row r="2364" spans="1:7" ht="21" x14ac:dyDescent="0.25">
      <c r="A2364" s="2" t="str">
        <f>HYPERLINK("https://rth.dk/resources/bsgatlas/details.php?id=BSGatlas-5'UTR-2363","BSGatlas-5'UTR-2363")</f>
        <v>BSGatlas-5'UTR-2363</v>
      </c>
      <c r="B2364" s="3">
        <v>3545964</v>
      </c>
      <c r="C2364" s="3">
        <v>3546012</v>
      </c>
      <c r="D2364" s="1" t="s">
        <v>13</v>
      </c>
      <c r="E2364" s="1">
        <v>49</v>
      </c>
      <c r="F2364" s="1" t="s">
        <v>13710</v>
      </c>
      <c r="G2364" s="1" t="s">
        <v>10238</v>
      </c>
    </row>
    <row r="2365" spans="1:7" ht="21" x14ac:dyDescent="0.25">
      <c r="A2365" s="2" t="str">
        <f>HYPERLINK("https://rth.dk/resources/bsgatlas/details.php?id=BSGatlas-5'UTR-2364","BSGatlas-5'UTR-2364")</f>
        <v>BSGatlas-5'UTR-2364</v>
      </c>
      <c r="B2365" s="3">
        <v>3546132</v>
      </c>
      <c r="C2365" s="3">
        <v>3546234</v>
      </c>
      <c r="D2365" s="1" t="s">
        <v>9</v>
      </c>
      <c r="E2365" s="1">
        <v>103</v>
      </c>
      <c r="F2365" s="1" t="s">
        <v>13711</v>
      </c>
      <c r="G2365" s="1" t="s">
        <v>10240</v>
      </c>
    </row>
    <row r="2366" spans="1:7" ht="21" x14ac:dyDescent="0.25">
      <c r="A2366" s="2" t="str">
        <f>HYPERLINK("https://rth.dk/resources/bsgatlas/details.php?id=BSGatlas-5'UTR-2365","BSGatlas-5'UTR-2365")</f>
        <v>BSGatlas-5'UTR-2365</v>
      </c>
      <c r="B2366" s="3">
        <v>3546201</v>
      </c>
      <c r="C2366" s="3">
        <v>3546234</v>
      </c>
      <c r="D2366" s="1" t="s">
        <v>9</v>
      </c>
      <c r="E2366" s="1">
        <v>34</v>
      </c>
      <c r="F2366" s="1" t="s">
        <v>13711</v>
      </c>
      <c r="G2366" s="1" t="s">
        <v>10243</v>
      </c>
    </row>
    <row r="2367" spans="1:7" ht="21" x14ac:dyDescent="0.25">
      <c r="A2367" s="2" t="str">
        <f>HYPERLINK("https://rth.dk/resources/bsgatlas/details.php?id=BSGatlas-5'UTR-2366","BSGatlas-5'UTR-2366")</f>
        <v>BSGatlas-5'UTR-2366</v>
      </c>
      <c r="B2367" s="3">
        <v>3557671</v>
      </c>
      <c r="C2367" s="3">
        <v>3557722</v>
      </c>
      <c r="D2367" s="1" t="s">
        <v>13</v>
      </c>
      <c r="E2367" s="1">
        <v>52</v>
      </c>
      <c r="F2367" s="1" t="s">
        <v>13712</v>
      </c>
      <c r="G2367" s="1" t="s">
        <v>10245</v>
      </c>
    </row>
    <row r="2368" spans="1:7" ht="21" x14ac:dyDescent="0.25">
      <c r="A2368" s="2" t="str">
        <f>HYPERLINK("https://rth.dk/resources/bsgatlas/details.php?id=BSGatlas-5'UTR-2367","BSGatlas-5'UTR-2367")</f>
        <v>BSGatlas-5'UTR-2367</v>
      </c>
      <c r="B2368" s="3">
        <v>3558734</v>
      </c>
      <c r="C2368" s="3">
        <v>3558762</v>
      </c>
      <c r="D2368" s="1" t="s">
        <v>13</v>
      </c>
      <c r="E2368" s="1">
        <v>29</v>
      </c>
      <c r="F2368" s="1" t="s">
        <v>13713</v>
      </c>
      <c r="G2368" s="1" t="s">
        <v>10248</v>
      </c>
    </row>
    <row r="2369" spans="1:7" ht="21" x14ac:dyDescent="0.25">
      <c r="A2369" s="2" t="str">
        <f>HYPERLINK("https://rth.dk/resources/bsgatlas/details.php?id=BSGatlas-5'UTR-2368","BSGatlas-5'UTR-2368")</f>
        <v>BSGatlas-5'UTR-2368</v>
      </c>
      <c r="B2369" s="3">
        <v>3559515</v>
      </c>
      <c r="C2369" s="3">
        <v>3559574</v>
      </c>
      <c r="D2369" s="1" t="s">
        <v>13</v>
      </c>
      <c r="E2369" s="1">
        <v>60</v>
      </c>
      <c r="F2369" s="1" t="s">
        <v>13714</v>
      </c>
      <c r="G2369" s="1" t="s">
        <v>10249</v>
      </c>
    </row>
    <row r="2370" spans="1:7" ht="21" x14ac:dyDescent="0.25">
      <c r="A2370" s="2" t="str">
        <f>HYPERLINK("https://rth.dk/resources/bsgatlas/details.php?id=BSGatlas-5'UTR-2369","BSGatlas-5'UTR-2369")</f>
        <v>BSGatlas-5'UTR-2369</v>
      </c>
      <c r="B2370" s="3">
        <v>3559581</v>
      </c>
      <c r="C2370" s="3">
        <v>3559632</v>
      </c>
      <c r="D2370" s="1" t="s">
        <v>9</v>
      </c>
      <c r="E2370" s="1">
        <v>52</v>
      </c>
      <c r="F2370" s="1" t="s">
        <v>13715</v>
      </c>
      <c r="G2370" s="1" t="s">
        <v>10252</v>
      </c>
    </row>
    <row r="2371" spans="1:7" ht="21" x14ac:dyDescent="0.25">
      <c r="A2371" s="2" t="str">
        <f>HYPERLINK("https://rth.dk/resources/bsgatlas/details.php?id=BSGatlas-5'UTR-2370","BSGatlas-5'UTR-2370")</f>
        <v>BSGatlas-5'UTR-2370</v>
      </c>
      <c r="B2371" s="3">
        <v>3562183</v>
      </c>
      <c r="C2371" s="3">
        <v>3562238</v>
      </c>
      <c r="D2371" s="1" t="s">
        <v>13</v>
      </c>
      <c r="E2371" s="1">
        <v>56</v>
      </c>
      <c r="F2371" s="1" t="s">
        <v>13716</v>
      </c>
      <c r="G2371" s="1" t="s">
        <v>10255</v>
      </c>
    </row>
    <row r="2372" spans="1:7" ht="21" x14ac:dyDescent="0.25">
      <c r="A2372" s="2" t="str">
        <f>HYPERLINK("https://rth.dk/resources/bsgatlas/details.php?id=BSGatlas-5'UTR-2371","BSGatlas-5'UTR-2371")</f>
        <v>BSGatlas-5'UTR-2371</v>
      </c>
      <c r="B2372" s="3">
        <v>3562331</v>
      </c>
      <c r="C2372" s="3">
        <v>3562566</v>
      </c>
      <c r="D2372" s="1" t="s">
        <v>9</v>
      </c>
      <c r="E2372" s="1">
        <v>236</v>
      </c>
      <c r="F2372" s="1" t="s">
        <v>13717</v>
      </c>
      <c r="G2372" s="1" t="s">
        <v>10257</v>
      </c>
    </row>
    <row r="2373" spans="1:7" ht="21" x14ac:dyDescent="0.25">
      <c r="A2373" s="2" t="str">
        <f>HYPERLINK("https://rth.dk/resources/bsgatlas/details.php?id=BSGatlas-5'UTR-2372","BSGatlas-5'UTR-2372")</f>
        <v>BSGatlas-5'UTR-2372</v>
      </c>
      <c r="B2373" s="3">
        <v>3562529</v>
      </c>
      <c r="C2373" s="3">
        <v>3562566</v>
      </c>
      <c r="D2373" s="1" t="s">
        <v>9</v>
      </c>
      <c r="E2373" s="1">
        <v>38</v>
      </c>
      <c r="F2373" s="1" t="s">
        <v>13717</v>
      </c>
      <c r="G2373" s="1" t="s">
        <v>10259</v>
      </c>
    </row>
    <row r="2374" spans="1:7" ht="21" x14ac:dyDescent="0.25">
      <c r="A2374" s="2" t="str">
        <f>HYPERLINK("https://rth.dk/resources/bsgatlas/details.php?id=BSGatlas-5'UTR-2373","BSGatlas-5'UTR-2373")</f>
        <v>BSGatlas-5'UTR-2373</v>
      </c>
      <c r="B2374" s="3">
        <v>3568135</v>
      </c>
      <c r="C2374" s="3">
        <v>3568193</v>
      </c>
      <c r="D2374" s="1" t="s">
        <v>13</v>
      </c>
      <c r="E2374" s="1">
        <v>59</v>
      </c>
      <c r="F2374" s="1" t="s">
        <v>13718</v>
      </c>
      <c r="G2374" s="1" t="s">
        <v>10263</v>
      </c>
    </row>
    <row r="2375" spans="1:7" ht="21" x14ac:dyDescent="0.25">
      <c r="A2375" s="2" t="str">
        <f>HYPERLINK("https://rth.dk/resources/bsgatlas/details.php?id=BSGatlas-5'UTR-2374","BSGatlas-5'UTR-2374")</f>
        <v>BSGatlas-5'UTR-2374</v>
      </c>
      <c r="B2375" s="3">
        <v>3568239</v>
      </c>
      <c r="C2375" s="3">
        <v>3568282</v>
      </c>
      <c r="D2375" s="1" t="s">
        <v>9</v>
      </c>
      <c r="E2375" s="1">
        <v>44</v>
      </c>
      <c r="F2375" s="1" t="s">
        <v>13719</v>
      </c>
      <c r="G2375" s="1" t="s">
        <v>10264</v>
      </c>
    </row>
    <row r="2376" spans="1:7" ht="21" x14ac:dyDescent="0.25">
      <c r="A2376" s="2" t="str">
        <f>HYPERLINK("https://rth.dk/resources/bsgatlas/details.php?id=BSGatlas-5'UTR-2375","BSGatlas-5'UTR-2375")</f>
        <v>BSGatlas-5'UTR-2375</v>
      </c>
      <c r="B2376" s="3">
        <v>3572889</v>
      </c>
      <c r="C2376" s="3">
        <v>3572923</v>
      </c>
      <c r="D2376" s="1" t="s">
        <v>13</v>
      </c>
      <c r="E2376" s="1">
        <v>35</v>
      </c>
      <c r="F2376" s="1" t="s">
        <v>13720</v>
      </c>
      <c r="G2376" s="1" t="s">
        <v>10267</v>
      </c>
    </row>
    <row r="2377" spans="1:7" ht="21" x14ac:dyDescent="0.25">
      <c r="A2377" s="2" t="str">
        <f>HYPERLINK("https://rth.dk/resources/bsgatlas/details.php?id=BSGatlas-5'UTR-2376","BSGatlas-5'UTR-2376")</f>
        <v>BSGatlas-5'UTR-2376</v>
      </c>
      <c r="B2377" s="3">
        <v>3572889</v>
      </c>
      <c r="C2377" s="3">
        <v>3572980</v>
      </c>
      <c r="D2377" s="1" t="s">
        <v>13</v>
      </c>
      <c r="E2377" s="1">
        <v>92</v>
      </c>
      <c r="F2377" s="1" t="s">
        <v>13720</v>
      </c>
      <c r="G2377" s="1" t="s">
        <v>10269</v>
      </c>
    </row>
    <row r="2378" spans="1:7" ht="21" x14ac:dyDescent="0.25">
      <c r="A2378" s="2" t="str">
        <f>HYPERLINK("https://rth.dk/resources/bsgatlas/details.php?id=BSGatlas-5'UTR-2377","BSGatlas-5'UTR-2377")</f>
        <v>BSGatlas-5'UTR-2377</v>
      </c>
      <c r="B2378" s="3">
        <v>3574157</v>
      </c>
      <c r="C2378" s="3">
        <v>3574245</v>
      </c>
      <c r="D2378" s="1" t="s">
        <v>13</v>
      </c>
      <c r="E2378" s="1">
        <v>89</v>
      </c>
      <c r="F2378" s="1" t="s">
        <v>13721</v>
      </c>
      <c r="G2378" s="1" t="s">
        <v>10271</v>
      </c>
    </row>
    <row r="2379" spans="1:7" ht="21" x14ac:dyDescent="0.25">
      <c r="A2379" s="2" t="str">
        <f>HYPERLINK("https://rth.dk/resources/bsgatlas/details.php?id=BSGatlas-5'UTR-2378","BSGatlas-5'UTR-2378")</f>
        <v>BSGatlas-5'UTR-2378</v>
      </c>
      <c r="B2379" s="3">
        <v>3575784</v>
      </c>
      <c r="C2379" s="3">
        <v>3575982</v>
      </c>
      <c r="D2379" s="1" t="s">
        <v>13</v>
      </c>
      <c r="E2379" s="1">
        <v>199</v>
      </c>
      <c r="F2379" s="1" t="s">
        <v>13722</v>
      </c>
      <c r="G2379" s="1" t="s">
        <v>10278</v>
      </c>
    </row>
    <row r="2380" spans="1:7" ht="21" x14ac:dyDescent="0.25">
      <c r="A2380" s="2" t="str">
        <f>HYPERLINK("https://rth.dk/resources/bsgatlas/details.php?id=BSGatlas-5'UTR-2379","BSGatlas-5'UTR-2379")</f>
        <v>BSGatlas-5'UTR-2379</v>
      </c>
      <c r="B2380" s="3">
        <v>3579514</v>
      </c>
      <c r="C2380" s="3">
        <v>3579580</v>
      </c>
      <c r="D2380" s="1" t="s">
        <v>13</v>
      </c>
      <c r="E2380" s="1">
        <v>67</v>
      </c>
      <c r="F2380" s="1" t="s">
        <v>13723</v>
      </c>
      <c r="G2380" s="1" t="s">
        <v>10282</v>
      </c>
    </row>
    <row r="2381" spans="1:7" ht="21" x14ac:dyDescent="0.25">
      <c r="A2381" s="2" t="str">
        <f>HYPERLINK("https://rth.dk/resources/bsgatlas/details.php?id=BSGatlas-5'UTR-2380","BSGatlas-5'UTR-2380")</f>
        <v>BSGatlas-5'UTR-2380</v>
      </c>
      <c r="B2381" s="3">
        <v>3582690</v>
      </c>
      <c r="C2381" s="3">
        <v>3582779</v>
      </c>
      <c r="D2381" s="1" t="s">
        <v>13</v>
      </c>
      <c r="E2381" s="1">
        <v>90</v>
      </c>
      <c r="F2381" s="1" t="s">
        <v>13724</v>
      </c>
      <c r="G2381" s="1" t="s">
        <v>10285</v>
      </c>
    </row>
    <row r="2382" spans="1:7" ht="21" x14ac:dyDescent="0.25">
      <c r="A2382" s="2" t="str">
        <f>HYPERLINK("https://rth.dk/resources/bsgatlas/details.php?id=BSGatlas-5'UTR-2381","BSGatlas-5'UTR-2381")</f>
        <v>BSGatlas-5'UTR-2381</v>
      </c>
      <c r="B2382" s="3">
        <v>3589360</v>
      </c>
      <c r="C2382" s="3">
        <v>3589438</v>
      </c>
      <c r="D2382" s="1" t="s">
        <v>13</v>
      </c>
      <c r="E2382" s="1">
        <v>79</v>
      </c>
      <c r="F2382" s="1" t="s">
        <v>13725</v>
      </c>
      <c r="G2382" s="1" t="s">
        <v>10288</v>
      </c>
    </row>
    <row r="2383" spans="1:7" ht="21" x14ac:dyDescent="0.25">
      <c r="A2383" s="2" t="str">
        <f>HYPERLINK("https://rth.dk/resources/bsgatlas/details.php?id=BSGatlas-5'UTR-2382","BSGatlas-5'UTR-2382")</f>
        <v>BSGatlas-5'UTR-2382</v>
      </c>
      <c r="B2383" s="3">
        <v>3589360</v>
      </c>
      <c r="C2383" s="3">
        <v>3590391</v>
      </c>
      <c r="D2383" s="1" t="s">
        <v>13</v>
      </c>
      <c r="E2383" s="1">
        <v>1032</v>
      </c>
      <c r="F2383" s="1" t="s">
        <v>13725</v>
      </c>
      <c r="G2383" s="1" t="s">
        <v>10290</v>
      </c>
    </row>
    <row r="2384" spans="1:7" ht="21" x14ac:dyDescent="0.25">
      <c r="A2384" s="2" t="str">
        <f>HYPERLINK("https://rth.dk/resources/bsgatlas/details.php?id=BSGatlas-5'UTR-2383","BSGatlas-5'UTR-2383")</f>
        <v>BSGatlas-5'UTR-2383</v>
      </c>
      <c r="B2384" s="3">
        <v>3589435</v>
      </c>
      <c r="C2384" s="3">
        <v>3589611</v>
      </c>
      <c r="D2384" s="1" t="s">
        <v>9</v>
      </c>
      <c r="E2384" s="1">
        <v>177</v>
      </c>
      <c r="F2384" s="1" t="s">
        <v>13726</v>
      </c>
      <c r="G2384" s="1" t="s">
        <v>10292</v>
      </c>
    </row>
    <row r="2385" spans="1:7" ht="21" x14ac:dyDescent="0.25">
      <c r="A2385" s="2" t="str">
        <f>HYPERLINK("https://rth.dk/resources/bsgatlas/details.php?id=BSGatlas-5'UTR-2384","BSGatlas-5'UTR-2384")</f>
        <v>BSGatlas-5'UTR-2384</v>
      </c>
      <c r="B2385" s="3">
        <v>3589577</v>
      </c>
      <c r="C2385" s="3">
        <v>3589611</v>
      </c>
      <c r="D2385" s="1" t="s">
        <v>9</v>
      </c>
      <c r="E2385" s="1">
        <v>35</v>
      </c>
      <c r="F2385" s="1" t="s">
        <v>13726</v>
      </c>
      <c r="G2385" s="1" t="s">
        <v>10294</v>
      </c>
    </row>
    <row r="2386" spans="1:7" ht="21" x14ac:dyDescent="0.25">
      <c r="A2386" s="2" t="str">
        <f>HYPERLINK("https://rth.dk/resources/bsgatlas/details.php?id=BSGatlas-5'UTR-2385","BSGatlas-5'UTR-2385")</f>
        <v>BSGatlas-5'UTR-2385</v>
      </c>
      <c r="B2386" s="3">
        <v>3595174</v>
      </c>
      <c r="C2386" s="3">
        <v>3595218</v>
      </c>
      <c r="D2386" s="1" t="s">
        <v>13</v>
      </c>
      <c r="E2386" s="1">
        <v>45</v>
      </c>
      <c r="F2386" s="1" t="s">
        <v>13727</v>
      </c>
      <c r="G2386" s="1" t="s">
        <v>10296</v>
      </c>
    </row>
    <row r="2387" spans="1:7" ht="21" x14ac:dyDescent="0.25">
      <c r="A2387" s="2" t="str">
        <f>HYPERLINK("https://rth.dk/resources/bsgatlas/details.php?id=BSGatlas-5'UTR-2386","BSGatlas-5'UTR-2386")</f>
        <v>BSGatlas-5'UTR-2386</v>
      </c>
      <c r="B2387" s="3">
        <v>3595327</v>
      </c>
      <c r="C2387" s="3">
        <v>3595356</v>
      </c>
      <c r="D2387" s="1" t="s">
        <v>9</v>
      </c>
      <c r="E2387" s="1">
        <v>30</v>
      </c>
      <c r="F2387" s="1" t="s">
        <v>13728</v>
      </c>
      <c r="G2387" s="1" t="s">
        <v>10299</v>
      </c>
    </row>
    <row r="2388" spans="1:7" ht="21" x14ac:dyDescent="0.25">
      <c r="A2388" s="2" t="str">
        <f>HYPERLINK("https://rth.dk/resources/bsgatlas/details.php?id=BSGatlas-5'UTR-2387","BSGatlas-5'UTR-2387")</f>
        <v>BSGatlas-5'UTR-2387</v>
      </c>
      <c r="B2388" s="3">
        <v>3596365</v>
      </c>
      <c r="C2388" s="3">
        <v>3596543</v>
      </c>
      <c r="D2388" s="1" t="s">
        <v>9</v>
      </c>
      <c r="E2388" s="1">
        <v>179</v>
      </c>
      <c r="F2388" s="1" t="s">
        <v>13729</v>
      </c>
      <c r="G2388" s="1" t="s">
        <v>13730</v>
      </c>
    </row>
    <row r="2389" spans="1:7" ht="21" x14ac:dyDescent="0.25">
      <c r="A2389" s="2" t="str">
        <f>HYPERLINK("https://rth.dk/resources/bsgatlas/details.php?id=BSGatlas-5'UTR-2388","BSGatlas-5'UTR-2388")</f>
        <v>BSGatlas-5'UTR-2388</v>
      </c>
      <c r="B2389" s="3">
        <v>3601909</v>
      </c>
      <c r="C2389" s="3">
        <v>3601936</v>
      </c>
      <c r="D2389" s="1" t="s">
        <v>13</v>
      </c>
      <c r="E2389" s="1">
        <v>28</v>
      </c>
      <c r="F2389" s="1" t="s">
        <v>13731</v>
      </c>
      <c r="G2389" s="1" t="s">
        <v>10300</v>
      </c>
    </row>
    <row r="2390" spans="1:7" ht="21" x14ac:dyDescent="0.25">
      <c r="A2390" s="2" t="str">
        <f>HYPERLINK("https://rth.dk/resources/bsgatlas/details.php?id=BSGatlas-5'UTR-2389","BSGatlas-5'UTR-2389")</f>
        <v>BSGatlas-5'UTR-2389</v>
      </c>
      <c r="B2390" s="3">
        <v>3602024</v>
      </c>
      <c r="C2390" s="3">
        <v>3602074</v>
      </c>
      <c r="D2390" s="1" t="s">
        <v>9</v>
      </c>
      <c r="E2390" s="1">
        <v>51</v>
      </c>
      <c r="F2390" s="1" t="s">
        <v>13732</v>
      </c>
      <c r="G2390" s="1" t="s">
        <v>10302</v>
      </c>
    </row>
    <row r="2391" spans="1:7" ht="21" x14ac:dyDescent="0.25">
      <c r="A2391" s="2" t="str">
        <f>HYPERLINK("https://rth.dk/resources/bsgatlas/details.php?id=BSGatlas-5'UTR-2390","BSGatlas-5'UTR-2390")</f>
        <v>BSGatlas-5'UTR-2390</v>
      </c>
      <c r="B2391" s="3">
        <v>3604567</v>
      </c>
      <c r="C2391" s="3">
        <v>3604754</v>
      </c>
      <c r="D2391" s="1" t="s">
        <v>13</v>
      </c>
      <c r="E2391" s="1">
        <v>188</v>
      </c>
      <c r="F2391" s="1" t="s">
        <v>13733</v>
      </c>
      <c r="G2391" s="1" t="s">
        <v>10304</v>
      </c>
    </row>
    <row r="2392" spans="1:7" ht="21" x14ac:dyDescent="0.25">
      <c r="A2392" s="2" t="str">
        <f>HYPERLINK("https://rth.dk/resources/bsgatlas/details.php?id=BSGatlas-5'UTR-2391","BSGatlas-5'UTR-2391")</f>
        <v>BSGatlas-5'UTR-2391</v>
      </c>
      <c r="B2392" s="3">
        <v>3604922</v>
      </c>
      <c r="C2392" s="3">
        <v>3604993</v>
      </c>
      <c r="D2392" s="1" t="s">
        <v>9</v>
      </c>
      <c r="E2392" s="1">
        <v>72</v>
      </c>
      <c r="F2392" s="1" t="s">
        <v>13734</v>
      </c>
      <c r="G2392" s="1" t="s">
        <v>10309</v>
      </c>
    </row>
    <row r="2393" spans="1:7" ht="21" x14ac:dyDescent="0.25">
      <c r="A2393" s="2" t="str">
        <f>HYPERLINK("https://rth.dk/resources/bsgatlas/details.php?id=BSGatlas-5'UTR-2392","BSGatlas-5'UTR-2392")</f>
        <v>BSGatlas-5'UTR-2392</v>
      </c>
      <c r="B2393" s="3">
        <v>3608773</v>
      </c>
      <c r="C2393" s="3">
        <v>3608829</v>
      </c>
      <c r="D2393" s="1" t="s">
        <v>13</v>
      </c>
      <c r="E2393" s="1">
        <v>57</v>
      </c>
      <c r="F2393" s="1" t="s">
        <v>13735</v>
      </c>
      <c r="G2393" s="1" t="s">
        <v>10313</v>
      </c>
    </row>
    <row r="2394" spans="1:7" ht="21" x14ac:dyDescent="0.25">
      <c r="A2394" s="2" t="str">
        <f>HYPERLINK("https://rth.dk/resources/bsgatlas/details.php?id=BSGatlas-5'UTR-2393","BSGatlas-5'UTR-2393")</f>
        <v>BSGatlas-5'UTR-2393</v>
      </c>
      <c r="B2394" s="3">
        <v>3608773</v>
      </c>
      <c r="C2394" s="3">
        <v>3609334</v>
      </c>
      <c r="D2394" s="1" t="s">
        <v>13</v>
      </c>
      <c r="E2394" s="1">
        <v>562</v>
      </c>
      <c r="F2394" s="1" t="s">
        <v>13735</v>
      </c>
      <c r="G2394" s="1" t="s">
        <v>10315</v>
      </c>
    </row>
    <row r="2395" spans="1:7" ht="21" x14ac:dyDescent="0.25">
      <c r="A2395" s="2" t="str">
        <f>HYPERLINK("https://rth.dk/resources/bsgatlas/details.php?id=BSGatlas-5'UTR-2394","BSGatlas-5'UTR-2394")</f>
        <v>BSGatlas-5'UTR-2394</v>
      </c>
      <c r="B2395" s="3">
        <v>3608949</v>
      </c>
      <c r="C2395" s="3">
        <v>3608991</v>
      </c>
      <c r="D2395" s="1" t="s">
        <v>9</v>
      </c>
      <c r="E2395" s="1">
        <v>43</v>
      </c>
      <c r="F2395" s="1" t="s">
        <v>13736</v>
      </c>
      <c r="G2395" s="1" t="s">
        <v>10317</v>
      </c>
    </row>
    <row r="2396" spans="1:7" ht="21" x14ac:dyDescent="0.25">
      <c r="A2396" s="2" t="str">
        <f>HYPERLINK("https://rth.dk/resources/bsgatlas/details.php?id=BSGatlas-5'UTR-2395","BSGatlas-5'UTR-2395")</f>
        <v>BSGatlas-5'UTR-2395</v>
      </c>
      <c r="B2396" s="3">
        <v>3614930</v>
      </c>
      <c r="C2396" s="3">
        <v>3614976</v>
      </c>
      <c r="D2396" s="1" t="s">
        <v>13</v>
      </c>
      <c r="E2396" s="1">
        <v>47</v>
      </c>
      <c r="F2396" s="1" t="s">
        <v>13737</v>
      </c>
      <c r="G2396" s="1" t="s">
        <v>10324</v>
      </c>
    </row>
    <row r="2397" spans="1:7" ht="21" x14ac:dyDescent="0.25">
      <c r="A2397" s="2" t="str">
        <f>HYPERLINK("https://rth.dk/resources/bsgatlas/details.php?id=BSGatlas-5'UTR-2396","BSGatlas-5'UTR-2396")</f>
        <v>BSGatlas-5'UTR-2396</v>
      </c>
      <c r="B2397" s="3">
        <v>3615346</v>
      </c>
      <c r="C2397" s="3">
        <v>3615374</v>
      </c>
      <c r="D2397" s="1" t="s">
        <v>13</v>
      </c>
      <c r="E2397" s="1">
        <v>29</v>
      </c>
      <c r="F2397" s="1" t="s">
        <v>13738</v>
      </c>
      <c r="G2397" s="1" t="s">
        <v>10327</v>
      </c>
    </row>
    <row r="2398" spans="1:7" ht="21" x14ac:dyDescent="0.25">
      <c r="A2398" s="2" t="str">
        <f>HYPERLINK("https://rth.dk/resources/bsgatlas/details.php?id=BSGatlas-5'UTR-2397","BSGatlas-5'UTR-2397")</f>
        <v>BSGatlas-5'UTR-2397</v>
      </c>
      <c r="B2398" s="3">
        <v>3615346</v>
      </c>
      <c r="C2398" s="3">
        <v>3615429</v>
      </c>
      <c r="D2398" s="1" t="s">
        <v>13</v>
      </c>
      <c r="E2398" s="1">
        <v>84</v>
      </c>
      <c r="F2398" s="1" t="s">
        <v>13738</v>
      </c>
      <c r="G2398" s="1" t="s">
        <v>10329</v>
      </c>
    </row>
    <row r="2399" spans="1:7" ht="21" x14ac:dyDescent="0.25">
      <c r="A2399" s="2" t="str">
        <f>HYPERLINK("https://rth.dk/resources/bsgatlas/details.php?id=BSGatlas-5'UTR-2398","BSGatlas-5'UTR-2398")</f>
        <v>BSGatlas-5'UTR-2398</v>
      </c>
      <c r="B2399" s="3">
        <v>3615346</v>
      </c>
      <c r="C2399" s="3">
        <v>3615581</v>
      </c>
      <c r="D2399" s="1" t="s">
        <v>13</v>
      </c>
      <c r="E2399" s="1">
        <v>236</v>
      </c>
      <c r="F2399" s="1" t="s">
        <v>13738</v>
      </c>
      <c r="G2399" s="1" t="s">
        <v>10330</v>
      </c>
    </row>
    <row r="2400" spans="1:7" ht="21" x14ac:dyDescent="0.25">
      <c r="A2400" s="2" t="str">
        <f>HYPERLINK("https://rth.dk/resources/bsgatlas/details.php?id=BSGatlas-5'UTR-2399","BSGatlas-5'UTR-2399")</f>
        <v>BSGatlas-5'UTR-2399</v>
      </c>
      <c r="B2400" s="3">
        <v>3615701</v>
      </c>
      <c r="C2400" s="3">
        <v>3615793</v>
      </c>
      <c r="D2400" s="1" t="s">
        <v>9</v>
      </c>
      <c r="E2400" s="1">
        <v>93</v>
      </c>
      <c r="F2400" s="1" t="s">
        <v>13739</v>
      </c>
      <c r="G2400" s="1" t="s">
        <v>10332</v>
      </c>
    </row>
    <row r="2401" spans="1:7" ht="21" x14ac:dyDescent="0.25">
      <c r="A2401" s="2" t="str">
        <f>HYPERLINK("https://rth.dk/resources/bsgatlas/details.php?id=BSGatlas-5'UTR-2400","BSGatlas-5'UTR-2400")</f>
        <v>BSGatlas-5'UTR-2400</v>
      </c>
      <c r="B2401" s="3">
        <v>3618321</v>
      </c>
      <c r="C2401" s="3">
        <v>3618364</v>
      </c>
      <c r="D2401" s="1" t="s">
        <v>9</v>
      </c>
      <c r="E2401" s="1">
        <v>44</v>
      </c>
      <c r="F2401" s="1" t="s">
        <v>13740</v>
      </c>
      <c r="G2401" s="1" t="s">
        <v>10335</v>
      </c>
    </row>
    <row r="2402" spans="1:7" ht="21" x14ac:dyDescent="0.25">
      <c r="A2402" s="2" t="str">
        <f>HYPERLINK("https://rth.dk/resources/bsgatlas/details.php?id=BSGatlas-5'UTR-2401","BSGatlas-5'UTR-2401")</f>
        <v>BSGatlas-5'UTR-2401</v>
      </c>
      <c r="B2402" s="3">
        <v>3622047</v>
      </c>
      <c r="C2402" s="3">
        <v>3622137</v>
      </c>
      <c r="D2402" s="1" t="s">
        <v>13</v>
      </c>
      <c r="E2402" s="1">
        <v>91</v>
      </c>
      <c r="F2402" s="1" t="s">
        <v>13741</v>
      </c>
      <c r="G2402" s="1" t="s">
        <v>10339</v>
      </c>
    </row>
    <row r="2403" spans="1:7" ht="21" x14ac:dyDescent="0.25">
      <c r="A2403" s="2" t="str">
        <f>HYPERLINK("https://rth.dk/resources/bsgatlas/details.php?id=BSGatlas-5'UTR-2402","BSGatlas-5'UTR-2402")</f>
        <v>BSGatlas-5'UTR-2402</v>
      </c>
      <c r="B2403" s="3">
        <v>3622047</v>
      </c>
      <c r="C2403" s="3">
        <v>3622219</v>
      </c>
      <c r="D2403" s="1" t="s">
        <v>13</v>
      </c>
      <c r="E2403" s="1">
        <v>173</v>
      </c>
      <c r="F2403" s="1" t="s">
        <v>13741</v>
      </c>
      <c r="G2403" s="1" t="s">
        <v>10340</v>
      </c>
    </row>
    <row r="2404" spans="1:7" ht="21" x14ac:dyDescent="0.25">
      <c r="A2404" s="2" t="str">
        <f>HYPERLINK("https://rth.dk/resources/bsgatlas/details.php?id=BSGatlas-5'UTR-2403","BSGatlas-5'UTR-2403")</f>
        <v>BSGatlas-5'UTR-2403</v>
      </c>
      <c r="B2404" s="3">
        <v>3623798</v>
      </c>
      <c r="C2404" s="3">
        <v>3623840</v>
      </c>
      <c r="D2404" s="1" t="s">
        <v>13</v>
      </c>
      <c r="E2404" s="1">
        <v>43</v>
      </c>
      <c r="F2404" s="1" t="s">
        <v>13742</v>
      </c>
      <c r="G2404" s="1" t="s">
        <v>10343</v>
      </c>
    </row>
    <row r="2405" spans="1:7" ht="21" x14ac:dyDescent="0.25">
      <c r="A2405" s="2" t="str">
        <f>HYPERLINK("https://rth.dk/resources/bsgatlas/details.php?id=BSGatlas-5'UTR-2404","BSGatlas-5'UTR-2404")</f>
        <v>BSGatlas-5'UTR-2404</v>
      </c>
      <c r="B2405" s="3">
        <v>3626079</v>
      </c>
      <c r="C2405" s="3">
        <v>3626119</v>
      </c>
      <c r="D2405" s="1" t="s">
        <v>13</v>
      </c>
      <c r="E2405" s="1">
        <v>41</v>
      </c>
      <c r="F2405" s="1" t="s">
        <v>13743</v>
      </c>
      <c r="G2405" s="1" t="s">
        <v>10350</v>
      </c>
    </row>
    <row r="2406" spans="1:7" ht="21" x14ac:dyDescent="0.25">
      <c r="A2406" s="2" t="str">
        <f>HYPERLINK("https://rth.dk/resources/bsgatlas/details.php?id=BSGatlas-5'UTR-2405","BSGatlas-5'UTR-2405")</f>
        <v>BSGatlas-5'UTR-2405</v>
      </c>
      <c r="B2406" s="3">
        <v>3630835</v>
      </c>
      <c r="C2406" s="3">
        <v>3630908</v>
      </c>
      <c r="D2406" s="1" t="s">
        <v>13</v>
      </c>
      <c r="E2406" s="1">
        <v>74</v>
      </c>
      <c r="F2406" s="1" t="s">
        <v>13744</v>
      </c>
      <c r="G2406" s="1" t="s">
        <v>10355</v>
      </c>
    </row>
    <row r="2407" spans="1:7" ht="21" x14ac:dyDescent="0.25">
      <c r="A2407" s="2" t="str">
        <f>HYPERLINK("https://rth.dk/resources/bsgatlas/details.php?id=BSGatlas-5'UTR-2406","BSGatlas-5'UTR-2406")</f>
        <v>BSGatlas-5'UTR-2406</v>
      </c>
      <c r="B2407" s="3">
        <v>3631572</v>
      </c>
      <c r="C2407" s="3">
        <v>3631600</v>
      </c>
      <c r="D2407" s="1" t="s">
        <v>13</v>
      </c>
      <c r="E2407" s="1">
        <v>29</v>
      </c>
      <c r="F2407" s="1" t="s">
        <v>13745</v>
      </c>
      <c r="G2407" s="1" t="s">
        <v>10357</v>
      </c>
    </row>
    <row r="2408" spans="1:7" ht="21" x14ac:dyDescent="0.25">
      <c r="A2408" s="2" t="str">
        <f>HYPERLINK("https://rth.dk/resources/bsgatlas/details.php?id=BSGatlas-5'UTR-2407","BSGatlas-5'UTR-2407")</f>
        <v>BSGatlas-5'UTR-2407</v>
      </c>
      <c r="B2408" s="3">
        <v>3631572</v>
      </c>
      <c r="C2408" s="3">
        <v>3631608</v>
      </c>
      <c r="D2408" s="1" t="s">
        <v>13</v>
      </c>
      <c r="E2408" s="1">
        <v>37</v>
      </c>
      <c r="F2408" s="1" t="s">
        <v>13745</v>
      </c>
      <c r="G2408" s="1" t="s">
        <v>10359</v>
      </c>
    </row>
    <row r="2409" spans="1:7" ht="21" x14ac:dyDescent="0.25">
      <c r="A2409" s="2" t="str">
        <f>HYPERLINK("https://rth.dk/resources/bsgatlas/details.php?id=BSGatlas-5'UTR-2408","BSGatlas-5'UTR-2408")</f>
        <v>BSGatlas-5'UTR-2408</v>
      </c>
      <c r="B2409" s="3">
        <v>3634754</v>
      </c>
      <c r="C2409" s="3">
        <v>3634778</v>
      </c>
      <c r="D2409" s="1" t="s">
        <v>13</v>
      </c>
      <c r="E2409" s="1">
        <v>25</v>
      </c>
      <c r="F2409" s="1" t="s">
        <v>13746</v>
      </c>
      <c r="G2409" s="1" t="s">
        <v>10363</v>
      </c>
    </row>
    <row r="2410" spans="1:7" ht="21" x14ac:dyDescent="0.25">
      <c r="A2410" s="2" t="str">
        <f>HYPERLINK("https://rth.dk/resources/bsgatlas/details.php?id=BSGatlas-5'UTR-2409","BSGatlas-5'UTR-2409")</f>
        <v>BSGatlas-5'UTR-2409</v>
      </c>
      <c r="B2410" s="3">
        <v>3634754</v>
      </c>
      <c r="C2410" s="3">
        <v>3634897</v>
      </c>
      <c r="D2410" s="1" t="s">
        <v>13</v>
      </c>
      <c r="E2410" s="1">
        <v>144</v>
      </c>
      <c r="F2410" s="1" t="s">
        <v>13746</v>
      </c>
      <c r="G2410" s="1" t="s">
        <v>10364</v>
      </c>
    </row>
    <row r="2411" spans="1:7" ht="21" x14ac:dyDescent="0.25">
      <c r="A2411" s="2" t="str">
        <f>HYPERLINK("https://rth.dk/resources/bsgatlas/details.php?id=BSGatlas-5'UTR-2410","BSGatlas-5'UTR-2410")</f>
        <v>BSGatlas-5'UTR-2410</v>
      </c>
      <c r="B2411" s="3">
        <v>3635901</v>
      </c>
      <c r="C2411" s="3">
        <v>3635993</v>
      </c>
      <c r="D2411" s="1" t="s">
        <v>13</v>
      </c>
      <c r="E2411" s="1">
        <v>93</v>
      </c>
      <c r="F2411" s="1" t="s">
        <v>13747</v>
      </c>
      <c r="G2411" s="1" t="s">
        <v>10367</v>
      </c>
    </row>
    <row r="2412" spans="1:7" ht="21" x14ac:dyDescent="0.25">
      <c r="A2412" s="2" t="str">
        <f>HYPERLINK("https://rth.dk/resources/bsgatlas/details.php?id=BSGatlas-5'UTR-2411","BSGatlas-5'UTR-2411")</f>
        <v>BSGatlas-5'UTR-2411</v>
      </c>
      <c r="B2412" s="3">
        <v>3640551</v>
      </c>
      <c r="C2412" s="3">
        <v>3640591</v>
      </c>
      <c r="D2412" s="1" t="s">
        <v>13</v>
      </c>
      <c r="E2412" s="1">
        <v>41</v>
      </c>
      <c r="F2412" s="1" t="s">
        <v>13748</v>
      </c>
      <c r="G2412" s="1" t="s">
        <v>10372</v>
      </c>
    </row>
    <row r="2413" spans="1:7" ht="21" x14ac:dyDescent="0.25">
      <c r="A2413" s="2" t="str">
        <f>HYPERLINK("https://rth.dk/resources/bsgatlas/details.php?id=BSGatlas-5'UTR-2412","BSGatlas-5'UTR-2412")</f>
        <v>BSGatlas-5'UTR-2412</v>
      </c>
      <c r="B2413" s="3">
        <v>3641051</v>
      </c>
      <c r="C2413" s="3">
        <v>3641093</v>
      </c>
      <c r="D2413" s="1" t="s">
        <v>13</v>
      </c>
      <c r="E2413" s="1">
        <v>43</v>
      </c>
      <c r="F2413" s="1" t="s">
        <v>13749</v>
      </c>
      <c r="G2413" s="1" t="s">
        <v>10374</v>
      </c>
    </row>
    <row r="2414" spans="1:7" ht="21" x14ac:dyDescent="0.25">
      <c r="A2414" s="2" t="str">
        <f>HYPERLINK("https://rth.dk/resources/bsgatlas/details.php?id=BSGatlas-5'UTR-2413","BSGatlas-5'UTR-2413")</f>
        <v>BSGatlas-5'UTR-2413</v>
      </c>
      <c r="B2414" s="3">
        <v>3642107</v>
      </c>
      <c r="C2414" s="3">
        <v>3642146</v>
      </c>
      <c r="D2414" s="1" t="s">
        <v>13</v>
      </c>
      <c r="E2414" s="1">
        <v>40</v>
      </c>
      <c r="F2414" s="1" t="s">
        <v>13750</v>
      </c>
      <c r="G2414" s="1" t="s">
        <v>10376</v>
      </c>
    </row>
    <row r="2415" spans="1:7" ht="21" x14ac:dyDescent="0.25">
      <c r="A2415" s="2" t="str">
        <f>HYPERLINK("https://rth.dk/resources/bsgatlas/details.php?id=BSGatlas-5'UTR-2414","BSGatlas-5'UTR-2414")</f>
        <v>BSGatlas-5'UTR-2414</v>
      </c>
      <c r="B2415" s="3">
        <v>3643558</v>
      </c>
      <c r="C2415" s="3">
        <v>3643575</v>
      </c>
      <c r="D2415" s="1" t="s">
        <v>13</v>
      </c>
      <c r="E2415" s="1">
        <v>18</v>
      </c>
      <c r="F2415" s="1" t="s">
        <v>13751</v>
      </c>
      <c r="G2415" s="1" t="s">
        <v>10378</v>
      </c>
    </row>
    <row r="2416" spans="1:7" ht="21" x14ac:dyDescent="0.25">
      <c r="A2416" s="2" t="str">
        <f>HYPERLINK("https://rth.dk/resources/bsgatlas/details.php?id=BSGatlas-5'UTR-2415","BSGatlas-5'UTR-2415")</f>
        <v>BSGatlas-5'UTR-2415</v>
      </c>
      <c r="B2416" s="3">
        <v>3644509</v>
      </c>
      <c r="C2416" s="3">
        <v>3644555</v>
      </c>
      <c r="D2416" s="1" t="s">
        <v>13</v>
      </c>
      <c r="E2416" s="1">
        <v>47</v>
      </c>
      <c r="F2416" s="1" t="s">
        <v>13752</v>
      </c>
      <c r="G2416" s="1" t="s">
        <v>10387</v>
      </c>
    </row>
    <row r="2417" spans="1:7" ht="21" x14ac:dyDescent="0.25">
      <c r="A2417" s="2" t="str">
        <f>HYPERLINK("https://rth.dk/resources/bsgatlas/details.php?id=BSGatlas-5'UTR-2416","BSGatlas-5'UTR-2416")</f>
        <v>BSGatlas-5'UTR-2416</v>
      </c>
      <c r="B2417" s="3">
        <v>3646536</v>
      </c>
      <c r="C2417" s="3">
        <v>3646657</v>
      </c>
      <c r="D2417" s="1" t="s">
        <v>13</v>
      </c>
      <c r="E2417" s="1">
        <v>122</v>
      </c>
      <c r="F2417" s="1" t="s">
        <v>13753</v>
      </c>
      <c r="G2417" s="1" t="s">
        <v>10392</v>
      </c>
    </row>
    <row r="2418" spans="1:7" ht="21" x14ac:dyDescent="0.25">
      <c r="A2418" s="2" t="str">
        <f>HYPERLINK("https://rth.dk/resources/bsgatlas/details.php?id=BSGatlas-5'UTR-2417","BSGatlas-5'UTR-2417")</f>
        <v>BSGatlas-5'UTR-2417</v>
      </c>
      <c r="B2418" s="3">
        <v>3646613</v>
      </c>
      <c r="C2418" s="3">
        <v>3646753</v>
      </c>
      <c r="D2418" s="1" t="s">
        <v>9</v>
      </c>
      <c r="E2418" s="1">
        <v>141</v>
      </c>
      <c r="F2418" s="1" t="s">
        <v>13754</v>
      </c>
      <c r="G2418" s="1" t="s">
        <v>10394</v>
      </c>
    </row>
    <row r="2419" spans="1:7" ht="21" x14ac:dyDescent="0.25">
      <c r="A2419" s="2" t="str">
        <f>HYPERLINK("https://rth.dk/resources/bsgatlas/details.php?id=BSGatlas-5'UTR-2418","BSGatlas-5'UTR-2418")</f>
        <v>BSGatlas-5'UTR-2418</v>
      </c>
      <c r="B2419" s="3">
        <v>3646701</v>
      </c>
      <c r="C2419" s="3">
        <v>3646753</v>
      </c>
      <c r="D2419" s="1" t="s">
        <v>9</v>
      </c>
      <c r="E2419" s="1">
        <v>53</v>
      </c>
      <c r="F2419" s="1" t="s">
        <v>13754</v>
      </c>
      <c r="G2419" s="1" t="s">
        <v>10397</v>
      </c>
    </row>
    <row r="2420" spans="1:7" ht="21" x14ac:dyDescent="0.25">
      <c r="A2420" s="2" t="str">
        <f>HYPERLINK("https://rth.dk/resources/bsgatlas/details.php?id=BSGatlas-5'UTR-2419","BSGatlas-5'UTR-2419")</f>
        <v>BSGatlas-5'UTR-2419</v>
      </c>
      <c r="B2420" s="3">
        <v>3649730</v>
      </c>
      <c r="C2420" s="3">
        <v>3649813</v>
      </c>
      <c r="D2420" s="1" t="s">
        <v>13</v>
      </c>
      <c r="E2420" s="1">
        <v>84</v>
      </c>
      <c r="F2420" s="1" t="s">
        <v>13755</v>
      </c>
      <c r="G2420" s="1" t="s">
        <v>10399</v>
      </c>
    </row>
    <row r="2421" spans="1:7" ht="21" x14ac:dyDescent="0.25">
      <c r="A2421" s="2" t="str">
        <f>HYPERLINK("https://rth.dk/resources/bsgatlas/details.php?id=BSGatlas-5'UTR-2420","BSGatlas-5'UTR-2420")</f>
        <v>BSGatlas-5'UTR-2420</v>
      </c>
      <c r="B2421" s="3">
        <v>3658892</v>
      </c>
      <c r="C2421" s="3">
        <v>3658936</v>
      </c>
      <c r="D2421" s="1" t="s">
        <v>13</v>
      </c>
      <c r="E2421" s="1">
        <v>45</v>
      </c>
      <c r="F2421" s="1" t="s">
        <v>13756</v>
      </c>
      <c r="G2421" s="1" t="s">
        <v>10405</v>
      </c>
    </row>
    <row r="2422" spans="1:7" ht="21" x14ac:dyDescent="0.25">
      <c r="A2422" s="2" t="str">
        <f>HYPERLINK("https://rth.dk/resources/bsgatlas/details.php?id=BSGatlas-5'UTR-2421","BSGatlas-5'UTR-2421")</f>
        <v>BSGatlas-5'UTR-2421</v>
      </c>
      <c r="B2422" s="3">
        <v>3658892</v>
      </c>
      <c r="C2422" s="3">
        <v>3658937</v>
      </c>
      <c r="D2422" s="1" t="s">
        <v>13</v>
      </c>
      <c r="E2422" s="1">
        <v>46</v>
      </c>
      <c r="F2422" s="1" t="s">
        <v>13756</v>
      </c>
      <c r="G2422" s="1" t="s">
        <v>10406</v>
      </c>
    </row>
    <row r="2423" spans="1:7" ht="21" x14ac:dyDescent="0.25">
      <c r="A2423" s="2" t="str">
        <f>HYPERLINK("https://rth.dk/resources/bsgatlas/details.php?id=BSGatlas-5'UTR-2422","BSGatlas-5'UTR-2422")</f>
        <v>BSGatlas-5'UTR-2422</v>
      </c>
      <c r="B2423" s="3">
        <v>3663097</v>
      </c>
      <c r="C2423" s="3">
        <v>3663130</v>
      </c>
      <c r="D2423" s="1" t="s">
        <v>13</v>
      </c>
      <c r="E2423" s="1">
        <v>34</v>
      </c>
      <c r="F2423" s="1" t="s">
        <v>13757</v>
      </c>
      <c r="G2423" s="1" t="s">
        <v>10410</v>
      </c>
    </row>
    <row r="2424" spans="1:7" ht="21" x14ac:dyDescent="0.25">
      <c r="A2424" s="2" t="str">
        <f>HYPERLINK("https://rth.dk/resources/bsgatlas/details.php?id=BSGatlas-5'UTR-2423","BSGatlas-5'UTR-2423")</f>
        <v>BSGatlas-5'UTR-2423</v>
      </c>
      <c r="B2424" s="3">
        <v>3663113</v>
      </c>
      <c r="C2424" s="3">
        <v>3663281</v>
      </c>
      <c r="D2424" s="1" t="s">
        <v>9</v>
      </c>
      <c r="E2424" s="1">
        <v>169</v>
      </c>
      <c r="F2424" s="1" t="s">
        <v>13758</v>
      </c>
      <c r="G2424" s="1" t="s">
        <v>10412</v>
      </c>
    </row>
    <row r="2425" spans="1:7" ht="21" x14ac:dyDescent="0.25">
      <c r="A2425" s="2" t="str">
        <f>HYPERLINK("https://rth.dk/resources/bsgatlas/details.php?id=BSGatlas-5'UTR-2424","BSGatlas-5'UTR-2424")</f>
        <v>BSGatlas-5'UTR-2424</v>
      </c>
      <c r="B2425" s="3">
        <v>3663197</v>
      </c>
      <c r="C2425" s="3">
        <v>3663281</v>
      </c>
      <c r="D2425" s="1" t="s">
        <v>9</v>
      </c>
      <c r="E2425" s="1">
        <v>85</v>
      </c>
      <c r="F2425" s="1" t="s">
        <v>13758</v>
      </c>
      <c r="G2425" s="1" t="s">
        <v>10414</v>
      </c>
    </row>
    <row r="2426" spans="1:7" ht="21" x14ac:dyDescent="0.25">
      <c r="A2426" s="2" t="str">
        <f>HYPERLINK("https://rth.dk/resources/bsgatlas/details.php?id=BSGatlas-5'UTR-2425","BSGatlas-5'UTR-2425")</f>
        <v>BSGatlas-5'UTR-2425</v>
      </c>
      <c r="B2426" s="3">
        <v>3663257</v>
      </c>
      <c r="C2426" s="3">
        <v>3663281</v>
      </c>
      <c r="D2426" s="1" t="s">
        <v>9</v>
      </c>
      <c r="E2426" s="1">
        <v>25</v>
      </c>
      <c r="F2426" s="1" t="s">
        <v>13758</v>
      </c>
      <c r="G2426" s="1" t="s">
        <v>10415</v>
      </c>
    </row>
    <row r="2427" spans="1:7" ht="21" x14ac:dyDescent="0.25">
      <c r="A2427" s="2" t="str">
        <f>HYPERLINK("https://rth.dk/resources/bsgatlas/details.php?id=BSGatlas-5'UTR-2426","BSGatlas-5'UTR-2426")</f>
        <v>BSGatlas-5'UTR-2426</v>
      </c>
      <c r="B2427" s="3">
        <v>3665383</v>
      </c>
      <c r="C2427" s="3">
        <v>3665436</v>
      </c>
      <c r="D2427" s="1" t="s">
        <v>13</v>
      </c>
      <c r="E2427" s="1">
        <v>54</v>
      </c>
      <c r="F2427" s="1" t="s">
        <v>13759</v>
      </c>
      <c r="G2427" s="1" t="s">
        <v>10416</v>
      </c>
    </row>
    <row r="2428" spans="1:7" ht="21" x14ac:dyDescent="0.25">
      <c r="A2428" s="2" t="str">
        <f>HYPERLINK("https://rth.dk/resources/bsgatlas/details.php?id=BSGatlas-5'UTR-2427","BSGatlas-5'UTR-2427")</f>
        <v>BSGatlas-5'UTR-2427</v>
      </c>
      <c r="B2428" s="3">
        <v>3665549</v>
      </c>
      <c r="C2428" s="3">
        <v>3665629</v>
      </c>
      <c r="D2428" s="1" t="s">
        <v>9</v>
      </c>
      <c r="E2428" s="1">
        <v>81</v>
      </c>
      <c r="F2428" s="1" t="s">
        <v>13760</v>
      </c>
      <c r="G2428" s="1" t="s">
        <v>10418</v>
      </c>
    </row>
    <row r="2429" spans="1:7" ht="21" x14ac:dyDescent="0.25">
      <c r="A2429" s="2" t="str">
        <f>HYPERLINK("https://rth.dk/resources/bsgatlas/details.php?id=BSGatlas-5'UTR-2428","BSGatlas-5'UTR-2428")</f>
        <v>BSGatlas-5'UTR-2428</v>
      </c>
      <c r="B2429" s="3">
        <v>3665584</v>
      </c>
      <c r="C2429" s="3">
        <v>3665629</v>
      </c>
      <c r="D2429" s="1" t="s">
        <v>9</v>
      </c>
      <c r="E2429" s="1">
        <v>46</v>
      </c>
      <c r="F2429" s="1" t="s">
        <v>13760</v>
      </c>
      <c r="G2429" s="1" t="s">
        <v>10420</v>
      </c>
    </row>
    <row r="2430" spans="1:7" ht="21" x14ac:dyDescent="0.25">
      <c r="A2430" s="2" t="str">
        <f>HYPERLINK("https://rth.dk/resources/bsgatlas/details.php?id=BSGatlas-5'UTR-2429","BSGatlas-5'UTR-2429")</f>
        <v>BSGatlas-5'UTR-2429</v>
      </c>
      <c r="B2430" s="3">
        <v>3672793</v>
      </c>
      <c r="C2430" s="3">
        <v>3672929</v>
      </c>
      <c r="D2430" s="1" t="s">
        <v>9</v>
      </c>
      <c r="E2430" s="1">
        <v>137</v>
      </c>
      <c r="F2430" s="1" t="s">
        <v>13761</v>
      </c>
      <c r="G2430" s="1" t="s">
        <v>10427</v>
      </c>
    </row>
    <row r="2431" spans="1:7" ht="21" x14ac:dyDescent="0.25">
      <c r="A2431" s="2" t="str">
        <f>HYPERLINK("https://rth.dk/resources/bsgatlas/details.php?id=BSGatlas-5'UTR-2430","BSGatlas-5'UTR-2430")</f>
        <v>BSGatlas-5'UTR-2430</v>
      </c>
      <c r="B2431" s="3">
        <v>3675994</v>
      </c>
      <c r="C2431" s="3">
        <v>3676059</v>
      </c>
      <c r="D2431" s="1" t="s">
        <v>13</v>
      </c>
      <c r="E2431" s="1">
        <v>66</v>
      </c>
      <c r="F2431" s="1" t="s">
        <v>13762</v>
      </c>
      <c r="G2431" s="1" t="s">
        <v>13763</v>
      </c>
    </row>
    <row r="2432" spans="1:7" ht="21" x14ac:dyDescent="0.25">
      <c r="A2432" s="2" t="str">
        <f>HYPERLINK("https://rth.dk/resources/bsgatlas/details.php?id=BSGatlas-5'UTR-2431","BSGatlas-5'UTR-2431")</f>
        <v>BSGatlas-5'UTR-2431</v>
      </c>
      <c r="B2432" s="3">
        <v>3680970</v>
      </c>
      <c r="C2432" s="3">
        <v>3681091</v>
      </c>
      <c r="D2432" s="1" t="s">
        <v>13</v>
      </c>
      <c r="E2432" s="1">
        <v>122</v>
      </c>
      <c r="F2432" s="1" t="s">
        <v>13764</v>
      </c>
      <c r="G2432" s="1" t="s">
        <v>10432</v>
      </c>
    </row>
    <row r="2433" spans="1:7" ht="21" x14ac:dyDescent="0.25">
      <c r="A2433" s="2" t="str">
        <f>HYPERLINK("https://rth.dk/resources/bsgatlas/details.php?id=BSGatlas-5'UTR-2432","BSGatlas-5'UTR-2432")</f>
        <v>BSGatlas-5'UTR-2432</v>
      </c>
      <c r="B2433" s="3">
        <v>3681295</v>
      </c>
      <c r="C2433" s="3">
        <v>3681370</v>
      </c>
      <c r="D2433" s="1" t="s">
        <v>9</v>
      </c>
      <c r="E2433" s="1">
        <v>76</v>
      </c>
      <c r="F2433" s="1" t="s">
        <v>13765</v>
      </c>
      <c r="G2433" s="1" t="s">
        <v>10435</v>
      </c>
    </row>
    <row r="2434" spans="1:7" ht="21" x14ac:dyDescent="0.25">
      <c r="A2434" s="2" t="str">
        <f>HYPERLINK("https://rth.dk/resources/bsgatlas/details.php?id=BSGatlas-5'UTR-2433","BSGatlas-5'UTR-2433")</f>
        <v>BSGatlas-5'UTR-2433</v>
      </c>
      <c r="B2434" s="3">
        <v>3683392</v>
      </c>
      <c r="C2434" s="3">
        <v>3683438</v>
      </c>
      <c r="D2434" s="1" t="s">
        <v>9</v>
      </c>
      <c r="E2434" s="1">
        <v>47</v>
      </c>
      <c r="F2434" s="1" t="s">
        <v>13766</v>
      </c>
      <c r="G2434" s="1" t="s">
        <v>10440</v>
      </c>
    </row>
    <row r="2435" spans="1:7" ht="21" x14ac:dyDescent="0.25">
      <c r="A2435" s="2" t="str">
        <f>HYPERLINK("https://rth.dk/resources/bsgatlas/details.php?id=BSGatlas-5'UTR-2434","BSGatlas-5'UTR-2434")</f>
        <v>BSGatlas-5'UTR-2434</v>
      </c>
      <c r="B2435" s="3">
        <v>3687468</v>
      </c>
      <c r="C2435" s="3">
        <v>3687506</v>
      </c>
      <c r="D2435" s="1" t="s">
        <v>13</v>
      </c>
      <c r="E2435" s="1">
        <v>39</v>
      </c>
      <c r="F2435" s="1" t="s">
        <v>13767</v>
      </c>
      <c r="G2435" s="1" t="s">
        <v>10444</v>
      </c>
    </row>
    <row r="2436" spans="1:7" ht="21" x14ac:dyDescent="0.25">
      <c r="A2436" s="2" t="str">
        <f>HYPERLINK("https://rth.dk/resources/bsgatlas/details.php?id=BSGatlas-5'UTR-2435","BSGatlas-5'UTR-2435")</f>
        <v>BSGatlas-5'UTR-2435</v>
      </c>
      <c r="B2436" s="3">
        <v>3688547</v>
      </c>
      <c r="C2436" s="3">
        <v>3688577</v>
      </c>
      <c r="D2436" s="1" t="s">
        <v>13</v>
      </c>
      <c r="E2436" s="1">
        <v>31</v>
      </c>
      <c r="F2436" s="1" t="s">
        <v>13768</v>
      </c>
      <c r="G2436" s="1" t="s">
        <v>10445</v>
      </c>
    </row>
    <row r="2437" spans="1:7" ht="21" x14ac:dyDescent="0.25">
      <c r="A2437" s="2" t="str">
        <f>HYPERLINK("https://rth.dk/resources/bsgatlas/details.php?id=BSGatlas-5'UTR-2436","BSGatlas-5'UTR-2436")</f>
        <v>BSGatlas-5'UTR-2436</v>
      </c>
      <c r="B2437" s="3">
        <v>3688547</v>
      </c>
      <c r="C2437" s="3">
        <v>3688717</v>
      </c>
      <c r="D2437" s="1" t="s">
        <v>13</v>
      </c>
      <c r="E2437" s="1">
        <v>171</v>
      </c>
      <c r="F2437" s="1" t="s">
        <v>13768</v>
      </c>
      <c r="G2437" s="1" t="s">
        <v>10447</v>
      </c>
    </row>
    <row r="2438" spans="1:7" ht="21" x14ac:dyDescent="0.25">
      <c r="A2438" s="2" t="str">
        <f>HYPERLINK("https://rth.dk/resources/bsgatlas/details.php?id=BSGatlas-5'UTR-2437","BSGatlas-5'UTR-2437")</f>
        <v>BSGatlas-5'UTR-2437</v>
      </c>
      <c r="B2438" s="3">
        <v>3688776</v>
      </c>
      <c r="C2438" s="3">
        <v>3688812</v>
      </c>
      <c r="D2438" s="1" t="s">
        <v>9</v>
      </c>
      <c r="E2438" s="1">
        <v>37</v>
      </c>
      <c r="F2438" s="1" t="s">
        <v>13769</v>
      </c>
      <c r="G2438" s="1" t="s">
        <v>10449</v>
      </c>
    </row>
    <row r="2439" spans="1:7" ht="21" x14ac:dyDescent="0.25">
      <c r="A2439" s="2" t="str">
        <f>HYPERLINK("https://rth.dk/resources/bsgatlas/details.php?id=BSGatlas-5'UTR-2438","BSGatlas-5'UTR-2438")</f>
        <v>BSGatlas-5'UTR-2438</v>
      </c>
      <c r="B2439" s="3">
        <v>3693906</v>
      </c>
      <c r="C2439" s="3">
        <v>3693954</v>
      </c>
      <c r="D2439" s="1" t="s">
        <v>13</v>
      </c>
      <c r="E2439" s="1">
        <v>49</v>
      </c>
      <c r="F2439" s="1" t="s">
        <v>13770</v>
      </c>
      <c r="G2439" s="1" t="s">
        <v>10451</v>
      </c>
    </row>
    <row r="2440" spans="1:7" ht="21" x14ac:dyDescent="0.25">
      <c r="A2440" s="2" t="str">
        <f>HYPERLINK("https://rth.dk/resources/bsgatlas/details.php?id=BSGatlas-5'UTR-2439","BSGatlas-5'UTR-2439")</f>
        <v>BSGatlas-5'UTR-2439</v>
      </c>
      <c r="B2440" s="3">
        <v>3694080</v>
      </c>
      <c r="C2440" s="3">
        <v>3694239</v>
      </c>
      <c r="D2440" s="1" t="s">
        <v>9</v>
      </c>
      <c r="E2440" s="1">
        <v>160</v>
      </c>
      <c r="F2440" s="1" t="s">
        <v>13771</v>
      </c>
      <c r="G2440" s="1" t="s">
        <v>10454</v>
      </c>
    </row>
    <row r="2441" spans="1:7" ht="21" x14ac:dyDescent="0.25">
      <c r="A2441" s="2" t="str">
        <f>HYPERLINK("https://rth.dk/resources/bsgatlas/details.php?id=BSGatlas-5'UTR-2440","BSGatlas-5'UTR-2440")</f>
        <v>BSGatlas-5'UTR-2440</v>
      </c>
      <c r="B2441" s="3">
        <v>3694202</v>
      </c>
      <c r="C2441" s="3">
        <v>3694239</v>
      </c>
      <c r="D2441" s="1" t="s">
        <v>9</v>
      </c>
      <c r="E2441" s="1">
        <v>38</v>
      </c>
      <c r="F2441" s="1" t="s">
        <v>13771</v>
      </c>
      <c r="G2441" s="1" t="s">
        <v>10458</v>
      </c>
    </row>
    <row r="2442" spans="1:7" ht="21" x14ac:dyDescent="0.25">
      <c r="A2442" s="2" t="str">
        <f>HYPERLINK("https://rth.dk/resources/bsgatlas/details.php?id=BSGatlas-5'UTR-2441","BSGatlas-5'UTR-2441")</f>
        <v>BSGatlas-5'UTR-2441</v>
      </c>
      <c r="B2442" s="3">
        <v>3695280</v>
      </c>
      <c r="C2442" s="3">
        <v>3695363</v>
      </c>
      <c r="D2442" s="1" t="s">
        <v>9</v>
      </c>
      <c r="E2442" s="1">
        <v>84</v>
      </c>
      <c r="F2442" s="1" t="s">
        <v>13772</v>
      </c>
      <c r="G2442" s="1" t="s">
        <v>10459</v>
      </c>
    </row>
    <row r="2443" spans="1:7" ht="21" x14ac:dyDescent="0.25">
      <c r="A2443" s="2" t="str">
        <f>HYPERLINK("https://rth.dk/resources/bsgatlas/details.php?id=BSGatlas-5'UTR-2442","BSGatlas-5'UTR-2442")</f>
        <v>BSGatlas-5'UTR-2442</v>
      </c>
      <c r="B2443" s="3">
        <v>3697498</v>
      </c>
      <c r="C2443" s="3">
        <v>3697542</v>
      </c>
      <c r="D2443" s="1" t="s">
        <v>13</v>
      </c>
      <c r="E2443" s="1">
        <v>45</v>
      </c>
      <c r="F2443" s="1" t="s">
        <v>13773</v>
      </c>
      <c r="G2443" s="1" t="s">
        <v>10460</v>
      </c>
    </row>
    <row r="2444" spans="1:7" ht="21" x14ac:dyDescent="0.25">
      <c r="A2444" s="2" t="str">
        <f>HYPERLINK("https://rth.dk/resources/bsgatlas/details.php?id=BSGatlas-5'UTR-2443","BSGatlas-5'UTR-2443")</f>
        <v>BSGatlas-5'UTR-2443</v>
      </c>
      <c r="B2444" s="3">
        <v>3700627</v>
      </c>
      <c r="C2444" s="3">
        <v>3701384</v>
      </c>
      <c r="D2444" s="1" t="s">
        <v>13</v>
      </c>
      <c r="E2444" s="1">
        <v>758</v>
      </c>
      <c r="F2444" s="1" t="s">
        <v>13774</v>
      </c>
      <c r="G2444" s="1" t="s">
        <v>10464</v>
      </c>
    </row>
    <row r="2445" spans="1:7" ht="21" x14ac:dyDescent="0.25">
      <c r="A2445" s="2" t="str">
        <f>HYPERLINK("https://rth.dk/resources/bsgatlas/details.php?id=BSGatlas-5'UTR-2444","BSGatlas-5'UTR-2444")</f>
        <v>BSGatlas-5'UTR-2444</v>
      </c>
      <c r="B2445" s="3">
        <v>3701379</v>
      </c>
      <c r="C2445" s="3">
        <v>3701411</v>
      </c>
      <c r="D2445" s="1" t="s">
        <v>9</v>
      </c>
      <c r="E2445" s="1">
        <v>33</v>
      </c>
      <c r="F2445" s="1" t="s">
        <v>13775</v>
      </c>
      <c r="G2445" s="1" t="s">
        <v>10468</v>
      </c>
    </row>
    <row r="2446" spans="1:7" ht="21" x14ac:dyDescent="0.25">
      <c r="A2446" s="2" t="str">
        <f>HYPERLINK("https://rth.dk/resources/bsgatlas/details.php?id=BSGatlas-5'UTR-2445","BSGatlas-5'UTR-2445")</f>
        <v>BSGatlas-5'UTR-2445</v>
      </c>
      <c r="B2446" s="3">
        <v>3702276</v>
      </c>
      <c r="C2446" s="3">
        <v>3702393</v>
      </c>
      <c r="D2446" s="1" t="s">
        <v>9</v>
      </c>
      <c r="E2446" s="1">
        <v>118</v>
      </c>
      <c r="F2446" s="1" t="s">
        <v>13776</v>
      </c>
      <c r="G2446" s="1" t="s">
        <v>13777</v>
      </c>
    </row>
    <row r="2447" spans="1:7" ht="21" x14ac:dyDescent="0.25">
      <c r="A2447" s="2" t="str">
        <f>HYPERLINK("https://rth.dk/resources/bsgatlas/details.php?id=BSGatlas-5'UTR-2446","BSGatlas-5'UTR-2446")</f>
        <v>BSGatlas-5'UTR-2446</v>
      </c>
      <c r="B2447" s="3">
        <v>3707094</v>
      </c>
      <c r="C2447" s="3">
        <v>3707144</v>
      </c>
      <c r="D2447" s="1" t="s">
        <v>9</v>
      </c>
      <c r="E2447" s="1">
        <v>51</v>
      </c>
      <c r="F2447" s="1" t="s">
        <v>13778</v>
      </c>
      <c r="G2447" s="1" t="s">
        <v>10469</v>
      </c>
    </row>
    <row r="2448" spans="1:7" ht="21" x14ac:dyDescent="0.25">
      <c r="A2448" s="2" t="str">
        <f>HYPERLINK("https://rth.dk/resources/bsgatlas/details.php?id=BSGatlas-5'UTR-2447","BSGatlas-5'UTR-2447")</f>
        <v>BSGatlas-5'UTR-2447</v>
      </c>
      <c r="B2448" s="3">
        <v>3707820</v>
      </c>
      <c r="C2448" s="3">
        <v>3707836</v>
      </c>
      <c r="D2448" s="1" t="s">
        <v>9</v>
      </c>
      <c r="E2448" s="1">
        <v>17</v>
      </c>
      <c r="F2448" s="1" t="s">
        <v>13779</v>
      </c>
      <c r="G2448" s="1" t="s">
        <v>10471</v>
      </c>
    </row>
    <row r="2449" spans="1:7" ht="21" x14ac:dyDescent="0.25">
      <c r="A2449" s="2" t="str">
        <f>HYPERLINK("https://rth.dk/resources/bsgatlas/details.php?id=BSGatlas-5'UTR-2448","BSGatlas-5'UTR-2448")</f>
        <v>BSGatlas-5'UTR-2448</v>
      </c>
      <c r="B2449" s="3">
        <v>3708699</v>
      </c>
      <c r="C2449" s="3">
        <v>3708732</v>
      </c>
      <c r="D2449" s="1" t="s">
        <v>13</v>
      </c>
      <c r="E2449" s="1">
        <v>34</v>
      </c>
      <c r="F2449" s="1" t="s">
        <v>13780</v>
      </c>
      <c r="G2449" s="1" t="s">
        <v>10473</v>
      </c>
    </row>
    <row r="2450" spans="1:7" ht="21" x14ac:dyDescent="0.25">
      <c r="A2450" s="2" t="str">
        <f>HYPERLINK("https://rth.dk/resources/bsgatlas/details.php?id=BSGatlas-5'UTR-2449","BSGatlas-5'UTR-2449")</f>
        <v>BSGatlas-5'UTR-2449</v>
      </c>
      <c r="B2450" s="3">
        <v>3710262</v>
      </c>
      <c r="C2450" s="3">
        <v>3711498</v>
      </c>
      <c r="D2450" s="1" t="s">
        <v>9</v>
      </c>
      <c r="E2450" s="1">
        <v>1237</v>
      </c>
      <c r="F2450" s="1" t="s">
        <v>13781</v>
      </c>
      <c r="G2450" s="1" t="s">
        <v>10479</v>
      </c>
    </row>
    <row r="2451" spans="1:7" ht="21" x14ac:dyDescent="0.25">
      <c r="A2451" s="2" t="str">
        <f>HYPERLINK("https://rth.dk/resources/bsgatlas/details.php?id=BSGatlas-5'UTR-2450","BSGatlas-5'UTR-2450")</f>
        <v>BSGatlas-5'UTR-2450</v>
      </c>
      <c r="B2451" s="3">
        <v>3711340</v>
      </c>
      <c r="C2451" s="3">
        <v>3711394</v>
      </c>
      <c r="D2451" s="1" t="s">
        <v>13</v>
      </c>
      <c r="E2451" s="1">
        <v>55</v>
      </c>
      <c r="F2451" s="1" t="s">
        <v>13782</v>
      </c>
      <c r="G2451" s="1" t="s">
        <v>10476</v>
      </c>
    </row>
    <row r="2452" spans="1:7" ht="21" x14ac:dyDescent="0.25">
      <c r="A2452" s="2" t="str">
        <f>HYPERLINK("https://rth.dk/resources/bsgatlas/details.php?id=BSGatlas-5'UTR-2451","BSGatlas-5'UTR-2451")</f>
        <v>BSGatlas-5'UTR-2451</v>
      </c>
      <c r="B2452" s="3">
        <v>3711450</v>
      </c>
      <c r="C2452" s="3">
        <v>3711498</v>
      </c>
      <c r="D2452" s="1" t="s">
        <v>9</v>
      </c>
      <c r="E2452" s="1">
        <v>49</v>
      </c>
      <c r="F2452" s="1" t="s">
        <v>13781</v>
      </c>
      <c r="G2452" s="1" t="s">
        <v>10481</v>
      </c>
    </row>
    <row r="2453" spans="1:7" ht="21" x14ac:dyDescent="0.25">
      <c r="A2453" s="2" t="str">
        <f>HYPERLINK("https://rth.dk/resources/bsgatlas/details.php?id=BSGatlas-5'UTR-2452","BSGatlas-5'UTR-2452")</f>
        <v>BSGatlas-5'UTR-2452</v>
      </c>
      <c r="B2453" s="3">
        <v>3712484</v>
      </c>
      <c r="C2453" s="3">
        <v>3712617</v>
      </c>
      <c r="D2453" s="1" t="s">
        <v>9</v>
      </c>
      <c r="E2453" s="1">
        <v>134</v>
      </c>
      <c r="F2453" s="1" t="s">
        <v>13783</v>
      </c>
      <c r="G2453" s="1" t="s">
        <v>10482</v>
      </c>
    </row>
    <row r="2454" spans="1:7" ht="21" x14ac:dyDescent="0.25">
      <c r="A2454" s="2" t="str">
        <f>HYPERLINK("https://rth.dk/resources/bsgatlas/details.php?id=BSGatlas-5'UTR-2453","BSGatlas-5'UTR-2453")</f>
        <v>BSGatlas-5'UTR-2453</v>
      </c>
      <c r="B2454" s="3">
        <v>3715881</v>
      </c>
      <c r="C2454" s="3">
        <v>3715921</v>
      </c>
      <c r="D2454" s="1" t="s">
        <v>13</v>
      </c>
      <c r="E2454" s="1">
        <v>41</v>
      </c>
      <c r="F2454" s="1" t="s">
        <v>13784</v>
      </c>
      <c r="G2454" s="1" t="s">
        <v>10485</v>
      </c>
    </row>
    <row r="2455" spans="1:7" ht="21" x14ac:dyDescent="0.25">
      <c r="A2455" s="2" t="str">
        <f>HYPERLINK("https://rth.dk/resources/bsgatlas/details.php?id=BSGatlas-5'UTR-2454","BSGatlas-5'UTR-2454")</f>
        <v>BSGatlas-5'UTR-2454</v>
      </c>
      <c r="B2455" s="3">
        <v>3717097</v>
      </c>
      <c r="C2455" s="3">
        <v>3717196</v>
      </c>
      <c r="D2455" s="1" t="s">
        <v>13</v>
      </c>
      <c r="E2455" s="1">
        <v>100</v>
      </c>
      <c r="F2455" s="1" t="s">
        <v>13785</v>
      </c>
      <c r="G2455" s="1" t="s">
        <v>10487</v>
      </c>
    </row>
    <row r="2456" spans="1:7" ht="21" x14ac:dyDescent="0.25">
      <c r="A2456" s="2" t="str">
        <f>HYPERLINK("https://rth.dk/resources/bsgatlas/details.php?id=BSGatlas-5'UTR-2455","BSGatlas-5'UTR-2455")</f>
        <v>BSGatlas-5'UTR-2455</v>
      </c>
      <c r="B2456" s="3">
        <v>3717191</v>
      </c>
      <c r="C2456" s="3">
        <v>3717238</v>
      </c>
      <c r="D2456" s="1" t="s">
        <v>9</v>
      </c>
      <c r="E2456" s="1">
        <v>48</v>
      </c>
      <c r="F2456" s="1" t="s">
        <v>13786</v>
      </c>
      <c r="G2456" s="1" t="s">
        <v>10490</v>
      </c>
    </row>
    <row r="2457" spans="1:7" ht="21" x14ac:dyDescent="0.25">
      <c r="A2457" s="2" t="str">
        <f>HYPERLINK("https://rth.dk/resources/bsgatlas/details.php?id=BSGatlas-5'UTR-2456","BSGatlas-5'UTR-2456")</f>
        <v>BSGatlas-5'UTR-2456</v>
      </c>
      <c r="B2457" s="3">
        <v>3717906</v>
      </c>
      <c r="C2457" s="3">
        <v>3719094</v>
      </c>
      <c r="D2457" s="1" t="s">
        <v>13</v>
      </c>
      <c r="E2457" s="1">
        <v>1189</v>
      </c>
      <c r="F2457" s="1" t="s">
        <v>13787</v>
      </c>
      <c r="G2457" s="1" t="s">
        <v>10496</v>
      </c>
    </row>
    <row r="2458" spans="1:7" ht="21" x14ac:dyDescent="0.25">
      <c r="A2458" s="2" t="str">
        <f>HYPERLINK("https://rth.dk/resources/bsgatlas/details.php?id=BSGatlas-5'UTR-2457","BSGatlas-5'UTR-2457")</f>
        <v>BSGatlas-5'UTR-2457</v>
      </c>
      <c r="B2458" s="3">
        <v>3717961</v>
      </c>
      <c r="C2458" s="3">
        <v>3717999</v>
      </c>
      <c r="D2458" s="1" t="s">
        <v>9</v>
      </c>
      <c r="E2458" s="1">
        <v>39</v>
      </c>
      <c r="F2458" s="1" t="s">
        <v>13788</v>
      </c>
      <c r="G2458" s="1" t="s">
        <v>10497</v>
      </c>
    </row>
    <row r="2459" spans="1:7" ht="21" x14ac:dyDescent="0.25">
      <c r="A2459" s="2" t="str">
        <f>HYPERLINK("https://rth.dk/resources/bsgatlas/details.php?id=BSGatlas-5'UTR-2458","BSGatlas-5'UTR-2458")</f>
        <v>BSGatlas-5'UTR-2458</v>
      </c>
      <c r="B2459" s="3">
        <v>3718777</v>
      </c>
      <c r="C2459" s="3">
        <v>3718794</v>
      </c>
      <c r="D2459" s="1" t="s">
        <v>9</v>
      </c>
      <c r="E2459" s="1">
        <v>18</v>
      </c>
      <c r="F2459" s="1" t="s">
        <v>13789</v>
      </c>
      <c r="G2459" s="1" t="s">
        <v>10500</v>
      </c>
    </row>
    <row r="2460" spans="1:7" ht="21" x14ac:dyDescent="0.25">
      <c r="A2460" s="2" t="str">
        <f>HYPERLINK("https://rth.dk/resources/bsgatlas/details.php?id=BSGatlas-5'UTR-2459","BSGatlas-5'UTR-2459")</f>
        <v>BSGatlas-5'UTR-2459</v>
      </c>
      <c r="B2460" s="3">
        <v>3720886</v>
      </c>
      <c r="C2460" s="3">
        <v>3720925</v>
      </c>
      <c r="D2460" s="1" t="s">
        <v>9</v>
      </c>
      <c r="E2460" s="1">
        <v>40</v>
      </c>
      <c r="F2460" s="1" t="s">
        <v>13790</v>
      </c>
      <c r="G2460" s="1" t="s">
        <v>10503</v>
      </c>
    </row>
    <row r="2461" spans="1:7" ht="21" x14ac:dyDescent="0.25">
      <c r="A2461" s="2" t="str">
        <f>HYPERLINK("https://rth.dk/resources/bsgatlas/details.php?id=BSGatlas-5'UTR-2460","BSGatlas-5'UTR-2460")</f>
        <v>BSGatlas-5'UTR-2460</v>
      </c>
      <c r="B2461" s="3">
        <v>3722736</v>
      </c>
      <c r="C2461" s="3">
        <v>3723454</v>
      </c>
      <c r="D2461" s="1" t="s">
        <v>9</v>
      </c>
      <c r="E2461" s="1">
        <v>719</v>
      </c>
      <c r="F2461" s="1" t="s">
        <v>13791</v>
      </c>
      <c r="G2461" s="1" t="s">
        <v>10506</v>
      </c>
    </row>
    <row r="2462" spans="1:7" ht="21" x14ac:dyDescent="0.25">
      <c r="A2462" s="2" t="str">
        <f>HYPERLINK("https://rth.dk/resources/bsgatlas/details.php?id=BSGatlas-5'UTR-2461","BSGatlas-5'UTR-2461")</f>
        <v>BSGatlas-5'UTR-2461</v>
      </c>
      <c r="B2462" s="3">
        <v>3723374</v>
      </c>
      <c r="C2462" s="3">
        <v>3723454</v>
      </c>
      <c r="D2462" s="1" t="s">
        <v>9</v>
      </c>
      <c r="E2462" s="1">
        <v>81</v>
      </c>
      <c r="F2462" s="1" t="s">
        <v>13791</v>
      </c>
      <c r="G2462" s="1" t="s">
        <v>10507</v>
      </c>
    </row>
    <row r="2463" spans="1:7" ht="21" x14ac:dyDescent="0.25">
      <c r="A2463" s="2" t="str">
        <f>HYPERLINK("https://rth.dk/resources/bsgatlas/details.php?id=BSGatlas-5'UTR-2462","BSGatlas-5'UTR-2462")</f>
        <v>BSGatlas-5'UTR-2462</v>
      </c>
      <c r="B2463" s="3">
        <v>3728119</v>
      </c>
      <c r="C2463" s="3">
        <v>3728202</v>
      </c>
      <c r="D2463" s="1" t="s">
        <v>13</v>
      </c>
      <c r="E2463" s="1">
        <v>84</v>
      </c>
      <c r="F2463" s="1" t="s">
        <v>13792</v>
      </c>
      <c r="G2463" s="1" t="s">
        <v>10510</v>
      </c>
    </row>
    <row r="2464" spans="1:7" ht="21" x14ac:dyDescent="0.25">
      <c r="A2464" s="2" t="str">
        <f>HYPERLINK("https://rth.dk/resources/bsgatlas/details.php?id=BSGatlas-5'UTR-2463","BSGatlas-5'UTR-2463")</f>
        <v>BSGatlas-5'UTR-2463</v>
      </c>
      <c r="B2464" s="3">
        <v>3729296</v>
      </c>
      <c r="C2464" s="3">
        <v>3729412</v>
      </c>
      <c r="D2464" s="1" t="s">
        <v>13</v>
      </c>
      <c r="E2464" s="1">
        <v>117</v>
      </c>
      <c r="F2464" s="1" t="s">
        <v>13793</v>
      </c>
      <c r="G2464" s="1" t="s">
        <v>10511</v>
      </c>
    </row>
    <row r="2465" spans="1:7" ht="21" x14ac:dyDescent="0.25">
      <c r="A2465" s="2" t="str">
        <f>HYPERLINK("https://rth.dk/resources/bsgatlas/details.php?id=BSGatlas-5'UTR-2464","BSGatlas-5'UTR-2464")</f>
        <v>BSGatlas-5'UTR-2464</v>
      </c>
      <c r="B2465" s="3">
        <v>3730810</v>
      </c>
      <c r="C2465" s="3">
        <v>3730844</v>
      </c>
      <c r="D2465" s="1" t="s">
        <v>13</v>
      </c>
      <c r="E2465" s="1">
        <v>35</v>
      </c>
      <c r="F2465" s="1" t="s">
        <v>13794</v>
      </c>
      <c r="G2465" s="1" t="s">
        <v>10513</v>
      </c>
    </row>
    <row r="2466" spans="1:7" ht="21" x14ac:dyDescent="0.25">
      <c r="A2466" s="2" t="str">
        <f>HYPERLINK("https://rth.dk/resources/bsgatlas/details.php?id=BSGatlas-5'UTR-2465","BSGatlas-5'UTR-2465")</f>
        <v>BSGatlas-5'UTR-2465</v>
      </c>
      <c r="B2466" s="3">
        <v>3730810</v>
      </c>
      <c r="C2466" s="3">
        <v>3730971</v>
      </c>
      <c r="D2466" s="1" t="s">
        <v>13</v>
      </c>
      <c r="E2466" s="1">
        <v>162</v>
      </c>
      <c r="F2466" s="1" t="s">
        <v>13794</v>
      </c>
      <c r="G2466" s="1" t="s">
        <v>10515</v>
      </c>
    </row>
    <row r="2467" spans="1:7" ht="21" x14ac:dyDescent="0.25">
      <c r="A2467" s="2" t="str">
        <f>HYPERLINK("https://rth.dk/resources/bsgatlas/details.php?id=BSGatlas-5'UTR-2466","BSGatlas-5'UTR-2466")</f>
        <v>BSGatlas-5'UTR-2466</v>
      </c>
      <c r="B2467" s="3">
        <v>3733271</v>
      </c>
      <c r="C2467" s="3">
        <v>3733315</v>
      </c>
      <c r="D2467" s="1" t="s">
        <v>13</v>
      </c>
      <c r="E2467" s="1">
        <v>45</v>
      </c>
      <c r="F2467" s="1" t="s">
        <v>13795</v>
      </c>
      <c r="G2467" s="1" t="s">
        <v>10517</v>
      </c>
    </row>
    <row r="2468" spans="1:7" ht="21" x14ac:dyDescent="0.25">
      <c r="A2468" s="2" t="str">
        <f>HYPERLINK("https://rth.dk/resources/bsgatlas/details.php?id=BSGatlas-5'UTR-2467","BSGatlas-5'UTR-2467")</f>
        <v>BSGatlas-5'UTR-2467</v>
      </c>
      <c r="B2468" s="3">
        <v>3733648</v>
      </c>
      <c r="C2468" s="3">
        <v>3733734</v>
      </c>
      <c r="D2468" s="1" t="s">
        <v>13</v>
      </c>
      <c r="E2468" s="1">
        <v>87</v>
      </c>
      <c r="F2468" s="1" t="s">
        <v>13796</v>
      </c>
      <c r="G2468" s="1" t="s">
        <v>10520</v>
      </c>
    </row>
    <row r="2469" spans="1:7" ht="21" x14ac:dyDescent="0.25">
      <c r="A2469" s="2" t="str">
        <f>HYPERLINK("https://rth.dk/resources/bsgatlas/details.php?id=BSGatlas-5'UTR-2468","BSGatlas-5'UTR-2468")</f>
        <v>BSGatlas-5'UTR-2468</v>
      </c>
      <c r="B2469" s="3">
        <v>3733648</v>
      </c>
      <c r="C2469" s="3">
        <v>3733966</v>
      </c>
      <c r="D2469" s="1" t="s">
        <v>13</v>
      </c>
      <c r="E2469" s="1">
        <v>319</v>
      </c>
      <c r="F2469" s="1" t="s">
        <v>13796</v>
      </c>
      <c r="G2469" s="1" t="s">
        <v>10522</v>
      </c>
    </row>
    <row r="2470" spans="1:7" ht="21" x14ac:dyDescent="0.25">
      <c r="A2470" s="2" t="str">
        <f>HYPERLINK("https://rth.dk/resources/bsgatlas/details.php?id=BSGatlas-5'UTR-2469","BSGatlas-5'UTR-2469")</f>
        <v>BSGatlas-5'UTR-2469</v>
      </c>
      <c r="B2470" s="3">
        <v>3733648</v>
      </c>
      <c r="C2470" s="3">
        <v>3734142</v>
      </c>
      <c r="D2470" s="1" t="s">
        <v>13</v>
      </c>
      <c r="E2470" s="1">
        <v>495</v>
      </c>
      <c r="F2470" s="1" t="s">
        <v>13796</v>
      </c>
      <c r="G2470" s="1" t="s">
        <v>10523</v>
      </c>
    </row>
    <row r="2471" spans="1:7" ht="21" x14ac:dyDescent="0.25">
      <c r="A2471" s="2" t="str">
        <f>HYPERLINK("https://rth.dk/resources/bsgatlas/details.php?id=BSGatlas-5'UTR-2470","BSGatlas-5'UTR-2470")</f>
        <v>BSGatlas-5'UTR-2470</v>
      </c>
      <c r="B2471" s="3">
        <v>3733802</v>
      </c>
      <c r="C2471" s="3">
        <v>3733852</v>
      </c>
      <c r="D2471" s="1" t="s">
        <v>9</v>
      </c>
      <c r="E2471" s="1">
        <v>51</v>
      </c>
      <c r="F2471" s="1" t="s">
        <v>13797</v>
      </c>
      <c r="G2471" s="1" t="s">
        <v>10525</v>
      </c>
    </row>
    <row r="2472" spans="1:7" ht="21" x14ac:dyDescent="0.25">
      <c r="A2472" s="2" t="str">
        <f>HYPERLINK("https://rth.dk/resources/bsgatlas/details.php?id=BSGatlas-5'UTR-2471","BSGatlas-5'UTR-2471")</f>
        <v>BSGatlas-5'UTR-2471</v>
      </c>
      <c r="B2472" s="3">
        <v>3739982</v>
      </c>
      <c r="C2472" s="3">
        <v>3740030</v>
      </c>
      <c r="D2472" s="1" t="s">
        <v>13</v>
      </c>
      <c r="E2472" s="1">
        <v>49</v>
      </c>
      <c r="F2472" s="1" t="s">
        <v>13798</v>
      </c>
      <c r="G2472" s="1" t="s">
        <v>10528</v>
      </c>
    </row>
    <row r="2473" spans="1:7" ht="21" x14ac:dyDescent="0.25">
      <c r="A2473" s="2" t="str">
        <f>HYPERLINK("https://rth.dk/resources/bsgatlas/details.php?id=BSGatlas-5'UTR-2472","BSGatlas-5'UTR-2472")</f>
        <v>BSGatlas-5'UTR-2472</v>
      </c>
      <c r="B2473" s="3">
        <v>3740547</v>
      </c>
      <c r="C2473" s="3">
        <v>3740588</v>
      </c>
      <c r="D2473" s="1" t="s">
        <v>13</v>
      </c>
      <c r="E2473" s="1">
        <v>42</v>
      </c>
      <c r="F2473" s="1" t="s">
        <v>13799</v>
      </c>
      <c r="G2473" s="1" t="s">
        <v>10531</v>
      </c>
    </row>
    <row r="2474" spans="1:7" ht="21" x14ac:dyDescent="0.25">
      <c r="A2474" s="2" t="str">
        <f>HYPERLINK("https://rth.dk/resources/bsgatlas/details.php?id=BSGatlas-5'UTR-2473","BSGatlas-5'UTR-2473")</f>
        <v>BSGatlas-5'UTR-2473</v>
      </c>
      <c r="B2474" s="3">
        <v>3741007</v>
      </c>
      <c r="C2474" s="3">
        <v>3741049</v>
      </c>
      <c r="D2474" s="1" t="s">
        <v>13</v>
      </c>
      <c r="E2474" s="1">
        <v>43</v>
      </c>
      <c r="F2474" s="1" t="s">
        <v>13800</v>
      </c>
      <c r="G2474" s="1" t="s">
        <v>10533</v>
      </c>
    </row>
    <row r="2475" spans="1:7" ht="21" x14ac:dyDescent="0.25">
      <c r="A2475" s="2" t="str">
        <f>HYPERLINK("https://rth.dk/resources/bsgatlas/details.php?id=BSGatlas-5'UTR-2474","BSGatlas-5'UTR-2474")</f>
        <v>BSGatlas-5'UTR-2474</v>
      </c>
      <c r="B2475" s="3">
        <v>3741040</v>
      </c>
      <c r="C2475" s="3">
        <v>3741182</v>
      </c>
      <c r="D2475" s="1" t="s">
        <v>9</v>
      </c>
      <c r="E2475" s="1">
        <v>143</v>
      </c>
      <c r="F2475" s="1" t="s">
        <v>13801</v>
      </c>
      <c r="G2475" s="1" t="s">
        <v>10537</v>
      </c>
    </row>
    <row r="2476" spans="1:7" ht="21" x14ac:dyDescent="0.25">
      <c r="A2476" s="2" t="str">
        <f>HYPERLINK("https://rth.dk/resources/bsgatlas/details.php?id=BSGatlas-5'UTR-2475","BSGatlas-5'UTR-2475")</f>
        <v>BSGatlas-5'UTR-2475</v>
      </c>
      <c r="B2476" s="3">
        <v>3741133</v>
      </c>
      <c r="C2476" s="3">
        <v>3741182</v>
      </c>
      <c r="D2476" s="1" t="s">
        <v>9</v>
      </c>
      <c r="E2476" s="1">
        <v>50</v>
      </c>
      <c r="F2476" s="1" t="s">
        <v>13801</v>
      </c>
      <c r="G2476" s="1" t="s">
        <v>10539</v>
      </c>
    </row>
    <row r="2477" spans="1:7" ht="21" x14ac:dyDescent="0.25">
      <c r="A2477" s="2" t="str">
        <f>HYPERLINK("https://rth.dk/resources/bsgatlas/details.php?id=BSGatlas-5'UTR-2476","BSGatlas-5'UTR-2476")</f>
        <v>BSGatlas-5'UTR-2476</v>
      </c>
      <c r="B2477" s="3">
        <v>3744157</v>
      </c>
      <c r="C2477" s="3">
        <v>3744234</v>
      </c>
      <c r="D2477" s="1" t="s">
        <v>13</v>
      </c>
      <c r="E2477" s="1">
        <v>78</v>
      </c>
      <c r="F2477" s="1" t="s">
        <v>13802</v>
      </c>
      <c r="G2477" s="1" t="s">
        <v>10547</v>
      </c>
    </row>
    <row r="2478" spans="1:7" ht="21" x14ac:dyDescent="0.25">
      <c r="A2478" s="2" t="str">
        <f>HYPERLINK("https://rth.dk/resources/bsgatlas/details.php?id=BSGatlas-5'UTR-2477","BSGatlas-5'UTR-2477")</f>
        <v>BSGatlas-5'UTR-2477</v>
      </c>
      <c r="B2478" s="3">
        <v>3744157</v>
      </c>
      <c r="C2478" s="3">
        <v>3744320</v>
      </c>
      <c r="D2478" s="1" t="s">
        <v>13</v>
      </c>
      <c r="E2478" s="1">
        <v>164</v>
      </c>
      <c r="F2478" s="1" t="s">
        <v>13802</v>
      </c>
      <c r="G2478" s="1" t="s">
        <v>10548</v>
      </c>
    </row>
    <row r="2479" spans="1:7" ht="21" x14ac:dyDescent="0.25">
      <c r="A2479" s="2" t="str">
        <f>HYPERLINK("https://rth.dk/resources/bsgatlas/details.php?id=BSGatlas-5'UTR-2478","BSGatlas-5'UTR-2478")</f>
        <v>BSGatlas-5'UTR-2478</v>
      </c>
      <c r="B2479" s="3">
        <v>3744304</v>
      </c>
      <c r="C2479" s="3">
        <v>3744349</v>
      </c>
      <c r="D2479" s="1" t="s">
        <v>9</v>
      </c>
      <c r="E2479" s="1">
        <v>46</v>
      </c>
      <c r="F2479" s="1" t="s">
        <v>13803</v>
      </c>
      <c r="G2479" s="1" t="s">
        <v>10549</v>
      </c>
    </row>
    <row r="2480" spans="1:7" ht="21" x14ac:dyDescent="0.25">
      <c r="A2480" s="2" t="str">
        <f>HYPERLINK("https://rth.dk/resources/bsgatlas/details.php?id=BSGatlas-5'UTR-2479","BSGatlas-5'UTR-2479")</f>
        <v>BSGatlas-5'UTR-2479</v>
      </c>
      <c r="B2480" s="3">
        <v>3744319</v>
      </c>
      <c r="C2480" s="3">
        <v>3744349</v>
      </c>
      <c r="D2480" s="1" t="s">
        <v>9</v>
      </c>
      <c r="E2480" s="1">
        <v>31</v>
      </c>
      <c r="F2480" s="1" t="s">
        <v>13803</v>
      </c>
      <c r="G2480" s="1" t="s">
        <v>10552</v>
      </c>
    </row>
    <row r="2481" spans="1:7" ht="21" x14ac:dyDescent="0.25">
      <c r="A2481" s="2" t="str">
        <f>HYPERLINK("https://rth.dk/resources/bsgatlas/details.php?id=BSGatlas-5'UTR-2480","BSGatlas-5'UTR-2480")</f>
        <v>BSGatlas-5'UTR-2480</v>
      </c>
      <c r="B2481" s="3">
        <v>3747091</v>
      </c>
      <c r="C2481" s="3">
        <v>3747171</v>
      </c>
      <c r="D2481" s="1" t="s">
        <v>13</v>
      </c>
      <c r="E2481" s="1">
        <v>81</v>
      </c>
      <c r="F2481" s="1" t="s">
        <v>13804</v>
      </c>
      <c r="G2481" s="1" t="s">
        <v>10554</v>
      </c>
    </row>
    <row r="2482" spans="1:7" ht="21" x14ac:dyDescent="0.25">
      <c r="A2482" s="2" t="str">
        <f>HYPERLINK("https://rth.dk/resources/bsgatlas/details.php?id=BSGatlas-5'UTR-2481","BSGatlas-5'UTR-2481")</f>
        <v>BSGatlas-5'UTR-2481</v>
      </c>
      <c r="B2482" s="3">
        <v>3747152</v>
      </c>
      <c r="C2482" s="3">
        <v>3749052</v>
      </c>
      <c r="D2482" s="1" t="s">
        <v>9</v>
      </c>
      <c r="E2482" s="1">
        <v>1901</v>
      </c>
      <c r="F2482" s="1" t="s">
        <v>13805</v>
      </c>
      <c r="G2482" s="1" t="s">
        <v>10560</v>
      </c>
    </row>
    <row r="2483" spans="1:7" ht="21" x14ac:dyDescent="0.25">
      <c r="A2483" s="2" t="str">
        <f>HYPERLINK("https://rth.dk/resources/bsgatlas/details.php?id=BSGatlas-5'UTR-2482","BSGatlas-5'UTR-2482")</f>
        <v>BSGatlas-5'UTR-2482</v>
      </c>
      <c r="B2483" s="3">
        <v>3748255</v>
      </c>
      <c r="C2483" s="3">
        <v>3748334</v>
      </c>
      <c r="D2483" s="1" t="s">
        <v>13</v>
      </c>
      <c r="E2483" s="1">
        <v>80</v>
      </c>
      <c r="F2483" s="1" t="s">
        <v>13806</v>
      </c>
      <c r="G2483" s="1" t="s">
        <v>10557</v>
      </c>
    </row>
    <row r="2484" spans="1:7" ht="21" x14ac:dyDescent="0.25">
      <c r="A2484" s="2" t="str">
        <f>HYPERLINK("https://rth.dk/resources/bsgatlas/details.php?id=BSGatlas-5'UTR-2483","BSGatlas-5'UTR-2483")</f>
        <v>BSGatlas-5'UTR-2483</v>
      </c>
      <c r="B2484" s="3">
        <v>3748827</v>
      </c>
      <c r="C2484" s="3">
        <v>3748862</v>
      </c>
      <c r="D2484" s="1" t="s">
        <v>13</v>
      </c>
      <c r="E2484" s="1">
        <v>36</v>
      </c>
      <c r="F2484" s="1" t="s">
        <v>13807</v>
      </c>
      <c r="G2484" s="1" t="s">
        <v>10559</v>
      </c>
    </row>
    <row r="2485" spans="1:7" ht="21" x14ac:dyDescent="0.25">
      <c r="A2485" s="2" t="str">
        <f>HYPERLINK("https://rth.dk/resources/bsgatlas/details.php?id=BSGatlas-5'UTR-2484","BSGatlas-5'UTR-2484")</f>
        <v>BSGatlas-5'UTR-2484</v>
      </c>
      <c r="B2485" s="3">
        <v>3749009</v>
      </c>
      <c r="C2485" s="3">
        <v>3749052</v>
      </c>
      <c r="D2485" s="1" t="s">
        <v>9</v>
      </c>
      <c r="E2485" s="1">
        <v>44</v>
      </c>
      <c r="F2485" s="1" t="s">
        <v>13805</v>
      </c>
      <c r="G2485" s="1" t="s">
        <v>10565</v>
      </c>
    </row>
    <row r="2486" spans="1:7" ht="21" x14ac:dyDescent="0.25">
      <c r="A2486" s="2" t="str">
        <f>HYPERLINK("https://rth.dk/resources/bsgatlas/details.php?id=BSGatlas-5'UTR-2485","BSGatlas-5'UTR-2485")</f>
        <v>BSGatlas-5'UTR-2485</v>
      </c>
      <c r="B2486" s="3">
        <v>3752174</v>
      </c>
      <c r="C2486" s="3">
        <v>3752225</v>
      </c>
      <c r="D2486" s="1" t="s">
        <v>13</v>
      </c>
      <c r="E2486" s="1">
        <v>52</v>
      </c>
      <c r="F2486" s="1" t="s">
        <v>13808</v>
      </c>
      <c r="G2486" s="1" t="s">
        <v>10567</v>
      </c>
    </row>
    <row r="2487" spans="1:7" ht="21" x14ac:dyDescent="0.25">
      <c r="A2487" s="2" t="str">
        <f>HYPERLINK("https://rth.dk/resources/bsgatlas/details.php?id=BSGatlas-5'UTR-2486","BSGatlas-5'UTR-2486")</f>
        <v>BSGatlas-5'UTR-2486</v>
      </c>
      <c r="B2487" s="3">
        <v>3753752</v>
      </c>
      <c r="C2487" s="3">
        <v>3753814</v>
      </c>
      <c r="D2487" s="1" t="s">
        <v>13</v>
      </c>
      <c r="E2487" s="1">
        <v>63</v>
      </c>
      <c r="F2487" s="1" t="s">
        <v>13809</v>
      </c>
      <c r="G2487" s="1" t="s">
        <v>10570</v>
      </c>
    </row>
    <row r="2488" spans="1:7" ht="21" x14ac:dyDescent="0.25">
      <c r="A2488" s="2" t="str">
        <f>HYPERLINK("https://rth.dk/resources/bsgatlas/details.php?id=BSGatlas-5'UTR-2487","BSGatlas-5'UTR-2487")</f>
        <v>BSGatlas-5'UTR-2487</v>
      </c>
      <c r="B2488" s="3">
        <v>3755860</v>
      </c>
      <c r="C2488" s="3">
        <v>3755897</v>
      </c>
      <c r="D2488" s="1" t="s">
        <v>13</v>
      </c>
      <c r="E2488" s="1">
        <v>38</v>
      </c>
      <c r="F2488" s="1" t="s">
        <v>13810</v>
      </c>
      <c r="G2488" s="1" t="s">
        <v>10574</v>
      </c>
    </row>
    <row r="2489" spans="1:7" ht="21" x14ac:dyDescent="0.25">
      <c r="A2489" s="2" t="str">
        <f>HYPERLINK("https://rth.dk/resources/bsgatlas/details.php?id=BSGatlas-5'UTR-2488","BSGatlas-5'UTR-2488")</f>
        <v>BSGatlas-5'UTR-2488</v>
      </c>
      <c r="B2489" s="3">
        <v>3756508</v>
      </c>
      <c r="C2489" s="3">
        <v>3756541</v>
      </c>
      <c r="D2489" s="1" t="s">
        <v>13</v>
      </c>
      <c r="E2489" s="1">
        <v>34</v>
      </c>
      <c r="F2489" s="1" t="s">
        <v>13811</v>
      </c>
      <c r="G2489" s="1" t="s">
        <v>10576</v>
      </c>
    </row>
    <row r="2490" spans="1:7" ht="21" x14ac:dyDescent="0.25">
      <c r="A2490" s="2" t="str">
        <f>HYPERLINK("https://rth.dk/resources/bsgatlas/details.php?id=BSGatlas-5'UTR-2489","BSGatlas-5'UTR-2489")</f>
        <v>BSGatlas-5'UTR-2489</v>
      </c>
      <c r="B2490" s="3">
        <v>3756508</v>
      </c>
      <c r="C2490" s="3">
        <v>3757621</v>
      </c>
      <c r="D2490" s="1" t="s">
        <v>13</v>
      </c>
      <c r="E2490" s="1">
        <v>1114</v>
      </c>
      <c r="F2490" s="1" t="s">
        <v>13811</v>
      </c>
      <c r="G2490" s="1" t="s">
        <v>10577</v>
      </c>
    </row>
    <row r="2491" spans="1:7" ht="21" x14ac:dyDescent="0.25">
      <c r="A2491" s="2" t="str">
        <f>HYPERLINK("https://rth.dk/resources/bsgatlas/details.php?id=BSGatlas-5'UTR-2490","BSGatlas-5'UTR-2490")</f>
        <v>BSGatlas-5'UTR-2490</v>
      </c>
      <c r="B2491" s="3">
        <v>3756745</v>
      </c>
      <c r="C2491" s="3">
        <v>3756790</v>
      </c>
      <c r="D2491" s="1" t="s">
        <v>9</v>
      </c>
      <c r="E2491" s="1">
        <v>46</v>
      </c>
      <c r="F2491" s="1" t="s">
        <v>13812</v>
      </c>
      <c r="G2491" s="1" t="s">
        <v>10579</v>
      </c>
    </row>
    <row r="2492" spans="1:7" ht="21" x14ac:dyDescent="0.25">
      <c r="A2492" s="2" t="str">
        <f>HYPERLINK("https://rth.dk/resources/bsgatlas/details.php?id=BSGatlas-5'UTR-2491","BSGatlas-5'UTR-2491")</f>
        <v>BSGatlas-5'UTR-2491</v>
      </c>
      <c r="B2492" s="3">
        <v>3757892</v>
      </c>
      <c r="C2492" s="3">
        <v>3758016</v>
      </c>
      <c r="D2492" s="1" t="s">
        <v>9</v>
      </c>
      <c r="E2492" s="1">
        <v>125</v>
      </c>
      <c r="F2492" s="1" t="s">
        <v>13813</v>
      </c>
      <c r="G2492" s="1" t="s">
        <v>10581</v>
      </c>
    </row>
    <row r="2493" spans="1:7" ht="21" x14ac:dyDescent="0.25">
      <c r="A2493" s="2" t="str">
        <f>HYPERLINK("https://rth.dk/resources/bsgatlas/details.php?id=BSGatlas-5'UTR-2492","BSGatlas-5'UTR-2492")</f>
        <v>BSGatlas-5'UTR-2492</v>
      </c>
      <c r="B2493" s="3">
        <v>3758447</v>
      </c>
      <c r="C2493" s="3">
        <v>3758547</v>
      </c>
      <c r="D2493" s="1" t="s">
        <v>9</v>
      </c>
      <c r="E2493" s="1">
        <v>101</v>
      </c>
      <c r="F2493" s="1" t="s">
        <v>13814</v>
      </c>
      <c r="G2493" s="1" t="s">
        <v>10582</v>
      </c>
    </row>
    <row r="2494" spans="1:7" ht="21" x14ac:dyDescent="0.25">
      <c r="A2494" s="2" t="str">
        <f>HYPERLINK("https://rth.dk/resources/bsgatlas/details.php?id=BSGatlas-5'UTR-2493","BSGatlas-5'UTR-2493")</f>
        <v>BSGatlas-5'UTR-2493</v>
      </c>
      <c r="B2494" s="3">
        <v>3758522</v>
      </c>
      <c r="C2494" s="3">
        <v>3758547</v>
      </c>
      <c r="D2494" s="1" t="s">
        <v>9</v>
      </c>
      <c r="E2494" s="1">
        <v>26</v>
      </c>
      <c r="F2494" s="1" t="s">
        <v>13814</v>
      </c>
      <c r="G2494" s="1" t="s">
        <v>10585</v>
      </c>
    </row>
    <row r="2495" spans="1:7" ht="21" x14ac:dyDescent="0.25">
      <c r="A2495" s="2" t="str">
        <f>HYPERLINK("https://rth.dk/resources/bsgatlas/details.php?id=BSGatlas-5'UTR-2494","BSGatlas-5'UTR-2494")</f>
        <v>BSGatlas-5'UTR-2494</v>
      </c>
      <c r="B2495" s="3">
        <v>3759591</v>
      </c>
      <c r="C2495" s="3">
        <v>3759627</v>
      </c>
      <c r="D2495" s="1" t="s">
        <v>13</v>
      </c>
      <c r="E2495" s="1">
        <v>37</v>
      </c>
      <c r="F2495" s="1" t="s">
        <v>13815</v>
      </c>
      <c r="G2495" s="1" t="s">
        <v>10586</v>
      </c>
    </row>
    <row r="2496" spans="1:7" ht="21" x14ac:dyDescent="0.25">
      <c r="A2496" s="2" t="str">
        <f>HYPERLINK("https://rth.dk/resources/bsgatlas/details.php?id=BSGatlas-5'UTR-2495","BSGatlas-5'UTR-2495")</f>
        <v>BSGatlas-5'UTR-2495</v>
      </c>
      <c r="B2496" s="3">
        <v>3759591</v>
      </c>
      <c r="C2496" s="3">
        <v>3759678</v>
      </c>
      <c r="D2496" s="1" t="s">
        <v>13</v>
      </c>
      <c r="E2496" s="1">
        <v>88</v>
      </c>
      <c r="F2496" s="1" t="s">
        <v>13815</v>
      </c>
      <c r="G2496" s="1" t="s">
        <v>10588</v>
      </c>
    </row>
    <row r="2497" spans="1:7" ht="21" x14ac:dyDescent="0.25">
      <c r="A2497" s="2" t="str">
        <f>HYPERLINK("https://rth.dk/resources/bsgatlas/details.php?id=BSGatlas-5'UTR-2496","BSGatlas-5'UTR-2496")</f>
        <v>BSGatlas-5'UTR-2496</v>
      </c>
      <c r="B2497" s="3">
        <v>3760210</v>
      </c>
      <c r="C2497" s="3">
        <v>3760694</v>
      </c>
      <c r="D2497" s="1" t="s">
        <v>9</v>
      </c>
      <c r="E2497" s="1">
        <v>485</v>
      </c>
      <c r="F2497" s="1" t="s">
        <v>13816</v>
      </c>
      <c r="G2497" s="1" t="s">
        <v>10593</v>
      </c>
    </row>
    <row r="2498" spans="1:7" ht="21" x14ac:dyDescent="0.25">
      <c r="A2498" s="2" t="str">
        <f>HYPERLINK("https://rth.dk/resources/bsgatlas/details.php?id=BSGatlas-5'UTR-2497","BSGatlas-5'UTR-2497")</f>
        <v>BSGatlas-5'UTR-2497</v>
      </c>
      <c r="B2498" s="3">
        <v>3760558</v>
      </c>
      <c r="C2498" s="3">
        <v>3760694</v>
      </c>
      <c r="D2498" s="1" t="s">
        <v>9</v>
      </c>
      <c r="E2498" s="1">
        <v>137</v>
      </c>
      <c r="F2498" s="1" t="s">
        <v>13816</v>
      </c>
      <c r="G2498" s="1" t="s">
        <v>10596</v>
      </c>
    </row>
    <row r="2499" spans="1:7" ht="21" x14ac:dyDescent="0.25">
      <c r="A2499" s="2" t="str">
        <f>HYPERLINK("https://rth.dk/resources/bsgatlas/details.php?id=BSGatlas-5'UTR-2498","BSGatlas-5'UTR-2498")</f>
        <v>BSGatlas-5'UTR-2498</v>
      </c>
      <c r="B2499" s="3">
        <v>3760955</v>
      </c>
      <c r="C2499" s="3">
        <v>3761182</v>
      </c>
      <c r="D2499" s="1" t="s">
        <v>9</v>
      </c>
      <c r="E2499" s="1">
        <v>228</v>
      </c>
      <c r="F2499" s="1" t="s">
        <v>13817</v>
      </c>
      <c r="G2499" s="1" t="s">
        <v>10597</v>
      </c>
    </row>
    <row r="2500" spans="1:7" ht="21" x14ac:dyDescent="0.25">
      <c r="A2500" s="2" t="str">
        <f>HYPERLINK("https://rth.dk/resources/bsgatlas/details.php?id=BSGatlas-5'UTR-2499","BSGatlas-5'UTR-2499")</f>
        <v>BSGatlas-5'UTR-2499</v>
      </c>
      <c r="B2500" s="3">
        <v>3762421</v>
      </c>
      <c r="C2500" s="3">
        <v>3762477</v>
      </c>
      <c r="D2500" s="1" t="s">
        <v>13</v>
      </c>
      <c r="E2500" s="1">
        <v>57</v>
      </c>
      <c r="F2500" s="1" t="s">
        <v>13818</v>
      </c>
      <c r="G2500" s="1" t="s">
        <v>10598</v>
      </c>
    </row>
    <row r="2501" spans="1:7" ht="21" x14ac:dyDescent="0.25">
      <c r="A2501" s="2" t="str">
        <f>HYPERLINK("https://rth.dk/resources/bsgatlas/details.php?id=BSGatlas-5'UTR-2500","BSGatlas-5'UTR-2500")</f>
        <v>BSGatlas-5'UTR-2500</v>
      </c>
      <c r="B2501" s="3">
        <v>3762421</v>
      </c>
      <c r="C2501" s="3">
        <v>3762776</v>
      </c>
      <c r="D2501" s="1" t="s">
        <v>13</v>
      </c>
      <c r="E2501" s="1">
        <v>356</v>
      </c>
      <c r="F2501" s="1" t="s">
        <v>13818</v>
      </c>
      <c r="G2501" s="1" t="s">
        <v>10600</v>
      </c>
    </row>
    <row r="2502" spans="1:7" ht="21" x14ac:dyDescent="0.25">
      <c r="A2502" s="2" t="str">
        <f>HYPERLINK("https://rth.dk/resources/bsgatlas/details.php?id=BSGatlas-5'UTR-2501","BSGatlas-5'UTR-2501")</f>
        <v>BSGatlas-5'UTR-2501</v>
      </c>
      <c r="B2502" s="3">
        <v>3762421</v>
      </c>
      <c r="C2502" s="3">
        <v>3763121</v>
      </c>
      <c r="D2502" s="1" t="s">
        <v>13</v>
      </c>
      <c r="E2502" s="1">
        <v>701</v>
      </c>
      <c r="F2502" s="1" t="s">
        <v>13818</v>
      </c>
      <c r="G2502" s="1" t="s">
        <v>10601</v>
      </c>
    </row>
    <row r="2503" spans="1:7" ht="21" x14ac:dyDescent="0.25">
      <c r="A2503" s="2" t="str">
        <f>HYPERLINK("https://rth.dk/resources/bsgatlas/details.php?id=BSGatlas-5'UTR-2502","BSGatlas-5'UTR-2502")</f>
        <v>BSGatlas-5'UTR-2502</v>
      </c>
      <c r="B2503" s="3">
        <v>3762584</v>
      </c>
      <c r="C2503" s="3">
        <v>3762664</v>
      </c>
      <c r="D2503" s="1" t="s">
        <v>9</v>
      </c>
      <c r="E2503" s="1">
        <v>81</v>
      </c>
      <c r="F2503" s="1" t="s">
        <v>13819</v>
      </c>
      <c r="G2503" s="1" t="s">
        <v>10603</v>
      </c>
    </row>
    <row r="2504" spans="1:7" ht="21" x14ac:dyDescent="0.25">
      <c r="A2504" s="2" t="str">
        <f>HYPERLINK("https://rth.dk/resources/bsgatlas/details.php?id=BSGatlas-5'UTR-2503","BSGatlas-5'UTR-2503")</f>
        <v>BSGatlas-5'UTR-2503</v>
      </c>
      <c r="B2504" s="3">
        <v>3764906</v>
      </c>
      <c r="C2504" s="3">
        <v>3764921</v>
      </c>
      <c r="D2504" s="1" t="s">
        <v>13</v>
      </c>
      <c r="E2504" s="1">
        <v>16</v>
      </c>
      <c r="F2504" s="1" t="s">
        <v>13820</v>
      </c>
      <c r="G2504" s="1" t="s">
        <v>10605</v>
      </c>
    </row>
    <row r="2505" spans="1:7" ht="21" x14ac:dyDescent="0.25">
      <c r="A2505" s="2" t="str">
        <f>HYPERLINK("https://rth.dk/resources/bsgatlas/details.php?id=BSGatlas-5'UTR-2504","BSGatlas-5'UTR-2504")</f>
        <v>BSGatlas-5'UTR-2504</v>
      </c>
      <c r="B2505" s="3">
        <v>3765004</v>
      </c>
      <c r="C2505" s="3">
        <v>3765051</v>
      </c>
      <c r="D2505" s="1" t="s">
        <v>9</v>
      </c>
      <c r="E2505" s="1">
        <v>48</v>
      </c>
      <c r="F2505" s="1" t="s">
        <v>13821</v>
      </c>
      <c r="G2505" s="1" t="s">
        <v>10607</v>
      </c>
    </row>
    <row r="2506" spans="1:7" ht="21" x14ac:dyDescent="0.25">
      <c r="A2506" s="2" t="str">
        <f>HYPERLINK("https://rth.dk/resources/bsgatlas/details.php?id=BSGatlas-5'UTR-2505","BSGatlas-5'UTR-2505")</f>
        <v>BSGatlas-5'UTR-2505</v>
      </c>
      <c r="B2506" s="3">
        <v>3766579</v>
      </c>
      <c r="C2506" s="3">
        <v>3766638</v>
      </c>
      <c r="D2506" s="1" t="s">
        <v>13</v>
      </c>
      <c r="E2506" s="1">
        <v>60</v>
      </c>
      <c r="F2506" s="1" t="s">
        <v>13822</v>
      </c>
      <c r="G2506" s="1" t="s">
        <v>10611</v>
      </c>
    </row>
    <row r="2507" spans="1:7" ht="21" x14ac:dyDescent="0.25">
      <c r="A2507" s="2" t="str">
        <f>HYPERLINK("https://rth.dk/resources/bsgatlas/details.php?id=BSGatlas-5'UTR-2506","BSGatlas-5'UTR-2506")</f>
        <v>BSGatlas-5'UTR-2506</v>
      </c>
      <c r="B2507" s="3">
        <v>3769108</v>
      </c>
      <c r="C2507" s="3">
        <v>3769193</v>
      </c>
      <c r="D2507" s="1" t="s">
        <v>13</v>
      </c>
      <c r="E2507" s="1">
        <v>86</v>
      </c>
      <c r="F2507" s="1" t="s">
        <v>13823</v>
      </c>
      <c r="G2507" s="1" t="s">
        <v>10614</v>
      </c>
    </row>
    <row r="2508" spans="1:7" ht="21" x14ac:dyDescent="0.25">
      <c r="A2508" s="2" t="str">
        <f>HYPERLINK("https://rth.dk/resources/bsgatlas/details.php?id=BSGatlas-5'UTR-2507","BSGatlas-5'UTR-2507")</f>
        <v>BSGatlas-5'UTR-2507</v>
      </c>
      <c r="B2508" s="3">
        <v>3769808</v>
      </c>
      <c r="C2508" s="3">
        <v>3769947</v>
      </c>
      <c r="D2508" s="1" t="s">
        <v>13</v>
      </c>
      <c r="E2508" s="1">
        <v>140</v>
      </c>
      <c r="F2508" s="1" t="s">
        <v>13824</v>
      </c>
      <c r="G2508" s="1" t="s">
        <v>10619</v>
      </c>
    </row>
    <row r="2509" spans="1:7" ht="21" x14ac:dyDescent="0.25">
      <c r="A2509" s="2" t="str">
        <f>HYPERLINK("https://rth.dk/resources/bsgatlas/details.php?id=BSGatlas-5'UTR-2508","BSGatlas-5'UTR-2508")</f>
        <v>BSGatlas-5'UTR-2508</v>
      </c>
      <c r="B2509" s="3">
        <v>3770292</v>
      </c>
      <c r="C2509" s="3">
        <v>3770329</v>
      </c>
      <c r="D2509" s="1" t="s">
        <v>13</v>
      </c>
      <c r="E2509" s="1">
        <v>38</v>
      </c>
      <c r="F2509" s="1" t="s">
        <v>13825</v>
      </c>
      <c r="G2509" s="1" t="s">
        <v>10621</v>
      </c>
    </row>
    <row r="2510" spans="1:7" ht="21" x14ac:dyDescent="0.25">
      <c r="A2510" s="2" t="str">
        <f>HYPERLINK("https://rth.dk/resources/bsgatlas/details.php?id=BSGatlas-5'UTR-2509","BSGatlas-5'UTR-2509")</f>
        <v>BSGatlas-5'UTR-2509</v>
      </c>
      <c r="B2510" s="3">
        <v>3770865</v>
      </c>
      <c r="C2510" s="3">
        <v>3770908</v>
      </c>
      <c r="D2510" s="1" t="s">
        <v>13</v>
      </c>
      <c r="E2510" s="1">
        <v>44</v>
      </c>
      <c r="F2510" s="1" t="s">
        <v>13826</v>
      </c>
      <c r="G2510" s="1" t="s">
        <v>10624</v>
      </c>
    </row>
    <row r="2511" spans="1:7" ht="21" x14ac:dyDescent="0.25">
      <c r="A2511" s="2" t="str">
        <f>HYPERLINK("https://rth.dk/resources/bsgatlas/details.php?id=BSGatlas-5'UTR-2510","BSGatlas-5'UTR-2510")</f>
        <v>BSGatlas-5'UTR-2510</v>
      </c>
      <c r="B2511" s="3">
        <v>3772133</v>
      </c>
      <c r="C2511" s="3">
        <v>3772167</v>
      </c>
      <c r="D2511" s="1" t="s">
        <v>13</v>
      </c>
      <c r="E2511" s="1">
        <v>35</v>
      </c>
      <c r="F2511" s="1" t="s">
        <v>13827</v>
      </c>
      <c r="G2511" s="1" t="s">
        <v>10625</v>
      </c>
    </row>
    <row r="2512" spans="1:7" ht="21" x14ac:dyDescent="0.25">
      <c r="A2512" s="2" t="str">
        <f>HYPERLINK("https://rth.dk/resources/bsgatlas/details.php?id=BSGatlas-5'UTR-2511","BSGatlas-5'UTR-2511")</f>
        <v>BSGatlas-5'UTR-2511</v>
      </c>
      <c r="B2512" s="3">
        <v>3772133</v>
      </c>
      <c r="C2512" s="3">
        <v>3772246</v>
      </c>
      <c r="D2512" s="1" t="s">
        <v>13</v>
      </c>
      <c r="E2512" s="1">
        <v>114</v>
      </c>
      <c r="F2512" s="1" t="s">
        <v>13827</v>
      </c>
      <c r="G2512" s="1" t="s">
        <v>10627</v>
      </c>
    </row>
    <row r="2513" spans="1:7" ht="21" x14ac:dyDescent="0.25">
      <c r="A2513" s="2" t="str">
        <f>HYPERLINK("https://rth.dk/resources/bsgatlas/details.php?id=BSGatlas-5'UTR-2512","BSGatlas-5'UTR-2512")</f>
        <v>BSGatlas-5'UTR-2512</v>
      </c>
      <c r="B2513" s="3">
        <v>3774154</v>
      </c>
      <c r="C2513" s="3">
        <v>3774186</v>
      </c>
      <c r="D2513" s="1" t="s">
        <v>13</v>
      </c>
      <c r="E2513" s="1">
        <v>33</v>
      </c>
      <c r="F2513" s="1" t="s">
        <v>13828</v>
      </c>
      <c r="G2513" s="1" t="s">
        <v>10630</v>
      </c>
    </row>
    <row r="2514" spans="1:7" ht="21" x14ac:dyDescent="0.25">
      <c r="A2514" s="2" t="str">
        <f>HYPERLINK("https://rth.dk/resources/bsgatlas/details.php?id=BSGatlas-5'UTR-2513","BSGatlas-5'UTR-2513")</f>
        <v>BSGatlas-5'UTR-2513</v>
      </c>
      <c r="B2514" s="3">
        <v>3777753</v>
      </c>
      <c r="C2514" s="3">
        <v>3777784</v>
      </c>
      <c r="D2514" s="1" t="s">
        <v>13</v>
      </c>
      <c r="E2514" s="1">
        <v>32</v>
      </c>
      <c r="F2514" s="1" t="s">
        <v>13829</v>
      </c>
      <c r="G2514" s="1" t="s">
        <v>10636</v>
      </c>
    </row>
    <row r="2515" spans="1:7" ht="21" x14ac:dyDescent="0.25">
      <c r="A2515" s="2" t="str">
        <f>HYPERLINK("https://rth.dk/resources/bsgatlas/details.php?id=BSGatlas-5'UTR-2514","BSGatlas-5'UTR-2514")</f>
        <v>BSGatlas-5'UTR-2514</v>
      </c>
      <c r="B2515" s="3">
        <v>3779259</v>
      </c>
      <c r="C2515" s="3">
        <v>3779290</v>
      </c>
      <c r="D2515" s="1" t="s">
        <v>13</v>
      </c>
      <c r="E2515" s="1">
        <v>32</v>
      </c>
      <c r="F2515" s="1" t="s">
        <v>13830</v>
      </c>
      <c r="G2515" s="1" t="s">
        <v>10638</v>
      </c>
    </row>
    <row r="2516" spans="1:7" ht="21" x14ac:dyDescent="0.25">
      <c r="A2516" s="2" t="str">
        <f>HYPERLINK("https://rth.dk/resources/bsgatlas/details.php?id=BSGatlas-5'UTR-2515","BSGatlas-5'UTR-2515")</f>
        <v>BSGatlas-5'UTR-2515</v>
      </c>
      <c r="B2516" s="3">
        <v>3780392</v>
      </c>
      <c r="C2516" s="3">
        <v>3780655</v>
      </c>
      <c r="D2516" s="1" t="s">
        <v>13</v>
      </c>
      <c r="E2516" s="1">
        <v>264</v>
      </c>
      <c r="F2516" s="1" t="s">
        <v>13831</v>
      </c>
      <c r="G2516" s="1" t="s">
        <v>10644</v>
      </c>
    </row>
    <row r="2517" spans="1:7" ht="21" x14ac:dyDescent="0.25">
      <c r="A2517" s="2" t="str">
        <f>HYPERLINK("https://rth.dk/resources/bsgatlas/details.php?id=BSGatlas-5'UTR-2516","BSGatlas-5'UTR-2516")</f>
        <v>BSGatlas-5'UTR-2516</v>
      </c>
      <c r="B2517" s="3">
        <v>3780534</v>
      </c>
      <c r="C2517" s="3">
        <v>3780562</v>
      </c>
      <c r="D2517" s="1" t="s">
        <v>9</v>
      </c>
      <c r="E2517" s="1">
        <v>29</v>
      </c>
      <c r="F2517" s="1" t="s">
        <v>13832</v>
      </c>
      <c r="G2517" s="1" t="s">
        <v>10645</v>
      </c>
    </row>
    <row r="2518" spans="1:7" ht="21" x14ac:dyDescent="0.25">
      <c r="A2518" s="2" t="str">
        <f>HYPERLINK("https://rth.dk/resources/bsgatlas/details.php?id=BSGatlas-5'UTR-2517","BSGatlas-5'UTR-2517")</f>
        <v>BSGatlas-5'UTR-2517</v>
      </c>
      <c r="B2518" s="3">
        <v>3787612</v>
      </c>
      <c r="C2518" s="3">
        <v>3787694</v>
      </c>
      <c r="D2518" s="1" t="s">
        <v>13</v>
      </c>
      <c r="E2518" s="1">
        <v>83</v>
      </c>
      <c r="F2518" s="1" t="s">
        <v>13833</v>
      </c>
      <c r="G2518" s="1" t="s">
        <v>10649</v>
      </c>
    </row>
    <row r="2519" spans="1:7" ht="21" x14ac:dyDescent="0.25">
      <c r="A2519" s="2" t="str">
        <f>HYPERLINK("https://rth.dk/resources/bsgatlas/details.php?id=BSGatlas-5'UTR-2518","BSGatlas-5'UTR-2518")</f>
        <v>BSGatlas-5'UTR-2518</v>
      </c>
      <c r="B2519" s="3">
        <v>3788003</v>
      </c>
      <c r="C2519" s="3">
        <v>3788274</v>
      </c>
      <c r="D2519" s="1" t="s">
        <v>13</v>
      </c>
      <c r="E2519" s="1">
        <v>272</v>
      </c>
      <c r="F2519" s="1" t="s">
        <v>13834</v>
      </c>
      <c r="G2519" s="1" t="s">
        <v>10651</v>
      </c>
    </row>
    <row r="2520" spans="1:7" ht="21" x14ac:dyDescent="0.25">
      <c r="A2520" s="2" t="str">
        <f>HYPERLINK("https://rth.dk/resources/bsgatlas/details.php?id=BSGatlas-5'UTR-2519","BSGatlas-5'UTR-2519")</f>
        <v>BSGatlas-5'UTR-2519</v>
      </c>
      <c r="B2520" s="3">
        <v>3789055</v>
      </c>
      <c r="C2520" s="3">
        <v>3789122</v>
      </c>
      <c r="D2520" s="1" t="s">
        <v>13</v>
      </c>
      <c r="E2520" s="1">
        <v>68</v>
      </c>
      <c r="F2520" s="1" t="s">
        <v>13835</v>
      </c>
      <c r="G2520" s="1" t="s">
        <v>10652</v>
      </c>
    </row>
    <row r="2521" spans="1:7" ht="21" x14ac:dyDescent="0.25">
      <c r="A2521" s="2" t="str">
        <f>HYPERLINK("https://rth.dk/resources/bsgatlas/details.php?id=BSGatlas-5'UTR-2520","BSGatlas-5'UTR-2520")</f>
        <v>BSGatlas-5'UTR-2520</v>
      </c>
      <c r="B2521" s="3">
        <v>3790437</v>
      </c>
      <c r="C2521" s="3">
        <v>3790480</v>
      </c>
      <c r="D2521" s="1" t="s">
        <v>13</v>
      </c>
      <c r="E2521" s="1">
        <v>44</v>
      </c>
      <c r="F2521" s="1" t="s">
        <v>13836</v>
      </c>
      <c r="G2521" s="1" t="s">
        <v>10654</v>
      </c>
    </row>
    <row r="2522" spans="1:7" ht="21" x14ac:dyDescent="0.25">
      <c r="A2522" s="2" t="str">
        <f>HYPERLINK("https://rth.dk/resources/bsgatlas/details.php?id=BSGatlas-5'UTR-2521","BSGatlas-5'UTR-2521")</f>
        <v>BSGatlas-5'UTR-2521</v>
      </c>
      <c r="B2522" s="3">
        <v>3791648</v>
      </c>
      <c r="C2522" s="3">
        <v>3791748</v>
      </c>
      <c r="D2522" s="1" t="s">
        <v>13</v>
      </c>
      <c r="E2522" s="1">
        <v>101</v>
      </c>
      <c r="F2522" s="1" t="s">
        <v>13837</v>
      </c>
      <c r="G2522" s="1" t="s">
        <v>10658</v>
      </c>
    </row>
    <row r="2523" spans="1:7" ht="21" x14ac:dyDescent="0.25">
      <c r="A2523" s="2" t="str">
        <f>HYPERLINK("https://rth.dk/resources/bsgatlas/details.php?id=BSGatlas-5'UTR-2522","BSGatlas-5'UTR-2522")</f>
        <v>BSGatlas-5'UTR-2522</v>
      </c>
      <c r="B2523" s="3">
        <v>3792257</v>
      </c>
      <c r="C2523" s="3">
        <v>3792292</v>
      </c>
      <c r="D2523" s="1" t="s">
        <v>13</v>
      </c>
      <c r="E2523" s="1">
        <v>36</v>
      </c>
      <c r="F2523" s="1" t="s">
        <v>13838</v>
      </c>
      <c r="G2523" s="1" t="s">
        <v>10661</v>
      </c>
    </row>
    <row r="2524" spans="1:7" ht="21" x14ac:dyDescent="0.25">
      <c r="A2524" s="2" t="str">
        <f>HYPERLINK("https://rth.dk/resources/bsgatlas/details.php?id=BSGatlas-5'UTR-2523","BSGatlas-5'UTR-2523")</f>
        <v>BSGatlas-5'UTR-2523</v>
      </c>
      <c r="B2524" s="3">
        <v>3792890</v>
      </c>
      <c r="C2524" s="3">
        <v>3792930</v>
      </c>
      <c r="D2524" s="1" t="s">
        <v>13</v>
      </c>
      <c r="E2524" s="1">
        <v>41</v>
      </c>
      <c r="F2524" s="1" t="s">
        <v>13839</v>
      </c>
      <c r="G2524" s="1" t="s">
        <v>10663</v>
      </c>
    </row>
    <row r="2525" spans="1:7" ht="21" x14ac:dyDescent="0.25">
      <c r="A2525" s="2" t="str">
        <f>HYPERLINK("https://rth.dk/resources/bsgatlas/details.php?id=BSGatlas-5'UTR-2524","BSGatlas-5'UTR-2524")</f>
        <v>BSGatlas-5'UTR-2524</v>
      </c>
      <c r="B2525" s="3">
        <v>3794009</v>
      </c>
      <c r="C2525" s="3">
        <v>3794074</v>
      </c>
      <c r="D2525" s="1" t="s">
        <v>13</v>
      </c>
      <c r="E2525" s="1">
        <v>66</v>
      </c>
      <c r="F2525" s="1" t="s">
        <v>13840</v>
      </c>
      <c r="G2525" s="1" t="s">
        <v>10664</v>
      </c>
    </row>
    <row r="2526" spans="1:7" ht="21" x14ac:dyDescent="0.25">
      <c r="A2526" s="2" t="str">
        <f>HYPERLINK("https://rth.dk/resources/bsgatlas/details.php?id=BSGatlas-5'UTR-2525","BSGatlas-5'UTR-2525")</f>
        <v>BSGatlas-5'UTR-2525</v>
      </c>
      <c r="B2526" s="3">
        <v>3795350</v>
      </c>
      <c r="C2526" s="3">
        <v>3795383</v>
      </c>
      <c r="D2526" s="1" t="s">
        <v>13</v>
      </c>
      <c r="E2526" s="1">
        <v>34</v>
      </c>
      <c r="F2526" s="1" t="s">
        <v>13841</v>
      </c>
      <c r="G2526" s="1" t="s">
        <v>10668</v>
      </c>
    </row>
    <row r="2527" spans="1:7" ht="21" x14ac:dyDescent="0.25">
      <c r="A2527" s="2" t="str">
        <f>HYPERLINK("https://rth.dk/resources/bsgatlas/details.php?id=BSGatlas-5'UTR-2526","BSGatlas-5'UTR-2526")</f>
        <v>BSGatlas-5'UTR-2526</v>
      </c>
      <c r="B2527" s="3">
        <v>3795456</v>
      </c>
      <c r="C2527" s="3">
        <v>3795491</v>
      </c>
      <c r="D2527" s="1" t="s">
        <v>9</v>
      </c>
      <c r="E2527" s="1">
        <v>36</v>
      </c>
      <c r="F2527" s="1" t="s">
        <v>13842</v>
      </c>
      <c r="G2527" s="1" t="s">
        <v>10669</v>
      </c>
    </row>
    <row r="2528" spans="1:7" ht="21" x14ac:dyDescent="0.25">
      <c r="A2528" s="2" t="str">
        <f>HYPERLINK("https://rth.dk/resources/bsgatlas/details.php?id=BSGatlas-5'UTR-2527","BSGatlas-5'UTR-2527")</f>
        <v>BSGatlas-5'UTR-2527</v>
      </c>
      <c r="B2528" s="3">
        <v>3796157</v>
      </c>
      <c r="C2528" s="3">
        <v>3796230</v>
      </c>
      <c r="D2528" s="1" t="s">
        <v>13</v>
      </c>
      <c r="E2528" s="1">
        <v>74</v>
      </c>
      <c r="F2528" s="1" t="s">
        <v>13843</v>
      </c>
      <c r="G2528" s="1" t="s">
        <v>10670</v>
      </c>
    </row>
    <row r="2529" spans="1:7" ht="21" x14ac:dyDescent="0.25">
      <c r="A2529" s="2" t="str">
        <f>HYPERLINK("https://rth.dk/resources/bsgatlas/details.php?id=BSGatlas-5'UTR-2528","BSGatlas-5'UTR-2528")</f>
        <v>BSGatlas-5'UTR-2528</v>
      </c>
      <c r="B2529" s="3">
        <v>3798155</v>
      </c>
      <c r="C2529" s="3">
        <v>3798207</v>
      </c>
      <c r="D2529" s="1" t="s">
        <v>13</v>
      </c>
      <c r="E2529" s="1">
        <v>53</v>
      </c>
      <c r="F2529" s="1" t="s">
        <v>13844</v>
      </c>
      <c r="G2529" s="1" t="s">
        <v>10672</v>
      </c>
    </row>
    <row r="2530" spans="1:7" ht="21" x14ac:dyDescent="0.25">
      <c r="A2530" s="2" t="str">
        <f>HYPERLINK("https://rth.dk/resources/bsgatlas/details.php?id=BSGatlas-5'UTR-2529","BSGatlas-5'UTR-2529")</f>
        <v>BSGatlas-5'UTR-2529</v>
      </c>
      <c r="B2530" s="3">
        <v>3798155</v>
      </c>
      <c r="C2530" s="3">
        <v>3798320</v>
      </c>
      <c r="D2530" s="1" t="s">
        <v>13</v>
      </c>
      <c r="E2530" s="1">
        <v>166</v>
      </c>
      <c r="F2530" s="1" t="s">
        <v>13844</v>
      </c>
      <c r="G2530" s="1" t="s">
        <v>10674</v>
      </c>
    </row>
    <row r="2531" spans="1:7" ht="21" x14ac:dyDescent="0.25">
      <c r="A2531" s="2" t="str">
        <f>HYPERLINK("https://rth.dk/resources/bsgatlas/details.php?id=BSGatlas-5'UTR-2530","BSGatlas-5'UTR-2530")</f>
        <v>BSGatlas-5'UTR-2530</v>
      </c>
      <c r="B2531" s="3">
        <v>3798266</v>
      </c>
      <c r="C2531" s="3">
        <v>3798281</v>
      </c>
      <c r="D2531" s="1" t="s">
        <v>9</v>
      </c>
      <c r="E2531" s="1">
        <v>16</v>
      </c>
      <c r="F2531" s="1" t="s">
        <v>13845</v>
      </c>
      <c r="G2531" s="1" t="s">
        <v>10676</v>
      </c>
    </row>
    <row r="2532" spans="1:7" ht="21" x14ac:dyDescent="0.25">
      <c r="A2532" s="2" t="str">
        <f>HYPERLINK("https://rth.dk/resources/bsgatlas/details.php?id=BSGatlas-5'UTR-2531","BSGatlas-5'UTR-2531")</f>
        <v>BSGatlas-5'UTR-2531</v>
      </c>
      <c r="B2532" s="3">
        <v>3798755</v>
      </c>
      <c r="C2532" s="3">
        <v>3798789</v>
      </c>
      <c r="D2532" s="1" t="s">
        <v>9</v>
      </c>
      <c r="E2532" s="1">
        <v>35</v>
      </c>
      <c r="F2532" s="1" t="s">
        <v>13846</v>
      </c>
      <c r="G2532" s="1" t="s">
        <v>10678</v>
      </c>
    </row>
    <row r="2533" spans="1:7" ht="21" x14ac:dyDescent="0.25">
      <c r="A2533" s="2" t="str">
        <f>HYPERLINK("https://rth.dk/resources/bsgatlas/details.php?id=BSGatlas-5'UTR-2532","BSGatlas-5'UTR-2532")</f>
        <v>BSGatlas-5'UTR-2532</v>
      </c>
      <c r="B2533" s="3">
        <v>3800336</v>
      </c>
      <c r="C2533" s="3">
        <v>3800388</v>
      </c>
      <c r="D2533" s="1" t="s">
        <v>13</v>
      </c>
      <c r="E2533" s="1">
        <v>53</v>
      </c>
      <c r="F2533" s="1" t="s">
        <v>13847</v>
      </c>
      <c r="G2533" s="1" t="s">
        <v>10680</v>
      </c>
    </row>
    <row r="2534" spans="1:7" ht="21" x14ac:dyDescent="0.25">
      <c r="A2534" s="2" t="str">
        <f>HYPERLINK("https://rth.dk/resources/bsgatlas/details.php?id=BSGatlas-5'UTR-2533","BSGatlas-5'UTR-2533")</f>
        <v>BSGatlas-5'UTR-2533</v>
      </c>
      <c r="B2534" s="3">
        <v>3800336</v>
      </c>
      <c r="C2534" s="3">
        <v>3800900</v>
      </c>
      <c r="D2534" s="1" t="s">
        <v>13</v>
      </c>
      <c r="E2534" s="1">
        <v>565</v>
      </c>
      <c r="F2534" s="1" t="s">
        <v>13847</v>
      </c>
      <c r="G2534" s="1" t="s">
        <v>10682</v>
      </c>
    </row>
    <row r="2535" spans="1:7" ht="21" x14ac:dyDescent="0.25">
      <c r="A2535" s="2" t="str">
        <f>HYPERLINK("https://rth.dk/resources/bsgatlas/details.php?id=BSGatlas-5'UTR-2534","BSGatlas-5'UTR-2534")</f>
        <v>BSGatlas-5'UTR-2534</v>
      </c>
      <c r="B2535" s="3">
        <v>3802166</v>
      </c>
      <c r="C2535" s="3">
        <v>3802245</v>
      </c>
      <c r="D2535" s="1" t="s">
        <v>13</v>
      </c>
      <c r="E2535" s="1">
        <v>80</v>
      </c>
      <c r="F2535" s="1" t="s">
        <v>13848</v>
      </c>
      <c r="G2535" s="1" t="s">
        <v>10684</v>
      </c>
    </row>
    <row r="2536" spans="1:7" ht="21" x14ac:dyDescent="0.25">
      <c r="A2536" s="2" t="str">
        <f>HYPERLINK("https://rth.dk/resources/bsgatlas/details.php?id=BSGatlas-5'UTR-2535","BSGatlas-5'UTR-2535")</f>
        <v>BSGatlas-5'UTR-2535</v>
      </c>
      <c r="B2536" s="3">
        <v>3803281</v>
      </c>
      <c r="C2536" s="3">
        <v>3803359</v>
      </c>
      <c r="D2536" s="1" t="s">
        <v>13</v>
      </c>
      <c r="E2536" s="1">
        <v>79</v>
      </c>
      <c r="F2536" s="1" t="s">
        <v>13849</v>
      </c>
      <c r="G2536" s="1" t="s">
        <v>10687</v>
      </c>
    </row>
    <row r="2537" spans="1:7" ht="21" x14ac:dyDescent="0.25">
      <c r="A2537" s="2" t="str">
        <f>HYPERLINK("https://rth.dk/resources/bsgatlas/details.php?id=BSGatlas-5'UTR-2536","BSGatlas-5'UTR-2536")</f>
        <v>BSGatlas-5'UTR-2536</v>
      </c>
      <c r="B2537" s="3">
        <v>3809369</v>
      </c>
      <c r="C2537" s="3">
        <v>3809496</v>
      </c>
      <c r="D2537" s="1" t="s">
        <v>13</v>
      </c>
      <c r="E2537" s="1">
        <v>128</v>
      </c>
      <c r="F2537" s="1" t="s">
        <v>13850</v>
      </c>
      <c r="G2537" s="1" t="s">
        <v>10695</v>
      </c>
    </row>
    <row r="2538" spans="1:7" ht="21" x14ac:dyDescent="0.25">
      <c r="A2538" s="2" t="str">
        <f>HYPERLINK("https://rth.dk/resources/bsgatlas/details.php?id=BSGatlas-5'UTR-2537","BSGatlas-5'UTR-2537")</f>
        <v>BSGatlas-5'UTR-2537</v>
      </c>
      <c r="B2538" s="3">
        <v>3809924</v>
      </c>
      <c r="C2538" s="3">
        <v>3809966</v>
      </c>
      <c r="D2538" s="1" t="s">
        <v>13</v>
      </c>
      <c r="E2538" s="1">
        <v>43</v>
      </c>
      <c r="F2538" s="1" t="s">
        <v>13851</v>
      </c>
      <c r="G2538" s="1" t="s">
        <v>10699</v>
      </c>
    </row>
    <row r="2539" spans="1:7" ht="21" x14ac:dyDescent="0.25">
      <c r="A2539" s="2" t="str">
        <f>HYPERLINK("https://rth.dk/resources/bsgatlas/details.php?id=BSGatlas-5'UTR-2538","BSGatlas-5'UTR-2538")</f>
        <v>BSGatlas-5'UTR-2538</v>
      </c>
      <c r="B2539" s="3">
        <v>3809924</v>
      </c>
      <c r="C2539" s="3">
        <v>3809998</v>
      </c>
      <c r="D2539" s="1" t="s">
        <v>13</v>
      </c>
      <c r="E2539" s="1">
        <v>75</v>
      </c>
      <c r="F2539" s="1" t="s">
        <v>13851</v>
      </c>
      <c r="G2539" s="1" t="s">
        <v>10700</v>
      </c>
    </row>
    <row r="2540" spans="1:7" ht="21" x14ac:dyDescent="0.25">
      <c r="A2540" s="2" t="str">
        <f>HYPERLINK("https://rth.dk/resources/bsgatlas/details.php?id=BSGatlas-5'UTR-2539","BSGatlas-5'UTR-2539")</f>
        <v>BSGatlas-5'UTR-2539</v>
      </c>
      <c r="B2540" s="3">
        <v>3809924</v>
      </c>
      <c r="C2540" s="3">
        <v>3810619</v>
      </c>
      <c r="D2540" s="1" t="s">
        <v>13</v>
      </c>
      <c r="E2540" s="1">
        <v>696</v>
      </c>
      <c r="F2540" s="1" t="s">
        <v>13851</v>
      </c>
      <c r="G2540" s="1" t="s">
        <v>10701</v>
      </c>
    </row>
    <row r="2541" spans="1:7" ht="21" x14ac:dyDescent="0.25">
      <c r="A2541" s="2" t="str">
        <f>HYPERLINK("https://rth.dk/resources/bsgatlas/details.php?id=BSGatlas-5'UTR-2540","BSGatlas-5'UTR-2540")</f>
        <v>BSGatlas-5'UTR-2540</v>
      </c>
      <c r="B2541" s="3">
        <v>3810013</v>
      </c>
      <c r="C2541" s="3">
        <v>3810090</v>
      </c>
      <c r="D2541" s="1" t="s">
        <v>9</v>
      </c>
      <c r="E2541" s="1">
        <v>78</v>
      </c>
      <c r="F2541" s="1" t="s">
        <v>13852</v>
      </c>
      <c r="G2541" s="1" t="s">
        <v>10702</v>
      </c>
    </row>
    <row r="2542" spans="1:7" ht="21" x14ac:dyDescent="0.25">
      <c r="A2542" s="2" t="str">
        <f>HYPERLINK("https://rth.dk/resources/bsgatlas/details.php?id=BSGatlas-5'UTR-2541","BSGatlas-5'UTR-2541")</f>
        <v>BSGatlas-5'UTR-2541</v>
      </c>
      <c r="B2542" s="3">
        <v>3810058</v>
      </c>
      <c r="C2542" s="3">
        <v>3810090</v>
      </c>
      <c r="D2542" s="1" t="s">
        <v>9</v>
      </c>
      <c r="E2542" s="1">
        <v>33</v>
      </c>
      <c r="F2542" s="1" t="s">
        <v>13852</v>
      </c>
      <c r="G2542" s="1" t="s">
        <v>10704</v>
      </c>
    </row>
    <row r="2543" spans="1:7" ht="21" x14ac:dyDescent="0.25">
      <c r="A2543" s="2" t="str">
        <f>HYPERLINK("https://rth.dk/resources/bsgatlas/details.php?id=BSGatlas-5'UTR-2542","BSGatlas-5'UTR-2542")</f>
        <v>BSGatlas-5'UTR-2542</v>
      </c>
      <c r="B2543" s="3">
        <v>3812300</v>
      </c>
      <c r="C2543" s="3">
        <v>3812479</v>
      </c>
      <c r="D2543" s="1" t="s">
        <v>13</v>
      </c>
      <c r="E2543" s="1">
        <v>180</v>
      </c>
      <c r="F2543" s="1" t="s">
        <v>13853</v>
      </c>
      <c r="G2543" s="1" t="s">
        <v>10706</v>
      </c>
    </row>
    <row r="2544" spans="1:7" ht="21" x14ac:dyDescent="0.25">
      <c r="A2544" s="2" t="str">
        <f>HYPERLINK("https://rth.dk/resources/bsgatlas/details.php?id=BSGatlas-5'UTR-2543","BSGatlas-5'UTR-2543")</f>
        <v>BSGatlas-5'UTR-2543</v>
      </c>
      <c r="B2544" s="3">
        <v>3813063</v>
      </c>
      <c r="C2544" s="3">
        <v>3813147</v>
      </c>
      <c r="D2544" s="1" t="s">
        <v>13</v>
      </c>
      <c r="E2544" s="1">
        <v>85</v>
      </c>
      <c r="F2544" s="1" t="s">
        <v>13854</v>
      </c>
      <c r="G2544" s="1" t="s">
        <v>10709</v>
      </c>
    </row>
    <row r="2545" spans="1:7" ht="21" x14ac:dyDescent="0.25">
      <c r="A2545" s="2" t="str">
        <f>HYPERLINK("https://rth.dk/resources/bsgatlas/details.php?id=BSGatlas-5'UTR-2544","BSGatlas-5'UTR-2544")</f>
        <v>BSGatlas-5'UTR-2544</v>
      </c>
      <c r="B2545" s="3">
        <v>3813063</v>
      </c>
      <c r="C2545" s="3">
        <v>3813149</v>
      </c>
      <c r="D2545" s="1" t="s">
        <v>13</v>
      </c>
      <c r="E2545" s="1">
        <v>87</v>
      </c>
      <c r="F2545" s="1" t="s">
        <v>13854</v>
      </c>
      <c r="G2545" s="1" t="s">
        <v>10710</v>
      </c>
    </row>
    <row r="2546" spans="1:7" ht="21" x14ac:dyDescent="0.25">
      <c r="A2546" s="2" t="str">
        <f>HYPERLINK("https://rth.dk/resources/bsgatlas/details.php?id=BSGatlas-5'UTR-2545","BSGatlas-5'UTR-2545")</f>
        <v>BSGatlas-5'UTR-2545</v>
      </c>
      <c r="B2546" s="3">
        <v>3816499</v>
      </c>
      <c r="C2546" s="3">
        <v>3816562</v>
      </c>
      <c r="D2546" s="1" t="s">
        <v>13</v>
      </c>
      <c r="E2546" s="1">
        <v>64</v>
      </c>
      <c r="F2546" s="1" t="s">
        <v>13855</v>
      </c>
      <c r="G2546" s="1" t="s">
        <v>10712</v>
      </c>
    </row>
    <row r="2547" spans="1:7" ht="21" x14ac:dyDescent="0.25">
      <c r="A2547" s="2" t="str">
        <f>HYPERLINK("https://rth.dk/resources/bsgatlas/details.php?id=BSGatlas-5'UTR-2546","BSGatlas-5'UTR-2546")</f>
        <v>BSGatlas-5'UTR-2546</v>
      </c>
      <c r="B2547" s="3">
        <v>3816623</v>
      </c>
      <c r="C2547" s="3">
        <v>3816654</v>
      </c>
      <c r="D2547" s="1" t="s">
        <v>9</v>
      </c>
      <c r="E2547" s="1">
        <v>32</v>
      </c>
      <c r="F2547" s="1" t="s">
        <v>13856</v>
      </c>
      <c r="G2547" s="1" t="s">
        <v>10719</v>
      </c>
    </row>
    <row r="2548" spans="1:7" ht="21" x14ac:dyDescent="0.25">
      <c r="A2548" s="2" t="str">
        <f>HYPERLINK("https://rth.dk/resources/bsgatlas/details.php?id=BSGatlas-5'UTR-2547","BSGatlas-5'UTR-2547")</f>
        <v>BSGatlas-5'UTR-2547</v>
      </c>
      <c r="B2548" s="3">
        <v>3818876</v>
      </c>
      <c r="C2548" s="3">
        <v>3818906</v>
      </c>
      <c r="D2548" s="1" t="s">
        <v>9</v>
      </c>
      <c r="E2548" s="1">
        <v>31</v>
      </c>
      <c r="F2548" s="1" t="s">
        <v>13857</v>
      </c>
      <c r="G2548" s="1" t="s">
        <v>10721</v>
      </c>
    </row>
    <row r="2549" spans="1:7" ht="21" x14ac:dyDescent="0.25">
      <c r="A2549" s="2" t="str">
        <f>HYPERLINK("https://rth.dk/resources/bsgatlas/details.php?id=BSGatlas-5'UTR-2548","BSGatlas-5'UTR-2548")</f>
        <v>BSGatlas-5'UTR-2548</v>
      </c>
      <c r="B2549" s="3">
        <v>3821481</v>
      </c>
      <c r="C2549" s="3">
        <v>3821529</v>
      </c>
      <c r="D2549" s="1" t="s">
        <v>13</v>
      </c>
      <c r="E2549" s="1">
        <v>49</v>
      </c>
      <c r="F2549" s="1" t="s">
        <v>13858</v>
      </c>
      <c r="G2549" s="1" t="s">
        <v>10726</v>
      </c>
    </row>
    <row r="2550" spans="1:7" ht="21" x14ac:dyDescent="0.25">
      <c r="A2550" s="2" t="str">
        <f>HYPERLINK("https://rth.dk/resources/bsgatlas/details.php?id=BSGatlas-5'UTR-2549","BSGatlas-5'UTR-2549")</f>
        <v>BSGatlas-5'UTR-2549</v>
      </c>
      <c r="B2550" s="3">
        <v>3823072</v>
      </c>
      <c r="C2550" s="3">
        <v>3823114</v>
      </c>
      <c r="D2550" s="1" t="s">
        <v>13</v>
      </c>
      <c r="E2550" s="1">
        <v>43</v>
      </c>
      <c r="F2550" s="1" t="s">
        <v>13859</v>
      </c>
      <c r="G2550" s="1" t="s">
        <v>10728</v>
      </c>
    </row>
    <row r="2551" spans="1:7" ht="21" x14ac:dyDescent="0.25">
      <c r="A2551" s="2" t="str">
        <f>HYPERLINK("https://rth.dk/resources/bsgatlas/details.php?id=BSGatlas-5'UTR-2550","BSGatlas-5'UTR-2550")</f>
        <v>BSGatlas-5'UTR-2550</v>
      </c>
      <c r="B2551" s="3">
        <v>3829945</v>
      </c>
      <c r="C2551" s="3">
        <v>3829977</v>
      </c>
      <c r="D2551" s="1" t="s">
        <v>13</v>
      </c>
      <c r="E2551" s="1">
        <v>33</v>
      </c>
      <c r="F2551" s="1" t="s">
        <v>13860</v>
      </c>
      <c r="G2551" s="1" t="s">
        <v>10732</v>
      </c>
    </row>
    <row r="2552" spans="1:7" ht="21" x14ac:dyDescent="0.25">
      <c r="A2552" s="2" t="str">
        <f>HYPERLINK("https://rth.dk/resources/bsgatlas/details.php?id=BSGatlas-5'UTR-2551","BSGatlas-5'UTR-2551")</f>
        <v>BSGatlas-5'UTR-2551</v>
      </c>
      <c r="B2552" s="3">
        <v>3829945</v>
      </c>
      <c r="C2552" s="3">
        <v>3829978</v>
      </c>
      <c r="D2552" s="1" t="s">
        <v>13</v>
      </c>
      <c r="E2552" s="1">
        <v>34</v>
      </c>
      <c r="F2552" s="1" t="s">
        <v>13860</v>
      </c>
      <c r="G2552" s="1" t="s">
        <v>10734</v>
      </c>
    </row>
    <row r="2553" spans="1:7" ht="21" x14ac:dyDescent="0.25">
      <c r="A2553" s="2" t="str">
        <f>HYPERLINK("https://rth.dk/resources/bsgatlas/details.php?id=BSGatlas-5'UTR-2552","BSGatlas-5'UTR-2552")</f>
        <v>BSGatlas-5'UTR-2552</v>
      </c>
      <c r="B2553" s="3">
        <v>3830617</v>
      </c>
      <c r="C2553" s="3">
        <v>3830642</v>
      </c>
      <c r="D2553" s="1" t="s">
        <v>13</v>
      </c>
      <c r="E2553" s="1">
        <v>26</v>
      </c>
      <c r="F2553" s="1" t="s">
        <v>13861</v>
      </c>
      <c r="G2553" s="1" t="s">
        <v>10736</v>
      </c>
    </row>
    <row r="2554" spans="1:7" ht="21" x14ac:dyDescent="0.25">
      <c r="A2554" s="2" t="str">
        <f>HYPERLINK("https://rth.dk/resources/bsgatlas/details.php?id=BSGatlas-5'UTR-2553","BSGatlas-5'UTR-2553")</f>
        <v>BSGatlas-5'UTR-2553</v>
      </c>
      <c r="B2554" s="3">
        <v>3830724</v>
      </c>
      <c r="C2554" s="3">
        <v>3830761</v>
      </c>
      <c r="D2554" s="1" t="s">
        <v>9</v>
      </c>
      <c r="E2554" s="1">
        <v>38</v>
      </c>
      <c r="F2554" s="1" t="s">
        <v>13862</v>
      </c>
      <c r="G2554" s="1" t="s">
        <v>10738</v>
      </c>
    </row>
    <row r="2555" spans="1:7" ht="21" x14ac:dyDescent="0.25">
      <c r="A2555" s="2" t="str">
        <f>HYPERLINK("https://rth.dk/resources/bsgatlas/details.php?id=BSGatlas-5'UTR-2554","BSGatlas-5'UTR-2554")</f>
        <v>BSGatlas-5'UTR-2554</v>
      </c>
      <c r="B2555" s="3">
        <v>3832228</v>
      </c>
      <c r="C2555" s="3">
        <v>3832256</v>
      </c>
      <c r="D2555" s="1" t="s">
        <v>13</v>
      </c>
      <c r="E2555" s="1">
        <v>29</v>
      </c>
      <c r="F2555" s="1" t="s">
        <v>13863</v>
      </c>
      <c r="G2555" s="1" t="s">
        <v>10740</v>
      </c>
    </row>
    <row r="2556" spans="1:7" ht="21" x14ac:dyDescent="0.25">
      <c r="A2556" s="2" t="str">
        <f>HYPERLINK("https://rth.dk/resources/bsgatlas/details.php?id=BSGatlas-5'UTR-2555","BSGatlas-5'UTR-2555")</f>
        <v>BSGatlas-5'UTR-2555</v>
      </c>
      <c r="B2556" s="3">
        <v>3833514</v>
      </c>
      <c r="C2556" s="3">
        <v>3833545</v>
      </c>
      <c r="D2556" s="1" t="s">
        <v>13</v>
      </c>
      <c r="E2556" s="1">
        <v>32</v>
      </c>
      <c r="F2556" s="1" t="s">
        <v>13864</v>
      </c>
      <c r="G2556" s="1" t="s">
        <v>10743</v>
      </c>
    </row>
    <row r="2557" spans="1:7" ht="21" x14ac:dyDescent="0.25">
      <c r="A2557" s="2" t="str">
        <f>HYPERLINK("https://rth.dk/resources/bsgatlas/details.php?id=BSGatlas-5'UTR-2556","BSGatlas-5'UTR-2556")</f>
        <v>BSGatlas-5'UTR-2556</v>
      </c>
      <c r="B2557" s="3">
        <v>3835745</v>
      </c>
      <c r="C2557" s="3">
        <v>3835829</v>
      </c>
      <c r="D2557" s="1" t="s">
        <v>13</v>
      </c>
      <c r="E2557" s="1">
        <v>85</v>
      </c>
      <c r="F2557" s="1" t="s">
        <v>13865</v>
      </c>
      <c r="G2557" s="1" t="s">
        <v>10747</v>
      </c>
    </row>
    <row r="2558" spans="1:7" ht="21" x14ac:dyDescent="0.25">
      <c r="A2558" s="2" t="str">
        <f>HYPERLINK("https://rth.dk/resources/bsgatlas/details.php?id=BSGatlas-5'UTR-2557","BSGatlas-5'UTR-2557")</f>
        <v>BSGatlas-5'UTR-2557</v>
      </c>
      <c r="B2558" s="3">
        <v>3835745</v>
      </c>
      <c r="C2558" s="3">
        <v>3835896</v>
      </c>
      <c r="D2558" s="1" t="s">
        <v>13</v>
      </c>
      <c r="E2558" s="1">
        <v>152</v>
      </c>
      <c r="F2558" s="1" t="s">
        <v>13865</v>
      </c>
      <c r="G2558" s="1" t="s">
        <v>10748</v>
      </c>
    </row>
    <row r="2559" spans="1:7" ht="21" x14ac:dyDescent="0.25">
      <c r="A2559" s="2" t="str">
        <f>HYPERLINK("https://rth.dk/resources/bsgatlas/details.php?id=BSGatlas-5'UTR-2558","BSGatlas-5'UTR-2558")</f>
        <v>BSGatlas-5'UTR-2558</v>
      </c>
      <c r="B2559" s="3">
        <v>3835820</v>
      </c>
      <c r="C2559" s="3">
        <v>3836058</v>
      </c>
      <c r="D2559" s="1" t="s">
        <v>9</v>
      </c>
      <c r="E2559" s="1">
        <v>239</v>
      </c>
      <c r="F2559" s="1" t="s">
        <v>13866</v>
      </c>
      <c r="G2559" s="1" t="s">
        <v>10749</v>
      </c>
    </row>
    <row r="2560" spans="1:7" ht="21" x14ac:dyDescent="0.25">
      <c r="A2560" s="2" t="str">
        <f>HYPERLINK("https://rth.dk/resources/bsgatlas/details.php?id=BSGatlas-5'UTR-2559","BSGatlas-5'UTR-2559")</f>
        <v>BSGatlas-5'UTR-2559</v>
      </c>
      <c r="B2560" s="3">
        <v>3836013</v>
      </c>
      <c r="C2560" s="3">
        <v>3836058</v>
      </c>
      <c r="D2560" s="1" t="s">
        <v>9</v>
      </c>
      <c r="E2560" s="1">
        <v>46</v>
      </c>
      <c r="F2560" s="1" t="s">
        <v>13866</v>
      </c>
      <c r="G2560" s="1" t="s">
        <v>10752</v>
      </c>
    </row>
    <row r="2561" spans="1:7" ht="21" x14ac:dyDescent="0.25">
      <c r="A2561" s="2" t="str">
        <f>HYPERLINK("https://rth.dk/resources/bsgatlas/details.php?id=BSGatlas-5'UTR-2560","BSGatlas-5'UTR-2560")</f>
        <v>BSGatlas-5'UTR-2560</v>
      </c>
      <c r="B2561" s="3">
        <v>3845771</v>
      </c>
      <c r="C2561" s="3">
        <v>3845825</v>
      </c>
      <c r="D2561" s="1" t="s">
        <v>13</v>
      </c>
      <c r="E2561" s="1">
        <v>55</v>
      </c>
      <c r="F2561" s="1" t="s">
        <v>13867</v>
      </c>
      <c r="G2561" s="1" t="s">
        <v>10754</v>
      </c>
    </row>
    <row r="2562" spans="1:7" ht="21" x14ac:dyDescent="0.25">
      <c r="A2562" s="2" t="str">
        <f>HYPERLINK("https://rth.dk/resources/bsgatlas/details.php?id=BSGatlas-5'UTR-2561","BSGatlas-5'UTR-2561")</f>
        <v>BSGatlas-5'UTR-2561</v>
      </c>
      <c r="B2562" s="3">
        <v>3845952</v>
      </c>
      <c r="C2562" s="3">
        <v>3846001</v>
      </c>
      <c r="D2562" s="1" t="s">
        <v>9</v>
      </c>
      <c r="E2562" s="1">
        <v>50</v>
      </c>
      <c r="F2562" s="1" t="s">
        <v>13868</v>
      </c>
      <c r="G2562" s="1" t="s">
        <v>10758</v>
      </c>
    </row>
    <row r="2563" spans="1:7" ht="21" x14ac:dyDescent="0.25">
      <c r="A2563" s="2" t="str">
        <f>HYPERLINK("https://rth.dk/resources/bsgatlas/details.php?id=BSGatlas-5'UTR-2562","BSGatlas-5'UTR-2562")</f>
        <v>BSGatlas-5'UTR-2562</v>
      </c>
      <c r="B2563" s="3">
        <v>3847043</v>
      </c>
      <c r="C2563" s="3">
        <v>3847130</v>
      </c>
      <c r="D2563" s="1" t="s">
        <v>9</v>
      </c>
      <c r="E2563" s="1">
        <v>88</v>
      </c>
      <c r="F2563" s="1" t="s">
        <v>13869</v>
      </c>
      <c r="G2563" s="1" t="s">
        <v>10763</v>
      </c>
    </row>
    <row r="2564" spans="1:7" ht="21" x14ac:dyDescent="0.25">
      <c r="A2564" s="2" t="str">
        <f>HYPERLINK("https://rth.dk/resources/bsgatlas/details.php?id=BSGatlas-5'UTR-2563","BSGatlas-5'UTR-2563")</f>
        <v>BSGatlas-5'UTR-2563</v>
      </c>
      <c r="B2564" s="3">
        <v>3849616</v>
      </c>
      <c r="C2564" s="3">
        <v>3849700</v>
      </c>
      <c r="D2564" s="1" t="s">
        <v>13</v>
      </c>
      <c r="E2564" s="1">
        <v>85</v>
      </c>
      <c r="F2564" s="1" t="s">
        <v>13870</v>
      </c>
      <c r="G2564" s="1" t="s">
        <v>10761</v>
      </c>
    </row>
    <row r="2565" spans="1:7" ht="21" x14ac:dyDescent="0.25">
      <c r="A2565" s="2" t="str">
        <f>HYPERLINK("https://rth.dk/resources/bsgatlas/details.php?id=BSGatlas-5'UTR-2564","BSGatlas-5'UTR-2564")</f>
        <v>BSGatlas-5'UTR-2564</v>
      </c>
      <c r="B2565" s="3">
        <v>3849791</v>
      </c>
      <c r="C2565" s="3">
        <v>3849818</v>
      </c>
      <c r="D2565" s="1" t="s">
        <v>9</v>
      </c>
      <c r="E2565" s="1">
        <v>28</v>
      </c>
      <c r="F2565" s="1" t="s">
        <v>13871</v>
      </c>
      <c r="G2565" s="1" t="s">
        <v>10769</v>
      </c>
    </row>
    <row r="2566" spans="1:7" ht="21" x14ac:dyDescent="0.25">
      <c r="A2566" s="2" t="str">
        <f>HYPERLINK("https://rth.dk/resources/bsgatlas/details.php?id=BSGatlas-5'UTR-2565","BSGatlas-5'UTR-2565")</f>
        <v>BSGatlas-5'UTR-2565</v>
      </c>
      <c r="B2566" s="3">
        <v>3853377</v>
      </c>
      <c r="C2566" s="3">
        <v>3853431</v>
      </c>
      <c r="D2566" s="1" t="s">
        <v>13</v>
      </c>
      <c r="E2566" s="1">
        <v>55</v>
      </c>
      <c r="F2566" s="1" t="s">
        <v>13872</v>
      </c>
      <c r="G2566" s="1" t="s">
        <v>10772</v>
      </c>
    </row>
    <row r="2567" spans="1:7" ht="21" x14ac:dyDescent="0.25">
      <c r="A2567" s="2" t="str">
        <f>HYPERLINK("https://rth.dk/resources/bsgatlas/details.php?id=BSGatlas-5'UTR-2566","BSGatlas-5'UTR-2566")</f>
        <v>BSGatlas-5'UTR-2566</v>
      </c>
      <c r="B2567" s="3">
        <v>3853421</v>
      </c>
      <c r="C2567" s="3">
        <v>3853486</v>
      </c>
      <c r="D2567" s="1" t="s">
        <v>9</v>
      </c>
      <c r="E2567" s="1">
        <v>66</v>
      </c>
      <c r="F2567" s="1" t="s">
        <v>13873</v>
      </c>
      <c r="G2567" s="1" t="s">
        <v>10774</v>
      </c>
    </row>
    <row r="2568" spans="1:7" ht="21" x14ac:dyDescent="0.25">
      <c r="A2568" s="2" t="str">
        <f>HYPERLINK("https://rth.dk/resources/bsgatlas/details.php?id=BSGatlas-5'UTR-2567","BSGatlas-5'UTR-2567")</f>
        <v>BSGatlas-5'UTR-2567</v>
      </c>
      <c r="B2568" s="3">
        <v>3854136</v>
      </c>
      <c r="C2568" s="3">
        <v>3854197</v>
      </c>
      <c r="D2568" s="1" t="s">
        <v>13</v>
      </c>
      <c r="E2568" s="1">
        <v>62</v>
      </c>
      <c r="F2568" s="1" t="s">
        <v>13874</v>
      </c>
      <c r="G2568" s="1" t="s">
        <v>10776</v>
      </c>
    </row>
    <row r="2569" spans="1:7" ht="21" x14ac:dyDescent="0.25">
      <c r="A2569" s="2" t="str">
        <f>HYPERLINK("https://rth.dk/resources/bsgatlas/details.php?id=BSGatlas-5'UTR-2568","BSGatlas-5'UTR-2568")</f>
        <v>BSGatlas-5'UTR-2568</v>
      </c>
      <c r="B2569" s="3">
        <v>3856937</v>
      </c>
      <c r="C2569" s="3">
        <v>3856994</v>
      </c>
      <c r="D2569" s="1" t="s">
        <v>13</v>
      </c>
      <c r="E2569" s="1">
        <v>58</v>
      </c>
      <c r="F2569" s="1" t="s">
        <v>13875</v>
      </c>
      <c r="G2569" s="1" t="s">
        <v>10784</v>
      </c>
    </row>
    <row r="2570" spans="1:7" ht="21" x14ac:dyDescent="0.25">
      <c r="A2570" s="2" t="str">
        <f>HYPERLINK("https://rth.dk/resources/bsgatlas/details.php?id=BSGatlas-5'UTR-2569","BSGatlas-5'UTR-2569")</f>
        <v>BSGatlas-5'UTR-2569</v>
      </c>
      <c r="B2570" s="3">
        <v>3860836</v>
      </c>
      <c r="C2570" s="3">
        <v>3860874</v>
      </c>
      <c r="D2570" s="1" t="s">
        <v>13</v>
      </c>
      <c r="E2570" s="1">
        <v>39</v>
      </c>
      <c r="F2570" s="1" t="s">
        <v>13876</v>
      </c>
      <c r="G2570" s="1" t="s">
        <v>10787</v>
      </c>
    </row>
    <row r="2571" spans="1:7" ht="21" x14ac:dyDescent="0.25">
      <c r="A2571" s="2" t="str">
        <f>HYPERLINK("https://rth.dk/resources/bsgatlas/details.php?id=BSGatlas-5'UTR-2570","BSGatlas-5'UTR-2570")</f>
        <v>BSGatlas-5'UTR-2570</v>
      </c>
      <c r="B2571" s="3">
        <v>3861222</v>
      </c>
      <c r="C2571" s="3">
        <v>3861306</v>
      </c>
      <c r="D2571" s="1" t="s">
        <v>13</v>
      </c>
      <c r="E2571" s="1">
        <v>85</v>
      </c>
      <c r="F2571" s="1" t="s">
        <v>13877</v>
      </c>
      <c r="G2571" s="1" t="s">
        <v>10789</v>
      </c>
    </row>
    <row r="2572" spans="1:7" ht="21" x14ac:dyDescent="0.25">
      <c r="A2572" s="2" t="str">
        <f>HYPERLINK("https://rth.dk/resources/bsgatlas/details.php?id=BSGatlas-5'UTR-2571","BSGatlas-5'UTR-2571")</f>
        <v>BSGatlas-5'UTR-2571</v>
      </c>
      <c r="B2572" s="3">
        <v>3861395</v>
      </c>
      <c r="C2572" s="3">
        <v>3861437</v>
      </c>
      <c r="D2572" s="1" t="s">
        <v>9</v>
      </c>
      <c r="E2572" s="1">
        <v>43</v>
      </c>
      <c r="F2572" s="1" t="s">
        <v>13878</v>
      </c>
      <c r="G2572" s="1" t="s">
        <v>10791</v>
      </c>
    </row>
    <row r="2573" spans="1:7" ht="21" x14ac:dyDescent="0.25">
      <c r="A2573" s="2" t="str">
        <f>HYPERLINK("https://rth.dk/resources/bsgatlas/details.php?id=BSGatlas-5'UTR-2572","BSGatlas-5'UTR-2572")</f>
        <v>BSGatlas-5'UTR-2572</v>
      </c>
      <c r="B2573" s="3">
        <v>3863247</v>
      </c>
      <c r="C2573" s="3">
        <v>3863287</v>
      </c>
      <c r="D2573" s="1" t="s">
        <v>13</v>
      </c>
      <c r="E2573" s="1">
        <v>41</v>
      </c>
      <c r="F2573" s="1" t="s">
        <v>13879</v>
      </c>
      <c r="G2573" s="1" t="s">
        <v>10793</v>
      </c>
    </row>
    <row r="2574" spans="1:7" ht="21" x14ac:dyDescent="0.25">
      <c r="A2574" s="2" t="str">
        <f>HYPERLINK("https://rth.dk/resources/bsgatlas/details.php?id=BSGatlas-5'UTR-2573","BSGatlas-5'UTR-2573")</f>
        <v>BSGatlas-5'UTR-2573</v>
      </c>
      <c r="B2574" s="3">
        <v>3865208</v>
      </c>
      <c r="C2574" s="3">
        <v>3865254</v>
      </c>
      <c r="D2574" s="1" t="s">
        <v>13</v>
      </c>
      <c r="E2574" s="1">
        <v>47</v>
      </c>
      <c r="F2574" s="1" t="s">
        <v>13880</v>
      </c>
      <c r="G2574" s="1" t="s">
        <v>10796</v>
      </c>
    </row>
    <row r="2575" spans="1:7" ht="21" x14ac:dyDescent="0.25">
      <c r="A2575" s="2" t="str">
        <f>HYPERLINK("https://rth.dk/resources/bsgatlas/details.php?id=BSGatlas-5'UTR-2574","BSGatlas-5'UTR-2574")</f>
        <v>BSGatlas-5'UTR-2574</v>
      </c>
      <c r="B2575" s="3">
        <v>3866326</v>
      </c>
      <c r="C2575" s="3">
        <v>3866363</v>
      </c>
      <c r="D2575" s="1" t="s">
        <v>13</v>
      </c>
      <c r="E2575" s="1">
        <v>38</v>
      </c>
      <c r="F2575" s="1" t="s">
        <v>13881</v>
      </c>
      <c r="G2575" s="1" t="s">
        <v>10797</v>
      </c>
    </row>
    <row r="2576" spans="1:7" ht="21" x14ac:dyDescent="0.25">
      <c r="A2576" s="2" t="str">
        <f>HYPERLINK("https://rth.dk/resources/bsgatlas/details.php?id=BSGatlas-5'UTR-2575","BSGatlas-5'UTR-2575")</f>
        <v>BSGatlas-5'UTR-2575</v>
      </c>
      <c r="B2576" s="3">
        <v>3866326</v>
      </c>
      <c r="C2576" s="3">
        <v>3866386</v>
      </c>
      <c r="D2576" s="1" t="s">
        <v>13</v>
      </c>
      <c r="E2576" s="1">
        <v>61</v>
      </c>
      <c r="F2576" s="1" t="s">
        <v>13881</v>
      </c>
      <c r="G2576" s="1" t="s">
        <v>10799</v>
      </c>
    </row>
    <row r="2577" spans="1:7" ht="21" x14ac:dyDescent="0.25">
      <c r="A2577" s="2" t="str">
        <f>HYPERLINK("https://rth.dk/resources/bsgatlas/details.php?id=BSGatlas-5'UTR-2576","BSGatlas-5'UTR-2576")</f>
        <v>BSGatlas-5'UTR-2576</v>
      </c>
      <c r="B2577" s="3">
        <v>3866326</v>
      </c>
      <c r="C2577" s="3">
        <v>3866477</v>
      </c>
      <c r="D2577" s="1" t="s">
        <v>13</v>
      </c>
      <c r="E2577" s="1">
        <v>152</v>
      </c>
      <c r="F2577" s="1" t="s">
        <v>13881</v>
      </c>
      <c r="G2577" s="1" t="s">
        <v>10800</v>
      </c>
    </row>
    <row r="2578" spans="1:7" ht="21" x14ac:dyDescent="0.25">
      <c r="A2578" s="2" t="str">
        <f>HYPERLINK("https://rth.dk/resources/bsgatlas/details.php?id=BSGatlas-5'UTR-2577","BSGatlas-5'UTR-2577")</f>
        <v>BSGatlas-5'UTR-2577</v>
      </c>
      <c r="B2578" s="3">
        <v>3866555</v>
      </c>
      <c r="C2578" s="3">
        <v>3866596</v>
      </c>
      <c r="D2578" s="1" t="s">
        <v>9</v>
      </c>
      <c r="E2578" s="1">
        <v>42</v>
      </c>
      <c r="F2578" s="1" t="s">
        <v>13882</v>
      </c>
      <c r="G2578" s="1" t="s">
        <v>10801</v>
      </c>
    </row>
    <row r="2579" spans="1:7" ht="21" x14ac:dyDescent="0.25">
      <c r="A2579" s="2" t="str">
        <f>HYPERLINK("https://rth.dk/resources/bsgatlas/details.php?id=BSGatlas-5'UTR-2578","BSGatlas-5'UTR-2578")</f>
        <v>BSGatlas-5'UTR-2578</v>
      </c>
      <c r="B2579" s="3">
        <v>3867452</v>
      </c>
      <c r="C2579" s="3">
        <v>3867493</v>
      </c>
      <c r="D2579" s="1" t="s">
        <v>9</v>
      </c>
      <c r="E2579" s="1">
        <v>42</v>
      </c>
      <c r="F2579" s="1" t="s">
        <v>13883</v>
      </c>
      <c r="G2579" s="1" t="s">
        <v>10803</v>
      </c>
    </row>
    <row r="2580" spans="1:7" ht="21" x14ac:dyDescent="0.25">
      <c r="A2580" s="2" t="str">
        <f>HYPERLINK("https://rth.dk/resources/bsgatlas/details.php?id=BSGatlas-5'UTR-2579","BSGatlas-5'UTR-2579")</f>
        <v>BSGatlas-5'UTR-2579</v>
      </c>
      <c r="B2580" s="3">
        <v>3874180</v>
      </c>
      <c r="C2580" s="3">
        <v>3874219</v>
      </c>
      <c r="D2580" s="1" t="s">
        <v>13</v>
      </c>
      <c r="E2580" s="1">
        <v>40</v>
      </c>
      <c r="F2580" s="1" t="s">
        <v>13884</v>
      </c>
      <c r="G2580" s="1" t="s">
        <v>10806</v>
      </c>
    </row>
    <row r="2581" spans="1:7" ht="21" x14ac:dyDescent="0.25">
      <c r="A2581" s="2" t="str">
        <f>HYPERLINK("https://rth.dk/resources/bsgatlas/details.php?id=BSGatlas-5'UTR-2580","BSGatlas-5'UTR-2580")</f>
        <v>BSGatlas-5'UTR-2580</v>
      </c>
      <c r="B2581" s="3">
        <v>3875570</v>
      </c>
      <c r="C2581" s="3">
        <v>3875624</v>
      </c>
      <c r="D2581" s="1" t="s">
        <v>13</v>
      </c>
      <c r="E2581" s="1">
        <v>55</v>
      </c>
      <c r="F2581" s="1" t="s">
        <v>13885</v>
      </c>
      <c r="G2581" s="1" t="s">
        <v>10808</v>
      </c>
    </row>
    <row r="2582" spans="1:7" ht="21" x14ac:dyDescent="0.25">
      <c r="A2582" s="2" t="str">
        <f>HYPERLINK("https://rth.dk/resources/bsgatlas/details.php?id=BSGatlas-5'UTR-2581","BSGatlas-5'UTR-2581")</f>
        <v>BSGatlas-5'UTR-2581</v>
      </c>
      <c r="B2582" s="3">
        <v>3877192</v>
      </c>
      <c r="C2582" s="3">
        <v>3877873</v>
      </c>
      <c r="D2582" s="1" t="s">
        <v>13</v>
      </c>
      <c r="E2582" s="1">
        <v>682</v>
      </c>
      <c r="F2582" s="1" t="s">
        <v>13886</v>
      </c>
      <c r="G2582" s="1" t="s">
        <v>10811</v>
      </c>
    </row>
    <row r="2583" spans="1:7" ht="21" x14ac:dyDescent="0.25">
      <c r="A2583" s="2" t="str">
        <f>HYPERLINK("https://rth.dk/resources/bsgatlas/details.php?id=BSGatlas-5'UTR-2582","BSGatlas-5'UTR-2582")</f>
        <v>BSGatlas-5'UTR-2582</v>
      </c>
      <c r="B2583" s="3">
        <v>3880513</v>
      </c>
      <c r="C2583" s="3">
        <v>3880550</v>
      </c>
      <c r="D2583" s="1" t="s">
        <v>13</v>
      </c>
      <c r="E2583" s="1">
        <v>38</v>
      </c>
      <c r="F2583" s="1" t="s">
        <v>13887</v>
      </c>
      <c r="G2583" s="1" t="s">
        <v>10814</v>
      </c>
    </row>
    <row r="2584" spans="1:7" ht="21" x14ac:dyDescent="0.25">
      <c r="A2584" s="2" t="str">
        <f>HYPERLINK("https://rth.dk/resources/bsgatlas/details.php?id=BSGatlas-5'UTR-2583","BSGatlas-5'UTR-2583")</f>
        <v>BSGatlas-5'UTR-2583</v>
      </c>
      <c r="B2584" s="3">
        <v>3882014</v>
      </c>
      <c r="C2584" s="3">
        <v>3882101</v>
      </c>
      <c r="D2584" s="1" t="s">
        <v>13</v>
      </c>
      <c r="E2584" s="1">
        <v>88</v>
      </c>
      <c r="F2584" s="1" t="s">
        <v>13888</v>
      </c>
      <c r="G2584" s="1" t="s">
        <v>10816</v>
      </c>
    </row>
    <row r="2585" spans="1:7" ht="21" x14ac:dyDescent="0.25">
      <c r="A2585" s="2" t="str">
        <f>HYPERLINK("https://rth.dk/resources/bsgatlas/details.php?id=BSGatlas-5'UTR-2584","BSGatlas-5'UTR-2584")</f>
        <v>BSGatlas-5'UTR-2584</v>
      </c>
      <c r="B2585" s="3">
        <v>3882655</v>
      </c>
      <c r="C2585" s="3">
        <v>3882766</v>
      </c>
      <c r="D2585" s="1" t="s">
        <v>13</v>
      </c>
      <c r="E2585" s="1">
        <v>112</v>
      </c>
      <c r="F2585" s="1" t="s">
        <v>13889</v>
      </c>
      <c r="G2585" s="1" t="s">
        <v>10818</v>
      </c>
    </row>
    <row r="2586" spans="1:7" ht="21" x14ac:dyDescent="0.25">
      <c r="A2586" s="2" t="str">
        <f>HYPERLINK("https://rth.dk/resources/bsgatlas/details.php?id=BSGatlas-5'UTR-2585","BSGatlas-5'UTR-2585")</f>
        <v>BSGatlas-5'UTR-2585</v>
      </c>
      <c r="B2586" s="3">
        <v>3893121</v>
      </c>
      <c r="C2586" s="3">
        <v>3893159</v>
      </c>
      <c r="D2586" s="1" t="s">
        <v>13</v>
      </c>
      <c r="E2586" s="1">
        <v>39</v>
      </c>
      <c r="F2586" s="1" t="s">
        <v>13890</v>
      </c>
      <c r="G2586" s="1" t="s">
        <v>10821</v>
      </c>
    </row>
    <row r="2587" spans="1:7" ht="21" x14ac:dyDescent="0.25">
      <c r="A2587" s="2" t="str">
        <f>HYPERLINK("https://rth.dk/resources/bsgatlas/details.php?id=BSGatlas-5'UTR-2586","BSGatlas-5'UTR-2586")</f>
        <v>BSGatlas-5'UTR-2586</v>
      </c>
      <c r="B2587" s="3">
        <v>3893325</v>
      </c>
      <c r="C2587" s="3">
        <v>3893441</v>
      </c>
      <c r="D2587" s="1" t="s">
        <v>9</v>
      </c>
      <c r="E2587" s="1">
        <v>117</v>
      </c>
      <c r="F2587" s="1" t="s">
        <v>13891</v>
      </c>
      <c r="G2587" s="1" t="s">
        <v>10823</v>
      </c>
    </row>
    <row r="2588" spans="1:7" ht="21" x14ac:dyDescent="0.25">
      <c r="A2588" s="2" t="str">
        <f>HYPERLINK("https://rth.dk/resources/bsgatlas/details.php?id=BSGatlas-5'UTR-2587","BSGatlas-5'UTR-2587")</f>
        <v>BSGatlas-5'UTR-2587</v>
      </c>
      <c r="B2588" s="3">
        <v>3896122</v>
      </c>
      <c r="C2588" s="3">
        <v>3896162</v>
      </c>
      <c r="D2588" s="1" t="s">
        <v>13</v>
      </c>
      <c r="E2588" s="1">
        <v>41</v>
      </c>
      <c r="F2588" s="1" t="s">
        <v>13892</v>
      </c>
      <c r="G2588" s="1" t="s">
        <v>10826</v>
      </c>
    </row>
    <row r="2589" spans="1:7" ht="21" x14ac:dyDescent="0.25">
      <c r="A2589" s="2" t="str">
        <f>HYPERLINK("https://rth.dk/resources/bsgatlas/details.php?id=BSGatlas-5'UTR-2588","BSGatlas-5'UTR-2588")</f>
        <v>BSGatlas-5'UTR-2588</v>
      </c>
      <c r="B2589" s="3">
        <v>3896251</v>
      </c>
      <c r="C2589" s="3">
        <v>3896290</v>
      </c>
      <c r="D2589" s="1" t="s">
        <v>9</v>
      </c>
      <c r="E2589" s="1">
        <v>40</v>
      </c>
      <c r="F2589" s="1" t="s">
        <v>13893</v>
      </c>
      <c r="G2589" s="1" t="s">
        <v>10828</v>
      </c>
    </row>
    <row r="2590" spans="1:7" ht="21" x14ac:dyDescent="0.25">
      <c r="A2590" s="2" t="str">
        <f>HYPERLINK("https://rth.dk/resources/bsgatlas/details.php?id=BSGatlas-5'UTR-2589","BSGatlas-5'UTR-2589")</f>
        <v>BSGatlas-5'UTR-2589</v>
      </c>
      <c r="B2590" s="3">
        <v>3898362</v>
      </c>
      <c r="C2590" s="3">
        <v>3898689</v>
      </c>
      <c r="D2590" s="1" t="s">
        <v>13</v>
      </c>
      <c r="E2590" s="1">
        <v>328</v>
      </c>
      <c r="F2590" s="1" t="s">
        <v>13894</v>
      </c>
      <c r="G2590" s="1" t="s">
        <v>10832</v>
      </c>
    </row>
    <row r="2591" spans="1:7" ht="21" x14ac:dyDescent="0.25">
      <c r="A2591" s="2" t="str">
        <f>HYPERLINK("https://rth.dk/resources/bsgatlas/details.php?id=BSGatlas-5'UTR-2590","BSGatlas-5'UTR-2590")</f>
        <v>BSGatlas-5'UTR-2590</v>
      </c>
      <c r="B2591" s="3">
        <v>3899182</v>
      </c>
      <c r="C2591" s="3">
        <v>3899217</v>
      </c>
      <c r="D2591" s="1" t="s">
        <v>13</v>
      </c>
      <c r="E2591" s="1">
        <v>36</v>
      </c>
      <c r="F2591" s="1" t="s">
        <v>13895</v>
      </c>
      <c r="G2591" s="1" t="s">
        <v>10834</v>
      </c>
    </row>
    <row r="2592" spans="1:7" ht="21" x14ac:dyDescent="0.25">
      <c r="A2592" s="2" t="str">
        <f>HYPERLINK("https://rth.dk/resources/bsgatlas/details.php?id=BSGatlas-5'UTR-2591","BSGatlas-5'UTR-2591")</f>
        <v>BSGatlas-5'UTR-2591</v>
      </c>
      <c r="B2592" s="3">
        <v>3900819</v>
      </c>
      <c r="C2592" s="3">
        <v>3900852</v>
      </c>
      <c r="D2592" s="1" t="s">
        <v>13</v>
      </c>
      <c r="E2592" s="1">
        <v>34</v>
      </c>
      <c r="F2592" s="1" t="s">
        <v>13896</v>
      </c>
      <c r="G2592" s="1" t="s">
        <v>10835</v>
      </c>
    </row>
    <row r="2593" spans="1:7" ht="21" x14ac:dyDescent="0.25">
      <c r="A2593" s="2" t="str">
        <f>HYPERLINK("https://rth.dk/resources/bsgatlas/details.php?id=BSGatlas-5'UTR-2592","BSGatlas-5'UTR-2592")</f>
        <v>BSGatlas-5'UTR-2592</v>
      </c>
      <c r="B2593" s="3">
        <v>3900921</v>
      </c>
      <c r="C2593" s="3">
        <v>3900963</v>
      </c>
      <c r="D2593" s="1" t="s">
        <v>9</v>
      </c>
      <c r="E2593" s="1">
        <v>43</v>
      </c>
      <c r="F2593" s="1" t="s">
        <v>13897</v>
      </c>
      <c r="G2593" s="1" t="s">
        <v>10836</v>
      </c>
    </row>
    <row r="2594" spans="1:7" ht="21" x14ac:dyDescent="0.25">
      <c r="A2594" s="2" t="str">
        <f>HYPERLINK("https://rth.dk/resources/bsgatlas/details.php?id=BSGatlas-5'UTR-2593","BSGatlas-5'UTR-2593")</f>
        <v>BSGatlas-5'UTR-2593</v>
      </c>
      <c r="B2594" s="3">
        <v>3902116</v>
      </c>
      <c r="C2594" s="3">
        <v>3902134</v>
      </c>
      <c r="D2594" s="1" t="s">
        <v>13</v>
      </c>
      <c r="E2594" s="1">
        <v>19</v>
      </c>
      <c r="F2594" s="1" t="s">
        <v>13898</v>
      </c>
      <c r="G2594" s="1" t="s">
        <v>10839</v>
      </c>
    </row>
    <row r="2595" spans="1:7" ht="21" x14ac:dyDescent="0.25">
      <c r="A2595" s="2" t="str">
        <f>HYPERLINK("https://rth.dk/resources/bsgatlas/details.php?id=BSGatlas-5'UTR-2594","BSGatlas-5'UTR-2594")</f>
        <v>BSGatlas-5'UTR-2594</v>
      </c>
      <c r="B2595" s="3">
        <v>3905031</v>
      </c>
      <c r="C2595" s="3">
        <v>3905064</v>
      </c>
      <c r="D2595" s="1" t="s">
        <v>13</v>
      </c>
      <c r="E2595" s="1">
        <v>34</v>
      </c>
      <c r="F2595" s="1" t="s">
        <v>13899</v>
      </c>
      <c r="G2595" s="1" t="s">
        <v>10842</v>
      </c>
    </row>
    <row r="2596" spans="1:7" ht="21" x14ac:dyDescent="0.25">
      <c r="A2596" s="2" t="str">
        <f>HYPERLINK("https://rth.dk/resources/bsgatlas/details.php?id=BSGatlas-5'UTR-2595","BSGatlas-5'UTR-2595")</f>
        <v>BSGatlas-5'UTR-2595</v>
      </c>
      <c r="B2596" s="3">
        <v>3905031</v>
      </c>
      <c r="C2596" s="3">
        <v>3905130</v>
      </c>
      <c r="D2596" s="1" t="s">
        <v>13</v>
      </c>
      <c r="E2596" s="1">
        <v>100</v>
      </c>
      <c r="F2596" s="1" t="s">
        <v>13899</v>
      </c>
      <c r="G2596" s="1" t="s">
        <v>10843</v>
      </c>
    </row>
    <row r="2597" spans="1:7" ht="21" x14ac:dyDescent="0.25">
      <c r="A2597" s="2" t="str">
        <f>HYPERLINK("https://rth.dk/resources/bsgatlas/details.php?id=BSGatlas-5'UTR-2596","BSGatlas-5'UTR-2596")</f>
        <v>BSGatlas-5'UTR-2596</v>
      </c>
      <c r="B2597" s="3">
        <v>3905031</v>
      </c>
      <c r="C2597" s="3">
        <v>3905179</v>
      </c>
      <c r="D2597" s="1" t="s">
        <v>13</v>
      </c>
      <c r="E2597" s="1">
        <v>149</v>
      </c>
      <c r="F2597" s="1" t="s">
        <v>13899</v>
      </c>
      <c r="G2597" s="1" t="s">
        <v>10844</v>
      </c>
    </row>
    <row r="2598" spans="1:7" ht="21" x14ac:dyDescent="0.25">
      <c r="A2598" s="2" t="str">
        <f>HYPERLINK("https://rth.dk/resources/bsgatlas/details.php?id=BSGatlas-5'UTR-2597","BSGatlas-5'UTR-2597")</f>
        <v>BSGatlas-5'UTR-2597</v>
      </c>
      <c r="B2598" s="3">
        <v>3905281</v>
      </c>
      <c r="C2598" s="3">
        <v>3905333</v>
      </c>
      <c r="D2598" s="1" t="s">
        <v>9</v>
      </c>
      <c r="E2598" s="1">
        <v>53</v>
      </c>
      <c r="F2598" s="1" t="s">
        <v>13900</v>
      </c>
      <c r="G2598" s="1" t="s">
        <v>10849</v>
      </c>
    </row>
    <row r="2599" spans="1:7" ht="21" x14ac:dyDescent="0.25">
      <c r="A2599" s="2" t="str">
        <f>HYPERLINK("https://rth.dk/resources/bsgatlas/details.php?id=BSGatlas-5'UTR-2598","BSGatlas-5'UTR-2598")</f>
        <v>BSGatlas-5'UTR-2598</v>
      </c>
      <c r="B2599" s="3">
        <v>3906972</v>
      </c>
      <c r="C2599" s="3">
        <v>3907004</v>
      </c>
      <c r="D2599" s="1" t="s">
        <v>13</v>
      </c>
      <c r="E2599" s="1">
        <v>33</v>
      </c>
      <c r="F2599" s="1" t="s">
        <v>13901</v>
      </c>
      <c r="G2599" s="1" t="s">
        <v>10845</v>
      </c>
    </row>
    <row r="2600" spans="1:7" ht="21" x14ac:dyDescent="0.25">
      <c r="A2600" s="2" t="str">
        <f>HYPERLINK("https://rth.dk/resources/bsgatlas/details.php?id=BSGatlas-5'UTR-2599","BSGatlas-5'UTR-2599")</f>
        <v>BSGatlas-5'UTR-2599</v>
      </c>
      <c r="B2600" s="3">
        <v>3907314</v>
      </c>
      <c r="C2600" s="3">
        <v>3907453</v>
      </c>
      <c r="D2600" s="1" t="s">
        <v>13</v>
      </c>
      <c r="E2600" s="1">
        <v>140</v>
      </c>
      <c r="F2600" s="1" t="s">
        <v>13902</v>
      </c>
      <c r="G2600" s="1" t="s">
        <v>10848</v>
      </c>
    </row>
    <row r="2601" spans="1:7" ht="21" x14ac:dyDescent="0.25">
      <c r="A2601" s="2" t="str">
        <f>HYPERLINK("https://rth.dk/resources/bsgatlas/details.php?id=BSGatlas-5'UTR-2600","BSGatlas-5'UTR-2600")</f>
        <v>BSGatlas-5'UTR-2600</v>
      </c>
      <c r="B2601" s="3">
        <v>3907788</v>
      </c>
      <c r="C2601" s="3">
        <v>3907844</v>
      </c>
      <c r="D2601" s="1" t="s">
        <v>9</v>
      </c>
      <c r="E2601" s="1">
        <v>57</v>
      </c>
      <c r="F2601" s="1" t="s">
        <v>13903</v>
      </c>
      <c r="G2601" s="1" t="s">
        <v>10853</v>
      </c>
    </row>
    <row r="2602" spans="1:7" ht="21" x14ac:dyDescent="0.25">
      <c r="A2602" s="2" t="str">
        <f>HYPERLINK("https://rth.dk/resources/bsgatlas/details.php?id=BSGatlas-5'UTR-2601","BSGatlas-5'UTR-2601")</f>
        <v>BSGatlas-5'UTR-2601</v>
      </c>
      <c r="B2602" s="3">
        <v>3912226</v>
      </c>
      <c r="C2602" s="3">
        <v>3912245</v>
      </c>
      <c r="D2602" s="1" t="s">
        <v>13</v>
      </c>
      <c r="E2602" s="1">
        <v>20</v>
      </c>
      <c r="F2602" s="1" t="s">
        <v>13904</v>
      </c>
      <c r="G2602" s="1" t="s">
        <v>10857</v>
      </c>
    </row>
    <row r="2603" spans="1:7" ht="21" x14ac:dyDescent="0.25">
      <c r="A2603" s="2" t="str">
        <f>HYPERLINK("https://rth.dk/resources/bsgatlas/details.php?id=BSGatlas-5'UTR-2602","BSGatlas-5'UTR-2602")</f>
        <v>BSGatlas-5'UTR-2602</v>
      </c>
      <c r="B2603" s="3">
        <v>3913513</v>
      </c>
      <c r="C2603" s="3">
        <v>3913645</v>
      </c>
      <c r="D2603" s="1" t="s">
        <v>13</v>
      </c>
      <c r="E2603" s="1">
        <v>133</v>
      </c>
      <c r="F2603" s="1" t="s">
        <v>13905</v>
      </c>
      <c r="G2603" s="1" t="s">
        <v>10861</v>
      </c>
    </row>
    <row r="2604" spans="1:7" ht="21" x14ac:dyDescent="0.25">
      <c r="A2604" s="2" t="str">
        <f>HYPERLINK("https://rth.dk/resources/bsgatlas/details.php?id=BSGatlas-5'UTR-2603","BSGatlas-5'UTR-2603")</f>
        <v>BSGatlas-5'UTR-2603</v>
      </c>
      <c r="B2604" s="3">
        <v>3913898</v>
      </c>
      <c r="C2604" s="3">
        <v>3914009</v>
      </c>
      <c r="D2604" s="1" t="s">
        <v>9</v>
      </c>
      <c r="E2604" s="1">
        <v>112</v>
      </c>
      <c r="F2604" s="1" t="s">
        <v>13906</v>
      </c>
      <c r="G2604" s="1" t="s">
        <v>10863</v>
      </c>
    </row>
    <row r="2605" spans="1:7" ht="21" x14ac:dyDescent="0.25">
      <c r="A2605" s="2" t="str">
        <f>HYPERLINK("https://rth.dk/resources/bsgatlas/details.php?id=BSGatlas-5'UTR-2604","BSGatlas-5'UTR-2604")</f>
        <v>BSGatlas-5'UTR-2604</v>
      </c>
      <c r="B2605" s="3">
        <v>3917022</v>
      </c>
      <c r="C2605" s="3">
        <v>3918777</v>
      </c>
      <c r="D2605" s="1" t="s">
        <v>9</v>
      </c>
      <c r="E2605" s="1">
        <v>1756</v>
      </c>
      <c r="F2605" s="1" t="s">
        <v>13907</v>
      </c>
      <c r="G2605" s="1" t="s">
        <v>10872</v>
      </c>
    </row>
    <row r="2606" spans="1:7" ht="21" x14ac:dyDescent="0.25">
      <c r="A2606" s="2" t="str">
        <f>HYPERLINK("https://rth.dk/resources/bsgatlas/details.php?id=BSGatlas-5'UTR-2605","BSGatlas-5'UTR-2605")</f>
        <v>BSGatlas-5'UTR-2605</v>
      </c>
      <c r="B2606" s="3">
        <v>3918261</v>
      </c>
      <c r="C2606" s="3">
        <v>3918330</v>
      </c>
      <c r="D2606" s="1" t="s">
        <v>13</v>
      </c>
      <c r="E2606" s="1">
        <v>70</v>
      </c>
      <c r="F2606" s="1" t="s">
        <v>13908</v>
      </c>
      <c r="G2606" s="1" t="s">
        <v>10868</v>
      </c>
    </row>
    <row r="2607" spans="1:7" ht="21" x14ac:dyDescent="0.25">
      <c r="A2607" s="2" t="str">
        <f>HYPERLINK("https://rth.dk/resources/bsgatlas/details.php?id=BSGatlas-5'UTR-2606","BSGatlas-5'UTR-2606")</f>
        <v>BSGatlas-5'UTR-2606</v>
      </c>
      <c r="B2607" s="3">
        <v>3918261</v>
      </c>
      <c r="C2607" s="3">
        <v>3918517</v>
      </c>
      <c r="D2607" s="1" t="s">
        <v>13</v>
      </c>
      <c r="E2607" s="1">
        <v>257</v>
      </c>
      <c r="F2607" s="1" t="s">
        <v>13908</v>
      </c>
      <c r="G2607" s="1" t="s">
        <v>10869</v>
      </c>
    </row>
    <row r="2608" spans="1:7" ht="21" x14ac:dyDescent="0.25">
      <c r="A2608" s="2" t="str">
        <f>HYPERLINK("https://rth.dk/resources/bsgatlas/details.php?id=BSGatlas-5'UTR-2607","BSGatlas-5'UTR-2607")</f>
        <v>BSGatlas-5'UTR-2607</v>
      </c>
      <c r="B2608" s="3">
        <v>3918261</v>
      </c>
      <c r="C2608" s="3">
        <v>3918628</v>
      </c>
      <c r="D2608" s="1" t="s">
        <v>13</v>
      </c>
      <c r="E2608" s="1">
        <v>368</v>
      </c>
      <c r="F2608" s="1" t="s">
        <v>13908</v>
      </c>
      <c r="G2608" s="1" t="s">
        <v>10870</v>
      </c>
    </row>
    <row r="2609" spans="1:7" ht="21" x14ac:dyDescent="0.25">
      <c r="A2609" s="2" t="str">
        <f>HYPERLINK("https://rth.dk/resources/bsgatlas/details.php?id=BSGatlas-5'UTR-2608","BSGatlas-5'UTR-2608")</f>
        <v>BSGatlas-5'UTR-2608</v>
      </c>
      <c r="B2609" s="3">
        <v>3918261</v>
      </c>
      <c r="C2609" s="3">
        <v>3918723</v>
      </c>
      <c r="D2609" s="1" t="s">
        <v>13</v>
      </c>
      <c r="E2609" s="1">
        <v>463</v>
      </c>
      <c r="F2609" s="1" t="s">
        <v>13908</v>
      </c>
      <c r="G2609" s="1" t="s">
        <v>10871</v>
      </c>
    </row>
    <row r="2610" spans="1:7" ht="21" x14ac:dyDescent="0.25">
      <c r="A2610" s="2" t="str">
        <f>HYPERLINK("https://rth.dk/resources/bsgatlas/details.php?id=BSGatlas-5'UTR-2609","BSGatlas-5'UTR-2609")</f>
        <v>BSGatlas-5'UTR-2609</v>
      </c>
      <c r="B2610" s="3">
        <v>3918474</v>
      </c>
      <c r="C2610" s="3">
        <v>3918777</v>
      </c>
      <c r="D2610" s="1" t="s">
        <v>9</v>
      </c>
      <c r="E2610" s="1">
        <v>304</v>
      </c>
      <c r="F2610" s="1" t="s">
        <v>13907</v>
      </c>
      <c r="G2610" s="1" t="s">
        <v>10875</v>
      </c>
    </row>
    <row r="2611" spans="1:7" ht="21" x14ac:dyDescent="0.25">
      <c r="A2611" s="2" t="str">
        <f>HYPERLINK("https://rth.dk/resources/bsgatlas/details.php?id=BSGatlas-5'UTR-2610","BSGatlas-5'UTR-2610")</f>
        <v>BSGatlas-5'UTR-2610</v>
      </c>
      <c r="B2611" s="3">
        <v>3918735</v>
      </c>
      <c r="C2611" s="3">
        <v>3918777</v>
      </c>
      <c r="D2611" s="1" t="s">
        <v>9</v>
      </c>
      <c r="E2611" s="1">
        <v>43</v>
      </c>
      <c r="F2611" s="1" t="s">
        <v>13907</v>
      </c>
      <c r="G2611" s="1" t="s">
        <v>10876</v>
      </c>
    </row>
    <row r="2612" spans="1:7" ht="21" x14ac:dyDescent="0.25">
      <c r="A2612" s="2" t="str">
        <f>HYPERLINK("https://rth.dk/resources/bsgatlas/details.php?id=BSGatlas-5'UTR-2611","BSGatlas-5'UTR-2611")</f>
        <v>BSGatlas-5'UTR-2611</v>
      </c>
      <c r="B2612" s="3">
        <v>3921810</v>
      </c>
      <c r="C2612" s="3">
        <v>3921850</v>
      </c>
      <c r="D2612" s="1" t="s">
        <v>13</v>
      </c>
      <c r="E2612" s="1">
        <v>41</v>
      </c>
      <c r="F2612" s="1" t="s">
        <v>13909</v>
      </c>
      <c r="G2612" s="1" t="s">
        <v>10878</v>
      </c>
    </row>
    <row r="2613" spans="1:7" ht="21" x14ac:dyDescent="0.25">
      <c r="A2613" s="2" t="str">
        <f>HYPERLINK("https://rth.dk/resources/bsgatlas/details.php?id=BSGatlas-5'UTR-2612","BSGatlas-5'UTR-2612")</f>
        <v>BSGatlas-5'UTR-2612</v>
      </c>
      <c r="B2613" s="3">
        <v>3922963</v>
      </c>
      <c r="C2613" s="3">
        <v>3922994</v>
      </c>
      <c r="D2613" s="1" t="s">
        <v>13</v>
      </c>
      <c r="E2613" s="1">
        <v>32</v>
      </c>
      <c r="F2613" s="1" t="s">
        <v>13910</v>
      </c>
      <c r="G2613" s="1" t="s">
        <v>10881</v>
      </c>
    </row>
    <row r="2614" spans="1:7" ht="21" x14ac:dyDescent="0.25">
      <c r="A2614" s="2" t="str">
        <f>HYPERLINK("https://rth.dk/resources/bsgatlas/details.php?id=BSGatlas-5'UTR-2613","BSGatlas-5'UTR-2613")</f>
        <v>BSGatlas-5'UTR-2613</v>
      </c>
      <c r="B2614" s="3">
        <v>3922963</v>
      </c>
      <c r="C2614" s="3">
        <v>3924050</v>
      </c>
      <c r="D2614" s="1" t="s">
        <v>13</v>
      </c>
      <c r="E2614" s="1">
        <v>1088</v>
      </c>
      <c r="F2614" s="1" t="s">
        <v>13910</v>
      </c>
      <c r="G2614" s="1" t="s">
        <v>10882</v>
      </c>
    </row>
    <row r="2615" spans="1:7" ht="21" x14ac:dyDescent="0.25">
      <c r="A2615" s="2" t="str">
        <f>HYPERLINK("https://rth.dk/resources/bsgatlas/details.php?id=BSGatlas-5'UTR-2614","BSGatlas-5'UTR-2614")</f>
        <v>BSGatlas-5'UTR-2614</v>
      </c>
      <c r="B2615" s="3">
        <v>3923131</v>
      </c>
      <c r="C2615" s="3">
        <v>3923319</v>
      </c>
      <c r="D2615" s="1" t="s">
        <v>9</v>
      </c>
      <c r="E2615" s="1">
        <v>189</v>
      </c>
      <c r="F2615" s="1" t="s">
        <v>13911</v>
      </c>
      <c r="G2615" s="1" t="s">
        <v>10883</v>
      </c>
    </row>
    <row r="2616" spans="1:7" ht="21" x14ac:dyDescent="0.25">
      <c r="A2616" s="2" t="str">
        <f>HYPERLINK("https://rth.dk/resources/bsgatlas/details.php?id=BSGatlas-5'UTR-2615","BSGatlas-5'UTR-2615")</f>
        <v>BSGatlas-5'UTR-2615</v>
      </c>
      <c r="B2616" s="3">
        <v>3923864</v>
      </c>
      <c r="C2616" s="3">
        <v>3923920</v>
      </c>
      <c r="D2616" s="1" t="s">
        <v>9</v>
      </c>
      <c r="E2616" s="1">
        <v>57</v>
      </c>
      <c r="F2616" s="1" t="s">
        <v>13912</v>
      </c>
      <c r="G2616" s="1" t="s">
        <v>10885</v>
      </c>
    </row>
    <row r="2617" spans="1:7" ht="21" x14ac:dyDescent="0.25">
      <c r="A2617" s="2" t="str">
        <f>HYPERLINK("https://rth.dk/resources/bsgatlas/details.php?id=BSGatlas-5'UTR-2616","BSGatlas-5'UTR-2616")</f>
        <v>BSGatlas-5'UTR-2616</v>
      </c>
      <c r="B2617" s="3">
        <v>3927932</v>
      </c>
      <c r="C2617" s="3">
        <v>3928037</v>
      </c>
      <c r="D2617" s="1" t="s">
        <v>13</v>
      </c>
      <c r="E2617" s="1">
        <v>106</v>
      </c>
      <c r="F2617" s="1" t="s">
        <v>13913</v>
      </c>
      <c r="G2617" s="1" t="s">
        <v>10889</v>
      </c>
    </row>
    <row r="2618" spans="1:7" ht="21" x14ac:dyDescent="0.25">
      <c r="A2618" s="2" t="str">
        <f>HYPERLINK("https://rth.dk/resources/bsgatlas/details.php?id=BSGatlas-5'UTR-2617","BSGatlas-5'UTR-2617")</f>
        <v>BSGatlas-5'UTR-2617</v>
      </c>
      <c r="B2618" s="3">
        <v>3930550</v>
      </c>
      <c r="C2618" s="3">
        <v>3930594</v>
      </c>
      <c r="D2618" s="1" t="s">
        <v>13</v>
      </c>
      <c r="E2618" s="1">
        <v>45</v>
      </c>
      <c r="F2618" s="1" t="s">
        <v>13914</v>
      </c>
      <c r="G2618" s="1" t="s">
        <v>10891</v>
      </c>
    </row>
    <row r="2619" spans="1:7" ht="21" x14ac:dyDescent="0.25">
      <c r="A2619" s="2" t="str">
        <f>HYPERLINK("https://rth.dk/resources/bsgatlas/details.php?id=BSGatlas-5'UTR-2618","BSGatlas-5'UTR-2618")</f>
        <v>BSGatlas-5'UTR-2618</v>
      </c>
      <c r="B2619" s="3">
        <v>3933103</v>
      </c>
      <c r="C2619" s="3">
        <v>3933150</v>
      </c>
      <c r="D2619" s="1" t="s">
        <v>13</v>
      </c>
      <c r="E2619" s="1">
        <v>48</v>
      </c>
      <c r="F2619" s="1" t="s">
        <v>13915</v>
      </c>
      <c r="G2619" s="1" t="s">
        <v>10898</v>
      </c>
    </row>
    <row r="2620" spans="1:7" ht="21" x14ac:dyDescent="0.25">
      <c r="A2620" s="2" t="str">
        <f>HYPERLINK("https://rth.dk/resources/bsgatlas/details.php?id=BSGatlas-5'UTR-2619","BSGatlas-5'UTR-2619")</f>
        <v>BSGatlas-5'UTR-2619</v>
      </c>
      <c r="B2620" s="3">
        <v>3933173</v>
      </c>
      <c r="C2620" s="3">
        <v>3933209</v>
      </c>
      <c r="D2620" s="1" t="s">
        <v>9</v>
      </c>
      <c r="E2620" s="1">
        <v>37</v>
      </c>
      <c r="F2620" s="1" t="s">
        <v>13916</v>
      </c>
      <c r="G2620" s="1" t="s">
        <v>10901</v>
      </c>
    </row>
    <row r="2621" spans="1:7" ht="21" x14ac:dyDescent="0.25">
      <c r="A2621" s="2" t="str">
        <f>HYPERLINK("https://rth.dk/resources/bsgatlas/details.php?id=BSGatlas-5'UTR-2620","BSGatlas-5'UTR-2620")</f>
        <v>BSGatlas-5'UTR-2620</v>
      </c>
      <c r="B2621" s="3">
        <v>3934316</v>
      </c>
      <c r="C2621" s="3">
        <v>3934358</v>
      </c>
      <c r="D2621" s="1" t="s">
        <v>9</v>
      </c>
      <c r="E2621" s="1">
        <v>43</v>
      </c>
      <c r="F2621" s="1" t="s">
        <v>13917</v>
      </c>
      <c r="G2621" s="1" t="s">
        <v>10904</v>
      </c>
    </row>
    <row r="2622" spans="1:7" ht="21" x14ac:dyDescent="0.25">
      <c r="A2622" s="2" t="str">
        <f>HYPERLINK("https://rth.dk/resources/bsgatlas/details.php?id=BSGatlas-5'UTR-2621","BSGatlas-5'UTR-2621")</f>
        <v>BSGatlas-5'UTR-2621</v>
      </c>
      <c r="B2622" s="3">
        <v>3937014</v>
      </c>
      <c r="C2622" s="3">
        <v>3937054</v>
      </c>
      <c r="D2622" s="1" t="s">
        <v>13</v>
      </c>
      <c r="E2622" s="1">
        <v>41</v>
      </c>
      <c r="F2622" s="1" t="s">
        <v>13918</v>
      </c>
      <c r="G2622" s="1" t="s">
        <v>10906</v>
      </c>
    </row>
    <row r="2623" spans="1:7" ht="21" x14ac:dyDescent="0.25">
      <c r="A2623" s="2" t="str">
        <f>HYPERLINK("https://rth.dk/resources/bsgatlas/details.php?id=BSGatlas-5'UTR-2622","BSGatlas-5'UTR-2622")</f>
        <v>BSGatlas-5'UTR-2622</v>
      </c>
      <c r="B2623" s="3">
        <v>3937090</v>
      </c>
      <c r="C2623" s="3">
        <v>3937135</v>
      </c>
      <c r="D2623" s="1" t="s">
        <v>9</v>
      </c>
      <c r="E2623" s="1">
        <v>46</v>
      </c>
      <c r="F2623" s="1" t="s">
        <v>13919</v>
      </c>
      <c r="G2623" s="1" t="s">
        <v>10909</v>
      </c>
    </row>
    <row r="2624" spans="1:7" ht="21" x14ac:dyDescent="0.25">
      <c r="A2624" s="2" t="str">
        <f>HYPERLINK("https://rth.dk/resources/bsgatlas/details.php?id=BSGatlas-5'UTR-2623","BSGatlas-5'UTR-2623")</f>
        <v>BSGatlas-5'UTR-2623</v>
      </c>
      <c r="B2624" s="3">
        <v>3938230</v>
      </c>
      <c r="C2624" s="3">
        <v>3938264</v>
      </c>
      <c r="D2624" s="1" t="s">
        <v>13</v>
      </c>
      <c r="E2624" s="1">
        <v>35</v>
      </c>
      <c r="F2624" s="1" t="s">
        <v>13920</v>
      </c>
      <c r="G2624" s="1" t="s">
        <v>10913</v>
      </c>
    </row>
    <row r="2625" spans="1:7" ht="21" x14ac:dyDescent="0.25">
      <c r="A2625" s="2" t="str">
        <f>HYPERLINK("https://rth.dk/resources/bsgatlas/details.php?id=BSGatlas-5'UTR-2624","BSGatlas-5'UTR-2624")</f>
        <v>BSGatlas-5'UTR-2624</v>
      </c>
      <c r="B2625" s="3">
        <v>3939641</v>
      </c>
      <c r="C2625" s="3">
        <v>3939712</v>
      </c>
      <c r="D2625" s="1" t="s">
        <v>13</v>
      </c>
      <c r="E2625" s="1">
        <v>72</v>
      </c>
      <c r="F2625" s="1" t="s">
        <v>13921</v>
      </c>
      <c r="G2625" s="1" t="s">
        <v>10916</v>
      </c>
    </row>
    <row r="2626" spans="1:7" ht="21" x14ac:dyDescent="0.25">
      <c r="A2626" s="2" t="str">
        <f>HYPERLINK("https://rth.dk/resources/bsgatlas/details.php?id=BSGatlas-5'UTR-2625","BSGatlas-5'UTR-2625")</f>
        <v>BSGatlas-5'UTR-2625</v>
      </c>
      <c r="B2626" s="3">
        <v>3939641</v>
      </c>
      <c r="C2626" s="3">
        <v>3941014</v>
      </c>
      <c r="D2626" s="1" t="s">
        <v>13</v>
      </c>
      <c r="E2626" s="1">
        <v>1374</v>
      </c>
      <c r="F2626" s="1" t="s">
        <v>13921</v>
      </c>
      <c r="G2626" s="1" t="s">
        <v>10917</v>
      </c>
    </row>
    <row r="2627" spans="1:7" ht="21" x14ac:dyDescent="0.25">
      <c r="A2627" s="2" t="str">
        <f>HYPERLINK("https://rth.dk/resources/bsgatlas/details.php?id=BSGatlas-5'UTR-2626","BSGatlas-5'UTR-2626")</f>
        <v>BSGatlas-5'UTR-2626</v>
      </c>
      <c r="B2627" s="3">
        <v>3939818</v>
      </c>
      <c r="C2627" s="3">
        <v>3939869</v>
      </c>
      <c r="D2627" s="1" t="s">
        <v>9</v>
      </c>
      <c r="E2627" s="1">
        <v>52</v>
      </c>
      <c r="F2627" s="1" t="s">
        <v>13922</v>
      </c>
      <c r="G2627" s="1" t="s">
        <v>10918</v>
      </c>
    </row>
    <row r="2628" spans="1:7" ht="21" x14ac:dyDescent="0.25">
      <c r="A2628" s="2" t="str">
        <f>HYPERLINK("https://rth.dk/resources/bsgatlas/details.php?id=BSGatlas-5'UTR-2627","BSGatlas-5'UTR-2627")</f>
        <v>BSGatlas-5'UTR-2627</v>
      </c>
      <c r="B2628" s="3">
        <v>3939841</v>
      </c>
      <c r="C2628" s="3">
        <v>3939869</v>
      </c>
      <c r="D2628" s="1" t="s">
        <v>9</v>
      </c>
      <c r="E2628" s="1">
        <v>29</v>
      </c>
      <c r="F2628" s="1" t="s">
        <v>13922</v>
      </c>
      <c r="G2628" s="1" t="s">
        <v>10920</v>
      </c>
    </row>
    <row r="2629" spans="1:7" ht="21" x14ac:dyDescent="0.25">
      <c r="A2629" s="2" t="str">
        <f>HYPERLINK("https://rth.dk/resources/bsgatlas/details.php?id=BSGatlas-5'UTR-2628","BSGatlas-5'UTR-2628")</f>
        <v>BSGatlas-5'UTR-2628</v>
      </c>
      <c r="B2629" s="3">
        <v>3941947</v>
      </c>
      <c r="C2629" s="3">
        <v>3942234</v>
      </c>
      <c r="D2629" s="1" t="s">
        <v>9</v>
      </c>
      <c r="E2629" s="1">
        <v>288</v>
      </c>
      <c r="F2629" s="1" t="s">
        <v>13923</v>
      </c>
      <c r="G2629" s="1" t="s">
        <v>10923</v>
      </c>
    </row>
    <row r="2630" spans="1:7" ht="21" x14ac:dyDescent="0.25">
      <c r="A2630" s="2" t="str">
        <f>HYPERLINK("https://rth.dk/resources/bsgatlas/details.php?id=BSGatlas-5'UTR-2629","BSGatlas-5'UTR-2629")</f>
        <v>BSGatlas-5'UTR-2629</v>
      </c>
      <c r="B2630" s="3">
        <v>3942182</v>
      </c>
      <c r="C2630" s="3">
        <v>3942234</v>
      </c>
      <c r="D2630" s="1" t="s">
        <v>9</v>
      </c>
      <c r="E2630" s="1">
        <v>53</v>
      </c>
      <c r="F2630" s="1" t="s">
        <v>13923</v>
      </c>
      <c r="G2630" s="1" t="s">
        <v>10926</v>
      </c>
    </row>
    <row r="2631" spans="1:7" ht="21" x14ac:dyDescent="0.25">
      <c r="A2631" s="2" t="str">
        <f>HYPERLINK("https://rth.dk/resources/bsgatlas/details.php?id=BSGatlas-5'UTR-2630","BSGatlas-5'UTR-2630")</f>
        <v>BSGatlas-5'UTR-2630</v>
      </c>
      <c r="B2631" s="3">
        <v>3945420</v>
      </c>
      <c r="C2631" s="3">
        <v>3945445</v>
      </c>
      <c r="D2631" s="1" t="s">
        <v>13</v>
      </c>
      <c r="E2631" s="1">
        <v>26</v>
      </c>
      <c r="F2631" s="1" t="s">
        <v>13924</v>
      </c>
      <c r="G2631" s="1" t="s">
        <v>10927</v>
      </c>
    </row>
    <row r="2632" spans="1:7" ht="21" x14ac:dyDescent="0.25">
      <c r="A2632" s="2" t="str">
        <f>HYPERLINK("https://rth.dk/resources/bsgatlas/details.php?id=BSGatlas-5'UTR-2631","BSGatlas-5'UTR-2631")</f>
        <v>BSGatlas-5'UTR-2631</v>
      </c>
      <c r="B2632" s="3">
        <v>3945668</v>
      </c>
      <c r="C2632" s="3">
        <v>3946394</v>
      </c>
      <c r="D2632" s="1" t="s">
        <v>9</v>
      </c>
      <c r="E2632" s="1">
        <v>727</v>
      </c>
      <c r="F2632" s="1" t="s">
        <v>13925</v>
      </c>
      <c r="G2632" s="1" t="s">
        <v>10932</v>
      </c>
    </row>
    <row r="2633" spans="1:7" ht="21" x14ac:dyDescent="0.25">
      <c r="A2633" s="2" t="str">
        <f>HYPERLINK("https://rth.dk/resources/bsgatlas/details.php?id=BSGatlas-5'UTR-2632","BSGatlas-5'UTR-2632")</f>
        <v>BSGatlas-5'UTR-2632</v>
      </c>
      <c r="B2633" s="3">
        <v>3946243</v>
      </c>
      <c r="C2633" s="3">
        <v>3946272</v>
      </c>
      <c r="D2633" s="1" t="s">
        <v>13</v>
      </c>
      <c r="E2633" s="1">
        <v>30</v>
      </c>
      <c r="F2633" s="1" t="s">
        <v>13926</v>
      </c>
      <c r="G2633" s="1" t="s">
        <v>10930</v>
      </c>
    </row>
    <row r="2634" spans="1:7" ht="21" x14ac:dyDescent="0.25">
      <c r="A2634" s="2" t="str">
        <f>HYPERLINK("https://rth.dk/resources/bsgatlas/details.php?id=BSGatlas-5'UTR-2633","BSGatlas-5'UTR-2633")</f>
        <v>BSGatlas-5'UTR-2633</v>
      </c>
      <c r="B2634" s="3">
        <v>3946349</v>
      </c>
      <c r="C2634" s="3">
        <v>3946394</v>
      </c>
      <c r="D2634" s="1" t="s">
        <v>9</v>
      </c>
      <c r="E2634" s="1">
        <v>46</v>
      </c>
      <c r="F2634" s="1" t="s">
        <v>13925</v>
      </c>
      <c r="G2634" s="1" t="s">
        <v>10936</v>
      </c>
    </row>
    <row r="2635" spans="1:7" ht="21" x14ac:dyDescent="0.25">
      <c r="A2635" s="2" t="str">
        <f>HYPERLINK("https://rth.dk/resources/bsgatlas/details.php?id=BSGatlas-5'UTR-2634","BSGatlas-5'UTR-2634")</f>
        <v>BSGatlas-5'UTR-2634</v>
      </c>
      <c r="B2635" s="3">
        <v>3948520</v>
      </c>
      <c r="C2635" s="3">
        <v>3948555</v>
      </c>
      <c r="D2635" s="1" t="s">
        <v>9</v>
      </c>
      <c r="E2635" s="1">
        <v>36</v>
      </c>
      <c r="F2635" s="1" t="s">
        <v>13927</v>
      </c>
      <c r="G2635" s="1" t="s">
        <v>10937</v>
      </c>
    </row>
    <row r="2636" spans="1:7" ht="21" x14ac:dyDescent="0.25">
      <c r="A2636" s="2" t="str">
        <f>HYPERLINK("https://rth.dk/resources/bsgatlas/details.php?id=BSGatlas-5'UTR-2635","BSGatlas-5'UTR-2635")</f>
        <v>BSGatlas-5'UTR-2635</v>
      </c>
      <c r="B2636" s="3">
        <v>3950584</v>
      </c>
      <c r="C2636" s="3">
        <v>3950623</v>
      </c>
      <c r="D2636" s="1" t="s">
        <v>13</v>
      </c>
      <c r="E2636" s="1">
        <v>40</v>
      </c>
      <c r="F2636" s="1" t="s">
        <v>13928</v>
      </c>
      <c r="G2636" s="1" t="s">
        <v>10940</v>
      </c>
    </row>
    <row r="2637" spans="1:7" ht="21" x14ac:dyDescent="0.25">
      <c r="A2637" s="2" t="str">
        <f>HYPERLINK("https://rth.dk/resources/bsgatlas/details.php?id=BSGatlas-5'UTR-2636","BSGatlas-5'UTR-2636")</f>
        <v>BSGatlas-5'UTR-2636</v>
      </c>
      <c r="B2637" s="3">
        <v>3951432</v>
      </c>
      <c r="C2637" s="3">
        <v>3952108</v>
      </c>
      <c r="D2637" s="1" t="s">
        <v>9</v>
      </c>
      <c r="E2637" s="1">
        <v>677</v>
      </c>
      <c r="F2637" s="1" t="s">
        <v>13929</v>
      </c>
      <c r="G2637" s="1" t="s">
        <v>10946</v>
      </c>
    </row>
    <row r="2638" spans="1:7" ht="21" x14ac:dyDescent="0.25">
      <c r="A2638" s="2" t="str">
        <f>HYPERLINK("https://rth.dk/resources/bsgatlas/details.php?id=BSGatlas-5'UTR-2637","BSGatlas-5'UTR-2637")</f>
        <v>BSGatlas-5'UTR-2637</v>
      </c>
      <c r="B2638" s="3">
        <v>3951661</v>
      </c>
      <c r="C2638" s="3">
        <v>3951749</v>
      </c>
      <c r="D2638" s="1" t="s">
        <v>13</v>
      </c>
      <c r="E2638" s="1">
        <v>89</v>
      </c>
      <c r="F2638" s="1" t="s">
        <v>13930</v>
      </c>
      <c r="G2638" s="1" t="s">
        <v>10942</v>
      </c>
    </row>
    <row r="2639" spans="1:7" ht="21" x14ac:dyDescent="0.25">
      <c r="A2639" s="2" t="str">
        <f>HYPERLINK("https://rth.dk/resources/bsgatlas/details.php?id=BSGatlas-5'UTR-2638","BSGatlas-5'UTR-2638")</f>
        <v>BSGatlas-5'UTR-2638</v>
      </c>
      <c r="B2639" s="3">
        <v>3951661</v>
      </c>
      <c r="C2639" s="3">
        <v>3951794</v>
      </c>
      <c r="D2639" s="1" t="s">
        <v>13</v>
      </c>
      <c r="E2639" s="1">
        <v>134</v>
      </c>
      <c r="F2639" s="1" t="s">
        <v>13930</v>
      </c>
      <c r="G2639" s="1" t="s">
        <v>10944</v>
      </c>
    </row>
    <row r="2640" spans="1:7" ht="21" x14ac:dyDescent="0.25">
      <c r="A2640" s="2" t="str">
        <f>HYPERLINK("https://rth.dk/resources/bsgatlas/details.php?id=BSGatlas-5'UTR-2639","BSGatlas-5'UTR-2639")</f>
        <v>BSGatlas-5'UTR-2639</v>
      </c>
      <c r="B2640" s="3">
        <v>3951935</v>
      </c>
      <c r="C2640" s="3">
        <v>3952108</v>
      </c>
      <c r="D2640" s="1" t="s">
        <v>9</v>
      </c>
      <c r="E2640" s="1">
        <v>174</v>
      </c>
      <c r="F2640" s="1" t="s">
        <v>13929</v>
      </c>
      <c r="G2640" s="1" t="s">
        <v>10949</v>
      </c>
    </row>
    <row r="2641" spans="1:7" ht="21" x14ac:dyDescent="0.25">
      <c r="A2641" s="2" t="str">
        <f>HYPERLINK("https://rth.dk/resources/bsgatlas/details.php?id=BSGatlas-5'UTR-2640","BSGatlas-5'UTR-2640")</f>
        <v>BSGatlas-5'UTR-2640</v>
      </c>
      <c r="B2641" s="3">
        <v>3951958</v>
      </c>
      <c r="C2641" s="3">
        <v>3952080</v>
      </c>
      <c r="D2641" s="1" t="s">
        <v>13</v>
      </c>
      <c r="E2641" s="1">
        <v>123</v>
      </c>
      <c r="F2641" s="1" t="s">
        <v>13931</v>
      </c>
      <c r="G2641" s="1" t="s">
        <v>10948</v>
      </c>
    </row>
    <row r="2642" spans="1:7" ht="21" x14ac:dyDescent="0.25">
      <c r="A2642" s="2" t="str">
        <f>HYPERLINK("https://rth.dk/resources/bsgatlas/details.php?id=BSGatlas-5'UTR-2641","BSGatlas-5'UTR-2641")</f>
        <v>BSGatlas-5'UTR-2641</v>
      </c>
      <c r="B2642" s="3">
        <v>3952044</v>
      </c>
      <c r="C2642" s="3">
        <v>3952108</v>
      </c>
      <c r="D2642" s="1" t="s">
        <v>9</v>
      </c>
      <c r="E2642" s="1">
        <v>65</v>
      </c>
      <c r="F2642" s="1" t="s">
        <v>13929</v>
      </c>
      <c r="G2642" s="1" t="s">
        <v>10950</v>
      </c>
    </row>
    <row r="2643" spans="1:7" ht="21" x14ac:dyDescent="0.25">
      <c r="A2643" s="2" t="str">
        <f>HYPERLINK("https://rth.dk/resources/bsgatlas/details.php?id=BSGatlas-5'UTR-2642","BSGatlas-5'UTR-2642")</f>
        <v>BSGatlas-5'UTR-2642</v>
      </c>
      <c r="B2643" s="3">
        <v>3952071</v>
      </c>
      <c r="C2643" s="3">
        <v>3952108</v>
      </c>
      <c r="D2643" s="1" t="s">
        <v>9</v>
      </c>
      <c r="E2643" s="1">
        <v>38</v>
      </c>
      <c r="F2643" s="1" t="s">
        <v>13929</v>
      </c>
      <c r="G2643" s="1" t="s">
        <v>10951</v>
      </c>
    </row>
    <row r="2644" spans="1:7" ht="21" x14ac:dyDescent="0.25">
      <c r="A2644" s="2" t="str">
        <f>HYPERLINK("https://rth.dk/resources/bsgatlas/details.php?id=BSGatlas-5'UTR-2643","BSGatlas-5'UTR-2643")</f>
        <v>BSGatlas-5'UTR-2643</v>
      </c>
      <c r="B2644" s="3">
        <v>3957332</v>
      </c>
      <c r="C2644" s="3">
        <v>3957391</v>
      </c>
      <c r="D2644" s="1" t="s">
        <v>9</v>
      </c>
      <c r="E2644" s="1">
        <v>60</v>
      </c>
      <c r="F2644" s="1" t="s">
        <v>13932</v>
      </c>
      <c r="G2644" s="1" t="s">
        <v>10956</v>
      </c>
    </row>
    <row r="2645" spans="1:7" ht="21" x14ac:dyDescent="0.25">
      <c r="A2645" s="2" t="str">
        <f>HYPERLINK("https://rth.dk/resources/bsgatlas/details.php?id=BSGatlas-5'UTR-2644","BSGatlas-5'UTR-2644")</f>
        <v>BSGatlas-5'UTR-2644</v>
      </c>
      <c r="B2645" s="3">
        <v>3961874</v>
      </c>
      <c r="C2645" s="3">
        <v>3961921</v>
      </c>
      <c r="D2645" s="1" t="s">
        <v>13</v>
      </c>
      <c r="E2645" s="1">
        <v>48</v>
      </c>
      <c r="F2645" s="1" t="s">
        <v>13933</v>
      </c>
      <c r="G2645" s="1" t="s">
        <v>10954</v>
      </c>
    </row>
    <row r="2646" spans="1:7" ht="21" x14ac:dyDescent="0.25">
      <c r="A2646" s="2" t="str">
        <f>HYPERLINK("https://rth.dk/resources/bsgatlas/details.php?id=BSGatlas-5'UTR-2645","BSGatlas-5'UTR-2645")</f>
        <v>BSGatlas-5'UTR-2645</v>
      </c>
      <c r="B2646" s="3">
        <v>3963928</v>
      </c>
      <c r="C2646" s="3">
        <v>3964005</v>
      </c>
      <c r="D2646" s="1" t="s">
        <v>13</v>
      </c>
      <c r="E2646" s="1">
        <v>78</v>
      </c>
      <c r="F2646" s="1" t="s">
        <v>13934</v>
      </c>
      <c r="G2646" s="1" t="s">
        <v>10960</v>
      </c>
    </row>
    <row r="2647" spans="1:7" ht="21" x14ac:dyDescent="0.25">
      <c r="A2647" s="2" t="str">
        <f>HYPERLINK("https://rth.dk/resources/bsgatlas/details.php?id=BSGatlas-5'UTR-2646","BSGatlas-5'UTR-2646")</f>
        <v>BSGatlas-5'UTR-2646</v>
      </c>
      <c r="B2647" s="3">
        <v>3964868</v>
      </c>
      <c r="C2647" s="3">
        <v>3964907</v>
      </c>
      <c r="D2647" s="1" t="s">
        <v>13</v>
      </c>
      <c r="E2647" s="1">
        <v>40</v>
      </c>
      <c r="F2647" s="1" t="s">
        <v>13935</v>
      </c>
      <c r="G2647" s="1" t="s">
        <v>10963</v>
      </c>
    </row>
    <row r="2648" spans="1:7" ht="21" x14ac:dyDescent="0.25">
      <c r="A2648" s="2" t="str">
        <f>HYPERLINK("https://rth.dk/resources/bsgatlas/details.php?id=BSGatlas-5'UTR-2647","BSGatlas-5'UTR-2647")</f>
        <v>BSGatlas-5'UTR-2647</v>
      </c>
      <c r="B2648" s="3">
        <v>3964868</v>
      </c>
      <c r="C2648" s="3">
        <v>3964937</v>
      </c>
      <c r="D2648" s="1" t="s">
        <v>13</v>
      </c>
      <c r="E2648" s="1">
        <v>70</v>
      </c>
      <c r="F2648" s="1" t="s">
        <v>13935</v>
      </c>
      <c r="G2648" s="1" t="s">
        <v>10965</v>
      </c>
    </row>
    <row r="2649" spans="1:7" ht="21" x14ac:dyDescent="0.25">
      <c r="A2649" s="2" t="str">
        <f>HYPERLINK("https://rth.dk/resources/bsgatlas/details.php?id=BSGatlas-5'UTR-2648","BSGatlas-5'UTR-2648")</f>
        <v>BSGatlas-5'UTR-2648</v>
      </c>
      <c r="B2649" s="3">
        <v>3964973</v>
      </c>
      <c r="C2649" s="3">
        <v>3964997</v>
      </c>
      <c r="D2649" s="1" t="s">
        <v>9</v>
      </c>
      <c r="E2649" s="1">
        <v>25</v>
      </c>
      <c r="F2649" s="1" t="s">
        <v>13936</v>
      </c>
      <c r="G2649" s="1" t="s">
        <v>10966</v>
      </c>
    </row>
    <row r="2650" spans="1:7" ht="21" x14ac:dyDescent="0.25">
      <c r="A2650" s="2" t="str">
        <f>HYPERLINK("https://rth.dk/resources/bsgatlas/details.php?id=BSGatlas-5'UTR-2649","BSGatlas-5'UTR-2649")</f>
        <v>BSGatlas-5'UTR-2649</v>
      </c>
      <c r="B2650" s="3">
        <v>3964974</v>
      </c>
      <c r="C2650" s="3">
        <v>3964997</v>
      </c>
      <c r="D2650" s="1" t="s">
        <v>9</v>
      </c>
      <c r="E2650" s="1">
        <v>24</v>
      </c>
      <c r="F2650" s="1" t="s">
        <v>13936</v>
      </c>
      <c r="G2650" s="1" t="s">
        <v>10968</v>
      </c>
    </row>
    <row r="2651" spans="1:7" ht="21" x14ac:dyDescent="0.25">
      <c r="A2651" s="2" t="str">
        <f>HYPERLINK("https://rth.dk/resources/bsgatlas/details.php?id=BSGatlas-5'UTR-2650","BSGatlas-5'UTR-2650")</f>
        <v>BSGatlas-5'UTR-2650</v>
      </c>
      <c r="B2651" s="3">
        <v>3966701</v>
      </c>
      <c r="C2651" s="3">
        <v>3966745</v>
      </c>
      <c r="D2651" s="1" t="s">
        <v>9</v>
      </c>
      <c r="E2651" s="1">
        <v>45</v>
      </c>
      <c r="F2651" s="1" t="s">
        <v>13937</v>
      </c>
      <c r="G2651" s="1" t="s">
        <v>10969</v>
      </c>
    </row>
    <row r="2652" spans="1:7" ht="21" x14ac:dyDescent="0.25">
      <c r="A2652" s="2" t="str">
        <f>HYPERLINK("https://rth.dk/resources/bsgatlas/details.php?id=BSGatlas-5'UTR-2651","BSGatlas-5'UTR-2651")</f>
        <v>BSGatlas-5'UTR-2651</v>
      </c>
      <c r="B2652" s="3">
        <v>3970156</v>
      </c>
      <c r="C2652" s="3">
        <v>3971060</v>
      </c>
      <c r="D2652" s="1" t="s">
        <v>9</v>
      </c>
      <c r="E2652" s="1">
        <v>905</v>
      </c>
      <c r="F2652" s="1" t="s">
        <v>13938</v>
      </c>
      <c r="G2652" s="1" t="s">
        <v>10974</v>
      </c>
    </row>
    <row r="2653" spans="1:7" ht="21" x14ac:dyDescent="0.25">
      <c r="A2653" s="2" t="str">
        <f>HYPERLINK("https://rth.dk/resources/bsgatlas/details.php?id=BSGatlas-5'UTR-2652","BSGatlas-5'UTR-2652")</f>
        <v>BSGatlas-5'UTR-2652</v>
      </c>
      <c r="B2653" s="3">
        <v>3970848</v>
      </c>
      <c r="C2653" s="3">
        <v>3970878</v>
      </c>
      <c r="D2653" s="1" t="s">
        <v>13</v>
      </c>
      <c r="E2653" s="1">
        <v>31</v>
      </c>
      <c r="F2653" s="1" t="s">
        <v>13939</v>
      </c>
      <c r="G2653" s="1" t="s">
        <v>10971</v>
      </c>
    </row>
    <row r="2654" spans="1:7" ht="21" x14ac:dyDescent="0.25">
      <c r="A2654" s="2" t="str">
        <f>HYPERLINK("https://rth.dk/resources/bsgatlas/details.php?id=BSGatlas-5'UTR-2653","BSGatlas-5'UTR-2653")</f>
        <v>BSGatlas-5'UTR-2653</v>
      </c>
      <c r="B2654" s="3">
        <v>3970848</v>
      </c>
      <c r="C2654" s="3">
        <v>3970879</v>
      </c>
      <c r="D2654" s="1" t="s">
        <v>13</v>
      </c>
      <c r="E2654" s="1">
        <v>32</v>
      </c>
      <c r="F2654" s="1" t="s">
        <v>13939</v>
      </c>
      <c r="G2654" s="1" t="s">
        <v>10973</v>
      </c>
    </row>
    <row r="2655" spans="1:7" ht="21" x14ac:dyDescent="0.25">
      <c r="A2655" s="2" t="str">
        <f>HYPERLINK("https://rth.dk/resources/bsgatlas/details.php?id=BSGatlas-5'UTR-2654","BSGatlas-5'UTR-2654")</f>
        <v>BSGatlas-5'UTR-2654</v>
      </c>
      <c r="B2655" s="3">
        <v>3971009</v>
      </c>
      <c r="C2655" s="3">
        <v>3971060</v>
      </c>
      <c r="D2655" s="1" t="s">
        <v>9</v>
      </c>
      <c r="E2655" s="1">
        <v>52</v>
      </c>
      <c r="F2655" s="1" t="s">
        <v>13938</v>
      </c>
      <c r="G2655" s="1" t="s">
        <v>10977</v>
      </c>
    </row>
    <row r="2656" spans="1:7" ht="21" x14ac:dyDescent="0.25">
      <c r="A2656" s="2" t="str">
        <f>HYPERLINK("https://rth.dk/resources/bsgatlas/details.php?id=BSGatlas-5'UTR-2655","BSGatlas-5'UTR-2655")</f>
        <v>BSGatlas-5'UTR-2655</v>
      </c>
      <c r="B2656" s="3">
        <v>3973278</v>
      </c>
      <c r="C2656" s="3">
        <v>3973312</v>
      </c>
      <c r="D2656" s="1" t="s">
        <v>13</v>
      </c>
      <c r="E2656" s="1">
        <v>35</v>
      </c>
      <c r="F2656" s="1" t="s">
        <v>13940</v>
      </c>
      <c r="G2656" s="1" t="s">
        <v>10979</v>
      </c>
    </row>
    <row r="2657" spans="1:7" ht="21" x14ac:dyDescent="0.25">
      <c r="A2657" s="2" t="str">
        <f>HYPERLINK("https://rth.dk/resources/bsgatlas/details.php?id=BSGatlas-5'UTR-2656","BSGatlas-5'UTR-2656")</f>
        <v>BSGatlas-5'UTR-2656</v>
      </c>
      <c r="B2657" s="3">
        <v>3973278</v>
      </c>
      <c r="C2657" s="3">
        <v>3973356</v>
      </c>
      <c r="D2657" s="1" t="s">
        <v>13</v>
      </c>
      <c r="E2657" s="1">
        <v>79</v>
      </c>
      <c r="F2657" s="1" t="s">
        <v>13940</v>
      </c>
      <c r="G2657" s="1" t="s">
        <v>10981</v>
      </c>
    </row>
    <row r="2658" spans="1:7" ht="21" x14ac:dyDescent="0.25">
      <c r="A2658" s="2" t="str">
        <f>HYPERLINK("https://rth.dk/resources/bsgatlas/details.php?id=BSGatlas-5'UTR-2657","BSGatlas-5'UTR-2657")</f>
        <v>BSGatlas-5'UTR-2657</v>
      </c>
      <c r="B2658" s="3">
        <v>3979197</v>
      </c>
      <c r="C2658" s="3">
        <v>3979390</v>
      </c>
      <c r="D2658" s="1" t="s">
        <v>13</v>
      </c>
      <c r="E2658" s="1">
        <v>194</v>
      </c>
      <c r="F2658" s="1" t="s">
        <v>13941</v>
      </c>
      <c r="G2658" s="1" t="s">
        <v>10986</v>
      </c>
    </row>
    <row r="2659" spans="1:7" ht="21" x14ac:dyDescent="0.25">
      <c r="A2659" s="2" t="str">
        <f>HYPERLINK("https://rth.dk/resources/bsgatlas/details.php?id=BSGatlas-5'UTR-2658","BSGatlas-5'UTR-2658")</f>
        <v>BSGatlas-5'UTR-2658</v>
      </c>
      <c r="B2659" s="3">
        <v>3979197</v>
      </c>
      <c r="C2659" s="3">
        <v>3979528</v>
      </c>
      <c r="D2659" s="1" t="s">
        <v>13</v>
      </c>
      <c r="E2659" s="1">
        <v>332</v>
      </c>
      <c r="F2659" s="1" t="s">
        <v>13941</v>
      </c>
      <c r="G2659" s="1" t="s">
        <v>10987</v>
      </c>
    </row>
    <row r="2660" spans="1:7" ht="21" x14ac:dyDescent="0.25">
      <c r="A2660" s="2" t="str">
        <f>HYPERLINK("https://rth.dk/resources/bsgatlas/details.php?id=BSGatlas-5'UTR-2659","BSGatlas-5'UTR-2659")</f>
        <v>BSGatlas-5'UTR-2659</v>
      </c>
      <c r="B2660" s="3">
        <v>3979691</v>
      </c>
      <c r="C2660" s="3">
        <v>3979753</v>
      </c>
      <c r="D2660" s="1" t="s">
        <v>9</v>
      </c>
      <c r="E2660" s="1">
        <v>63</v>
      </c>
      <c r="F2660" s="1" t="s">
        <v>13942</v>
      </c>
      <c r="G2660" s="1" t="s">
        <v>10989</v>
      </c>
    </row>
    <row r="2661" spans="1:7" ht="21" x14ac:dyDescent="0.25">
      <c r="A2661" s="2" t="str">
        <f>HYPERLINK("https://rth.dk/resources/bsgatlas/details.php?id=BSGatlas-5'UTR-2660","BSGatlas-5'UTR-2660")</f>
        <v>BSGatlas-5'UTR-2660</v>
      </c>
      <c r="B2661" s="3">
        <v>3981187</v>
      </c>
      <c r="C2661" s="3">
        <v>3981227</v>
      </c>
      <c r="D2661" s="1" t="s">
        <v>9</v>
      </c>
      <c r="E2661" s="1">
        <v>41</v>
      </c>
      <c r="F2661" s="1" t="s">
        <v>13943</v>
      </c>
      <c r="G2661" s="1" t="s">
        <v>10991</v>
      </c>
    </row>
    <row r="2662" spans="1:7" ht="21" x14ac:dyDescent="0.25">
      <c r="A2662" s="2" t="str">
        <f>HYPERLINK("https://rth.dk/resources/bsgatlas/details.php?id=BSGatlas-5'UTR-2661","BSGatlas-5'UTR-2661")</f>
        <v>BSGatlas-5'UTR-2661</v>
      </c>
      <c r="B2662" s="3">
        <v>3982947</v>
      </c>
      <c r="C2662" s="3">
        <v>3982973</v>
      </c>
      <c r="D2662" s="1" t="s">
        <v>9</v>
      </c>
      <c r="E2662" s="1">
        <v>27</v>
      </c>
      <c r="F2662" s="1" t="s">
        <v>13944</v>
      </c>
      <c r="G2662" s="1" t="s">
        <v>10992</v>
      </c>
    </row>
    <row r="2663" spans="1:7" ht="21" x14ac:dyDescent="0.25">
      <c r="A2663" s="2" t="str">
        <f>HYPERLINK("https://rth.dk/resources/bsgatlas/details.php?id=BSGatlas-5'UTR-2662","BSGatlas-5'UTR-2662")</f>
        <v>BSGatlas-5'UTR-2662</v>
      </c>
      <c r="B2663" s="3">
        <v>3984026</v>
      </c>
      <c r="C2663" s="3">
        <v>3984070</v>
      </c>
      <c r="D2663" s="1" t="s">
        <v>13</v>
      </c>
      <c r="E2663" s="1">
        <v>45</v>
      </c>
      <c r="F2663" s="1" t="s">
        <v>13945</v>
      </c>
      <c r="G2663" s="1" t="s">
        <v>10995</v>
      </c>
    </row>
    <row r="2664" spans="1:7" ht="21" x14ac:dyDescent="0.25">
      <c r="A2664" s="2" t="str">
        <f>HYPERLINK("https://rth.dk/resources/bsgatlas/details.php?id=BSGatlas-5'UTR-2663","BSGatlas-5'UTR-2663")</f>
        <v>BSGatlas-5'UTR-2663</v>
      </c>
      <c r="B2664" s="3">
        <v>3985230</v>
      </c>
      <c r="C2664" s="3">
        <v>3985280</v>
      </c>
      <c r="D2664" s="1" t="s">
        <v>13</v>
      </c>
      <c r="E2664" s="1">
        <v>51</v>
      </c>
      <c r="F2664" s="1" t="s">
        <v>13946</v>
      </c>
      <c r="G2664" s="1" t="s">
        <v>10997</v>
      </c>
    </row>
    <row r="2665" spans="1:7" ht="21" x14ac:dyDescent="0.25">
      <c r="A2665" s="2" t="str">
        <f>HYPERLINK("https://rth.dk/resources/bsgatlas/details.php?id=BSGatlas-5'UTR-2664","BSGatlas-5'UTR-2664")</f>
        <v>BSGatlas-5'UTR-2664</v>
      </c>
      <c r="B2665" s="3">
        <v>3986244</v>
      </c>
      <c r="C2665" s="3">
        <v>3986290</v>
      </c>
      <c r="D2665" s="1" t="s">
        <v>13</v>
      </c>
      <c r="E2665" s="1">
        <v>47</v>
      </c>
      <c r="F2665" s="1" t="s">
        <v>13947</v>
      </c>
      <c r="G2665" s="1" t="s">
        <v>11000</v>
      </c>
    </row>
    <row r="2666" spans="1:7" ht="21" x14ac:dyDescent="0.25">
      <c r="A2666" s="2" t="str">
        <f>HYPERLINK("https://rth.dk/resources/bsgatlas/details.php?id=BSGatlas-5'UTR-2665","BSGatlas-5'UTR-2665")</f>
        <v>BSGatlas-5'UTR-2665</v>
      </c>
      <c r="B2666" s="3">
        <v>3986244</v>
      </c>
      <c r="C2666" s="3">
        <v>3987326</v>
      </c>
      <c r="D2666" s="1" t="s">
        <v>13</v>
      </c>
      <c r="E2666" s="1">
        <v>1083</v>
      </c>
      <c r="F2666" s="1" t="s">
        <v>13947</v>
      </c>
      <c r="G2666" s="1" t="s">
        <v>11001</v>
      </c>
    </row>
    <row r="2667" spans="1:7" ht="21" x14ac:dyDescent="0.25">
      <c r="A2667" s="2" t="str">
        <f>HYPERLINK("https://rth.dk/resources/bsgatlas/details.php?id=BSGatlas-5'UTR-2666","BSGatlas-5'UTR-2666")</f>
        <v>BSGatlas-5'UTR-2666</v>
      </c>
      <c r="B2667" s="3">
        <v>3986348</v>
      </c>
      <c r="C2667" s="3">
        <v>3986428</v>
      </c>
      <c r="D2667" s="1" t="s">
        <v>9</v>
      </c>
      <c r="E2667" s="1">
        <v>81</v>
      </c>
      <c r="F2667" s="1" t="s">
        <v>13948</v>
      </c>
      <c r="G2667" s="1" t="s">
        <v>11002</v>
      </c>
    </row>
    <row r="2668" spans="1:7" ht="21" x14ac:dyDescent="0.25">
      <c r="A2668" s="2" t="str">
        <f>HYPERLINK("https://rth.dk/resources/bsgatlas/details.php?id=BSGatlas-5'UTR-2667","BSGatlas-5'UTR-2667")</f>
        <v>BSGatlas-5'UTR-2667</v>
      </c>
      <c r="B2668" s="3">
        <v>3986392</v>
      </c>
      <c r="C2668" s="3">
        <v>3986428</v>
      </c>
      <c r="D2668" s="1" t="s">
        <v>9</v>
      </c>
      <c r="E2668" s="1">
        <v>37</v>
      </c>
      <c r="F2668" s="1" t="s">
        <v>13948</v>
      </c>
      <c r="G2668" s="1" t="s">
        <v>11004</v>
      </c>
    </row>
    <row r="2669" spans="1:7" ht="21" x14ac:dyDescent="0.25">
      <c r="A2669" s="2" t="str">
        <f>HYPERLINK("https://rth.dk/resources/bsgatlas/details.php?id=BSGatlas-5'UTR-2668","BSGatlas-5'UTR-2668")</f>
        <v>BSGatlas-5'UTR-2668</v>
      </c>
      <c r="B2669" s="3">
        <v>3988763</v>
      </c>
      <c r="C2669" s="3">
        <v>3988979</v>
      </c>
      <c r="D2669" s="1" t="s">
        <v>13</v>
      </c>
      <c r="E2669" s="1">
        <v>217</v>
      </c>
      <c r="F2669" s="1" t="s">
        <v>13949</v>
      </c>
      <c r="G2669" s="1" t="s">
        <v>11005</v>
      </c>
    </row>
    <row r="2670" spans="1:7" ht="21" x14ac:dyDescent="0.25">
      <c r="A2670" s="2" t="str">
        <f>HYPERLINK("https://rth.dk/resources/bsgatlas/details.php?id=BSGatlas-5'UTR-2669","BSGatlas-5'UTR-2669")</f>
        <v>BSGatlas-5'UTR-2669</v>
      </c>
      <c r="B2670" s="3">
        <v>3988763</v>
      </c>
      <c r="C2670" s="3">
        <v>3989722</v>
      </c>
      <c r="D2670" s="1" t="s">
        <v>13</v>
      </c>
      <c r="E2670" s="1">
        <v>960</v>
      </c>
      <c r="F2670" s="1" t="s">
        <v>13949</v>
      </c>
      <c r="G2670" s="1" t="s">
        <v>11007</v>
      </c>
    </row>
    <row r="2671" spans="1:7" ht="21" x14ac:dyDescent="0.25">
      <c r="A2671" s="2" t="str">
        <f>HYPERLINK("https://rth.dk/resources/bsgatlas/details.php?id=BSGatlas-5'UTR-2670","BSGatlas-5'UTR-2670")</f>
        <v>BSGatlas-5'UTR-2670</v>
      </c>
      <c r="B2671" s="3">
        <v>3989088</v>
      </c>
      <c r="C2671" s="3">
        <v>3989331</v>
      </c>
      <c r="D2671" s="1" t="s">
        <v>9</v>
      </c>
      <c r="E2671" s="1">
        <v>244</v>
      </c>
      <c r="F2671" s="1" t="s">
        <v>13950</v>
      </c>
      <c r="G2671" s="1" t="s">
        <v>11009</v>
      </c>
    </row>
    <row r="2672" spans="1:7" ht="21" x14ac:dyDescent="0.25">
      <c r="A2672" s="2" t="str">
        <f>HYPERLINK("https://rth.dk/resources/bsgatlas/details.php?id=BSGatlas-5'UTR-2671","BSGatlas-5'UTR-2671")</f>
        <v>BSGatlas-5'UTR-2671</v>
      </c>
      <c r="B2672" s="3">
        <v>3989185</v>
      </c>
      <c r="C2672" s="3">
        <v>3989331</v>
      </c>
      <c r="D2672" s="1" t="s">
        <v>9</v>
      </c>
      <c r="E2672" s="1">
        <v>147</v>
      </c>
      <c r="F2672" s="1" t="s">
        <v>13950</v>
      </c>
      <c r="G2672" s="1" t="s">
        <v>11012</v>
      </c>
    </row>
    <row r="2673" spans="1:7" ht="21" x14ac:dyDescent="0.25">
      <c r="A2673" s="2" t="str">
        <f>HYPERLINK("https://rth.dk/resources/bsgatlas/details.php?id=BSGatlas-5'UTR-2672","BSGatlas-5'UTR-2672")</f>
        <v>BSGatlas-5'UTR-2672</v>
      </c>
      <c r="B2673" s="3">
        <v>3990967</v>
      </c>
      <c r="C2673" s="3">
        <v>3990994</v>
      </c>
      <c r="D2673" s="1" t="s">
        <v>13</v>
      </c>
      <c r="E2673" s="1">
        <v>28</v>
      </c>
      <c r="F2673" s="1" t="s">
        <v>13951</v>
      </c>
      <c r="G2673" s="1" t="s">
        <v>11013</v>
      </c>
    </row>
    <row r="2674" spans="1:7" ht="21" x14ac:dyDescent="0.25">
      <c r="A2674" s="2" t="str">
        <f>HYPERLINK("https://rth.dk/resources/bsgatlas/details.php?id=BSGatlas-5'UTR-2673","BSGatlas-5'UTR-2673")</f>
        <v>BSGatlas-5'UTR-2673</v>
      </c>
      <c r="B2674" s="3">
        <v>3991588</v>
      </c>
      <c r="C2674" s="3">
        <v>3991616</v>
      </c>
      <c r="D2674" s="1" t="s">
        <v>13</v>
      </c>
      <c r="E2674" s="1">
        <v>29</v>
      </c>
      <c r="F2674" s="1" t="s">
        <v>13952</v>
      </c>
      <c r="G2674" s="1" t="s">
        <v>11016</v>
      </c>
    </row>
    <row r="2675" spans="1:7" ht="21" x14ac:dyDescent="0.25">
      <c r="A2675" s="2" t="str">
        <f>HYPERLINK("https://rth.dk/resources/bsgatlas/details.php?id=BSGatlas-5'UTR-2674","BSGatlas-5'UTR-2674")</f>
        <v>BSGatlas-5'UTR-2674</v>
      </c>
      <c r="B2675" s="3">
        <v>3991639</v>
      </c>
      <c r="C2675" s="3">
        <v>3991718</v>
      </c>
      <c r="D2675" s="1" t="s">
        <v>9</v>
      </c>
      <c r="E2675" s="1">
        <v>80</v>
      </c>
      <c r="F2675" s="1" t="s">
        <v>13953</v>
      </c>
      <c r="G2675" s="1" t="s">
        <v>11017</v>
      </c>
    </row>
    <row r="2676" spans="1:7" ht="21" x14ac:dyDescent="0.25">
      <c r="A2676" s="2" t="str">
        <f>HYPERLINK("https://rth.dk/resources/bsgatlas/details.php?id=BSGatlas-5'UTR-2675","BSGatlas-5'UTR-2675")</f>
        <v>BSGatlas-5'UTR-2675</v>
      </c>
      <c r="B2676" s="3">
        <v>3995045</v>
      </c>
      <c r="C2676" s="3">
        <v>3995075</v>
      </c>
      <c r="D2676" s="1" t="s">
        <v>9</v>
      </c>
      <c r="E2676" s="1">
        <v>31</v>
      </c>
      <c r="F2676" s="1" t="s">
        <v>13954</v>
      </c>
      <c r="G2676" s="1" t="s">
        <v>11020</v>
      </c>
    </row>
    <row r="2677" spans="1:7" ht="21" x14ac:dyDescent="0.25">
      <c r="A2677" s="2" t="str">
        <f>HYPERLINK("https://rth.dk/resources/bsgatlas/details.php?id=BSGatlas-5'UTR-2676","BSGatlas-5'UTR-2676")</f>
        <v>BSGatlas-5'UTR-2676</v>
      </c>
      <c r="B2677" s="3">
        <v>3996629</v>
      </c>
      <c r="C2677" s="3">
        <v>3996829</v>
      </c>
      <c r="D2677" s="1" t="s">
        <v>9</v>
      </c>
      <c r="E2677" s="1">
        <v>201</v>
      </c>
      <c r="F2677" s="1" t="s">
        <v>13955</v>
      </c>
      <c r="G2677" s="1" t="s">
        <v>11024</v>
      </c>
    </row>
    <row r="2678" spans="1:7" ht="21" x14ac:dyDescent="0.25">
      <c r="A2678" s="2" t="str">
        <f>HYPERLINK("https://rth.dk/resources/bsgatlas/details.php?id=BSGatlas-5'UTR-2677","BSGatlas-5'UTR-2677")</f>
        <v>BSGatlas-5'UTR-2677</v>
      </c>
      <c r="B2678" s="3">
        <v>3996731</v>
      </c>
      <c r="C2678" s="3">
        <v>3996829</v>
      </c>
      <c r="D2678" s="1" t="s">
        <v>9</v>
      </c>
      <c r="E2678" s="1">
        <v>99</v>
      </c>
      <c r="F2678" s="1" t="s">
        <v>13955</v>
      </c>
      <c r="G2678" s="1" t="s">
        <v>11027</v>
      </c>
    </row>
    <row r="2679" spans="1:7" ht="21" x14ac:dyDescent="0.25">
      <c r="A2679" s="2" t="str">
        <f>HYPERLINK("https://rth.dk/resources/bsgatlas/details.php?id=BSGatlas-5'UTR-2678","BSGatlas-5'UTR-2678")</f>
        <v>BSGatlas-5'UTR-2678</v>
      </c>
      <c r="B2679" s="3">
        <v>3997194</v>
      </c>
      <c r="C2679" s="3">
        <v>3997221</v>
      </c>
      <c r="D2679" s="1" t="s">
        <v>9</v>
      </c>
      <c r="E2679" s="1">
        <v>28</v>
      </c>
      <c r="F2679" s="1" t="s">
        <v>13956</v>
      </c>
      <c r="G2679" s="1" t="s">
        <v>11029</v>
      </c>
    </row>
    <row r="2680" spans="1:7" ht="21" x14ac:dyDescent="0.25">
      <c r="A2680" s="2" t="str">
        <f>HYPERLINK("https://rth.dk/resources/bsgatlas/details.php?id=BSGatlas-5'UTR-2679","BSGatlas-5'UTR-2679")</f>
        <v>BSGatlas-5'UTR-2679</v>
      </c>
      <c r="B2680" s="3">
        <v>3997745</v>
      </c>
      <c r="C2680" s="3">
        <v>3997964</v>
      </c>
      <c r="D2680" s="1" t="s">
        <v>9</v>
      </c>
      <c r="E2680" s="1">
        <v>220</v>
      </c>
      <c r="F2680" s="1" t="s">
        <v>13957</v>
      </c>
      <c r="G2680" s="1" t="s">
        <v>11030</v>
      </c>
    </row>
    <row r="2681" spans="1:7" ht="21" x14ac:dyDescent="0.25">
      <c r="A2681" s="2" t="str">
        <f>HYPERLINK("https://rth.dk/resources/bsgatlas/details.php?id=BSGatlas-5'UTR-2680","BSGatlas-5'UTR-2680")</f>
        <v>BSGatlas-5'UTR-2680</v>
      </c>
      <c r="B2681" s="3">
        <v>3999131</v>
      </c>
      <c r="C2681" s="3">
        <v>3999350</v>
      </c>
      <c r="D2681" s="1" t="s">
        <v>9</v>
      </c>
      <c r="E2681" s="1">
        <v>220</v>
      </c>
      <c r="F2681" s="1" t="s">
        <v>13958</v>
      </c>
      <c r="G2681" s="1" t="s">
        <v>11033</v>
      </c>
    </row>
    <row r="2682" spans="1:7" ht="21" x14ac:dyDescent="0.25">
      <c r="A2682" s="2" t="str">
        <f>HYPERLINK("https://rth.dk/resources/bsgatlas/details.php?id=BSGatlas-5'UTR-2681","BSGatlas-5'UTR-2681")</f>
        <v>BSGatlas-5'UTR-2681</v>
      </c>
      <c r="B2682" s="3">
        <v>4002692</v>
      </c>
      <c r="C2682" s="3">
        <v>4003321</v>
      </c>
      <c r="D2682" s="1" t="s">
        <v>13</v>
      </c>
      <c r="E2682" s="1">
        <v>630</v>
      </c>
      <c r="F2682" s="1" t="s">
        <v>13959</v>
      </c>
      <c r="G2682" s="1" t="s">
        <v>11039</v>
      </c>
    </row>
    <row r="2683" spans="1:7" ht="21" x14ac:dyDescent="0.25">
      <c r="A2683" s="2" t="str">
        <f>HYPERLINK("https://rth.dk/resources/bsgatlas/details.php?id=BSGatlas-5'UTR-2682","BSGatlas-5'UTR-2682")</f>
        <v>BSGatlas-5'UTR-2682</v>
      </c>
      <c r="B2683" s="3">
        <v>4004134</v>
      </c>
      <c r="C2683" s="3">
        <v>4004209</v>
      </c>
      <c r="D2683" s="1" t="s">
        <v>13</v>
      </c>
      <c r="E2683" s="1">
        <v>76</v>
      </c>
      <c r="F2683" s="1" t="s">
        <v>13960</v>
      </c>
      <c r="G2683" s="1" t="s">
        <v>11042</v>
      </c>
    </row>
    <row r="2684" spans="1:7" ht="21" x14ac:dyDescent="0.25">
      <c r="A2684" s="2" t="str">
        <f>HYPERLINK("https://rth.dk/resources/bsgatlas/details.php?id=BSGatlas-5'UTR-2683","BSGatlas-5'UTR-2683")</f>
        <v>BSGatlas-5'UTR-2683</v>
      </c>
      <c r="B2684" s="3">
        <v>4005136</v>
      </c>
      <c r="C2684" s="3">
        <v>4005322</v>
      </c>
      <c r="D2684" s="1" t="s">
        <v>13</v>
      </c>
      <c r="E2684" s="1">
        <v>187</v>
      </c>
      <c r="F2684" s="1" t="s">
        <v>13961</v>
      </c>
      <c r="G2684" s="1" t="s">
        <v>11043</v>
      </c>
    </row>
    <row r="2685" spans="1:7" ht="21" x14ac:dyDescent="0.25">
      <c r="A2685" s="2" t="str">
        <f>HYPERLINK("https://rth.dk/resources/bsgatlas/details.php?id=BSGatlas-5'UTR-2684","BSGatlas-5'UTR-2684")</f>
        <v>BSGatlas-5'UTR-2684</v>
      </c>
      <c r="B2685" s="3">
        <v>4005136</v>
      </c>
      <c r="C2685" s="3">
        <v>4006052</v>
      </c>
      <c r="D2685" s="1" t="s">
        <v>13</v>
      </c>
      <c r="E2685" s="1">
        <v>917</v>
      </c>
      <c r="F2685" s="1" t="s">
        <v>13961</v>
      </c>
      <c r="G2685" s="1" t="s">
        <v>11045</v>
      </c>
    </row>
    <row r="2686" spans="1:7" ht="21" x14ac:dyDescent="0.25">
      <c r="A2686" s="2" t="str">
        <f>HYPERLINK("https://rth.dk/resources/bsgatlas/details.php?id=BSGatlas-5'UTR-2685","BSGatlas-5'UTR-2685")</f>
        <v>BSGatlas-5'UTR-2685</v>
      </c>
      <c r="B2686" s="3">
        <v>4005513</v>
      </c>
      <c r="C2686" s="3">
        <v>4005752</v>
      </c>
      <c r="D2686" s="1" t="s">
        <v>9</v>
      </c>
      <c r="E2686" s="1">
        <v>240</v>
      </c>
      <c r="F2686" s="1" t="s">
        <v>13962</v>
      </c>
      <c r="G2686" s="1" t="s">
        <v>11046</v>
      </c>
    </row>
    <row r="2687" spans="1:7" ht="21" x14ac:dyDescent="0.25">
      <c r="A2687" s="2" t="str">
        <f>HYPERLINK("https://rth.dk/resources/bsgatlas/details.php?id=BSGatlas-5'UTR-2686","BSGatlas-5'UTR-2686")</f>
        <v>BSGatlas-5'UTR-2686</v>
      </c>
      <c r="B2687" s="3">
        <v>4005731</v>
      </c>
      <c r="C2687" s="3">
        <v>4005752</v>
      </c>
      <c r="D2687" s="1" t="s">
        <v>9</v>
      </c>
      <c r="E2687" s="1">
        <v>22</v>
      </c>
      <c r="F2687" s="1" t="s">
        <v>13962</v>
      </c>
      <c r="G2687" s="1" t="s">
        <v>11050</v>
      </c>
    </row>
    <row r="2688" spans="1:7" ht="21" x14ac:dyDescent="0.25">
      <c r="A2688" s="2" t="str">
        <f>HYPERLINK("https://rth.dk/resources/bsgatlas/details.php?id=BSGatlas-5'UTR-2687","BSGatlas-5'UTR-2687")</f>
        <v>BSGatlas-5'UTR-2687</v>
      </c>
      <c r="B2688" s="3">
        <v>4007658</v>
      </c>
      <c r="C2688" s="3">
        <v>4007722</v>
      </c>
      <c r="D2688" s="1" t="s">
        <v>13</v>
      </c>
      <c r="E2688" s="1">
        <v>65</v>
      </c>
      <c r="F2688" s="1" t="s">
        <v>13963</v>
      </c>
      <c r="G2688" s="1" t="s">
        <v>11052</v>
      </c>
    </row>
    <row r="2689" spans="1:7" ht="21" x14ac:dyDescent="0.25">
      <c r="A2689" s="2" t="str">
        <f>HYPERLINK("https://rth.dk/resources/bsgatlas/details.php?id=BSGatlas-5'UTR-2688","BSGatlas-5'UTR-2688")</f>
        <v>BSGatlas-5'UTR-2688</v>
      </c>
      <c r="B2689" s="3">
        <v>4008093</v>
      </c>
      <c r="C2689" s="3">
        <v>4008135</v>
      </c>
      <c r="D2689" s="1" t="s">
        <v>13</v>
      </c>
      <c r="E2689" s="1">
        <v>43</v>
      </c>
      <c r="F2689" s="1" t="s">
        <v>13964</v>
      </c>
      <c r="G2689" s="1" t="s">
        <v>11053</v>
      </c>
    </row>
    <row r="2690" spans="1:7" ht="21" x14ac:dyDescent="0.25">
      <c r="A2690" s="2" t="str">
        <f>HYPERLINK("https://rth.dk/resources/bsgatlas/details.php?id=BSGatlas-5'UTR-2689","BSGatlas-5'UTR-2689")</f>
        <v>BSGatlas-5'UTR-2689</v>
      </c>
      <c r="B2690" s="3">
        <v>4010203</v>
      </c>
      <c r="C2690" s="3">
        <v>4010235</v>
      </c>
      <c r="D2690" s="1" t="s">
        <v>13</v>
      </c>
      <c r="E2690" s="1">
        <v>33</v>
      </c>
      <c r="F2690" s="1" t="s">
        <v>13965</v>
      </c>
      <c r="G2690" s="1" t="s">
        <v>11056</v>
      </c>
    </row>
    <row r="2691" spans="1:7" ht="21" x14ac:dyDescent="0.25">
      <c r="A2691" s="2" t="str">
        <f>HYPERLINK("https://rth.dk/resources/bsgatlas/details.php?id=BSGatlas-5'UTR-2690","BSGatlas-5'UTR-2690")</f>
        <v>BSGatlas-5'UTR-2690</v>
      </c>
      <c r="B2691" s="3">
        <v>4010315</v>
      </c>
      <c r="C2691" s="3">
        <v>4010404</v>
      </c>
      <c r="D2691" s="1" t="s">
        <v>9</v>
      </c>
      <c r="E2691" s="1">
        <v>90</v>
      </c>
      <c r="F2691" s="1" t="s">
        <v>13966</v>
      </c>
      <c r="G2691" s="1" t="s">
        <v>11057</v>
      </c>
    </row>
    <row r="2692" spans="1:7" ht="21" x14ac:dyDescent="0.25">
      <c r="A2692" s="2" t="str">
        <f>HYPERLINK("https://rth.dk/resources/bsgatlas/details.php?id=BSGatlas-5'UTR-2691","BSGatlas-5'UTR-2691")</f>
        <v>BSGatlas-5'UTR-2691</v>
      </c>
      <c r="B2692" s="3">
        <v>4012570</v>
      </c>
      <c r="C2692" s="3">
        <v>4012612</v>
      </c>
      <c r="D2692" s="1" t="s">
        <v>13</v>
      </c>
      <c r="E2692" s="1">
        <v>43</v>
      </c>
      <c r="F2692" s="1" t="s">
        <v>13967</v>
      </c>
      <c r="G2692" s="1" t="s">
        <v>11059</v>
      </c>
    </row>
    <row r="2693" spans="1:7" ht="21" x14ac:dyDescent="0.25">
      <c r="A2693" s="2" t="str">
        <f>HYPERLINK("https://rth.dk/resources/bsgatlas/details.php?id=BSGatlas-5'UTR-2692","BSGatlas-5'UTR-2692")</f>
        <v>BSGatlas-5'UTR-2692</v>
      </c>
      <c r="B2693" s="3">
        <v>4013699</v>
      </c>
      <c r="C2693" s="3">
        <v>4013734</v>
      </c>
      <c r="D2693" s="1" t="s">
        <v>13</v>
      </c>
      <c r="E2693" s="1">
        <v>36</v>
      </c>
      <c r="F2693" s="1" t="s">
        <v>13968</v>
      </c>
      <c r="G2693" s="1" t="s">
        <v>11062</v>
      </c>
    </row>
    <row r="2694" spans="1:7" ht="21" x14ac:dyDescent="0.25">
      <c r="A2694" s="2" t="str">
        <f>HYPERLINK("https://rth.dk/resources/bsgatlas/details.php?id=BSGatlas-5'UTR-2693","BSGatlas-5'UTR-2693")</f>
        <v>BSGatlas-5'UTR-2693</v>
      </c>
      <c r="B2694" s="3">
        <v>4014475</v>
      </c>
      <c r="C2694" s="3">
        <v>4014531</v>
      </c>
      <c r="D2694" s="1" t="s">
        <v>13</v>
      </c>
      <c r="E2694" s="1">
        <v>57</v>
      </c>
      <c r="F2694" s="1" t="s">
        <v>13969</v>
      </c>
      <c r="G2694" s="1" t="s">
        <v>11064</v>
      </c>
    </row>
    <row r="2695" spans="1:7" ht="21" x14ac:dyDescent="0.25">
      <c r="A2695" s="2" t="str">
        <f>HYPERLINK("https://rth.dk/resources/bsgatlas/details.php?id=BSGatlas-5'UTR-2694","BSGatlas-5'UTR-2694")</f>
        <v>BSGatlas-5'UTR-2694</v>
      </c>
      <c r="B2695" s="3">
        <v>4014475</v>
      </c>
      <c r="C2695" s="3">
        <v>4015421</v>
      </c>
      <c r="D2695" s="1" t="s">
        <v>13</v>
      </c>
      <c r="E2695" s="1">
        <v>947</v>
      </c>
      <c r="F2695" s="1" t="s">
        <v>13969</v>
      </c>
      <c r="G2695" s="1" t="s">
        <v>11065</v>
      </c>
    </row>
    <row r="2696" spans="1:7" ht="21" x14ac:dyDescent="0.25">
      <c r="A2696" s="2" t="str">
        <f>HYPERLINK("https://rth.dk/resources/bsgatlas/details.php?id=BSGatlas-5'UTR-2695","BSGatlas-5'UTR-2695")</f>
        <v>BSGatlas-5'UTR-2695</v>
      </c>
      <c r="B2696" s="3">
        <v>4014641</v>
      </c>
      <c r="C2696" s="3">
        <v>4014682</v>
      </c>
      <c r="D2696" s="1" t="s">
        <v>9</v>
      </c>
      <c r="E2696" s="1">
        <v>42</v>
      </c>
      <c r="F2696" s="1" t="s">
        <v>13970</v>
      </c>
      <c r="G2696" s="1" t="s">
        <v>11069</v>
      </c>
    </row>
    <row r="2697" spans="1:7" ht="21" x14ac:dyDescent="0.25">
      <c r="A2697" s="2" t="str">
        <f>HYPERLINK("https://rth.dk/resources/bsgatlas/details.php?id=BSGatlas-5'UTR-2696","BSGatlas-5'UTR-2696")</f>
        <v>BSGatlas-5'UTR-2696</v>
      </c>
      <c r="B2697" s="3">
        <v>4017426</v>
      </c>
      <c r="C2697" s="3">
        <v>4017467</v>
      </c>
      <c r="D2697" s="1" t="s">
        <v>13</v>
      </c>
      <c r="E2697" s="1">
        <v>42</v>
      </c>
      <c r="F2697" s="1" t="s">
        <v>13971</v>
      </c>
      <c r="G2697" s="1" t="s">
        <v>11072</v>
      </c>
    </row>
    <row r="2698" spans="1:7" ht="21" x14ac:dyDescent="0.25">
      <c r="A2698" s="2" t="str">
        <f>HYPERLINK("https://rth.dk/resources/bsgatlas/details.php?id=BSGatlas-5'UTR-2697","BSGatlas-5'UTR-2697")</f>
        <v>BSGatlas-5'UTR-2697</v>
      </c>
      <c r="B2698" s="3">
        <v>4018656</v>
      </c>
      <c r="C2698" s="3">
        <v>4018699</v>
      </c>
      <c r="D2698" s="1" t="s">
        <v>13</v>
      </c>
      <c r="E2698" s="1">
        <v>44</v>
      </c>
      <c r="F2698" s="1" t="s">
        <v>13972</v>
      </c>
      <c r="G2698" s="1" t="s">
        <v>11075</v>
      </c>
    </row>
    <row r="2699" spans="1:7" ht="21" x14ac:dyDescent="0.25">
      <c r="A2699" s="2" t="str">
        <f>HYPERLINK("https://rth.dk/resources/bsgatlas/details.php?id=BSGatlas-5'UTR-2698","BSGatlas-5'UTR-2698")</f>
        <v>BSGatlas-5'UTR-2698</v>
      </c>
      <c r="B2699" s="3">
        <v>4030548</v>
      </c>
      <c r="C2699" s="3">
        <v>4030583</v>
      </c>
      <c r="D2699" s="1" t="s">
        <v>13</v>
      </c>
      <c r="E2699" s="1">
        <v>36</v>
      </c>
      <c r="F2699" s="1" t="s">
        <v>13973</v>
      </c>
      <c r="G2699" s="1" t="s">
        <v>11078</v>
      </c>
    </row>
    <row r="2700" spans="1:7" ht="21" x14ac:dyDescent="0.25">
      <c r="A2700" s="2" t="str">
        <f>HYPERLINK("https://rth.dk/resources/bsgatlas/details.php?id=BSGatlas-5'UTR-2699","BSGatlas-5'UTR-2699")</f>
        <v>BSGatlas-5'UTR-2699</v>
      </c>
      <c r="B2700" s="3">
        <v>4032243</v>
      </c>
      <c r="C2700" s="3">
        <v>4032287</v>
      </c>
      <c r="D2700" s="1" t="s">
        <v>13</v>
      </c>
      <c r="E2700" s="1">
        <v>45</v>
      </c>
      <c r="F2700" s="1" t="s">
        <v>13974</v>
      </c>
      <c r="G2700" s="1" t="s">
        <v>11082</v>
      </c>
    </row>
    <row r="2701" spans="1:7" ht="21" x14ac:dyDescent="0.25">
      <c r="A2701" s="2" t="str">
        <f>HYPERLINK("https://rth.dk/resources/bsgatlas/details.php?id=BSGatlas-5'UTR-2700","BSGatlas-5'UTR-2700")</f>
        <v>BSGatlas-5'UTR-2700</v>
      </c>
      <c r="B2701" s="3">
        <v>4035607</v>
      </c>
      <c r="C2701" s="3">
        <v>4035639</v>
      </c>
      <c r="D2701" s="1" t="s">
        <v>13</v>
      </c>
      <c r="E2701" s="1">
        <v>33</v>
      </c>
      <c r="F2701" s="1" t="s">
        <v>13975</v>
      </c>
      <c r="G2701" s="1" t="s">
        <v>11085</v>
      </c>
    </row>
    <row r="2702" spans="1:7" ht="21" x14ac:dyDescent="0.25">
      <c r="A2702" s="2" t="str">
        <f>HYPERLINK("https://rth.dk/resources/bsgatlas/details.php?id=BSGatlas-5'UTR-2701","BSGatlas-5'UTR-2701")</f>
        <v>BSGatlas-5'UTR-2701</v>
      </c>
      <c r="B2702" s="3">
        <v>4035607</v>
      </c>
      <c r="C2702" s="3">
        <v>4035816</v>
      </c>
      <c r="D2702" s="1" t="s">
        <v>13</v>
      </c>
      <c r="E2702" s="1">
        <v>210</v>
      </c>
      <c r="F2702" s="1" t="s">
        <v>13975</v>
      </c>
      <c r="G2702" s="1" t="s">
        <v>11086</v>
      </c>
    </row>
    <row r="2703" spans="1:7" ht="21" x14ac:dyDescent="0.25">
      <c r="A2703" s="2" t="str">
        <f>HYPERLINK("https://rth.dk/resources/bsgatlas/details.php?id=BSGatlas-5'UTR-2702","BSGatlas-5'UTR-2702")</f>
        <v>BSGatlas-5'UTR-2702</v>
      </c>
      <c r="B2703" s="3">
        <v>4039159</v>
      </c>
      <c r="C2703" s="3">
        <v>4039225</v>
      </c>
      <c r="D2703" s="1" t="s">
        <v>13</v>
      </c>
      <c r="E2703" s="1">
        <v>67</v>
      </c>
      <c r="F2703" s="1" t="s">
        <v>13976</v>
      </c>
      <c r="G2703" s="1" t="s">
        <v>11093</v>
      </c>
    </row>
    <row r="2704" spans="1:7" ht="21" x14ac:dyDescent="0.25">
      <c r="A2704" s="2" t="str">
        <f>HYPERLINK("https://rth.dk/resources/bsgatlas/details.php?id=BSGatlas-5'UTR-2703","BSGatlas-5'UTR-2703")</f>
        <v>BSGatlas-5'UTR-2703</v>
      </c>
      <c r="B2704" s="3">
        <v>4040875</v>
      </c>
      <c r="C2704" s="3">
        <v>4040985</v>
      </c>
      <c r="D2704" s="1" t="s">
        <v>13</v>
      </c>
      <c r="E2704" s="1">
        <v>111</v>
      </c>
      <c r="F2704" s="1" t="s">
        <v>13977</v>
      </c>
      <c r="G2704" s="1" t="s">
        <v>11095</v>
      </c>
    </row>
    <row r="2705" spans="1:7" ht="21" x14ac:dyDescent="0.25">
      <c r="A2705" s="2" t="str">
        <f>HYPERLINK("https://rth.dk/resources/bsgatlas/details.php?id=BSGatlas-5'UTR-2704","BSGatlas-5'UTR-2704")</f>
        <v>BSGatlas-5'UTR-2704</v>
      </c>
      <c r="B2705" s="3">
        <v>4041173</v>
      </c>
      <c r="C2705" s="3">
        <v>4041381</v>
      </c>
      <c r="D2705" s="1" t="s">
        <v>13</v>
      </c>
      <c r="E2705" s="1">
        <v>209</v>
      </c>
      <c r="F2705" s="1" t="s">
        <v>13978</v>
      </c>
      <c r="G2705" s="1" t="s">
        <v>11099</v>
      </c>
    </row>
    <row r="2706" spans="1:7" ht="21" x14ac:dyDescent="0.25">
      <c r="A2706" s="2" t="str">
        <f>HYPERLINK("https://rth.dk/resources/bsgatlas/details.php?id=BSGatlas-5'UTR-2705","BSGatlas-5'UTR-2705")</f>
        <v>BSGatlas-5'UTR-2705</v>
      </c>
      <c r="B2706" s="3">
        <v>4041451</v>
      </c>
      <c r="C2706" s="3">
        <v>4041492</v>
      </c>
      <c r="D2706" s="1" t="s">
        <v>9</v>
      </c>
      <c r="E2706" s="1">
        <v>42</v>
      </c>
      <c r="F2706" s="1" t="s">
        <v>13979</v>
      </c>
      <c r="G2706" s="1" t="s">
        <v>11100</v>
      </c>
    </row>
    <row r="2707" spans="1:7" ht="21" x14ac:dyDescent="0.25">
      <c r="A2707" s="2" t="str">
        <f>HYPERLINK("https://rth.dk/resources/bsgatlas/details.php?id=BSGatlas-5'UTR-2706","BSGatlas-5'UTR-2706")</f>
        <v>BSGatlas-5'UTR-2706</v>
      </c>
      <c r="B2707" s="3">
        <v>4052273</v>
      </c>
      <c r="C2707" s="3">
        <v>4052304</v>
      </c>
      <c r="D2707" s="1" t="s">
        <v>13</v>
      </c>
      <c r="E2707" s="1">
        <v>32</v>
      </c>
      <c r="F2707" s="1" t="s">
        <v>13980</v>
      </c>
      <c r="G2707" s="1" t="s">
        <v>11105</v>
      </c>
    </row>
    <row r="2708" spans="1:7" ht="21" x14ac:dyDescent="0.25">
      <c r="A2708" s="2" t="str">
        <f>HYPERLINK("https://rth.dk/resources/bsgatlas/details.php?id=BSGatlas-5'UTR-2707","BSGatlas-5'UTR-2707")</f>
        <v>BSGatlas-5'UTR-2707</v>
      </c>
      <c r="B2708" s="3">
        <v>4053320</v>
      </c>
      <c r="C2708" s="3">
        <v>4053371</v>
      </c>
      <c r="D2708" s="1" t="s">
        <v>13</v>
      </c>
      <c r="E2708" s="1">
        <v>52</v>
      </c>
      <c r="F2708" s="1" t="s">
        <v>13981</v>
      </c>
      <c r="G2708" s="1" t="s">
        <v>11108</v>
      </c>
    </row>
    <row r="2709" spans="1:7" ht="21" x14ac:dyDescent="0.25">
      <c r="A2709" s="2" t="str">
        <f>HYPERLINK("https://rth.dk/resources/bsgatlas/details.php?id=BSGatlas-5'UTR-2708","BSGatlas-5'UTR-2708")</f>
        <v>BSGatlas-5'UTR-2708</v>
      </c>
      <c r="B2709" s="3">
        <v>4054281</v>
      </c>
      <c r="C2709" s="3">
        <v>4054319</v>
      </c>
      <c r="D2709" s="1" t="s">
        <v>13</v>
      </c>
      <c r="E2709" s="1">
        <v>39</v>
      </c>
      <c r="F2709" s="1" t="s">
        <v>13982</v>
      </c>
      <c r="G2709" s="1" t="s">
        <v>13983</v>
      </c>
    </row>
    <row r="2710" spans="1:7" ht="21" x14ac:dyDescent="0.25">
      <c r="A2710" s="2" t="str">
        <f>HYPERLINK("https://rth.dk/resources/bsgatlas/details.php?id=BSGatlas-5'UTR-2709","BSGatlas-5'UTR-2709")</f>
        <v>BSGatlas-5'UTR-2709</v>
      </c>
      <c r="B2710" s="3">
        <v>4062143</v>
      </c>
      <c r="C2710" s="3">
        <v>4062223</v>
      </c>
      <c r="D2710" s="1" t="s">
        <v>13</v>
      </c>
      <c r="E2710" s="1">
        <v>81</v>
      </c>
      <c r="F2710" s="1" t="s">
        <v>13984</v>
      </c>
      <c r="G2710" s="1" t="s">
        <v>11113</v>
      </c>
    </row>
    <row r="2711" spans="1:7" ht="21" x14ac:dyDescent="0.25">
      <c r="A2711" s="2" t="str">
        <f>HYPERLINK("https://rth.dk/resources/bsgatlas/details.php?id=BSGatlas-5'UTR-2710","BSGatlas-5'UTR-2710")</f>
        <v>BSGatlas-5'UTR-2710</v>
      </c>
      <c r="B2711" s="3">
        <v>4062143</v>
      </c>
      <c r="C2711" s="3">
        <v>4062224</v>
      </c>
      <c r="D2711" s="1" t="s">
        <v>13</v>
      </c>
      <c r="E2711" s="1">
        <v>82</v>
      </c>
      <c r="F2711" s="1" t="s">
        <v>13984</v>
      </c>
      <c r="G2711" s="1" t="s">
        <v>11114</v>
      </c>
    </row>
    <row r="2712" spans="1:7" ht="21" x14ac:dyDescent="0.25">
      <c r="A2712" s="2" t="str">
        <f>HYPERLINK("https://rth.dk/resources/bsgatlas/details.php?id=BSGatlas-5'UTR-2711","BSGatlas-5'UTR-2711")</f>
        <v>BSGatlas-5'UTR-2711</v>
      </c>
      <c r="B2712" s="3">
        <v>4063529</v>
      </c>
      <c r="C2712" s="3">
        <v>4063595</v>
      </c>
      <c r="D2712" s="1" t="s">
        <v>13</v>
      </c>
      <c r="E2712" s="1">
        <v>67</v>
      </c>
      <c r="F2712" s="1" t="s">
        <v>13985</v>
      </c>
      <c r="G2712" s="1" t="s">
        <v>11116</v>
      </c>
    </row>
    <row r="2713" spans="1:7" ht="21" x14ac:dyDescent="0.25">
      <c r="A2713" s="2" t="str">
        <f>HYPERLINK("https://rth.dk/resources/bsgatlas/details.php?id=BSGatlas-5'UTR-2712","BSGatlas-5'UTR-2712")</f>
        <v>BSGatlas-5'UTR-2712</v>
      </c>
      <c r="B2713" s="3">
        <v>4064496</v>
      </c>
      <c r="C2713" s="3">
        <v>4064549</v>
      </c>
      <c r="D2713" s="1" t="s">
        <v>13</v>
      </c>
      <c r="E2713" s="1">
        <v>54</v>
      </c>
      <c r="F2713" s="1" t="s">
        <v>13986</v>
      </c>
      <c r="G2713" s="1" t="s">
        <v>11119</v>
      </c>
    </row>
    <row r="2714" spans="1:7" ht="21" x14ac:dyDescent="0.25">
      <c r="A2714" s="2" t="str">
        <f>HYPERLINK("https://rth.dk/resources/bsgatlas/details.php?id=BSGatlas-5'UTR-2713","BSGatlas-5'UTR-2713")</f>
        <v>BSGatlas-5'UTR-2713</v>
      </c>
      <c r="B2714" s="3">
        <v>4065508</v>
      </c>
      <c r="C2714" s="3">
        <v>4065568</v>
      </c>
      <c r="D2714" s="1" t="s">
        <v>13</v>
      </c>
      <c r="E2714" s="1">
        <v>61</v>
      </c>
      <c r="F2714" s="1" t="s">
        <v>13987</v>
      </c>
      <c r="G2714" s="1" t="s">
        <v>11122</v>
      </c>
    </row>
    <row r="2715" spans="1:7" ht="21" x14ac:dyDescent="0.25">
      <c r="A2715" s="2" t="str">
        <f>HYPERLINK("https://rth.dk/resources/bsgatlas/details.php?id=BSGatlas-5'UTR-2714","BSGatlas-5'UTR-2714")</f>
        <v>BSGatlas-5'UTR-2714</v>
      </c>
      <c r="B2715" s="3">
        <v>4065508</v>
      </c>
      <c r="C2715" s="3">
        <v>4065980</v>
      </c>
      <c r="D2715" s="1" t="s">
        <v>13</v>
      </c>
      <c r="E2715" s="1">
        <v>473</v>
      </c>
      <c r="F2715" s="1" t="s">
        <v>13987</v>
      </c>
      <c r="G2715" s="1" t="s">
        <v>11123</v>
      </c>
    </row>
    <row r="2716" spans="1:7" ht="21" x14ac:dyDescent="0.25">
      <c r="A2716" s="2" t="str">
        <f>HYPERLINK("https://rth.dk/resources/bsgatlas/details.php?id=BSGatlas-5'UTR-2715","BSGatlas-5'UTR-2715")</f>
        <v>BSGatlas-5'UTR-2715</v>
      </c>
      <c r="B2716" s="3">
        <v>4065508</v>
      </c>
      <c r="C2716" s="3">
        <v>4066068</v>
      </c>
      <c r="D2716" s="1" t="s">
        <v>13</v>
      </c>
      <c r="E2716" s="1">
        <v>561</v>
      </c>
      <c r="F2716" s="1" t="s">
        <v>13987</v>
      </c>
      <c r="G2716" s="1" t="s">
        <v>11124</v>
      </c>
    </row>
    <row r="2717" spans="1:7" ht="21" x14ac:dyDescent="0.25">
      <c r="A2717" s="2" t="str">
        <f>HYPERLINK("https://rth.dk/resources/bsgatlas/details.php?id=BSGatlas-5'UTR-2716","BSGatlas-5'UTR-2716")</f>
        <v>BSGatlas-5'UTR-2716</v>
      </c>
      <c r="B2717" s="3">
        <v>4065552</v>
      </c>
      <c r="C2717" s="3">
        <v>4065597</v>
      </c>
      <c r="D2717" s="1" t="s">
        <v>9</v>
      </c>
      <c r="E2717" s="1">
        <v>46</v>
      </c>
      <c r="F2717" s="1" t="s">
        <v>13988</v>
      </c>
      <c r="G2717" s="1" t="s">
        <v>11125</v>
      </c>
    </row>
    <row r="2718" spans="1:7" ht="21" x14ac:dyDescent="0.25">
      <c r="A2718" s="2" t="str">
        <f>HYPERLINK("https://rth.dk/resources/bsgatlas/details.php?id=BSGatlas-5'UTR-2717","BSGatlas-5'UTR-2717")</f>
        <v>BSGatlas-5'UTR-2717</v>
      </c>
      <c r="B2718" s="3">
        <v>4066177</v>
      </c>
      <c r="C2718" s="3">
        <v>4066210</v>
      </c>
      <c r="D2718" s="1" t="s">
        <v>9</v>
      </c>
      <c r="E2718" s="1">
        <v>34</v>
      </c>
      <c r="F2718" s="1" t="s">
        <v>13989</v>
      </c>
      <c r="G2718" s="1" t="s">
        <v>11128</v>
      </c>
    </row>
    <row r="2719" spans="1:7" ht="21" x14ac:dyDescent="0.25">
      <c r="A2719" s="2" t="str">
        <f>HYPERLINK("https://rth.dk/resources/bsgatlas/details.php?id=BSGatlas-5'UTR-2718","BSGatlas-5'UTR-2718")</f>
        <v>BSGatlas-5'UTR-2718</v>
      </c>
      <c r="B2719" s="3">
        <v>4067005</v>
      </c>
      <c r="C2719" s="3">
        <v>4067036</v>
      </c>
      <c r="D2719" s="1" t="s">
        <v>13</v>
      </c>
      <c r="E2719" s="1">
        <v>32</v>
      </c>
      <c r="F2719" s="1" t="s">
        <v>13990</v>
      </c>
      <c r="G2719" s="1" t="s">
        <v>11130</v>
      </c>
    </row>
    <row r="2720" spans="1:7" ht="21" x14ac:dyDescent="0.25">
      <c r="A2720" s="2" t="str">
        <f>HYPERLINK("https://rth.dk/resources/bsgatlas/details.php?id=BSGatlas-5'UTR-2719","BSGatlas-5'UTR-2719")</f>
        <v>BSGatlas-5'UTR-2719</v>
      </c>
      <c r="B2720" s="3">
        <v>4067005</v>
      </c>
      <c r="C2720" s="3">
        <v>4067124</v>
      </c>
      <c r="D2720" s="1" t="s">
        <v>13</v>
      </c>
      <c r="E2720" s="1">
        <v>120</v>
      </c>
      <c r="F2720" s="1" t="s">
        <v>13990</v>
      </c>
      <c r="G2720" s="1" t="s">
        <v>11132</v>
      </c>
    </row>
    <row r="2721" spans="1:7" ht="21" x14ac:dyDescent="0.25">
      <c r="A2721" s="2" t="str">
        <f>HYPERLINK("https://rth.dk/resources/bsgatlas/details.php?id=BSGatlas-5'UTR-2720","BSGatlas-5'UTR-2720")</f>
        <v>BSGatlas-5'UTR-2720</v>
      </c>
      <c r="B2721" s="3">
        <v>4067124</v>
      </c>
      <c r="C2721" s="3">
        <v>4067183</v>
      </c>
      <c r="D2721" s="1" t="s">
        <v>9</v>
      </c>
      <c r="E2721" s="1">
        <v>60</v>
      </c>
      <c r="F2721" s="1" t="s">
        <v>13991</v>
      </c>
      <c r="G2721" s="1" t="s">
        <v>11133</v>
      </c>
    </row>
    <row r="2722" spans="1:7" ht="21" x14ac:dyDescent="0.25">
      <c r="A2722" s="2" t="str">
        <f>HYPERLINK("https://rth.dk/resources/bsgatlas/details.php?id=BSGatlas-5'UTR-2721","BSGatlas-5'UTR-2721")</f>
        <v>BSGatlas-5'UTR-2721</v>
      </c>
      <c r="B2722" s="3">
        <v>4072973</v>
      </c>
      <c r="C2722" s="3">
        <v>4073018</v>
      </c>
      <c r="D2722" s="1" t="s">
        <v>13</v>
      </c>
      <c r="E2722" s="1">
        <v>46</v>
      </c>
      <c r="F2722" s="1" t="s">
        <v>13992</v>
      </c>
      <c r="G2722" s="1" t="s">
        <v>11142</v>
      </c>
    </row>
    <row r="2723" spans="1:7" ht="21" x14ac:dyDescent="0.25">
      <c r="A2723" s="2" t="str">
        <f>HYPERLINK("https://rth.dk/resources/bsgatlas/details.php?id=BSGatlas-5'UTR-2722","BSGatlas-5'UTR-2722")</f>
        <v>BSGatlas-5'UTR-2722</v>
      </c>
      <c r="B2723" s="3">
        <v>4084383</v>
      </c>
      <c r="C2723" s="3">
        <v>4084574</v>
      </c>
      <c r="D2723" s="1" t="s">
        <v>13</v>
      </c>
      <c r="E2723" s="1">
        <v>192</v>
      </c>
      <c r="F2723" s="1" t="s">
        <v>13993</v>
      </c>
      <c r="G2723" s="1" t="s">
        <v>11145</v>
      </c>
    </row>
    <row r="2724" spans="1:7" ht="21" x14ac:dyDescent="0.25">
      <c r="A2724" s="2" t="str">
        <f>HYPERLINK("https://rth.dk/resources/bsgatlas/details.php?id=BSGatlas-5'UTR-2723","BSGatlas-5'UTR-2723")</f>
        <v>BSGatlas-5'UTR-2723</v>
      </c>
      <c r="B2724" s="3">
        <v>4084383</v>
      </c>
      <c r="C2724" s="3">
        <v>4084759</v>
      </c>
      <c r="D2724" s="1" t="s">
        <v>13</v>
      </c>
      <c r="E2724" s="1">
        <v>377</v>
      </c>
      <c r="F2724" s="1" t="s">
        <v>13993</v>
      </c>
      <c r="G2724" s="1" t="s">
        <v>11147</v>
      </c>
    </row>
    <row r="2725" spans="1:7" ht="21" x14ac:dyDescent="0.25">
      <c r="A2725" s="2" t="str">
        <f>HYPERLINK("https://rth.dk/resources/bsgatlas/details.php?id=BSGatlas-5'UTR-2724","BSGatlas-5'UTR-2724")</f>
        <v>BSGatlas-5'UTR-2724</v>
      </c>
      <c r="B2725" s="3">
        <v>4084417</v>
      </c>
      <c r="C2725" s="3">
        <v>4084799</v>
      </c>
      <c r="D2725" s="1" t="s">
        <v>9</v>
      </c>
      <c r="E2725" s="1">
        <v>383</v>
      </c>
      <c r="F2725" s="1" t="s">
        <v>13994</v>
      </c>
      <c r="G2725" s="1" t="s">
        <v>11149</v>
      </c>
    </row>
    <row r="2726" spans="1:7" ht="21" x14ac:dyDescent="0.25">
      <c r="A2726" s="2" t="str">
        <f>HYPERLINK("https://rth.dk/resources/bsgatlas/details.php?id=BSGatlas-5'UTR-2725","BSGatlas-5'UTR-2725")</f>
        <v>BSGatlas-5'UTR-2725</v>
      </c>
      <c r="B2726" s="3">
        <v>4084732</v>
      </c>
      <c r="C2726" s="3">
        <v>4084799</v>
      </c>
      <c r="D2726" s="1" t="s">
        <v>9</v>
      </c>
      <c r="E2726" s="1">
        <v>68</v>
      </c>
      <c r="F2726" s="1" t="s">
        <v>13994</v>
      </c>
      <c r="G2726" s="1" t="s">
        <v>11151</v>
      </c>
    </row>
    <row r="2727" spans="1:7" ht="21" x14ac:dyDescent="0.25">
      <c r="A2727" s="2" t="str">
        <f>HYPERLINK("https://rth.dk/resources/bsgatlas/details.php?id=BSGatlas-5'UTR-2726","BSGatlas-5'UTR-2726")</f>
        <v>BSGatlas-5'UTR-2726</v>
      </c>
      <c r="B2727" s="3">
        <v>4084770</v>
      </c>
      <c r="C2727" s="3">
        <v>4084799</v>
      </c>
      <c r="D2727" s="1" t="s">
        <v>9</v>
      </c>
      <c r="E2727" s="1">
        <v>30</v>
      </c>
      <c r="F2727" s="1" t="s">
        <v>13994</v>
      </c>
      <c r="G2727" s="1" t="s">
        <v>11152</v>
      </c>
    </row>
    <row r="2728" spans="1:7" ht="21" x14ac:dyDescent="0.25">
      <c r="A2728" s="2" t="str">
        <f>HYPERLINK("https://rth.dk/resources/bsgatlas/details.php?id=BSGatlas-5'UTR-2727","BSGatlas-5'UTR-2727")</f>
        <v>BSGatlas-5'UTR-2727</v>
      </c>
      <c r="B2728" s="3">
        <v>4085568</v>
      </c>
      <c r="C2728" s="3">
        <v>4085608</v>
      </c>
      <c r="D2728" s="1" t="s">
        <v>9</v>
      </c>
      <c r="E2728" s="1">
        <v>41</v>
      </c>
      <c r="F2728" s="1" t="s">
        <v>13995</v>
      </c>
      <c r="G2728" s="1" t="s">
        <v>11153</v>
      </c>
    </row>
    <row r="2729" spans="1:7" ht="21" x14ac:dyDescent="0.25">
      <c r="A2729" s="2" t="str">
        <f>HYPERLINK("https://rth.dk/resources/bsgatlas/details.php?id=BSGatlas-5'UTR-2728","BSGatlas-5'UTR-2728")</f>
        <v>BSGatlas-5'UTR-2728</v>
      </c>
      <c r="B2729" s="3">
        <v>4086646</v>
      </c>
      <c r="C2729" s="3">
        <v>4086802</v>
      </c>
      <c r="D2729" s="1" t="s">
        <v>9</v>
      </c>
      <c r="E2729" s="1">
        <v>157</v>
      </c>
      <c r="F2729" s="1" t="s">
        <v>13996</v>
      </c>
      <c r="G2729" s="1" t="s">
        <v>11155</v>
      </c>
    </row>
    <row r="2730" spans="1:7" ht="21" x14ac:dyDescent="0.25">
      <c r="A2730" s="2" t="str">
        <f>HYPERLINK("https://rth.dk/resources/bsgatlas/details.php?id=BSGatlas-5'UTR-2729","BSGatlas-5'UTR-2729")</f>
        <v>BSGatlas-5'UTR-2729</v>
      </c>
      <c r="B2730" s="3">
        <v>4087940</v>
      </c>
      <c r="C2730" s="3">
        <v>4088002</v>
      </c>
      <c r="D2730" s="1" t="s">
        <v>9</v>
      </c>
      <c r="E2730" s="1">
        <v>63</v>
      </c>
      <c r="F2730" s="1" t="s">
        <v>13997</v>
      </c>
      <c r="G2730" s="1" t="s">
        <v>11157</v>
      </c>
    </row>
    <row r="2731" spans="1:7" ht="21" x14ac:dyDescent="0.25">
      <c r="A2731" s="2" t="str">
        <f>HYPERLINK("https://rth.dk/resources/bsgatlas/details.php?id=BSGatlas-5'UTR-2730","BSGatlas-5'UTR-2730")</f>
        <v>BSGatlas-5'UTR-2730</v>
      </c>
      <c r="B2731" s="3">
        <v>4091309</v>
      </c>
      <c r="C2731" s="3">
        <v>4091346</v>
      </c>
      <c r="D2731" s="1" t="s">
        <v>13</v>
      </c>
      <c r="E2731" s="1">
        <v>38</v>
      </c>
      <c r="F2731" s="1" t="s">
        <v>13998</v>
      </c>
      <c r="G2731" s="1" t="s">
        <v>11160</v>
      </c>
    </row>
    <row r="2732" spans="1:7" ht="21" x14ac:dyDescent="0.25">
      <c r="A2732" s="2" t="str">
        <f>HYPERLINK("https://rth.dk/resources/bsgatlas/details.php?id=BSGatlas-5'UTR-2731","BSGatlas-5'UTR-2731")</f>
        <v>BSGatlas-5'UTR-2731</v>
      </c>
      <c r="B2732" s="3">
        <v>4091309</v>
      </c>
      <c r="C2732" s="3">
        <v>4091407</v>
      </c>
      <c r="D2732" s="1" t="s">
        <v>13</v>
      </c>
      <c r="E2732" s="1">
        <v>99</v>
      </c>
      <c r="F2732" s="1" t="s">
        <v>13998</v>
      </c>
      <c r="G2732" s="1" t="s">
        <v>11162</v>
      </c>
    </row>
    <row r="2733" spans="1:7" ht="21" x14ac:dyDescent="0.25">
      <c r="A2733" s="2" t="str">
        <f>HYPERLINK("https://rth.dk/resources/bsgatlas/details.php?id=BSGatlas-5'UTR-2732","BSGatlas-5'UTR-2732")</f>
        <v>BSGatlas-5'UTR-2732</v>
      </c>
      <c r="B2733" s="3">
        <v>4091728</v>
      </c>
      <c r="C2733" s="3">
        <v>4091759</v>
      </c>
      <c r="D2733" s="1" t="s">
        <v>13</v>
      </c>
      <c r="E2733" s="1">
        <v>32</v>
      </c>
      <c r="F2733" s="1" t="s">
        <v>13999</v>
      </c>
      <c r="G2733" s="1" t="s">
        <v>11163</v>
      </c>
    </row>
    <row r="2734" spans="1:7" ht="21" x14ac:dyDescent="0.25">
      <c r="A2734" s="2" t="str">
        <f>HYPERLINK("https://rth.dk/resources/bsgatlas/details.php?id=BSGatlas-5'UTR-2733","BSGatlas-5'UTR-2733")</f>
        <v>BSGatlas-5'UTR-2733</v>
      </c>
      <c r="B2734" s="3">
        <v>4091813</v>
      </c>
      <c r="C2734" s="3">
        <v>4091845</v>
      </c>
      <c r="D2734" s="1" t="s">
        <v>9</v>
      </c>
      <c r="E2734" s="1">
        <v>33</v>
      </c>
      <c r="F2734" s="1" t="s">
        <v>14000</v>
      </c>
      <c r="G2734" s="1" t="s">
        <v>11165</v>
      </c>
    </row>
    <row r="2735" spans="1:7" ht="21" x14ac:dyDescent="0.25">
      <c r="A2735" s="2" t="str">
        <f>HYPERLINK("https://rth.dk/resources/bsgatlas/details.php?id=BSGatlas-5'UTR-2734","BSGatlas-5'UTR-2734")</f>
        <v>BSGatlas-5'UTR-2734</v>
      </c>
      <c r="B2735" s="3">
        <v>4093837</v>
      </c>
      <c r="C2735" s="3">
        <v>4093936</v>
      </c>
      <c r="D2735" s="1" t="s">
        <v>13</v>
      </c>
      <c r="E2735" s="1">
        <v>100</v>
      </c>
      <c r="F2735" s="1" t="s">
        <v>14001</v>
      </c>
      <c r="G2735" s="1" t="s">
        <v>11167</v>
      </c>
    </row>
    <row r="2736" spans="1:7" ht="21" x14ac:dyDescent="0.25">
      <c r="A2736" s="2" t="str">
        <f>HYPERLINK("https://rth.dk/resources/bsgatlas/details.php?id=BSGatlas-5'UTR-2735","BSGatlas-5'UTR-2735")</f>
        <v>BSGatlas-5'UTR-2735</v>
      </c>
      <c r="B2736" s="3">
        <v>4096907</v>
      </c>
      <c r="C2736" s="3">
        <v>4096948</v>
      </c>
      <c r="D2736" s="1" t="s">
        <v>13</v>
      </c>
      <c r="E2736" s="1">
        <v>42</v>
      </c>
      <c r="F2736" s="1" t="s">
        <v>14002</v>
      </c>
      <c r="G2736" s="1" t="s">
        <v>11172</v>
      </c>
    </row>
    <row r="2737" spans="1:7" ht="21" x14ac:dyDescent="0.25">
      <c r="A2737" s="2" t="str">
        <f>HYPERLINK("https://rth.dk/resources/bsgatlas/details.php?id=BSGatlas-5'UTR-2736","BSGatlas-5'UTR-2736")</f>
        <v>BSGatlas-5'UTR-2736</v>
      </c>
      <c r="B2737" s="3">
        <v>4096907</v>
      </c>
      <c r="C2737" s="3">
        <v>4097017</v>
      </c>
      <c r="D2737" s="1" t="s">
        <v>13</v>
      </c>
      <c r="E2737" s="1">
        <v>111</v>
      </c>
      <c r="F2737" s="1" t="s">
        <v>14002</v>
      </c>
      <c r="G2737" s="1" t="s">
        <v>11174</v>
      </c>
    </row>
    <row r="2738" spans="1:7" ht="21" x14ac:dyDescent="0.25">
      <c r="A2738" s="2" t="str">
        <f>HYPERLINK("https://rth.dk/resources/bsgatlas/details.php?id=BSGatlas-5'UTR-2737","BSGatlas-5'UTR-2737")</f>
        <v>BSGatlas-5'UTR-2737</v>
      </c>
      <c r="B2738" s="3">
        <v>4103661</v>
      </c>
      <c r="C2738" s="3">
        <v>4103705</v>
      </c>
      <c r="D2738" s="1" t="s">
        <v>13</v>
      </c>
      <c r="E2738" s="1">
        <v>45</v>
      </c>
      <c r="F2738" s="1" t="s">
        <v>14003</v>
      </c>
      <c r="G2738" s="1" t="s">
        <v>11182</v>
      </c>
    </row>
    <row r="2739" spans="1:7" ht="21" x14ac:dyDescent="0.25">
      <c r="A2739" s="2" t="str">
        <f>HYPERLINK("https://rth.dk/resources/bsgatlas/details.php?id=BSGatlas-5'UTR-2738","BSGatlas-5'UTR-2738")</f>
        <v>BSGatlas-5'UTR-2738</v>
      </c>
      <c r="B2739" s="3">
        <v>4104187</v>
      </c>
      <c r="C2739" s="3">
        <v>4104229</v>
      </c>
      <c r="D2739" s="1" t="s">
        <v>13</v>
      </c>
      <c r="E2739" s="1">
        <v>43</v>
      </c>
      <c r="F2739" s="1" t="s">
        <v>14004</v>
      </c>
      <c r="G2739" s="1" t="s">
        <v>11185</v>
      </c>
    </row>
    <row r="2740" spans="1:7" ht="21" x14ac:dyDescent="0.25">
      <c r="A2740" s="2" t="str">
        <f>HYPERLINK("https://rth.dk/resources/bsgatlas/details.php?id=BSGatlas-5'UTR-2739","BSGatlas-5'UTR-2739")</f>
        <v>BSGatlas-5'UTR-2739</v>
      </c>
      <c r="B2740" s="3">
        <v>4104396</v>
      </c>
      <c r="C2740" s="3">
        <v>4104444</v>
      </c>
      <c r="D2740" s="1" t="s">
        <v>9</v>
      </c>
      <c r="E2740" s="1">
        <v>49</v>
      </c>
      <c r="F2740" s="1" t="s">
        <v>14005</v>
      </c>
      <c r="G2740" s="1" t="s">
        <v>11186</v>
      </c>
    </row>
    <row r="2741" spans="1:7" ht="21" x14ac:dyDescent="0.25">
      <c r="A2741" s="2" t="str">
        <f>HYPERLINK("https://rth.dk/resources/bsgatlas/details.php?id=BSGatlas-5'UTR-2740","BSGatlas-5'UTR-2740")</f>
        <v>BSGatlas-5'UTR-2740</v>
      </c>
      <c r="B2741" s="3">
        <v>4107258</v>
      </c>
      <c r="C2741" s="3">
        <v>4107332</v>
      </c>
      <c r="D2741" s="1" t="s">
        <v>13</v>
      </c>
      <c r="E2741" s="1">
        <v>75</v>
      </c>
      <c r="F2741" s="1" t="s">
        <v>14006</v>
      </c>
      <c r="G2741" s="1" t="s">
        <v>11191</v>
      </c>
    </row>
    <row r="2742" spans="1:7" ht="21" x14ac:dyDescent="0.25">
      <c r="A2742" s="2" t="str">
        <f>HYPERLINK("https://rth.dk/resources/bsgatlas/details.php?id=BSGatlas-5'UTR-2741","BSGatlas-5'UTR-2741")</f>
        <v>BSGatlas-5'UTR-2741</v>
      </c>
      <c r="B2742" s="3">
        <v>4107927</v>
      </c>
      <c r="C2742" s="3">
        <v>4107970</v>
      </c>
      <c r="D2742" s="1" t="s">
        <v>13</v>
      </c>
      <c r="E2742" s="1">
        <v>44</v>
      </c>
      <c r="F2742" s="1" t="s">
        <v>14007</v>
      </c>
      <c r="G2742" s="1" t="s">
        <v>11193</v>
      </c>
    </row>
    <row r="2743" spans="1:7" ht="21" x14ac:dyDescent="0.25">
      <c r="A2743" s="2" t="str">
        <f>HYPERLINK("https://rth.dk/resources/bsgatlas/details.php?id=BSGatlas-5'UTR-2742","BSGatlas-5'UTR-2742")</f>
        <v>BSGatlas-5'UTR-2742</v>
      </c>
      <c r="B2743" s="3">
        <v>4108026</v>
      </c>
      <c r="C2743" s="3">
        <v>4108058</v>
      </c>
      <c r="D2743" s="1" t="s">
        <v>9</v>
      </c>
      <c r="E2743" s="1">
        <v>33</v>
      </c>
      <c r="F2743" s="1" t="s">
        <v>14008</v>
      </c>
      <c r="G2743" s="1" t="s">
        <v>11195</v>
      </c>
    </row>
    <row r="2744" spans="1:7" ht="21" x14ac:dyDescent="0.25">
      <c r="A2744" s="2" t="str">
        <f>HYPERLINK("https://rth.dk/resources/bsgatlas/details.php?id=BSGatlas-5'UTR-2743","BSGatlas-5'UTR-2743")</f>
        <v>BSGatlas-5'UTR-2743</v>
      </c>
      <c r="B2744" s="3">
        <v>4109616</v>
      </c>
      <c r="C2744" s="3">
        <v>4109748</v>
      </c>
      <c r="D2744" s="1" t="s">
        <v>13</v>
      </c>
      <c r="E2744" s="1">
        <v>133</v>
      </c>
      <c r="F2744" s="1" t="s">
        <v>14009</v>
      </c>
      <c r="G2744" s="1" t="s">
        <v>11197</v>
      </c>
    </row>
    <row r="2745" spans="1:7" ht="21" x14ac:dyDescent="0.25">
      <c r="A2745" s="2" t="str">
        <f>HYPERLINK("https://rth.dk/resources/bsgatlas/details.php?id=BSGatlas-5'UTR-2744","BSGatlas-5'UTR-2744")</f>
        <v>BSGatlas-5'UTR-2744</v>
      </c>
      <c r="B2745" s="3">
        <v>4109676</v>
      </c>
      <c r="C2745" s="3">
        <v>4109843</v>
      </c>
      <c r="D2745" s="1" t="s">
        <v>9</v>
      </c>
      <c r="E2745" s="1">
        <v>168</v>
      </c>
      <c r="F2745" s="1" t="s">
        <v>14010</v>
      </c>
      <c r="G2745" s="1" t="s">
        <v>11200</v>
      </c>
    </row>
    <row r="2746" spans="1:7" ht="21" x14ac:dyDescent="0.25">
      <c r="A2746" s="2" t="str">
        <f>HYPERLINK("https://rth.dk/resources/bsgatlas/details.php?id=BSGatlas-5'UTR-2745","BSGatlas-5'UTR-2745")</f>
        <v>BSGatlas-5'UTR-2745</v>
      </c>
      <c r="B2746" s="3">
        <v>4111963</v>
      </c>
      <c r="C2746" s="3">
        <v>4113417</v>
      </c>
      <c r="D2746" s="1" t="s">
        <v>9</v>
      </c>
      <c r="E2746" s="1">
        <v>1455</v>
      </c>
      <c r="F2746" s="1" t="s">
        <v>14011</v>
      </c>
      <c r="G2746" s="1" t="s">
        <v>11208</v>
      </c>
    </row>
    <row r="2747" spans="1:7" ht="21" x14ac:dyDescent="0.25">
      <c r="A2747" s="2" t="str">
        <f>HYPERLINK("https://rth.dk/resources/bsgatlas/details.php?id=BSGatlas-5'UTR-2746","BSGatlas-5'UTR-2746")</f>
        <v>BSGatlas-5'UTR-2746</v>
      </c>
      <c r="B2747" s="3">
        <v>4111980</v>
      </c>
      <c r="C2747" s="3">
        <v>4112035</v>
      </c>
      <c r="D2747" s="1" t="s">
        <v>13</v>
      </c>
      <c r="E2747" s="1">
        <v>56</v>
      </c>
      <c r="F2747" s="1" t="s">
        <v>14012</v>
      </c>
      <c r="G2747" s="1" t="s">
        <v>11202</v>
      </c>
    </row>
    <row r="2748" spans="1:7" ht="21" x14ac:dyDescent="0.25">
      <c r="A2748" s="2" t="str">
        <f>HYPERLINK("https://rth.dk/resources/bsgatlas/details.php?id=BSGatlas-5'UTR-2747","BSGatlas-5'UTR-2747")</f>
        <v>BSGatlas-5'UTR-2747</v>
      </c>
      <c r="B2748" s="3">
        <v>4113221</v>
      </c>
      <c r="C2748" s="3">
        <v>4113261</v>
      </c>
      <c r="D2748" s="1" t="s">
        <v>13</v>
      </c>
      <c r="E2748" s="1">
        <v>41</v>
      </c>
      <c r="F2748" s="1" t="s">
        <v>14013</v>
      </c>
      <c r="G2748" s="1" t="s">
        <v>11205</v>
      </c>
    </row>
    <row r="2749" spans="1:7" ht="21" x14ac:dyDescent="0.25">
      <c r="A2749" s="2" t="str">
        <f>HYPERLINK("https://rth.dk/resources/bsgatlas/details.php?id=BSGatlas-5'UTR-2748","BSGatlas-5'UTR-2748")</f>
        <v>BSGatlas-5'UTR-2748</v>
      </c>
      <c r="B2749" s="3">
        <v>4113383</v>
      </c>
      <c r="C2749" s="3">
        <v>4113417</v>
      </c>
      <c r="D2749" s="1" t="s">
        <v>9</v>
      </c>
      <c r="E2749" s="1">
        <v>35</v>
      </c>
      <c r="F2749" s="1" t="s">
        <v>14011</v>
      </c>
      <c r="G2749" s="1" t="s">
        <v>11210</v>
      </c>
    </row>
    <row r="2750" spans="1:7" ht="21" x14ac:dyDescent="0.25">
      <c r="A2750" s="2" t="str">
        <f>HYPERLINK("https://rth.dk/resources/bsgatlas/details.php?id=BSGatlas-5'UTR-2749","BSGatlas-5'UTR-2749")</f>
        <v>BSGatlas-5'UTR-2749</v>
      </c>
      <c r="B2750" s="3">
        <v>4116539</v>
      </c>
      <c r="C2750" s="3">
        <v>4117080</v>
      </c>
      <c r="D2750" s="1" t="s">
        <v>9</v>
      </c>
      <c r="E2750" s="1">
        <v>542</v>
      </c>
      <c r="F2750" s="1" t="s">
        <v>14014</v>
      </c>
      <c r="G2750" s="1" t="s">
        <v>11211</v>
      </c>
    </row>
    <row r="2751" spans="1:7" ht="21" x14ac:dyDescent="0.25">
      <c r="A2751" s="2" t="str">
        <f>HYPERLINK("https://rth.dk/resources/bsgatlas/details.php?id=BSGatlas-5'UTR-2750","BSGatlas-5'UTR-2750")</f>
        <v>BSGatlas-5'UTR-2750</v>
      </c>
      <c r="B2751" s="3">
        <v>4117054</v>
      </c>
      <c r="C2751" s="3">
        <v>4117080</v>
      </c>
      <c r="D2751" s="1" t="s">
        <v>9</v>
      </c>
      <c r="E2751" s="1">
        <v>27</v>
      </c>
      <c r="F2751" s="1" t="s">
        <v>14014</v>
      </c>
      <c r="G2751" s="1" t="s">
        <v>11212</v>
      </c>
    </row>
    <row r="2752" spans="1:7" ht="21" x14ac:dyDescent="0.25">
      <c r="A2752" s="2" t="str">
        <f>HYPERLINK("https://rth.dk/resources/bsgatlas/details.php?id=BSGatlas-5'UTR-2751","BSGatlas-5'UTR-2751")</f>
        <v>BSGatlas-5'UTR-2751</v>
      </c>
      <c r="B2752" s="3">
        <v>4117061</v>
      </c>
      <c r="C2752" s="3">
        <v>4117080</v>
      </c>
      <c r="D2752" s="1" t="s">
        <v>9</v>
      </c>
      <c r="E2752" s="1">
        <v>20</v>
      </c>
      <c r="F2752" s="1" t="s">
        <v>14014</v>
      </c>
      <c r="G2752" s="1" t="s">
        <v>11213</v>
      </c>
    </row>
    <row r="2753" spans="1:7" ht="21" x14ac:dyDescent="0.25">
      <c r="A2753" s="2" t="str">
        <f>HYPERLINK("https://rth.dk/resources/bsgatlas/details.php?id=BSGatlas-5'UTR-2752","BSGatlas-5'UTR-2752")</f>
        <v>BSGatlas-5'UTR-2752</v>
      </c>
      <c r="B2753" s="3">
        <v>4118585</v>
      </c>
      <c r="C2753" s="3">
        <v>4118950</v>
      </c>
      <c r="D2753" s="1" t="s">
        <v>9</v>
      </c>
      <c r="E2753" s="1">
        <v>366</v>
      </c>
      <c r="F2753" s="1" t="s">
        <v>14015</v>
      </c>
      <c r="G2753" s="1" t="s">
        <v>11215</v>
      </c>
    </row>
    <row r="2754" spans="1:7" ht="21" x14ac:dyDescent="0.25">
      <c r="A2754" s="2" t="str">
        <f>HYPERLINK("https://rth.dk/resources/bsgatlas/details.php?id=BSGatlas-5'UTR-2753","BSGatlas-5'UTR-2753")</f>
        <v>BSGatlas-5'UTR-2753</v>
      </c>
      <c r="B2754" s="3">
        <v>4118886</v>
      </c>
      <c r="C2754" s="3">
        <v>4118950</v>
      </c>
      <c r="D2754" s="1" t="s">
        <v>9</v>
      </c>
      <c r="E2754" s="1">
        <v>65</v>
      </c>
      <c r="F2754" s="1" t="s">
        <v>14015</v>
      </c>
      <c r="G2754" s="1" t="s">
        <v>11217</v>
      </c>
    </row>
    <row r="2755" spans="1:7" ht="21" x14ac:dyDescent="0.25">
      <c r="A2755" s="2" t="str">
        <f>HYPERLINK("https://rth.dk/resources/bsgatlas/details.php?id=BSGatlas-5'UTR-2754","BSGatlas-5'UTR-2754")</f>
        <v>BSGatlas-5'UTR-2754</v>
      </c>
      <c r="B2755" s="3">
        <v>4123158</v>
      </c>
      <c r="C2755" s="3">
        <v>4123193</v>
      </c>
      <c r="D2755" s="1" t="s">
        <v>9</v>
      </c>
      <c r="E2755" s="1">
        <v>36</v>
      </c>
      <c r="F2755" s="1" t="s">
        <v>14016</v>
      </c>
      <c r="G2755" s="1" t="s">
        <v>11223</v>
      </c>
    </row>
    <row r="2756" spans="1:7" ht="21" x14ac:dyDescent="0.25">
      <c r="A2756" s="2" t="str">
        <f>HYPERLINK("https://rth.dk/resources/bsgatlas/details.php?id=BSGatlas-5'UTR-2755","BSGatlas-5'UTR-2755")</f>
        <v>BSGatlas-5'UTR-2755</v>
      </c>
      <c r="B2756" s="3">
        <v>4127484</v>
      </c>
      <c r="C2756" s="3">
        <v>4128119</v>
      </c>
      <c r="D2756" s="1" t="s">
        <v>9</v>
      </c>
      <c r="E2756" s="1">
        <v>636</v>
      </c>
      <c r="F2756" s="1" t="s">
        <v>14017</v>
      </c>
      <c r="G2756" s="1" t="s">
        <v>11233</v>
      </c>
    </row>
    <row r="2757" spans="1:7" ht="21" x14ac:dyDescent="0.25">
      <c r="A2757" s="2" t="str">
        <f>HYPERLINK("https://rth.dk/resources/bsgatlas/details.php?id=BSGatlas-5'UTR-2756","BSGatlas-5'UTR-2756")</f>
        <v>BSGatlas-5'UTR-2756</v>
      </c>
      <c r="B2757" s="3">
        <v>4127561</v>
      </c>
      <c r="C2757" s="3">
        <v>4128119</v>
      </c>
      <c r="D2757" s="1" t="s">
        <v>9</v>
      </c>
      <c r="E2757" s="1">
        <v>559</v>
      </c>
      <c r="F2757" s="1" t="s">
        <v>14017</v>
      </c>
      <c r="G2757" s="1" t="s">
        <v>11236</v>
      </c>
    </row>
    <row r="2758" spans="1:7" ht="21" x14ac:dyDescent="0.25">
      <c r="A2758" s="2" t="str">
        <f>HYPERLINK("https://rth.dk/resources/bsgatlas/details.php?id=BSGatlas-5'UTR-2757","BSGatlas-5'UTR-2757")</f>
        <v>BSGatlas-5'UTR-2757</v>
      </c>
      <c r="B2758" s="3">
        <v>4127647</v>
      </c>
      <c r="C2758" s="3">
        <v>4127672</v>
      </c>
      <c r="D2758" s="1" t="s">
        <v>13</v>
      </c>
      <c r="E2758" s="1">
        <v>26</v>
      </c>
      <c r="F2758" s="1" t="s">
        <v>14018</v>
      </c>
      <c r="G2758" s="1" t="s">
        <v>11231</v>
      </c>
    </row>
    <row r="2759" spans="1:7" ht="21" x14ac:dyDescent="0.25">
      <c r="A2759" s="2" t="str">
        <f>HYPERLINK("https://rth.dk/resources/bsgatlas/details.php?id=BSGatlas-5'UTR-2758","BSGatlas-5'UTR-2758")</f>
        <v>BSGatlas-5'UTR-2758</v>
      </c>
      <c r="B2759" s="3">
        <v>4128024</v>
      </c>
      <c r="C2759" s="3">
        <v>4128119</v>
      </c>
      <c r="D2759" s="1" t="s">
        <v>9</v>
      </c>
      <c r="E2759" s="1">
        <v>96</v>
      </c>
      <c r="F2759" s="1" t="s">
        <v>14017</v>
      </c>
      <c r="G2759" s="1" t="s">
        <v>11237</v>
      </c>
    </row>
    <row r="2760" spans="1:7" ht="21" x14ac:dyDescent="0.25">
      <c r="A2760" s="2" t="str">
        <f>HYPERLINK("https://rth.dk/resources/bsgatlas/details.php?id=BSGatlas-5'UTR-2759","BSGatlas-5'UTR-2759")</f>
        <v>BSGatlas-5'UTR-2759</v>
      </c>
      <c r="B2760" s="3">
        <v>4135166</v>
      </c>
      <c r="C2760" s="3">
        <v>4135223</v>
      </c>
      <c r="D2760" s="1" t="s">
        <v>13</v>
      </c>
      <c r="E2760" s="1">
        <v>58</v>
      </c>
      <c r="F2760" s="1" t="s">
        <v>14019</v>
      </c>
      <c r="G2760" s="1" t="s">
        <v>11239</v>
      </c>
    </row>
    <row r="2761" spans="1:7" ht="21" x14ac:dyDescent="0.25">
      <c r="A2761" s="2" t="str">
        <f>HYPERLINK("https://rth.dk/resources/bsgatlas/details.php?id=BSGatlas-5'UTR-2760","BSGatlas-5'UTR-2760")</f>
        <v>BSGatlas-5'UTR-2760</v>
      </c>
      <c r="B2761" s="3">
        <v>4135326</v>
      </c>
      <c r="C2761" s="3">
        <v>4135351</v>
      </c>
      <c r="D2761" s="1" t="s">
        <v>9</v>
      </c>
      <c r="E2761" s="1">
        <v>26</v>
      </c>
      <c r="F2761" s="1" t="s">
        <v>14020</v>
      </c>
      <c r="G2761" s="1" t="s">
        <v>11243</v>
      </c>
    </row>
    <row r="2762" spans="1:7" ht="21" x14ac:dyDescent="0.25">
      <c r="A2762" s="2" t="str">
        <f>HYPERLINK("https://rth.dk/resources/bsgatlas/details.php?id=BSGatlas-5'UTR-2761","BSGatlas-5'UTR-2761")</f>
        <v>BSGatlas-5'UTR-2761</v>
      </c>
      <c r="B2762" s="3">
        <v>4137024</v>
      </c>
      <c r="C2762" s="3">
        <v>4137052</v>
      </c>
      <c r="D2762" s="1" t="s">
        <v>13</v>
      </c>
      <c r="E2762" s="1">
        <v>29</v>
      </c>
      <c r="F2762" s="1" t="s">
        <v>14021</v>
      </c>
      <c r="G2762" s="1" t="s">
        <v>11245</v>
      </c>
    </row>
    <row r="2763" spans="1:7" ht="21" x14ac:dyDescent="0.25">
      <c r="A2763" s="2" t="str">
        <f>HYPERLINK("https://rth.dk/resources/bsgatlas/details.php?id=BSGatlas-5'UTR-2762","BSGatlas-5'UTR-2762")</f>
        <v>BSGatlas-5'UTR-2762</v>
      </c>
      <c r="B2763" s="3">
        <v>4137257</v>
      </c>
      <c r="C2763" s="3">
        <v>4137294</v>
      </c>
      <c r="D2763" s="1" t="s">
        <v>13</v>
      </c>
      <c r="E2763" s="1">
        <v>38</v>
      </c>
      <c r="F2763" s="1" t="s">
        <v>14022</v>
      </c>
      <c r="G2763" s="1" t="s">
        <v>11247</v>
      </c>
    </row>
    <row r="2764" spans="1:7" ht="21" x14ac:dyDescent="0.25">
      <c r="A2764" s="2" t="str">
        <f>HYPERLINK("https://rth.dk/resources/bsgatlas/details.php?id=BSGatlas-5'UTR-2763","BSGatlas-5'UTR-2763")</f>
        <v>BSGatlas-5'UTR-2763</v>
      </c>
      <c r="B2764" s="3">
        <v>4137610</v>
      </c>
      <c r="C2764" s="3">
        <v>4137668</v>
      </c>
      <c r="D2764" s="1" t="s">
        <v>13</v>
      </c>
      <c r="E2764" s="1">
        <v>59</v>
      </c>
      <c r="F2764" s="1" t="s">
        <v>14023</v>
      </c>
      <c r="G2764" s="1" t="s">
        <v>11248</v>
      </c>
    </row>
    <row r="2765" spans="1:7" ht="21" x14ac:dyDescent="0.25">
      <c r="A2765" s="2" t="str">
        <f>HYPERLINK("https://rth.dk/resources/bsgatlas/details.php?id=BSGatlas-5'UTR-2764","BSGatlas-5'UTR-2764")</f>
        <v>BSGatlas-5'UTR-2764</v>
      </c>
      <c r="B2765" s="3">
        <v>4139537</v>
      </c>
      <c r="C2765" s="3">
        <v>4139585</v>
      </c>
      <c r="D2765" s="1" t="s">
        <v>13</v>
      </c>
      <c r="E2765" s="1">
        <v>49</v>
      </c>
      <c r="F2765" s="1" t="s">
        <v>14024</v>
      </c>
      <c r="G2765" s="1" t="s">
        <v>11251</v>
      </c>
    </row>
    <row r="2766" spans="1:7" ht="21" x14ac:dyDescent="0.25">
      <c r="A2766" s="2" t="str">
        <f>HYPERLINK("https://rth.dk/resources/bsgatlas/details.php?id=BSGatlas-5'UTR-2765","BSGatlas-5'UTR-2765")</f>
        <v>BSGatlas-5'UTR-2765</v>
      </c>
      <c r="B2766" s="3">
        <v>4140149</v>
      </c>
      <c r="C2766" s="3">
        <v>4140220</v>
      </c>
      <c r="D2766" s="1" t="s">
        <v>13</v>
      </c>
      <c r="E2766" s="1">
        <v>72</v>
      </c>
      <c r="F2766" s="1" t="s">
        <v>14025</v>
      </c>
      <c r="G2766" s="1" t="s">
        <v>11252</v>
      </c>
    </row>
    <row r="2767" spans="1:7" ht="21" x14ac:dyDescent="0.25">
      <c r="A2767" s="2" t="str">
        <f>HYPERLINK("https://rth.dk/resources/bsgatlas/details.php?id=BSGatlas-5'UTR-2766","BSGatlas-5'UTR-2766")</f>
        <v>BSGatlas-5'UTR-2766</v>
      </c>
      <c r="B2767" s="3">
        <v>4140149</v>
      </c>
      <c r="C2767" s="3">
        <v>4140497</v>
      </c>
      <c r="D2767" s="1" t="s">
        <v>13</v>
      </c>
      <c r="E2767" s="1">
        <v>349</v>
      </c>
      <c r="F2767" s="1" t="s">
        <v>14025</v>
      </c>
      <c r="G2767" s="1" t="s">
        <v>11254</v>
      </c>
    </row>
    <row r="2768" spans="1:7" ht="21" x14ac:dyDescent="0.25">
      <c r="A2768" s="2" t="str">
        <f>HYPERLINK("https://rth.dk/resources/bsgatlas/details.php?id=BSGatlas-5'UTR-2767","BSGatlas-5'UTR-2767")</f>
        <v>BSGatlas-5'UTR-2767</v>
      </c>
      <c r="B2768" s="3">
        <v>4140215</v>
      </c>
      <c r="C2768" s="3">
        <v>4140260</v>
      </c>
      <c r="D2768" s="1" t="s">
        <v>9</v>
      </c>
      <c r="E2768" s="1">
        <v>46</v>
      </c>
      <c r="F2768" s="1" t="s">
        <v>14026</v>
      </c>
      <c r="G2768" s="1" t="s">
        <v>11256</v>
      </c>
    </row>
    <row r="2769" spans="1:7" ht="21" x14ac:dyDescent="0.25">
      <c r="A2769" s="2" t="str">
        <f>HYPERLINK("https://rth.dk/resources/bsgatlas/details.php?id=BSGatlas-5'UTR-2768","BSGatlas-5'UTR-2768")</f>
        <v>BSGatlas-5'UTR-2768</v>
      </c>
      <c r="B2769" s="3">
        <v>4141118</v>
      </c>
      <c r="C2769" s="3">
        <v>4141358</v>
      </c>
      <c r="D2769" s="1" t="s">
        <v>9</v>
      </c>
      <c r="E2769" s="1">
        <v>241</v>
      </c>
      <c r="F2769" s="1" t="s">
        <v>14027</v>
      </c>
      <c r="G2769" s="1" t="s">
        <v>11259</v>
      </c>
    </row>
    <row r="2770" spans="1:7" ht="21" x14ac:dyDescent="0.25">
      <c r="A2770" s="2" t="str">
        <f>HYPERLINK("https://rth.dk/resources/bsgatlas/details.php?id=BSGatlas-5'UTR-2769","BSGatlas-5'UTR-2769")</f>
        <v>BSGatlas-5'UTR-2769</v>
      </c>
      <c r="B2770" s="3">
        <v>4145506</v>
      </c>
      <c r="C2770" s="3">
        <v>4145553</v>
      </c>
      <c r="D2770" s="1" t="s">
        <v>13</v>
      </c>
      <c r="E2770" s="1">
        <v>48</v>
      </c>
      <c r="F2770" s="1" t="s">
        <v>14028</v>
      </c>
      <c r="G2770" s="1" t="s">
        <v>11261</v>
      </c>
    </row>
    <row r="2771" spans="1:7" ht="21" x14ac:dyDescent="0.25">
      <c r="A2771" s="2" t="str">
        <f>HYPERLINK("https://rth.dk/resources/bsgatlas/details.php?id=BSGatlas-5'UTR-2770","BSGatlas-5'UTR-2770")</f>
        <v>BSGatlas-5'UTR-2770</v>
      </c>
      <c r="B2771" s="3">
        <v>4145713</v>
      </c>
      <c r="C2771" s="3">
        <v>4145747</v>
      </c>
      <c r="D2771" s="1" t="s">
        <v>9</v>
      </c>
      <c r="E2771" s="1">
        <v>35</v>
      </c>
      <c r="F2771" s="1" t="s">
        <v>14029</v>
      </c>
      <c r="G2771" s="1" t="s">
        <v>11264</v>
      </c>
    </row>
    <row r="2772" spans="1:7" ht="21" x14ac:dyDescent="0.25">
      <c r="A2772" s="2" t="str">
        <f>HYPERLINK("https://rth.dk/resources/bsgatlas/details.php?id=BSGatlas-5'UTR-2771","BSGatlas-5'UTR-2771")</f>
        <v>BSGatlas-5'UTR-2771</v>
      </c>
      <c r="B2772" s="3">
        <v>4148769</v>
      </c>
      <c r="C2772" s="3">
        <v>4148801</v>
      </c>
      <c r="D2772" s="1" t="s">
        <v>13</v>
      </c>
      <c r="E2772" s="1">
        <v>33</v>
      </c>
      <c r="F2772" s="1" t="s">
        <v>14030</v>
      </c>
      <c r="G2772" s="1" t="s">
        <v>11266</v>
      </c>
    </row>
    <row r="2773" spans="1:7" ht="21" x14ac:dyDescent="0.25">
      <c r="A2773" s="2" t="str">
        <f>HYPERLINK("https://rth.dk/resources/bsgatlas/details.php?id=BSGatlas-5'UTR-2772","BSGatlas-5'UTR-2772")</f>
        <v>BSGatlas-5'UTR-2772</v>
      </c>
      <c r="B2773" s="3">
        <v>4154403</v>
      </c>
      <c r="C2773" s="3">
        <v>4154500</v>
      </c>
      <c r="D2773" s="1" t="s">
        <v>13</v>
      </c>
      <c r="E2773" s="1">
        <v>98</v>
      </c>
      <c r="F2773" s="1" t="s">
        <v>14031</v>
      </c>
      <c r="G2773" s="1" t="s">
        <v>11269</v>
      </c>
    </row>
    <row r="2774" spans="1:7" ht="21" x14ac:dyDescent="0.25">
      <c r="A2774" s="2" t="str">
        <f>HYPERLINK("https://rth.dk/resources/bsgatlas/details.php?id=BSGatlas-5'UTR-2773","BSGatlas-5'UTR-2773")</f>
        <v>BSGatlas-5'UTR-2773</v>
      </c>
      <c r="B2774" s="3">
        <v>4154403</v>
      </c>
      <c r="C2774" s="3">
        <v>4154694</v>
      </c>
      <c r="D2774" s="1" t="s">
        <v>13</v>
      </c>
      <c r="E2774" s="1">
        <v>292</v>
      </c>
      <c r="F2774" s="1" t="s">
        <v>14031</v>
      </c>
      <c r="G2774" s="1" t="s">
        <v>11270</v>
      </c>
    </row>
    <row r="2775" spans="1:7" ht="21" x14ac:dyDescent="0.25">
      <c r="A2775" s="2" t="str">
        <f>HYPERLINK("https://rth.dk/resources/bsgatlas/details.php?id=BSGatlas-5'UTR-2774","BSGatlas-5'UTR-2774")</f>
        <v>BSGatlas-5'UTR-2774</v>
      </c>
      <c r="B2775" s="3">
        <v>4155209</v>
      </c>
      <c r="C2775" s="3">
        <v>4155306</v>
      </c>
      <c r="D2775" s="1" t="s">
        <v>13</v>
      </c>
      <c r="E2775" s="1">
        <v>98</v>
      </c>
      <c r="F2775" s="1" t="s">
        <v>14032</v>
      </c>
      <c r="G2775" s="1" t="s">
        <v>11273</v>
      </c>
    </row>
    <row r="2776" spans="1:7" ht="21" x14ac:dyDescent="0.25">
      <c r="A2776" s="2" t="str">
        <f>HYPERLINK("https://rth.dk/resources/bsgatlas/details.php?id=BSGatlas-5'UTR-2775","BSGatlas-5'UTR-2775")</f>
        <v>BSGatlas-5'UTR-2775</v>
      </c>
      <c r="B2776" s="3">
        <v>4155209</v>
      </c>
      <c r="C2776" s="3">
        <v>4155380</v>
      </c>
      <c r="D2776" s="1" t="s">
        <v>13</v>
      </c>
      <c r="E2776" s="1">
        <v>172</v>
      </c>
      <c r="F2776" s="1" t="s">
        <v>14032</v>
      </c>
      <c r="G2776" s="1" t="s">
        <v>11274</v>
      </c>
    </row>
    <row r="2777" spans="1:7" ht="21" x14ac:dyDescent="0.25">
      <c r="A2777" s="2" t="str">
        <f>HYPERLINK("https://rth.dk/resources/bsgatlas/details.php?id=BSGatlas-5'UTR-2776","BSGatlas-5'UTR-2776")</f>
        <v>BSGatlas-5'UTR-2776</v>
      </c>
      <c r="B2777" s="3">
        <v>4156725</v>
      </c>
      <c r="C2777" s="3">
        <v>4156769</v>
      </c>
      <c r="D2777" s="1" t="s">
        <v>13</v>
      </c>
      <c r="E2777" s="1">
        <v>45</v>
      </c>
      <c r="F2777" s="1" t="s">
        <v>14033</v>
      </c>
      <c r="G2777" s="1" t="s">
        <v>11275</v>
      </c>
    </row>
    <row r="2778" spans="1:7" ht="21" x14ac:dyDescent="0.25">
      <c r="A2778" s="2" t="str">
        <f>HYPERLINK("https://rth.dk/resources/bsgatlas/details.php?id=BSGatlas-5'UTR-2777","BSGatlas-5'UTR-2777")</f>
        <v>BSGatlas-5'UTR-2777</v>
      </c>
      <c r="B2778" s="3">
        <v>4158835</v>
      </c>
      <c r="C2778" s="3">
        <v>4158880</v>
      </c>
      <c r="D2778" s="1" t="s">
        <v>13</v>
      </c>
      <c r="E2778" s="1">
        <v>46</v>
      </c>
      <c r="F2778" s="1" t="s">
        <v>14034</v>
      </c>
      <c r="G2778" s="1" t="s">
        <v>11280</v>
      </c>
    </row>
    <row r="2779" spans="1:7" ht="21" x14ac:dyDescent="0.25">
      <c r="A2779" s="2" t="str">
        <f>HYPERLINK("https://rth.dk/resources/bsgatlas/details.php?id=BSGatlas-5'UTR-2778","BSGatlas-5'UTR-2778")</f>
        <v>BSGatlas-5'UTR-2778</v>
      </c>
      <c r="B2779" s="3">
        <v>4158970</v>
      </c>
      <c r="C2779" s="3">
        <v>4159005</v>
      </c>
      <c r="D2779" s="1" t="s">
        <v>9</v>
      </c>
      <c r="E2779" s="1">
        <v>36</v>
      </c>
      <c r="F2779" s="1" t="s">
        <v>14035</v>
      </c>
      <c r="G2779" s="1" t="s">
        <v>11282</v>
      </c>
    </row>
    <row r="2780" spans="1:7" ht="21" x14ac:dyDescent="0.25">
      <c r="A2780" s="2" t="str">
        <f>HYPERLINK("https://rth.dk/resources/bsgatlas/details.php?id=BSGatlas-5'UTR-2779","BSGatlas-5'UTR-2779")</f>
        <v>BSGatlas-5'UTR-2779</v>
      </c>
      <c r="B2780" s="3">
        <v>4159456</v>
      </c>
      <c r="C2780" s="3">
        <v>4159765</v>
      </c>
      <c r="D2780" s="1" t="s">
        <v>13</v>
      </c>
      <c r="E2780" s="1">
        <v>310</v>
      </c>
      <c r="F2780" s="1" t="s">
        <v>14036</v>
      </c>
      <c r="G2780" s="1" t="s">
        <v>11285</v>
      </c>
    </row>
    <row r="2781" spans="1:7" ht="21" x14ac:dyDescent="0.25">
      <c r="A2781" s="2" t="str">
        <f>HYPERLINK("https://rth.dk/resources/bsgatlas/details.php?id=BSGatlas-5'UTR-2780","BSGatlas-5'UTR-2780")</f>
        <v>BSGatlas-5'UTR-2780</v>
      </c>
      <c r="B2781" s="3">
        <v>4159543</v>
      </c>
      <c r="C2781" s="3">
        <v>4159577</v>
      </c>
      <c r="D2781" s="1" t="s">
        <v>9</v>
      </c>
      <c r="E2781" s="1">
        <v>35</v>
      </c>
      <c r="F2781" s="1" t="s">
        <v>14037</v>
      </c>
      <c r="G2781" s="1" t="s">
        <v>11287</v>
      </c>
    </row>
    <row r="2782" spans="1:7" ht="21" x14ac:dyDescent="0.25">
      <c r="A2782" s="2" t="str">
        <f>HYPERLINK("https://rth.dk/resources/bsgatlas/details.php?id=BSGatlas-5'UTR-2781","BSGatlas-5'UTR-2781")</f>
        <v>BSGatlas-5'UTR-2781</v>
      </c>
      <c r="B2782" s="3">
        <v>4163646</v>
      </c>
      <c r="C2782" s="3">
        <v>4164127</v>
      </c>
      <c r="D2782" s="1" t="s">
        <v>13</v>
      </c>
      <c r="E2782" s="1">
        <v>482</v>
      </c>
      <c r="F2782" s="1" t="s">
        <v>14038</v>
      </c>
      <c r="G2782" s="1" t="s">
        <v>11291</v>
      </c>
    </row>
    <row r="2783" spans="1:7" ht="21" x14ac:dyDescent="0.25">
      <c r="A2783" s="2" t="str">
        <f>HYPERLINK("https://rth.dk/resources/bsgatlas/details.php?id=BSGatlas-5'UTR-2782","BSGatlas-5'UTR-2782")</f>
        <v>BSGatlas-5'UTR-2782</v>
      </c>
      <c r="B2783" s="3">
        <v>4166588</v>
      </c>
      <c r="C2783" s="3">
        <v>4166725</v>
      </c>
      <c r="D2783" s="1" t="s">
        <v>13</v>
      </c>
      <c r="E2783" s="1">
        <v>138</v>
      </c>
      <c r="F2783" s="1" t="s">
        <v>14039</v>
      </c>
      <c r="G2783" s="1" t="s">
        <v>11294</v>
      </c>
    </row>
    <row r="2784" spans="1:7" ht="21" x14ac:dyDescent="0.25">
      <c r="A2784" s="2" t="str">
        <f>HYPERLINK("https://rth.dk/resources/bsgatlas/details.php?id=BSGatlas-5'UTR-2783","BSGatlas-5'UTR-2783")</f>
        <v>BSGatlas-5'UTR-2783</v>
      </c>
      <c r="B2784" s="3">
        <v>4166964</v>
      </c>
      <c r="C2784" s="3">
        <v>4167020</v>
      </c>
      <c r="D2784" s="1" t="s">
        <v>13</v>
      </c>
      <c r="E2784" s="1">
        <v>57</v>
      </c>
      <c r="F2784" s="1" t="s">
        <v>14040</v>
      </c>
      <c r="G2784" s="1" t="s">
        <v>11296</v>
      </c>
    </row>
    <row r="2785" spans="1:7" ht="21" x14ac:dyDescent="0.25">
      <c r="A2785" s="2" t="str">
        <f>HYPERLINK("https://rth.dk/resources/bsgatlas/details.php?id=BSGatlas-5'UTR-2784","BSGatlas-5'UTR-2784")</f>
        <v>BSGatlas-5'UTR-2784</v>
      </c>
      <c r="B2785" s="3">
        <v>4166964</v>
      </c>
      <c r="C2785" s="3">
        <v>4167083</v>
      </c>
      <c r="D2785" s="1" t="s">
        <v>13</v>
      </c>
      <c r="E2785" s="1">
        <v>120</v>
      </c>
      <c r="F2785" s="1" t="s">
        <v>14040</v>
      </c>
      <c r="G2785" s="1" t="s">
        <v>11298</v>
      </c>
    </row>
    <row r="2786" spans="1:7" ht="21" x14ac:dyDescent="0.25">
      <c r="A2786" s="2" t="str">
        <f>HYPERLINK("https://rth.dk/resources/bsgatlas/details.php?id=BSGatlas-5'UTR-2785","BSGatlas-5'UTR-2785")</f>
        <v>BSGatlas-5'UTR-2785</v>
      </c>
      <c r="B2786" s="3">
        <v>4167082</v>
      </c>
      <c r="C2786" s="3">
        <v>4167110</v>
      </c>
      <c r="D2786" s="1" t="s">
        <v>9</v>
      </c>
      <c r="E2786" s="1">
        <v>29</v>
      </c>
      <c r="F2786" s="1" t="s">
        <v>14041</v>
      </c>
      <c r="G2786" s="1" t="s">
        <v>11299</v>
      </c>
    </row>
    <row r="2787" spans="1:7" ht="21" x14ac:dyDescent="0.25">
      <c r="A2787" s="2" t="str">
        <f>HYPERLINK("https://rth.dk/resources/bsgatlas/details.php?id=BSGatlas-5'UTR-2786","BSGatlas-5'UTR-2786")</f>
        <v>BSGatlas-5'UTR-2786</v>
      </c>
      <c r="B2787" s="3">
        <v>4167999</v>
      </c>
      <c r="C2787" s="3">
        <v>4168066</v>
      </c>
      <c r="D2787" s="1" t="s">
        <v>13</v>
      </c>
      <c r="E2787" s="1">
        <v>68</v>
      </c>
      <c r="F2787" s="1" t="s">
        <v>14042</v>
      </c>
      <c r="G2787" s="1" t="s">
        <v>11301</v>
      </c>
    </row>
    <row r="2788" spans="1:7" ht="21" x14ac:dyDescent="0.25">
      <c r="A2788" s="2" t="str">
        <f>HYPERLINK("https://rth.dk/resources/bsgatlas/details.php?id=BSGatlas-5'UTR-2787","BSGatlas-5'UTR-2787")</f>
        <v>BSGatlas-5'UTR-2787</v>
      </c>
      <c r="B2788" s="3">
        <v>4167999</v>
      </c>
      <c r="C2788" s="3">
        <v>4168183</v>
      </c>
      <c r="D2788" s="1" t="s">
        <v>13</v>
      </c>
      <c r="E2788" s="1">
        <v>185</v>
      </c>
      <c r="F2788" s="1" t="s">
        <v>14042</v>
      </c>
      <c r="G2788" s="1" t="s">
        <v>11303</v>
      </c>
    </row>
    <row r="2789" spans="1:7" ht="21" x14ac:dyDescent="0.25">
      <c r="A2789" s="2" t="str">
        <f>HYPERLINK("https://rth.dk/resources/bsgatlas/details.php?id=BSGatlas-5'UTR-2788","BSGatlas-5'UTR-2788")</f>
        <v>BSGatlas-5'UTR-2788</v>
      </c>
      <c r="B2789" s="3">
        <v>4168155</v>
      </c>
      <c r="C2789" s="3">
        <v>4168204</v>
      </c>
      <c r="D2789" s="1" t="s">
        <v>9</v>
      </c>
      <c r="E2789" s="1">
        <v>50</v>
      </c>
      <c r="F2789" s="1" t="s">
        <v>14043</v>
      </c>
      <c r="G2789" s="1" t="s">
        <v>11304</v>
      </c>
    </row>
    <row r="2790" spans="1:7" ht="21" x14ac:dyDescent="0.25">
      <c r="A2790" s="2" t="str">
        <f>HYPERLINK("https://rth.dk/resources/bsgatlas/details.php?id=BSGatlas-5'UTR-2789","BSGatlas-5'UTR-2789")</f>
        <v>BSGatlas-5'UTR-2789</v>
      </c>
      <c r="B2790" s="3">
        <v>4169612</v>
      </c>
      <c r="C2790" s="3">
        <v>4169942</v>
      </c>
      <c r="D2790" s="1" t="s">
        <v>13</v>
      </c>
      <c r="E2790" s="1">
        <v>331</v>
      </c>
      <c r="F2790" s="1" t="s">
        <v>14044</v>
      </c>
      <c r="G2790" s="1" t="s">
        <v>11306</v>
      </c>
    </row>
    <row r="2791" spans="1:7" ht="21" x14ac:dyDescent="0.25">
      <c r="A2791" s="2" t="str">
        <f>HYPERLINK("https://rth.dk/resources/bsgatlas/details.php?id=BSGatlas-5'UTR-2790","BSGatlas-5'UTR-2790")</f>
        <v>BSGatlas-5'UTR-2790</v>
      </c>
      <c r="B2791" s="3">
        <v>4169999</v>
      </c>
      <c r="C2791" s="3">
        <v>4170045</v>
      </c>
      <c r="D2791" s="1" t="s">
        <v>9</v>
      </c>
      <c r="E2791" s="1">
        <v>47</v>
      </c>
      <c r="F2791" s="1" t="s">
        <v>14045</v>
      </c>
      <c r="G2791" s="1" t="s">
        <v>11308</v>
      </c>
    </row>
    <row r="2792" spans="1:7" ht="21" x14ac:dyDescent="0.25">
      <c r="A2792" s="2" t="str">
        <f>HYPERLINK("https://rth.dk/resources/bsgatlas/details.php?id=BSGatlas-5'UTR-2791","BSGatlas-5'UTR-2791")</f>
        <v>BSGatlas-5'UTR-2791</v>
      </c>
      <c r="B2792" s="3">
        <v>4172536</v>
      </c>
      <c r="C2792" s="3">
        <v>4172869</v>
      </c>
      <c r="D2792" s="1" t="s">
        <v>13</v>
      </c>
      <c r="E2792" s="1">
        <v>334</v>
      </c>
      <c r="F2792" s="1" t="s">
        <v>14046</v>
      </c>
      <c r="G2792" s="1" t="s">
        <v>11315</v>
      </c>
    </row>
    <row r="2793" spans="1:7" ht="21" x14ac:dyDescent="0.25">
      <c r="A2793" s="2" t="str">
        <f>HYPERLINK("https://rth.dk/resources/bsgatlas/details.php?id=BSGatlas-5'UTR-2792","BSGatlas-5'UTR-2792")</f>
        <v>BSGatlas-5'UTR-2792</v>
      </c>
      <c r="B2793" s="3">
        <v>4172536</v>
      </c>
      <c r="C2793" s="3">
        <v>4172935</v>
      </c>
      <c r="D2793" s="1" t="s">
        <v>13</v>
      </c>
      <c r="E2793" s="1">
        <v>400</v>
      </c>
      <c r="F2793" s="1" t="s">
        <v>14046</v>
      </c>
      <c r="G2793" s="1" t="s">
        <v>11316</v>
      </c>
    </row>
    <row r="2794" spans="1:7" ht="21" x14ac:dyDescent="0.25">
      <c r="A2794" s="2" t="str">
        <f>HYPERLINK("https://rth.dk/resources/bsgatlas/details.php?id=BSGatlas-5'UTR-2793","BSGatlas-5'UTR-2793")</f>
        <v>BSGatlas-5'UTR-2793</v>
      </c>
      <c r="B2794" s="3">
        <v>4172910</v>
      </c>
      <c r="C2794" s="3">
        <v>4173114</v>
      </c>
      <c r="D2794" s="1" t="s">
        <v>9</v>
      </c>
      <c r="E2794" s="1">
        <v>205</v>
      </c>
      <c r="F2794" s="1" t="s">
        <v>14047</v>
      </c>
      <c r="G2794" s="1" t="s">
        <v>11317</v>
      </c>
    </row>
    <row r="2795" spans="1:7" ht="21" x14ac:dyDescent="0.25">
      <c r="A2795" s="2" t="str">
        <f>HYPERLINK("https://rth.dk/resources/bsgatlas/details.php?id=BSGatlas-5'UTR-2794","BSGatlas-5'UTR-2794")</f>
        <v>BSGatlas-5'UTR-2794</v>
      </c>
      <c r="B2795" s="3">
        <v>4177688</v>
      </c>
      <c r="C2795" s="3">
        <v>4177716</v>
      </c>
      <c r="D2795" s="1" t="s">
        <v>13</v>
      </c>
      <c r="E2795" s="1">
        <v>29</v>
      </c>
      <c r="F2795" s="1" t="s">
        <v>14048</v>
      </c>
      <c r="G2795" s="1" t="s">
        <v>11323</v>
      </c>
    </row>
    <row r="2796" spans="1:7" ht="21" x14ac:dyDescent="0.25">
      <c r="A2796" s="2" t="str">
        <f>HYPERLINK("https://rth.dk/resources/bsgatlas/details.php?id=BSGatlas-5'UTR-2795","BSGatlas-5'UTR-2795")</f>
        <v>BSGatlas-5'UTR-2795</v>
      </c>
      <c r="B2796" s="3">
        <v>4178245</v>
      </c>
      <c r="C2796" s="3">
        <v>4178291</v>
      </c>
      <c r="D2796" s="1" t="s">
        <v>9</v>
      </c>
      <c r="E2796" s="1">
        <v>47</v>
      </c>
      <c r="F2796" s="1" t="s">
        <v>14049</v>
      </c>
      <c r="G2796" s="1" t="s">
        <v>11326</v>
      </c>
    </row>
    <row r="2797" spans="1:7" ht="21" x14ac:dyDescent="0.25">
      <c r="A2797" s="2" t="str">
        <f>HYPERLINK("https://rth.dk/resources/bsgatlas/details.php?id=BSGatlas-5'UTR-2796","BSGatlas-5'UTR-2796")</f>
        <v>BSGatlas-5'UTR-2796</v>
      </c>
      <c r="B2797" s="3">
        <v>4180377</v>
      </c>
      <c r="C2797" s="3">
        <v>4180484</v>
      </c>
      <c r="D2797" s="1" t="s">
        <v>13</v>
      </c>
      <c r="E2797" s="1">
        <v>108</v>
      </c>
      <c r="F2797" s="1" t="s">
        <v>14050</v>
      </c>
      <c r="G2797" s="1" t="s">
        <v>11329</v>
      </c>
    </row>
    <row r="2798" spans="1:7" ht="21" x14ac:dyDescent="0.25">
      <c r="A2798" s="2" t="str">
        <f>HYPERLINK("https://rth.dk/resources/bsgatlas/details.php?id=BSGatlas-5'UTR-2797","BSGatlas-5'UTR-2797")</f>
        <v>BSGatlas-5'UTR-2797</v>
      </c>
      <c r="B2798" s="3">
        <v>4180515</v>
      </c>
      <c r="C2798" s="3">
        <v>4180564</v>
      </c>
      <c r="D2798" s="1" t="s">
        <v>9</v>
      </c>
      <c r="E2798" s="1">
        <v>50</v>
      </c>
      <c r="F2798" s="1" t="s">
        <v>14051</v>
      </c>
      <c r="G2798" s="1" t="s">
        <v>11333</v>
      </c>
    </row>
    <row r="2799" spans="1:7" ht="21" x14ac:dyDescent="0.25">
      <c r="A2799" s="2" t="str">
        <f>HYPERLINK("https://rth.dk/resources/bsgatlas/details.php?id=BSGatlas-5'UTR-2798","BSGatlas-5'UTR-2798")</f>
        <v>BSGatlas-5'UTR-2798</v>
      </c>
      <c r="B2799" s="3">
        <v>4183897</v>
      </c>
      <c r="C2799" s="3">
        <v>4183952</v>
      </c>
      <c r="D2799" s="1" t="s">
        <v>13</v>
      </c>
      <c r="E2799" s="1">
        <v>56</v>
      </c>
      <c r="F2799" s="1" t="s">
        <v>14052</v>
      </c>
      <c r="G2799" s="1" t="s">
        <v>11336</v>
      </c>
    </row>
    <row r="2800" spans="1:7" ht="21" x14ac:dyDescent="0.25">
      <c r="A2800" s="2" t="str">
        <f>HYPERLINK("https://rth.dk/resources/bsgatlas/details.php?id=BSGatlas-5'UTR-2799","BSGatlas-5'UTR-2799")</f>
        <v>BSGatlas-5'UTR-2799</v>
      </c>
      <c r="B2800" s="3">
        <v>4183945</v>
      </c>
      <c r="C2800" s="3">
        <v>4184017</v>
      </c>
      <c r="D2800" s="1" t="s">
        <v>9</v>
      </c>
      <c r="E2800" s="1">
        <v>73</v>
      </c>
      <c r="F2800" s="1" t="s">
        <v>14053</v>
      </c>
      <c r="G2800" s="1" t="s">
        <v>11338</v>
      </c>
    </row>
    <row r="2801" spans="1:7" ht="21" x14ac:dyDescent="0.25">
      <c r="A2801" s="2" t="str">
        <f>HYPERLINK("https://rth.dk/resources/bsgatlas/details.php?id=BSGatlas-5'UTR-2800","BSGatlas-5'UTR-2800")</f>
        <v>BSGatlas-5'UTR-2800</v>
      </c>
      <c r="B2801" s="3">
        <v>4185681</v>
      </c>
      <c r="C2801" s="3">
        <v>4186509</v>
      </c>
      <c r="D2801" s="1" t="s">
        <v>13</v>
      </c>
      <c r="E2801" s="1">
        <v>829</v>
      </c>
      <c r="F2801" s="1" t="s">
        <v>14054</v>
      </c>
      <c r="G2801" s="1" t="s">
        <v>11339</v>
      </c>
    </row>
    <row r="2802" spans="1:7" ht="21" x14ac:dyDescent="0.25">
      <c r="A2802" s="2" t="str">
        <f>HYPERLINK("https://rth.dk/resources/bsgatlas/details.php?id=BSGatlas-5'UTR-2801","BSGatlas-5'UTR-2801")</f>
        <v>BSGatlas-5'UTR-2801</v>
      </c>
      <c r="B2802" s="3">
        <v>4185751</v>
      </c>
      <c r="C2802" s="3">
        <v>4186092</v>
      </c>
      <c r="D2802" s="1" t="s">
        <v>9</v>
      </c>
      <c r="E2802" s="1">
        <v>342</v>
      </c>
      <c r="F2802" s="1" t="s">
        <v>14055</v>
      </c>
      <c r="G2802" s="1" t="s">
        <v>11340</v>
      </c>
    </row>
    <row r="2803" spans="1:7" ht="21" x14ac:dyDescent="0.25">
      <c r="A2803" s="2" t="str">
        <f>HYPERLINK("https://rth.dk/resources/bsgatlas/details.php?id=BSGatlas-5'UTR-2802","BSGatlas-5'UTR-2802")</f>
        <v>BSGatlas-5'UTR-2802</v>
      </c>
      <c r="B2803" s="3">
        <v>4185817</v>
      </c>
      <c r="C2803" s="3">
        <v>4186092</v>
      </c>
      <c r="D2803" s="1" t="s">
        <v>9</v>
      </c>
      <c r="E2803" s="1">
        <v>276</v>
      </c>
      <c r="F2803" s="1" t="s">
        <v>14055</v>
      </c>
      <c r="G2803" s="1" t="s">
        <v>11341</v>
      </c>
    </row>
    <row r="2804" spans="1:7" ht="21" x14ac:dyDescent="0.25">
      <c r="A2804" s="2" t="str">
        <f>HYPERLINK("https://rth.dk/resources/bsgatlas/details.php?id=BSGatlas-5'UTR-2803","BSGatlas-5'UTR-2803")</f>
        <v>BSGatlas-5'UTR-2803</v>
      </c>
      <c r="B2804" s="3">
        <v>4189153</v>
      </c>
      <c r="C2804" s="3">
        <v>4189176</v>
      </c>
      <c r="D2804" s="1" t="s">
        <v>13</v>
      </c>
      <c r="E2804" s="1">
        <v>24</v>
      </c>
      <c r="F2804" s="1" t="s">
        <v>14056</v>
      </c>
      <c r="G2804" s="1" t="s">
        <v>11343</v>
      </c>
    </row>
    <row r="2805" spans="1:7" ht="21" x14ac:dyDescent="0.25">
      <c r="A2805" s="2" t="str">
        <f>HYPERLINK("https://rth.dk/resources/bsgatlas/details.php?id=BSGatlas-5'UTR-2804","BSGatlas-5'UTR-2804")</f>
        <v>BSGatlas-5'UTR-2804</v>
      </c>
      <c r="B2805" s="3">
        <v>4189369</v>
      </c>
      <c r="C2805" s="3">
        <v>4189406</v>
      </c>
      <c r="D2805" s="1" t="s">
        <v>9</v>
      </c>
      <c r="E2805" s="1">
        <v>38</v>
      </c>
      <c r="F2805" s="1" t="s">
        <v>14057</v>
      </c>
      <c r="G2805" s="1" t="s">
        <v>11345</v>
      </c>
    </row>
    <row r="2806" spans="1:7" ht="21" x14ac:dyDescent="0.25">
      <c r="A2806" s="2" t="str">
        <f>HYPERLINK("https://rth.dk/resources/bsgatlas/details.php?id=BSGatlas-5'UTR-2805","BSGatlas-5'UTR-2805")</f>
        <v>BSGatlas-5'UTR-2805</v>
      </c>
      <c r="B2806" s="3">
        <v>4189777</v>
      </c>
      <c r="C2806" s="3">
        <v>4189796</v>
      </c>
      <c r="D2806" s="1" t="s">
        <v>9</v>
      </c>
      <c r="E2806" s="1">
        <v>20</v>
      </c>
      <c r="F2806" s="1" t="s">
        <v>14058</v>
      </c>
      <c r="G2806" s="1" t="s">
        <v>11349</v>
      </c>
    </row>
    <row r="2807" spans="1:7" ht="21" x14ac:dyDescent="0.25">
      <c r="A2807" s="2" t="str">
        <f>HYPERLINK("https://rth.dk/resources/bsgatlas/details.php?id=BSGatlas-5'UTR-2806","BSGatlas-5'UTR-2806")</f>
        <v>BSGatlas-5'UTR-2806</v>
      </c>
      <c r="B2807" s="3">
        <v>4191163</v>
      </c>
      <c r="C2807" s="3">
        <v>4191198</v>
      </c>
      <c r="D2807" s="1" t="s">
        <v>9</v>
      </c>
      <c r="E2807" s="1">
        <v>36</v>
      </c>
      <c r="F2807" s="1" t="s">
        <v>14059</v>
      </c>
      <c r="G2807" s="1" t="s">
        <v>11351</v>
      </c>
    </row>
    <row r="2808" spans="1:7" ht="21" x14ac:dyDescent="0.25">
      <c r="A2808" s="2" t="str">
        <f>HYPERLINK("https://rth.dk/resources/bsgatlas/details.php?id=BSGatlas-5'UTR-2807","BSGatlas-5'UTR-2807")</f>
        <v>BSGatlas-5'UTR-2807</v>
      </c>
      <c r="B2808" s="3">
        <v>4194163</v>
      </c>
      <c r="C2808" s="3">
        <v>4194208</v>
      </c>
      <c r="D2808" s="1" t="s">
        <v>13</v>
      </c>
      <c r="E2808" s="1">
        <v>46</v>
      </c>
      <c r="F2808" s="1" t="s">
        <v>14060</v>
      </c>
      <c r="G2808" s="1" t="s">
        <v>11352</v>
      </c>
    </row>
    <row r="2809" spans="1:7" ht="21" x14ac:dyDescent="0.25">
      <c r="A2809" s="2" t="str">
        <f>HYPERLINK("https://rth.dk/resources/bsgatlas/details.php?id=BSGatlas-5'UTR-2808","BSGatlas-5'UTR-2808")</f>
        <v>BSGatlas-5'UTR-2808</v>
      </c>
      <c r="B2809" s="3">
        <v>4194163</v>
      </c>
      <c r="C2809" s="3">
        <v>4195451</v>
      </c>
      <c r="D2809" s="1" t="s">
        <v>13</v>
      </c>
      <c r="E2809" s="1">
        <v>1289</v>
      </c>
      <c r="F2809" s="1" t="s">
        <v>14060</v>
      </c>
      <c r="G2809" s="1" t="s">
        <v>11354</v>
      </c>
    </row>
    <row r="2810" spans="1:7" ht="21" x14ac:dyDescent="0.25">
      <c r="A2810" s="2" t="str">
        <f>HYPERLINK("https://rth.dk/resources/bsgatlas/details.php?id=BSGatlas-5'UTR-2809","BSGatlas-5'UTR-2809")</f>
        <v>BSGatlas-5'UTR-2809</v>
      </c>
      <c r="B2810" s="3">
        <v>4194331</v>
      </c>
      <c r="C2810" s="3">
        <v>4194389</v>
      </c>
      <c r="D2810" s="1" t="s">
        <v>9</v>
      </c>
      <c r="E2810" s="1">
        <v>59</v>
      </c>
      <c r="F2810" s="1" t="s">
        <v>14061</v>
      </c>
      <c r="G2810" s="1" t="s">
        <v>11356</v>
      </c>
    </row>
    <row r="2811" spans="1:7" ht="21" x14ac:dyDescent="0.25">
      <c r="A2811" s="2" t="str">
        <f>HYPERLINK("https://rth.dk/resources/bsgatlas/details.php?id=BSGatlas-5'UTR-2810","BSGatlas-5'UTR-2810")</f>
        <v>BSGatlas-5'UTR-2810</v>
      </c>
      <c r="B2811" s="3">
        <v>4197721</v>
      </c>
      <c r="C2811" s="3">
        <v>4197779</v>
      </c>
      <c r="D2811" s="1" t="s">
        <v>13</v>
      </c>
      <c r="E2811" s="1">
        <v>59</v>
      </c>
      <c r="F2811" s="1" t="s">
        <v>14062</v>
      </c>
      <c r="G2811" s="1" t="s">
        <v>11357</v>
      </c>
    </row>
    <row r="2812" spans="1:7" ht="21" x14ac:dyDescent="0.25">
      <c r="A2812" s="2" t="str">
        <f>HYPERLINK("https://rth.dk/resources/bsgatlas/details.php?id=BSGatlas-5'UTR-2811","BSGatlas-5'UTR-2811")</f>
        <v>BSGatlas-5'UTR-2811</v>
      </c>
      <c r="B2812" s="3">
        <v>4197741</v>
      </c>
      <c r="C2812" s="3">
        <v>4198071</v>
      </c>
      <c r="D2812" s="1" t="s">
        <v>9</v>
      </c>
      <c r="E2812" s="1">
        <v>331</v>
      </c>
      <c r="F2812" s="1" t="s">
        <v>14063</v>
      </c>
      <c r="G2812" s="1" t="s">
        <v>11359</v>
      </c>
    </row>
    <row r="2813" spans="1:7" ht="21" x14ac:dyDescent="0.25">
      <c r="A2813" s="2" t="str">
        <f>HYPERLINK("https://rth.dk/resources/bsgatlas/details.php?id=BSGatlas-5'UTR-2812","BSGatlas-5'UTR-2812")</f>
        <v>BSGatlas-5'UTR-2812</v>
      </c>
      <c r="B2813" s="3">
        <v>4199732</v>
      </c>
      <c r="C2813" s="3">
        <v>4199799</v>
      </c>
      <c r="D2813" s="1" t="s">
        <v>13</v>
      </c>
      <c r="E2813" s="1">
        <v>68</v>
      </c>
      <c r="F2813" s="1" t="s">
        <v>14064</v>
      </c>
      <c r="G2813" s="1" t="s">
        <v>11362</v>
      </c>
    </row>
    <row r="2814" spans="1:7" ht="21" x14ac:dyDescent="0.25">
      <c r="A2814" s="2" t="str">
        <f>HYPERLINK("https://rth.dk/resources/bsgatlas/details.php?id=BSGatlas-5'UTR-2813","BSGatlas-5'UTR-2813")</f>
        <v>BSGatlas-5'UTR-2813</v>
      </c>
      <c r="B2814" s="3">
        <v>4200943</v>
      </c>
      <c r="C2814" s="3">
        <v>4201006</v>
      </c>
      <c r="D2814" s="1" t="s">
        <v>13</v>
      </c>
      <c r="E2814" s="1">
        <v>64</v>
      </c>
      <c r="F2814" s="1" t="s">
        <v>14065</v>
      </c>
      <c r="G2814" s="1" t="s">
        <v>11365</v>
      </c>
    </row>
    <row r="2815" spans="1:7" ht="21" x14ac:dyDescent="0.25">
      <c r="A2815" s="2" t="str">
        <f>HYPERLINK("https://rth.dk/resources/bsgatlas/details.php?id=BSGatlas-5'UTR-2814","BSGatlas-5'UTR-2814")</f>
        <v>BSGatlas-5'UTR-2814</v>
      </c>
      <c r="B2815" s="3">
        <v>4203330</v>
      </c>
      <c r="C2815" s="3">
        <v>4203367</v>
      </c>
      <c r="D2815" s="1" t="s">
        <v>13</v>
      </c>
      <c r="E2815" s="1">
        <v>38</v>
      </c>
      <c r="F2815" s="1" t="s">
        <v>14066</v>
      </c>
      <c r="G2815" s="1" t="s">
        <v>11368</v>
      </c>
    </row>
    <row r="2816" spans="1:7" ht="21" x14ac:dyDescent="0.25">
      <c r="A2816" s="2" t="str">
        <f>HYPERLINK("https://rth.dk/resources/bsgatlas/details.php?id=BSGatlas-5'UTR-2815","BSGatlas-5'UTR-2815")</f>
        <v>BSGatlas-5'UTR-2815</v>
      </c>
      <c r="B2816" s="3">
        <v>4204440</v>
      </c>
      <c r="C2816" s="3">
        <v>4204476</v>
      </c>
      <c r="D2816" s="1" t="s">
        <v>13</v>
      </c>
      <c r="E2816" s="1">
        <v>37</v>
      </c>
      <c r="F2816" s="1" t="s">
        <v>14067</v>
      </c>
      <c r="G2816" s="1" t="s">
        <v>11370</v>
      </c>
    </row>
    <row r="2817" spans="1:7" ht="21" x14ac:dyDescent="0.25">
      <c r="A2817" s="2" t="str">
        <f>HYPERLINK("https://rth.dk/resources/bsgatlas/details.php?id=BSGatlas-5'UTR-2816","BSGatlas-5'UTR-2816")</f>
        <v>BSGatlas-5'UTR-2816</v>
      </c>
      <c r="B2817" s="3">
        <v>4204832</v>
      </c>
      <c r="C2817" s="3">
        <v>4204900</v>
      </c>
      <c r="D2817" s="1" t="s">
        <v>9</v>
      </c>
      <c r="E2817" s="1">
        <v>69</v>
      </c>
      <c r="F2817" s="1" t="s">
        <v>14068</v>
      </c>
      <c r="G2817" s="1" t="s">
        <v>11376</v>
      </c>
    </row>
    <row r="2818" spans="1:7" ht="21" x14ac:dyDescent="0.25">
      <c r="A2818" s="2" t="str">
        <f>HYPERLINK("https://rth.dk/resources/bsgatlas/details.php?id=BSGatlas-5'UTR-2817","BSGatlas-5'UTR-2817")</f>
        <v>BSGatlas-5'UTR-2817</v>
      </c>
      <c r="B2818" s="3">
        <v>4205529</v>
      </c>
      <c r="C2818" s="3">
        <v>4207406</v>
      </c>
      <c r="D2818" s="1" t="s">
        <v>9</v>
      </c>
      <c r="E2818" s="1">
        <v>1878</v>
      </c>
      <c r="F2818" s="1" t="s">
        <v>14069</v>
      </c>
      <c r="G2818" s="1" t="s">
        <v>11379</v>
      </c>
    </row>
    <row r="2819" spans="1:7" ht="21" x14ac:dyDescent="0.25">
      <c r="A2819" s="2" t="str">
        <f>HYPERLINK("https://rth.dk/resources/bsgatlas/details.php?id=BSGatlas-5'UTR-2818","BSGatlas-5'UTR-2818")</f>
        <v>BSGatlas-5'UTR-2818</v>
      </c>
      <c r="B2819" s="3">
        <v>4207158</v>
      </c>
      <c r="C2819" s="3">
        <v>4207210</v>
      </c>
      <c r="D2819" s="1" t="s">
        <v>13</v>
      </c>
      <c r="E2819" s="1">
        <v>53</v>
      </c>
      <c r="F2819" s="1" t="s">
        <v>14070</v>
      </c>
      <c r="G2819" s="1" t="s">
        <v>11373</v>
      </c>
    </row>
    <row r="2820" spans="1:7" ht="21" x14ac:dyDescent="0.25">
      <c r="A2820" s="2" t="str">
        <f>HYPERLINK("https://rth.dk/resources/bsgatlas/details.php?id=BSGatlas-5'UTR-2819","BSGatlas-5'UTR-2819")</f>
        <v>BSGatlas-5'UTR-2819</v>
      </c>
      <c r="B2820" s="3">
        <v>4207158</v>
      </c>
      <c r="C2820" s="3">
        <v>4207302</v>
      </c>
      <c r="D2820" s="1" t="s">
        <v>13</v>
      </c>
      <c r="E2820" s="1">
        <v>145</v>
      </c>
      <c r="F2820" s="1" t="s">
        <v>14070</v>
      </c>
      <c r="G2820" s="1" t="s">
        <v>11375</v>
      </c>
    </row>
    <row r="2821" spans="1:7" ht="21" x14ac:dyDescent="0.25">
      <c r="A2821" s="2" t="str">
        <f>HYPERLINK("https://rth.dk/resources/bsgatlas/details.php?id=BSGatlas-5'UTR-2820","BSGatlas-5'UTR-2820")</f>
        <v>BSGatlas-5'UTR-2820</v>
      </c>
      <c r="B2821" s="3">
        <v>4207355</v>
      </c>
      <c r="C2821" s="3">
        <v>4207406</v>
      </c>
      <c r="D2821" s="1" t="s">
        <v>9</v>
      </c>
      <c r="E2821" s="1">
        <v>52</v>
      </c>
      <c r="F2821" s="1" t="s">
        <v>14069</v>
      </c>
      <c r="G2821" s="1" t="s">
        <v>11383</v>
      </c>
    </row>
    <row r="2822" spans="1:7" ht="21" x14ac:dyDescent="0.25">
      <c r="A2822" s="2" t="str">
        <f>HYPERLINK("https://rth.dk/resources/bsgatlas/details.php?id=BSGatlas-5'UTR-2821","BSGatlas-5'UTR-2821")</f>
        <v>BSGatlas-5'UTR-2821</v>
      </c>
      <c r="B2822" s="3">
        <v>4212889</v>
      </c>
      <c r="C2822" s="3">
        <v>4213020</v>
      </c>
      <c r="D2822" s="1" t="s">
        <v>13</v>
      </c>
      <c r="E2822" s="1">
        <v>132</v>
      </c>
      <c r="F2822" s="1" t="s">
        <v>14071</v>
      </c>
      <c r="G2822" s="1" t="s">
        <v>11385</v>
      </c>
    </row>
    <row r="2823" spans="1:7" ht="21" x14ac:dyDescent="0.25">
      <c r="A2823" s="2" t="str">
        <f>HYPERLINK("https://rth.dk/resources/bsgatlas/details.php?id=BSGatlas-5'UTR-2822","BSGatlas-5'UTR-2822")</f>
        <v>BSGatlas-5'UTR-2822</v>
      </c>
      <c r="B2823" s="3">
        <v>4212889</v>
      </c>
      <c r="C2823" s="3">
        <v>4213085</v>
      </c>
      <c r="D2823" s="1" t="s">
        <v>13</v>
      </c>
      <c r="E2823" s="1">
        <v>197</v>
      </c>
      <c r="F2823" s="1" t="s">
        <v>14071</v>
      </c>
      <c r="G2823" s="1" t="s">
        <v>11387</v>
      </c>
    </row>
    <row r="2824" spans="1:7" ht="21" x14ac:dyDescent="0.25">
      <c r="A2824" s="2" t="str">
        <f>HYPERLINK("https://rth.dk/resources/bsgatlas/details.php?id=BSGatlas-5'UTR-2823","BSGatlas-5'UTR-2823")</f>
        <v>BSGatlas-5'UTR-2823</v>
      </c>
      <c r="B2824" s="3">
        <v>4214608</v>
      </c>
      <c r="C2824" s="3">
        <v>4214654</v>
      </c>
      <c r="D2824" s="1" t="s">
        <v>13</v>
      </c>
      <c r="E2824" s="1">
        <v>47</v>
      </c>
      <c r="F2824" s="1" t="s">
        <v>14072</v>
      </c>
      <c r="G2824" s="1" t="s">
        <v>11389</v>
      </c>
    </row>
    <row r="2825" spans="1:7" ht="21" x14ac:dyDescent="0.25">
      <c r="A2825" s="2" t="str">
        <f>HYPERLINK("https://rth.dk/resources/bsgatlas/details.php?id=BSGatlas-5'UTR-2824","BSGatlas-5'UTR-2824")</f>
        <v>BSGatlas-5'UTR-2824</v>
      </c>
      <c r="B2825" s="3">
        <v>4215389</v>
      </c>
      <c r="C2825" s="3">
        <v>4215426</v>
      </c>
      <c r="D2825" s="1" t="s">
        <v>13</v>
      </c>
      <c r="E2825" s="1">
        <v>38</v>
      </c>
      <c r="F2825" s="1" t="s">
        <v>14073</v>
      </c>
      <c r="G2825" s="1" t="s">
        <v>11392</v>
      </c>
    </row>
    <row r="2826" spans="1:7" ht="21" x14ac:dyDescent="0.25">
      <c r="A2826" s="2" t="str">
        <f>HYPERLINK("https://rth.dk/resources/bsgatlas/details.php?id=BSGatlas-5'UTR-2825","BSGatlas-5'UTR-2825")</f>
        <v>BSGatlas-5'UTR-2825</v>
      </c>
      <c r="B2826" s="3">
        <v>4215389</v>
      </c>
      <c r="C2826" s="3">
        <v>4215495</v>
      </c>
      <c r="D2826" s="1" t="s">
        <v>13</v>
      </c>
      <c r="E2826" s="1">
        <v>107</v>
      </c>
      <c r="F2826" s="1" t="s">
        <v>14073</v>
      </c>
      <c r="G2826" s="1" t="s">
        <v>11393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F265E-922D-4849-AF21-A31FDE77F9ED}">
  <dimension ref="A1:G1643"/>
  <sheetViews>
    <sheetView workbookViewId="0">
      <selection activeCell="G6" sqref="G6"/>
    </sheetView>
  </sheetViews>
  <sheetFormatPr baseColWidth="10" defaultRowHeight="16" x14ac:dyDescent="0.2"/>
  <cols>
    <col min="1" max="1" width="24.5" bestFit="1" customWidth="1"/>
    <col min="2" max="3" width="11.83203125" style="4" bestFit="1" customWidth="1"/>
    <col min="4" max="4" width="11" bestFit="1" customWidth="1"/>
    <col min="5" max="5" width="11" style="4" bestFit="1" customWidth="1"/>
    <col min="6" max="6" width="23.33203125" bestFit="1" customWidth="1"/>
    <col min="7" max="7" width="30" bestFit="1" customWidth="1"/>
  </cols>
  <sheetData>
    <row r="1" spans="1:7" ht="21" x14ac:dyDescent="0.25">
      <c r="A1" s="1" t="s">
        <v>11753</v>
      </c>
      <c r="B1" s="3" t="s">
        <v>4</v>
      </c>
      <c r="C1" s="3" t="s">
        <v>5</v>
      </c>
      <c r="D1" s="1" t="s">
        <v>6</v>
      </c>
      <c r="E1" s="3" t="s">
        <v>11754</v>
      </c>
      <c r="F1" s="1" t="s">
        <v>11755</v>
      </c>
      <c r="G1" s="1" t="s">
        <v>14074</v>
      </c>
    </row>
    <row r="2" spans="1:7" ht="21" x14ac:dyDescent="0.25">
      <c r="A2" s="2" t="str">
        <f>HYPERLINK("https://rth.dk/resources/bsgatlas/details.php?id=BSGatlas-3'UTR-1","BSGatlas-3'UTR-1")</f>
        <v>BSGatlas-3'UTR-1</v>
      </c>
      <c r="B2" s="3">
        <v>3075</v>
      </c>
      <c r="C2" s="3">
        <v>3121</v>
      </c>
      <c r="D2" s="1" t="s">
        <v>9</v>
      </c>
      <c r="E2" s="3">
        <v>47</v>
      </c>
      <c r="F2" s="1" t="s">
        <v>14075</v>
      </c>
      <c r="G2" s="1" t="s">
        <v>4376</v>
      </c>
    </row>
    <row r="3" spans="1:7" ht="21" x14ac:dyDescent="0.25">
      <c r="A3" s="2" t="str">
        <f>HYPERLINK("https://rth.dk/resources/bsgatlas/details.php?id=BSGatlas-3'UTR-2","BSGatlas-3'UTR-2")</f>
        <v>BSGatlas-3'UTR-2</v>
      </c>
      <c r="B3" s="3">
        <v>6783</v>
      </c>
      <c r="C3" s="3">
        <v>6833</v>
      </c>
      <c r="D3" s="1" t="s">
        <v>9</v>
      </c>
      <c r="E3" s="3">
        <v>51</v>
      </c>
      <c r="F3" s="1" t="s">
        <v>14076</v>
      </c>
      <c r="G3" s="1" t="s">
        <v>4384</v>
      </c>
    </row>
    <row r="4" spans="1:7" ht="21" x14ac:dyDescent="0.25">
      <c r="A4" s="2" t="str">
        <f>HYPERLINK("https://rth.dk/resources/bsgatlas/details.php?id=BSGatlas-3'UTR-3","BSGatlas-3'UTR-3")</f>
        <v>BSGatlas-3'UTR-3</v>
      </c>
      <c r="B4" s="3">
        <v>9459</v>
      </c>
      <c r="C4" s="3">
        <v>9501</v>
      </c>
      <c r="D4" s="1" t="s">
        <v>9</v>
      </c>
      <c r="E4" s="3">
        <v>43</v>
      </c>
      <c r="F4" s="1" t="s">
        <v>11759</v>
      </c>
      <c r="G4" s="1" t="s">
        <v>4387</v>
      </c>
    </row>
    <row r="5" spans="1:7" ht="21" x14ac:dyDescent="0.25">
      <c r="A5" s="2" t="str">
        <f>HYPERLINK("https://rth.dk/resources/bsgatlas/details.php?id=BSGatlas-3'UTR-4","BSGatlas-3'UTR-4")</f>
        <v>BSGatlas-3'UTR-4</v>
      </c>
      <c r="B5" s="3">
        <v>14810</v>
      </c>
      <c r="C5" s="3">
        <v>14850</v>
      </c>
      <c r="D5" s="1" t="s">
        <v>9</v>
      </c>
      <c r="E5" s="3">
        <v>41</v>
      </c>
      <c r="F5" s="1" t="s">
        <v>14077</v>
      </c>
      <c r="G5" s="1" t="s">
        <v>4394</v>
      </c>
    </row>
    <row r="6" spans="1:7" ht="21" x14ac:dyDescent="0.25">
      <c r="A6" s="2" t="str">
        <f>HYPERLINK("https://rth.dk/resources/bsgatlas/details.php?id=BSGatlas-3'UTR-5","BSGatlas-3'UTR-5")</f>
        <v>BSGatlas-3'UTR-5</v>
      </c>
      <c r="B6" s="3">
        <v>15897</v>
      </c>
      <c r="C6" s="3">
        <v>17238</v>
      </c>
      <c r="D6" s="1" t="s">
        <v>13</v>
      </c>
      <c r="E6" s="3">
        <v>1342</v>
      </c>
      <c r="F6" s="1" t="s">
        <v>14078</v>
      </c>
      <c r="G6" s="1" t="s">
        <v>4404</v>
      </c>
    </row>
    <row r="7" spans="1:7" ht="21" x14ac:dyDescent="0.25">
      <c r="A7" s="2" t="str">
        <f>HYPERLINK("https://rth.dk/resources/bsgatlas/details.php?id=BSGatlas-3'UTR-6","BSGatlas-3'UTR-6")</f>
        <v>BSGatlas-3'UTR-6</v>
      </c>
      <c r="B7" s="3">
        <v>17381</v>
      </c>
      <c r="C7" s="3">
        <v>17445</v>
      </c>
      <c r="D7" s="1" t="s">
        <v>9</v>
      </c>
      <c r="E7" s="3">
        <v>65</v>
      </c>
      <c r="F7" s="1" t="s">
        <v>11762</v>
      </c>
      <c r="G7" s="1" t="s">
        <v>4402</v>
      </c>
    </row>
    <row r="8" spans="1:7" ht="21" x14ac:dyDescent="0.25">
      <c r="A8" s="2" t="str">
        <f>HYPERLINK("https://rth.dk/resources/bsgatlas/details.php?id=BSGatlas-3'UTR-7","BSGatlas-3'UTR-7")</f>
        <v>BSGatlas-3'UTR-7</v>
      </c>
      <c r="B8" s="3">
        <v>20823</v>
      </c>
      <c r="C8" s="3">
        <v>20853</v>
      </c>
      <c r="D8" s="1" t="s">
        <v>9</v>
      </c>
      <c r="E8" s="3">
        <v>31</v>
      </c>
      <c r="F8" s="1" t="s">
        <v>14079</v>
      </c>
      <c r="G8" s="1" t="s">
        <v>4408</v>
      </c>
    </row>
    <row r="9" spans="1:7" ht="21" x14ac:dyDescent="0.25">
      <c r="A9" s="2" t="str">
        <f>HYPERLINK("https://rth.dk/resources/bsgatlas/details.php?id=BSGatlas-3'UTR-8","BSGatlas-3'UTR-8")</f>
        <v>BSGatlas-3'UTR-8</v>
      </c>
      <c r="B9" s="3">
        <v>22157</v>
      </c>
      <c r="C9" s="3">
        <v>22204</v>
      </c>
      <c r="D9" s="1" t="s">
        <v>9</v>
      </c>
      <c r="E9" s="3">
        <v>48</v>
      </c>
      <c r="F9" s="1" t="s">
        <v>14080</v>
      </c>
      <c r="G9" s="1" t="s">
        <v>4410</v>
      </c>
    </row>
    <row r="10" spans="1:7" ht="21" x14ac:dyDescent="0.25">
      <c r="A10" s="2" t="str">
        <f>HYPERLINK("https://rth.dk/resources/bsgatlas/details.php?id=BSGatlas-3'UTR-9","BSGatlas-3'UTR-9")</f>
        <v>BSGatlas-3'UTR-9</v>
      </c>
      <c r="B10" s="3">
        <v>22384</v>
      </c>
      <c r="C10" s="3">
        <v>22429</v>
      </c>
      <c r="D10" s="1" t="s">
        <v>9</v>
      </c>
      <c r="E10" s="3">
        <v>46</v>
      </c>
      <c r="F10" s="1" t="s">
        <v>11765</v>
      </c>
      <c r="G10" s="1" t="s">
        <v>4417</v>
      </c>
    </row>
    <row r="11" spans="1:7" ht="21" x14ac:dyDescent="0.25">
      <c r="A11" s="2" t="str">
        <f>HYPERLINK("https://rth.dk/resources/bsgatlas/details.php?id=BSGatlas-3'UTR-10","BSGatlas-3'UTR-10")</f>
        <v>BSGatlas-3'UTR-10</v>
      </c>
      <c r="B11" s="3">
        <v>22384</v>
      </c>
      <c r="C11" s="3">
        <v>22562</v>
      </c>
      <c r="D11" s="1" t="s">
        <v>9</v>
      </c>
      <c r="E11" s="3">
        <v>179</v>
      </c>
      <c r="F11" s="1" t="s">
        <v>11765</v>
      </c>
      <c r="G11" s="1" t="s">
        <v>4418</v>
      </c>
    </row>
    <row r="12" spans="1:7" ht="21" x14ac:dyDescent="0.25">
      <c r="A12" s="2" t="str">
        <f>HYPERLINK("https://rth.dk/resources/bsgatlas/details.php?id=BSGatlas-3'UTR-11","BSGatlas-3'UTR-11")</f>
        <v>BSGatlas-3'UTR-11</v>
      </c>
      <c r="B12" s="3">
        <v>22384</v>
      </c>
      <c r="C12" s="3">
        <v>23200</v>
      </c>
      <c r="D12" s="1" t="s">
        <v>9</v>
      </c>
      <c r="E12" s="3">
        <v>817</v>
      </c>
      <c r="F12" s="1" t="s">
        <v>11765</v>
      </c>
      <c r="G12" s="1" t="s">
        <v>4419</v>
      </c>
    </row>
    <row r="13" spans="1:7" ht="21" x14ac:dyDescent="0.25">
      <c r="A13" s="2" t="str">
        <f>HYPERLINK("https://rth.dk/resources/bsgatlas/details.php?id=BSGatlas-3'UTR-12","BSGatlas-3'UTR-12")</f>
        <v>BSGatlas-3'UTR-12</v>
      </c>
      <c r="B13" s="3">
        <v>22463</v>
      </c>
      <c r="C13" s="3">
        <v>22496</v>
      </c>
      <c r="D13" s="1" t="s">
        <v>13</v>
      </c>
      <c r="E13" s="3">
        <v>34</v>
      </c>
      <c r="F13" s="1" t="s">
        <v>14081</v>
      </c>
      <c r="G13" s="1" t="s">
        <v>4422</v>
      </c>
    </row>
    <row r="14" spans="1:7" ht="21" x14ac:dyDescent="0.25">
      <c r="A14" s="2" t="str">
        <f>HYPERLINK("https://rth.dk/resources/bsgatlas/details.php?id=BSGatlas-3'UTR-13","BSGatlas-3'UTR-13")</f>
        <v>BSGatlas-3'UTR-13</v>
      </c>
      <c r="B14" s="3">
        <v>23841</v>
      </c>
      <c r="C14" s="3">
        <v>23868</v>
      </c>
      <c r="D14" s="1" t="s">
        <v>13</v>
      </c>
      <c r="E14" s="3">
        <v>28</v>
      </c>
      <c r="F14" s="1" t="s">
        <v>11767</v>
      </c>
      <c r="G14" s="1" t="s">
        <v>4424</v>
      </c>
    </row>
    <row r="15" spans="1:7" ht="21" x14ac:dyDescent="0.25">
      <c r="A15" s="2" t="str">
        <f>HYPERLINK("https://rth.dk/resources/bsgatlas/details.php?id=BSGatlas-3'UTR-14","BSGatlas-3'UTR-14")</f>
        <v>BSGatlas-3'UTR-14</v>
      </c>
      <c r="B15" s="3">
        <v>35355</v>
      </c>
      <c r="C15" s="3">
        <v>35395</v>
      </c>
      <c r="D15" s="1" t="s">
        <v>9</v>
      </c>
      <c r="E15" s="3">
        <v>41</v>
      </c>
      <c r="F15" s="1" t="s">
        <v>14082</v>
      </c>
      <c r="G15" s="1" t="s">
        <v>4436</v>
      </c>
    </row>
    <row r="16" spans="1:7" ht="21" x14ac:dyDescent="0.25">
      <c r="A16" s="2" t="str">
        <f>HYPERLINK("https://rth.dk/resources/bsgatlas/details.php?id=BSGatlas-3'UTR-15","BSGatlas-3'UTR-15")</f>
        <v>BSGatlas-3'UTR-15</v>
      </c>
      <c r="B16" s="3">
        <v>35725</v>
      </c>
      <c r="C16" s="3">
        <v>35753</v>
      </c>
      <c r="D16" s="1" t="s">
        <v>9</v>
      </c>
      <c r="E16" s="3">
        <v>29</v>
      </c>
      <c r="F16" s="1" t="s">
        <v>11775</v>
      </c>
      <c r="G16" s="1" t="s">
        <v>4439</v>
      </c>
    </row>
    <row r="17" spans="1:7" ht="21" x14ac:dyDescent="0.25">
      <c r="A17" s="2" t="str">
        <f>HYPERLINK("https://rth.dk/resources/bsgatlas/details.php?id=BSGatlas-3'UTR-16","BSGatlas-3'UTR-16")</f>
        <v>BSGatlas-3'UTR-16</v>
      </c>
      <c r="B17" s="3">
        <v>44790</v>
      </c>
      <c r="C17" s="3">
        <v>44848</v>
      </c>
      <c r="D17" s="1" t="s">
        <v>13</v>
      </c>
      <c r="E17" s="3">
        <v>59</v>
      </c>
      <c r="F17" s="1" t="s">
        <v>11779</v>
      </c>
      <c r="G17" s="1" t="s">
        <v>4451</v>
      </c>
    </row>
    <row r="18" spans="1:7" ht="21" x14ac:dyDescent="0.25">
      <c r="A18" s="2" t="str">
        <f>HYPERLINK("https://rth.dk/resources/bsgatlas/details.php?id=BSGatlas-3'UTR-17","BSGatlas-3'UTR-17")</f>
        <v>BSGatlas-3'UTR-17</v>
      </c>
      <c r="B18" s="3">
        <v>44799</v>
      </c>
      <c r="C18" s="3">
        <v>45191</v>
      </c>
      <c r="D18" s="1" t="s">
        <v>9</v>
      </c>
      <c r="E18" s="3">
        <v>393</v>
      </c>
      <c r="F18" s="1" t="s">
        <v>14083</v>
      </c>
      <c r="G18" s="1" t="s">
        <v>4445</v>
      </c>
    </row>
    <row r="19" spans="1:7" ht="21" x14ac:dyDescent="0.25">
      <c r="A19" s="2" t="str">
        <f>HYPERLINK("https://rth.dk/resources/bsgatlas/details.php?id=BSGatlas-3'UTR-18","BSGatlas-3'UTR-18")</f>
        <v>BSGatlas-3'UTR-18</v>
      </c>
      <c r="B19" s="3">
        <v>47627</v>
      </c>
      <c r="C19" s="3">
        <v>47686</v>
      </c>
      <c r="D19" s="1" t="s">
        <v>9</v>
      </c>
      <c r="E19" s="3">
        <v>60</v>
      </c>
      <c r="F19" s="1" t="s">
        <v>11780</v>
      </c>
      <c r="G19" s="1" t="s">
        <v>4457</v>
      </c>
    </row>
    <row r="20" spans="1:7" ht="21" x14ac:dyDescent="0.25">
      <c r="A20" s="2" t="str">
        <f>HYPERLINK("https://rth.dk/resources/bsgatlas/details.php?id=BSGatlas-3'UTR-19","BSGatlas-3'UTR-19")</f>
        <v>BSGatlas-3'UTR-19</v>
      </c>
      <c r="B20" s="3">
        <v>49942</v>
      </c>
      <c r="C20" s="3">
        <v>49994</v>
      </c>
      <c r="D20" s="1" t="s">
        <v>9</v>
      </c>
      <c r="E20" s="3">
        <v>53</v>
      </c>
      <c r="F20" s="1" t="s">
        <v>11781</v>
      </c>
      <c r="G20" s="1" t="s">
        <v>4462</v>
      </c>
    </row>
    <row r="21" spans="1:7" ht="21" x14ac:dyDescent="0.25">
      <c r="A21" s="2" t="str">
        <f>HYPERLINK("https://rth.dk/resources/bsgatlas/details.php?id=BSGatlas-3'UTR-20","BSGatlas-3'UTR-20")</f>
        <v>BSGatlas-3'UTR-20</v>
      </c>
      <c r="B21" s="3">
        <v>51518</v>
      </c>
      <c r="C21" s="3">
        <v>51539</v>
      </c>
      <c r="D21" s="1" t="s">
        <v>9</v>
      </c>
      <c r="E21" s="3">
        <v>22</v>
      </c>
      <c r="F21" s="1" t="s">
        <v>14084</v>
      </c>
      <c r="G21" s="1" t="s">
        <v>4467</v>
      </c>
    </row>
    <row r="22" spans="1:7" ht="21" x14ac:dyDescent="0.25">
      <c r="A22" s="2" t="str">
        <f>HYPERLINK("https://rth.dk/resources/bsgatlas/details.php?id=BSGatlas-3'UTR-21","BSGatlas-3'UTR-21")</f>
        <v>BSGatlas-3'UTR-21</v>
      </c>
      <c r="B22" s="3">
        <v>52552</v>
      </c>
      <c r="C22" s="3">
        <v>52600</v>
      </c>
      <c r="D22" s="1" t="s">
        <v>9</v>
      </c>
      <c r="E22" s="3">
        <v>49</v>
      </c>
      <c r="F22" s="1" t="s">
        <v>11783</v>
      </c>
      <c r="G22" s="1" t="s">
        <v>4470</v>
      </c>
    </row>
    <row r="23" spans="1:7" ht="21" x14ac:dyDescent="0.25">
      <c r="A23" s="2" t="str">
        <f>HYPERLINK("https://rth.dk/resources/bsgatlas/details.php?id=BSGatlas-3'UTR-22","BSGatlas-3'UTR-22")</f>
        <v>BSGatlas-3'UTR-22</v>
      </c>
      <c r="B23" s="3">
        <v>53023</v>
      </c>
      <c r="C23" s="3">
        <v>53064</v>
      </c>
      <c r="D23" s="1" t="s">
        <v>9</v>
      </c>
      <c r="E23" s="3">
        <v>42</v>
      </c>
      <c r="F23" s="1" t="s">
        <v>11784</v>
      </c>
      <c r="G23" s="1" t="s">
        <v>4473</v>
      </c>
    </row>
    <row r="24" spans="1:7" ht="21" x14ac:dyDescent="0.25">
      <c r="A24" s="2" t="str">
        <f>HYPERLINK("https://rth.dk/resources/bsgatlas/details.php?id=BSGatlas-3'UTR-23","BSGatlas-3'UTR-23")</f>
        <v>BSGatlas-3'UTR-23</v>
      </c>
      <c r="B24" s="3">
        <v>53368</v>
      </c>
      <c r="C24" s="3">
        <v>53415</v>
      </c>
      <c r="D24" s="1" t="s">
        <v>9</v>
      </c>
      <c r="E24" s="3">
        <v>48</v>
      </c>
      <c r="F24" s="1" t="s">
        <v>11785</v>
      </c>
      <c r="G24" s="1" t="s">
        <v>4477</v>
      </c>
    </row>
    <row r="25" spans="1:7" ht="21" x14ac:dyDescent="0.25">
      <c r="A25" s="2" t="str">
        <f>HYPERLINK("https://rth.dk/resources/bsgatlas/details.php?id=BSGatlas-3'UTR-24","BSGatlas-3'UTR-24")</f>
        <v>BSGatlas-3'UTR-24</v>
      </c>
      <c r="B25" s="3">
        <v>55672</v>
      </c>
      <c r="C25" s="3">
        <v>55720</v>
      </c>
      <c r="D25" s="1" t="s">
        <v>9</v>
      </c>
      <c r="E25" s="3">
        <v>49</v>
      </c>
      <c r="F25" s="1" t="s">
        <v>14085</v>
      </c>
      <c r="G25" s="1" t="s">
        <v>4481</v>
      </c>
    </row>
    <row r="26" spans="1:7" ht="21" x14ac:dyDescent="0.25">
      <c r="A26" s="2" t="str">
        <f>HYPERLINK("https://rth.dk/resources/bsgatlas/details.php?id=BSGatlas-3'UTR-25","BSGatlas-3'UTR-25")</f>
        <v>BSGatlas-3'UTR-25</v>
      </c>
      <c r="B26" s="3">
        <v>56159</v>
      </c>
      <c r="C26" s="3">
        <v>56234</v>
      </c>
      <c r="D26" s="1" t="s">
        <v>9</v>
      </c>
      <c r="E26" s="3">
        <v>76</v>
      </c>
      <c r="F26" s="1" t="s">
        <v>11787</v>
      </c>
      <c r="G26" s="1" t="s">
        <v>4485</v>
      </c>
    </row>
    <row r="27" spans="1:7" ht="21" x14ac:dyDescent="0.25">
      <c r="A27" s="2" t="str">
        <f>HYPERLINK("https://rth.dk/resources/bsgatlas/details.php?id=BSGatlas-3'UTR-26","BSGatlas-3'UTR-26")</f>
        <v>BSGatlas-3'UTR-26</v>
      </c>
      <c r="B27" s="3">
        <v>59397</v>
      </c>
      <c r="C27" s="3">
        <v>59445</v>
      </c>
      <c r="D27" s="1" t="s">
        <v>9</v>
      </c>
      <c r="E27" s="3">
        <v>49</v>
      </c>
      <c r="F27" s="1" t="s">
        <v>11789</v>
      </c>
      <c r="G27" s="1" t="s">
        <v>4489</v>
      </c>
    </row>
    <row r="28" spans="1:7" ht="21" x14ac:dyDescent="0.25">
      <c r="A28" s="2" t="str">
        <f>HYPERLINK("https://rth.dk/resources/bsgatlas/details.php?id=BSGatlas-3'UTR-27","BSGatlas-3'UTR-27")</f>
        <v>BSGatlas-3'UTR-27</v>
      </c>
      <c r="B28" s="3">
        <v>64635</v>
      </c>
      <c r="C28" s="3">
        <v>64661</v>
      </c>
      <c r="D28" s="1" t="s">
        <v>9</v>
      </c>
      <c r="E28" s="3">
        <v>27</v>
      </c>
      <c r="F28" s="1" t="s">
        <v>11790</v>
      </c>
      <c r="G28" s="1" t="s">
        <v>4491</v>
      </c>
    </row>
    <row r="29" spans="1:7" ht="21" x14ac:dyDescent="0.25">
      <c r="A29" s="2" t="str">
        <f>HYPERLINK("https://rth.dk/resources/bsgatlas/details.php?id=BSGatlas-3'UTR-28","BSGatlas-3'UTR-28")</f>
        <v>BSGatlas-3'UTR-28</v>
      </c>
      <c r="B29" s="3">
        <v>64635</v>
      </c>
      <c r="C29" s="3">
        <v>64710</v>
      </c>
      <c r="D29" s="1" t="s">
        <v>9</v>
      </c>
      <c r="E29" s="3">
        <v>76</v>
      </c>
      <c r="F29" s="1" t="s">
        <v>11790</v>
      </c>
      <c r="G29" s="1" t="s">
        <v>4492</v>
      </c>
    </row>
    <row r="30" spans="1:7" ht="21" x14ac:dyDescent="0.25">
      <c r="A30" s="2" t="str">
        <f>HYPERLINK("https://rth.dk/resources/bsgatlas/details.php?id=BSGatlas-3'UTR-29","BSGatlas-3'UTR-29")</f>
        <v>BSGatlas-3'UTR-29</v>
      </c>
      <c r="B30" s="3">
        <v>70012</v>
      </c>
      <c r="C30" s="3">
        <v>70028</v>
      </c>
      <c r="D30" s="1" t="s">
        <v>9</v>
      </c>
      <c r="E30" s="3">
        <v>17</v>
      </c>
      <c r="F30" s="1" t="s">
        <v>14086</v>
      </c>
      <c r="G30" s="1" t="s">
        <v>4502</v>
      </c>
    </row>
    <row r="31" spans="1:7" ht="21" x14ac:dyDescent="0.25">
      <c r="A31" s="2" t="str">
        <f>HYPERLINK("https://rth.dk/resources/bsgatlas/details.php?id=BSGatlas-3'UTR-30","BSGatlas-3'UTR-30")</f>
        <v>BSGatlas-3'UTR-30</v>
      </c>
      <c r="B31" s="3">
        <v>70012</v>
      </c>
      <c r="C31" s="3">
        <v>70078</v>
      </c>
      <c r="D31" s="1" t="s">
        <v>9</v>
      </c>
      <c r="E31" s="3">
        <v>67</v>
      </c>
      <c r="F31" s="1" t="s">
        <v>14086</v>
      </c>
      <c r="G31" s="1" t="s">
        <v>4503</v>
      </c>
    </row>
    <row r="32" spans="1:7" ht="21" x14ac:dyDescent="0.25">
      <c r="A32" s="2" t="str">
        <f>HYPERLINK("https://rth.dk/resources/bsgatlas/details.php?id=BSGatlas-3'UTR-31","BSGatlas-3'UTR-31")</f>
        <v>BSGatlas-3'UTR-31</v>
      </c>
      <c r="B32" s="3">
        <v>70338</v>
      </c>
      <c r="C32" s="3">
        <v>70386</v>
      </c>
      <c r="D32" s="1" t="s">
        <v>9</v>
      </c>
      <c r="E32" s="3">
        <v>49</v>
      </c>
      <c r="F32" s="1" t="s">
        <v>14087</v>
      </c>
      <c r="G32" s="1" t="s">
        <v>4513</v>
      </c>
    </row>
    <row r="33" spans="1:7" ht="21" x14ac:dyDescent="0.25">
      <c r="A33" s="2" t="str">
        <f>HYPERLINK("https://rth.dk/resources/bsgatlas/details.php?id=BSGatlas-3'UTR-32","BSGatlas-3'UTR-32")</f>
        <v>BSGatlas-3'UTR-32</v>
      </c>
      <c r="B33" s="3">
        <v>70338</v>
      </c>
      <c r="C33" s="3">
        <v>70601</v>
      </c>
      <c r="D33" s="1" t="s">
        <v>9</v>
      </c>
      <c r="E33" s="3">
        <v>264</v>
      </c>
      <c r="F33" s="1" t="s">
        <v>14087</v>
      </c>
      <c r="G33" s="1" t="s">
        <v>4514</v>
      </c>
    </row>
    <row r="34" spans="1:7" ht="21" x14ac:dyDescent="0.25">
      <c r="A34" s="2" t="str">
        <f>HYPERLINK("https://rth.dk/resources/bsgatlas/details.php?id=BSGatlas-3'UTR-33","BSGatlas-3'UTR-33")</f>
        <v>BSGatlas-3'UTR-33</v>
      </c>
      <c r="B34" s="3">
        <v>78897</v>
      </c>
      <c r="C34" s="3">
        <v>78953</v>
      </c>
      <c r="D34" s="1" t="s">
        <v>9</v>
      </c>
      <c r="E34" s="3">
        <v>57</v>
      </c>
      <c r="F34" s="1" t="s">
        <v>11800</v>
      </c>
      <c r="G34" s="1" t="s">
        <v>4517</v>
      </c>
    </row>
    <row r="35" spans="1:7" ht="21" x14ac:dyDescent="0.25">
      <c r="A35" s="2" t="str">
        <f>HYPERLINK("https://rth.dk/resources/bsgatlas/details.php?id=BSGatlas-3'UTR-34","BSGatlas-3'UTR-34")</f>
        <v>BSGatlas-3'UTR-34</v>
      </c>
      <c r="B35" s="3">
        <v>82697</v>
      </c>
      <c r="C35" s="3">
        <v>82742</v>
      </c>
      <c r="D35" s="1" t="s">
        <v>9</v>
      </c>
      <c r="E35" s="3">
        <v>46</v>
      </c>
      <c r="F35" s="1" t="s">
        <v>11802</v>
      </c>
      <c r="G35" s="1" t="s">
        <v>4532</v>
      </c>
    </row>
    <row r="36" spans="1:7" ht="21" x14ac:dyDescent="0.25">
      <c r="A36" s="2" t="str">
        <f>HYPERLINK("https://rth.dk/resources/bsgatlas/details.php?id=BSGatlas-3'UTR-35","BSGatlas-3'UTR-35")</f>
        <v>BSGatlas-3'UTR-35</v>
      </c>
      <c r="B36" s="3">
        <v>88635</v>
      </c>
      <c r="C36" s="3">
        <v>88694</v>
      </c>
      <c r="D36" s="1" t="s">
        <v>9</v>
      </c>
      <c r="E36" s="3">
        <v>60</v>
      </c>
      <c r="F36" s="1" t="s">
        <v>14088</v>
      </c>
      <c r="G36" s="1" t="s">
        <v>4537</v>
      </c>
    </row>
    <row r="37" spans="1:7" ht="21" x14ac:dyDescent="0.25">
      <c r="A37" s="2" t="str">
        <f>HYPERLINK("https://rth.dk/resources/bsgatlas/details.php?id=BSGatlas-3'UTR-36","BSGatlas-3'UTR-36")</f>
        <v>BSGatlas-3'UTR-36</v>
      </c>
      <c r="B37" s="3">
        <v>90226</v>
      </c>
      <c r="C37" s="3">
        <v>90282</v>
      </c>
      <c r="D37" s="1" t="s">
        <v>9</v>
      </c>
      <c r="E37" s="3">
        <v>57</v>
      </c>
      <c r="F37" s="1" t="s">
        <v>14089</v>
      </c>
      <c r="G37" s="1" t="s">
        <v>4539</v>
      </c>
    </row>
    <row r="38" spans="1:7" ht="21" x14ac:dyDescent="0.25">
      <c r="A38" s="2" t="str">
        <f>HYPERLINK("https://rth.dk/resources/bsgatlas/details.php?id=BSGatlas-3'UTR-37","BSGatlas-3'UTR-37")</f>
        <v>BSGatlas-3'UTR-37</v>
      </c>
      <c r="B38" s="3">
        <v>106004</v>
      </c>
      <c r="C38" s="3">
        <v>106021</v>
      </c>
      <c r="D38" s="1" t="s">
        <v>9</v>
      </c>
      <c r="E38" s="3">
        <v>18</v>
      </c>
      <c r="F38" s="1" t="s">
        <v>14090</v>
      </c>
      <c r="G38" s="1" t="s">
        <v>4551</v>
      </c>
    </row>
    <row r="39" spans="1:7" ht="21" x14ac:dyDescent="0.25">
      <c r="A39" s="2" t="str">
        <f>HYPERLINK("https://rth.dk/resources/bsgatlas/details.php?id=BSGatlas-3'UTR-38","BSGatlas-3'UTR-38")</f>
        <v>BSGatlas-3'UTR-38</v>
      </c>
      <c r="B39" s="3">
        <v>108558</v>
      </c>
      <c r="C39" s="3">
        <v>108614</v>
      </c>
      <c r="D39" s="1" t="s">
        <v>9</v>
      </c>
      <c r="E39" s="3">
        <v>57</v>
      </c>
      <c r="F39" s="1" t="s">
        <v>14091</v>
      </c>
      <c r="G39" s="1" t="s">
        <v>4553</v>
      </c>
    </row>
    <row r="40" spans="1:7" ht="21" x14ac:dyDescent="0.25">
      <c r="A40" s="2" t="str">
        <f>HYPERLINK("https://rth.dk/resources/bsgatlas/details.php?id=BSGatlas-3'UTR-39","BSGatlas-3'UTR-39")</f>
        <v>BSGatlas-3'UTR-39</v>
      </c>
      <c r="B40" s="3">
        <v>112731</v>
      </c>
      <c r="C40" s="3">
        <v>112766</v>
      </c>
      <c r="D40" s="1" t="s">
        <v>9</v>
      </c>
      <c r="E40" s="3">
        <v>36</v>
      </c>
      <c r="F40" s="1" t="s">
        <v>14092</v>
      </c>
      <c r="G40" s="1" t="s">
        <v>4562</v>
      </c>
    </row>
    <row r="41" spans="1:7" ht="21" x14ac:dyDescent="0.25">
      <c r="A41" s="2" t="str">
        <f>HYPERLINK("https://rth.dk/resources/bsgatlas/details.php?id=BSGatlas-3'UTR-40","BSGatlas-3'UTR-40")</f>
        <v>BSGatlas-3'UTR-40</v>
      </c>
      <c r="B41" s="3">
        <v>134072</v>
      </c>
      <c r="C41" s="3">
        <v>134089</v>
      </c>
      <c r="D41" s="1" t="s">
        <v>9</v>
      </c>
      <c r="E41" s="3">
        <v>18</v>
      </c>
      <c r="F41" s="1" t="s">
        <v>14093</v>
      </c>
      <c r="G41" s="1" t="s">
        <v>4577</v>
      </c>
    </row>
    <row r="42" spans="1:7" ht="21" x14ac:dyDescent="0.25">
      <c r="A42" s="2" t="str">
        <f>HYPERLINK("https://rth.dk/resources/bsgatlas/details.php?id=BSGatlas-3'UTR-41","BSGatlas-3'UTR-41")</f>
        <v>BSGatlas-3'UTR-41</v>
      </c>
      <c r="B42" s="3">
        <v>150315</v>
      </c>
      <c r="C42" s="3">
        <v>150339</v>
      </c>
      <c r="D42" s="1" t="s">
        <v>9</v>
      </c>
      <c r="E42" s="3">
        <v>25</v>
      </c>
      <c r="F42" s="1" t="s">
        <v>14094</v>
      </c>
      <c r="G42" s="1" t="s">
        <v>4581</v>
      </c>
    </row>
    <row r="43" spans="1:7" ht="21" x14ac:dyDescent="0.25">
      <c r="A43" s="2" t="str">
        <f>HYPERLINK("https://rth.dk/resources/bsgatlas/details.php?id=BSGatlas-3'UTR-42","BSGatlas-3'UTR-42")</f>
        <v>BSGatlas-3'UTR-42</v>
      </c>
      <c r="B43" s="3">
        <v>157325</v>
      </c>
      <c r="C43" s="3">
        <v>157347</v>
      </c>
      <c r="D43" s="1" t="s">
        <v>9</v>
      </c>
      <c r="E43" s="3">
        <v>23</v>
      </c>
      <c r="F43" s="1" t="s">
        <v>11821</v>
      </c>
      <c r="G43" s="1" t="s">
        <v>4594</v>
      </c>
    </row>
    <row r="44" spans="1:7" ht="21" x14ac:dyDescent="0.25">
      <c r="A44" s="2" t="str">
        <f>HYPERLINK("https://rth.dk/resources/bsgatlas/details.php?id=BSGatlas-3'UTR-43","BSGatlas-3'UTR-43")</f>
        <v>BSGatlas-3'UTR-43</v>
      </c>
      <c r="B44" s="3">
        <v>158017</v>
      </c>
      <c r="C44" s="3">
        <v>158515</v>
      </c>
      <c r="D44" s="1" t="s">
        <v>13</v>
      </c>
      <c r="E44" s="3">
        <v>499</v>
      </c>
      <c r="F44" s="1" t="s">
        <v>11823</v>
      </c>
      <c r="G44" s="1" t="s">
        <v>4599</v>
      </c>
    </row>
    <row r="45" spans="1:7" ht="21" x14ac:dyDescent="0.25">
      <c r="A45" s="2" t="str">
        <f>HYPERLINK("https://rth.dk/resources/bsgatlas/details.php?id=BSGatlas-3'UTR-44","BSGatlas-3'UTR-44")</f>
        <v>BSGatlas-3'UTR-44</v>
      </c>
      <c r="B45" s="3">
        <v>158467</v>
      </c>
      <c r="C45" s="3">
        <v>158515</v>
      </c>
      <c r="D45" s="1" t="s">
        <v>13</v>
      </c>
      <c r="E45" s="3">
        <v>49</v>
      </c>
      <c r="F45" s="1" t="s">
        <v>11823</v>
      </c>
      <c r="G45" s="1" t="s">
        <v>4600</v>
      </c>
    </row>
    <row r="46" spans="1:7" ht="21" x14ac:dyDescent="0.25">
      <c r="A46" s="2" t="str">
        <f>HYPERLINK("https://rth.dk/resources/bsgatlas/details.php?id=BSGatlas-3'UTR-45","BSGatlas-3'UTR-45")</f>
        <v>BSGatlas-3'UTR-45</v>
      </c>
      <c r="B46" s="3">
        <v>159116</v>
      </c>
      <c r="C46" s="3">
        <v>159779</v>
      </c>
      <c r="D46" s="1" t="s">
        <v>13</v>
      </c>
      <c r="E46" s="3">
        <v>664</v>
      </c>
      <c r="F46" s="1" t="s">
        <v>11824</v>
      </c>
      <c r="G46" s="1" t="s">
        <v>4602</v>
      </c>
    </row>
    <row r="47" spans="1:7" ht="21" x14ac:dyDescent="0.25">
      <c r="A47" s="2" t="str">
        <f>HYPERLINK("https://rth.dk/resources/bsgatlas/details.php?id=BSGatlas-3'UTR-46","BSGatlas-3'UTR-46")</f>
        <v>BSGatlas-3'UTR-46</v>
      </c>
      <c r="B47" s="3">
        <v>159586</v>
      </c>
      <c r="C47" s="3">
        <v>159779</v>
      </c>
      <c r="D47" s="1" t="s">
        <v>13</v>
      </c>
      <c r="E47" s="3">
        <v>194</v>
      </c>
      <c r="F47" s="1" t="s">
        <v>11824</v>
      </c>
      <c r="G47" s="1" t="s">
        <v>4603</v>
      </c>
    </row>
    <row r="48" spans="1:7" ht="21" x14ac:dyDescent="0.25">
      <c r="A48" s="2" t="str">
        <f>HYPERLINK("https://rth.dk/resources/bsgatlas/details.php?id=BSGatlas-3'UTR-47","BSGatlas-3'UTR-47")</f>
        <v>BSGatlas-3'UTR-47</v>
      </c>
      <c r="B48" s="3">
        <v>179576</v>
      </c>
      <c r="C48" s="3">
        <v>179595</v>
      </c>
      <c r="D48" s="1" t="s">
        <v>13</v>
      </c>
      <c r="E48" s="3">
        <v>20</v>
      </c>
      <c r="F48" s="1" t="s">
        <v>14095</v>
      </c>
      <c r="G48" s="1" t="s">
        <v>4611</v>
      </c>
    </row>
    <row r="49" spans="1:7" ht="21" x14ac:dyDescent="0.25">
      <c r="A49" s="2" t="str">
        <f>HYPERLINK("https://rth.dk/resources/bsgatlas/details.php?id=BSGatlas-3'UTR-48","BSGatlas-3'UTR-48")</f>
        <v>BSGatlas-3'UTR-48</v>
      </c>
      <c r="B49" s="3">
        <v>185143</v>
      </c>
      <c r="C49" s="3">
        <v>185194</v>
      </c>
      <c r="D49" s="1" t="s">
        <v>13</v>
      </c>
      <c r="E49" s="3">
        <v>52</v>
      </c>
      <c r="F49" s="1" t="s">
        <v>14096</v>
      </c>
      <c r="G49" s="1" t="s">
        <v>4617</v>
      </c>
    </row>
    <row r="50" spans="1:7" ht="21" x14ac:dyDescent="0.25">
      <c r="A50" s="2" t="str">
        <f>HYPERLINK("https://rth.dk/resources/bsgatlas/details.php?id=BSGatlas-3'UTR-49","BSGatlas-3'UTR-49")</f>
        <v>BSGatlas-3'UTR-49</v>
      </c>
      <c r="B50" s="3">
        <v>194621</v>
      </c>
      <c r="C50" s="3">
        <v>194661</v>
      </c>
      <c r="D50" s="1" t="s">
        <v>9</v>
      </c>
      <c r="E50" s="3">
        <v>41</v>
      </c>
      <c r="F50" s="1" t="s">
        <v>14097</v>
      </c>
      <c r="G50" s="1" t="s">
        <v>4622</v>
      </c>
    </row>
    <row r="51" spans="1:7" ht="21" x14ac:dyDescent="0.25">
      <c r="A51" s="2" t="str">
        <f>HYPERLINK("https://rth.dk/resources/bsgatlas/details.php?id=BSGatlas-3'UTR-50","BSGatlas-3'UTR-50")</f>
        <v>BSGatlas-3'UTR-50</v>
      </c>
      <c r="B51" s="3">
        <v>196052</v>
      </c>
      <c r="C51" s="3">
        <v>196088</v>
      </c>
      <c r="D51" s="1" t="s">
        <v>9</v>
      </c>
      <c r="E51" s="3">
        <v>37</v>
      </c>
      <c r="F51" s="1" t="s">
        <v>14098</v>
      </c>
      <c r="G51" s="1" t="s">
        <v>4625</v>
      </c>
    </row>
    <row r="52" spans="1:7" ht="21" x14ac:dyDescent="0.25">
      <c r="A52" s="2" t="str">
        <f>HYPERLINK("https://rth.dk/resources/bsgatlas/details.php?id=BSGatlas-3'UTR-51","BSGatlas-3'UTR-51")</f>
        <v>BSGatlas-3'UTR-51</v>
      </c>
      <c r="B52" s="3">
        <v>199843</v>
      </c>
      <c r="C52" s="3">
        <v>199860</v>
      </c>
      <c r="D52" s="1" t="s">
        <v>9</v>
      </c>
      <c r="E52" s="3">
        <v>18</v>
      </c>
      <c r="F52" s="1" t="s">
        <v>14099</v>
      </c>
      <c r="G52" s="1" t="s">
        <v>4629</v>
      </c>
    </row>
    <row r="53" spans="1:7" ht="21" x14ac:dyDescent="0.25">
      <c r="A53" s="2" t="str">
        <f>HYPERLINK("https://rth.dk/resources/bsgatlas/details.php?id=BSGatlas-3'UTR-52","BSGatlas-3'UTR-52")</f>
        <v>BSGatlas-3'UTR-52</v>
      </c>
      <c r="B53" s="3">
        <v>201769</v>
      </c>
      <c r="C53" s="3">
        <v>202547</v>
      </c>
      <c r="D53" s="1" t="s">
        <v>13</v>
      </c>
      <c r="E53" s="3">
        <v>779</v>
      </c>
      <c r="F53" s="1" t="s">
        <v>11836</v>
      </c>
      <c r="G53" s="1" t="s">
        <v>4636</v>
      </c>
    </row>
    <row r="54" spans="1:7" ht="21" x14ac:dyDescent="0.25">
      <c r="A54" s="2" t="str">
        <f>HYPERLINK("https://rth.dk/resources/bsgatlas/details.php?id=BSGatlas-3'UTR-53","BSGatlas-3'UTR-53")</f>
        <v>BSGatlas-3'UTR-53</v>
      </c>
      <c r="B54" s="3">
        <v>205238</v>
      </c>
      <c r="C54" s="3">
        <v>205308</v>
      </c>
      <c r="D54" s="1" t="s">
        <v>9</v>
      </c>
      <c r="E54" s="3">
        <v>71</v>
      </c>
      <c r="F54" s="1" t="s">
        <v>14100</v>
      </c>
      <c r="G54" s="1" t="s">
        <v>4641</v>
      </c>
    </row>
    <row r="55" spans="1:7" ht="21" x14ac:dyDescent="0.25">
      <c r="A55" s="2" t="str">
        <f>HYPERLINK("https://rth.dk/resources/bsgatlas/details.php?id=BSGatlas-3'UTR-54","BSGatlas-3'UTR-54")</f>
        <v>BSGatlas-3'UTR-54</v>
      </c>
      <c r="B55" s="3">
        <v>211731</v>
      </c>
      <c r="C55" s="3">
        <v>211746</v>
      </c>
      <c r="D55" s="1" t="s">
        <v>9</v>
      </c>
      <c r="E55" s="3">
        <v>16</v>
      </c>
      <c r="F55" s="1" t="s">
        <v>11838</v>
      </c>
      <c r="G55" s="1" t="s">
        <v>4644</v>
      </c>
    </row>
    <row r="56" spans="1:7" ht="21" x14ac:dyDescent="0.25">
      <c r="A56" s="2" t="str">
        <f>HYPERLINK("https://rth.dk/resources/bsgatlas/details.php?id=BSGatlas-3'UTR-55","BSGatlas-3'UTR-55")</f>
        <v>BSGatlas-3'UTR-55</v>
      </c>
      <c r="B56" s="3">
        <v>213031</v>
      </c>
      <c r="C56" s="3">
        <v>213086</v>
      </c>
      <c r="D56" s="1" t="s">
        <v>9</v>
      </c>
      <c r="E56" s="3">
        <v>56</v>
      </c>
      <c r="F56" s="1" t="s">
        <v>14101</v>
      </c>
      <c r="G56" s="1" t="s">
        <v>4647</v>
      </c>
    </row>
    <row r="57" spans="1:7" ht="21" x14ac:dyDescent="0.25">
      <c r="A57" s="2" t="str">
        <f>HYPERLINK("https://rth.dk/resources/bsgatlas/details.php?id=BSGatlas-3'UTR-56","BSGatlas-3'UTR-56")</f>
        <v>BSGatlas-3'UTR-56</v>
      </c>
      <c r="B57" s="3">
        <v>214108</v>
      </c>
      <c r="C57" s="3">
        <v>214163</v>
      </c>
      <c r="D57" s="1" t="s">
        <v>9</v>
      </c>
      <c r="E57" s="3">
        <v>56</v>
      </c>
      <c r="F57" s="1" t="s">
        <v>11839</v>
      </c>
      <c r="G57" s="1" t="s">
        <v>4651</v>
      </c>
    </row>
    <row r="58" spans="1:7" ht="21" x14ac:dyDescent="0.25">
      <c r="A58" s="2" t="str">
        <f>HYPERLINK("https://rth.dk/resources/bsgatlas/details.php?id=BSGatlas-3'UTR-57","BSGatlas-3'UTR-57")</f>
        <v>BSGatlas-3'UTR-57</v>
      </c>
      <c r="B58" s="3">
        <v>220032</v>
      </c>
      <c r="C58" s="3">
        <v>220119</v>
      </c>
      <c r="D58" s="1" t="s">
        <v>9</v>
      </c>
      <c r="E58" s="3">
        <v>88</v>
      </c>
      <c r="F58" s="1" t="s">
        <v>14102</v>
      </c>
      <c r="G58" s="1" t="s">
        <v>4653</v>
      </c>
    </row>
    <row r="59" spans="1:7" ht="21" x14ac:dyDescent="0.25">
      <c r="A59" s="2" t="str">
        <f>HYPERLINK("https://rth.dk/resources/bsgatlas/details.php?id=BSGatlas-3'UTR-58","BSGatlas-3'UTR-58")</f>
        <v>BSGatlas-3'UTR-58</v>
      </c>
      <c r="B59" s="3">
        <v>226248</v>
      </c>
      <c r="C59" s="3">
        <v>226289</v>
      </c>
      <c r="D59" s="1" t="s">
        <v>9</v>
      </c>
      <c r="E59" s="3">
        <v>42</v>
      </c>
      <c r="F59" s="1" t="s">
        <v>11845</v>
      </c>
      <c r="G59" s="1" t="s">
        <v>4663</v>
      </c>
    </row>
    <row r="60" spans="1:7" ht="21" x14ac:dyDescent="0.25">
      <c r="A60" s="2" t="str">
        <f>HYPERLINK("https://rth.dk/resources/bsgatlas/details.php?id=BSGatlas-3'UTR-59","BSGatlas-3'UTR-59")</f>
        <v>BSGatlas-3'UTR-59</v>
      </c>
      <c r="B60" s="3">
        <v>227954</v>
      </c>
      <c r="C60" s="3">
        <v>227999</v>
      </c>
      <c r="D60" s="1" t="s">
        <v>9</v>
      </c>
      <c r="E60" s="3">
        <v>46</v>
      </c>
      <c r="F60" s="1" t="s">
        <v>11846</v>
      </c>
      <c r="G60" s="1" t="s">
        <v>4665</v>
      </c>
    </row>
    <row r="61" spans="1:7" ht="21" x14ac:dyDescent="0.25">
      <c r="A61" s="2" t="str">
        <f>HYPERLINK("https://rth.dk/resources/bsgatlas/details.php?id=BSGatlas-3'UTR-60","BSGatlas-3'UTR-60")</f>
        <v>BSGatlas-3'UTR-60</v>
      </c>
      <c r="B61" s="3">
        <v>228230</v>
      </c>
      <c r="C61" s="3">
        <v>228549</v>
      </c>
      <c r="D61" s="1" t="s">
        <v>13</v>
      </c>
      <c r="E61" s="3">
        <v>320</v>
      </c>
      <c r="F61" s="1" t="s">
        <v>11848</v>
      </c>
      <c r="G61" s="1" t="s">
        <v>4670</v>
      </c>
    </row>
    <row r="62" spans="1:7" ht="21" x14ac:dyDescent="0.25">
      <c r="A62" s="2" t="str">
        <f>HYPERLINK("https://rth.dk/resources/bsgatlas/details.php?id=BSGatlas-3'UTR-61","BSGatlas-3'UTR-61")</f>
        <v>BSGatlas-3'UTR-61</v>
      </c>
      <c r="B62" s="3">
        <v>228522</v>
      </c>
      <c r="C62" s="3">
        <v>228557</v>
      </c>
      <c r="D62" s="1" t="s">
        <v>9</v>
      </c>
      <c r="E62" s="3">
        <v>36</v>
      </c>
      <c r="F62" s="1" t="s">
        <v>14103</v>
      </c>
      <c r="G62" s="1" t="s">
        <v>4668</v>
      </c>
    </row>
    <row r="63" spans="1:7" ht="21" x14ac:dyDescent="0.25">
      <c r="A63" s="2" t="str">
        <f>HYPERLINK("https://rth.dk/resources/bsgatlas/details.php?id=BSGatlas-3'UTR-62","BSGatlas-3'UTR-62")</f>
        <v>BSGatlas-3'UTR-62</v>
      </c>
      <c r="B63" s="3">
        <v>230772</v>
      </c>
      <c r="C63" s="3">
        <v>230819</v>
      </c>
      <c r="D63" s="1" t="s">
        <v>13</v>
      </c>
      <c r="E63" s="3">
        <v>48</v>
      </c>
      <c r="F63" s="1" t="s">
        <v>11850</v>
      </c>
      <c r="G63" s="1" t="s">
        <v>4675</v>
      </c>
    </row>
    <row r="64" spans="1:7" ht="21" x14ac:dyDescent="0.25">
      <c r="A64" s="2" t="str">
        <f>HYPERLINK("https://rth.dk/resources/bsgatlas/details.php?id=BSGatlas-3'UTR-63","BSGatlas-3'UTR-63")</f>
        <v>BSGatlas-3'UTR-63</v>
      </c>
      <c r="B64" s="3">
        <v>230778</v>
      </c>
      <c r="C64" s="3">
        <v>230826</v>
      </c>
      <c r="D64" s="1" t="s">
        <v>9</v>
      </c>
      <c r="E64" s="3">
        <v>49</v>
      </c>
      <c r="F64" s="1" t="s">
        <v>11849</v>
      </c>
      <c r="G64" s="1" t="s">
        <v>4672</v>
      </c>
    </row>
    <row r="65" spans="1:7" ht="21" x14ac:dyDescent="0.25">
      <c r="A65" s="2" t="str">
        <f>HYPERLINK("https://rth.dk/resources/bsgatlas/details.php?id=BSGatlas-3'UTR-64","BSGatlas-3'UTR-64")</f>
        <v>BSGatlas-3'UTR-64</v>
      </c>
      <c r="B65" s="3">
        <v>232967</v>
      </c>
      <c r="C65" s="3">
        <v>233014</v>
      </c>
      <c r="D65" s="1" t="s">
        <v>13</v>
      </c>
      <c r="E65" s="3">
        <v>48</v>
      </c>
      <c r="F65" s="1" t="s">
        <v>11852</v>
      </c>
      <c r="G65" s="1" t="s">
        <v>4680</v>
      </c>
    </row>
    <row r="66" spans="1:7" ht="21" x14ac:dyDescent="0.25">
      <c r="A66" s="2" t="str">
        <f>HYPERLINK("https://rth.dk/resources/bsgatlas/details.php?id=BSGatlas-3'UTR-65","BSGatlas-3'UTR-65")</f>
        <v>BSGatlas-3'UTR-65</v>
      </c>
      <c r="B66" s="3">
        <v>232967</v>
      </c>
      <c r="C66" s="3">
        <v>233018</v>
      </c>
      <c r="D66" s="1" t="s">
        <v>9</v>
      </c>
      <c r="E66" s="3">
        <v>52</v>
      </c>
      <c r="F66" s="1" t="s">
        <v>11851</v>
      </c>
      <c r="G66" s="1" t="s">
        <v>4678</v>
      </c>
    </row>
    <row r="67" spans="1:7" ht="21" x14ac:dyDescent="0.25">
      <c r="A67" s="2" t="str">
        <f>HYPERLINK("https://rth.dk/resources/bsgatlas/details.php?id=BSGatlas-3'UTR-66","BSGatlas-3'UTR-66")</f>
        <v>BSGatlas-3'UTR-66</v>
      </c>
      <c r="B67" s="3">
        <v>245046</v>
      </c>
      <c r="C67" s="3">
        <v>245095</v>
      </c>
      <c r="D67" s="1" t="s">
        <v>9</v>
      </c>
      <c r="E67" s="3">
        <v>50</v>
      </c>
      <c r="F67" s="1" t="s">
        <v>11858</v>
      </c>
      <c r="G67" s="1" t="s">
        <v>4699</v>
      </c>
    </row>
    <row r="68" spans="1:7" ht="21" x14ac:dyDescent="0.25">
      <c r="A68" s="2" t="str">
        <f>HYPERLINK("https://rth.dk/resources/bsgatlas/details.php?id=BSGatlas-3'UTR-67","BSGatlas-3'UTR-67")</f>
        <v>BSGatlas-3'UTR-67</v>
      </c>
      <c r="B68" s="3">
        <v>249540</v>
      </c>
      <c r="C68" s="3">
        <v>249585</v>
      </c>
      <c r="D68" s="1" t="s">
        <v>9</v>
      </c>
      <c r="E68" s="3">
        <v>46</v>
      </c>
      <c r="F68" s="1" t="s">
        <v>14104</v>
      </c>
      <c r="G68" s="1" t="s">
        <v>4707</v>
      </c>
    </row>
    <row r="69" spans="1:7" ht="21" x14ac:dyDescent="0.25">
      <c r="A69" s="2" t="str">
        <f>HYPERLINK("https://rth.dk/resources/bsgatlas/details.php?id=BSGatlas-3'UTR-68","BSGatlas-3'UTR-68")</f>
        <v>BSGatlas-3'UTR-68</v>
      </c>
      <c r="B69" s="3">
        <v>251319</v>
      </c>
      <c r="C69" s="3">
        <v>251361</v>
      </c>
      <c r="D69" s="1" t="s">
        <v>9</v>
      </c>
      <c r="E69" s="3">
        <v>43</v>
      </c>
      <c r="F69" s="1" t="s">
        <v>11862</v>
      </c>
      <c r="G69" s="1" t="s">
        <v>4712</v>
      </c>
    </row>
    <row r="70" spans="1:7" ht="21" x14ac:dyDescent="0.25">
      <c r="A70" s="2" t="str">
        <f>HYPERLINK("https://rth.dk/resources/bsgatlas/details.php?id=BSGatlas-3'UTR-69","BSGatlas-3'UTR-69")</f>
        <v>BSGatlas-3'UTR-69</v>
      </c>
      <c r="B70" s="3">
        <v>253482</v>
      </c>
      <c r="C70" s="3">
        <v>253501</v>
      </c>
      <c r="D70" s="1" t="s">
        <v>9</v>
      </c>
      <c r="E70" s="3">
        <v>20</v>
      </c>
      <c r="F70" s="1" t="s">
        <v>11864</v>
      </c>
      <c r="G70" s="1" t="s">
        <v>4715</v>
      </c>
    </row>
    <row r="71" spans="1:7" ht="21" x14ac:dyDescent="0.25">
      <c r="A71" s="2" t="str">
        <f>HYPERLINK("https://rth.dk/resources/bsgatlas/details.php?id=BSGatlas-3'UTR-70","BSGatlas-3'UTR-70")</f>
        <v>BSGatlas-3'UTR-70</v>
      </c>
      <c r="B71" s="3">
        <v>253496</v>
      </c>
      <c r="C71" s="3">
        <v>253518</v>
      </c>
      <c r="D71" s="1" t="s">
        <v>13</v>
      </c>
      <c r="E71" s="3">
        <v>23</v>
      </c>
      <c r="F71" s="1" t="s">
        <v>11865</v>
      </c>
      <c r="G71" s="1" t="s">
        <v>4720</v>
      </c>
    </row>
    <row r="72" spans="1:7" ht="21" x14ac:dyDescent="0.25">
      <c r="A72" s="2" t="str">
        <f>HYPERLINK("https://rth.dk/resources/bsgatlas/details.php?id=BSGatlas-3'UTR-71","BSGatlas-3'UTR-71")</f>
        <v>BSGatlas-3'UTR-71</v>
      </c>
      <c r="B72" s="3">
        <v>258807</v>
      </c>
      <c r="C72" s="3">
        <v>258849</v>
      </c>
      <c r="D72" s="1" t="s">
        <v>9</v>
      </c>
      <c r="E72" s="3">
        <v>43</v>
      </c>
      <c r="F72" s="1" t="s">
        <v>11868</v>
      </c>
      <c r="G72" s="1" t="s">
        <v>4728</v>
      </c>
    </row>
    <row r="73" spans="1:7" ht="21" x14ac:dyDescent="0.25">
      <c r="A73" s="2" t="str">
        <f>HYPERLINK("https://rth.dk/resources/bsgatlas/details.php?id=BSGatlas-3'UTR-72","BSGatlas-3'UTR-72")</f>
        <v>BSGatlas-3'UTR-72</v>
      </c>
      <c r="B73" s="3">
        <v>260086</v>
      </c>
      <c r="C73" s="3">
        <v>260134</v>
      </c>
      <c r="D73" s="1" t="s">
        <v>9</v>
      </c>
      <c r="E73" s="3">
        <v>49</v>
      </c>
      <c r="F73" s="1" t="s">
        <v>11869</v>
      </c>
      <c r="G73" s="1" t="s">
        <v>4733</v>
      </c>
    </row>
    <row r="74" spans="1:7" ht="21" x14ac:dyDescent="0.25">
      <c r="A74" s="2" t="str">
        <f>HYPERLINK("https://rth.dk/resources/bsgatlas/details.php?id=BSGatlas-3'UTR-73","BSGatlas-3'UTR-73")</f>
        <v>BSGatlas-3'UTR-73</v>
      </c>
      <c r="B74" s="3">
        <v>261568</v>
      </c>
      <c r="C74" s="3">
        <v>261656</v>
      </c>
      <c r="D74" s="1" t="s">
        <v>13</v>
      </c>
      <c r="E74" s="3">
        <v>89</v>
      </c>
      <c r="F74" s="1" t="s">
        <v>11871</v>
      </c>
      <c r="G74" s="1" t="s">
        <v>4738</v>
      </c>
    </row>
    <row r="75" spans="1:7" ht="21" x14ac:dyDescent="0.25">
      <c r="A75" s="2" t="str">
        <f>HYPERLINK("https://rth.dk/resources/bsgatlas/details.php?id=BSGatlas-3'UTR-74","BSGatlas-3'UTR-74")</f>
        <v>BSGatlas-3'UTR-74</v>
      </c>
      <c r="B75" s="3">
        <v>262684</v>
      </c>
      <c r="C75" s="3">
        <v>262732</v>
      </c>
      <c r="D75" s="1" t="s">
        <v>13</v>
      </c>
      <c r="E75" s="3">
        <v>49</v>
      </c>
      <c r="F75" s="1" t="s">
        <v>14105</v>
      </c>
      <c r="G75" s="1" t="s">
        <v>4741</v>
      </c>
    </row>
    <row r="76" spans="1:7" ht="21" x14ac:dyDescent="0.25">
      <c r="A76" s="2" t="str">
        <f>HYPERLINK("https://rth.dk/resources/bsgatlas/details.php?id=BSGatlas-3'UTR-75","BSGatlas-3'UTR-75")</f>
        <v>BSGatlas-3'UTR-75</v>
      </c>
      <c r="B76" s="3">
        <v>273938</v>
      </c>
      <c r="C76" s="3">
        <v>273954</v>
      </c>
      <c r="D76" s="1" t="s">
        <v>9</v>
      </c>
      <c r="E76" s="3">
        <v>17</v>
      </c>
      <c r="F76" s="1" t="s">
        <v>11875</v>
      </c>
      <c r="G76" s="1" t="s">
        <v>4747</v>
      </c>
    </row>
    <row r="77" spans="1:7" ht="21" x14ac:dyDescent="0.25">
      <c r="A77" s="2" t="str">
        <f>HYPERLINK("https://rth.dk/resources/bsgatlas/details.php?id=BSGatlas-3'UTR-76","BSGatlas-3'UTR-76")</f>
        <v>BSGatlas-3'UTR-76</v>
      </c>
      <c r="B77" s="3">
        <v>277062</v>
      </c>
      <c r="C77" s="3">
        <v>277089</v>
      </c>
      <c r="D77" s="1" t="s">
        <v>9</v>
      </c>
      <c r="E77" s="3">
        <v>28</v>
      </c>
      <c r="F77" s="1" t="s">
        <v>14106</v>
      </c>
      <c r="G77" s="1" t="s">
        <v>4754</v>
      </c>
    </row>
    <row r="78" spans="1:7" ht="21" x14ac:dyDescent="0.25">
      <c r="A78" s="2" t="str">
        <f>HYPERLINK("https://rth.dk/resources/bsgatlas/details.php?id=BSGatlas-3'UTR-77","BSGatlas-3'UTR-77")</f>
        <v>BSGatlas-3'UTR-77</v>
      </c>
      <c r="B78" s="3">
        <v>277321</v>
      </c>
      <c r="C78" s="3">
        <v>277408</v>
      </c>
      <c r="D78" s="1" t="s">
        <v>9</v>
      </c>
      <c r="E78" s="3">
        <v>88</v>
      </c>
      <c r="F78" s="1" t="s">
        <v>11876</v>
      </c>
      <c r="G78" s="1" t="s">
        <v>4751</v>
      </c>
    </row>
    <row r="79" spans="1:7" ht="21" x14ac:dyDescent="0.25">
      <c r="A79" s="2" t="str">
        <f>HYPERLINK("https://rth.dk/resources/bsgatlas/details.php?id=BSGatlas-3'UTR-78","BSGatlas-3'UTR-78")</f>
        <v>BSGatlas-3'UTR-78</v>
      </c>
      <c r="B79" s="3">
        <v>278280</v>
      </c>
      <c r="C79" s="3">
        <v>278348</v>
      </c>
      <c r="D79" s="1" t="s">
        <v>9</v>
      </c>
      <c r="E79" s="3">
        <v>69</v>
      </c>
      <c r="F79" s="1" t="s">
        <v>11877</v>
      </c>
      <c r="G79" s="1" t="s">
        <v>4753</v>
      </c>
    </row>
    <row r="80" spans="1:7" ht="21" x14ac:dyDescent="0.25">
      <c r="A80" s="2" t="str">
        <f>HYPERLINK("https://rth.dk/resources/bsgatlas/details.php?id=BSGatlas-3'UTR-79","BSGatlas-3'UTR-79")</f>
        <v>BSGatlas-3'UTR-79</v>
      </c>
      <c r="B80" s="3">
        <v>280523</v>
      </c>
      <c r="C80" s="3">
        <v>281675</v>
      </c>
      <c r="D80" s="1" t="s">
        <v>13</v>
      </c>
      <c r="E80" s="3">
        <v>1153</v>
      </c>
      <c r="F80" s="1" t="s">
        <v>14107</v>
      </c>
      <c r="G80" s="1" t="s">
        <v>4761</v>
      </c>
    </row>
    <row r="81" spans="1:7" ht="21" x14ac:dyDescent="0.25">
      <c r="A81" s="2" t="str">
        <f>HYPERLINK("https://rth.dk/resources/bsgatlas/details.php?id=BSGatlas-3'UTR-80","BSGatlas-3'UTR-80")</f>
        <v>BSGatlas-3'UTR-80</v>
      </c>
      <c r="B81" s="3">
        <v>281714</v>
      </c>
      <c r="C81" s="3">
        <v>281731</v>
      </c>
      <c r="D81" s="1" t="s">
        <v>9</v>
      </c>
      <c r="E81" s="3">
        <v>18</v>
      </c>
      <c r="F81" s="1" t="s">
        <v>14108</v>
      </c>
      <c r="G81" s="1" t="s">
        <v>4759</v>
      </c>
    </row>
    <row r="82" spans="1:7" ht="21" x14ac:dyDescent="0.25">
      <c r="A82" s="2" t="str">
        <f>HYPERLINK("https://rth.dk/resources/bsgatlas/details.php?id=BSGatlas-3'UTR-81","BSGatlas-3'UTR-81")</f>
        <v>BSGatlas-3'UTR-81</v>
      </c>
      <c r="B82" s="3">
        <v>282897</v>
      </c>
      <c r="C82" s="3">
        <v>282941</v>
      </c>
      <c r="D82" s="1" t="s">
        <v>9</v>
      </c>
      <c r="E82" s="3">
        <v>45</v>
      </c>
      <c r="F82" s="1" t="s">
        <v>11880</v>
      </c>
      <c r="G82" s="1" t="s">
        <v>4769</v>
      </c>
    </row>
    <row r="83" spans="1:7" ht="21" x14ac:dyDescent="0.25">
      <c r="A83" s="2" t="str">
        <f>HYPERLINK("https://rth.dk/resources/bsgatlas/details.php?id=BSGatlas-3'UTR-82","BSGatlas-3'UTR-82")</f>
        <v>BSGatlas-3'UTR-82</v>
      </c>
      <c r="B83" s="3">
        <v>283734</v>
      </c>
      <c r="C83" s="3">
        <v>283776</v>
      </c>
      <c r="D83" s="1" t="s">
        <v>9</v>
      </c>
      <c r="E83" s="3">
        <v>43</v>
      </c>
      <c r="F83" s="1" t="s">
        <v>11881</v>
      </c>
      <c r="G83" s="1" t="s">
        <v>4772</v>
      </c>
    </row>
    <row r="84" spans="1:7" ht="21" x14ac:dyDescent="0.25">
      <c r="A84" s="2" t="str">
        <f>HYPERLINK("https://rth.dk/resources/bsgatlas/details.php?id=BSGatlas-3'UTR-83","BSGatlas-3'UTR-83")</f>
        <v>BSGatlas-3'UTR-83</v>
      </c>
      <c r="B84" s="3">
        <v>286034</v>
      </c>
      <c r="C84" s="3">
        <v>286773</v>
      </c>
      <c r="D84" s="1" t="s">
        <v>13</v>
      </c>
      <c r="E84" s="3">
        <v>740</v>
      </c>
      <c r="F84" s="1" t="s">
        <v>11883</v>
      </c>
      <c r="G84" s="1" t="s">
        <v>4776</v>
      </c>
    </row>
    <row r="85" spans="1:7" ht="21" x14ac:dyDescent="0.25">
      <c r="A85" s="2" t="str">
        <f>HYPERLINK("https://rth.dk/resources/bsgatlas/details.php?id=BSGatlas-3'UTR-84","BSGatlas-3'UTR-84")</f>
        <v>BSGatlas-3'UTR-84</v>
      </c>
      <c r="B85" s="3">
        <v>288607</v>
      </c>
      <c r="C85" s="3">
        <v>288653</v>
      </c>
      <c r="D85" s="1" t="s">
        <v>13</v>
      </c>
      <c r="E85" s="3">
        <v>47</v>
      </c>
      <c r="F85" s="1" t="s">
        <v>14109</v>
      </c>
      <c r="G85" s="1" t="s">
        <v>4782</v>
      </c>
    </row>
    <row r="86" spans="1:7" ht="21" x14ac:dyDescent="0.25">
      <c r="A86" s="2" t="str">
        <f>HYPERLINK("https://rth.dk/resources/bsgatlas/details.php?id=BSGatlas-3'UTR-85","BSGatlas-3'UTR-85")</f>
        <v>BSGatlas-3'UTR-85</v>
      </c>
      <c r="B86" s="3">
        <v>288611</v>
      </c>
      <c r="C86" s="3">
        <v>288659</v>
      </c>
      <c r="D86" s="1" t="s">
        <v>9</v>
      </c>
      <c r="E86" s="3">
        <v>49</v>
      </c>
      <c r="F86" s="1" t="s">
        <v>11884</v>
      </c>
      <c r="G86" s="1" t="s">
        <v>4779</v>
      </c>
    </row>
    <row r="87" spans="1:7" ht="21" x14ac:dyDescent="0.25">
      <c r="A87" s="2" t="str">
        <f>HYPERLINK("https://rth.dk/resources/bsgatlas/details.php?id=BSGatlas-3'UTR-86","BSGatlas-3'UTR-86")</f>
        <v>BSGatlas-3'UTR-86</v>
      </c>
      <c r="B87" s="3">
        <v>292042</v>
      </c>
      <c r="C87" s="3">
        <v>292081</v>
      </c>
      <c r="D87" s="1" t="s">
        <v>9</v>
      </c>
      <c r="E87" s="3">
        <v>40</v>
      </c>
      <c r="F87" s="1" t="s">
        <v>11886</v>
      </c>
      <c r="G87" s="1" t="s">
        <v>4785</v>
      </c>
    </row>
    <row r="88" spans="1:7" ht="21" x14ac:dyDescent="0.25">
      <c r="A88" s="2" t="str">
        <f>HYPERLINK("https://rth.dk/resources/bsgatlas/details.php?id=BSGatlas-3'UTR-87","BSGatlas-3'UTR-87")</f>
        <v>BSGatlas-3'UTR-87</v>
      </c>
      <c r="B88" s="3">
        <v>292843</v>
      </c>
      <c r="C88" s="3">
        <v>292895</v>
      </c>
      <c r="D88" s="1" t="s">
        <v>9</v>
      </c>
      <c r="E88" s="3">
        <v>53</v>
      </c>
      <c r="F88" s="1" t="s">
        <v>11887</v>
      </c>
      <c r="G88" s="1" t="s">
        <v>4787</v>
      </c>
    </row>
    <row r="89" spans="1:7" ht="21" x14ac:dyDescent="0.25">
      <c r="A89" s="2" t="str">
        <f>HYPERLINK("https://rth.dk/resources/bsgatlas/details.php?id=BSGatlas-3'UTR-88","BSGatlas-3'UTR-88")</f>
        <v>BSGatlas-3'UTR-88</v>
      </c>
      <c r="B89" s="3">
        <v>294570</v>
      </c>
      <c r="C89" s="3">
        <v>294615</v>
      </c>
      <c r="D89" s="1" t="s">
        <v>13</v>
      </c>
      <c r="E89" s="3">
        <v>46</v>
      </c>
      <c r="F89" s="1" t="s">
        <v>14110</v>
      </c>
      <c r="G89" s="1" t="s">
        <v>4792</v>
      </c>
    </row>
    <row r="90" spans="1:7" ht="21" x14ac:dyDescent="0.25">
      <c r="A90" s="2" t="str">
        <f>HYPERLINK("https://rth.dk/resources/bsgatlas/details.php?id=BSGatlas-3'UTR-89","BSGatlas-3'UTR-89")</f>
        <v>BSGatlas-3'UTR-89</v>
      </c>
      <c r="B90" s="3">
        <v>294575</v>
      </c>
      <c r="C90" s="3">
        <v>294591</v>
      </c>
      <c r="D90" s="1" t="s">
        <v>9</v>
      </c>
      <c r="E90" s="3">
        <v>17</v>
      </c>
      <c r="F90" s="1" t="s">
        <v>11889</v>
      </c>
      <c r="G90" s="1" t="s">
        <v>4791</v>
      </c>
    </row>
    <row r="91" spans="1:7" ht="21" x14ac:dyDescent="0.25">
      <c r="A91" s="2" t="str">
        <f>HYPERLINK("https://rth.dk/resources/bsgatlas/details.php?id=BSGatlas-3'UTR-90","BSGatlas-3'UTR-90")</f>
        <v>BSGatlas-3'UTR-90</v>
      </c>
      <c r="B91" s="3">
        <v>298330</v>
      </c>
      <c r="C91" s="3">
        <v>298374</v>
      </c>
      <c r="D91" s="1" t="s">
        <v>9</v>
      </c>
      <c r="E91" s="3">
        <v>45</v>
      </c>
      <c r="F91" s="1" t="s">
        <v>14111</v>
      </c>
      <c r="G91" s="1" t="s">
        <v>4798</v>
      </c>
    </row>
    <row r="92" spans="1:7" ht="21" x14ac:dyDescent="0.25">
      <c r="A92" s="2" t="str">
        <f>HYPERLINK("https://rth.dk/resources/bsgatlas/details.php?id=BSGatlas-3'UTR-91","BSGatlas-3'UTR-91")</f>
        <v>BSGatlas-3'UTR-91</v>
      </c>
      <c r="B92" s="3">
        <v>299393</v>
      </c>
      <c r="C92" s="3">
        <v>299438</v>
      </c>
      <c r="D92" s="1" t="s">
        <v>13</v>
      </c>
      <c r="E92" s="3">
        <v>46</v>
      </c>
      <c r="F92" s="1" t="s">
        <v>14112</v>
      </c>
      <c r="G92" s="1" t="s">
        <v>4801</v>
      </c>
    </row>
    <row r="93" spans="1:7" ht="21" x14ac:dyDescent="0.25">
      <c r="A93" s="2" t="str">
        <f>HYPERLINK("https://rth.dk/resources/bsgatlas/details.php?id=BSGatlas-3'UTR-92","BSGatlas-3'UTR-92")</f>
        <v>BSGatlas-3'UTR-92</v>
      </c>
      <c r="B93" s="3">
        <v>299398</v>
      </c>
      <c r="C93" s="3">
        <v>299437</v>
      </c>
      <c r="D93" s="1" t="s">
        <v>9</v>
      </c>
      <c r="E93" s="3">
        <v>40</v>
      </c>
      <c r="F93" s="1" t="s">
        <v>11892</v>
      </c>
      <c r="G93" s="1" t="s">
        <v>4800</v>
      </c>
    </row>
    <row r="94" spans="1:7" ht="21" x14ac:dyDescent="0.25">
      <c r="A94" s="2" t="str">
        <f>HYPERLINK("https://rth.dk/resources/bsgatlas/details.php?id=BSGatlas-3'UTR-93","BSGatlas-3'UTR-93")</f>
        <v>BSGatlas-3'UTR-93</v>
      </c>
      <c r="B94" s="3">
        <v>302248</v>
      </c>
      <c r="C94" s="3">
        <v>302391</v>
      </c>
      <c r="D94" s="1" t="s">
        <v>9</v>
      </c>
      <c r="E94" s="3">
        <v>144</v>
      </c>
      <c r="F94" s="1" t="s">
        <v>14113</v>
      </c>
      <c r="G94" s="1" t="s">
        <v>4804</v>
      </c>
    </row>
    <row r="95" spans="1:7" ht="21" x14ac:dyDescent="0.25">
      <c r="A95" s="2" t="str">
        <f>HYPERLINK("https://rth.dk/resources/bsgatlas/details.php?id=BSGatlas-3'UTR-94","BSGatlas-3'UTR-94")</f>
        <v>BSGatlas-3'UTR-94</v>
      </c>
      <c r="B95" s="3">
        <v>305551</v>
      </c>
      <c r="C95" s="3">
        <v>305595</v>
      </c>
      <c r="D95" s="1" t="s">
        <v>9</v>
      </c>
      <c r="E95" s="3">
        <v>45</v>
      </c>
      <c r="F95" s="1" t="s">
        <v>11896</v>
      </c>
      <c r="G95" s="1" t="s">
        <v>4808</v>
      </c>
    </row>
    <row r="96" spans="1:7" ht="21" x14ac:dyDescent="0.25">
      <c r="A96" s="2" t="str">
        <f>HYPERLINK("https://rth.dk/resources/bsgatlas/details.php?id=BSGatlas-3'UTR-95","BSGatlas-3'UTR-95")</f>
        <v>BSGatlas-3'UTR-95</v>
      </c>
      <c r="B96" s="3">
        <v>308144</v>
      </c>
      <c r="C96" s="3">
        <v>308163</v>
      </c>
      <c r="D96" s="1" t="s">
        <v>9</v>
      </c>
      <c r="E96" s="3">
        <v>20</v>
      </c>
      <c r="F96" s="1" t="s">
        <v>14114</v>
      </c>
      <c r="G96" s="1" t="s">
        <v>4812</v>
      </c>
    </row>
    <row r="97" spans="1:7" ht="21" x14ac:dyDescent="0.25">
      <c r="A97" s="2" t="str">
        <f>HYPERLINK("https://rth.dk/resources/bsgatlas/details.php?id=BSGatlas-3'UTR-96","BSGatlas-3'UTR-96")</f>
        <v>BSGatlas-3'UTR-96</v>
      </c>
      <c r="B97" s="3">
        <v>310842</v>
      </c>
      <c r="C97" s="3">
        <v>310889</v>
      </c>
      <c r="D97" s="1" t="s">
        <v>9</v>
      </c>
      <c r="E97" s="3">
        <v>48</v>
      </c>
      <c r="F97" s="1" t="s">
        <v>14115</v>
      </c>
      <c r="G97" s="1" t="s">
        <v>4816</v>
      </c>
    </row>
    <row r="98" spans="1:7" ht="21" x14ac:dyDescent="0.25">
      <c r="A98" s="2" t="str">
        <f>HYPERLINK("https://rth.dk/resources/bsgatlas/details.php?id=BSGatlas-3'UTR-97","BSGatlas-3'UTR-97")</f>
        <v>BSGatlas-3'UTR-97</v>
      </c>
      <c r="B98" s="3">
        <v>317603</v>
      </c>
      <c r="C98" s="3">
        <v>317651</v>
      </c>
      <c r="D98" s="1" t="s">
        <v>9</v>
      </c>
      <c r="E98" s="3">
        <v>49</v>
      </c>
      <c r="F98" s="1" t="s">
        <v>14116</v>
      </c>
      <c r="G98" s="1" t="s">
        <v>4826</v>
      </c>
    </row>
    <row r="99" spans="1:7" ht="21" x14ac:dyDescent="0.25">
      <c r="A99" s="2" t="str">
        <f>HYPERLINK("https://rth.dk/resources/bsgatlas/details.php?id=BSGatlas-3'UTR-98","BSGatlas-3'UTR-98")</f>
        <v>BSGatlas-3'UTR-98</v>
      </c>
      <c r="B99" s="3">
        <v>323994</v>
      </c>
      <c r="C99" s="3">
        <v>324038</v>
      </c>
      <c r="D99" s="1" t="s">
        <v>13</v>
      </c>
      <c r="E99" s="3">
        <v>45</v>
      </c>
      <c r="F99" s="1" t="s">
        <v>11904</v>
      </c>
      <c r="G99" s="1" t="s">
        <v>4841</v>
      </c>
    </row>
    <row r="100" spans="1:7" ht="21" x14ac:dyDescent="0.25">
      <c r="A100" s="2" t="str">
        <f>HYPERLINK("https://rth.dk/resources/bsgatlas/details.php?id=BSGatlas-3'UTR-99","BSGatlas-3'UTR-99")</f>
        <v>BSGatlas-3'UTR-99</v>
      </c>
      <c r="B100" s="3">
        <v>324000</v>
      </c>
      <c r="C100" s="3">
        <v>324042</v>
      </c>
      <c r="D100" s="1" t="s">
        <v>9</v>
      </c>
      <c r="E100" s="3">
        <v>43</v>
      </c>
      <c r="F100" s="1" t="s">
        <v>14117</v>
      </c>
      <c r="G100" s="1" t="s">
        <v>4837</v>
      </c>
    </row>
    <row r="101" spans="1:7" ht="21" x14ac:dyDescent="0.25">
      <c r="A101" s="2" t="str">
        <f>HYPERLINK("https://rth.dk/resources/bsgatlas/details.php?id=BSGatlas-3'UTR-100","BSGatlas-3'UTR-100")</f>
        <v>BSGatlas-3'UTR-100</v>
      </c>
      <c r="B101" s="3">
        <v>326772</v>
      </c>
      <c r="C101" s="3">
        <v>326818</v>
      </c>
      <c r="D101" s="1" t="s">
        <v>9</v>
      </c>
      <c r="E101" s="3">
        <v>47</v>
      </c>
      <c r="F101" s="1" t="s">
        <v>11905</v>
      </c>
      <c r="G101" s="1" t="s">
        <v>4843</v>
      </c>
    </row>
    <row r="102" spans="1:7" ht="21" x14ac:dyDescent="0.25">
      <c r="A102" s="2" t="str">
        <f>HYPERLINK("https://rth.dk/resources/bsgatlas/details.php?id=BSGatlas-3'UTR-101","BSGatlas-3'UTR-101")</f>
        <v>BSGatlas-3'UTR-101</v>
      </c>
      <c r="B102" s="3">
        <v>329597</v>
      </c>
      <c r="C102" s="3">
        <v>329661</v>
      </c>
      <c r="D102" s="1" t="s">
        <v>9</v>
      </c>
      <c r="E102" s="3">
        <v>65</v>
      </c>
      <c r="F102" s="1" t="s">
        <v>11907</v>
      </c>
      <c r="G102" s="1" t="s">
        <v>4846</v>
      </c>
    </row>
    <row r="103" spans="1:7" ht="21" x14ac:dyDescent="0.25">
      <c r="A103" s="2" t="str">
        <f>HYPERLINK("https://rth.dk/resources/bsgatlas/details.php?id=BSGatlas-3'UTR-102","BSGatlas-3'UTR-102")</f>
        <v>BSGatlas-3'UTR-102</v>
      </c>
      <c r="B103" s="3">
        <v>330739</v>
      </c>
      <c r="C103" s="3">
        <v>330799</v>
      </c>
      <c r="D103" s="1" t="s">
        <v>9</v>
      </c>
      <c r="E103" s="3">
        <v>61</v>
      </c>
      <c r="F103" s="1" t="s">
        <v>11908</v>
      </c>
      <c r="G103" s="1" t="s">
        <v>4851</v>
      </c>
    </row>
    <row r="104" spans="1:7" ht="21" x14ac:dyDescent="0.25">
      <c r="A104" s="2" t="str">
        <f>HYPERLINK("https://rth.dk/resources/bsgatlas/details.php?id=BSGatlas-3'UTR-103","BSGatlas-3'UTR-103")</f>
        <v>BSGatlas-3'UTR-103</v>
      </c>
      <c r="B104" s="3">
        <v>332391</v>
      </c>
      <c r="C104" s="3">
        <v>332441</v>
      </c>
      <c r="D104" s="1" t="s">
        <v>13</v>
      </c>
      <c r="E104" s="3">
        <v>51</v>
      </c>
      <c r="F104" s="1" t="s">
        <v>11909</v>
      </c>
      <c r="G104" s="1" t="s">
        <v>4855</v>
      </c>
    </row>
    <row r="105" spans="1:7" ht="21" x14ac:dyDescent="0.25">
      <c r="A105" s="2" t="str">
        <f>HYPERLINK("https://rth.dk/resources/bsgatlas/details.php?id=BSGatlas-3'UTR-104","BSGatlas-3'UTR-104")</f>
        <v>BSGatlas-3'UTR-104</v>
      </c>
      <c r="B105" s="3">
        <v>332396</v>
      </c>
      <c r="C105" s="3">
        <v>332445</v>
      </c>
      <c r="D105" s="1" t="s">
        <v>9</v>
      </c>
      <c r="E105" s="3">
        <v>50</v>
      </c>
      <c r="F105" s="1" t="s">
        <v>14118</v>
      </c>
      <c r="G105" s="1" t="s">
        <v>4853</v>
      </c>
    </row>
    <row r="106" spans="1:7" ht="21" x14ac:dyDescent="0.25">
      <c r="A106" s="2" t="str">
        <f>HYPERLINK("https://rth.dk/resources/bsgatlas/details.php?id=BSGatlas-3'UTR-105","BSGatlas-3'UTR-105")</f>
        <v>BSGatlas-3'UTR-105</v>
      </c>
      <c r="B106" s="3">
        <v>335696</v>
      </c>
      <c r="C106" s="3">
        <v>336092</v>
      </c>
      <c r="D106" s="1" t="s">
        <v>13</v>
      </c>
      <c r="E106" s="3">
        <v>397</v>
      </c>
      <c r="F106" s="1" t="s">
        <v>11913</v>
      </c>
      <c r="G106" s="1" t="s">
        <v>4865</v>
      </c>
    </row>
    <row r="107" spans="1:7" ht="21" x14ac:dyDescent="0.25">
      <c r="A107" s="2" t="str">
        <f>HYPERLINK("https://rth.dk/resources/bsgatlas/details.php?id=BSGatlas-3'UTR-106","BSGatlas-3'UTR-106")</f>
        <v>BSGatlas-3'UTR-106</v>
      </c>
      <c r="B107" s="3">
        <v>336090</v>
      </c>
      <c r="C107" s="3">
        <v>336123</v>
      </c>
      <c r="D107" s="1" t="s">
        <v>9</v>
      </c>
      <c r="E107" s="3">
        <v>34</v>
      </c>
      <c r="F107" s="1" t="s">
        <v>11912</v>
      </c>
      <c r="G107" s="1" t="s">
        <v>4860</v>
      </c>
    </row>
    <row r="108" spans="1:7" ht="21" x14ac:dyDescent="0.25">
      <c r="A108" s="2" t="str">
        <f>HYPERLINK("https://rth.dk/resources/bsgatlas/details.php?id=BSGatlas-3'UTR-107","BSGatlas-3'UTR-107")</f>
        <v>BSGatlas-3'UTR-107</v>
      </c>
      <c r="B108" s="3">
        <v>338261</v>
      </c>
      <c r="C108" s="3">
        <v>339156</v>
      </c>
      <c r="D108" s="1" t="s">
        <v>13</v>
      </c>
      <c r="E108" s="3">
        <v>896</v>
      </c>
      <c r="F108" s="1" t="s">
        <v>11916</v>
      </c>
      <c r="G108" s="1" t="s">
        <v>4872</v>
      </c>
    </row>
    <row r="109" spans="1:7" ht="21" x14ac:dyDescent="0.25">
      <c r="A109" s="2" t="str">
        <f>HYPERLINK("https://rth.dk/resources/bsgatlas/details.php?id=BSGatlas-3'UTR-108","BSGatlas-3'UTR-108")</f>
        <v>BSGatlas-3'UTR-108</v>
      </c>
      <c r="B109" s="3">
        <v>339102</v>
      </c>
      <c r="C109" s="3">
        <v>339156</v>
      </c>
      <c r="D109" s="1" t="s">
        <v>13</v>
      </c>
      <c r="E109" s="3">
        <v>55</v>
      </c>
      <c r="F109" s="1" t="s">
        <v>11916</v>
      </c>
      <c r="G109" s="1" t="s">
        <v>4873</v>
      </c>
    </row>
    <row r="110" spans="1:7" ht="21" x14ac:dyDescent="0.25">
      <c r="A110" s="2" t="str">
        <f>HYPERLINK("https://rth.dk/resources/bsgatlas/details.php?id=BSGatlas-3'UTR-109","BSGatlas-3'UTR-109")</f>
        <v>BSGatlas-3'UTR-109</v>
      </c>
      <c r="B110" s="3">
        <v>339106</v>
      </c>
      <c r="C110" s="3">
        <v>339150</v>
      </c>
      <c r="D110" s="1" t="s">
        <v>9</v>
      </c>
      <c r="E110" s="3">
        <v>45</v>
      </c>
      <c r="F110" s="1" t="s">
        <v>11915</v>
      </c>
      <c r="G110" s="1" t="s">
        <v>4869</v>
      </c>
    </row>
    <row r="111" spans="1:7" ht="21" x14ac:dyDescent="0.25">
      <c r="A111" s="2" t="str">
        <f>HYPERLINK("https://rth.dk/resources/bsgatlas/details.php?id=BSGatlas-3'UTR-110","BSGatlas-3'UTR-110")</f>
        <v>BSGatlas-3'UTR-110</v>
      </c>
      <c r="B111" s="3">
        <v>339141</v>
      </c>
      <c r="C111" s="3">
        <v>339156</v>
      </c>
      <c r="D111" s="1" t="s">
        <v>13</v>
      </c>
      <c r="E111" s="3">
        <v>16</v>
      </c>
      <c r="F111" s="1" t="s">
        <v>11916</v>
      </c>
      <c r="G111" s="1" t="s">
        <v>4874</v>
      </c>
    </row>
    <row r="112" spans="1:7" ht="21" x14ac:dyDescent="0.25">
      <c r="A112" s="2" t="str">
        <f>HYPERLINK("https://rth.dk/resources/bsgatlas/details.php?id=BSGatlas-3'UTR-111","BSGatlas-3'UTR-111")</f>
        <v>BSGatlas-3'UTR-111</v>
      </c>
      <c r="B112" s="3">
        <v>340585</v>
      </c>
      <c r="C112" s="3">
        <v>340622</v>
      </c>
      <c r="D112" s="1" t="s">
        <v>9</v>
      </c>
      <c r="E112" s="3">
        <v>38</v>
      </c>
      <c r="F112" s="1" t="s">
        <v>11917</v>
      </c>
      <c r="G112" s="1" t="s">
        <v>4877</v>
      </c>
    </row>
    <row r="113" spans="1:7" ht="21" x14ac:dyDescent="0.25">
      <c r="A113" s="2" t="str">
        <f>HYPERLINK("https://rth.dk/resources/bsgatlas/details.php?id=BSGatlas-3'UTR-112","BSGatlas-3'UTR-112")</f>
        <v>BSGatlas-3'UTR-112</v>
      </c>
      <c r="B113" s="3">
        <v>343494</v>
      </c>
      <c r="C113" s="3">
        <v>343543</v>
      </c>
      <c r="D113" s="1" t="s">
        <v>9</v>
      </c>
      <c r="E113" s="3">
        <v>50</v>
      </c>
      <c r="F113" s="1" t="s">
        <v>14119</v>
      </c>
      <c r="G113" s="1" t="s">
        <v>4883</v>
      </c>
    </row>
    <row r="114" spans="1:7" ht="21" x14ac:dyDescent="0.25">
      <c r="A114" s="2" t="str">
        <f>HYPERLINK("https://rth.dk/resources/bsgatlas/details.php?id=BSGatlas-3'UTR-113","BSGatlas-3'UTR-113")</f>
        <v>BSGatlas-3'UTR-113</v>
      </c>
      <c r="B114" s="3">
        <v>347026</v>
      </c>
      <c r="C114" s="3">
        <v>347065</v>
      </c>
      <c r="D114" s="1" t="s">
        <v>9</v>
      </c>
      <c r="E114" s="3">
        <v>40</v>
      </c>
      <c r="F114" s="1" t="s">
        <v>14120</v>
      </c>
      <c r="G114" s="1" t="s">
        <v>4891</v>
      </c>
    </row>
    <row r="115" spans="1:7" ht="21" x14ac:dyDescent="0.25">
      <c r="A115" s="2" t="str">
        <f>HYPERLINK("https://rth.dk/resources/bsgatlas/details.php?id=BSGatlas-3'UTR-114","BSGatlas-3'UTR-114")</f>
        <v>BSGatlas-3'UTR-114</v>
      </c>
      <c r="B115" s="3">
        <v>349921</v>
      </c>
      <c r="C115" s="3">
        <v>349996</v>
      </c>
      <c r="D115" s="1" t="s">
        <v>13</v>
      </c>
      <c r="E115" s="3">
        <v>76</v>
      </c>
      <c r="F115" s="1" t="s">
        <v>14121</v>
      </c>
      <c r="G115" s="1" t="s">
        <v>4901</v>
      </c>
    </row>
    <row r="116" spans="1:7" ht="21" x14ac:dyDescent="0.25">
      <c r="A116" s="2" t="str">
        <f>HYPERLINK("https://rth.dk/resources/bsgatlas/details.php?id=BSGatlas-3'UTR-115","BSGatlas-3'UTR-115")</f>
        <v>BSGatlas-3'UTR-115</v>
      </c>
      <c r="B116" s="3">
        <v>353856</v>
      </c>
      <c r="C116" s="3">
        <v>353900</v>
      </c>
      <c r="D116" s="1" t="s">
        <v>13</v>
      </c>
      <c r="E116" s="3">
        <v>45</v>
      </c>
      <c r="F116" s="1" t="s">
        <v>14122</v>
      </c>
      <c r="G116" s="1" t="s">
        <v>4910</v>
      </c>
    </row>
    <row r="117" spans="1:7" ht="21" x14ac:dyDescent="0.25">
      <c r="A117" s="2" t="str">
        <f>HYPERLINK("https://rth.dk/resources/bsgatlas/details.php?id=BSGatlas-3'UTR-116","BSGatlas-3'UTR-116")</f>
        <v>BSGatlas-3'UTR-116</v>
      </c>
      <c r="B117" s="3">
        <v>353868</v>
      </c>
      <c r="C117" s="3">
        <v>353929</v>
      </c>
      <c r="D117" s="1" t="s">
        <v>9</v>
      </c>
      <c r="E117" s="3">
        <v>62</v>
      </c>
      <c r="F117" s="1" t="s">
        <v>11925</v>
      </c>
      <c r="G117" s="1" t="s">
        <v>4907</v>
      </c>
    </row>
    <row r="118" spans="1:7" ht="21" x14ac:dyDescent="0.25">
      <c r="A118" s="2" t="str">
        <f>HYPERLINK("https://rth.dk/resources/bsgatlas/details.php?id=BSGatlas-3'UTR-117","BSGatlas-3'UTR-117")</f>
        <v>BSGatlas-3'UTR-117</v>
      </c>
      <c r="B118" s="3">
        <v>364142</v>
      </c>
      <c r="C118" s="3">
        <v>364187</v>
      </c>
      <c r="D118" s="1" t="s">
        <v>9</v>
      </c>
      <c r="E118" s="3">
        <v>46</v>
      </c>
      <c r="F118" s="1" t="s">
        <v>11928</v>
      </c>
      <c r="G118" s="1" t="s">
        <v>4916</v>
      </c>
    </row>
    <row r="119" spans="1:7" ht="21" x14ac:dyDescent="0.25">
      <c r="A119" s="2" t="str">
        <f>HYPERLINK("https://rth.dk/resources/bsgatlas/details.php?id=BSGatlas-3'UTR-118","BSGatlas-3'UTR-118")</f>
        <v>BSGatlas-3'UTR-118</v>
      </c>
      <c r="B119" s="3">
        <v>367256</v>
      </c>
      <c r="C119" s="3">
        <v>367298</v>
      </c>
      <c r="D119" s="1" t="s">
        <v>9</v>
      </c>
      <c r="E119" s="3">
        <v>43</v>
      </c>
      <c r="F119" s="1" t="s">
        <v>14123</v>
      </c>
      <c r="G119" s="1" t="s">
        <v>4919</v>
      </c>
    </row>
    <row r="120" spans="1:7" ht="21" x14ac:dyDescent="0.25">
      <c r="A120" s="2" t="str">
        <f>HYPERLINK("https://rth.dk/resources/bsgatlas/details.php?id=BSGatlas-3'UTR-119","BSGatlas-3'UTR-119")</f>
        <v>BSGatlas-3'UTR-119</v>
      </c>
      <c r="B120" s="3">
        <v>367289</v>
      </c>
      <c r="C120" s="3">
        <v>367305</v>
      </c>
      <c r="D120" s="1" t="s">
        <v>13</v>
      </c>
      <c r="E120" s="3">
        <v>17</v>
      </c>
      <c r="F120" s="1" t="s">
        <v>14124</v>
      </c>
      <c r="G120" s="1" t="s">
        <v>4924</v>
      </c>
    </row>
    <row r="121" spans="1:7" ht="21" x14ac:dyDescent="0.25">
      <c r="A121" s="2" t="str">
        <f>HYPERLINK("https://rth.dk/resources/bsgatlas/details.php?id=BSGatlas-3'UTR-120","BSGatlas-3'UTR-120")</f>
        <v>BSGatlas-3'UTR-120</v>
      </c>
      <c r="B121" s="3">
        <v>369691</v>
      </c>
      <c r="C121" s="3">
        <v>369716</v>
      </c>
      <c r="D121" s="1" t="s">
        <v>9</v>
      </c>
      <c r="E121" s="3">
        <v>26</v>
      </c>
      <c r="F121" s="1" t="s">
        <v>11933</v>
      </c>
      <c r="G121" s="1" t="s">
        <v>4927</v>
      </c>
    </row>
    <row r="122" spans="1:7" ht="21" x14ac:dyDescent="0.25">
      <c r="A122" s="2" t="str">
        <f>HYPERLINK("https://rth.dk/resources/bsgatlas/details.php?id=BSGatlas-3'UTR-121","BSGatlas-3'UTR-121")</f>
        <v>BSGatlas-3'UTR-121</v>
      </c>
      <c r="B122" s="3">
        <v>370105</v>
      </c>
      <c r="C122" s="3">
        <v>370150</v>
      </c>
      <c r="D122" s="1" t="s">
        <v>9</v>
      </c>
      <c r="E122" s="3">
        <v>46</v>
      </c>
      <c r="F122" s="1" t="s">
        <v>11934</v>
      </c>
      <c r="G122" s="1" t="s">
        <v>4929</v>
      </c>
    </row>
    <row r="123" spans="1:7" ht="21" x14ac:dyDescent="0.25">
      <c r="A123" s="2" t="str">
        <f>HYPERLINK("https://rth.dk/resources/bsgatlas/details.php?id=BSGatlas-3'UTR-122","BSGatlas-3'UTR-122")</f>
        <v>BSGatlas-3'UTR-122</v>
      </c>
      <c r="B123" s="3">
        <v>371269</v>
      </c>
      <c r="C123" s="3">
        <v>371729</v>
      </c>
      <c r="D123" s="1" t="s">
        <v>13</v>
      </c>
      <c r="E123" s="3">
        <v>461</v>
      </c>
      <c r="F123" s="1" t="s">
        <v>11936</v>
      </c>
      <c r="G123" s="1" t="s">
        <v>4933</v>
      </c>
    </row>
    <row r="124" spans="1:7" ht="21" x14ac:dyDescent="0.25">
      <c r="A124" s="2" t="str">
        <f>HYPERLINK("https://rth.dk/resources/bsgatlas/details.php?id=BSGatlas-3'UTR-123","BSGatlas-3'UTR-123")</f>
        <v>BSGatlas-3'UTR-123</v>
      </c>
      <c r="B124" s="3">
        <v>371681</v>
      </c>
      <c r="C124" s="3">
        <v>371729</v>
      </c>
      <c r="D124" s="1" t="s">
        <v>13</v>
      </c>
      <c r="E124" s="3">
        <v>49</v>
      </c>
      <c r="F124" s="1" t="s">
        <v>11936</v>
      </c>
      <c r="G124" s="1" t="s">
        <v>4937</v>
      </c>
    </row>
    <row r="125" spans="1:7" ht="21" x14ac:dyDescent="0.25">
      <c r="A125" s="2" t="str">
        <f>HYPERLINK("https://rth.dk/resources/bsgatlas/details.php?id=BSGatlas-3'UTR-124","BSGatlas-3'UTR-124")</f>
        <v>BSGatlas-3'UTR-124</v>
      </c>
      <c r="B125" s="3">
        <v>371692</v>
      </c>
      <c r="C125" s="3">
        <v>371736</v>
      </c>
      <c r="D125" s="1" t="s">
        <v>9</v>
      </c>
      <c r="E125" s="3">
        <v>45</v>
      </c>
      <c r="F125" s="1" t="s">
        <v>11935</v>
      </c>
      <c r="G125" s="1" t="s">
        <v>4931</v>
      </c>
    </row>
    <row r="126" spans="1:7" ht="21" x14ac:dyDescent="0.25">
      <c r="A126" s="2" t="str">
        <f>HYPERLINK("https://rth.dk/resources/bsgatlas/details.php?id=BSGatlas-3'UTR-125","BSGatlas-3'UTR-125")</f>
        <v>BSGatlas-3'UTR-125</v>
      </c>
      <c r="B126" s="3">
        <v>374557</v>
      </c>
      <c r="C126" s="3">
        <v>374603</v>
      </c>
      <c r="D126" s="1" t="s">
        <v>13</v>
      </c>
      <c r="E126" s="3">
        <v>47</v>
      </c>
      <c r="F126" s="1" t="s">
        <v>14125</v>
      </c>
      <c r="G126" s="1" t="s">
        <v>4941</v>
      </c>
    </row>
    <row r="127" spans="1:7" ht="21" x14ac:dyDescent="0.25">
      <c r="A127" s="2" t="str">
        <f>HYPERLINK("https://rth.dk/resources/bsgatlas/details.php?id=BSGatlas-3'UTR-126","BSGatlas-3'UTR-126")</f>
        <v>BSGatlas-3'UTR-126</v>
      </c>
      <c r="B127" s="3">
        <v>376394</v>
      </c>
      <c r="C127" s="3">
        <v>376430</v>
      </c>
      <c r="D127" s="1" t="s">
        <v>9</v>
      </c>
      <c r="E127" s="3">
        <v>37</v>
      </c>
      <c r="F127" s="1" t="s">
        <v>11940</v>
      </c>
      <c r="G127" s="1" t="s">
        <v>4943</v>
      </c>
    </row>
    <row r="128" spans="1:7" ht="21" x14ac:dyDescent="0.25">
      <c r="A128" s="2" t="str">
        <f>HYPERLINK("https://rth.dk/resources/bsgatlas/details.php?id=BSGatlas-3'UTR-127","BSGatlas-3'UTR-127")</f>
        <v>BSGatlas-3'UTR-127</v>
      </c>
      <c r="B128" s="3">
        <v>403116</v>
      </c>
      <c r="C128" s="3">
        <v>403160</v>
      </c>
      <c r="D128" s="1" t="s">
        <v>9</v>
      </c>
      <c r="E128" s="3">
        <v>45</v>
      </c>
      <c r="F128" s="1" t="s">
        <v>14126</v>
      </c>
      <c r="G128" s="1" t="s">
        <v>4946</v>
      </c>
    </row>
    <row r="129" spans="1:7" ht="21" x14ac:dyDescent="0.25">
      <c r="A129" s="2" t="str">
        <f>HYPERLINK("https://rth.dk/resources/bsgatlas/details.php?id=BSGatlas-3'UTR-128","BSGatlas-3'UTR-128")</f>
        <v>BSGatlas-3'UTR-128</v>
      </c>
      <c r="B129" s="3">
        <v>404431</v>
      </c>
      <c r="C129" s="3">
        <v>404458</v>
      </c>
      <c r="D129" s="1" t="s">
        <v>13</v>
      </c>
      <c r="E129" s="3">
        <v>28</v>
      </c>
      <c r="F129" s="1" t="s">
        <v>11942</v>
      </c>
      <c r="G129" s="1" t="s">
        <v>4950</v>
      </c>
    </row>
    <row r="130" spans="1:7" ht="21" x14ac:dyDescent="0.25">
      <c r="A130" s="2" t="str">
        <f>HYPERLINK("https://rth.dk/resources/bsgatlas/details.php?id=BSGatlas-3'UTR-129","BSGatlas-3'UTR-129")</f>
        <v>BSGatlas-3'UTR-129</v>
      </c>
      <c r="B130" s="3">
        <v>404443</v>
      </c>
      <c r="C130" s="3">
        <v>404485</v>
      </c>
      <c r="D130" s="1" t="s">
        <v>9</v>
      </c>
      <c r="E130" s="3">
        <v>43</v>
      </c>
      <c r="F130" s="1" t="s">
        <v>11941</v>
      </c>
      <c r="G130" s="1" t="s">
        <v>4948</v>
      </c>
    </row>
    <row r="131" spans="1:7" ht="21" x14ac:dyDescent="0.25">
      <c r="A131" s="2" t="str">
        <f>HYPERLINK("https://rth.dk/resources/bsgatlas/details.php?id=BSGatlas-3'UTR-130","BSGatlas-3'UTR-130")</f>
        <v>BSGatlas-3'UTR-130</v>
      </c>
      <c r="B131" s="3">
        <v>408204</v>
      </c>
      <c r="C131" s="3">
        <v>408240</v>
      </c>
      <c r="D131" s="1" t="s">
        <v>13</v>
      </c>
      <c r="E131" s="3">
        <v>37</v>
      </c>
      <c r="F131" s="1" t="s">
        <v>11945</v>
      </c>
      <c r="G131" s="1" t="s">
        <v>4956</v>
      </c>
    </row>
    <row r="132" spans="1:7" ht="21" x14ac:dyDescent="0.25">
      <c r="A132" s="2" t="str">
        <f>HYPERLINK("https://rth.dk/resources/bsgatlas/details.php?id=BSGatlas-3'UTR-131","BSGatlas-3'UTR-131")</f>
        <v>BSGatlas-3'UTR-131</v>
      </c>
      <c r="B132" s="3">
        <v>409023</v>
      </c>
      <c r="C132" s="3">
        <v>409208</v>
      </c>
      <c r="D132" s="1" t="s">
        <v>13</v>
      </c>
      <c r="E132" s="3">
        <v>186</v>
      </c>
      <c r="F132" s="1" t="s">
        <v>14127</v>
      </c>
      <c r="G132" s="1" t="s">
        <v>4959</v>
      </c>
    </row>
    <row r="133" spans="1:7" ht="21" x14ac:dyDescent="0.25">
      <c r="A133" s="2" t="str">
        <f>HYPERLINK("https://rth.dk/resources/bsgatlas/details.php?id=BSGatlas-3'UTR-132","BSGatlas-3'UTR-132")</f>
        <v>BSGatlas-3'UTR-132</v>
      </c>
      <c r="B133" s="3">
        <v>409122</v>
      </c>
      <c r="C133" s="3">
        <v>409208</v>
      </c>
      <c r="D133" s="1" t="s">
        <v>13</v>
      </c>
      <c r="E133" s="3">
        <v>87</v>
      </c>
      <c r="F133" s="1" t="s">
        <v>14127</v>
      </c>
      <c r="G133" s="1" t="s">
        <v>4960</v>
      </c>
    </row>
    <row r="134" spans="1:7" ht="21" x14ac:dyDescent="0.25">
      <c r="A134" s="2" t="str">
        <f>HYPERLINK("https://rth.dk/resources/bsgatlas/details.php?id=BSGatlas-3'UTR-133","BSGatlas-3'UTR-133")</f>
        <v>BSGatlas-3'UTR-133</v>
      </c>
      <c r="B134" s="3">
        <v>416185</v>
      </c>
      <c r="C134" s="3">
        <v>416235</v>
      </c>
      <c r="D134" s="1" t="s">
        <v>13</v>
      </c>
      <c r="E134" s="3">
        <v>51</v>
      </c>
      <c r="F134" s="1" t="s">
        <v>11949</v>
      </c>
      <c r="G134" s="1" t="s">
        <v>4970</v>
      </c>
    </row>
    <row r="135" spans="1:7" ht="21" x14ac:dyDescent="0.25">
      <c r="A135" s="2" t="str">
        <f>HYPERLINK("https://rth.dk/resources/bsgatlas/details.php?id=BSGatlas-3'UTR-134","BSGatlas-3'UTR-134")</f>
        <v>BSGatlas-3'UTR-134</v>
      </c>
      <c r="B135" s="3">
        <v>416195</v>
      </c>
      <c r="C135" s="3">
        <v>416242</v>
      </c>
      <c r="D135" s="1" t="s">
        <v>9</v>
      </c>
      <c r="E135" s="3">
        <v>48</v>
      </c>
      <c r="F135" s="1" t="s">
        <v>11948</v>
      </c>
      <c r="G135" s="1" t="s">
        <v>4968</v>
      </c>
    </row>
    <row r="136" spans="1:7" ht="21" x14ac:dyDescent="0.25">
      <c r="A136" s="2" t="str">
        <f>HYPERLINK("https://rth.dk/resources/bsgatlas/details.php?id=BSGatlas-3'UTR-135","BSGatlas-3'UTR-135")</f>
        <v>BSGatlas-3'UTR-135</v>
      </c>
      <c r="B136" s="3">
        <v>424103</v>
      </c>
      <c r="C136" s="3">
        <v>424149</v>
      </c>
      <c r="D136" s="1" t="s">
        <v>9</v>
      </c>
      <c r="E136" s="3">
        <v>47</v>
      </c>
      <c r="F136" s="1" t="s">
        <v>14128</v>
      </c>
      <c r="G136" s="1" t="s">
        <v>4978</v>
      </c>
    </row>
    <row r="137" spans="1:7" ht="21" x14ac:dyDescent="0.25">
      <c r="A137" s="2" t="str">
        <f>HYPERLINK("https://rth.dk/resources/bsgatlas/details.php?id=BSGatlas-3'UTR-136","BSGatlas-3'UTR-136")</f>
        <v>BSGatlas-3'UTR-136</v>
      </c>
      <c r="B137" s="3">
        <v>428805</v>
      </c>
      <c r="C137" s="3">
        <v>430185</v>
      </c>
      <c r="D137" s="1" t="s">
        <v>13</v>
      </c>
      <c r="E137" s="3">
        <v>1381</v>
      </c>
      <c r="F137" s="1" t="s">
        <v>14129</v>
      </c>
      <c r="G137" s="1" t="s">
        <v>4988</v>
      </c>
    </row>
    <row r="138" spans="1:7" ht="21" x14ac:dyDescent="0.25">
      <c r="A138" s="2" t="str">
        <f>HYPERLINK("https://rth.dk/resources/bsgatlas/details.php?id=BSGatlas-3'UTR-137","BSGatlas-3'UTR-137")</f>
        <v>BSGatlas-3'UTR-137</v>
      </c>
      <c r="B138" s="3">
        <v>430085</v>
      </c>
      <c r="C138" s="3">
        <v>430131</v>
      </c>
      <c r="D138" s="1" t="s">
        <v>9</v>
      </c>
      <c r="E138" s="3">
        <v>47</v>
      </c>
      <c r="F138" s="1" t="s">
        <v>11955</v>
      </c>
      <c r="G138" s="1" t="s">
        <v>4985</v>
      </c>
    </row>
    <row r="139" spans="1:7" ht="21" x14ac:dyDescent="0.25">
      <c r="A139" s="2" t="str">
        <f>HYPERLINK("https://rth.dk/resources/bsgatlas/details.php?id=BSGatlas-3'UTR-138","BSGatlas-3'UTR-138")</f>
        <v>BSGatlas-3'UTR-138</v>
      </c>
      <c r="B139" s="3">
        <v>430118</v>
      </c>
      <c r="C139" s="3">
        <v>430185</v>
      </c>
      <c r="D139" s="1" t="s">
        <v>13</v>
      </c>
      <c r="E139" s="3">
        <v>68</v>
      </c>
      <c r="F139" s="1" t="s">
        <v>14129</v>
      </c>
      <c r="G139" s="1" t="s">
        <v>4991</v>
      </c>
    </row>
    <row r="140" spans="1:7" ht="21" x14ac:dyDescent="0.25">
      <c r="A140" s="2" t="str">
        <f>HYPERLINK("https://rth.dk/resources/bsgatlas/details.php?id=BSGatlas-3'UTR-139","BSGatlas-3'UTR-139")</f>
        <v>BSGatlas-3'UTR-139</v>
      </c>
      <c r="B140" s="3">
        <v>430323</v>
      </c>
      <c r="C140" s="3">
        <v>430356</v>
      </c>
      <c r="D140" s="1" t="s">
        <v>13</v>
      </c>
      <c r="E140" s="3">
        <v>34</v>
      </c>
      <c r="F140" s="1" t="s">
        <v>11956</v>
      </c>
      <c r="G140" s="1" t="s">
        <v>4992</v>
      </c>
    </row>
    <row r="141" spans="1:7" ht="21" x14ac:dyDescent="0.25">
      <c r="A141" s="2" t="str">
        <f>HYPERLINK("https://rth.dk/resources/bsgatlas/details.php?id=BSGatlas-3'UTR-140","BSGatlas-3'UTR-140")</f>
        <v>BSGatlas-3'UTR-140</v>
      </c>
      <c r="B141" s="3">
        <v>430575</v>
      </c>
      <c r="C141" s="3">
        <v>430623</v>
      </c>
      <c r="D141" s="1" t="s">
        <v>13</v>
      </c>
      <c r="E141" s="3">
        <v>49</v>
      </c>
      <c r="F141" s="1" t="s">
        <v>11957</v>
      </c>
      <c r="G141" s="1" t="s">
        <v>4994</v>
      </c>
    </row>
    <row r="142" spans="1:7" ht="21" x14ac:dyDescent="0.25">
      <c r="A142" s="2" t="str">
        <f>HYPERLINK("https://rth.dk/resources/bsgatlas/details.php?id=BSGatlas-3'UTR-141","BSGatlas-3'UTR-141")</f>
        <v>BSGatlas-3'UTR-141</v>
      </c>
      <c r="B142" s="3">
        <v>435984</v>
      </c>
      <c r="C142" s="3">
        <v>436036</v>
      </c>
      <c r="D142" s="1" t="s">
        <v>13</v>
      </c>
      <c r="E142" s="3">
        <v>53</v>
      </c>
      <c r="F142" s="1" t="s">
        <v>14130</v>
      </c>
      <c r="G142" s="1" t="s">
        <v>5001</v>
      </c>
    </row>
    <row r="143" spans="1:7" ht="21" x14ac:dyDescent="0.25">
      <c r="A143" s="2" t="str">
        <f>HYPERLINK("https://rth.dk/resources/bsgatlas/details.php?id=BSGatlas-3'UTR-142","BSGatlas-3'UTR-142")</f>
        <v>BSGatlas-3'UTR-142</v>
      </c>
      <c r="B143" s="3">
        <v>435989</v>
      </c>
      <c r="C143" s="3">
        <v>436038</v>
      </c>
      <c r="D143" s="1" t="s">
        <v>9</v>
      </c>
      <c r="E143" s="3">
        <v>50</v>
      </c>
      <c r="F143" s="1" t="s">
        <v>14131</v>
      </c>
      <c r="G143" s="1" t="s">
        <v>4997</v>
      </c>
    </row>
    <row r="144" spans="1:7" ht="21" x14ac:dyDescent="0.25">
      <c r="A144" s="2" t="str">
        <f>HYPERLINK("https://rth.dk/resources/bsgatlas/details.php?id=BSGatlas-3'UTR-143","BSGatlas-3'UTR-143")</f>
        <v>BSGatlas-3'UTR-143</v>
      </c>
      <c r="B144" s="3">
        <v>438466</v>
      </c>
      <c r="C144" s="3">
        <v>438516</v>
      </c>
      <c r="D144" s="1" t="s">
        <v>13</v>
      </c>
      <c r="E144" s="3">
        <v>51</v>
      </c>
      <c r="F144" s="1" t="s">
        <v>14132</v>
      </c>
      <c r="G144" s="1" t="s">
        <v>5005</v>
      </c>
    </row>
    <row r="145" spans="1:7" ht="21" x14ac:dyDescent="0.25">
      <c r="A145" s="2" t="str">
        <f>HYPERLINK("https://rth.dk/resources/bsgatlas/details.php?id=BSGatlas-3'UTR-144","BSGatlas-3'UTR-144")</f>
        <v>BSGatlas-3'UTR-144</v>
      </c>
      <c r="B145" s="3">
        <v>439812</v>
      </c>
      <c r="C145" s="3">
        <v>440025</v>
      </c>
      <c r="D145" s="1" t="s">
        <v>13</v>
      </c>
      <c r="E145" s="3">
        <v>214</v>
      </c>
      <c r="F145" s="1" t="s">
        <v>11962</v>
      </c>
      <c r="G145" s="1" t="s">
        <v>5011</v>
      </c>
    </row>
    <row r="146" spans="1:7" ht="21" x14ac:dyDescent="0.25">
      <c r="A146" s="2" t="str">
        <f>HYPERLINK("https://rth.dk/resources/bsgatlas/details.php?id=BSGatlas-3'UTR-145","BSGatlas-3'UTR-145")</f>
        <v>BSGatlas-3'UTR-145</v>
      </c>
      <c r="B146" s="3">
        <v>440023</v>
      </c>
      <c r="C146" s="3">
        <v>440059</v>
      </c>
      <c r="D146" s="1" t="s">
        <v>9</v>
      </c>
      <c r="E146" s="3">
        <v>37</v>
      </c>
      <c r="F146" s="1" t="s">
        <v>11961</v>
      </c>
      <c r="G146" s="1" t="s">
        <v>5008</v>
      </c>
    </row>
    <row r="147" spans="1:7" ht="21" x14ac:dyDescent="0.25">
      <c r="A147" s="2" t="str">
        <f>HYPERLINK("https://rth.dk/resources/bsgatlas/details.php?id=BSGatlas-3'UTR-146","BSGatlas-3'UTR-146")</f>
        <v>BSGatlas-3'UTR-146</v>
      </c>
      <c r="B147" s="3">
        <v>444338</v>
      </c>
      <c r="C147" s="3">
        <v>444396</v>
      </c>
      <c r="D147" s="1" t="s">
        <v>9</v>
      </c>
      <c r="E147" s="3">
        <v>59</v>
      </c>
      <c r="F147" s="1" t="s">
        <v>11964</v>
      </c>
      <c r="G147" s="1" t="s">
        <v>5014</v>
      </c>
    </row>
    <row r="148" spans="1:7" ht="21" x14ac:dyDescent="0.25">
      <c r="A148" s="2" t="str">
        <f>HYPERLINK("https://rth.dk/resources/bsgatlas/details.php?id=BSGatlas-3'UTR-147","BSGatlas-3'UTR-147")</f>
        <v>BSGatlas-3'UTR-147</v>
      </c>
      <c r="B148" s="3">
        <v>445324</v>
      </c>
      <c r="C148" s="3">
        <v>445559</v>
      </c>
      <c r="D148" s="1" t="s">
        <v>9</v>
      </c>
      <c r="E148" s="3">
        <v>236</v>
      </c>
      <c r="F148" s="1" t="s">
        <v>11965</v>
      </c>
      <c r="G148" s="1" t="s">
        <v>5018</v>
      </c>
    </row>
    <row r="149" spans="1:7" ht="21" x14ac:dyDescent="0.25">
      <c r="A149" s="2" t="str">
        <f>HYPERLINK("https://rth.dk/resources/bsgatlas/details.php?id=BSGatlas-3'UTR-148","BSGatlas-3'UTR-148")</f>
        <v>BSGatlas-3'UTR-148</v>
      </c>
      <c r="B149" s="3">
        <v>446129</v>
      </c>
      <c r="C149" s="3">
        <v>446180</v>
      </c>
      <c r="D149" s="1" t="s">
        <v>9</v>
      </c>
      <c r="E149" s="3">
        <v>52</v>
      </c>
      <c r="F149" s="1" t="s">
        <v>14133</v>
      </c>
      <c r="G149" s="1" t="s">
        <v>5020</v>
      </c>
    </row>
    <row r="150" spans="1:7" ht="21" x14ac:dyDescent="0.25">
      <c r="A150" s="2" t="str">
        <f>HYPERLINK("https://rth.dk/resources/bsgatlas/details.php?id=BSGatlas-3'UTR-149","BSGatlas-3'UTR-149")</f>
        <v>BSGatlas-3'UTR-149</v>
      </c>
      <c r="B150" s="3">
        <v>449551</v>
      </c>
      <c r="C150" s="3">
        <v>449577</v>
      </c>
      <c r="D150" s="1" t="s">
        <v>9</v>
      </c>
      <c r="E150" s="3">
        <v>27</v>
      </c>
      <c r="F150" s="1" t="s">
        <v>11967</v>
      </c>
      <c r="G150" s="1" t="s">
        <v>5026</v>
      </c>
    </row>
    <row r="151" spans="1:7" ht="21" x14ac:dyDescent="0.25">
      <c r="A151" s="2" t="str">
        <f>HYPERLINK("https://rth.dk/resources/bsgatlas/details.php?id=BSGatlas-3'UTR-150","BSGatlas-3'UTR-150")</f>
        <v>BSGatlas-3'UTR-150</v>
      </c>
      <c r="B151" s="3">
        <v>452739</v>
      </c>
      <c r="C151" s="3">
        <v>452783</v>
      </c>
      <c r="D151" s="1" t="s">
        <v>9</v>
      </c>
      <c r="E151" s="3">
        <v>45</v>
      </c>
      <c r="F151" s="1" t="s">
        <v>14134</v>
      </c>
      <c r="G151" s="1" t="s">
        <v>5029</v>
      </c>
    </row>
    <row r="152" spans="1:7" ht="21" x14ac:dyDescent="0.25">
      <c r="A152" s="2" t="str">
        <f>HYPERLINK("https://rth.dk/resources/bsgatlas/details.php?id=BSGatlas-3'UTR-151","BSGatlas-3'UTR-151")</f>
        <v>BSGatlas-3'UTR-151</v>
      </c>
      <c r="B152" s="3">
        <v>453894</v>
      </c>
      <c r="C152" s="3">
        <v>453930</v>
      </c>
      <c r="D152" s="1" t="s">
        <v>9</v>
      </c>
      <c r="E152" s="3">
        <v>37</v>
      </c>
      <c r="F152" s="1" t="s">
        <v>11969</v>
      </c>
      <c r="G152" s="1" t="s">
        <v>5031</v>
      </c>
    </row>
    <row r="153" spans="1:7" ht="21" x14ac:dyDescent="0.25">
      <c r="A153" s="2" t="str">
        <f>HYPERLINK("https://rth.dk/resources/bsgatlas/details.php?id=BSGatlas-3'UTR-152","BSGatlas-3'UTR-152")</f>
        <v>BSGatlas-3'UTR-152</v>
      </c>
      <c r="B153" s="3">
        <v>454592</v>
      </c>
      <c r="C153" s="3">
        <v>454712</v>
      </c>
      <c r="D153" s="1" t="s">
        <v>9</v>
      </c>
      <c r="E153" s="3">
        <v>121</v>
      </c>
      <c r="F153" s="1" t="s">
        <v>11970</v>
      </c>
      <c r="G153" s="1" t="s">
        <v>5034</v>
      </c>
    </row>
    <row r="154" spans="1:7" ht="21" x14ac:dyDescent="0.25">
      <c r="A154" s="2" t="str">
        <f>HYPERLINK("https://rth.dk/resources/bsgatlas/details.php?id=BSGatlas-3'UTR-153","BSGatlas-3'UTR-153")</f>
        <v>BSGatlas-3'UTR-153</v>
      </c>
      <c r="B154" s="3">
        <v>455738</v>
      </c>
      <c r="C154" s="3">
        <v>455788</v>
      </c>
      <c r="D154" s="1" t="s">
        <v>9</v>
      </c>
      <c r="E154" s="3">
        <v>51</v>
      </c>
      <c r="F154" s="1" t="s">
        <v>11972</v>
      </c>
      <c r="G154" s="1" t="s">
        <v>5038</v>
      </c>
    </row>
    <row r="155" spans="1:7" ht="21" x14ac:dyDescent="0.25">
      <c r="A155" s="2" t="str">
        <f>HYPERLINK("https://rth.dk/resources/bsgatlas/details.php?id=BSGatlas-3'UTR-154","BSGatlas-3'UTR-154")</f>
        <v>BSGatlas-3'UTR-154</v>
      </c>
      <c r="B155" s="3">
        <v>456817</v>
      </c>
      <c r="C155" s="3">
        <v>456845</v>
      </c>
      <c r="D155" s="1" t="s">
        <v>9</v>
      </c>
      <c r="E155" s="3">
        <v>29</v>
      </c>
      <c r="F155" s="1" t="s">
        <v>11974</v>
      </c>
      <c r="G155" s="1" t="s">
        <v>5043</v>
      </c>
    </row>
    <row r="156" spans="1:7" ht="21" x14ac:dyDescent="0.25">
      <c r="A156" s="2" t="str">
        <f>HYPERLINK("https://rth.dk/resources/bsgatlas/details.php?id=BSGatlas-3'UTR-155","BSGatlas-3'UTR-155")</f>
        <v>BSGatlas-3'UTR-155</v>
      </c>
      <c r="B156" s="3">
        <v>460589</v>
      </c>
      <c r="C156" s="3">
        <v>461107</v>
      </c>
      <c r="D156" s="1" t="s">
        <v>9</v>
      </c>
      <c r="E156" s="3">
        <v>519</v>
      </c>
      <c r="F156" s="1" t="s">
        <v>14135</v>
      </c>
      <c r="G156" s="1" t="s">
        <v>5046</v>
      </c>
    </row>
    <row r="157" spans="1:7" ht="21" x14ac:dyDescent="0.25">
      <c r="A157" s="2" t="str">
        <f>HYPERLINK("https://rth.dk/resources/bsgatlas/details.php?id=BSGatlas-3'UTR-156","BSGatlas-3'UTR-156")</f>
        <v>BSGatlas-3'UTR-156</v>
      </c>
      <c r="B157" s="3">
        <v>463072</v>
      </c>
      <c r="C157" s="3">
        <v>463111</v>
      </c>
      <c r="D157" s="1" t="s">
        <v>9</v>
      </c>
      <c r="E157" s="3">
        <v>40</v>
      </c>
      <c r="F157" s="1" t="s">
        <v>11977</v>
      </c>
      <c r="G157" s="1" t="s">
        <v>5048</v>
      </c>
    </row>
    <row r="158" spans="1:7" ht="21" x14ac:dyDescent="0.25">
      <c r="A158" s="2" t="str">
        <f>HYPERLINK("https://rth.dk/resources/bsgatlas/details.php?id=BSGatlas-3'UTR-157","BSGatlas-3'UTR-157")</f>
        <v>BSGatlas-3'UTR-157</v>
      </c>
      <c r="B158" s="3">
        <v>463093</v>
      </c>
      <c r="C158" s="3">
        <v>463496</v>
      </c>
      <c r="D158" s="1" t="s">
        <v>13</v>
      </c>
      <c r="E158" s="3">
        <v>404</v>
      </c>
      <c r="F158" s="1" t="s">
        <v>11979</v>
      </c>
      <c r="G158" s="1" t="s">
        <v>5053</v>
      </c>
    </row>
    <row r="159" spans="1:7" ht="21" x14ac:dyDescent="0.25">
      <c r="A159" s="2" t="str">
        <f>HYPERLINK("https://rth.dk/resources/bsgatlas/details.php?id=BSGatlas-3'UTR-158","BSGatlas-3'UTR-158")</f>
        <v>BSGatlas-3'UTR-158</v>
      </c>
      <c r="B159" s="3">
        <v>463391</v>
      </c>
      <c r="C159" s="3">
        <v>463496</v>
      </c>
      <c r="D159" s="1" t="s">
        <v>13</v>
      </c>
      <c r="E159" s="3">
        <v>106</v>
      </c>
      <c r="F159" s="1" t="s">
        <v>11979</v>
      </c>
      <c r="G159" s="1" t="s">
        <v>5055</v>
      </c>
    </row>
    <row r="160" spans="1:7" ht="21" x14ac:dyDescent="0.25">
      <c r="A160" s="2" t="str">
        <f>HYPERLINK("https://rth.dk/resources/bsgatlas/details.php?id=BSGatlas-3'UTR-159","BSGatlas-3'UTR-159")</f>
        <v>BSGatlas-3'UTR-159</v>
      </c>
      <c r="B160" s="3">
        <v>469214</v>
      </c>
      <c r="C160" s="3">
        <v>469263</v>
      </c>
      <c r="D160" s="1" t="s">
        <v>9</v>
      </c>
      <c r="E160" s="3">
        <v>50</v>
      </c>
      <c r="F160" s="1" t="s">
        <v>11981</v>
      </c>
      <c r="G160" s="1" t="s">
        <v>5060</v>
      </c>
    </row>
    <row r="161" spans="1:7" ht="21" x14ac:dyDescent="0.25">
      <c r="A161" s="2" t="str">
        <f>HYPERLINK("https://rth.dk/resources/bsgatlas/details.php?id=BSGatlas-3'UTR-160","BSGatlas-3'UTR-160")</f>
        <v>BSGatlas-3'UTR-160</v>
      </c>
      <c r="B161" s="3">
        <v>473088</v>
      </c>
      <c r="C161" s="3">
        <v>473110</v>
      </c>
      <c r="D161" s="1" t="s">
        <v>9</v>
      </c>
      <c r="E161" s="3">
        <v>23</v>
      </c>
      <c r="F161" s="1" t="s">
        <v>14136</v>
      </c>
      <c r="G161" s="1" t="s">
        <v>5068</v>
      </c>
    </row>
    <row r="162" spans="1:7" ht="21" x14ac:dyDescent="0.25">
      <c r="A162" s="2" t="str">
        <f>HYPERLINK("https://rth.dk/resources/bsgatlas/details.php?id=BSGatlas-3'UTR-161","BSGatlas-3'UTR-161")</f>
        <v>BSGatlas-3'UTR-161</v>
      </c>
      <c r="B162" s="3">
        <v>474634</v>
      </c>
      <c r="C162" s="3">
        <v>474657</v>
      </c>
      <c r="D162" s="1" t="s">
        <v>9</v>
      </c>
      <c r="E162" s="3">
        <v>24</v>
      </c>
      <c r="F162" s="1" t="s">
        <v>14137</v>
      </c>
      <c r="G162" s="1" t="s">
        <v>5075</v>
      </c>
    </row>
    <row r="163" spans="1:7" ht="21" x14ac:dyDescent="0.25">
      <c r="A163" s="2" t="str">
        <f>HYPERLINK("https://rth.dk/resources/bsgatlas/details.php?id=BSGatlas-3'UTR-162","BSGatlas-3'UTR-162")</f>
        <v>BSGatlas-3'UTR-162</v>
      </c>
      <c r="B163" s="3">
        <v>475566</v>
      </c>
      <c r="C163" s="3">
        <v>475584</v>
      </c>
      <c r="D163" s="1" t="s">
        <v>13</v>
      </c>
      <c r="E163" s="3">
        <v>19</v>
      </c>
      <c r="F163" s="1" t="s">
        <v>11988</v>
      </c>
      <c r="G163" s="1" t="s">
        <v>5080</v>
      </c>
    </row>
    <row r="164" spans="1:7" ht="21" x14ac:dyDescent="0.25">
      <c r="A164" s="2" t="str">
        <f>HYPERLINK("https://rth.dk/resources/bsgatlas/details.php?id=BSGatlas-3'UTR-163","BSGatlas-3'UTR-163")</f>
        <v>BSGatlas-3'UTR-163</v>
      </c>
      <c r="B164" s="3">
        <v>486235</v>
      </c>
      <c r="C164" s="3">
        <v>486255</v>
      </c>
      <c r="D164" s="1" t="s">
        <v>9</v>
      </c>
      <c r="E164" s="3">
        <v>21</v>
      </c>
      <c r="F164" s="1" t="s">
        <v>14138</v>
      </c>
      <c r="G164" s="1" t="s">
        <v>5091</v>
      </c>
    </row>
    <row r="165" spans="1:7" ht="21" x14ac:dyDescent="0.25">
      <c r="A165" s="2" t="str">
        <f>HYPERLINK("https://rth.dk/resources/bsgatlas/details.php?id=BSGatlas-3'UTR-164","BSGatlas-3'UTR-164")</f>
        <v>BSGatlas-3'UTR-164</v>
      </c>
      <c r="B165" s="3">
        <v>489633</v>
      </c>
      <c r="C165" s="3">
        <v>490527</v>
      </c>
      <c r="D165" s="1" t="s">
        <v>13</v>
      </c>
      <c r="E165" s="3">
        <v>895</v>
      </c>
      <c r="F165" s="1" t="s">
        <v>14139</v>
      </c>
      <c r="G165" s="1" t="s">
        <v>5095</v>
      </c>
    </row>
    <row r="166" spans="1:7" ht="21" x14ac:dyDescent="0.25">
      <c r="A166" s="2" t="str">
        <f>HYPERLINK("https://rth.dk/resources/bsgatlas/details.php?id=BSGatlas-3'UTR-165","BSGatlas-3'UTR-165")</f>
        <v>BSGatlas-3'UTR-165</v>
      </c>
      <c r="B166" s="3">
        <v>490554</v>
      </c>
      <c r="C166" s="3">
        <v>490596</v>
      </c>
      <c r="D166" s="1" t="s">
        <v>9</v>
      </c>
      <c r="E166" s="3">
        <v>43</v>
      </c>
      <c r="F166" s="1" t="s">
        <v>11993</v>
      </c>
      <c r="G166" s="1" t="s">
        <v>5093</v>
      </c>
    </row>
    <row r="167" spans="1:7" ht="21" x14ac:dyDescent="0.25">
      <c r="A167" s="2" t="str">
        <f>HYPERLINK("https://rth.dk/resources/bsgatlas/details.php?id=BSGatlas-3'UTR-166","BSGatlas-3'UTR-166")</f>
        <v>BSGatlas-3'UTR-166</v>
      </c>
      <c r="B167" s="3">
        <v>490726</v>
      </c>
      <c r="C167" s="3">
        <v>490777</v>
      </c>
      <c r="D167" s="1" t="s">
        <v>13</v>
      </c>
      <c r="E167" s="3">
        <v>52</v>
      </c>
      <c r="F167" s="1" t="s">
        <v>11994</v>
      </c>
      <c r="G167" s="1" t="s">
        <v>5099</v>
      </c>
    </row>
    <row r="168" spans="1:7" ht="21" x14ac:dyDescent="0.25">
      <c r="A168" s="2" t="str">
        <f>HYPERLINK("https://rth.dk/resources/bsgatlas/details.php?id=BSGatlas-3'UTR-167","BSGatlas-3'UTR-167")</f>
        <v>BSGatlas-3'UTR-167</v>
      </c>
      <c r="B168" s="3">
        <v>491110</v>
      </c>
      <c r="C168" s="3">
        <v>491147</v>
      </c>
      <c r="D168" s="1" t="s">
        <v>13</v>
      </c>
      <c r="E168" s="3">
        <v>38</v>
      </c>
      <c r="F168" s="1" t="s">
        <v>11995</v>
      </c>
      <c r="G168" s="1" t="s">
        <v>5101</v>
      </c>
    </row>
    <row r="169" spans="1:7" ht="21" x14ac:dyDescent="0.25">
      <c r="A169" s="2" t="str">
        <f>HYPERLINK("https://rth.dk/resources/bsgatlas/details.php?id=BSGatlas-3'UTR-168","BSGatlas-3'UTR-168")</f>
        <v>BSGatlas-3'UTR-168</v>
      </c>
      <c r="B169" s="3">
        <v>492595</v>
      </c>
      <c r="C169" s="3">
        <v>492654</v>
      </c>
      <c r="D169" s="1" t="s">
        <v>13</v>
      </c>
      <c r="E169" s="3">
        <v>60</v>
      </c>
      <c r="F169" s="1" t="s">
        <v>14140</v>
      </c>
      <c r="G169" s="1" t="s">
        <v>5103</v>
      </c>
    </row>
    <row r="170" spans="1:7" ht="21" x14ac:dyDescent="0.25">
      <c r="A170" s="2" t="str">
        <f>HYPERLINK("https://rth.dk/resources/bsgatlas/details.php?id=BSGatlas-3'UTR-169","BSGatlas-3'UTR-169")</f>
        <v>BSGatlas-3'UTR-169</v>
      </c>
      <c r="B170" s="3">
        <v>494377</v>
      </c>
      <c r="C170" s="3">
        <v>494424</v>
      </c>
      <c r="D170" s="1" t="s">
        <v>9</v>
      </c>
      <c r="E170" s="3">
        <v>48</v>
      </c>
      <c r="F170" s="1" t="s">
        <v>11997</v>
      </c>
      <c r="G170" s="1" t="s">
        <v>5109</v>
      </c>
    </row>
    <row r="171" spans="1:7" ht="21" x14ac:dyDescent="0.25">
      <c r="A171" s="2" t="str">
        <f>HYPERLINK("https://rth.dk/resources/bsgatlas/details.php?id=BSGatlas-3'UTR-170","BSGatlas-3'UTR-170")</f>
        <v>BSGatlas-3'UTR-170</v>
      </c>
      <c r="B171" s="3">
        <v>494488</v>
      </c>
      <c r="C171" s="3">
        <v>495740</v>
      </c>
      <c r="D171" s="1" t="s">
        <v>13</v>
      </c>
      <c r="E171" s="3">
        <v>1253</v>
      </c>
      <c r="F171" s="1" t="s">
        <v>12000</v>
      </c>
      <c r="G171" s="1" t="s">
        <v>5113</v>
      </c>
    </row>
    <row r="172" spans="1:7" ht="21" x14ac:dyDescent="0.25">
      <c r="A172" s="2" t="str">
        <f>HYPERLINK("https://rth.dk/resources/bsgatlas/details.php?id=BSGatlas-3'UTR-171","BSGatlas-3'UTR-171")</f>
        <v>BSGatlas-3'UTR-171</v>
      </c>
      <c r="B172" s="3">
        <v>494877</v>
      </c>
      <c r="C172" s="3">
        <v>494955</v>
      </c>
      <c r="D172" s="1" t="s">
        <v>9</v>
      </c>
      <c r="E172" s="3">
        <v>79</v>
      </c>
      <c r="F172" s="1" t="s">
        <v>11998</v>
      </c>
      <c r="G172" s="1" t="s">
        <v>5111</v>
      </c>
    </row>
    <row r="173" spans="1:7" ht="21" x14ac:dyDescent="0.25">
      <c r="A173" s="2" t="str">
        <f>HYPERLINK("https://rth.dk/resources/bsgatlas/details.php?id=BSGatlas-3'UTR-172","BSGatlas-3'UTR-172")</f>
        <v>BSGatlas-3'UTR-172</v>
      </c>
      <c r="B173" s="3">
        <v>495373</v>
      </c>
      <c r="C173" s="3">
        <v>495740</v>
      </c>
      <c r="D173" s="1" t="s">
        <v>13</v>
      </c>
      <c r="E173" s="3">
        <v>368</v>
      </c>
      <c r="F173" s="1" t="s">
        <v>12000</v>
      </c>
      <c r="G173" s="1" t="s">
        <v>5119</v>
      </c>
    </row>
    <row r="174" spans="1:7" ht="21" x14ac:dyDescent="0.25">
      <c r="A174" s="2" t="str">
        <f>HYPERLINK("https://rth.dk/resources/bsgatlas/details.php?id=BSGatlas-3'UTR-173","BSGatlas-3'UTR-173")</f>
        <v>BSGatlas-3'UTR-173</v>
      </c>
      <c r="B174" s="3">
        <v>495694</v>
      </c>
      <c r="C174" s="3">
        <v>495740</v>
      </c>
      <c r="D174" s="1" t="s">
        <v>13</v>
      </c>
      <c r="E174" s="3">
        <v>47</v>
      </c>
      <c r="F174" s="1" t="s">
        <v>12000</v>
      </c>
      <c r="G174" s="1" t="s">
        <v>5120</v>
      </c>
    </row>
    <row r="175" spans="1:7" ht="21" x14ac:dyDescent="0.25">
      <c r="A175" s="2" t="str">
        <f>HYPERLINK("https://rth.dk/resources/bsgatlas/details.php?id=BSGatlas-3'UTR-174","BSGatlas-3'UTR-174")</f>
        <v>BSGatlas-3'UTR-174</v>
      </c>
      <c r="B175" s="3">
        <v>501431</v>
      </c>
      <c r="C175" s="3">
        <v>501472</v>
      </c>
      <c r="D175" s="1" t="s">
        <v>9</v>
      </c>
      <c r="E175" s="3">
        <v>42</v>
      </c>
      <c r="F175" s="1" t="s">
        <v>12003</v>
      </c>
      <c r="G175" s="1" t="s">
        <v>5123</v>
      </c>
    </row>
    <row r="176" spans="1:7" ht="21" x14ac:dyDescent="0.25">
      <c r="A176" s="2" t="str">
        <f>HYPERLINK("https://rth.dk/resources/bsgatlas/details.php?id=BSGatlas-3'UTR-175","BSGatlas-3'UTR-175")</f>
        <v>BSGatlas-3'UTR-175</v>
      </c>
      <c r="B176" s="3">
        <v>506289</v>
      </c>
      <c r="C176" s="3">
        <v>506322</v>
      </c>
      <c r="D176" s="1" t="s">
        <v>13</v>
      </c>
      <c r="E176" s="3">
        <v>34</v>
      </c>
      <c r="F176" s="1" t="s">
        <v>14141</v>
      </c>
      <c r="G176" s="1" t="s">
        <v>5131</v>
      </c>
    </row>
    <row r="177" spans="1:7" ht="21" x14ac:dyDescent="0.25">
      <c r="A177" s="2" t="str">
        <f>HYPERLINK("https://rth.dk/resources/bsgatlas/details.php?id=BSGatlas-3'UTR-176","BSGatlas-3'UTR-176")</f>
        <v>BSGatlas-3'UTR-176</v>
      </c>
      <c r="B177" s="3">
        <v>506297</v>
      </c>
      <c r="C177" s="3">
        <v>506333</v>
      </c>
      <c r="D177" s="1" t="s">
        <v>9</v>
      </c>
      <c r="E177" s="3">
        <v>37</v>
      </c>
      <c r="F177" s="1" t="s">
        <v>12006</v>
      </c>
      <c r="G177" s="1" t="s">
        <v>5130</v>
      </c>
    </row>
    <row r="178" spans="1:7" ht="21" x14ac:dyDescent="0.25">
      <c r="A178" s="2" t="str">
        <f>HYPERLINK("https://rth.dk/resources/bsgatlas/details.php?id=BSGatlas-3'UTR-177","BSGatlas-3'UTR-177")</f>
        <v>BSGatlas-3'UTR-177</v>
      </c>
      <c r="B178" s="3">
        <v>507667</v>
      </c>
      <c r="C178" s="3">
        <v>507753</v>
      </c>
      <c r="D178" s="1" t="s">
        <v>13</v>
      </c>
      <c r="E178" s="3">
        <v>87</v>
      </c>
      <c r="F178" s="1" t="s">
        <v>12009</v>
      </c>
      <c r="G178" s="1" t="s">
        <v>5138</v>
      </c>
    </row>
    <row r="179" spans="1:7" ht="21" x14ac:dyDescent="0.25">
      <c r="A179" s="2" t="str">
        <f>HYPERLINK("https://rth.dk/resources/bsgatlas/details.php?id=BSGatlas-3'UTR-178","BSGatlas-3'UTR-178")</f>
        <v>BSGatlas-3'UTR-178</v>
      </c>
      <c r="B179" s="3">
        <v>507738</v>
      </c>
      <c r="C179" s="3">
        <v>507841</v>
      </c>
      <c r="D179" s="1" t="s">
        <v>9</v>
      </c>
      <c r="E179" s="3">
        <v>104</v>
      </c>
      <c r="F179" s="1" t="s">
        <v>12008</v>
      </c>
      <c r="G179" s="1" t="s">
        <v>5135</v>
      </c>
    </row>
    <row r="180" spans="1:7" ht="21" x14ac:dyDescent="0.25">
      <c r="A180" s="2" t="str">
        <f>HYPERLINK("https://rth.dk/resources/bsgatlas/details.php?id=BSGatlas-3'UTR-179","BSGatlas-3'UTR-179")</f>
        <v>BSGatlas-3'UTR-179</v>
      </c>
      <c r="B180" s="3">
        <v>512641</v>
      </c>
      <c r="C180" s="3">
        <v>512656</v>
      </c>
      <c r="D180" s="1" t="s">
        <v>9</v>
      </c>
      <c r="E180" s="3">
        <v>16</v>
      </c>
      <c r="F180" s="1" t="s">
        <v>12011</v>
      </c>
      <c r="G180" s="1" t="s">
        <v>5143</v>
      </c>
    </row>
    <row r="181" spans="1:7" ht="21" x14ac:dyDescent="0.25">
      <c r="A181" s="2" t="str">
        <f>HYPERLINK("https://rth.dk/resources/bsgatlas/details.php?id=BSGatlas-3'UTR-180","BSGatlas-3'UTR-180")</f>
        <v>BSGatlas-3'UTR-180</v>
      </c>
      <c r="B181" s="3">
        <v>514766</v>
      </c>
      <c r="C181" s="3">
        <v>515016</v>
      </c>
      <c r="D181" s="1" t="s">
        <v>13</v>
      </c>
      <c r="E181" s="3">
        <v>251</v>
      </c>
      <c r="F181" s="1" t="s">
        <v>12014</v>
      </c>
      <c r="G181" s="1" t="s">
        <v>5150</v>
      </c>
    </row>
    <row r="182" spans="1:7" ht="21" x14ac:dyDescent="0.25">
      <c r="A182" s="2" t="str">
        <f>HYPERLINK("https://rth.dk/resources/bsgatlas/details.php?id=BSGatlas-3'UTR-181","BSGatlas-3'UTR-181")</f>
        <v>BSGatlas-3'UTR-181</v>
      </c>
      <c r="B182" s="3">
        <v>514898</v>
      </c>
      <c r="C182" s="3">
        <v>515045</v>
      </c>
      <c r="D182" s="1" t="s">
        <v>9</v>
      </c>
      <c r="E182" s="3">
        <v>148</v>
      </c>
      <c r="F182" s="1" t="s">
        <v>14142</v>
      </c>
      <c r="G182" s="1" t="s">
        <v>5151</v>
      </c>
    </row>
    <row r="183" spans="1:7" ht="21" x14ac:dyDescent="0.25">
      <c r="A183" s="2" t="str">
        <f>HYPERLINK("https://rth.dk/resources/bsgatlas/details.php?id=BSGatlas-3'UTR-182","BSGatlas-3'UTR-182")</f>
        <v>BSGatlas-3'UTR-182</v>
      </c>
      <c r="B183" s="3">
        <v>514951</v>
      </c>
      <c r="C183" s="3">
        <v>515016</v>
      </c>
      <c r="D183" s="1" t="s">
        <v>13</v>
      </c>
      <c r="E183" s="3">
        <v>66</v>
      </c>
      <c r="F183" s="1" t="s">
        <v>12014</v>
      </c>
      <c r="G183" s="1" t="s">
        <v>5152</v>
      </c>
    </row>
    <row r="184" spans="1:7" ht="21" x14ac:dyDescent="0.25">
      <c r="A184" s="2" t="str">
        <f>HYPERLINK("https://rth.dk/resources/bsgatlas/details.php?id=BSGatlas-3'UTR-183","BSGatlas-3'UTR-183")</f>
        <v>BSGatlas-3'UTR-183</v>
      </c>
      <c r="B184" s="3">
        <v>517257</v>
      </c>
      <c r="C184" s="3">
        <v>517299</v>
      </c>
      <c r="D184" s="1" t="s">
        <v>9</v>
      </c>
      <c r="E184" s="3">
        <v>43</v>
      </c>
      <c r="F184" s="1" t="s">
        <v>12015</v>
      </c>
      <c r="G184" s="1" t="s">
        <v>5155</v>
      </c>
    </row>
    <row r="185" spans="1:7" ht="21" x14ac:dyDescent="0.25">
      <c r="A185" s="2" t="str">
        <f>HYPERLINK("https://rth.dk/resources/bsgatlas/details.php?id=BSGatlas-3'UTR-184","BSGatlas-3'UTR-184")</f>
        <v>BSGatlas-3'UTR-184</v>
      </c>
      <c r="B185" s="3">
        <v>519293</v>
      </c>
      <c r="C185" s="3">
        <v>519339</v>
      </c>
      <c r="D185" s="1" t="s">
        <v>9</v>
      </c>
      <c r="E185" s="3">
        <v>47</v>
      </c>
      <c r="F185" s="1" t="s">
        <v>14143</v>
      </c>
      <c r="G185" s="1" t="s">
        <v>5160</v>
      </c>
    </row>
    <row r="186" spans="1:7" ht="21" x14ac:dyDescent="0.25">
      <c r="A186" s="2" t="str">
        <f>HYPERLINK("https://rth.dk/resources/bsgatlas/details.php?id=BSGatlas-3'UTR-185","BSGatlas-3'UTR-185")</f>
        <v>BSGatlas-3'UTR-185</v>
      </c>
      <c r="B186" s="3">
        <v>524249</v>
      </c>
      <c r="C186" s="3">
        <v>524297</v>
      </c>
      <c r="D186" s="1" t="s">
        <v>9</v>
      </c>
      <c r="E186" s="3">
        <v>49</v>
      </c>
      <c r="F186" s="1" t="s">
        <v>14144</v>
      </c>
      <c r="G186" s="1" t="s">
        <v>5171</v>
      </c>
    </row>
    <row r="187" spans="1:7" ht="21" x14ac:dyDescent="0.25">
      <c r="A187" s="2" t="str">
        <f>HYPERLINK("https://rth.dk/resources/bsgatlas/details.php?id=BSGatlas-3'UTR-186","BSGatlas-3'UTR-186")</f>
        <v>BSGatlas-3'UTR-186</v>
      </c>
      <c r="B187" s="3">
        <v>528626</v>
      </c>
      <c r="C187" s="3">
        <v>529505</v>
      </c>
      <c r="D187" s="1" t="s">
        <v>13</v>
      </c>
      <c r="E187" s="3">
        <v>880</v>
      </c>
      <c r="F187" s="1" t="s">
        <v>14145</v>
      </c>
      <c r="G187" s="1" t="s">
        <v>5185</v>
      </c>
    </row>
    <row r="188" spans="1:7" ht="21" x14ac:dyDescent="0.25">
      <c r="A188" s="2" t="str">
        <f>HYPERLINK("https://rth.dk/resources/bsgatlas/details.php?id=BSGatlas-3'UTR-187","BSGatlas-3'UTR-187")</f>
        <v>BSGatlas-3'UTR-187</v>
      </c>
      <c r="B188" s="3">
        <v>529255</v>
      </c>
      <c r="C188" s="3">
        <v>529342</v>
      </c>
      <c r="D188" s="1" t="s">
        <v>9</v>
      </c>
      <c r="E188" s="3">
        <v>88</v>
      </c>
      <c r="F188" s="1" t="s">
        <v>14146</v>
      </c>
      <c r="G188" s="1" t="s">
        <v>5186</v>
      </c>
    </row>
    <row r="189" spans="1:7" ht="21" x14ac:dyDescent="0.25">
      <c r="A189" s="2" t="str">
        <f>HYPERLINK("https://rth.dk/resources/bsgatlas/details.php?id=BSGatlas-3'UTR-188","BSGatlas-3'UTR-188")</f>
        <v>BSGatlas-3'UTR-188</v>
      </c>
      <c r="B189" s="3">
        <v>529422</v>
      </c>
      <c r="C189" s="3">
        <v>530385</v>
      </c>
      <c r="D189" s="1" t="s">
        <v>9</v>
      </c>
      <c r="E189" s="3">
        <v>964</v>
      </c>
      <c r="F189" s="1" t="s">
        <v>14147</v>
      </c>
      <c r="G189" s="1" t="s">
        <v>5188</v>
      </c>
    </row>
    <row r="190" spans="1:7" ht="21" x14ac:dyDescent="0.25">
      <c r="A190" s="2" t="str">
        <f>HYPERLINK("https://rth.dk/resources/bsgatlas/details.php?id=BSGatlas-3'UTR-189","BSGatlas-3'UTR-189")</f>
        <v>BSGatlas-3'UTR-189</v>
      </c>
      <c r="B190" s="3">
        <v>529455</v>
      </c>
      <c r="C190" s="3">
        <v>529505</v>
      </c>
      <c r="D190" s="1" t="s">
        <v>13</v>
      </c>
      <c r="E190" s="3">
        <v>51</v>
      </c>
      <c r="F190" s="1" t="s">
        <v>14145</v>
      </c>
      <c r="G190" s="1" t="s">
        <v>5189</v>
      </c>
    </row>
    <row r="191" spans="1:7" ht="21" x14ac:dyDescent="0.25">
      <c r="A191" s="2" t="str">
        <f>HYPERLINK("https://rth.dk/resources/bsgatlas/details.php?id=BSGatlas-3'UTR-190","BSGatlas-3'UTR-190")</f>
        <v>BSGatlas-3'UTR-190</v>
      </c>
      <c r="B191" s="3">
        <v>530914</v>
      </c>
      <c r="C191" s="3">
        <v>531130</v>
      </c>
      <c r="D191" s="1" t="s">
        <v>13</v>
      </c>
      <c r="E191" s="3">
        <v>217</v>
      </c>
      <c r="F191" s="1" t="s">
        <v>12025</v>
      </c>
      <c r="G191" s="1" t="s">
        <v>5190</v>
      </c>
    </row>
    <row r="192" spans="1:7" ht="21" x14ac:dyDescent="0.25">
      <c r="A192" s="2" t="str">
        <f>HYPERLINK("https://rth.dk/resources/bsgatlas/details.php?id=BSGatlas-3'UTR-191","BSGatlas-3'UTR-191")</f>
        <v>BSGatlas-3'UTR-191</v>
      </c>
      <c r="B192" s="3">
        <v>534780</v>
      </c>
      <c r="C192" s="3">
        <v>534798</v>
      </c>
      <c r="D192" s="1" t="s">
        <v>9</v>
      </c>
      <c r="E192" s="3">
        <v>19</v>
      </c>
      <c r="F192" s="1" t="s">
        <v>14148</v>
      </c>
      <c r="G192" s="1" t="s">
        <v>5193</v>
      </c>
    </row>
    <row r="193" spans="1:7" ht="21" x14ac:dyDescent="0.25">
      <c r="A193" s="2" t="str">
        <f>HYPERLINK("https://rth.dk/resources/bsgatlas/details.php?id=BSGatlas-3'UTR-192","BSGatlas-3'UTR-192")</f>
        <v>BSGatlas-3'UTR-192</v>
      </c>
      <c r="B193" s="3">
        <v>546006</v>
      </c>
      <c r="C193" s="3">
        <v>546166</v>
      </c>
      <c r="D193" s="1" t="s">
        <v>13</v>
      </c>
      <c r="E193" s="3">
        <v>161</v>
      </c>
      <c r="F193" s="1" t="s">
        <v>12030</v>
      </c>
      <c r="G193" s="1" t="s">
        <v>5207</v>
      </c>
    </row>
    <row r="194" spans="1:7" ht="21" x14ac:dyDescent="0.25">
      <c r="A194" s="2" t="str">
        <f>HYPERLINK("https://rth.dk/resources/bsgatlas/details.php?id=BSGatlas-3'UTR-193","BSGatlas-3'UTR-193")</f>
        <v>BSGatlas-3'UTR-193</v>
      </c>
      <c r="B194" s="3">
        <v>548557</v>
      </c>
      <c r="C194" s="3">
        <v>548577</v>
      </c>
      <c r="D194" s="1" t="s">
        <v>9</v>
      </c>
      <c r="E194" s="3">
        <v>21</v>
      </c>
      <c r="F194" s="1" t="s">
        <v>12031</v>
      </c>
      <c r="G194" s="1" t="s">
        <v>5209</v>
      </c>
    </row>
    <row r="195" spans="1:7" ht="21" x14ac:dyDescent="0.25">
      <c r="A195" s="2" t="str">
        <f>HYPERLINK("https://rth.dk/resources/bsgatlas/details.php?id=BSGatlas-3'UTR-194","BSGatlas-3'UTR-194")</f>
        <v>BSGatlas-3'UTR-194</v>
      </c>
      <c r="B195" s="3">
        <v>548557</v>
      </c>
      <c r="C195" s="3">
        <v>548625</v>
      </c>
      <c r="D195" s="1" t="s">
        <v>9</v>
      </c>
      <c r="E195" s="3">
        <v>69</v>
      </c>
      <c r="F195" s="1" t="s">
        <v>12031</v>
      </c>
      <c r="G195" s="1" t="s">
        <v>5210</v>
      </c>
    </row>
    <row r="196" spans="1:7" ht="21" x14ac:dyDescent="0.25">
      <c r="A196" s="2" t="str">
        <f>HYPERLINK("https://rth.dk/resources/bsgatlas/details.php?id=BSGatlas-3'UTR-195","BSGatlas-3'UTR-195")</f>
        <v>BSGatlas-3'UTR-195</v>
      </c>
      <c r="B196" s="3">
        <v>549651</v>
      </c>
      <c r="C196" s="3">
        <v>549974</v>
      </c>
      <c r="D196" s="1" t="s">
        <v>9</v>
      </c>
      <c r="E196" s="3">
        <v>324</v>
      </c>
      <c r="F196" s="1" t="s">
        <v>14149</v>
      </c>
      <c r="G196" s="1" t="s">
        <v>5214</v>
      </c>
    </row>
    <row r="197" spans="1:7" ht="21" x14ac:dyDescent="0.25">
      <c r="A197" s="2" t="str">
        <f>HYPERLINK("https://rth.dk/resources/bsgatlas/details.php?id=BSGatlas-3'UTR-196","BSGatlas-3'UTR-196")</f>
        <v>BSGatlas-3'UTR-196</v>
      </c>
      <c r="B197" s="3">
        <v>549890</v>
      </c>
      <c r="C197" s="3">
        <v>550240</v>
      </c>
      <c r="D197" s="1" t="s">
        <v>13</v>
      </c>
      <c r="E197" s="3">
        <v>351</v>
      </c>
      <c r="F197" s="1" t="s">
        <v>14150</v>
      </c>
      <c r="G197" s="1" t="s">
        <v>5216</v>
      </c>
    </row>
    <row r="198" spans="1:7" ht="21" x14ac:dyDescent="0.25">
      <c r="A198" s="2" t="str">
        <f>HYPERLINK("https://rth.dk/resources/bsgatlas/details.php?id=BSGatlas-3'UTR-197","BSGatlas-3'UTR-197")</f>
        <v>BSGatlas-3'UTR-197</v>
      </c>
      <c r="B198" s="3">
        <v>549962</v>
      </c>
      <c r="C198" s="3">
        <v>550240</v>
      </c>
      <c r="D198" s="1" t="s">
        <v>13</v>
      </c>
      <c r="E198" s="3">
        <v>279</v>
      </c>
      <c r="F198" s="1" t="s">
        <v>14150</v>
      </c>
      <c r="G198" s="1" t="s">
        <v>5217</v>
      </c>
    </row>
    <row r="199" spans="1:7" ht="21" x14ac:dyDescent="0.25">
      <c r="A199" s="2" t="str">
        <f>HYPERLINK("https://rth.dk/resources/bsgatlas/details.php?id=BSGatlas-3'UTR-198","BSGatlas-3'UTR-198")</f>
        <v>BSGatlas-3'UTR-198</v>
      </c>
      <c r="B199" s="3">
        <v>551929</v>
      </c>
      <c r="C199" s="3">
        <v>551978</v>
      </c>
      <c r="D199" s="1" t="s">
        <v>9</v>
      </c>
      <c r="E199" s="3">
        <v>50</v>
      </c>
      <c r="F199" s="1" t="s">
        <v>12032</v>
      </c>
      <c r="G199" s="1" t="s">
        <v>5219</v>
      </c>
    </row>
    <row r="200" spans="1:7" ht="21" x14ac:dyDescent="0.25">
      <c r="A200" s="2" t="str">
        <f>HYPERLINK("https://rth.dk/resources/bsgatlas/details.php?id=BSGatlas-3'UTR-199","BSGatlas-3'UTR-199")</f>
        <v>BSGatlas-3'UTR-199</v>
      </c>
      <c r="B200" s="3">
        <v>558058</v>
      </c>
      <c r="C200" s="3">
        <v>558079</v>
      </c>
      <c r="D200" s="1" t="s">
        <v>9</v>
      </c>
      <c r="E200" s="3">
        <v>22</v>
      </c>
      <c r="F200" s="1" t="s">
        <v>12035</v>
      </c>
      <c r="G200" s="1" t="s">
        <v>5223</v>
      </c>
    </row>
    <row r="201" spans="1:7" ht="21" x14ac:dyDescent="0.25">
      <c r="A201" s="2" t="str">
        <f>HYPERLINK("https://rth.dk/resources/bsgatlas/details.php?id=BSGatlas-3'UTR-200","BSGatlas-3'UTR-200")</f>
        <v>BSGatlas-3'UTR-200</v>
      </c>
      <c r="B201" s="3">
        <v>559159</v>
      </c>
      <c r="C201" s="3">
        <v>559532</v>
      </c>
      <c r="D201" s="1" t="s">
        <v>13</v>
      </c>
      <c r="E201" s="3">
        <v>374</v>
      </c>
      <c r="F201" s="1" t="s">
        <v>14151</v>
      </c>
      <c r="G201" s="1" t="s">
        <v>5227</v>
      </c>
    </row>
    <row r="202" spans="1:7" ht="21" x14ac:dyDescent="0.25">
      <c r="A202" s="2" t="str">
        <f>HYPERLINK("https://rth.dk/resources/bsgatlas/details.php?id=BSGatlas-3'UTR-201","BSGatlas-3'UTR-201")</f>
        <v>BSGatlas-3'UTR-201</v>
      </c>
      <c r="B202" s="3">
        <v>559329</v>
      </c>
      <c r="C202" s="3">
        <v>559532</v>
      </c>
      <c r="D202" s="1" t="s">
        <v>13</v>
      </c>
      <c r="E202" s="3">
        <v>204</v>
      </c>
      <c r="F202" s="1" t="s">
        <v>14151</v>
      </c>
      <c r="G202" s="1" t="s">
        <v>5229</v>
      </c>
    </row>
    <row r="203" spans="1:7" ht="21" x14ac:dyDescent="0.25">
      <c r="A203" s="2" t="str">
        <f>HYPERLINK("https://rth.dk/resources/bsgatlas/details.php?id=BSGatlas-3'UTR-202","BSGatlas-3'UTR-202")</f>
        <v>BSGatlas-3'UTR-202</v>
      </c>
      <c r="B203" s="3">
        <v>559464</v>
      </c>
      <c r="C203" s="3">
        <v>559490</v>
      </c>
      <c r="D203" s="1" t="s">
        <v>9</v>
      </c>
      <c r="E203" s="3">
        <v>27</v>
      </c>
      <c r="F203" s="1" t="s">
        <v>12036</v>
      </c>
      <c r="G203" s="1" t="s">
        <v>5226</v>
      </c>
    </row>
    <row r="204" spans="1:7" ht="21" x14ac:dyDescent="0.25">
      <c r="A204" s="2" t="str">
        <f>HYPERLINK("https://rth.dk/resources/bsgatlas/details.php?id=BSGatlas-3'UTR-203","BSGatlas-3'UTR-203")</f>
        <v>BSGatlas-3'UTR-203</v>
      </c>
      <c r="B204" s="3">
        <v>568108</v>
      </c>
      <c r="C204" s="3">
        <v>568159</v>
      </c>
      <c r="D204" s="1" t="s">
        <v>9</v>
      </c>
      <c r="E204" s="3">
        <v>52</v>
      </c>
      <c r="F204" s="1" t="s">
        <v>12041</v>
      </c>
      <c r="G204" s="1" t="s">
        <v>5238</v>
      </c>
    </row>
    <row r="205" spans="1:7" ht="21" x14ac:dyDescent="0.25">
      <c r="A205" s="2" t="str">
        <f>HYPERLINK("https://rth.dk/resources/bsgatlas/details.php?id=BSGatlas-3'UTR-204","BSGatlas-3'UTR-204")</f>
        <v>BSGatlas-3'UTR-204</v>
      </c>
      <c r="B205" s="3">
        <v>568938</v>
      </c>
      <c r="C205" s="3">
        <v>569003</v>
      </c>
      <c r="D205" s="1" t="s">
        <v>9</v>
      </c>
      <c r="E205" s="3">
        <v>66</v>
      </c>
      <c r="F205" s="1" t="s">
        <v>12042</v>
      </c>
      <c r="G205" s="1" t="s">
        <v>5240</v>
      </c>
    </row>
    <row r="206" spans="1:7" ht="21" x14ac:dyDescent="0.25">
      <c r="A206" s="2" t="str">
        <f>HYPERLINK("https://rth.dk/resources/bsgatlas/details.php?id=BSGatlas-3'UTR-205","BSGatlas-3'UTR-205")</f>
        <v>BSGatlas-3'UTR-205</v>
      </c>
      <c r="B206" s="3">
        <v>569035</v>
      </c>
      <c r="C206" s="3">
        <v>569290</v>
      </c>
      <c r="D206" s="1" t="s">
        <v>13</v>
      </c>
      <c r="E206" s="3">
        <v>256</v>
      </c>
      <c r="F206" s="1" t="s">
        <v>12043</v>
      </c>
      <c r="G206" s="1" t="s">
        <v>5242</v>
      </c>
    </row>
    <row r="207" spans="1:7" ht="21" x14ac:dyDescent="0.25">
      <c r="A207" s="2" t="str">
        <f>HYPERLINK("https://rth.dk/resources/bsgatlas/details.php?id=BSGatlas-3'UTR-206","BSGatlas-3'UTR-206")</f>
        <v>BSGatlas-3'UTR-206</v>
      </c>
      <c r="B207" s="3">
        <v>573435</v>
      </c>
      <c r="C207" s="3">
        <v>573452</v>
      </c>
      <c r="D207" s="1" t="s">
        <v>13</v>
      </c>
      <c r="E207" s="3">
        <v>18</v>
      </c>
      <c r="F207" s="1" t="s">
        <v>14152</v>
      </c>
      <c r="G207" s="1" t="s">
        <v>5248</v>
      </c>
    </row>
    <row r="208" spans="1:7" ht="21" x14ac:dyDescent="0.25">
      <c r="A208" s="2" t="str">
        <f>HYPERLINK("https://rth.dk/resources/bsgatlas/details.php?id=BSGatlas-3'UTR-207","BSGatlas-3'UTR-207")</f>
        <v>BSGatlas-3'UTR-207</v>
      </c>
      <c r="B208" s="3">
        <v>575562</v>
      </c>
      <c r="C208" s="3">
        <v>575669</v>
      </c>
      <c r="D208" s="1" t="s">
        <v>9</v>
      </c>
      <c r="E208" s="3">
        <v>108</v>
      </c>
      <c r="F208" s="1" t="s">
        <v>12048</v>
      </c>
      <c r="G208" s="1" t="s">
        <v>5251</v>
      </c>
    </row>
    <row r="209" spans="1:7" ht="21" x14ac:dyDescent="0.25">
      <c r="A209" s="2" t="str">
        <f>HYPERLINK("https://rth.dk/resources/bsgatlas/details.php?id=BSGatlas-3'UTR-208","BSGatlas-3'UTR-208")</f>
        <v>BSGatlas-3'UTR-208</v>
      </c>
      <c r="B209" s="3">
        <v>581454</v>
      </c>
      <c r="C209" s="3">
        <v>581763</v>
      </c>
      <c r="D209" s="1" t="s">
        <v>9</v>
      </c>
      <c r="E209" s="3">
        <v>310</v>
      </c>
      <c r="F209" s="1" t="s">
        <v>14153</v>
      </c>
      <c r="G209" s="1" t="s">
        <v>5260</v>
      </c>
    </row>
    <row r="210" spans="1:7" ht="21" x14ac:dyDescent="0.25">
      <c r="A210" s="2" t="str">
        <f>HYPERLINK("https://rth.dk/resources/bsgatlas/details.php?id=BSGatlas-3'UTR-209","BSGatlas-3'UTR-209")</f>
        <v>BSGatlas-3'UTR-209</v>
      </c>
      <c r="B210" s="3">
        <v>582479</v>
      </c>
      <c r="C210" s="3">
        <v>582511</v>
      </c>
      <c r="D210" s="1" t="s">
        <v>9</v>
      </c>
      <c r="E210" s="3">
        <v>33</v>
      </c>
      <c r="F210" s="1" t="s">
        <v>12053</v>
      </c>
      <c r="G210" s="1" t="s">
        <v>5262</v>
      </c>
    </row>
    <row r="211" spans="1:7" ht="21" x14ac:dyDescent="0.25">
      <c r="A211" s="2" t="str">
        <f>HYPERLINK("https://rth.dk/resources/bsgatlas/details.php?id=BSGatlas-3'UTR-210","BSGatlas-3'UTR-210")</f>
        <v>BSGatlas-3'UTR-210</v>
      </c>
      <c r="B211" s="3">
        <v>586548</v>
      </c>
      <c r="C211" s="3">
        <v>586603</v>
      </c>
      <c r="D211" s="1" t="s">
        <v>9</v>
      </c>
      <c r="E211" s="3">
        <v>56</v>
      </c>
      <c r="F211" s="1" t="s">
        <v>12055</v>
      </c>
      <c r="G211" s="1" t="s">
        <v>5265</v>
      </c>
    </row>
    <row r="212" spans="1:7" ht="21" x14ac:dyDescent="0.25">
      <c r="A212" s="2" t="str">
        <f>HYPERLINK("https://rth.dk/resources/bsgatlas/details.php?id=BSGatlas-3'UTR-211","BSGatlas-3'UTR-211")</f>
        <v>BSGatlas-3'UTR-211</v>
      </c>
      <c r="B212" s="3">
        <v>586611</v>
      </c>
      <c r="C212" s="3">
        <v>586628</v>
      </c>
      <c r="D212" s="1" t="s">
        <v>13</v>
      </c>
      <c r="E212" s="3">
        <v>18</v>
      </c>
      <c r="F212" s="1" t="s">
        <v>12056</v>
      </c>
      <c r="G212" s="1" t="s">
        <v>5267</v>
      </c>
    </row>
    <row r="213" spans="1:7" ht="21" x14ac:dyDescent="0.25">
      <c r="A213" s="2" t="str">
        <f>HYPERLINK("https://rth.dk/resources/bsgatlas/details.php?id=BSGatlas-3'UTR-212","BSGatlas-3'UTR-212")</f>
        <v>BSGatlas-3'UTR-212</v>
      </c>
      <c r="B213" s="3">
        <v>589601</v>
      </c>
      <c r="C213" s="3">
        <v>589661</v>
      </c>
      <c r="D213" s="1" t="s">
        <v>9</v>
      </c>
      <c r="E213" s="3">
        <v>61</v>
      </c>
      <c r="F213" s="1" t="s">
        <v>14154</v>
      </c>
      <c r="G213" s="1" t="s">
        <v>5270</v>
      </c>
    </row>
    <row r="214" spans="1:7" ht="21" x14ac:dyDescent="0.25">
      <c r="A214" s="2" t="str">
        <f>HYPERLINK("https://rth.dk/resources/bsgatlas/details.php?id=BSGatlas-3'UTR-213","BSGatlas-3'UTR-213")</f>
        <v>BSGatlas-3'UTR-213</v>
      </c>
      <c r="B214" s="3">
        <v>591891</v>
      </c>
      <c r="C214" s="3">
        <v>591936</v>
      </c>
      <c r="D214" s="1" t="s">
        <v>9</v>
      </c>
      <c r="E214" s="3">
        <v>46</v>
      </c>
      <c r="F214" s="1" t="s">
        <v>12058</v>
      </c>
      <c r="G214" s="1" t="s">
        <v>5272</v>
      </c>
    </row>
    <row r="215" spans="1:7" ht="21" x14ac:dyDescent="0.25">
      <c r="A215" s="2" t="str">
        <f>HYPERLINK("https://rth.dk/resources/bsgatlas/details.php?id=BSGatlas-3'UTR-214","BSGatlas-3'UTR-214")</f>
        <v>BSGatlas-3'UTR-214</v>
      </c>
      <c r="B215" s="3">
        <v>591918</v>
      </c>
      <c r="C215" s="3">
        <v>592303</v>
      </c>
      <c r="D215" s="1" t="s">
        <v>13</v>
      </c>
      <c r="E215" s="3">
        <v>386</v>
      </c>
      <c r="F215" s="1" t="s">
        <v>12059</v>
      </c>
      <c r="G215" s="1" t="s">
        <v>5275</v>
      </c>
    </row>
    <row r="216" spans="1:7" ht="21" x14ac:dyDescent="0.25">
      <c r="A216" s="2" t="str">
        <f>HYPERLINK("https://rth.dk/resources/bsgatlas/details.php?id=BSGatlas-3'UTR-215","BSGatlas-3'UTR-215")</f>
        <v>BSGatlas-3'UTR-215</v>
      </c>
      <c r="B216" s="3">
        <v>592196</v>
      </c>
      <c r="C216" s="3">
        <v>592303</v>
      </c>
      <c r="D216" s="1" t="s">
        <v>13</v>
      </c>
      <c r="E216" s="3">
        <v>108</v>
      </c>
      <c r="F216" s="1" t="s">
        <v>12059</v>
      </c>
      <c r="G216" s="1" t="s">
        <v>5276</v>
      </c>
    </row>
    <row r="217" spans="1:7" ht="21" x14ac:dyDescent="0.25">
      <c r="A217" s="2" t="str">
        <f>HYPERLINK("https://rth.dk/resources/bsgatlas/details.php?id=BSGatlas-3'UTR-216","BSGatlas-3'UTR-216")</f>
        <v>BSGatlas-3'UTR-216</v>
      </c>
      <c r="B217" s="3">
        <v>593370</v>
      </c>
      <c r="C217" s="3">
        <v>593407</v>
      </c>
      <c r="D217" s="1" t="s">
        <v>13</v>
      </c>
      <c r="E217" s="3">
        <v>38</v>
      </c>
      <c r="F217" s="1" t="s">
        <v>12060</v>
      </c>
      <c r="G217" s="1" t="s">
        <v>5278</v>
      </c>
    </row>
    <row r="218" spans="1:7" ht="21" x14ac:dyDescent="0.25">
      <c r="A218" s="2" t="str">
        <f>HYPERLINK("https://rth.dk/resources/bsgatlas/details.php?id=BSGatlas-3'UTR-217","BSGatlas-3'UTR-217")</f>
        <v>BSGatlas-3'UTR-217</v>
      </c>
      <c r="B218" s="3">
        <v>598543</v>
      </c>
      <c r="C218" s="3">
        <v>598588</v>
      </c>
      <c r="D218" s="1" t="s">
        <v>9</v>
      </c>
      <c r="E218" s="3">
        <v>46</v>
      </c>
      <c r="F218" s="1" t="s">
        <v>12065</v>
      </c>
      <c r="G218" s="1" t="s">
        <v>5285</v>
      </c>
    </row>
    <row r="219" spans="1:7" ht="21" x14ac:dyDescent="0.25">
      <c r="A219" s="2" t="str">
        <f>HYPERLINK("https://rth.dk/resources/bsgatlas/details.php?id=BSGatlas-3'UTR-218","BSGatlas-3'UTR-218")</f>
        <v>BSGatlas-3'UTR-218</v>
      </c>
      <c r="B219" s="3">
        <v>599067</v>
      </c>
      <c r="C219" s="3">
        <v>600111</v>
      </c>
      <c r="D219" s="1" t="s">
        <v>9</v>
      </c>
      <c r="E219" s="3">
        <v>1045</v>
      </c>
      <c r="F219" s="1" t="s">
        <v>12066</v>
      </c>
      <c r="G219" s="1" t="s">
        <v>5292</v>
      </c>
    </row>
    <row r="220" spans="1:7" ht="21" x14ac:dyDescent="0.25">
      <c r="A220" s="2" t="str">
        <f>HYPERLINK("https://rth.dk/resources/bsgatlas/details.php?id=BSGatlas-3'UTR-219","BSGatlas-3'UTR-219")</f>
        <v>BSGatlas-3'UTR-219</v>
      </c>
      <c r="B220" s="3">
        <v>599527</v>
      </c>
      <c r="C220" s="3">
        <v>599875</v>
      </c>
      <c r="D220" s="1" t="s">
        <v>13</v>
      </c>
      <c r="E220" s="3">
        <v>349</v>
      </c>
      <c r="F220" s="1" t="s">
        <v>12068</v>
      </c>
      <c r="G220" s="1" t="s">
        <v>5297</v>
      </c>
    </row>
    <row r="221" spans="1:7" ht="21" x14ac:dyDescent="0.25">
      <c r="A221" s="2" t="str">
        <f>HYPERLINK("https://rth.dk/resources/bsgatlas/details.php?id=BSGatlas-3'UTR-220","BSGatlas-3'UTR-220")</f>
        <v>BSGatlas-3'UTR-220</v>
      </c>
      <c r="B221" s="3">
        <v>600187</v>
      </c>
      <c r="C221" s="3">
        <v>600229</v>
      </c>
      <c r="D221" s="1" t="s">
        <v>13</v>
      </c>
      <c r="E221" s="3">
        <v>43</v>
      </c>
      <c r="F221" s="1" t="s">
        <v>14155</v>
      </c>
      <c r="G221" s="1" t="s">
        <v>5299</v>
      </c>
    </row>
    <row r="222" spans="1:7" ht="21" x14ac:dyDescent="0.25">
      <c r="A222" s="2" t="str">
        <f>HYPERLINK("https://rth.dk/resources/bsgatlas/details.php?id=BSGatlas-3'UTR-221","BSGatlas-3'UTR-221")</f>
        <v>BSGatlas-3'UTR-221</v>
      </c>
      <c r="B222" s="3">
        <v>601726</v>
      </c>
      <c r="C222" s="3">
        <v>602100</v>
      </c>
      <c r="D222" s="1" t="s">
        <v>9</v>
      </c>
      <c r="E222" s="3">
        <v>375</v>
      </c>
      <c r="F222" s="1" t="s">
        <v>12067</v>
      </c>
      <c r="G222" s="1" t="s">
        <v>5295</v>
      </c>
    </row>
    <row r="223" spans="1:7" ht="21" x14ac:dyDescent="0.25">
      <c r="A223" s="2" t="str">
        <f>HYPERLINK("https://rth.dk/resources/bsgatlas/details.php?id=BSGatlas-3'UTR-222","BSGatlas-3'UTR-222")</f>
        <v>BSGatlas-3'UTR-222</v>
      </c>
      <c r="B223" s="3">
        <v>604576</v>
      </c>
      <c r="C223" s="3">
        <v>605302</v>
      </c>
      <c r="D223" s="1" t="s">
        <v>9</v>
      </c>
      <c r="E223" s="3">
        <v>727</v>
      </c>
      <c r="F223" s="1" t="s">
        <v>14156</v>
      </c>
      <c r="G223" s="1" t="s">
        <v>5305</v>
      </c>
    </row>
    <row r="224" spans="1:7" ht="21" x14ac:dyDescent="0.25">
      <c r="A224" s="2" t="str">
        <f>HYPERLINK("https://rth.dk/resources/bsgatlas/details.php?id=BSGatlas-3'UTR-223","BSGatlas-3'UTR-223")</f>
        <v>BSGatlas-3'UTR-223</v>
      </c>
      <c r="B224" s="3">
        <v>604576</v>
      </c>
      <c r="C224" s="3">
        <v>606599</v>
      </c>
      <c r="D224" s="1" t="s">
        <v>9</v>
      </c>
      <c r="E224" s="3">
        <v>2024</v>
      </c>
      <c r="F224" s="1" t="s">
        <v>14156</v>
      </c>
      <c r="G224" s="1" t="s">
        <v>5306</v>
      </c>
    </row>
    <row r="225" spans="1:7" ht="21" x14ac:dyDescent="0.25">
      <c r="A225" s="2" t="str">
        <f>HYPERLINK("https://rth.dk/resources/bsgatlas/details.php?id=BSGatlas-3'UTR-224","BSGatlas-3'UTR-224")</f>
        <v>BSGatlas-3'UTR-224</v>
      </c>
      <c r="B225" s="3">
        <v>604697</v>
      </c>
      <c r="C225" s="3">
        <v>604736</v>
      </c>
      <c r="D225" s="1" t="s">
        <v>13</v>
      </c>
      <c r="E225" s="3">
        <v>40</v>
      </c>
      <c r="F225" s="1" t="s">
        <v>14157</v>
      </c>
      <c r="G225" s="1" t="s">
        <v>5307</v>
      </c>
    </row>
    <row r="226" spans="1:7" ht="21" x14ac:dyDescent="0.25">
      <c r="A226" s="2" t="str">
        <f>HYPERLINK("https://rth.dk/resources/bsgatlas/details.php?id=BSGatlas-3'UTR-225","BSGatlas-3'UTR-225")</f>
        <v>BSGatlas-3'UTR-225</v>
      </c>
      <c r="B226" s="3">
        <v>606676</v>
      </c>
      <c r="C226" s="3">
        <v>606699</v>
      </c>
      <c r="D226" s="1" t="s">
        <v>13</v>
      </c>
      <c r="E226" s="3">
        <v>24</v>
      </c>
      <c r="F226" s="1" t="s">
        <v>12071</v>
      </c>
      <c r="G226" s="1" t="s">
        <v>5311</v>
      </c>
    </row>
    <row r="227" spans="1:7" ht="21" x14ac:dyDescent="0.25">
      <c r="A227" s="2" t="str">
        <f>HYPERLINK("https://rth.dk/resources/bsgatlas/details.php?id=BSGatlas-3'UTR-226","BSGatlas-3'UTR-226")</f>
        <v>BSGatlas-3'UTR-226</v>
      </c>
      <c r="B227" s="3">
        <v>608219</v>
      </c>
      <c r="C227" s="3">
        <v>608246</v>
      </c>
      <c r="D227" s="1" t="s">
        <v>13</v>
      </c>
      <c r="E227" s="3">
        <v>28</v>
      </c>
      <c r="F227" s="1" t="s">
        <v>12072</v>
      </c>
      <c r="G227" s="1" t="s">
        <v>5313</v>
      </c>
    </row>
    <row r="228" spans="1:7" ht="21" x14ac:dyDescent="0.25">
      <c r="A228" s="2" t="str">
        <f>HYPERLINK("https://rth.dk/resources/bsgatlas/details.php?id=BSGatlas-3'UTR-227","BSGatlas-3'UTR-227")</f>
        <v>BSGatlas-3'UTR-227</v>
      </c>
      <c r="B228" s="3">
        <v>612045</v>
      </c>
      <c r="C228" s="3">
        <v>612091</v>
      </c>
      <c r="D228" s="1" t="s">
        <v>9</v>
      </c>
      <c r="E228" s="3">
        <v>47</v>
      </c>
      <c r="F228" s="1" t="s">
        <v>14158</v>
      </c>
      <c r="G228" s="1" t="s">
        <v>5316</v>
      </c>
    </row>
    <row r="229" spans="1:7" ht="21" x14ac:dyDescent="0.25">
      <c r="A229" s="2" t="str">
        <f>HYPERLINK("https://rth.dk/resources/bsgatlas/details.php?id=BSGatlas-3'UTR-228","BSGatlas-3'UTR-228")</f>
        <v>BSGatlas-3'UTR-228</v>
      </c>
      <c r="B229" s="3">
        <v>612045</v>
      </c>
      <c r="C229" s="3">
        <v>612188</v>
      </c>
      <c r="D229" s="1" t="s">
        <v>9</v>
      </c>
      <c r="E229" s="3">
        <v>144</v>
      </c>
      <c r="F229" s="1" t="s">
        <v>14158</v>
      </c>
      <c r="G229" s="1" t="s">
        <v>5317</v>
      </c>
    </row>
    <row r="230" spans="1:7" ht="21" x14ac:dyDescent="0.25">
      <c r="A230" s="2" t="str">
        <f>HYPERLINK("https://rth.dk/resources/bsgatlas/details.php?id=BSGatlas-3'UTR-229","BSGatlas-3'UTR-229")</f>
        <v>BSGatlas-3'UTR-229</v>
      </c>
      <c r="B230" s="3">
        <v>612173</v>
      </c>
      <c r="C230" s="3">
        <v>612191</v>
      </c>
      <c r="D230" s="1" t="s">
        <v>13</v>
      </c>
      <c r="E230" s="3">
        <v>19</v>
      </c>
      <c r="F230" s="1" t="s">
        <v>14159</v>
      </c>
      <c r="G230" s="1" t="s">
        <v>5320</v>
      </c>
    </row>
    <row r="231" spans="1:7" ht="21" x14ac:dyDescent="0.25">
      <c r="A231" s="2" t="str">
        <f>HYPERLINK("https://rth.dk/resources/bsgatlas/details.php?id=BSGatlas-3'UTR-230","BSGatlas-3'UTR-230")</f>
        <v>BSGatlas-3'UTR-230</v>
      </c>
      <c r="B231" s="3">
        <v>619274</v>
      </c>
      <c r="C231" s="3">
        <v>619321</v>
      </c>
      <c r="D231" s="1" t="s">
        <v>13</v>
      </c>
      <c r="E231" s="3">
        <v>48</v>
      </c>
      <c r="F231" s="1" t="s">
        <v>14160</v>
      </c>
      <c r="G231" s="1" t="s">
        <v>5331</v>
      </c>
    </row>
    <row r="232" spans="1:7" ht="21" x14ac:dyDescent="0.25">
      <c r="A232" s="2" t="str">
        <f>HYPERLINK("https://rth.dk/resources/bsgatlas/details.php?id=BSGatlas-3'UTR-231","BSGatlas-3'UTR-231")</f>
        <v>BSGatlas-3'UTR-231</v>
      </c>
      <c r="B232" s="3">
        <v>619282</v>
      </c>
      <c r="C232" s="3">
        <v>619316</v>
      </c>
      <c r="D232" s="1" t="s">
        <v>9</v>
      </c>
      <c r="E232" s="3">
        <v>35</v>
      </c>
      <c r="F232" s="1" t="s">
        <v>12078</v>
      </c>
      <c r="G232" s="1" t="s">
        <v>5328</v>
      </c>
    </row>
    <row r="233" spans="1:7" ht="21" x14ac:dyDescent="0.25">
      <c r="A233" s="2" t="str">
        <f>HYPERLINK("https://rth.dk/resources/bsgatlas/details.php?id=BSGatlas-3'UTR-232","BSGatlas-3'UTR-232")</f>
        <v>BSGatlas-3'UTR-232</v>
      </c>
      <c r="B233" s="3">
        <v>622270</v>
      </c>
      <c r="C233" s="3">
        <v>622293</v>
      </c>
      <c r="D233" s="1" t="s">
        <v>13</v>
      </c>
      <c r="E233" s="3">
        <v>24</v>
      </c>
      <c r="F233" s="1" t="s">
        <v>14161</v>
      </c>
      <c r="G233" s="1" t="s">
        <v>5338</v>
      </c>
    </row>
    <row r="234" spans="1:7" ht="21" x14ac:dyDescent="0.25">
      <c r="A234" s="2" t="str">
        <f>HYPERLINK("https://rth.dk/resources/bsgatlas/details.php?id=BSGatlas-3'UTR-233","BSGatlas-3'UTR-233")</f>
        <v>BSGatlas-3'UTR-233</v>
      </c>
      <c r="B234" s="3">
        <v>625109</v>
      </c>
      <c r="C234" s="3">
        <v>625151</v>
      </c>
      <c r="D234" s="1" t="s">
        <v>9</v>
      </c>
      <c r="E234" s="3">
        <v>43</v>
      </c>
      <c r="F234" s="1" t="s">
        <v>12083</v>
      </c>
      <c r="G234" s="1" t="s">
        <v>5342</v>
      </c>
    </row>
    <row r="235" spans="1:7" ht="21" x14ac:dyDescent="0.25">
      <c r="A235" s="2" t="str">
        <f>HYPERLINK("https://rth.dk/resources/bsgatlas/details.php?id=BSGatlas-3'UTR-234","BSGatlas-3'UTR-234")</f>
        <v>BSGatlas-3'UTR-234</v>
      </c>
      <c r="B235" s="3">
        <v>626329</v>
      </c>
      <c r="C235" s="3">
        <v>626346</v>
      </c>
      <c r="D235" s="1" t="s">
        <v>13</v>
      </c>
      <c r="E235" s="3">
        <v>18</v>
      </c>
      <c r="F235" s="1" t="s">
        <v>14162</v>
      </c>
      <c r="G235" s="1" t="s">
        <v>5346</v>
      </c>
    </row>
    <row r="236" spans="1:7" ht="21" x14ac:dyDescent="0.25">
      <c r="A236" s="2" t="str">
        <f>HYPERLINK("https://rth.dk/resources/bsgatlas/details.php?id=BSGatlas-3'UTR-235","BSGatlas-3'UTR-235")</f>
        <v>BSGatlas-3'UTR-235</v>
      </c>
      <c r="B236" s="3">
        <v>633862</v>
      </c>
      <c r="C236" s="3">
        <v>633878</v>
      </c>
      <c r="D236" s="1" t="s">
        <v>9</v>
      </c>
      <c r="E236" s="3">
        <v>17</v>
      </c>
      <c r="F236" s="1" t="s">
        <v>14163</v>
      </c>
      <c r="G236" s="1" t="s">
        <v>5349</v>
      </c>
    </row>
    <row r="237" spans="1:7" ht="21" x14ac:dyDescent="0.25">
      <c r="A237" s="2" t="str">
        <f>HYPERLINK("https://rth.dk/resources/bsgatlas/details.php?id=BSGatlas-3'UTR-236","BSGatlas-3'UTR-236")</f>
        <v>BSGatlas-3'UTR-236</v>
      </c>
      <c r="B237" s="3">
        <v>633871</v>
      </c>
      <c r="C237" s="3">
        <v>633923</v>
      </c>
      <c r="D237" s="1" t="s">
        <v>13</v>
      </c>
      <c r="E237" s="3">
        <v>53</v>
      </c>
      <c r="F237" s="1" t="s">
        <v>14164</v>
      </c>
      <c r="G237" s="1" t="s">
        <v>5352</v>
      </c>
    </row>
    <row r="238" spans="1:7" ht="21" x14ac:dyDescent="0.25">
      <c r="A238" s="2" t="str">
        <f>HYPERLINK("https://rth.dk/resources/bsgatlas/details.php?id=BSGatlas-3'UTR-237","BSGatlas-3'UTR-237")</f>
        <v>BSGatlas-3'UTR-237</v>
      </c>
      <c r="B238" s="3">
        <v>634944</v>
      </c>
      <c r="C238" s="3">
        <v>635371</v>
      </c>
      <c r="D238" s="1" t="s">
        <v>13</v>
      </c>
      <c r="E238" s="3">
        <v>428</v>
      </c>
      <c r="F238" s="1" t="s">
        <v>14165</v>
      </c>
      <c r="G238" s="1" t="s">
        <v>5357</v>
      </c>
    </row>
    <row r="239" spans="1:7" ht="21" x14ac:dyDescent="0.25">
      <c r="A239" s="2" t="str">
        <f>HYPERLINK("https://rth.dk/resources/bsgatlas/details.php?id=BSGatlas-3'UTR-238","BSGatlas-3'UTR-238")</f>
        <v>BSGatlas-3'UTR-238</v>
      </c>
      <c r="B239" s="3">
        <v>640481</v>
      </c>
      <c r="C239" s="3">
        <v>640500</v>
      </c>
      <c r="D239" s="1" t="s">
        <v>9</v>
      </c>
      <c r="E239" s="3">
        <v>20</v>
      </c>
      <c r="F239" s="1" t="s">
        <v>14166</v>
      </c>
      <c r="G239" s="1" t="s">
        <v>5361</v>
      </c>
    </row>
    <row r="240" spans="1:7" ht="21" x14ac:dyDescent="0.25">
      <c r="A240" s="2" t="str">
        <f>HYPERLINK("https://rth.dk/resources/bsgatlas/details.php?id=BSGatlas-3'UTR-239","BSGatlas-3'UTR-239")</f>
        <v>BSGatlas-3'UTR-239</v>
      </c>
      <c r="B240" s="3">
        <v>651868</v>
      </c>
      <c r="C240" s="3">
        <v>651996</v>
      </c>
      <c r="D240" s="1" t="s">
        <v>9</v>
      </c>
      <c r="E240" s="3">
        <v>129</v>
      </c>
      <c r="F240" s="1" t="s">
        <v>14167</v>
      </c>
      <c r="G240" s="1" t="s">
        <v>5378</v>
      </c>
    </row>
    <row r="241" spans="1:7" ht="21" x14ac:dyDescent="0.25">
      <c r="A241" s="2" t="str">
        <f>HYPERLINK("https://rth.dk/resources/bsgatlas/details.php?id=BSGatlas-3'UTR-240","BSGatlas-3'UTR-240")</f>
        <v>BSGatlas-3'UTR-240</v>
      </c>
      <c r="B241" s="3">
        <v>657697</v>
      </c>
      <c r="C241" s="3">
        <v>657725</v>
      </c>
      <c r="D241" s="1" t="s">
        <v>9</v>
      </c>
      <c r="E241" s="3">
        <v>29</v>
      </c>
      <c r="F241" s="1" t="s">
        <v>14168</v>
      </c>
      <c r="G241" s="1" t="s">
        <v>5383</v>
      </c>
    </row>
    <row r="242" spans="1:7" ht="21" x14ac:dyDescent="0.25">
      <c r="A242" s="2" t="str">
        <f>HYPERLINK("https://rth.dk/resources/bsgatlas/details.php?id=BSGatlas-3'UTR-241","BSGatlas-3'UTR-241")</f>
        <v>BSGatlas-3'UTR-241</v>
      </c>
      <c r="B242" s="3">
        <v>657697</v>
      </c>
      <c r="C242" s="3">
        <v>657770</v>
      </c>
      <c r="D242" s="1" t="s">
        <v>9</v>
      </c>
      <c r="E242" s="3">
        <v>74</v>
      </c>
      <c r="F242" s="1" t="s">
        <v>14168</v>
      </c>
      <c r="G242" s="1" t="s">
        <v>5384</v>
      </c>
    </row>
    <row r="243" spans="1:7" ht="21" x14ac:dyDescent="0.25">
      <c r="A243" s="2" t="str">
        <f>HYPERLINK("https://rth.dk/resources/bsgatlas/details.php?id=BSGatlas-3'UTR-242","BSGatlas-3'UTR-242")</f>
        <v>BSGatlas-3'UTR-242</v>
      </c>
      <c r="B243" s="3">
        <v>657755</v>
      </c>
      <c r="C243" s="3">
        <v>657793</v>
      </c>
      <c r="D243" s="1" t="s">
        <v>13</v>
      </c>
      <c r="E243" s="3">
        <v>39</v>
      </c>
      <c r="F243" s="1" t="s">
        <v>14169</v>
      </c>
      <c r="G243" s="1" t="s">
        <v>5385</v>
      </c>
    </row>
    <row r="244" spans="1:7" ht="21" x14ac:dyDescent="0.25">
      <c r="A244" s="2" t="str">
        <f>HYPERLINK("https://rth.dk/resources/bsgatlas/details.php?id=BSGatlas-3'UTR-243","BSGatlas-3'UTR-243")</f>
        <v>BSGatlas-3'UTR-243</v>
      </c>
      <c r="B244" s="3">
        <v>663027</v>
      </c>
      <c r="C244" s="3">
        <v>663265</v>
      </c>
      <c r="D244" s="1" t="s">
        <v>9</v>
      </c>
      <c r="E244" s="3">
        <v>239</v>
      </c>
      <c r="F244" s="1" t="s">
        <v>14170</v>
      </c>
      <c r="G244" s="1" t="s">
        <v>5391</v>
      </c>
    </row>
    <row r="245" spans="1:7" ht="21" x14ac:dyDescent="0.25">
      <c r="A245" s="2" t="str">
        <f>HYPERLINK("https://rth.dk/resources/bsgatlas/details.php?id=BSGatlas-3'UTR-244","BSGatlas-3'UTR-244")</f>
        <v>BSGatlas-3'UTR-244</v>
      </c>
      <c r="B245" s="3">
        <v>664669</v>
      </c>
      <c r="C245" s="3">
        <v>664738</v>
      </c>
      <c r="D245" s="1" t="s">
        <v>9</v>
      </c>
      <c r="E245" s="3">
        <v>70</v>
      </c>
      <c r="F245" s="1" t="s">
        <v>14171</v>
      </c>
      <c r="G245" s="1" t="s">
        <v>5393</v>
      </c>
    </row>
    <row r="246" spans="1:7" ht="21" x14ac:dyDescent="0.25">
      <c r="A246" s="2" t="str">
        <f>HYPERLINK("https://rth.dk/resources/bsgatlas/details.php?id=BSGatlas-3'UTR-245","BSGatlas-3'UTR-245")</f>
        <v>BSGatlas-3'UTR-245</v>
      </c>
      <c r="B246" s="3">
        <v>664685</v>
      </c>
      <c r="C246" s="3">
        <v>664775</v>
      </c>
      <c r="D246" s="1" t="s">
        <v>13</v>
      </c>
      <c r="E246" s="3">
        <v>91</v>
      </c>
      <c r="F246" s="1" t="s">
        <v>12098</v>
      </c>
      <c r="G246" s="1" t="s">
        <v>5395</v>
      </c>
    </row>
    <row r="247" spans="1:7" ht="21" x14ac:dyDescent="0.25">
      <c r="A247" s="2" t="str">
        <f>HYPERLINK("https://rth.dk/resources/bsgatlas/details.php?id=BSGatlas-3'UTR-246","BSGatlas-3'UTR-246")</f>
        <v>BSGatlas-3'UTR-246</v>
      </c>
      <c r="B247" s="3">
        <v>671928</v>
      </c>
      <c r="C247" s="3">
        <v>671974</v>
      </c>
      <c r="D247" s="1" t="s">
        <v>9</v>
      </c>
      <c r="E247" s="3">
        <v>47</v>
      </c>
      <c r="F247" s="1" t="s">
        <v>12101</v>
      </c>
      <c r="G247" s="1" t="s">
        <v>5403</v>
      </c>
    </row>
    <row r="248" spans="1:7" ht="21" x14ac:dyDescent="0.25">
      <c r="A248" s="2" t="str">
        <f>HYPERLINK("https://rth.dk/resources/bsgatlas/details.php?id=BSGatlas-3'UTR-247","BSGatlas-3'UTR-247")</f>
        <v>BSGatlas-3'UTR-247</v>
      </c>
      <c r="B248" s="3">
        <v>674785</v>
      </c>
      <c r="C248" s="3">
        <v>674842</v>
      </c>
      <c r="D248" s="1" t="s">
        <v>9</v>
      </c>
      <c r="E248" s="3">
        <v>58</v>
      </c>
      <c r="F248" s="1" t="s">
        <v>14172</v>
      </c>
      <c r="G248" s="1" t="s">
        <v>5405</v>
      </c>
    </row>
    <row r="249" spans="1:7" ht="21" x14ac:dyDescent="0.25">
      <c r="A249" s="2" t="str">
        <f>HYPERLINK("https://rth.dk/resources/bsgatlas/details.php?id=BSGatlas-3'UTR-248","BSGatlas-3'UTR-248")</f>
        <v>BSGatlas-3'UTR-248</v>
      </c>
      <c r="B249" s="3">
        <v>674788</v>
      </c>
      <c r="C249" s="3">
        <v>674832</v>
      </c>
      <c r="D249" s="1" t="s">
        <v>13</v>
      </c>
      <c r="E249" s="3">
        <v>45</v>
      </c>
      <c r="F249" s="1" t="s">
        <v>12102</v>
      </c>
      <c r="G249" s="1" t="s">
        <v>5407</v>
      </c>
    </row>
    <row r="250" spans="1:7" ht="21" x14ac:dyDescent="0.25">
      <c r="A250" s="2" t="str">
        <f>HYPERLINK("https://rth.dk/resources/bsgatlas/details.php?id=BSGatlas-3'UTR-249","BSGatlas-3'UTR-249")</f>
        <v>BSGatlas-3'UTR-249</v>
      </c>
      <c r="B250" s="3">
        <v>677858</v>
      </c>
      <c r="C250" s="3">
        <v>677911</v>
      </c>
      <c r="D250" s="1" t="s">
        <v>13</v>
      </c>
      <c r="E250" s="3">
        <v>54</v>
      </c>
      <c r="F250" s="1" t="s">
        <v>14173</v>
      </c>
      <c r="G250" s="1" t="s">
        <v>5410</v>
      </c>
    </row>
    <row r="251" spans="1:7" ht="21" x14ac:dyDescent="0.25">
      <c r="A251" s="2" t="str">
        <f>HYPERLINK("https://rth.dk/resources/bsgatlas/details.php?id=BSGatlas-3'UTR-250","BSGatlas-3'UTR-250")</f>
        <v>BSGatlas-3'UTR-250</v>
      </c>
      <c r="B251" s="3">
        <v>677863</v>
      </c>
      <c r="C251" s="3">
        <v>677908</v>
      </c>
      <c r="D251" s="1" t="s">
        <v>9</v>
      </c>
      <c r="E251" s="3">
        <v>46</v>
      </c>
      <c r="F251" s="1" t="s">
        <v>12103</v>
      </c>
      <c r="G251" s="1" t="s">
        <v>5409</v>
      </c>
    </row>
    <row r="252" spans="1:7" ht="21" x14ac:dyDescent="0.25">
      <c r="A252" s="2" t="str">
        <f>HYPERLINK("https://rth.dk/resources/bsgatlas/details.php?id=BSGatlas-3'UTR-251","BSGatlas-3'UTR-251")</f>
        <v>BSGatlas-3'UTR-251</v>
      </c>
      <c r="B252" s="3">
        <v>679761</v>
      </c>
      <c r="C252" s="3">
        <v>679817</v>
      </c>
      <c r="D252" s="1" t="s">
        <v>9</v>
      </c>
      <c r="E252" s="3">
        <v>57</v>
      </c>
      <c r="F252" s="1" t="s">
        <v>12104</v>
      </c>
      <c r="G252" s="1" t="s">
        <v>5413</v>
      </c>
    </row>
    <row r="253" spans="1:7" ht="21" x14ac:dyDescent="0.25">
      <c r="A253" s="2" t="str">
        <f>HYPERLINK("https://rth.dk/resources/bsgatlas/details.php?id=BSGatlas-3'UTR-252","BSGatlas-3'UTR-252")</f>
        <v>BSGatlas-3'UTR-252</v>
      </c>
      <c r="B253" s="3">
        <v>681143</v>
      </c>
      <c r="C253" s="3">
        <v>681255</v>
      </c>
      <c r="D253" s="1" t="s">
        <v>13</v>
      </c>
      <c r="E253" s="3">
        <v>113</v>
      </c>
      <c r="F253" s="1" t="s">
        <v>12106</v>
      </c>
      <c r="G253" s="1" t="s">
        <v>5421</v>
      </c>
    </row>
    <row r="254" spans="1:7" ht="21" x14ac:dyDescent="0.25">
      <c r="A254" s="2" t="str">
        <f>HYPERLINK("https://rth.dk/resources/bsgatlas/details.php?id=BSGatlas-3'UTR-253","BSGatlas-3'UTR-253")</f>
        <v>BSGatlas-3'UTR-253</v>
      </c>
      <c r="B254" s="3">
        <v>683419</v>
      </c>
      <c r="C254" s="3">
        <v>683462</v>
      </c>
      <c r="D254" s="1" t="s">
        <v>13</v>
      </c>
      <c r="E254" s="3">
        <v>44</v>
      </c>
      <c r="F254" s="1" t="s">
        <v>12108</v>
      </c>
      <c r="G254" s="1" t="s">
        <v>5426</v>
      </c>
    </row>
    <row r="255" spans="1:7" ht="21" x14ac:dyDescent="0.25">
      <c r="A255" s="2" t="str">
        <f>HYPERLINK("https://rth.dk/resources/bsgatlas/details.php?id=BSGatlas-3'UTR-254","BSGatlas-3'UTR-254")</f>
        <v>BSGatlas-3'UTR-254</v>
      </c>
      <c r="B255" s="3">
        <v>685105</v>
      </c>
      <c r="C255" s="3">
        <v>685155</v>
      </c>
      <c r="D255" s="1" t="s">
        <v>13</v>
      </c>
      <c r="E255" s="3">
        <v>51</v>
      </c>
      <c r="F255" s="1" t="s">
        <v>12109</v>
      </c>
      <c r="G255" s="1" t="s">
        <v>5428</v>
      </c>
    </row>
    <row r="256" spans="1:7" ht="21" x14ac:dyDescent="0.25">
      <c r="A256" s="2" t="str">
        <f>HYPERLINK("https://rth.dk/resources/bsgatlas/details.php?id=BSGatlas-3'UTR-255","BSGatlas-3'UTR-255")</f>
        <v>BSGatlas-3'UTR-255</v>
      </c>
      <c r="B256" s="3">
        <v>694281</v>
      </c>
      <c r="C256" s="3">
        <v>694345</v>
      </c>
      <c r="D256" s="1" t="s">
        <v>9</v>
      </c>
      <c r="E256" s="3">
        <v>65</v>
      </c>
      <c r="F256" s="1" t="s">
        <v>12112</v>
      </c>
      <c r="G256" s="1" t="s">
        <v>5436</v>
      </c>
    </row>
    <row r="257" spans="1:7" ht="21" x14ac:dyDescent="0.25">
      <c r="A257" s="2" t="str">
        <f>HYPERLINK("https://rth.dk/resources/bsgatlas/details.php?id=BSGatlas-3'UTR-256","BSGatlas-3'UTR-256")</f>
        <v>BSGatlas-3'UTR-256</v>
      </c>
      <c r="B257" s="3">
        <v>694527</v>
      </c>
      <c r="C257" s="3">
        <v>694575</v>
      </c>
      <c r="D257" s="1" t="s">
        <v>9</v>
      </c>
      <c r="E257" s="3">
        <v>49</v>
      </c>
      <c r="F257" s="1" t="s">
        <v>14174</v>
      </c>
      <c r="G257" s="1" t="s">
        <v>5439</v>
      </c>
    </row>
    <row r="258" spans="1:7" ht="21" x14ac:dyDescent="0.25">
      <c r="A258" s="2" t="str">
        <f>HYPERLINK("https://rth.dk/resources/bsgatlas/details.php?id=BSGatlas-3'UTR-257","BSGatlas-3'UTR-257")</f>
        <v>BSGatlas-3'UTR-257</v>
      </c>
      <c r="B258" s="3">
        <v>695984</v>
      </c>
      <c r="C258" s="3">
        <v>696016</v>
      </c>
      <c r="D258" s="1" t="s">
        <v>9</v>
      </c>
      <c r="E258" s="3">
        <v>33</v>
      </c>
      <c r="F258" s="1" t="s">
        <v>12113</v>
      </c>
      <c r="G258" s="1" t="s">
        <v>5438</v>
      </c>
    </row>
    <row r="259" spans="1:7" ht="21" x14ac:dyDescent="0.25">
      <c r="A259" s="2" t="str">
        <f>HYPERLINK("https://rth.dk/resources/bsgatlas/details.php?id=BSGatlas-3'UTR-258","BSGatlas-3'UTR-258")</f>
        <v>BSGatlas-3'UTR-258</v>
      </c>
      <c r="B259" s="3">
        <v>697324</v>
      </c>
      <c r="C259" s="3">
        <v>697353</v>
      </c>
      <c r="D259" s="1" t="s">
        <v>9</v>
      </c>
      <c r="E259" s="3">
        <v>30</v>
      </c>
      <c r="F259" s="1" t="s">
        <v>12115</v>
      </c>
      <c r="G259" s="1" t="s">
        <v>5443</v>
      </c>
    </row>
    <row r="260" spans="1:7" ht="21" x14ac:dyDescent="0.25">
      <c r="A260" s="2" t="str">
        <f>HYPERLINK("https://rth.dk/resources/bsgatlas/details.php?id=BSGatlas-3'UTR-259","BSGatlas-3'UTR-259")</f>
        <v>BSGatlas-3'UTR-259</v>
      </c>
      <c r="B260" s="3">
        <v>698471</v>
      </c>
      <c r="C260" s="3">
        <v>698581</v>
      </c>
      <c r="D260" s="1" t="s">
        <v>9</v>
      </c>
      <c r="E260" s="3">
        <v>111</v>
      </c>
      <c r="F260" s="1" t="s">
        <v>14175</v>
      </c>
      <c r="G260" s="1" t="s">
        <v>5448</v>
      </c>
    </row>
    <row r="261" spans="1:7" ht="21" x14ac:dyDescent="0.25">
      <c r="A261" s="2" t="str">
        <f>HYPERLINK("https://rth.dk/resources/bsgatlas/details.php?id=BSGatlas-3'UTR-260","BSGatlas-3'UTR-260")</f>
        <v>BSGatlas-3'UTR-260</v>
      </c>
      <c r="B261" s="3">
        <v>706871</v>
      </c>
      <c r="C261" s="3">
        <v>706926</v>
      </c>
      <c r="D261" s="1" t="s">
        <v>9</v>
      </c>
      <c r="E261" s="3">
        <v>56</v>
      </c>
      <c r="F261" s="1" t="s">
        <v>14176</v>
      </c>
      <c r="G261" s="1" t="s">
        <v>5451</v>
      </c>
    </row>
    <row r="262" spans="1:7" ht="21" x14ac:dyDescent="0.25">
      <c r="A262" s="2" t="str">
        <f>HYPERLINK("https://rth.dk/resources/bsgatlas/details.php?id=BSGatlas-3'UTR-261","BSGatlas-3'UTR-261")</f>
        <v>BSGatlas-3'UTR-261</v>
      </c>
      <c r="B262" s="3">
        <v>711416</v>
      </c>
      <c r="C262" s="3">
        <v>711460</v>
      </c>
      <c r="D262" s="1" t="s">
        <v>9</v>
      </c>
      <c r="E262" s="3">
        <v>45</v>
      </c>
      <c r="F262" s="1" t="s">
        <v>14177</v>
      </c>
      <c r="G262" s="1" t="s">
        <v>5453</v>
      </c>
    </row>
    <row r="263" spans="1:7" ht="21" x14ac:dyDescent="0.25">
      <c r="A263" s="2" t="str">
        <f>HYPERLINK("https://rth.dk/resources/bsgatlas/details.php?id=BSGatlas-3'UTR-262","BSGatlas-3'UTR-262")</f>
        <v>BSGatlas-3'UTR-262</v>
      </c>
      <c r="B263" s="3">
        <v>713293</v>
      </c>
      <c r="C263" s="3">
        <v>714009</v>
      </c>
      <c r="D263" s="1" t="s">
        <v>9</v>
      </c>
      <c r="E263" s="3">
        <v>717</v>
      </c>
      <c r="F263" s="1" t="s">
        <v>14178</v>
      </c>
      <c r="G263" s="1" t="s">
        <v>5458</v>
      </c>
    </row>
    <row r="264" spans="1:7" ht="21" x14ac:dyDescent="0.25">
      <c r="A264" s="2" t="str">
        <f>HYPERLINK("https://rth.dk/resources/bsgatlas/details.php?id=BSGatlas-3'UTR-263","BSGatlas-3'UTR-263")</f>
        <v>BSGatlas-3'UTR-263</v>
      </c>
      <c r="B264" s="3">
        <v>716428</v>
      </c>
      <c r="C264" s="3">
        <v>716630</v>
      </c>
      <c r="D264" s="1" t="s">
        <v>9</v>
      </c>
      <c r="E264" s="3">
        <v>203</v>
      </c>
      <c r="F264" s="1" t="s">
        <v>12121</v>
      </c>
      <c r="G264" s="1" t="s">
        <v>5463</v>
      </c>
    </row>
    <row r="265" spans="1:7" ht="21" x14ac:dyDescent="0.25">
      <c r="A265" s="2" t="str">
        <f>HYPERLINK("https://rth.dk/resources/bsgatlas/details.php?id=BSGatlas-3'UTR-264","BSGatlas-3'UTR-264")</f>
        <v>BSGatlas-3'UTR-264</v>
      </c>
      <c r="B265" s="3">
        <v>716745</v>
      </c>
      <c r="C265" s="3">
        <v>716775</v>
      </c>
      <c r="D265" s="1" t="s">
        <v>9</v>
      </c>
      <c r="E265" s="3">
        <v>31</v>
      </c>
      <c r="F265" s="1" t="s">
        <v>14179</v>
      </c>
      <c r="G265" s="1" t="s">
        <v>5465</v>
      </c>
    </row>
    <row r="266" spans="1:7" ht="21" x14ac:dyDescent="0.25">
      <c r="A266" s="2" t="str">
        <f>HYPERLINK("https://rth.dk/resources/bsgatlas/details.php?id=BSGatlas-3'UTR-265","BSGatlas-3'UTR-265")</f>
        <v>BSGatlas-3'UTR-265</v>
      </c>
      <c r="B266" s="3">
        <v>724825</v>
      </c>
      <c r="C266" s="3">
        <v>724872</v>
      </c>
      <c r="D266" s="1" t="s">
        <v>9</v>
      </c>
      <c r="E266" s="3">
        <v>48</v>
      </c>
      <c r="F266" s="1" t="s">
        <v>14180</v>
      </c>
      <c r="G266" s="1" t="s">
        <v>5472</v>
      </c>
    </row>
    <row r="267" spans="1:7" ht="21" x14ac:dyDescent="0.25">
      <c r="A267" s="2" t="str">
        <f>HYPERLINK("https://rth.dk/resources/bsgatlas/details.php?id=BSGatlas-3'UTR-266","BSGatlas-3'UTR-266")</f>
        <v>BSGatlas-3'UTR-266</v>
      </c>
      <c r="B267" s="3">
        <v>724912</v>
      </c>
      <c r="C267" s="3">
        <v>726035</v>
      </c>
      <c r="D267" s="1" t="s">
        <v>13</v>
      </c>
      <c r="E267" s="3">
        <v>1124</v>
      </c>
      <c r="F267" s="1" t="s">
        <v>12125</v>
      </c>
      <c r="G267" s="1" t="s">
        <v>5476</v>
      </c>
    </row>
    <row r="268" spans="1:7" ht="21" x14ac:dyDescent="0.25">
      <c r="A268" s="2" t="str">
        <f>HYPERLINK("https://rth.dk/resources/bsgatlas/details.php?id=BSGatlas-3'UTR-267","BSGatlas-3'UTR-267")</f>
        <v>BSGatlas-3'UTR-267</v>
      </c>
      <c r="B268" s="3">
        <v>725992</v>
      </c>
      <c r="C268" s="3">
        <v>726035</v>
      </c>
      <c r="D268" s="1" t="s">
        <v>13</v>
      </c>
      <c r="E268" s="3">
        <v>44</v>
      </c>
      <c r="F268" s="1" t="s">
        <v>12125</v>
      </c>
      <c r="G268" s="1" t="s">
        <v>5477</v>
      </c>
    </row>
    <row r="269" spans="1:7" ht="21" x14ac:dyDescent="0.25">
      <c r="A269" s="2" t="str">
        <f>HYPERLINK("https://rth.dk/resources/bsgatlas/details.php?id=BSGatlas-3'UTR-268","BSGatlas-3'UTR-268")</f>
        <v>BSGatlas-3'UTR-268</v>
      </c>
      <c r="B269" s="3">
        <v>726795</v>
      </c>
      <c r="C269" s="3">
        <v>726840</v>
      </c>
      <c r="D269" s="1" t="s">
        <v>13</v>
      </c>
      <c r="E269" s="3">
        <v>46</v>
      </c>
      <c r="F269" s="1" t="s">
        <v>12126</v>
      </c>
      <c r="G269" s="1" t="s">
        <v>5479</v>
      </c>
    </row>
    <row r="270" spans="1:7" ht="21" x14ac:dyDescent="0.25">
      <c r="A270" s="2" t="str">
        <f>HYPERLINK("https://rth.dk/resources/bsgatlas/details.php?id=BSGatlas-3'UTR-269","BSGatlas-3'UTR-269")</f>
        <v>BSGatlas-3'UTR-269</v>
      </c>
      <c r="B270" s="3">
        <v>738982</v>
      </c>
      <c r="C270" s="3">
        <v>739554</v>
      </c>
      <c r="D270" s="1" t="s">
        <v>9</v>
      </c>
      <c r="E270" s="3">
        <v>573</v>
      </c>
      <c r="F270" s="1" t="s">
        <v>14181</v>
      </c>
      <c r="G270" s="1" t="s">
        <v>5492</v>
      </c>
    </row>
    <row r="271" spans="1:7" ht="21" x14ac:dyDescent="0.25">
      <c r="A271" s="2" t="str">
        <f>HYPERLINK("https://rth.dk/resources/bsgatlas/details.php?id=BSGatlas-3'UTR-270","BSGatlas-3'UTR-270")</f>
        <v>BSGatlas-3'UTR-270</v>
      </c>
      <c r="B271" s="3">
        <v>745999</v>
      </c>
      <c r="C271" s="3">
        <v>747222</v>
      </c>
      <c r="D271" s="1" t="s">
        <v>9</v>
      </c>
      <c r="E271" s="3">
        <v>1224</v>
      </c>
      <c r="F271" s="1" t="s">
        <v>14182</v>
      </c>
      <c r="G271" s="1" t="s">
        <v>5494</v>
      </c>
    </row>
    <row r="272" spans="1:7" ht="21" x14ac:dyDescent="0.25">
      <c r="A272" s="2" t="str">
        <f>HYPERLINK("https://rth.dk/resources/bsgatlas/details.php?id=BSGatlas-3'UTR-271","BSGatlas-3'UTR-271")</f>
        <v>BSGatlas-3'UTR-271</v>
      </c>
      <c r="B272" s="3">
        <v>752252</v>
      </c>
      <c r="C272" s="3">
        <v>752270</v>
      </c>
      <c r="D272" s="1" t="s">
        <v>9</v>
      </c>
      <c r="E272" s="3">
        <v>19</v>
      </c>
      <c r="F272" s="1" t="s">
        <v>14183</v>
      </c>
      <c r="G272" s="1" t="s">
        <v>5502</v>
      </c>
    </row>
    <row r="273" spans="1:7" ht="21" x14ac:dyDescent="0.25">
      <c r="A273" s="2" t="str">
        <f>HYPERLINK("https://rth.dk/resources/bsgatlas/details.php?id=BSGatlas-3'UTR-272","BSGatlas-3'UTR-272")</f>
        <v>BSGatlas-3'UTR-272</v>
      </c>
      <c r="B273" s="3">
        <v>753702</v>
      </c>
      <c r="C273" s="3">
        <v>753724</v>
      </c>
      <c r="D273" s="1" t="s">
        <v>9</v>
      </c>
      <c r="E273" s="3">
        <v>23</v>
      </c>
      <c r="F273" s="1" t="s">
        <v>12135</v>
      </c>
      <c r="G273" s="1" t="s">
        <v>5506</v>
      </c>
    </row>
    <row r="274" spans="1:7" ht="21" x14ac:dyDescent="0.25">
      <c r="A274" s="2" t="str">
        <f>HYPERLINK("https://rth.dk/resources/bsgatlas/details.php?id=BSGatlas-3'UTR-273","BSGatlas-3'UTR-273")</f>
        <v>BSGatlas-3'UTR-273</v>
      </c>
      <c r="B274" s="3">
        <v>755780</v>
      </c>
      <c r="C274" s="3">
        <v>755826</v>
      </c>
      <c r="D274" s="1" t="s">
        <v>9</v>
      </c>
      <c r="E274" s="3">
        <v>47</v>
      </c>
      <c r="F274" s="1" t="s">
        <v>14184</v>
      </c>
      <c r="G274" s="1" t="s">
        <v>5511</v>
      </c>
    </row>
    <row r="275" spans="1:7" ht="21" x14ac:dyDescent="0.25">
      <c r="A275" s="2" t="str">
        <f>HYPERLINK("https://rth.dk/resources/bsgatlas/details.php?id=BSGatlas-3'UTR-274","BSGatlas-3'UTR-274")</f>
        <v>BSGatlas-3'UTR-274</v>
      </c>
      <c r="B275" s="3">
        <v>783359</v>
      </c>
      <c r="C275" s="3">
        <v>785113</v>
      </c>
      <c r="D275" s="1" t="s">
        <v>13</v>
      </c>
      <c r="E275" s="3">
        <v>1755</v>
      </c>
      <c r="F275" s="1" t="s">
        <v>12142</v>
      </c>
      <c r="G275" s="1" t="s">
        <v>5527</v>
      </c>
    </row>
    <row r="276" spans="1:7" ht="21" x14ac:dyDescent="0.25">
      <c r="A276" s="2" t="str">
        <f>HYPERLINK("https://rth.dk/resources/bsgatlas/details.php?id=BSGatlas-3'UTR-275","BSGatlas-3'UTR-275")</f>
        <v>BSGatlas-3'UTR-275</v>
      </c>
      <c r="B276" s="3">
        <v>785076</v>
      </c>
      <c r="C276" s="3">
        <v>785096</v>
      </c>
      <c r="D276" s="1" t="s">
        <v>9</v>
      </c>
      <c r="E276" s="3">
        <v>21</v>
      </c>
      <c r="F276" s="1" t="s">
        <v>14185</v>
      </c>
      <c r="G276" s="1" t="s">
        <v>5524</v>
      </c>
    </row>
    <row r="277" spans="1:7" ht="21" x14ac:dyDescent="0.25">
      <c r="A277" s="2" t="str">
        <f>HYPERLINK("https://rth.dk/resources/bsgatlas/details.php?id=BSGatlas-3'UTR-276","BSGatlas-3'UTR-276")</f>
        <v>BSGatlas-3'UTR-276</v>
      </c>
      <c r="B277" s="3">
        <v>785076</v>
      </c>
      <c r="C277" s="3">
        <v>785448</v>
      </c>
      <c r="D277" s="1" t="s">
        <v>9</v>
      </c>
      <c r="E277" s="3">
        <v>373</v>
      </c>
      <c r="F277" s="1" t="s">
        <v>14185</v>
      </c>
      <c r="G277" s="1" t="s">
        <v>5525</v>
      </c>
    </row>
    <row r="278" spans="1:7" ht="21" x14ac:dyDescent="0.25">
      <c r="A278" s="2" t="str">
        <f>HYPERLINK("https://rth.dk/resources/bsgatlas/details.php?id=BSGatlas-3'UTR-277","BSGatlas-3'UTR-277")</f>
        <v>BSGatlas-3'UTR-277</v>
      </c>
      <c r="B278" s="3">
        <v>798233</v>
      </c>
      <c r="C278" s="3">
        <v>798294</v>
      </c>
      <c r="D278" s="1" t="s">
        <v>9</v>
      </c>
      <c r="E278" s="3">
        <v>62</v>
      </c>
      <c r="F278" s="1" t="s">
        <v>14186</v>
      </c>
      <c r="G278" s="1" t="s">
        <v>5550</v>
      </c>
    </row>
    <row r="279" spans="1:7" ht="21" x14ac:dyDescent="0.25">
      <c r="A279" s="2" t="str">
        <f>HYPERLINK("https://rth.dk/resources/bsgatlas/details.php?id=BSGatlas-3'UTR-278","BSGatlas-3'UTR-278")</f>
        <v>BSGatlas-3'UTR-278</v>
      </c>
      <c r="B279" s="3">
        <v>803276</v>
      </c>
      <c r="C279" s="3">
        <v>803317</v>
      </c>
      <c r="D279" s="1" t="s">
        <v>13</v>
      </c>
      <c r="E279" s="3">
        <v>42</v>
      </c>
      <c r="F279" s="1" t="s">
        <v>12154</v>
      </c>
      <c r="G279" s="1" t="s">
        <v>5560</v>
      </c>
    </row>
    <row r="280" spans="1:7" ht="21" x14ac:dyDescent="0.25">
      <c r="A280" s="2" t="str">
        <f>HYPERLINK("https://rth.dk/resources/bsgatlas/details.php?id=BSGatlas-3'UTR-279","BSGatlas-3'UTR-279")</f>
        <v>BSGatlas-3'UTR-279</v>
      </c>
      <c r="B280" s="3">
        <v>803286</v>
      </c>
      <c r="C280" s="3">
        <v>803326</v>
      </c>
      <c r="D280" s="1" t="s">
        <v>9</v>
      </c>
      <c r="E280" s="3">
        <v>41</v>
      </c>
      <c r="F280" s="1" t="s">
        <v>12153</v>
      </c>
      <c r="G280" s="1" t="s">
        <v>5554</v>
      </c>
    </row>
    <row r="281" spans="1:7" ht="21" x14ac:dyDescent="0.25">
      <c r="A281" s="2" t="str">
        <f>HYPERLINK("https://rth.dk/resources/bsgatlas/details.php?id=BSGatlas-3'UTR-280","BSGatlas-3'UTR-280")</f>
        <v>BSGatlas-3'UTR-280</v>
      </c>
      <c r="B281" s="3">
        <v>804628</v>
      </c>
      <c r="C281" s="3">
        <v>804657</v>
      </c>
      <c r="D281" s="1" t="s">
        <v>13</v>
      </c>
      <c r="E281" s="3">
        <v>30</v>
      </c>
      <c r="F281" s="1" t="s">
        <v>12155</v>
      </c>
      <c r="G281" s="1" t="s">
        <v>5562</v>
      </c>
    </row>
    <row r="282" spans="1:7" ht="21" x14ac:dyDescent="0.25">
      <c r="A282" s="2" t="str">
        <f>HYPERLINK("https://rth.dk/resources/bsgatlas/details.php?id=BSGatlas-3'UTR-281","BSGatlas-3'UTR-281")</f>
        <v>BSGatlas-3'UTR-281</v>
      </c>
      <c r="B282" s="3">
        <v>805407</v>
      </c>
      <c r="C282" s="3">
        <v>805456</v>
      </c>
      <c r="D282" s="1" t="s">
        <v>13</v>
      </c>
      <c r="E282" s="3">
        <v>50</v>
      </c>
      <c r="F282" s="1" t="s">
        <v>12156</v>
      </c>
      <c r="G282" s="1" t="s">
        <v>5566</v>
      </c>
    </row>
    <row r="283" spans="1:7" ht="21" x14ac:dyDescent="0.25">
      <c r="A283" s="2" t="str">
        <f>HYPERLINK("https://rth.dk/resources/bsgatlas/details.php?id=BSGatlas-3'UTR-282","BSGatlas-3'UTR-282")</f>
        <v>BSGatlas-3'UTR-282</v>
      </c>
      <c r="B283" s="3">
        <v>809422</v>
      </c>
      <c r="C283" s="3">
        <v>809463</v>
      </c>
      <c r="D283" s="1" t="s">
        <v>9</v>
      </c>
      <c r="E283" s="3">
        <v>42</v>
      </c>
      <c r="F283" s="1" t="s">
        <v>14187</v>
      </c>
      <c r="G283" s="1" t="s">
        <v>5570</v>
      </c>
    </row>
    <row r="284" spans="1:7" ht="21" x14ac:dyDescent="0.25">
      <c r="A284" s="2" t="str">
        <f>HYPERLINK("https://rth.dk/resources/bsgatlas/details.php?id=BSGatlas-3'UTR-283","BSGatlas-3'UTR-283")</f>
        <v>BSGatlas-3'UTR-283</v>
      </c>
      <c r="B284" s="3">
        <v>811446</v>
      </c>
      <c r="C284" s="3">
        <v>811486</v>
      </c>
      <c r="D284" s="1" t="s">
        <v>9</v>
      </c>
      <c r="E284" s="3">
        <v>41</v>
      </c>
      <c r="F284" s="1" t="s">
        <v>12158</v>
      </c>
      <c r="G284" s="1" t="s">
        <v>5572</v>
      </c>
    </row>
    <row r="285" spans="1:7" ht="21" x14ac:dyDescent="0.25">
      <c r="A285" s="2" t="str">
        <f>HYPERLINK("https://rth.dk/resources/bsgatlas/details.php?id=BSGatlas-3'UTR-284","BSGatlas-3'UTR-284")</f>
        <v>BSGatlas-3'UTR-284</v>
      </c>
      <c r="B285" s="3">
        <v>812015</v>
      </c>
      <c r="C285" s="3">
        <v>812068</v>
      </c>
      <c r="D285" s="1" t="s">
        <v>9</v>
      </c>
      <c r="E285" s="3">
        <v>54</v>
      </c>
      <c r="F285" s="1" t="s">
        <v>12159</v>
      </c>
      <c r="G285" s="1" t="s">
        <v>5575</v>
      </c>
    </row>
    <row r="286" spans="1:7" ht="21" x14ac:dyDescent="0.25">
      <c r="A286" s="2" t="str">
        <f>HYPERLINK("https://rth.dk/resources/bsgatlas/details.php?id=BSGatlas-3'UTR-285","BSGatlas-3'UTR-285")</f>
        <v>BSGatlas-3'UTR-285</v>
      </c>
      <c r="B286" s="3">
        <v>812562</v>
      </c>
      <c r="C286" s="3">
        <v>812606</v>
      </c>
      <c r="D286" s="1" t="s">
        <v>9</v>
      </c>
      <c r="E286" s="3">
        <v>45</v>
      </c>
      <c r="F286" s="1" t="s">
        <v>12160</v>
      </c>
      <c r="G286" s="1" t="s">
        <v>5578</v>
      </c>
    </row>
    <row r="287" spans="1:7" ht="21" x14ac:dyDescent="0.25">
      <c r="A287" s="2" t="str">
        <f>HYPERLINK("https://rth.dk/resources/bsgatlas/details.php?id=BSGatlas-3'UTR-286","BSGatlas-3'UTR-286")</f>
        <v>BSGatlas-3'UTR-286</v>
      </c>
      <c r="B287" s="3">
        <v>813818</v>
      </c>
      <c r="C287" s="3">
        <v>813863</v>
      </c>
      <c r="D287" s="1" t="s">
        <v>9</v>
      </c>
      <c r="E287" s="3">
        <v>46</v>
      </c>
      <c r="F287" s="1" t="s">
        <v>14188</v>
      </c>
      <c r="G287" s="1" t="s">
        <v>5580</v>
      </c>
    </row>
    <row r="288" spans="1:7" ht="21" x14ac:dyDescent="0.25">
      <c r="A288" s="2" t="str">
        <f>HYPERLINK("https://rth.dk/resources/bsgatlas/details.php?id=BSGatlas-3'UTR-287","BSGatlas-3'UTR-287")</f>
        <v>BSGatlas-3'UTR-287</v>
      </c>
      <c r="B288" s="3">
        <v>813860</v>
      </c>
      <c r="C288" s="3">
        <v>814384</v>
      </c>
      <c r="D288" s="1" t="s">
        <v>13</v>
      </c>
      <c r="E288" s="3">
        <v>525</v>
      </c>
      <c r="F288" s="1" t="s">
        <v>12162</v>
      </c>
      <c r="G288" s="1" t="s">
        <v>5582</v>
      </c>
    </row>
    <row r="289" spans="1:7" ht="21" x14ac:dyDescent="0.25">
      <c r="A289" s="2" t="str">
        <f>HYPERLINK("https://rth.dk/resources/bsgatlas/details.php?id=BSGatlas-3'UTR-288","BSGatlas-3'UTR-288")</f>
        <v>BSGatlas-3'UTR-288</v>
      </c>
      <c r="B289" s="3">
        <v>814337</v>
      </c>
      <c r="C289" s="3">
        <v>814384</v>
      </c>
      <c r="D289" s="1" t="s">
        <v>13</v>
      </c>
      <c r="E289" s="3">
        <v>48</v>
      </c>
      <c r="F289" s="1" t="s">
        <v>12162</v>
      </c>
      <c r="G289" s="1" t="s">
        <v>5583</v>
      </c>
    </row>
    <row r="290" spans="1:7" ht="21" x14ac:dyDescent="0.25">
      <c r="A290" s="2" t="str">
        <f>HYPERLINK("https://rth.dk/resources/bsgatlas/details.php?id=BSGatlas-3'UTR-289","BSGatlas-3'UTR-289")</f>
        <v>BSGatlas-3'UTR-289</v>
      </c>
      <c r="B290" s="3">
        <v>817243</v>
      </c>
      <c r="C290" s="3">
        <v>817277</v>
      </c>
      <c r="D290" s="1" t="s">
        <v>9</v>
      </c>
      <c r="E290" s="3">
        <v>35</v>
      </c>
      <c r="F290" s="1" t="s">
        <v>12161</v>
      </c>
      <c r="G290" s="1" t="s">
        <v>5586</v>
      </c>
    </row>
    <row r="291" spans="1:7" ht="21" x14ac:dyDescent="0.25">
      <c r="A291" s="2" t="str">
        <f>HYPERLINK("https://rth.dk/resources/bsgatlas/details.php?id=BSGatlas-3'UTR-290","BSGatlas-3'UTR-290")</f>
        <v>BSGatlas-3'UTR-290</v>
      </c>
      <c r="B291" s="3">
        <v>817757</v>
      </c>
      <c r="C291" s="3">
        <v>817811</v>
      </c>
      <c r="D291" s="1" t="s">
        <v>9</v>
      </c>
      <c r="E291" s="3">
        <v>55</v>
      </c>
      <c r="F291" s="1" t="s">
        <v>14189</v>
      </c>
      <c r="G291" s="1" t="s">
        <v>5588</v>
      </c>
    </row>
    <row r="292" spans="1:7" ht="21" x14ac:dyDescent="0.25">
      <c r="A292" s="2" t="str">
        <f>HYPERLINK("https://rth.dk/resources/bsgatlas/details.php?id=BSGatlas-3'UTR-291","BSGatlas-3'UTR-291")</f>
        <v>BSGatlas-3'UTR-291</v>
      </c>
      <c r="B292" s="3">
        <v>817761</v>
      </c>
      <c r="C292" s="3">
        <v>817810</v>
      </c>
      <c r="D292" s="1" t="s">
        <v>13</v>
      </c>
      <c r="E292" s="3">
        <v>50</v>
      </c>
      <c r="F292" s="1" t="s">
        <v>12163</v>
      </c>
      <c r="G292" s="1" t="s">
        <v>5590</v>
      </c>
    </row>
    <row r="293" spans="1:7" ht="21" x14ac:dyDescent="0.25">
      <c r="A293" s="2" t="str">
        <f>HYPERLINK("https://rth.dk/resources/bsgatlas/details.php?id=BSGatlas-3'UTR-292","BSGatlas-3'UTR-292")</f>
        <v>BSGatlas-3'UTR-292</v>
      </c>
      <c r="B293" s="3">
        <v>821199</v>
      </c>
      <c r="C293" s="3">
        <v>822903</v>
      </c>
      <c r="D293" s="1" t="s">
        <v>13</v>
      </c>
      <c r="E293" s="3">
        <v>1705</v>
      </c>
      <c r="F293" s="1" t="s">
        <v>14190</v>
      </c>
      <c r="G293" s="1" t="s">
        <v>5599</v>
      </c>
    </row>
    <row r="294" spans="1:7" ht="21" x14ac:dyDescent="0.25">
      <c r="A294" s="2" t="str">
        <f>HYPERLINK("https://rth.dk/resources/bsgatlas/details.php?id=BSGatlas-3'UTR-293","BSGatlas-3'UTR-293")</f>
        <v>BSGatlas-3'UTR-293</v>
      </c>
      <c r="B294" s="3">
        <v>822330</v>
      </c>
      <c r="C294" s="3">
        <v>822433</v>
      </c>
      <c r="D294" s="1" t="s">
        <v>9</v>
      </c>
      <c r="E294" s="3">
        <v>104</v>
      </c>
      <c r="F294" s="1" t="s">
        <v>14191</v>
      </c>
      <c r="G294" s="1" t="s">
        <v>5596</v>
      </c>
    </row>
    <row r="295" spans="1:7" ht="21" x14ac:dyDescent="0.25">
      <c r="A295" s="2" t="str">
        <f>HYPERLINK("https://rth.dk/resources/bsgatlas/details.php?id=BSGatlas-3'UTR-294","BSGatlas-3'UTR-294")</f>
        <v>BSGatlas-3'UTR-294</v>
      </c>
      <c r="B295" s="3">
        <v>825743</v>
      </c>
      <c r="C295" s="3">
        <v>825787</v>
      </c>
      <c r="D295" s="1" t="s">
        <v>13</v>
      </c>
      <c r="E295" s="3">
        <v>45</v>
      </c>
      <c r="F295" s="1" t="s">
        <v>12168</v>
      </c>
      <c r="G295" s="1" t="s">
        <v>5606</v>
      </c>
    </row>
    <row r="296" spans="1:7" ht="21" x14ac:dyDescent="0.25">
      <c r="A296" s="2" t="str">
        <f>HYPERLINK("https://rth.dk/resources/bsgatlas/details.php?id=BSGatlas-3'UTR-295","BSGatlas-3'UTR-295")</f>
        <v>BSGatlas-3'UTR-295</v>
      </c>
      <c r="B296" s="3">
        <v>827802</v>
      </c>
      <c r="C296" s="3">
        <v>827850</v>
      </c>
      <c r="D296" s="1" t="s">
        <v>9</v>
      </c>
      <c r="E296" s="3">
        <v>49</v>
      </c>
      <c r="F296" s="1" t="s">
        <v>12170</v>
      </c>
      <c r="G296" s="1" t="s">
        <v>5611</v>
      </c>
    </row>
    <row r="297" spans="1:7" ht="21" x14ac:dyDescent="0.25">
      <c r="A297" s="2" t="str">
        <f>HYPERLINK("https://rth.dk/resources/bsgatlas/details.php?id=BSGatlas-3'UTR-296","BSGatlas-3'UTR-296")</f>
        <v>BSGatlas-3'UTR-296</v>
      </c>
      <c r="B297" s="3">
        <v>829255</v>
      </c>
      <c r="C297" s="3">
        <v>829305</v>
      </c>
      <c r="D297" s="1" t="s">
        <v>9</v>
      </c>
      <c r="E297" s="3">
        <v>51</v>
      </c>
      <c r="F297" s="1" t="s">
        <v>12171</v>
      </c>
      <c r="G297" s="1" t="s">
        <v>5615</v>
      </c>
    </row>
    <row r="298" spans="1:7" ht="21" x14ac:dyDescent="0.25">
      <c r="A298" s="2" t="str">
        <f>HYPERLINK("https://rth.dk/resources/bsgatlas/details.php?id=BSGatlas-3'UTR-297","BSGatlas-3'UTR-297")</f>
        <v>BSGatlas-3'UTR-297</v>
      </c>
      <c r="B298" s="3">
        <v>830818</v>
      </c>
      <c r="C298" s="3">
        <v>830859</v>
      </c>
      <c r="D298" s="1" t="s">
        <v>9</v>
      </c>
      <c r="E298" s="3">
        <v>42</v>
      </c>
      <c r="F298" s="1" t="s">
        <v>12172</v>
      </c>
      <c r="G298" s="1" t="s">
        <v>5617</v>
      </c>
    </row>
    <row r="299" spans="1:7" ht="21" x14ac:dyDescent="0.25">
      <c r="A299" s="2" t="str">
        <f>HYPERLINK("https://rth.dk/resources/bsgatlas/details.php?id=BSGatlas-3'UTR-298","BSGatlas-3'UTR-298")</f>
        <v>BSGatlas-3'UTR-298</v>
      </c>
      <c r="B299" s="3">
        <v>834187</v>
      </c>
      <c r="C299" s="3">
        <v>834220</v>
      </c>
      <c r="D299" s="1" t="s">
        <v>9</v>
      </c>
      <c r="E299" s="3">
        <v>34</v>
      </c>
      <c r="F299" s="1" t="s">
        <v>14192</v>
      </c>
      <c r="G299" s="1" t="s">
        <v>5621</v>
      </c>
    </row>
    <row r="300" spans="1:7" ht="21" x14ac:dyDescent="0.25">
      <c r="A300" s="2" t="str">
        <f>HYPERLINK("https://rth.dk/resources/bsgatlas/details.php?id=BSGatlas-3'UTR-299","BSGatlas-3'UTR-299")</f>
        <v>BSGatlas-3'UTR-299</v>
      </c>
      <c r="B300" s="3">
        <v>836534</v>
      </c>
      <c r="C300" s="3">
        <v>836568</v>
      </c>
      <c r="D300" s="1" t="s">
        <v>9</v>
      </c>
      <c r="E300" s="3">
        <v>35</v>
      </c>
      <c r="F300" s="1" t="s">
        <v>12175</v>
      </c>
      <c r="G300" s="1" t="s">
        <v>5624</v>
      </c>
    </row>
    <row r="301" spans="1:7" ht="21" x14ac:dyDescent="0.25">
      <c r="A301" s="2" t="str">
        <f>HYPERLINK("https://rth.dk/resources/bsgatlas/details.php?id=BSGatlas-3'UTR-300","BSGatlas-3'UTR-300")</f>
        <v>BSGatlas-3'UTR-300</v>
      </c>
      <c r="B301" s="3">
        <v>837418</v>
      </c>
      <c r="C301" s="3">
        <v>837735</v>
      </c>
      <c r="D301" s="1" t="s">
        <v>13</v>
      </c>
      <c r="E301" s="3">
        <v>318</v>
      </c>
      <c r="F301" s="1" t="s">
        <v>12177</v>
      </c>
      <c r="G301" s="1" t="s">
        <v>5630</v>
      </c>
    </row>
    <row r="302" spans="1:7" ht="21" x14ac:dyDescent="0.25">
      <c r="A302" s="2" t="str">
        <f>HYPERLINK("https://rth.dk/resources/bsgatlas/details.php?id=BSGatlas-3'UTR-301","BSGatlas-3'UTR-301")</f>
        <v>BSGatlas-3'UTR-301</v>
      </c>
      <c r="B302" s="3">
        <v>838742</v>
      </c>
      <c r="C302" s="3">
        <v>838787</v>
      </c>
      <c r="D302" s="1" t="s">
        <v>9</v>
      </c>
      <c r="E302" s="3">
        <v>46</v>
      </c>
      <c r="F302" s="1" t="s">
        <v>14193</v>
      </c>
      <c r="G302" s="1" t="s">
        <v>5628</v>
      </c>
    </row>
    <row r="303" spans="1:7" ht="21" x14ac:dyDescent="0.25">
      <c r="A303" s="2" t="str">
        <f>HYPERLINK("https://rth.dk/resources/bsgatlas/details.php?id=BSGatlas-3'UTR-302","BSGatlas-3'UTR-302")</f>
        <v>BSGatlas-3'UTR-302</v>
      </c>
      <c r="B303" s="3">
        <v>839296</v>
      </c>
      <c r="C303" s="3">
        <v>839339</v>
      </c>
      <c r="D303" s="1" t="s">
        <v>13</v>
      </c>
      <c r="E303" s="3">
        <v>44</v>
      </c>
      <c r="F303" s="1" t="s">
        <v>14194</v>
      </c>
      <c r="G303" s="1" t="s">
        <v>5638</v>
      </c>
    </row>
    <row r="304" spans="1:7" ht="21" x14ac:dyDescent="0.25">
      <c r="A304" s="2" t="str">
        <f>HYPERLINK("https://rth.dk/resources/bsgatlas/details.php?id=BSGatlas-3'UTR-303","BSGatlas-3'UTR-303")</f>
        <v>BSGatlas-3'UTR-303</v>
      </c>
      <c r="B304" s="3">
        <v>842004</v>
      </c>
      <c r="C304" s="3">
        <v>842047</v>
      </c>
      <c r="D304" s="1" t="s">
        <v>13</v>
      </c>
      <c r="E304" s="3">
        <v>44</v>
      </c>
      <c r="F304" s="1" t="s">
        <v>12182</v>
      </c>
      <c r="G304" s="1" t="s">
        <v>5643</v>
      </c>
    </row>
    <row r="305" spans="1:7" ht="21" x14ac:dyDescent="0.25">
      <c r="A305" s="2" t="str">
        <f>HYPERLINK("https://rth.dk/resources/bsgatlas/details.php?id=BSGatlas-3'UTR-304","BSGatlas-3'UTR-304")</f>
        <v>BSGatlas-3'UTR-304</v>
      </c>
      <c r="B305" s="3">
        <v>842014</v>
      </c>
      <c r="C305" s="3">
        <v>842055</v>
      </c>
      <c r="D305" s="1" t="s">
        <v>9</v>
      </c>
      <c r="E305" s="3">
        <v>42</v>
      </c>
      <c r="F305" s="1" t="s">
        <v>12180</v>
      </c>
      <c r="G305" s="1" t="s">
        <v>5641</v>
      </c>
    </row>
    <row r="306" spans="1:7" ht="21" x14ac:dyDescent="0.25">
      <c r="A306" s="2" t="str">
        <f>HYPERLINK("https://rth.dk/resources/bsgatlas/details.php?id=BSGatlas-3'UTR-305","BSGatlas-3'UTR-305")</f>
        <v>BSGatlas-3'UTR-305</v>
      </c>
      <c r="B306" s="3">
        <v>844749</v>
      </c>
      <c r="C306" s="3">
        <v>846182</v>
      </c>
      <c r="D306" s="1" t="s">
        <v>13</v>
      </c>
      <c r="E306" s="3">
        <v>1434</v>
      </c>
      <c r="F306" s="1" t="s">
        <v>14195</v>
      </c>
      <c r="G306" s="1" t="s">
        <v>5654</v>
      </c>
    </row>
    <row r="307" spans="1:7" ht="21" x14ac:dyDescent="0.25">
      <c r="A307" s="2" t="str">
        <f>HYPERLINK("https://rth.dk/resources/bsgatlas/details.php?id=BSGatlas-3'UTR-306","BSGatlas-3'UTR-306")</f>
        <v>BSGatlas-3'UTR-306</v>
      </c>
      <c r="B307" s="3">
        <v>846185</v>
      </c>
      <c r="C307" s="3">
        <v>846396</v>
      </c>
      <c r="D307" s="1" t="s">
        <v>9</v>
      </c>
      <c r="E307" s="3">
        <v>212</v>
      </c>
      <c r="F307" s="1" t="s">
        <v>12184</v>
      </c>
      <c r="G307" s="1" t="s">
        <v>5648</v>
      </c>
    </row>
    <row r="308" spans="1:7" ht="21" x14ac:dyDescent="0.25">
      <c r="A308" s="2" t="str">
        <f>HYPERLINK("https://rth.dk/resources/bsgatlas/details.php?id=BSGatlas-3'UTR-307","BSGatlas-3'UTR-307")</f>
        <v>BSGatlas-3'UTR-307</v>
      </c>
      <c r="B308" s="3">
        <v>854272</v>
      </c>
      <c r="C308" s="3">
        <v>854314</v>
      </c>
      <c r="D308" s="1" t="s">
        <v>9</v>
      </c>
      <c r="E308" s="3">
        <v>43</v>
      </c>
      <c r="F308" s="1" t="s">
        <v>12187</v>
      </c>
      <c r="G308" s="1" t="s">
        <v>5659</v>
      </c>
    </row>
    <row r="309" spans="1:7" ht="21" x14ac:dyDescent="0.25">
      <c r="A309" s="2" t="str">
        <f>HYPERLINK("https://rth.dk/resources/bsgatlas/details.php?id=BSGatlas-3'UTR-308","BSGatlas-3'UTR-308")</f>
        <v>BSGatlas-3'UTR-308</v>
      </c>
      <c r="B309" s="3">
        <v>855072</v>
      </c>
      <c r="C309" s="3">
        <v>855114</v>
      </c>
      <c r="D309" s="1" t="s">
        <v>13</v>
      </c>
      <c r="E309" s="3">
        <v>43</v>
      </c>
      <c r="F309" s="1" t="s">
        <v>12189</v>
      </c>
      <c r="G309" s="1" t="s">
        <v>5665</v>
      </c>
    </row>
    <row r="310" spans="1:7" ht="21" x14ac:dyDescent="0.25">
      <c r="A310" s="2" t="str">
        <f>HYPERLINK("https://rth.dk/resources/bsgatlas/details.php?id=BSGatlas-3'UTR-309","BSGatlas-3'UTR-309")</f>
        <v>BSGatlas-3'UTR-309</v>
      </c>
      <c r="B310" s="3">
        <v>855077</v>
      </c>
      <c r="C310" s="3">
        <v>855124</v>
      </c>
      <c r="D310" s="1" t="s">
        <v>9</v>
      </c>
      <c r="E310" s="3">
        <v>48</v>
      </c>
      <c r="F310" s="1" t="s">
        <v>12188</v>
      </c>
      <c r="G310" s="1" t="s">
        <v>5663</v>
      </c>
    </row>
    <row r="311" spans="1:7" ht="21" x14ac:dyDescent="0.25">
      <c r="A311" s="2" t="str">
        <f>HYPERLINK("https://rth.dk/resources/bsgatlas/details.php?id=BSGatlas-3'UTR-310","BSGatlas-3'UTR-310")</f>
        <v>BSGatlas-3'UTR-310</v>
      </c>
      <c r="B311" s="3">
        <v>860263</v>
      </c>
      <c r="C311" s="3">
        <v>860305</v>
      </c>
      <c r="D311" s="1" t="s">
        <v>9</v>
      </c>
      <c r="E311" s="3">
        <v>43</v>
      </c>
      <c r="F311" s="1" t="s">
        <v>12190</v>
      </c>
      <c r="G311" s="1" t="s">
        <v>5667</v>
      </c>
    </row>
    <row r="312" spans="1:7" ht="21" x14ac:dyDescent="0.25">
      <c r="A312" s="2" t="str">
        <f>HYPERLINK("https://rth.dk/resources/bsgatlas/details.php?id=BSGatlas-3'UTR-311","BSGatlas-3'UTR-311")</f>
        <v>BSGatlas-3'UTR-311</v>
      </c>
      <c r="B312" s="3">
        <v>860271</v>
      </c>
      <c r="C312" s="3">
        <v>860303</v>
      </c>
      <c r="D312" s="1" t="s">
        <v>13</v>
      </c>
      <c r="E312" s="3">
        <v>33</v>
      </c>
      <c r="F312" s="1" t="s">
        <v>14196</v>
      </c>
      <c r="G312" s="1" t="s">
        <v>5670</v>
      </c>
    </row>
    <row r="313" spans="1:7" ht="21" x14ac:dyDescent="0.25">
      <c r="A313" s="2" t="str">
        <f>HYPERLINK("https://rth.dk/resources/bsgatlas/details.php?id=BSGatlas-3'UTR-312","BSGatlas-3'UTR-312")</f>
        <v>BSGatlas-3'UTR-312</v>
      </c>
      <c r="B313" s="3">
        <v>863691</v>
      </c>
      <c r="C313" s="3">
        <v>863862</v>
      </c>
      <c r="D313" s="1" t="s">
        <v>13</v>
      </c>
      <c r="E313" s="3">
        <v>172</v>
      </c>
      <c r="F313" s="1" t="s">
        <v>12194</v>
      </c>
      <c r="G313" s="1" t="s">
        <v>5678</v>
      </c>
    </row>
    <row r="314" spans="1:7" ht="21" x14ac:dyDescent="0.25">
      <c r="A314" s="2" t="str">
        <f>HYPERLINK("https://rth.dk/resources/bsgatlas/details.php?id=BSGatlas-3'UTR-313","BSGatlas-3'UTR-313")</f>
        <v>BSGatlas-3'UTR-313</v>
      </c>
      <c r="B314" s="3">
        <v>863815</v>
      </c>
      <c r="C314" s="3">
        <v>863862</v>
      </c>
      <c r="D314" s="1" t="s">
        <v>13</v>
      </c>
      <c r="E314" s="3">
        <v>48</v>
      </c>
      <c r="F314" s="1" t="s">
        <v>12194</v>
      </c>
      <c r="G314" s="1" t="s">
        <v>5679</v>
      </c>
    </row>
    <row r="315" spans="1:7" ht="21" x14ac:dyDescent="0.25">
      <c r="A315" s="2" t="str">
        <f>HYPERLINK("https://rth.dk/resources/bsgatlas/details.php?id=BSGatlas-3'UTR-314","BSGatlas-3'UTR-314")</f>
        <v>BSGatlas-3'UTR-314</v>
      </c>
      <c r="B315" s="3">
        <v>863837</v>
      </c>
      <c r="C315" s="3">
        <v>863869</v>
      </c>
      <c r="D315" s="1" t="s">
        <v>9</v>
      </c>
      <c r="E315" s="3">
        <v>33</v>
      </c>
      <c r="F315" s="1" t="s">
        <v>14197</v>
      </c>
      <c r="G315" s="1" t="s">
        <v>5676</v>
      </c>
    </row>
    <row r="316" spans="1:7" ht="21" x14ac:dyDescent="0.25">
      <c r="A316" s="2" t="str">
        <f>HYPERLINK("https://rth.dk/resources/bsgatlas/details.php?id=BSGatlas-3'UTR-315","BSGatlas-3'UTR-315")</f>
        <v>BSGatlas-3'UTR-315</v>
      </c>
      <c r="B316" s="3">
        <v>867119</v>
      </c>
      <c r="C316" s="3">
        <v>867164</v>
      </c>
      <c r="D316" s="1" t="s">
        <v>13</v>
      </c>
      <c r="E316" s="3">
        <v>46</v>
      </c>
      <c r="F316" s="1" t="s">
        <v>14198</v>
      </c>
      <c r="G316" s="1" t="s">
        <v>5687</v>
      </c>
    </row>
    <row r="317" spans="1:7" ht="21" x14ac:dyDescent="0.25">
      <c r="A317" s="2" t="str">
        <f>HYPERLINK("https://rth.dk/resources/bsgatlas/details.php?id=BSGatlas-3'UTR-316","BSGatlas-3'UTR-316")</f>
        <v>BSGatlas-3'UTR-316</v>
      </c>
      <c r="B317" s="3">
        <v>867125</v>
      </c>
      <c r="C317" s="3">
        <v>867169</v>
      </c>
      <c r="D317" s="1" t="s">
        <v>9</v>
      </c>
      <c r="E317" s="3">
        <v>45</v>
      </c>
      <c r="F317" s="1" t="s">
        <v>12195</v>
      </c>
      <c r="G317" s="1" t="s">
        <v>5682</v>
      </c>
    </row>
    <row r="318" spans="1:7" ht="21" x14ac:dyDescent="0.25">
      <c r="A318" s="2" t="str">
        <f>HYPERLINK("https://rth.dk/resources/bsgatlas/details.php?id=BSGatlas-3'UTR-317","BSGatlas-3'UTR-317")</f>
        <v>BSGatlas-3'UTR-317</v>
      </c>
      <c r="B318" s="3">
        <v>869458</v>
      </c>
      <c r="C318" s="3">
        <v>869492</v>
      </c>
      <c r="D318" s="1" t="s">
        <v>9</v>
      </c>
      <c r="E318" s="3">
        <v>35</v>
      </c>
      <c r="F318" s="1" t="s">
        <v>12197</v>
      </c>
      <c r="G318" s="1" t="s">
        <v>5689</v>
      </c>
    </row>
    <row r="319" spans="1:7" ht="21" x14ac:dyDescent="0.25">
      <c r="A319" s="2" t="str">
        <f>HYPERLINK("https://rth.dk/resources/bsgatlas/details.php?id=BSGatlas-3'UTR-318","BSGatlas-3'UTR-318")</f>
        <v>BSGatlas-3'UTR-318</v>
      </c>
      <c r="B319" s="3">
        <v>870344</v>
      </c>
      <c r="C319" s="3">
        <v>870388</v>
      </c>
      <c r="D319" s="1" t="s">
        <v>13</v>
      </c>
      <c r="E319" s="3">
        <v>45</v>
      </c>
      <c r="F319" s="1" t="s">
        <v>12199</v>
      </c>
      <c r="G319" s="1" t="s">
        <v>5693</v>
      </c>
    </row>
    <row r="320" spans="1:7" ht="21" x14ac:dyDescent="0.25">
      <c r="A320" s="2" t="str">
        <f>HYPERLINK("https://rth.dk/resources/bsgatlas/details.php?id=BSGatlas-3'UTR-319","BSGatlas-3'UTR-319")</f>
        <v>BSGatlas-3'UTR-319</v>
      </c>
      <c r="B320" s="3">
        <v>870350</v>
      </c>
      <c r="C320" s="3">
        <v>870396</v>
      </c>
      <c r="D320" s="1" t="s">
        <v>9</v>
      </c>
      <c r="E320" s="3">
        <v>47</v>
      </c>
      <c r="F320" s="1" t="s">
        <v>12198</v>
      </c>
      <c r="G320" s="1" t="s">
        <v>5691</v>
      </c>
    </row>
    <row r="321" spans="1:7" ht="21" x14ac:dyDescent="0.25">
      <c r="A321" s="2" t="str">
        <f>HYPERLINK("https://rth.dk/resources/bsgatlas/details.php?id=BSGatlas-3'UTR-320","BSGatlas-3'UTR-320")</f>
        <v>BSGatlas-3'UTR-320</v>
      </c>
      <c r="B321" s="3">
        <v>871313</v>
      </c>
      <c r="C321" s="3">
        <v>871347</v>
      </c>
      <c r="D321" s="1" t="s">
        <v>13</v>
      </c>
      <c r="E321" s="3">
        <v>35</v>
      </c>
      <c r="F321" s="1" t="s">
        <v>14199</v>
      </c>
      <c r="G321" s="1" t="s">
        <v>5695</v>
      </c>
    </row>
    <row r="322" spans="1:7" ht="21" x14ac:dyDescent="0.25">
      <c r="A322" s="2" t="str">
        <f>HYPERLINK("https://rth.dk/resources/bsgatlas/details.php?id=BSGatlas-3'UTR-321","BSGatlas-3'UTR-321")</f>
        <v>BSGatlas-3'UTR-321</v>
      </c>
      <c r="B322" s="3">
        <v>874802</v>
      </c>
      <c r="C322" s="3">
        <v>874836</v>
      </c>
      <c r="D322" s="1" t="s">
        <v>9</v>
      </c>
      <c r="E322" s="3">
        <v>35</v>
      </c>
      <c r="F322" s="1" t="s">
        <v>14200</v>
      </c>
      <c r="G322" s="1" t="s">
        <v>5698</v>
      </c>
    </row>
    <row r="323" spans="1:7" ht="21" x14ac:dyDescent="0.25">
      <c r="A323" s="2" t="str">
        <f>HYPERLINK("https://rth.dk/resources/bsgatlas/details.php?id=BSGatlas-3'UTR-322","BSGatlas-3'UTR-322")</f>
        <v>BSGatlas-3'UTR-322</v>
      </c>
      <c r="B323" s="3">
        <v>874802</v>
      </c>
      <c r="C323" s="3">
        <v>874898</v>
      </c>
      <c r="D323" s="1" t="s">
        <v>9</v>
      </c>
      <c r="E323" s="3">
        <v>97</v>
      </c>
      <c r="F323" s="1" t="s">
        <v>14200</v>
      </c>
      <c r="G323" s="1" t="s">
        <v>5699</v>
      </c>
    </row>
    <row r="324" spans="1:7" ht="21" x14ac:dyDescent="0.25">
      <c r="A324" s="2" t="str">
        <f>HYPERLINK("https://rth.dk/resources/bsgatlas/details.php?id=BSGatlas-3'UTR-323","BSGatlas-3'UTR-323")</f>
        <v>BSGatlas-3'UTR-323</v>
      </c>
      <c r="B324" s="3">
        <v>877403</v>
      </c>
      <c r="C324" s="3">
        <v>877512</v>
      </c>
      <c r="D324" s="1" t="s">
        <v>9</v>
      </c>
      <c r="E324" s="3">
        <v>110</v>
      </c>
      <c r="F324" s="1" t="s">
        <v>12202</v>
      </c>
      <c r="G324" s="1" t="s">
        <v>5702</v>
      </c>
    </row>
    <row r="325" spans="1:7" ht="21" x14ac:dyDescent="0.25">
      <c r="A325" s="2" t="str">
        <f>HYPERLINK("https://rth.dk/resources/bsgatlas/details.php?id=BSGatlas-3'UTR-324","BSGatlas-3'UTR-324")</f>
        <v>BSGatlas-3'UTR-324</v>
      </c>
      <c r="B325" s="3">
        <v>878770</v>
      </c>
      <c r="C325" s="3">
        <v>878797</v>
      </c>
      <c r="D325" s="1" t="s">
        <v>9</v>
      </c>
      <c r="E325" s="3">
        <v>28</v>
      </c>
      <c r="F325" s="1" t="s">
        <v>14201</v>
      </c>
      <c r="G325" s="1" t="s">
        <v>5705</v>
      </c>
    </row>
    <row r="326" spans="1:7" ht="21" x14ac:dyDescent="0.25">
      <c r="A326" s="2" t="str">
        <f>HYPERLINK("https://rth.dk/resources/bsgatlas/details.php?id=BSGatlas-3'UTR-325","BSGatlas-3'UTR-325")</f>
        <v>BSGatlas-3'UTR-325</v>
      </c>
      <c r="B326" s="3">
        <v>878770</v>
      </c>
      <c r="C326" s="3">
        <v>878844</v>
      </c>
      <c r="D326" s="1" t="s">
        <v>9</v>
      </c>
      <c r="E326" s="3">
        <v>75</v>
      </c>
      <c r="F326" s="1" t="s">
        <v>14201</v>
      </c>
      <c r="G326" s="1" t="s">
        <v>5706</v>
      </c>
    </row>
    <row r="327" spans="1:7" ht="21" x14ac:dyDescent="0.25">
      <c r="A327" s="2" t="str">
        <f>HYPERLINK("https://rth.dk/resources/bsgatlas/details.php?id=BSGatlas-3'UTR-326","BSGatlas-3'UTR-326")</f>
        <v>BSGatlas-3'UTR-326</v>
      </c>
      <c r="B327" s="3">
        <v>883642</v>
      </c>
      <c r="C327" s="3">
        <v>883695</v>
      </c>
      <c r="D327" s="1" t="s">
        <v>9</v>
      </c>
      <c r="E327" s="3">
        <v>54</v>
      </c>
      <c r="F327" s="1" t="s">
        <v>14202</v>
      </c>
      <c r="G327" s="1" t="s">
        <v>5709</v>
      </c>
    </row>
    <row r="328" spans="1:7" ht="21" x14ac:dyDescent="0.25">
      <c r="A328" s="2" t="str">
        <f>HYPERLINK("https://rth.dk/resources/bsgatlas/details.php?id=BSGatlas-3'UTR-327","BSGatlas-3'UTR-327")</f>
        <v>BSGatlas-3'UTR-327</v>
      </c>
      <c r="B328" s="3">
        <v>885801</v>
      </c>
      <c r="C328" s="3">
        <v>885844</v>
      </c>
      <c r="D328" s="1" t="s">
        <v>13</v>
      </c>
      <c r="E328" s="3">
        <v>44</v>
      </c>
      <c r="F328" s="1" t="s">
        <v>14203</v>
      </c>
      <c r="G328" s="1" t="s">
        <v>5716</v>
      </c>
    </row>
    <row r="329" spans="1:7" ht="21" x14ac:dyDescent="0.25">
      <c r="A329" s="2" t="str">
        <f>HYPERLINK("https://rth.dk/resources/bsgatlas/details.php?id=BSGatlas-3'UTR-328","BSGatlas-3'UTR-328")</f>
        <v>BSGatlas-3'UTR-328</v>
      </c>
      <c r="B329" s="3">
        <v>885808</v>
      </c>
      <c r="C329" s="3">
        <v>885853</v>
      </c>
      <c r="D329" s="1" t="s">
        <v>9</v>
      </c>
      <c r="E329" s="3">
        <v>46</v>
      </c>
      <c r="F329" s="1" t="s">
        <v>12206</v>
      </c>
      <c r="G329" s="1" t="s">
        <v>5712</v>
      </c>
    </row>
    <row r="330" spans="1:7" ht="21" x14ac:dyDescent="0.25">
      <c r="A330" s="2" t="str">
        <f>HYPERLINK("https://rth.dk/resources/bsgatlas/details.php?id=BSGatlas-3'UTR-329","BSGatlas-3'UTR-329")</f>
        <v>BSGatlas-3'UTR-329</v>
      </c>
      <c r="B330" s="3">
        <v>893798</v>
      </c>
      <c r="C330" s="3">
        <v>893837</v>
      </c>
      <c r="D330" s="1" t="s">
        <v>9</v>
      </c>
      <c r="E330" s="3">
        <v>40</v>
      </c>
      <c r="F330" s="1" t="s">
        <v>14204</v>
      </c>
      <c r="G330" s="1" t="s">
        <v>5721</v>
      </c>
    </row>
    <row r="331" spans="1:7" ht="21" x14ac:dyDescent="0.25">
      <c r="A331" s="2" t="str">
        <f>HYPERLINK("https://rth.dk/resources/bsgatlas/details.php?id=BSGatlas-3'UTR-330","BSGatlas-3'UTR-330")</f>
        <v>BSGatlas-3'UTR-330</v>
      </c>
      <c r="B331" s="3">
        <v>897433</v>
      </c>
      <c r="C331" s="3">
        <v>897470</v>
      </c>
      <c r="D331" s="1" t="s">
        <v>9</v>
      </c>
      <c r="E331" s="3">
        <v>38</v>
      </c>
      <c r="F331" s="1" t="s">
        <v>14205</v>
      </c>
      <c r="G331" s="1" t="s">
        <v>5726</v>
      </c>
    </row>
    <row r="332" spans="1:7" ht="21" x14ac:dyDescent="0.25">
      <c r="A332" s="2" t="str">
        <f>HYPERLINK("https://rth.dk/resources/bsgatlas/details.php?id=BSGatlas-3'UTR-331","BSGatlas-3'UTR-331")</f>
        <v>BSGatlas-3'UTR-331</v>
      </c>
      <c r="B332" s="3">
        <v>898867</v>
      </c>
      <c r="C332" s="3">
        <v>898916</v>
      </c>
      <c r="D332" s="1" t="s">
        <v>9</v>
      </c>
      <c r="E332" s="3">
        <v>50</v>
      </c>
      <c r="F332" s="1" t="s">
        <v>14206</v>
      </c>
      <c r="G332" s="1" t="s">
        <v>5729</v>
      </c>
    </row>
    <row r="333" spans="1:7" ht="21" x14ac:dyDescent="0.25">
      <c r="A333" s="2" t="str">
        <f>HYPERLINK("https://rth.dk/resources/bsgatlas/details.php?id=BSGatlas-3'UTR-332","BSGatlas-3'UTR-332")</f>
        <v>BSGatlas-3'UTR-332</v>
      </c>
      <c r="B333" s="3">
        <v>903687</v>
      </c>
      <c r="C333" s="3">
        <v>903743</v>
      </c>
      <c r="D333" s="1" t="s">
        <v>9</v>
      </c>
      <c r="E333" s="3">
        <v>57</v>
      </c>
      <c r="F333" s="1" t="s">
        <v>14207</v>
      </c>
      <c r="G333" s="1" t="s">
        <v>5731</v>
      </c>
    </row>
    <row r="334" spans="1:7" ht="21" x14ac:dyDescent="0.25">
      <c r="A334" s="2" t="str">
        <f>HYPERLINK("https://rth.dk/resources/bsgatlas/details.php?id=BSGatlas-3'UTR-333","BSGatlas-3'UTR-333")</f>
        <v>BSGatlas-3'UTR-333</v>
      </c>
      <c r="B334" s="3">
        <v>905672</v>
      </c>
      <c r="C334" s="3">
        <v>905736</v>
      </c>
      <c r="D334" s="1" t="s">
        <v>9</v>
      </c>
      <c r="E334" s="3">
        <v>65</v>
      </c>
      <c r="F334" s="1" t="s">
        <v>14208</v>
      </c>
      <c r="G334" s="1" t="s">
        <v>5734</v>
      </c>
    </row>
    <row r="335" spans="1:7" ht="21" x14ac:dyDescent="0.25">
      <c r="A335" s="2" t="str">
        <f>HYPERLINK("https://rth.dk/resources/bsgatlas/details.php?id=BSGatlas-3'UTR-334","BSGatlas-3'UTR-334")</f>
        <v>BSGatlas-3'UTR-334</v>
      </c>
      <c r="B335" s="3">
        <v>909115</v>
      </c>
      <c r="C335" s="3">
        <v>909198</v>
      </c>
      <c r="D335" s="1" t="s">
        <v>13</v>
      </c>
      <c r="E335" s="3">
        <v>84</v>
      </c>
      <c r="F335" s="1" t="s">
        <v>12213</v>
      </c>
      <c r="G335" s="1" t="s">
        <v>5737</v>
      </c>
    </row>
    <row r="336" spans="1:7" ht="21" x14ac:dyDescent="0.25">
      <c r="A336" s="2" t="str">
        <f>HYPERLINK("https://rth.dk/resources/bsgatlas/details.php?id=BSGatlas-3'UTR-335","BSGatlas-3'UTR-335")</f>
        <v>BSGatlas-3'UTR-335</v>
      </c>
      <c r="B336" s="3">
        <v>910651</v>
      </c>
      <c r="C336" s="3">
        <v>910705</v>
      </c>
      <c r="D336" s="1" t="s">
        <v>9</v>
      </c>
      <c r="E336" s="3">
        <v>55</v>
      </c>
      <c r="F336" s="1" t="s">
        <v>12214</v>
      </c>
      <c r="G336" s="1" t="s">
        <v>5740</v>
      </c>
    </row>
    <row r="337" spans="1:7" ht="21" x14ac:dyDescent="0.25">
      <c r="A337" s="2" t="str">
        <f>HYPERLINK("https://rth.dk/resources/bsgatlas/details.php?id=BSGatlas-3'UTR-336","BSGatlas-3'UTR-336")</f>
        <v>BSGatlas-3'UTR-336</v>
      </c>
      <c r="B337" s="3">
        <v>911921</v>
      </c>
      <c r="C337" s="3">
        <v>911964</v>
      </c>
      <c r="D337" s="1" t="s">
        <v>13</v>
      </c>
      <c r="E337" s="3">
        <v>44</v>
      </c>
      <c r="F337" s="1" t="s">
        <v>12216</v>
      </c>
      <c r="G337" s="1" t="s">
        <v>5745</v>
      </c>
    </row>
    <row r="338" spans="1:7" ht="21" x14ac:dyDescent="0.25">
      <c r="A338" s="2" t="str">
        <f>HYPERLINK("https://rth.dk/resources/bsgatlas/details.php?id=BSGatlas-3'UTR-337","BSGatlas-3'UTR-337")</f>
        <v>BSGatlas-3'UTR-337</v>
      </c>
      <c r="B338" s="3">
        <v>911928</v>
      </c>
      <c r="C338" s="3">
        <v>911973</v>
      </c>
      <c r="D338" s="1" t="s">
        <v>9</v>
      </c>
      <c r="E338" s="3">
        <v>46</v>
      </c>
      <c r="F338" s="1" t="s">
        <v>12215</v>
      </c>
      <c r="G338" s="1" t="s">
        <v>5742</v>
      </c>
    </row>
    <row r="339" spans="1:7" ht="21" x14ac:dyDescent="0.25">
      <c r="A339" s="2" t="str">
        <f>HYPERLINK("https://rth.dk/resources/bsgatlas/details.php?id=BSGatlas-3'UTR-338","BSGatlas-3'UTR-338")</f>
        <v>BSGatlas-3'UTR-338</v>
      </c>
      <c r="B339" s="3">
        <v>914460</v>
      </c>
      <c r="C339" s="3">
        <v>914632</v>
      </c>
      <c r="D339" s="1" t="s">
        <v>9</v>
      </c>
      <c r="E339" s="3">
        <v>173</v>
      </c>
      <c r="F339" s="1" t="s">
        <v>12218</v>
      </c>
      <c r="G339" s="1" t="s">
        <v>5749</v>
      </c>
    </row>
    <row r="340" spans="1:7" ht="21" x14ac:dyDescent="0.25">
      <c r="A340" s="2" t="str">
        <f>HYPERLINK("https://rth.dk/resources/bsgatlas/details.php?id=BSGatlas-3'UTR-339","BSGatlas-3'UTR-339")</f>
        <v>BSGatlas-3'UTR-339</v>
      </c>
      <c r="B340" s="3">
        <v>916071</v>
      </c>
      <c r="C340" s="3">
        <v>916124</v>
      </c>
      <c r="D340" s="1" t="s">
        <v>13</v>
      </c>
      <c r="E340" s="3">
        <v>54</v>
      </c>
      <c r="F340" s="1" t="s">
        <v>12220</v>
      </c>
      <c r="G340" s="1" t="s">
        <v>5752</v>
      </c>
    </row>
    <row r="341" spans="1:7" ht="21" x14ac:dyDescent="0.25">
      <c r="A341" s="2" t="str">
        <f>HYPERLINK("https://rth.dk/resources/bsgatlas/details.php?id=BSGatlas-3'UTR-340","BSGatlas-3'UTR-340")</f>
        <v>BSGatlas-3'UTR-340</v>
      </c>
      <c r="B341" s="3">
        <v>919322</v>
      </c>
      <c r="C341" s="3">
        <v>919366</v>
      </c>
      <c r="D341" s="1" t="s">
        <v>13</v>
      </c>
      <c r="E341" s="3">
        <v>45</v>
      </c>
      <c r="F341" s="1" t="s">
        <v>12222</v>
      </c>
      <c r="G341" s="1" t="s">
        <v>5756</v>
      </c>
    </row>
    <row r="342" spans="1:7" ht="21" x14ac:dyDescent="0.25">
      <c r="A342" s="2" t="str">
        <f>HYPERLINK("https://rth.dk/resources/bsgatlas/details.php?id=BSGatlas-3'UTR-341","BSGatlas-3'UTR-341")</f>
        <v>BSGatlas-3'UTR-341</v>
      </c>
      <c r="B342" s="3">
        <v>919348</v>
      </c>
      <c r="C342" s="3">
        <v>919375</v>
      </c>
      <c r="D342" s="1" t="s">
        <v>9</v>
      </c>
      <c r="E342" s="3">
        <v>28</v>
      </c>
      <c r="F342" s="1" t="s">
        <v>12221</v>
      </c>
      <c r="G342" s="1" t="s">
        <v>5754</v>
      </c>
    </row>
    <row r="343" spans="1:7" ht="21" x14ac:dyDescent="0.25">
      <c r="A343" s="2" t="str">
        <f>HYPERLINK("https://rth.dk/resources/bsgatlas/details.php?id=BSGatlas-3'UTR-342","BSGatlas-3'UTR-342")</f>
        <v>BSGatlas-3'UTR-342</v>
      </c>
      <c r="B343" s="3">
        <v>922503</v>
      </c>
      <c r="C343" s="3">
        <v>922552</v>
      </c>
      <c r="D343" s="1" t="s">
        <v>9</v>
      </c>
      <c r="E343" s="3">
        <v>50</v>
      </c>
      <c r="F343" s="1" t="s">
        <v>14209</v>
      </c>
      <c r="G343" s="1" t="s">
        <v>5760</v>
      </c>
    </row>
    <row r="344" spans="1:7" ht="21" x14ac:dyDescent="0.25">
      <c r="A344" s="2" t="str">
        <f>HYPERLINK("https://rth.dk/resources/bsgatlas/details.php?id=BSGatlas-3'UTR-343","BSGatlas-3'UTR-343")</f>
        <v>BSGatlas-3'UTR-343</v>
      </c>
      <c r="B344" s="3">
        <v>924161</v>
      </c>
      <c r="C344" s="3">
        <v>924210</v>
      </c>
      <c r="D344" s="1" t="s">
        <v>13</v>
      </c>
      <c r="E344" s="3">
        <v>50</v>
      </c>
      <c r="F344" s="1" t="s">
        <v>12226</v>
      </c>
      <c r="G344" s="1" t="s">
        <v>5766</v>
      </c>
    </row>
    <row r="345" spans="1:7" ht="21" x14ac:dyDescent="0.25">
      <c r="A345" s="2" t="str">
        <f>HYPERLINK("https://rth.dk/resources/bsgatlas/details.php?id=BSGatlas-3'UTR-344","BSGatlas-3'UTR-344")</f>
        <v>BSGatlas-3'UTR-344</v>
      </c>
      <c r="B345" s="3">
        <v>924171</v>
      </c>
      <c r="C345" s="3">
        <v>924217</v>
      </c>
      <c r="D345" s="1" t="s">
        <v>9</v>
      </c>
      <c r="E345" s="3">
        <v>47</v>
      </c>
      <c r="F345" s="1" t="s">
        <v>12225</v>
      </c>
      <c r="G345" s="1" t="s">
        <v>5763</v>
      </c>
    </row>
    <row r="346" spans="1:7" ht="21" x14ac:dyDescent="0.25">
      <c r="A346" s="2" t="str">
        <f>HYPERLINK("https://rth.dk/resources/bsgatlas/details.php?id=BSGatlas-3'UTR-345","BSGatlas-3'UTR-345")</f>
        <v>BSGatlas-3'UTR-345</v>
      </c>
      <c r="B346" s="3">
        <v>926743</v>
      </c>
      <c r="C346" s="3">
        <v>926787</v>
      </c>
      <c r="D346" s="1" t="s">
        <v>9</v>
      </c>
      <c r="E346" s="3">
        <v>45</v>
      </c>
      <c r="F346" s="1" t="s">
        <v>14210</v>
      </c>
      <c r="G346" s="1" t="s">
        <v>5773</v>
      </c>
    </row>
    <row r="347" spans="1:7" ht="21" x14ac:dyDescent="0.25">
      <c r="A347" s="2" t="str">
        <f>HYPERLINK("https://rth.dk/resources/bsgatlas/details.php?id=BSGatlas-3'UTR-346","BSGatlas-3'UTR-346")</f>
        <v>BSGatlas-3'UTR-346</v>
      </c>
      <c r="B347" s="3">
        <v>928069</v>
      </c>
      <c r="C347" s="3">
        <v>928112</v>
      </c>
      <c r="D347" s="1" t="s">
        <v>13</v>
      </c>
      <c r="E347" s="3">
        <v>44</v>
      </c>
      <c r="F347" s="1" t="s">
        <v>12231</v>
      </c>
      <c r="G347" s="1" t="s">
        <v>5777</v>
      </c>
    </row>
    <row r="348" spans="1:7" ht="21" x14ac:dyDescent="0.25">
      <c r="A348" s="2" t="str">
        <f>HYPERLINK("https://rth.dk/resources/bsgatlas/details.php?id=BSGatlas-3'UTR-347","BSGatlas-3'UTR-347")</f>
        <v>BSGatlas-3'UTR-347</v>
      </c>
      <c r="B348" s="3">
        <v>928079</v>
      </c>
      <c r="C348" s="3">
        <v>928119</v>
      </c>
      <c r="D348" s="1" t="s">
        <v>9</v>
      </c>
      <c r="E348" s="3">
        <v>41</v>
      </c>
      <c r="F348" s="1" t="s">
        <v>12230</v>
      </c>
      <c r="G348" s="1" t="s">
        <v>5775</v>
      </c>
    </row>
    <row r="349" spans="1:7" ht="21" x14ac:dyDescent="0.25">
      <c r="A349" s="2" t="str">
        <f>HYPERLINK("https://rth.dk/resources/bsgatlas/details.php?id=BSGatlas-3'UTR-348","BSGatlas-3'UTR-348")</f>
        <v>BSGatlas-3'UTR-348</v>
      </c>
      <c r="B349" s="3">
        <v>930585</v>
      </c>
      <c r="C349" s="3">
        <v>930639</v>
      </c>
      <c r="D349" s="1" t="s">
        <v>9</v>
      </c>
      <c r="E349" s="3">
        <v>55</v>
      </c>
      <c r="F349" s="1" t="s">
        <v>14211</v>
      </c>
      <c r="G349" s="1" t="s">
        <v>5782</v>
      </c>
    </row>
    <row r="350" spans="1:7" ht="21" x14ac:dyDescent="0.25">
      <c r="A350" s="2" t="str">
        <f>HYPERLINK("https://rth.dk/resources/bsgatlas/details.php?id=BSGatlas-3'UTR-349","BSGatlas-3'UTR-349")</f>
        <v>BSGatlas-3'UTR-349</v>
      </c>
      <c r="B350" s="3">
        <v>931807</v>
      </c>
      <c r="C350" s="3">
        <v>931847</v>
      </c>
      <c r="D350" s="1" t="s">
        <v>9</v>
      </c>
      <c r="E350" s="3">
        <v>41</v>
      </c>
      <c r="F350" s="1" t="s">
        <v>12235</v>
      </c>
      <c r="G350" s="1" t="s">
        <v>5786</v>
      </c>
    </row>
    <row r="351" spans="1:7" ht="21" x14ac:dyDescent="0.25">
      <c r="A351" s="2" t="str">
        <f>HYPERLINK("https://rth.dk/resources/bsgatlas/details.php?id=BSGatlas-3'UTR-350","BSGatlas-3'UTR-350")</f>
        <v>BSGatlas-3'UTR-350</v>
      </c>
      <c r="B351" s="3">
        <v>934434</v>
      </c>
      <c r="C351" s="3">
        <v>934457</v>
      </c>
      <c r="D351" s="1" t="s">
        <v>13</v>
      </c>
      <c r="E351" s="3">
        <v>24</v>
      </c>
      <c r="F351" s="1" t="s">
        <v>12237</v>
      </c>
      <c r="G351" s="1" t="s">
        <v>5791</v>
      </c>
    </row>
    <row r="352" spans="1:7" ht="21" x14ac:dyDescent="0.25">
      <c r="A352" s="2" t="str">
        <f>HYPERLINK("https://rth.dk/resources/bsgatlas/details.php?id=BSGatlas-3'UTR-351","BSGatlas-3'UTR-351")</f>
        <v>BSGatlas-3'UTR-351</v>
      </c>
      <c r="B352" s="3">
        <v>934464</v>
      </c>
      <c r="C352" s="3">
        <v>934487</v>
      </c>
      <c r="D352" s="1" t="s">
        <v>9</v>
      </c>
      <c r="E352" s="3">
        <v>24</v>
      </c>
      <c r="F352" s="1" t="s">
        <v>14212</v>
      </c>
      <c r="G352" s="1" t="s">
        <v>5788</v>
      </c>
    </row>
    <row r="353" spans="1:7" ht="21" x14ac:dyDescent="0.25">
      <c r="A353" s="2" t="str">
        <f>HYPERLINK("https://rth.dk/resources/bsgatlas/details.php?id=BSGatlas-3'UTR-352","BSGatlas-3'UTR-352")</f>
        <v>BSGatlas-3'UTR-352</v>
      </c>
      <c r="B353" s="3">
        <v>936485</v>
      </c>
      <c r="C353" s="3">
        <v>936773</v>
      </c>
      <c r="D353" s="1" t="s">
        <v>13</v>
      </c>
      <c r="E353" s="3">
        <v>289</v>
      </c>
      <c r="F353" s="1" t="s">
        <v>12239</v>
      </c>
      <c r="G353" s="1" t="s">
        <v>5798</v>
      </c>
    </row>
    <row r="354" spans="1:7" ht="21" x14ac:dyDescent="0.25">
      <c r="A354" s="2" t="str">
        <f>HYPERLINK("https://rth.dk/resources/bsgatlas/details.php?id=BSGatlas-3'UTR-353","BSGatlas-3'UTR-353")</f>
        <v>BSGatlas-3'UTR-353</v>
      </c>
      <c r="B354" s="3">
        <v>938154</v>
      </c>
      <c r="C354" s="3">
        <v>938212</v>
      </c>
      <c r="D354" s="1" t="s">
        <v>9</v>
      </c>
      <c r="E354" s="3">
        <v>59</v>
      </c>
      <c r="F354" s="1" t="s">
        <v>12240</v>
      </c>
      <c r="G354" s="1" t="s">
        <v>5795</v>
      </c>
    </row>
    <row r="355" spans="1:7" ht="21" x14ac:dyDescent="0.25">
      <c r="A355" s="2" t="str">
        <f>HYPERLINK("https://rth.dk/resources/bsgatlas/details.php?id=BSGatlas-3'UTR-354","BSGatlas-3'UTR-354")</f>
        <v>BSGatlas-3'UTR-354</v>
      </c>
      <c r="B355" s="3">
        <v>942430</v>
      </c>
      <c r="C355" s="3">
        <v>942449</v>
      </c>
      <c r="D355" s="1" t="s">
        <v>13</v>
      </c>
      <c r="E355" s="3">
        <v>20</v>
      </c>
      <c r="F355" s="1" t="s">
        <v>12243</v>
      </c>
      <c r="G355" s="1" t="s">
        <v>5814</v>
      </c>
    </row>
    <row r="356" spans="1:7" ht="21" x14ac:dyDescent="0.25">
      <c r="A356" s="2" t="str">
        <f>HYPERLINK("https://rth.dk/resources/bsgatlas/details.php?id=BSGatlas-3'UTR-355","BSGatlas-3'UTR-355")</f>
        <v>BSGatlas-3'UTR-355</v>
      </c>
      <c r="B356" s="3">
        <v>944924</v>
      </c>
      <c r="C356" s="3">
        <v>944971</v>
      </c>
      <c r="D356" s="1" t="s">
        <v>9</v>
      </c>
      <c r="E356" s="3">
        <v>48</v>
      </c>
      <c r="F356" s="1" t="s">
        <v>12245</v>
      </c>
      <c r="G356" s="1" t="s">
        <v>5818</v>
      </c>
    </row>
    <row r="357" spans="1:7" ht="21" x14ac:dyDescent="0.25">
      <c r="A357" s="2" t="str">
        <f>HYPERLINK("https://rth.dk/resources/bsgatlas/details.php?id=BSGatlas-3'UTR-356","BSGatlas-3'UTR-356")</f>
        <v>BSGatlas-3'UTR-356</v>
      </c>
      <c r="B357" s="3">
        <v>946434</v>
      </c>
      <c r="C357" s="3">
        <v>946634</v>
      </c>
      <c r="D357" s="1" t="s">
        <v>13</v>
      </c>
      <c r="E357" s="3">
        <v>201</v>
      </c>
      <c r="F357" s="1" t="s">
        <v>14213</v>
      </c>
      <c r="G357" s="1" t="s">
        <v>5838</v>
      </c>
    </row>
    <row r="358" spans="1:7" ht="21" x14ac:dyDescent="0.25">
      <c r="A358" s="2" t="str">
        <f>HYPERLINK("https://rth.dk/resources/bsgatlas/details.php?id=BSGatlas-3'UTR-357","BSGatlas-3'UTR-357")</f>
        <v>BSGatlas-3'UTR-357</v>
      </c>
      <c r="B358" s="3">
        <v>951753</v>
      </c>
      <c r="C358" s="3">
        <v>951771</v>
      </c>
      <c r="D358" s="1" t="s">
        <v>9</v>
      </c>
      <c r="E358" s="3">
        <v>19</v>
      </c>
      <c r="F358" s="1" t="s">
        <v>14214</v>
      </c>
      <c r="G358" s="1" t="s">
        <v>5825</v>
      </c>
    </row>
    <row r="359" spans="1:7" ht="21" x14ac:dyDescent="0.25">
      <c r="A359" s="2" t="str">
        <f>HYPERLINK("https://rth.dk/resources/bsgatlas/details.php?id=BSGatlas-3'UTR-358","BSGatlas-3'UTR-358")</f>
        <v>BSGatlas-3'UTR-358</v>
      </c>
      <c r="B359" s="3">
        <v>952947</v>
      </c>
      <c r="C359" s="3">
        <v>953045</v>
      </c>
      <c r="D359" s="1" t="s">
        <v>9</v>
      </c>
      <c r="E359" s="3">
        <v>99</v>
      </c>
      <c r="F359" s="1" t="s">
        <v>14215</v>
      </c>
      <c r="G359" s="1" t="s">
        <v>5827</v>
      </c>
    </row>
    <row r="360" spans="1:7" ht="21" x14ac:dyDescent="0.25">
      <c r="A360" s="2" t="str">
        <f>HYPERLINK("https://rth.dk/resources/bsgatlas/details.php?id=BSGatlas-3'UTR-359","BSGatlas-3'UTR-359")</f>
        <v>BSGatlas-3'UTR-359</v>
      </c>
      <c r="B360" s="3">
        <v>952947</v>
      </c>
      <c r="C360" s="3">
        <v>953179</v>
      </c>
      <c r="D360" s="1" t="s">
        <v>9</v>
      </c>
      <c r="E360" s="3">
        <v>233</v>
      </c>
      <c r="F360" s="1" t="s">
        <v>14215</v>
      </c>
      <c r="G360" s="1" t="s">
        <v>5828</v>
      </c>
    </row>
    <row r="361" spans="1:7" ht="21" x14ac:dyDescent="0.25">
      <c r="A361" s="2" t="str">
        <f>HYPERLINK("https://rth.dk/resources/bsgatlas/details.php?id=BSGatlas-3'UTR-360","BSGatlas-3'UTR-360")</f>
        <v>BSGatlas-3'UTR-360</v>
      </c>
      <c r="B361" s="3">
        <v>953281</v>
      </c>
      <c r="C361" s="3">
        <v>953373</v>
      </c>
      <c r="D361" s="1" t="s">
        <v>13</v>
      </c>
      <c r="E361" s="3">
        <v>93</v>
      </c>
      <c r="F361" s="1" t="s">
        <v>12250</v>
      </c>
      <c r="G361" s="1" t="s">
        <v>5846</v>
      </c>
    </row>
    <row r="362" spans="1:7" ht="21" x14ac:dyDescent="0.25">
      <c r="A362" s="2" t="str">
        <f>HYPERLINK("https://rth.dk/resources/bsgatlas/details.php?id=BSGatlas-3'UTR-361","BSGatlas-3'UTR-361")</f>
        <v>BSGatlas-3'UTR-361</v>
      </c>
      <c r="B362" s="3">
        <v>953294</v>
      </c>
      <c r="C362" s="3">
        <v>953327</v>
      </c>
      <c r="D362" s="1" t="s">
        <v>9</v>
      </c>
      <c r="E362" s="3">
        <v>34</v>
      </c>
      <c r="F362" s="1" t="s">
        <v>12249</v>
      </c>
      <c r="G362" s="1" t="s">
        <v>5830</v>
      </c>
    </row>
    <row r="363" spans="1:7" ht="21" x14ac:dyDescent="0.25">
      <c r="A363" s="2" t="str">
        <f>HYPERLINK("https://rth.dk/resources/bsgatlas/details.php?id=BSGatlas-3'UTR-362","BSGatlas-3'UTR-362")</f>
        <v>BSGatlas-3'UTR-362</v>
      </c>
      <c r="B363" s="3">
        <v>953294</v>
      </c>
      <c r="C363" s="3">
        <v>953378</v>
      </c>
      <c r="D363" s="1" t="s">
        <v>9</v>
      </c>
      <c r="E363" s="3">
        <v>85</v>
      </c>
      <c r="F363" s="1" t="s">
        <v>12249</v>
      </c>
      <c r="G363" s="1" t="s">
        <v>5831</v>
      </c>
    </row>
    <row r="364" spans="1:7" ht="21" x14ac:dyDescent="0.25">
      <c r="A364" s="2" t="str">
        <f>HYPERLINK("https://rth.dk/resources/bsgatlas/details.php?id=BSGatlas-3'UTR-363","BSGatlas-3'UTR-363")</f>
        <v>BSGatlas-3'UTR-363</v>
      </c>
      <c r="B364" s="3">
        <v>953335</v>
      </c>
      <c r="C364" s="3">
        <v>953373</v>
      </c>
      <c r="D364" s="1" t="s">
        <v>13</v>
      </c>
      <c r="E364" s="3">
        <v>39</v>
      </c>
      <c r="F364" s="1" t="s">
        <v>12250</v>
      </c>
      <c r="G364" s="1" t="s">
        <v>5847</v>
      </c>
    </row>
    <row r="365" spans="1:7" ht="21" x14ac:dyDescent="0.25">
      <c r="A365" s="2" t="str">
        <f>HYPERLINK("https://rth.dk/resources/bsgatlas/details.php?id=BSGatlas-3'UTR-364","BSGatlas-3'UTR-364")</f>
        <v>BSGatlas-3'UTR-364</v>
      </c>
      <c r="B365" s="3">
        <v>954531</v>
      </c>
      <c r="C365" s="3">
        <v>954579</v>
      </c>
      <c r="D365" s="1" t="s">
        <v>13</v>
      </c>
      <c r="E365" s="3">
        <v>49</v>
      </c>
      <c r="F365" s="1" t="s">
        <v>12252</v>
      </c>
      <c r="G365" s="1" t="s">
        <v>5851</v>
      </c>
    </row>
    <row r="366" spans="1:7" ht="21" x14ac:dyDescent="0.25">
      <c r="A366" s="2" t="str">
        <f>HYPERLINK("https://rth.dk/resources/bsgatlas/details.php?id=BSGatlas-3'UTR-365","BSGatlas-3'UTR-365")</f>
        <v>BSGatlas-3'UTR-365</v>
      </c>
      <c r="B366" s="3">
        <v>955762</v>
      </c>
      <c r="C366" s="3">
        <v>955815</v>
      </c>
      <c r="D366" s="1" t="s">
        <v>9</v>
      </c>
      <c r="E366" s="3">
        <v>54</v>
      </c>
      <c r="F366" s="1" t="s">
        <v>14216</v>
      </c>
      <c r="G366" s="1" t="s">
        <v>5854</v>
      </c>
    </row>
    <row r="367" spans="1:7" ht="21" x14ac:dyDescent="0.25">
      <c r="A367" s="2" t="str">
        <f>HYPERLINK("https://rth.dk/resources/bsgatlas/details.php?id=BSGatlas-3'UTR-366","BSGatlas-3'UTR-366")</f>
        <v>BSGatlas-3'UTR-366</v>
      </c>
      <c r="B367" s="3">
        <v>957667</v>
      </c>
      <c r="C367" s="3">
        <v>958646</v>
      </c>
      <c r="D367" s="1" t="s">
        <v>9</v>
      </c>
      <c r="E367" s="3">
        <v>980</v>
      </c>
      <c r="F367" s="1" t="s">
        <v>12254</v>
      </c>
      <c r="G367" s="1" t="s">
        <v>5857</v>
      </c>
    </row>
    <row r="368" spans="1:7" ht="21" x14ac:dyDescent="0.25">
      <c r="A368" s="2" t="str">
        <f>HYPERLINK("https://rth.dk/resources/bsgatlas/details.php?id=BSGatlas-3'UTR-367","BSGatlas-3'UTR-367")</f>
        <v>BSGatlas-3'UTR-367</v>
      </c>
      <c r="B368" s="3">
        <v>957667</v>
      </c>
      <c r="C368" s="3">
        <v>959296</v>
      </c>
      <c r="D368" s="1" t="s">
        <v>9</v>
      </c>
      <c r="E368" s="3">
        <v>1630</v>
      </c>
      <c r="F368" s="1" t="s">
        <v>12254</v>
      </c>
      <c r="G368" s="1" t="s">
        <v>5858</v>
      </c>
    </row>
    <row r="369" spans="1:7" ht="21" x14ac:dyDescent="0.25">
      <c r="A369" s="2" t="str">
        <f>HYPERLINK("https://rth.dk/resources/bsgatlas/details.php?id=BSGatlas-3'UTR-368","BSGatlas-3'UTR-368")</f>
        <v>BSGatlas-3'UTR-368</v>
      </c>
      <c r="B369" s="3">
        <v>959486</v>
      </c>
      <c r="C369" s="3">
        <v>959535</v>
      </c>
      <c r="D369" s="1" t="s">
        <v>13</v>
      </c>
      <c r="E369" s="3">
        <v>50</v>
      </c>
      <c r="F369" s="1" t="s">
        <v>12257</v>
      </c>
      <c r="G369" s="1" t="s">
        <v>5863</v>
      </c>
    </row>
    <row r="370" spans="1:7" ht="21" x14ac:dyDescent="0.25">
      <c r="A370" s="2" t="str">
        <f>HYPERLINK("https://rth.dk/resources/bsgatlas/details.php?id=BSGatlas-3'UTR-369","BSGatlas-3'UTR-369")</f>
        <v>BSGatlas-3'UTR-369</v>
      </c>
      <c r="B370" s="3">
        <v>959508</v>
      </c>
      <c r="C370" s="3">
        <v>959533</v>
      </c>
      <c r="D370" s="1" t="s">
        <v>9</v>
      </c>
      <c r="E370" s="3">
        <v>26</v>
      </c>
      <c r="F370" s="1" t="s">
        <v>12256</v>
      </c>
      <c r="G370" s="1" t="s">
        <v>5861</v>
      </c>
    </row>
    <row r="371" spans="1:7" ht="21" x14ac:dyDescent="0.25">
      <c r="A371" s="2" t="str">
        <f>HYPERLINK("https://rth.dk/resources/bsgatlas/details.php?id=BSGatlas-3'UTR-370","BSGatlas-3'UTR-370")</f>
        <v>BSGatlas-3'UTR-370</v>
      </c>
      <c r="B371" s="3">
        <v>965157</v>
      </c>
      <c r="C371" s="3">
        <v>965227</v>
      </c>
      <c r="D371" s="1" t="s">
        <v>9</v>
      </c>
      <c r="E371" s="3">
        <v>71</v>
      </c>
      <c r="F371" s="1" t="s">
        <v>14217</v>
      </c>
      <c r="G371" s="1" t="s">
        <v>5869</v>
      </c>
    </row>
    <row r="372" spans="1:7" ht="21" x14ac:dyDescent="0.25">
      <c r="A372" s="2" t="str">
        <f>HYPERLINK("https://rth.dk/resources/bsgatlas/details.php?id=BSGatlas-3'UTR-371","BSGatlas-3'UTR-371")</f>
        <v>BSGatlas-3'UTR-371</v>
      </c>
      <c r="B372" s="3">
        <v>965797</v>
      </c>
      <c r="C372" s="3">
        <v>965835</v>
      </c>
      <c r="D372" s="1" t="s">
        <v>9</v>
      </c>
      <c r="E372" s="3">
        <v>39</v>
      </c>
      <c r="F372" s="1" t="s">
        <v>12260</v>
      </c>
      <c r="G372" s="1" t="s">
        <v>5871</v>
      </c>
    </row>
    <row r="373" spans="1:7" ht="21" x14ac:dyDescent="0.25">
      <c r="A373" s="2" t="str">
        <f>HYPERLINK("https://rth.dk/resources/bsgatlas/details.php?id=BSGatlas-3'UTR-372","BSGatlas-3'UTR-372")</f>
        <v>BSGatlas-3'UTR-372</v>
      </c>
      <c r="B373" s="3">
        <v>967138</v>
      </c>
      <c r="C373" s="3">
        <v>967300</v>
      </c>
      <c r="D373" s="1" t="s">
        <v>9</v>
      </c>
      <c r="E373" s="3">
        <v>163</v>
      </c>
      <c r="F373" s="1" t="s">
        <v>12263</v>
      </c>
      <c r="G373" s="1" t="s">
        <v>5880</v>
      </c>
    </row>
    <row r="374" spans="1:7" ht="21" x14ac:dyDescent="0.25">
      <c r="A374" s="2" t="str">
        <f>HYPERLINK("https://rth.dk/resources/bsgatlas/details.php?id=BSGatlas-3'UTR-373","BSGatlas-3'UTR-373")</f>
        <v>BSGatlas-3'UTR-373</v>
      </c>
      <c r="B374" s="3">
        <v>969095</v>
      </c>
      <c r="C374" s="3">
        <v>969126</v>
      </c>
      <c r="D374" s="1" t="s">
        <v>9</v>
      </c>
      <c r="E374" s="3">
        <v>32</v>
      </c>
      <c r="F374" s="1" t="s">
        <v>14218</v>
      </c>
      <c r="G374" s="1" t="s">
        <v>5883</v>
      </c>
    </row>
    <row r="375" spans="1:7" ht="21" x14ac:dyDescent="0.25">
      <c r="A375" s="2" t="str">
        <f>HYPERLINK("https://rth.dk/resources/bsgatlas/details.php?id=BSGatlas-3'UTR-374","BSGatlas-3'UTR-374")</f>
        <v>BSGatlas-3'UTR-374</v>
      </c>
      <c r="B375" s="3">
        <v>972806</v>
      </c>
      <c r="C375" s="3">
        <v>972822</v>
      </c>
      <c r="D375" s="1" t="s">
        <v>9</v>
      </c>
      <c r="E375" s="3">
        <v>17</v>
      </c>
      <c r="F375" s="1" t="s">
        <v>14219</v>
      </c>
      <c r="G375" s="1" t="s">
        <v>5891</v>
      </c>
    </row>
    <row r="376" spans="1:7" ht="21" x14ac:dyDescent="0.25">
      <c r="A376" s="2" t="str">
        <f>HYPERLINK("https://rth.dk/resources/bsgatlas/details.php?id=BSGatlas-3'UTR-375","BSGatlas-3'UTR-375")</f>
        <v>BSGatlas-3'UTR-375</v>
      </c>
      <c r="B376" s="3">
        <v>972806</v>
      </c>
      <c r="C376" s="3">
        <v>972866</v>
      </c>
      <c r="D376" s="1" t="s">
        <v>9</v>
      </c>
      <c r="E376" s="3">
        <v>61</v>
      </c>
      <c r="F376" s="1" t="s">
        <v>14219</v>
      </c>
      <c r="G376" s="1" t="s">
        <v>5892</v>
      </c>
    </row>
    <row r="377" spans="1:7" ht="21" x14ac:dyDescent="0.25">
      <c r="A377" s="2" t="str">
        <f>HYPERLINK("https://rth.dk/resources/bsgatlas/details.php?id=BSGatlas-3'UTR-376","BSGatlas-3'UTR-376")</f>
        <v>BSGatlas-3'UTR-376</v>
      </c>
      <c r="B377" s="3">
        <v>972806</v>
      </c>
      <c r="C377" s="3">
        <v>973746</v>
      </c>
      <c r="D377" s="1" t="s">
        <v>9</v>
      </c>
      <c r="E377" s="3">
        <v>941</v>
      </c>
      <c r="F377" s="1" t="s">
        <v>14219</v>
      </c>
      <c r="G377" s="1" t="s">
        <v>5893</v>
      </c>
    </row>
    <row r="378" spans="1:7" ht="21" x14ac:dyDescent="0.25">
      <c r="A378" s="2" t="str">
        <f>HYPERLINK("https://rth.dk/resources/bsgatlas/details.php?id=BSGatlas-3'UTR-377","BSGatlas-3'UTR-377")</f>
        <v>BSGatlas-3'UTR-377</v>
      </c>
      <c r="B378" s="3">
        <v>975051</v>
      </c>
      <c r="C378" s="3">
        <v>975097</v>
      </c>
      <c r="D378" s="1" t="s">
        <v>9</v>
      </c>
      <c r="E378" s="3">
        <v>47</v>
      </c>
      <c r="F378" s="1" t="s">
        <v>12267</v>
      </c>
      <c r="G378" s="1" t="s">
        <v>5897</v>
      </c>
    </row>
    <row r="379" spans="1:7" ht="21" x14ac:dyDescent="0.25">
      <c r="A379" s="2" t="str">
        <f>HYPERLINK("https://rth.dk/resources/bsgatlas/details.php?id=BSGatlas-3'UTR-378","BSGatlas-3'UTR-378")</f>
        <v>BSGatlas-3'UTR-378</v>
      </c>
      <c r="B379" s="3">
        <v>976409</v>
      </c>
      <c r="C379" s="3">
        <v>976444</v>
      </c>
      <c r="D379" s="1" t="s">
        <v>9</v>
      </c>
      <c r="E379" s="3">
        <v>36</v>
      </c>
      <c r="F379" s="1" t="s">
        <v>12268</v>
      </c>
      <c r="G379" s="1" t="s">
        <v>5901</v>
      </c>
    </row>
    <row r="380" spans="1:7" ht="21" x14ac:dyDescent="0.25">
      <c r="A380" s="2" t="str">
        <f>HYPERLINK("https://rth.dk/resources/bsgatlas/details.php?id=BSGatlas-3'UTR-379","BSGatlas-3'UTR-379")</f>
        <v>BSGatlas-3'UTR-379</v>
      </c>
      <c r="B380" s="3">
        <v>984164</v>
      </c>
      <c r="C380" s="3">
        <v>984262</v>
      </c>
      <c r="D380" s="1" t="s">
        <v>13</v>
      </c>
      <c r="E380" s="3">
        <v>99</v>
      </c>
      <c r="F380" s="1" t="s">
        <v>12272</v>
      </c>
      <c r="G380" s="1" t="s">
        <v>5915</v>
      </c>
    </row>
    <row r="381" spans="1:7" ht="21" x14ac:dyDescent="0.25">
      <c r="A381" s="2" t="str">
        <f>HYPERLINK("https://rth.dk/resources/bsgatlas/details.php?id=BSGatlas-3'UTR-380","BSGatlas-3'UTR-380")</f>
        <v>BSGatlas-3'UTR-380</v>
      </c>
      <c r="B381" s="3">
        <v>984170</v>
      </c>
      <c r="C381" s="3">
        <v>984217</v>
      </c>
      <c r="D381" s="1" t="s">
        <v>9</v>
      </c>
      <c r="E381" s="3">
        <v>48</v>
      </c>
      <c r="F381" s="1" t="s">
        <v>14220</v>
      </c>
      <c r="G381" s="1" t="s">
        <v>5907</v>
      </c>
    </row>
    <row r="382" spans="1:7" ht="21" x14ac:dyDescent="0.25">
      <c r="A382" s="2" t="str">
        <f>HYPERLINK("https://rth.dk/resources/bsgatlas/details.php?id=BSGatlas-3'UTR-381","BSGatlas-3'UTR-381")</f>
        <v>BSGatlas-3'UTR-381</v>
      </c>
      <c r="B382" s="3">
        <v>987980</v>
      </c>
      <c r="C382" s="3">
        <v>988417</v>
      </c>
      <c r="D382" s="1" t="s">
        <v>13</v>
      </c>
      <c r="E382" s="3">
        <v>438</v>
      </c>
      <c r="F382" s="1" t="s">
        <v>12276</v>
      </c>
      <c r="G382" s="1" t="s">
        <v>5925</v>
      </c>
    </row>
    <row r="383" spans="1:7" ht="21" x14ac:dyDescent="0.25">
      <c r="A383" s="2" t="str">
        <f>HYPERLINK("https://rth.dk/resources/bsgatlas/details.php?id=BSGatlas-3'UTR-382","BSGatlas-3'UTR-382")</f>
        <v>BSGatlas-3'UTR-382</v>
      </c>
      <c r="B383" s="3">
        <v>988373</v>
      </c>
      <c r="C383" s="3">
        <v>988417</v>
      </c>
      <c r="D383" s="1" t="s">
        <v>13</v>
      </c>
      <c r="E383" s="3">
        <v>45</v>
      </c>
      <c r="F383" s="1" t="s">
        <v>12276</v>
      </c>
      <c r="G383" s="1" t="s">
        <v>5926</v>
      </c>
    </row>
    <row r="384" spans="1:7" ht="21" x14ac:dyDescent="0.25">
      <c r="A384" s="2" t="str">
        <f>HYPERLINK("https://rth.dk/resources/bsgatlas/details.php?id=BSGatlas-3'UTR-383","BSGatlas-3'UTR-383")</f>
        <v>BSGatlas-3'UTR-383</v>
      </c>
      <c r="B384" s="3">
        <v>988377</v>
      </c>
      <c r="C384" s="3">
        <v>988426</v>
      </c>
      <c r="D384" s="1" t="s">
        <v>9</v>
      </c>
      <c r="E384" s="3">
        <v>50</v>
      </c>
      <c r="F384" s="1" t="s">
        <v>12275</v>
      </c>
      <c r="G384" s="1" t="s">
        <v>5923</v>
      </c>
    </row>
    <row r="385" spans="1:7" ht="21" x14ac:dyDescent="0.25">
      <c r="A385" s="2" t="str">
        <f>HYPERLINK("https://rth.dk/resources/bsgatlas/details.php?id=BSGatlas-3'UTR-384","BSGatlas-3'UTR-384")</f>
        <v>BSGatlas-3'UTR-384</v>
      </c>
      <c r="B385" s="3">
        <v>989591</v>
      </c>
      <c r="C385" s="3">
        <v>989634</v>
      </c>
      <c r="D385" s="1" t="s">
        <v>9</v>
      </c>
      <c r="E385" s="3">
        <v>44</v>
      </c>
      <c r="F385" s="1" t="s">
        <v>12277</v>
      </c>
      <c r="G385" s="1" t="s">
        <v>5929</v>
      </c>
    </row>
    <row r="386" spans="1:7" ht="21" x14ac:dyDescent="0.25">
      <c r="A386" s="2" t="str">
        <f>HYPERLINK("https://rth.dk/resources/bsgatlas/details.php?id=BSGatlas-3'UTR-385","BSGatlas-3'UTR-385")</f>
        <v>BSGatlas-3'UTR-385</v>
      </c>
      <c r="B386" s="3">
        <v>990680</v>
      </c>
      <c r="C386" s="3">
        <v>990752</v>
      </c>
      <c r="D386" s="1" t="s">
        <v>9</v>
      </c>
      <c r="E386" s="3">
        <v>73</v>
      </c>
      <c r="F386" s="1" t="s">
        <v>12278</v>
      </c>
      <c r="G386" s="1" t="s">
        <v>5933</v>
      </c>
    </row>
    <row r="387" spans="1:7" ht="21" x14ac:dyDescent="0.25">
      <c r="A387" s="2" t="str">
        <f>HYPERLINK("https://rth.dk/resources/bsgatlas/details.php?id=BSGatlas-3'UTR-386","BSGatlas-3'UTR-386")</f>
        <v>BSGatlas-3'UTR-386</v>
      </c>
      <c r="B387" s="3">
        <v>997597</v>
      </c>
      <c r="C387" s="3">
        <v>997640</v>
      </c>
      <c r="D387" s="1" t="s">
        <v>9</v>
      </c>
      <c r="E387" s="3">
        <v>44</v>
      </c>
      <c r="F387" s="1" t="s">
        <v>12282</v>
      </c>
      <c r="G387" s="1" t="s">
        <v>5945</v>
      </c>
    </row>
    <row r="388" spans="1:7" ht="21" x14ac:dyDescent="0.25">
      <c r="A388" s="2" t="str">
        <f>HYPERLINK("https://rth.dk/resources/bsgatlas/details.php?id=BSGatlas-3'UTR-387","BSGatlas-3'UTR-387")</f>
        <v>BSGatlas-3'UTR-387</v>
      </c>
      <c r="B388" s="3">
        <v>1002322</v>
      </c>
      <c r="C388" s="3">
        <v>1002482</v>
      </c>
      <c r="D388" s="1" t="s">
        <v>9</v>
      </c>
      <c r="E388" s="3">
        <v>161</v>
      </c>
      <c r="F388" s="1" t="s">
        <v>14221</v>
      </c>
      <c r="G388" s="1" t="s">
        <v>5951</v>
      </c>
    </row>
    <row r="389" spans="1:7" ht="21" x14ac:dyDescent="0.25">
      <c r="A389" s="2" t="str">
        <f>HYPERLINK("https://rth.dk/resources/bsgatlas/details.php?id=BSGatlas-3'UTR-388","BSGatlas-3'UTR-388")</f>
        <v>BSGatlas-3'UTR-388</v>
      </c>
      <c r="B389" s="3">
        <v>1004834</v>
      </c>
      <c r="C389" s="3">
        <v>1004953</v>
      </c>
      <c r="D389" s="1" t="s">
        <v>9</v>
      </c>
      <c r="E389" s="3">
        <v>120</v>
      </c>
      <c r="F389" s="1" t="s">
        <v>14222</v>
      </c>
      <c r="G389" s="1" t="s">
        <v>5954</v>
      </c>
    </row>
    <row r="390" spans="1:7" ht="21" x14ac:dyDescent="0.25">
      <c r="A390" s="2" t="str">
        <f>HYPERLINK("https://rth.dk/resources/bsgatlas/details.php?id=BSGatlas-3'UTR-389","BSGatlas-3'UTR-389")</f>
        <v>BSGatlas-3'UTR-389</v>
      </c>
      <c r="B390" s="3">
        <v>1006642</v>
      </c>
      <c r="C390" s="3">
        <v>1006682</v>
      </c>
      <c r="D390" s="1" t="s">
        <v>9</v>
      </c>
      <c r="E390" s="3">
        <v>41</v>
      </c>
      <c r="F390" s="1" t="s">
        <v>12286</v>
      </c>
      <c r="G390" s="1" t="s">
        <v>5958</v>
      </c>
    </row>
    <row r="391" spans="1:7" ht="21" x14ac:dyDescent="0.25">
      <c r="A391" s="2" t="str">
        <f>HYPERLINK("https://rth.dk/resources/bsgatlas/details.php?id=BSGatlas-3'UTR-390","BSGatlas-3'UTR-390")</f>
        <v>BSGatlas-3'UTR-390</v>
      </c>
      <c r="B391" s="3">
        <v>1010969</v>
      </c>
      <c r="C391" s="3">
        <v>1010993</v>
      </c>
      <c r="D391" s="1" t="s">
        <v>9</v>
      </c>
      <c r="E391" s="3">
        <v>25</v>
      </c>
      <c r="F391" s="1" t="s">
        <v>14223</v>
      </c>
      <c r="G391" s="1" t="s">
        <v>5967</v>
      </c>
    </row>
    <row r="392" spans="1:7" ht="21" x14ac:dyDescent="0.25">
      <c r="A392" s="2" t="str">
        <f>HYPERLINK("https://rth.dk/resources/bsgatlas/details.php?id=BSGatlas-3'UTR-391","BSGatlas-3'UTR-391")</f>
        <v>BSGatlas-3'UTR-391</v>
      </c>
      <c r="B392" s="3">
        <v>1011750</v>
      </c>
      <c r="C392" s="3">
        <v>1013650</v>
      </c>
      <c r="D392" s="1" t="s">
        <v>9</v>
      </c>
      <c r="E392" s="3">
        <v>1901</v>
      </c>
      <c r="F392" s="1" t="s">
        <v>12290</v>
      </c>
      <c r="G392" s="1" t="s">
        <v>5971</v>
      </c>
    </row>
    <row r="393" spans="1:7" ht="21" x14ac:dyDescent="0.25">
      <c r="A393" s="2" t="str">
        <f>HYPERLINK("https://rth.dk/resources/bsgatlas/details.php?id=BSGatlas-3'UTR-392","BSGatlas-3'UTR-392")</f>
        <v>BSGatlas-3'UTR-392</v>
      </c>
      <c r="B393" s="3">
        <v>1011757</v>
      </c>
      <c r="C393" s="3">
        <v>1011792</v>
      </c>
      <c r="D393" s="1" t="s">
        <v>13</v>
      </c>
      <c r="E393" s="3">
        <v>36</v>
      </c>
      <c r="F393" s="1" t="s">
        <v>12291</v>
      </c>
      <c r="G393" s="1" t="s">
        <v>5973</v>
      </c>
    </row>
    <row r="394" spans="1:7" ht="21" x14ac:dyDescent="0.25">
      <c r="A394" s="2" t="str">
        <f>HYPERLINK("https://rth.dk/resources/bsgatlas/details.php?id=BSGatlas-3'UTR-393","BSGatlas-3'UTR-393")</f>
        <v>BSGatlas-3'UTR-393</v>
      </c>
      <c r="B394" s="3">
        <v>1013382</v>
      </c>
      <c r="C394" s="3">
        <v>1013411</v>
      </c>
      <c r="D394" s="1" t="s">
        <v>13</v>
      </c>
      <c r="E394" s="3">
        <v>30</v>
      </c>
      <c r="F394" s="1" t="s">
        <v>12292</v>
      </c>
      <c r="G394" s="1" t="s">
        <v>5976</v>
      </c>
    </row>
    <row r="395" spans="1:7" ht="21" x14ac:dyDescent="0.25">
      <c r="A395" s="2" t="str">
        <f>HYPERLINK("https://rth.dk/resources/bsgatlas/details.php?id=BSGatlas-3'UTR-394","BSGatlas-3'UTR-394")</f>
        <v>BSGatlas-3'UTR-394</v>
      </c>
      <c r="B395" s="3">
        <v>1013941</v>
      </c>
      <c r="C395" s="3">
        <v>1013958</v>
      </c>
      <c r="D395" s="1" t="s">
        <v>13</v>
      </c>
      <c r="E395" s="3">
        <v>18</v>
      </c>
      <c r="F395" s="1" t="s">
        <v>14224</v>
      </c>
      <c r="G395" s="1" t="s">
        <v>5980</v>
      </c>
    </row>
    <row r="396" spans="1:7" ht="21" x14ac:dyDescent="0.25">
      <c r="A396" s="2" t="str">
        <f>HYPERLINK("https://rth.dk/resources/bsgatlas/details.php?id=BSGatlas-3'UTR-395","BSGatlas-3'UTR-395")</f>
        <v>BSGatlas-3'UTR-395</v>
      </c>
      <c r="B396" s="3">
        <v>1017043</v>
      </c>
      <c r="C396" s="3">
        <v>1017083</v>
      </c>
      <c r="D396" s="1" t="s">
        <v>13</v>
      </c>
      <c r="E396" s="3">
        <v>41</v>
      </c>
      <c r="F396" s="1" t="s">
        <v>12294</v>
      </c>
      <c r="G396" s="1" t="s">
        <v>5984</v>
      </c>
    </row>
    <row r="397" spans="1:7" ht="21" x14ac:dyDescent="0.25">
      <c r="A397" s="2" t="str">
        <f>HYPERLINK("https://rth.dk/resources/bsgatlas/details.php?id=BSGatlas-3'UTR-396","BSGatlas-3'UTR-396")</f>
        <v>BSGatlas-3'UTR-396</v>
      </c>
      <c r="B397" s="3">
        <v>1017053</v>
      </c>
      <c r="C397" s="3">
        <v>1017094</v>
      </c>
      <c r="D397" s="1" t="s">
        <v>9</v>
      </c>
      <c r="E397" s="3">
        <v>42</v>
      </c>
      <c r="F397" s="1" t="s">
        <v>12293</v>
      </c>
      <c r="G397" s="1" t="s">
        <v>5982</v>
      </c>
    </row>
    <row r="398" spans="1:7" ht="21" x14ac:dyDescent="0.25">
      <c r="A398" s="2" t="str">
        <f>HYPERLINK("https://rth.dk/resources/bsgatlas/details.php?id=BSGatlas-3'UTR-397","BSGatlas-3'UTR-397")</f>
        <v>BSGatlas-3'UTR-397</v>
      </c>
      <c r="B398" s="3">
        <v>1020001</v>
      </c>
      <c r="C398" s="3">
        <v>1020073</v>
      </c>
      <c r="D398" s="1" t="s">
        <v>13</v>
      </c>
      <c r="E398" s="3">
        <v>73</v>
      </c>
      <c r="F398" s="1" t="s">
        <v>12296</v>
      </c>
      <c r="G398" s="1" t="s">
        <v>5993</v>
      </c>
    </row>
    <row r="399" spans="1:7" ht="21" x14ac:dyDescent="0.25">
      <c r="A399" s="2" t="str">
        <f>HYPERLINK("https://rth.dk/resources/bsgatlas/details.php?id=BSGatlas-3'UTR-398","BSGatlas-3'UTR-398")</f>
        <v>BSGatlas-3'UTR-398</v>
      </c>
      <c r="B399" s="3">
        <v>1020002</v>
      </c>
      <c r="C399" s="3">
        <v>1020048</v>
      </c>
      <c r="D399" s="1" t="s">
        <v>9</v>
      </c>
      <c r="E399" s="3">
        <v>47</v>
      </c>
      <c r="F399" s="1" t="s">
        <v>12295</v>
      </c>
      <c r="G399" s="1" t="s">
        <v>5990</v>
      </c>
    </row>
    <row r="400" spans="1:7" ht="21" x14ac:dyDescent="0.25">
      <c r="A400" s="2" t="str">
        <f>HYPERLINK("https://rth.dk/resources/bsgatlas/details.php?id=BSGatlas-3'UTR-399","BSGatlas-3'UTR-399")</f>
        <v>BSGatlas-3'UTR-399</v>
      </c>
      <c r="B400" s="3">
        <v>1023100</v>
      </c>
      <c r="C400" s="3">
        <v>1023142</v>
      </c>
      <c r="D400" s="1" t="s">
        <v>9</v>
      </c>
      <c r="E400" s="3">
        <v>43</v>
      </c>
      <c r="F400" s="1" t="s">
        <v>12298</v>
      </c>
      <c r="G400" s="1" t="s">
        <v>5996</v>
      </c>
    </row>
    <row r="401" spans="1:7" ht="21" x14ac:dyDescent="0.25">
      <c r="A401" s="2" t="str">
        <f>HYPERLINK("https://rth.dk/resources/bsgatlas/details.php?id=BSGatlas-3'UTR-400","BSGatlas-3'UTR-400")</f>
        <v>BSGatlas-3'UTR-400</v>
      </c>
      <c r="B401" s="3">
        <v>1024747</v>
      </c>
      <c r="C401" s="3">
        <v>1024798</v>
      </c>
      <c r="D401" s="1" t="s">
        <v>9</v>
      </c>
      <c r="E401" s="3">
        <v>52</v>
      </c>
      <c r="F401" s="1" t="s">
        <v>12299</v>
      </c>
      <c r="G401" s="1" t="s">
        <v>6000</v>
      </c>
    </row>
    <row r="402" spans="1:7" ht="21" x14ac:dyDescent="0.25">
      <c r="A402" s="2" t="str">
        <f>HYPERLINK("https://rth.dk/resources/bsgatlas/details.php?id=BSGatlas-3'UTR-401","BSGatlas-3'UTR-401")</f>
        <v>BSGatlas-3'UTR-401</v>
      </c>
      <c r="B402" s="3">
        <v>1028196</v>
      </c>
      <c r="C402" s="3">
        <v>1028233</v>
      </c>
      <c r="D402" s="1" t="s">
        <v>13</v>
      </c>
      <c r="E402" s="3">
        <v>38</v>
      </c>
      <c r="F402" s="1" t="s">
        <v>14225</v>
      </c>
      <c r="G402" s="1" t="s">
        <v>6010</v>
      </c>
    </row>
    <row r="403" spans="1:7" ht="21" x14ac:dyDescent="0.25">
      <c r="A403" s="2" t="str">
        <f>HYPERLINK("https://rth.dk/resources/bsgatlas/details.php?id=BSGatlas-3'UTR-402","BSGatlas-3'UTR-402")</f>
        <v>BSGatlas-3'UTR-402</v>
      </c>
      <c r="B403" s="3">
        <v>1028202</v>
      </c>
      <c r="C403" s="3">
        <v>1028243</v>
      </c>
      <c r="D403" s="1" t="s">
        <v>9</v>
      </c>
      <c r="E403" s="3">
        <v>42</v>
      </c>
      <c r="F403" s="1" t="s">
        <v>12302</v>
      </c>
      <c r="G403" s="1" t="s">
        <v>6007</v>
      </c>
    </row>
    <row r="404" spans="1:7" ht="21" x14ac:dyDescent="0.25">
      <c r="A404" s="2" t="str">
        <f>HYPERLINK("https://rth.dk/resources/bsgatlas/details.php?id=BSGatlas-3'UTR-403","BSGatlas-3'UTR-403")</f>
        <v>BSGatlas-3'UTR-403</v>
      </c>
      <c r="B404" s="3">
        <v>1030237</v>
      </c>
      <c r="C404" s="3">
        <v>1032063</v>
      </c>
      <c r="D404" s="1" t="s">
        <v>13</v>
      </c>
      <c r="E404" s="3">
        <v>1827</v>
      </c>
      <c r="F404" s="1" t="s">
        <v>14226</v>
      </c>
      <c r="G404" s="1" t="s">
        <v>6020</v>
      </c>
    </row>
    <row r="405" spans="1:7" ht="21" x14ac:dyDescent="0.25">
      <c r="A405" s="2" t="str">
        <f>HYPERLINK("https://rth.dk/resources/bsgatlas/details.php?id=BSGatlas-3'UTR-404","BSGatlas-3'UTR-404")</f>
        <v>BSGatlas-3'UTR-404</v>
      </c>
      <c r="B405" s="3">
        <v>1031260</v>
      </c>
      <c r="C405" s="3">
        <v>1031300</v>
      </c>
      <c r="D405" s="1" t="s">
        <v>9</v>
      </c>
      <c r="E405" s="3">
        <v>41</v>
      </c>
      <c r="F405" s="1" t="s">
        <v>12304</v>
      </c>
      <c r="G405" s="1" t="s">
        <v>6014</v>
      </c>
    </row>
    <row r="406" spans="1:7" ht="21" x14ac:dyDescent="0.25">
      <c r="A406" s="2" t="str">
        <f>HYPERLINK("https://rth.dk/resources/bsgatlas/details.php?id=BSGatlas-3'UTR-405","BSGatlas-3'UTR-405")</f>
        <v>BSGatlas-3'UTR-405</v>
      </c>
      <c r="B406" s="3">
        <v>1031994</v>
      </c>
      <c r="C406" s="3">
        <v>1032031</v>
      </c>
      <c r="D406" s="1" t="s">
        <v>9</v>
      </c>
      <c r="E406" s="3">
        <v>38</v>
      </c>
      <c r="F406" s="1" t="s">
        <v>12305</v>
      </c>
      <c r="G406" s="1" t="s">
        <v>6016</v>
      </c>
    </row>
    <row r="407" spans="1:7" ht="21" x14ac:dyDescent="0.25">
      <c r="A407" s="2" t="str">
        <f>HYPERLINK("https://rth.dk/resources/bsgatlas/details.php?id=BSGatlas-3'UTR-406","BSGatlas-3'UTR-406")</f>
        <v>BSGatlas-3'UTR-406</v>
      </c>
      <c r="B407" s="3">
        <v>1031994</v>
      </c>
      <c r="C407" s="3">
        <v>1032069</v>
      </c>
      <c r="D407" s="1" t="s">
        <v>9</v>
      </c>
      <c r="E407" s="3">
        <v>76</v>
      </c>
      <c r="F407" s="1" t="s">
        <v>12305</v>
      </c>
      <c r="G407" s="1" t="s">
        <v>6017</v>
      </c>
    </row>
    <row r="408" spans="1:7" ht="21" x14ac:dyDescent="0.25">
      <c r="A408" s="2" t="str">
        <f>HYPERLINK("https://rth.dk/resources/bsgatlas/details.php?id=BSGatlas-3'UTR-407","BSGatlas-3'UTR-407")</f>
        <v>BSGatlas-3'UTR-407</v>
      </c>
      <c r="B408" s="3">
        <v>1038760</v>
      </c>
      <c r="C408" s="3">
        <v>1038807</v>
      </c>
      <c r="D408" s="1" t="s">
        <v>9</v>
      </c>
      <c r="E408" s="3">
        <v>48</v>
      </c>
      <c r="F408" s="1" t="s">
        <v>12310</v>
      </c>
      <c r="G408" s="1" t="s">
        <v>6032</v>
      </c>
    </row>
    <row r="409" spans="1:7" ht="21" x14ac:dyDescent="0.25">
      <c r="A409" s="2" t="str">
        <f>HYPERLINK("https://rth.dk/resources/bsgatlas/details.php?id=BSGatlas-3'UTR-408","BSGatlas-3'UTR-408")</f>
        <v>BSGatlas-3'UTR-408</v>
      </c>
      <c r="B409" s="3">
        <v>1044341</v>
      </c>
      <c r="C409" s="3">
        <v>1044373</v>
      </c>
      <c r="D409" s="1" t="s">
        <v>13</v>
      </c>
      <c r="E409" s="3">
        <v>33</v>
      </c>
      <c r="F409" s="1" t="s">
        <v>12316</v>
      </c>
      <c r="G409" s="1" t="s">
        <v>6046</v>
      </c>
    </row>
    <row r="410" spans="1:7" ht="21" x14ac:dyDescent="0.25">
      <c r="A410" s="2" t="str">
        <f>HYPERLINK("https://rth.dk/resources/bsgatlas/details.php?id=BSGatlas-3'UTR-409","BSGatlas-3'UTR-409")</f>
        <v>BSGatlas-3'UTR-409</v>
      </c>
      <c r="B410" s="3">
        <v>1049093</v>
      </c>
      <c r="C410" s="3">
        <v>1050027</v>
      </c>
      <c r="D410" s="1" t="s">
        <v>9</v>
      </c>
      <c r="E410" s="3">
        <v>935</v>
      </c>
      <c r="F410" s="1" t="s">
        <v>14227</v>
      </c>
      <c r="G410" s="1" t="s">
        <v>6051</v>
      </c>
    </row>
    <row r="411" spans="1:7" ht="21" x14ac:dyDescent="0.25">
      <c r="A411" s="2" t="str">
        <f>HYPERLINK("https://rth.dk/resources/bsgatlas/details.php?id=BSGatlas-3'UTR-410","BSGatlas-3'UTR-410")</f>
        <v>BSGatlas-3'UTR-410</v>
      </c>
      <c r="B411" s="3">
        <v>1049973</v>
      </c>
      <c r="C411" s="3">
        <v>1050031</v>
      </c>
      <c r="D411" s="1" t="s">
        <v>13</v>
      </c>
      <c r="E411" s="3">
        <v>59</v>
      </c>
      <c r="F411" s="1" t="s">
        <v>12320</v>
      </c>
      <c r="G411" s="1" t="s">
        <v>6059</v>
      </c>
    </row>
    <row r="412" spans="1:7" ht="21" x14ac:dyDescent="0.25">
      <c r="A412" s="2" t="str">
        <f>HYPERLINK("https://rth.dk/resources/bsgatlas/details.php?id=BSGatlas-3'UTR-411","BSGatlas-3'UTR-411")</f>
        <v>BSGatlas-3'UTR-411</v>
      </c>
      <c r="B412" s="3">
        <v>1050769</v>
      </c>
      <c r="C412" s="3">
        <v>1050811</v>
      </c>
      <c r="D412" s="1" t="s">
        <v>13</v>
      </c>
      <c r="E412" s="3">
        <v>43</v>
      </c>
      <c r="F412" s="1" t="s">
        <v>12322</v>
      </c>
      <c r="G412" s="1" t="s">
        <v>6063</v>
      </c>
    </row>
    <row r="413" spans="1:7" ht="21" x14ac:dyDescent="0.25">
      <c r="A413" s="2" t="str">
        <f>HYPERLINK("https://rth.dk/resources/bsgatlas/details.php?id=BSGatlas-3'UTR-412","BSGatlas-3'UTR-412")</f>
        <v>BSGatlas-3'UTR-412</v>
      </c>
      <c r="B413" s="3">
        <v>1055094</v>
      </c>
      <c r="C413" s="3">
        <v>1055143</v>
      </c>
      <c r="D413" s="1" t="s">
        <v>13</v>
      </c>
      <c r="E413" s="3">
        <v>50</v>
      </c>
      <c r="F413" s="1" t="s">
        <v>12325</v>
      </c>
      <c r="G413" s="1" t="s">
        <v>6070</v>
      </c>
    </row>
    <row r="414" spans="1:7" ht="21" x14ac:dyDescent="0.25">
      <c r="A414" s="2" t="str">
        <f>HYPERLINK("https://rth.dk/resources/bsgatlas/details.php?id=BSGatlas-3'UTR-413","BSGatlas-3'UTR-413")</f>
        <v>BSGatlas-3'UTR-413</v>
      </c>
      <c r="B414" s="3">
        <v>1057568</v>
      </c>
      <c r="C414" s="3">
        <v>1057616</v>
      </c>
      <c r="D414" s="1" t="s">
        <v>9</v>
      </c>
      <c r="E414" s="3">
        <v>49</v>
      </c>
      <c r="F414" s="1" t="s">
        <v>12326</v>
      </c>
      <c r="G414" s="1" t="s">
        <v>6076</v>
      </c>
    </row>
    <row r="415" spans="1:7" ht="21" x14ac:dyDescent="0.25">
      <c r="A415" s="2" t="str">
        <f>HYPERLINK("https://rth.dk/resources/bsgatlas/details.php?id=BSGatlas-3'UTR-414","BSGatlas-3'UTR-414")</f>
        <v>BSGatlas-3'UTR-414</v>
      </c>
      <c r="B415" s="3">
        <v>1059185</v>
      </c>
      <c r="C415" s="3">
        <v>1059212</v>
      </c>
      <c r="D415" s="1" t="s">
        <v>9</v>
      </c>
      <c r="E415" s="3">
        <v>28</v>
      </c>
      <c r="F415" s="1" t="s">
        <v>12327</v>
      </c>
      <c r="G415" s="1" t="s">
        <v>6078</v>
      </c>
    </row>
    <row r="416" spans="1:7" ht="21" x14ac:dyDescent="0.25">
      <c r="A416" s="2" t="str">
        <f>HYPERLINK("https://rth.dk/resources/bsgatlas/details.php?id=BSGatlas-3'UTR-415","BSGatlas-3'UTR-415")</f>
        <v>BSGatlas-3'UTR-415</v>
      </c>
      <c r="B416" s="3">
        <v>1059187</v>
      </c>
      <c r="C416" s="3">
        <v>1059203</v>
      </c>
      <c r="D416" s="1" t="s">
        <v>13</v>
      </c>
      <c r="E416" s="3">
        <v>17</v>
      </c>
      <c r="F416" s="1" t="s">
        <v>14228</v>
      </c>
      <c r="G416" s="1" t="s">
        <v>6081</v>
      </c>
    </row>
    <row r="417" spans="1:7" ht="21" x14ac:dyDescent="0.25">
      <c r="A417" s="2" t="str">
        <f>HYPERLINK("https://rth.dk/resources/bsgatlas/details.php?id=BSGatlas-3'UTR-416","BSGatlas-3'UTR-416")</f>
        <v>BSGatlas-3'UTR-416</v>
      </c>
      <c r="B417" s="3">
        <v>1062258</v>
      </c>
      <c r="C417" s="3">
        <v>1062281</v>
      </c>
      <c r="D417" s="1" t="s">
        <v>9</v>
      </c>
      <c r="E417" s="3">
        <v>24</v>
      </c>
      <c r="F417" s="1" t="s">
        <v>12329</v>
      </c>
      <c r="G417" s="1" t="s">
        <v>6083</v>
      </c>
    </row>
    <row r="418" spans="1:7" ht="21" x14ac:dyDescent="0.25">
      <c r="A418" s="2" t="str">
        <f>HYPERLINK("https://rth.dk/resources/bsgatlas/details.php?id=BSGatlas-3'UTR-417","BSGatlas-3'UTR-417")</f>
        <v>BSGatlas-3'UTR-417</v>
      </c>
      <c r="B418" s="3">
        <v>1069986</v>
      </c>
      <c r="C418" s="3">
        <v>1070039</v>
      </c>
      <c r="D418" s="1" t="s">
        <v>9</v>
      </c>
      <c r="E418" s="3">
        <v>54</v>
      </c>
      <c r="F418" s="1" t="s">
        <v>12333</v>
      </c>
      <c r="G418" s="1" t="s">
        <v>6090</v>
      </c>
    </row>
    <row r="419" spans="1:7" ht="21" x14ac:dyDescent="0.25">
      <c r="A419" s="2" t="str">
        <f>HYPERLINK("https://rth.dk/resources/bsgatlas/details.php?id=BSGatlas-3'UTR-418","BSGatlas-3'UTR-418")</f>
        <v>BSGatlas-3'UTR-418</v>
      </c>
      <c r="B419" s="3">
        <v>1070323</v>
      </c>
      <c r="C419" s="3">
        <v>1070338</v>
      </c>
      <c r="D419" s="1" t="s">
        <v>9</v>
      </c>
      <c r="E419" s="3">
        <v>16</v>
      </c>
      <c r="F419" s="1" t="s">
        <v>12334</v>
      </c>
      <c r="G419" s="1" t="s">
        <v>6095</v>
      </c>
    </row>
    <row r="420" spans="1:7" ht="21" x14ac:dyDescent="0.25">
      <c r="A420" s="2" t="str">
        <f>HYPERLINK("https://rth.dk/resources/bsgatlas/details.php?id=BSGatlas-3'UTR-419","BSGatlas-3'UTR-419")</f>
        <v>BSGatlas-3'UTR-419</v>
      </c>
      <c r="B420" s="3">
        <v>1070332</v>
      </c>
      <c r="C420" s="3">
        <v>1070364</v>
      </c>
      <c r="D420" s="1" t="s">
        <v>13</v>
      </c>
      <c r="E420" s="3">
        <v>33</v>
      </c>
      <c r="F420" s="1" t="s">
        <v>12335</v>
      </c>
      <c r="G420" s="1" t="s">
        <v>6097</v>
      </c>
    </row>
    <row r="421" spans="1:7" ht="21" x14ac:dyDescent="0.25">
      <c r="A421" s="2" t="str">
        <f>HYPERLINK("https://rth.dk/resources/bsgatlas/details.php?id=BSGatlas-3'UTR-420","BSGatlas-3'UTR-420")</f>
        <v>BSGatlas-3'UTR-420</v>
      </c>
      <c r="B421" s="3">
        <v>1071488</v>
      </c>
      <c r="C421" s="3">
        <v>1071523</v>
      </c>
      <c r="D421" s="1" t="s">
        <v>9</v>
      </c>
      <c r="E421" s="3">
        <v>36</v>
      </c>
      <c r="F421" s="1" t="s">
        <v>12336</v>
      </c>
      <c r="G421" s="1" t="s">
        <v>6101</v>
      </c>
    </row>
    <row r="422" spans="1:7" ht="21" x14ac:dyDescent="0.25">
      <c r="A422" s="2" t="str">
        <f>HYPERLINK("https://rth.dk/resources/bsgatlas/details.php?id=BSGatlas-3'UTR-421","BSGatlas-3'UTR-421")</f>
        <v>BSGatlas-3'UTR-421</v>
      </c>
      <c r="B422" s="3">
        <v>1071699</v>
      </c>
      <c r="C422" s="3">
        <v>1071742</v>
      </c>
      <c r="D422" s="1" t="s">
        <v>9</v>
      </c>
      <c r="E422" s="3">
        <v>44</v>
      </c>
      <c r="F422" s="1" t="s">
        <v>12337</v>
      </c>
      <c r="G422" s="1" t="s">
        <v>6103</v>
      </c>
    </row>
    <row r="423" spans="1:7" ht="21" x14ac:dyDescent="0.25">
      <c r="A423" s="2" t="str">
        <f>HYPERLINK("https://rth.dk/resources/bsgatlas/details.php?id=BSGatlas-3'UTR-422","BSGatlas-3'UTR-422")</f>
        <v>BSGatlas-3'UTR-422</v>
      </c>
      <c r="B423" s="3">
        <v>1071699</v>
      </c>
      <c r="C423" s="3">
        <v>1072258</v>
      </c>
      <c r="D423" s="1" t="s">
        <v>9</v>
      </c>
      <c r="E423" s="3">
        <v>560</v>
      </c>
      <c r="F423" s="1" t="s">
        <v>12337</v>
      </c>
      <c r="G423" s="1" t="s">
        <v>6104</v>
      </c>
    </row>
    <row r="424" spans="1:7" ht="21" x14ac:dyDescent="0.25">
      <c r="A424" s="2" t="str">
        <f>HYPERLINK("https://rth.dk/resources/bsgatlas/details.php?id=BSGatlas-3'UTR-423","BSGatlas-3'UTR-423")</f>
        <v>BSGatlas-3'UTR-423</v>
      </c>
      <c r="B424" s="3">
        <v>1071940</v>
      </c>
      <c r="C424" s="3">
        <v>1072042</v>
      </c>
      <c r="D424" s="1" t="s">
        <v>13</v>
      </c>
      <c r="E424" s="3">
        <v>103</v>
      </c>
      <c r="F424" s="1" t="s">
        <v>12339</v>
      </c>
      <c r="G424" s="1" t="s">
        <v>6109</v>
      </c>
    </row>
    <row r="425" spans="1:7" ht="21" x14ac:dyDescent="0.25">
      <c r="A425" s="2" t="str">
        <f>HYPERLINK("https://rth.dk/resources/bsgatlas/details.php?id=BSGatlas-3'UTR-424","BSGatlas-3'UTR-424")</f>
        <v>BSGatlas-3'UTR-424</v>
      </c>
      <c r="B425" s="3">
        <v>1072984</v>
      </c>
      <c r="C425" s="3">
        <v>1073106</v>
      </c>
      <c r="D425" s="1" t="s">
        <v>13</v>
      </c>
      <c r="E425" s="3">
        <v>123</v>
      </c>
      <c r="F425" s="1" t="s">
        <v>12340</v>
      </c>
      <c r="G425" s="1" t="s">
        <v>6114</v>
      </c>
    </row>
    <row r="426" spans="1:7" ht="21" x14ac:dyDescent="0.25">
      <c r="A426" s="2" t="str">
        <f>HYPERLINK("https://rth.dk/resources/bsgatlas/details.php?id=BSGatlas-3'UTR-425","BSGatlas-3'UTR-425")</f>
        <v>BSGatlas-3'UTR-425</v>
      </c>
      <c r="B426" s="3">
        <v>1073109</v>
      </c>
      <c r="C426" s="3">
        <v>1073854</v>
      </c>
      <c r="D426" s="1" t="s">
        <v>9</v>
      </c>
      <c r="E426" s="3">
        <v>746</v>
      </c>
      <c r="F426" s="1" t="s">
        <v>12338</v>
      </c>
      <c r="G426" s="1" t="s">
        <v>6111</v>
      </c>
    </row>
    <row r="427" spans="1:7" ht="21" x14ac:dyDescent="0.25">
      <c r="A427" s="2" t="str">
        <f>HYPERLINK("https://rth.dk/resources/bsgatlas/details.php?id=BSGatlas-3'UTR-426","BSGatlas-3'UTR-426")</f>
        <v>BSGatlas-3'UTR-426</v>
      </c>
      <c r="B427" s="3">
        <v>1073877</v>
      </c>
      <c r="C427" s="3">
        <v>1073895</v>
      </c>
      <c r="D427" s="1" t="s">
        <v>13</v>
      </c>
      <c r="E427" s="3">
        <v>19</v>
      </c>
      <c r="F427" s="1" t="s">
        <v>12342</v>
      </c>
      <c r="G427" s="1" t="s">
        <v>6119</v>
      </c>
    </row>
    <row r="428" spans="1:7" ht="21" x14ac:dyDescent="0.25">
      <c r="A428" s="2" t="str">
        <f>HYPERLINK("https://rth.dk/resources/bsgatlas/details.php?id=BSGatlas-3'UTR-427","BSGatlas-3'UTR-427")</f>
        <v>BSGatlas-3'UTR-427</v>
      </c>
      <c r="B428" s="3">
        <v>1074572</v>
      </c>
      <c r="C428" s="3">
        <v>1076041</v>
      </c>
      <c r="D428" s="1" t="s">
        <v>9</v>
      </c>
      <c r="E428" s="3">
        <v>1470</v>
      </c>
      <c r="F428" s="1" t="s">
        <v>12341</v>
      </c>
      <c r="G428" s="1" t="s">
        <v>6117</v>
      </c>
    </row>
    <row r="429" spans="1:7" ht="21" x14ac:dyDescent="0.25">
      <c r="A429" s="2" t="str">
        <f>HYPERLINK("https://rth.dk/resources/bsgatlas/details.php?id=BSGatlas-3'UTR-428","BSGatlas-3'UTR-428")</f>
        <v>BSGatlas-3'UTR-428</v>
      </c>
      <c r="B429" s="3">
        <v>1074596</v>
      </c>
      <c r="C429" s="3">
        <v>1074646</v>
      </c>
      <c r="D429" s="1" t="s">
        <v>13</v>
      </c>
      <c r="E429" s="3">
        <v>51</v>
      </c>
      <c r="F429" s="1" t="s">
        <v>12343</v>
      </c>
      <c r="G429" s="1" t="s">
        <v>6122</v>
      </c>
    </row>
    <row r="430" spans="1:7" ht="21" x14ac:dyDescent="0.25">
      <c r="A430" s="2" t="str">
        <f>HYPERLINK("https://rth.dk/resources/bsgatlas/details.php?id=BSGatlas-3'UTR-429","BSGatlas-3'UTR-429")</f>
        <v>BSGatlas-3'UTR-429</v>
      </c>
      <c r="B430" s="3">
        <v>1075193</v>
      </c>
      <c r="C430" s="3">
        <v>1075289</v>
      </c>
      <c r="D430" s="1" t="s">
        <v>13</v>
      </c>
      <c r="E430" s="3">
        <v>97</v>
      </c>
      <c r="F430" s="1" t="s">
        <v>12344</v>
      </c>
      <c r="G430" s="1" t="s">
        <v>6125</v>
      </c>
    </row>
    <row r="431" spans="1:7" ht="21" x14ac:dyDescent="0.25">
      <c r="A431" s="2" t="str">
        <f>HYPERLINK("https://rth.dk/resources/bsgatlas/details.php?id=BSGatlas-3'UTR-430","BSGatlas-3'UTR-430")</f>
        <v>BSGatlas-3'UTR-430</v>
      </c>
      <c r="B431" s="3">
        <v>1077045</v>
      </c>
      <c r="C431" s="3">
        <v>1077246</v>
      </c>
      <c r="D431" s="1" t="s">
        <v>13</v>
      </c>
      <c r="E431" s="3">
        <v>202</v>
      </c>
      <c r="F431" s="1" t="s">
        <v>12346</v>
      </c>
      <c r="G431" s="1" t="s">
        <v>6129</v>
      </c>
    </row>
    <row r="432" spans="1:7" ht="21" x14ac:dyDescent="0.25">
      <c r="A432" s="2" t="str">
        <f>HYPERLINK("https://rth.dk/resources/bsgatlas/details.php?id=BSGatlas-3'UTR-431","BSGatlas-3'UTR-431")</f>
        <v>BSGatlas-3'UTR-431</v>
      </c>
      <c r="B432" s="3">
        <v>1083194</v>
      </c>
      <c r="C432" s="3">
        <v>1083229</v>
      </c>
      <c r="D432" s="1" t="s">
        <v>13</v>
      </c>
      <c r="E432" s="3">
        <v>36</v>
      </c>
      <c r="F432" s="1" t="s">
        <v>12350</v>
      </c>
      <c r="G432" s="1" t="s">
        <v>6140</v>
      </c>
    </row>
    <row r="433" spans="1:7" ht="21" x14ac:dyDescent="0.25">
      <c r="A433" s="2" t="str">
        <f>HYPERLINK("https://rth.dk/resources/bsgatlas/details.php?id=BSGatlas-3'UTR-432","BSGatlas-3'UTR-432")</f>
        <v>BSGatlas-3'UTR-432</v>
      </c>
      <c r="B433" s="3">
        <v>1085995</v>
      </c>
      <c r="C433" s="3">
        <v>1086023</v>
      </c>
      <c r="D433" s="1" t="s">
        <v>9</v>
      </c>
      <c r="E433" s="3">
        <v>29</v>
      </c>
      <c r="F433" s="1" t="s">
        <v>12351</v>
      </c>
      <c r="G433" s="1" t="s">
        <v>6143</v>
      </c>
    </row>
    <row r="434" spans="1:7" ht="21" x14ac:dyDescent="0.25">
      <c r="A434" s="2" t="str">
        <f>HYPERLINK("https://rth.dk/resources/bsgatlas/details.php?id=BSGatlas-3'UTR-433","BSGatlas-3'UTR-433")</f>
        <v>BSGatlas-3'UTR-433</v>
      </c>
      <c r="B434" s="3">
        <v>1088182</v>
      </c>
      <c r="C434" s="3">
        <v>1088222</v>
      </c>
      <c r="D434" s="1" t="s">
        <v>9</v>
      </c>
      <c r="E434" s="3">
        <v>41</v>
      </c>
      <c r="F434" s="1" t="s">
        <v>14229</v>
      </c>
      <c r="G434" s="1" t="s">
        <v>6147</v>
      </c>
    </row>
    <row r="435" spans="1:7" ht="21" x14ac:dyDescent="0.25">
      <c r="A435" s="2" t="str">
        <f>HYPERLINK("https://rth.dk/resources/bsgatlas/details.php?id=BSGatlas-3'UTR-434","BSGatlas-3'UTR-434")</f>
        <v>BSGatlas-3'UTR-434</v>
      </c>
      <c r="B435" s="3">
        <v>1089609</v>
      </c>
      <c r="C435" s="3">
        <v>1089646</v>
      </c>
      <c r="D435" s="1" t="s">
        <v>9</v>
      </c>
      <c r="E435" s="3">
        <v>38</v>
      </c>
      <c r="F435" s="1" t="s">
        <v>14230</v>
      </c>
      <c r="G435" s="1" t="s">
        <v>6149</v>
      </c>
    </row>
    <row r="436" spans="1:7" ht="21" x14ac:dyDescent="0.25">
      <c r="A436" s="2" t="str">
        <f>HYPERLINK("https://rth.dk/resources/bsgatlas/details.php?id=BSGatlas-3'UTR-435","BSGatlas-3'UTR-435")</f>
        <v>BSGatlas-3'UTR-435</v>
      </c>
      <c r="B436" s="3">
        <v>1092721</v>
      </c>
      <c r="C436" s="3">
        <v>1092770</v>
      </c>
      <c r="D436" s="1" t="s">
        <v>13</v>
      </c>
      <c r="E436" s="3">
        <v>50</v>
      </c>
      <c r="F436" s="1" t="s">
        <v>12355</v>
      </c>
      <c r="G436" s="1" t="s">
        <v>6155</v>
      </c>
    </row>
    <row r="437" spans="1:7" ht="21" x14ac:dyDescent="0.25">
      <c r="A437" s="2" t="str">
        <f>HYPERLINK("https://rth.dk/resources/bsgatlas/details.php?id=BSGatlas-3'UTR-436","BSGatlas-3'UTR-436")</f>
        <v>BSGatlas-3'UTR-436</v>
      </c>
      <c r="B437" s="3">
        <v>1102516</v>
      </c>
      <c r="C437" s="3">
        <v>1102560</v>
      </c>
      <c r="D437" s="1" t="s">
        <v>13</v>
      </c>
      <c r="E437" s="3">
        <v>45</v>
      </c>
      <c r="F437" s="1" t="s">
        <v>12362</v>
      </c>
      <c r="G437" s="1" t="s">
        <v>6171</v>
      </c>
    </row>
    <row r="438" spans="1:7" ht="21" x14ac:dyDescent="0.25">
      <c r="A438" s="2" t="str">
        <f>HYPERLINK("https://rth.dk/resources/bsgatlas/details.php?id=BSGatlas-3'UTR-437","BSGatlas-3'UTR-437")</f>
        <v>BSGatlas-3'UTR-437</v>
      </c>
      <c r="B438" s="3">
        <v>1102521</v>
      </c>
      <c r="C438" s="3">
        <v>1102564</v>
      </c>
      <c r="D438" s="1" t="s">
        <v>9</v>
      </c>
      <c r="E438" s="3">
        <v>44</v>
      </c>
      <c r="F438" s="1" t="s">
        <v>12361</v>
      </c>
      <c r="G438" s="1" t="s">
        <v>6169</v>
      </c>
    </row>
    <row r="439" spans="1:7" ht="21" x14ac:dyDescent="0.25">
      <c r="A439" s="2" t="str">
        <f>HYPERLINK("https://rth.dk/resources/bsgatlas/details.php?id=BSGatlas-3'UTR-438","BSGatlas-3'UTR-438")</f>
        <v>BSGatlas-3'UTR-438</v>
      </c>
      <c r="B439" s="3">
        <v>1104373</v>
      </c>
      <c r="C439" s="3">
        <v>1104423</v>
      </c>
      <c r="D439" s="1" t="s">
        <v>13</v>
      </c>
      <c r="E439" s="3">
        <v>51</v>
      </c>
      <c r="F439" s="1" t="s">
        <v>12364</v>
      </c>
      <c r="G439" s="1" t="s">
        <v>6176</v>
      </c>
    </row>
    <row r="440" spans="1:7" ht="21" x14ac:dyDescent="0.25">
      <c r="A440" s="2" t="str">
        <f>HYPERLINK("https://rth.dk/resources/bsgatlas/details.php?id=BSGatlas-3'UTR-439","BSGatlas-3'UTR-439")</f>
        <v>BSGatlas-3'UTR-439</v>
      </c>
      <c r="B440" s="3">
        <v>1104384</v>
      </c>
      <c r="C440" s="3">
        <v>1104428</v>
      </c>
      <c r="D440" s="1" t="s">
        <v>9</v>
      </c>
      <c r="E440" s="3">
        <v>45</v>
      </c>
      <c r="F440" s="1" t="s">
        <v>12363</v>
      </c>
      <c r="G440" s="1" t="s">
        <v>6174</v>
      </c>
    </row>
    <row r="441" spans="1:7" ht="21" x14ac:dyDescent="0.25">
      <c r="A441" s="2" t="str">
        <f>HYPERLINK("https://rth.dk/resources/bsgatlas/details.php?id=BSGatlas-3'UTR-440","BSGatlas-3'UTR-440")</f>
        <v>BSGatlas-3'UTR-440</v>
      </c>
      <c r="B441" s="3">
        <v>1107516</v>
      </c>
      <c r="C441" s="3">
        <v>1107539</v>
      </c>
      <c r="D441" s="1" t="s">
        <v>9</v>
      </c>
      <c r="E441" s="3">
        <v>24</v>
      </c>
      <c r="F441" s="1" t="s">
        <v>12366</v>
      </c>
      <c r="G441" s="1" t="s">
        <v>6179</v>
      </c>
    </row>
    <row r="442" spans="1:7" ht="21" x14ac:dyDescent="0.25">
      <c r="A442" s="2" t="str">
        <f>HYPERLINK("https://rth.dk/resources/bsgatlas/details.php?id=BSGatlas-3'UTR-441","BSGatlas-3'UTR-441")</f>
        <v>BSGatlas-3'UTR-441</v>
      </c>
      <c r="B442" s="3">
        <v>1108704</v>
      </c>
      <c r="C442" s="3">
        <v>1108744</v>
      </c>
      <c r="D442" s="1" t="s">
        <v>9</v>
      </c>
      <c r="E442" s="3">
        <v>41</v>
      </c>
      <c r="F442" s="1" t="s">
        <v>12367</v>
      </c>
      <c r="G442" s="1" t="s">
        <v>6182</v>
      </c>
    </row>
    <row r="443" spans="1:7" ht="21" x14ac:dyDescent="0.25">
      <c r="A443" s="2" t="str">
        <f>HYPERLINK("https://rth.dk/resources/bsgatlas/details.php?id=BSGatlas-3'UTR-442","BSGatlas-3'UTR-442")</f>
        <v>BSGatlas-3'UTR-442</v>
      </c>
      <c r="B443" s="3">
        <v>1112575</v>
      </c>
      <c r="C443" s="3">
        <v>1112620</v>
      </c>
      <c r="D443" s="1" t="s">
        <v>13</v>
      </c>
      <c r="E443" s="3">
        <v>46</v>
      </c>
      <c r="F443" s="1" t="s">
        <v>12371</v>
      </c>
      <c r="G443" s="1" t="s">
        <v>6193</v>
      </c>
    </row>
    <row r="444" spans="1:7" ht="21" x14ac:dyDescent="0.25">
      <c r="A444" s="2" t="str">
        <f>HYPERLINK("https://rth.dk/resources/bsgatlas/details.php?id=BSGatlas-3'UTR-443","BSGatlas-3'UTR-443")</f>
        <v>BSGatlas-3'UTR-443</v>
      </c>
      <c r="B444" s="3">
        <v>1114022</v>
      </c>
      <c r="C444" s="3">
        <v>1114057</v>
      </c>
      <c r="D444" s="1" t="s">
        <v>13</v>
      </c>
      <c r="E444" s="3">
        <v>36</v>
      </c>
      <c r="F444" s="1" t="s">
        <v>12372</v>
      </c>
      <c r="G444" s="1" t="s">
        <v>6195</v>
      </c>
    </row>
    <row r="445" spans="1:7" ht="21" x14ac:dyDescent="0.25">
      <c r="A445" s="2" t="str">
        <f>HYPERLINK("https://rth.dk/resources/bsgatlas/details.php?id=BSGatlas-3'UTR-444","BSGatlas-3'UTR-444")</f>
        <v>BSGatlas-3'UTR-444</v>
      </c>
      <c r="B445" s="3">
        <v>1116547</v>
      </c>
      <c r="C445" s="3">
        <v>1116583</v>
      </c>
      <c r="D445" s="1" t="s">
        <v>13</v>
      </c>
      <c r="E445" s="3">
        <v>37</v>
      </c>
      <c r="F445" s="1" t="s">
        <v>12374</v>
      </c>
      <c r="G445" s="1" t="s">
        <v>6199</v>
      </c>
    </row>
    <row r="446" spans="1:7" ht="21" x14ac:dyDescent="0.25">
      <c r="A446" s="2" t="str">
        <f>HYPERLINK("https://rth.dk/resources/bsgatlas/details.php?id=BSGatlas-3'UTR-445","BSGatlas-3'UTR-445")</f>
        <v>BSGatlas-3'UTR-445</v>
      </c>
      <c r="B446" s="3">
        <v>1116555</v>
      </c>
      <c r="C446" s="3">
        <v>1116597</v>
      </c>
      <c r="D446" s="1" t="s">
        <v>9</v>
      </c>
      <c r="E446" s="3">
        <v>43</v>
      </c>
      <c r="F446" s="1" t="s">
        <v>12373</v>
      </c>
      <c r="G446" s="1" t="s">
        <v>6197</v>
      </c>
    </row>
    <row r="447" spans="1:7" ht="21" x14ac:dyDescent="0.25">
      <c r="A447" s="2" t="str">
        <f>HYPERLINK("https://rth.dk/resources/bsgatlas/details.php?id=BSGatlas-3'UTR-446","BSGatlas-3'UTR-446")</f>
        <v>BSGatlas-3'UTR-446</v>
      </c>
      <c r="B447" s="3">
        <v>1117684</v>
      </c>
      <c r="C447" s="3">
        <v>1117734</v>
      </c>
      <c r="D447" s="1" t="s">
        <v>13</v>
      </c>
      <c r="E447" s="3">
        <v>51</v>
      </c>
      <c r="F447" s="1" t="s">
        <v>12376</v>
      </c>
      <c r="G447" s="1" t="s">
        <v>6205</v>
      </c>
    </row>
    <row r="448" spans="1:7" ht="21" x14ac:dyDescent="0.25">
      <c r="A448" s="2" t="str">
        <f>HYPERLINK("https://rth.dk/resources/bsgatlas/details.php?id=BSGatlas-3'UTR-447","BSGatlas-3'UTR-447")</f>
        <v>BSGatlas-3'UTR-447</v>
      </c>
      <c r="B448" s="3">
        <v>1117687</v>
      </c>
      <c r="C448" s="3">
        <v>1117738</v>
      </c>
      <c r="D448" s="1" t="s">
        <v>9</v>
      </c>
      <c r="E448" s="3">
        <v>52</v>
      </c>
      <c r="F448" s="1" t="s">
        <v>12375</v>
      </c>
      <c r="G448" s="1" t="s">
        <v>6202</v>
      </c>
    </row>
    <row r="449" spans="1:7" ht="21" x14ac:dyDescent="0.25">
      <c r="A449" s="2" t="str">
        <f>HYPERLINK("https://rth.dk/resources/bsgatlas/details.php?id=BSGatlas-3'UTR-448","BSGatlas-3'UTR-448")</f>
        <v>BSGatlas-3'UTR-448</v>
      </c>
      <c r="B449" s="3">
        <v>1119115</v>
      </c>
      <c r="C449" s="3">
        <v>1119162</v>
      </c>
      <c r="D449" s="1" t="s">
        <v>13</v>
      </c>
      <c r="E449" s="3">
        <v>48</v>
      </c>
      <c r="F449" s="1" t="s">
        <v>14231</v>
      </c>
      <c r="G449" s="1" t="s">
        <v>6213</v>
      </c>
    </row>
    <row r="450" spans="1:7" ht="21" x14ac:dyDescent="0.25">
      <c r="A450" s="2" t="str">
        <f>HYPERLINK("https://rth.dk/resources/bsgatlas/details.php?id=BSGatlas-3'UTR-449","BSGatlas-3'UTR-449")</f>
        <v>BSGatlas-3'UTR-449</v>
      </c>
      <c r="B450" s="3">
        <v>1121013</v>
      </c>
      <c r="C450" s="3">
        <v>1121036</v>
      </c>
      <c r="D450" s="1" t="s">
        <v>13</v>
      </c>
      <c r="E450" s="3">
        <v>24</v>
      </c>
      <c r="F450" s="1" t="s">
        <v>12380</v>
      </c>
      <c r="G450" s="1" t="s">
        <v>6215</v>
      </c>
    </row>
    <row r="451" spans="1:7" ht="21" x14ac:dyDescent="0.25">
      <c r="A451" s="2" t="str">
        <f>HYPERLINK("https://rth.dk/resources/bsgatlas/details.php?id=BSGatlas-3'UTR-450","BSGatlas-3'UTR-450")</f>
        <v>BSGatlas-3'UTR-450</v>
      </c>
      <c r="B451" s="3">
        <v>1122681</v>
      </c>
      <c r="C451" s="3">
        <v>1122720</v>
      </c>
      <c r="D451" s="1" t="s">
        <v>9</v>
      </c>
      <c r="E451" s="3">
        <v>40</v>
      </c>
      <c r="F451" s="1" t="s">
        <v>14232</v>
      </c>
      <c r="G451" s="1" t="s">
        <v>6218</v>
      </c>
    </row>
    <row r="452" spans="1:7" ht="21" x14ac:dyDescent="0.25">
      <c r="A452" s="2" t="str">
        <f>HYPERLINK("https://rth.dk/resources/bsgatlas/details.php?id=BSGatlas-3'UTR-451","BSGatlas-3'UTR-451")</f>
        <v>BSGatlas-3'UTR-451</v>
      </c>
      <c r="B452" s="3">
        <v>1124955</v>
      </c>
      <c r="C452" s="3">
        <v>1125123</v>
      </c>
      <c r="D452" s="1" t="s">
        <v>13</v>
      </c>
      <c r="E452" s="3">
        <v>169</v>
      </c>
      <c r="F452" s="1" t="s">
        <v>14233</v>
      </c>
      <c r="G452" s="1" t="s">
        <v>6226</v>
      </c>
    </row>
    <row r="453" spans="1:7" ht="21" x14ac:dyDescent="0.25">
      <c r="A453" s="2" t="str">
        <f>HYPERLINK("https://rth.dk/resources/bsgatlas/details.php?id=BSGatlas-3'UTR-452","BSGatlas-3'UTR-452")</f>
        <v>BSGatlas-3'UTR-452</v>
      </c>
      <c r="B453" s="3">
        <v>1126337</v>
      </c>
      <c r="C453" s="3">
        <v>1126400</v>
      </c>
      <c r="D453" s="1" t="s">
        <v>13</v>
      </c>
      <c r="E453" s="3">
        <v>64</v>
      </c>
      <c r="F453" s="1" t="s">
        <v>14234</v>
      </c>
      <c r="G453" s="1" t="s">
        <v>6230</v>
      </c>
    </row>
    <row r="454" spans="1:7" ht="21" x14ac:dyDescent="0.25">
      <c r="A454" s="2" t="str">
        <f>HYPERLINK("https://rth.dk/resources/bsgatlas/details.php?id=BSGatlas-3'UTR-453","BSGatlas-3'UTR-453")</f>
        <v>BSGatlas-3'UTR-453</v>
      </c>
      <c r="B454" s="3">
        <v>1130704</v>
      </c>
      <c r="C454" s="3">
        <v>1130960</v>
      </c>
      <c r="D454" s="1" t="s">
        <v>9</v>
      </c>
      <c r="E454" s="3">
        <v>257</v>
      </c>
      <c r="F454" s="1" t="s">
        <v>12383</v>
      </c>
      <c r="G454" s="1" t="s">
        <v>6232</v>
      </c>
    </row>
    <row r="455" spans="1:7" ht="21" x14ac:dyDescent="0.25">
      <c r="A455" s="2" t="str">
        <f>HYPERLINK("https://rth.dk/resources/bsgatlas/details.php?id=BSGatlas-3'UTR-454","BSGatlas-3'UTR-454")</f>
        <v>BSGatlas-3'UTR-454</v>
      </c>
      <c r="B455" s="3">
        <v>1130704</v>
      </c>
      <c r="C455" s="3">
        <v>1131115</v>
      </c>
      <c r="D455" s="1" t="s">
        <v>9</v>
      </c>
      <c r="E455" s="3">
        <v>412</v>
      </c>
      <c r="F455" s="1" t="s">
        <v>12383</v>
      </c>
      <c r="G455" s="1" t="s">
        <v>6233</v>
      </c>
    </row>
    <row r="456" spans="1:7" ht="21" x14ac:dyDescent="0.25">
      <c r="A456" s="2" t="str">
        <f>HYPERLINK("https://rth.dk/resources/bsgatlas/details.php?id=BSGatlas-3'UTR-455","BSGatlas-3'UTR-455")</f>
        <v>BSGatlas-3'UTR-455</v>
      </c>
      <c r="B456" s="3">
        <v>1130780</v>
      </c>
      <c r="C456" s="3">
        <v>1130918</v>
      </c>
      <c r="D456" s="1" t="s">
        <v>13</v>
      </c>
      <c r="E456" s="3">
        <v>139</v>
      </c>
      <c r="F456" s="1" t="s">
        <v>12385</v>
      </c>
      <c r="G456" s="1" t="s">
        <v>6237</v>
      </c>
    </row>
    <row r="457" spans="1:7" ht="21" x14ac:dyDescent="0.25">
      <c r="A457" s="2" t="str">
        <f>HYPERLINK("https://rth.dk/resources/bsgatlas/details.php?id=BSGatlas-3'UTR-456","BSGatlas-3'UTR-456")</f>
        <v>BSGatlas-3'UTR-456</v>
      </c>
      <c r="B457" s="3">
        <v>1143505</v>
      </c>
      <c r="C457" s="3">
        <v>1143553</v>
      </c>
      <c r="D457" s="1" t="s">
        <v>9</v>
      </c>
      <c r="E457" s="3">
        <v>49</v>
      </c>
      <c r="F457" s="1" t="s">
        <v>14235</v>
      </c>
      <c r="G457" s="1" t="s">
        <v>6245</v>
      </c>
    </row>
    <row r="458" spans="1:7" ht="21" x14ac:dyDescent="0.25">
      <c r="A458" s="2" t="str">
        <f>HYPERLINK("https://rth.dk/resources/bsgatlas/details.php?id=BSGatlas-3'UTR-457","BSGatlas-3'UTR-457")</f>
        <v>BSGatlas-3'UTR-457</v>
      </c>
      <c r="B458" s="3">
        <v>1147460</v>
      </c>
      <c r="C458" s="3">
        <v>1148494</v>
      </c>
      <c r="D458" s="1" t="s">
        <v>13</v>
      </c>
      <c r="E458" s="3">
        <v>1035</v>
      </c>
      <c r="F458" s="1" t="s">
        <v>14236</v>
      </c>
      <c r="G458" s="1" t="s">
        <v>6252</v>
      </c>
    </row>
    <row r="459" spans="1:7" ht="21" x14ac:dyDescent="0.25">
      <c r="A459" s="2" t="str">
        <f>HYPERLINK("https://rth.dk/resources/bsgatlas/details.php?id=BSGatlas-3'UTR-458","BSGatlas-3'UTR-458")</f>
        <v>BSGatlas-3'UTR-458</v>
      </c>
      <c r="B459" s="3">
        <v>1148450</v>
      </c>
      <c r="C459" s="3">
        <v>1148494</v>
      </c>
      <c r="D459" s="1" t="s">
        <v>13</v>
      </c>
      <c r="E459" s="3">
        <v>45</v>
      </c>
      <c r="F459" s="1" t="s">
        <v>14236</v>
      </c>
      <c r="G459" s="1" t="s">
        <v>6253</v>
      </c>
    </row>
    <row r="460" spans="1:7" ht="21" x14ac:dyDescent="0.25">
      <c r="A460" s="2" t="str">
        <f>HYPERLINK("https://rth.dk/resources/bsgatlas/details.php?id=BSGatlas-3'UTR-459","BSGatlas-3'UTR-459")</f>
        <v>BSGatlas-3'UTR-459</v>
      </c>
      <c r="B460" s="3">
        <v>1148457</v>
      </c>
      <c r="C460" s="3">
        <v>1148506</v>
      </c>
      <c r="D460" s="1" t="s">
        <v>9</v>
      </c>
      <c r="E460" s="3">
        <v>50</v>
      </c>
      <c r="F460" s="1" t="s">
        <v>12389</v>
      </c>
      <c r="G460" s="1" t="s">
        <v>6247</v>
      </c>
    </row>
    <row r="461" spans="1:7" ht="21" x14ac:dyDescent="0.25">
      <c r="A461" s="2" t="str">
        <f>HYPERLINK("https://rth.dk/resources/bsgatlas/details.php?id=BSGatlas-3'UTR-460","BSGatlas-3'UTR-460")</f>
        <v>BSGatlas-3'UTR-460</v>
      </c>
      <c r="B461" s="3">
        <v>1150668</v>
      </c>
      <c r="C461" s="3">
        <v>1150850</v>
      </c>
      <c r="D461" s="1" t="s">
        <v>13</v>
      </c>
      <c r="E461" s="3">
        <v>183</v>
      </c>
      <c r="F461" s="1" t="s">
        <v>12391</v>
      </c>
      <c r="G461" s="1" t="s">
        <v>6258</v>
      </c>
    </row>
    <row r="462" spans="1:7" ht="21" x14ac:dyDescent="0.25">
      <c r="A462" s="2" t="str">
        <f>HYPERLINK("https://rth.dk/resources/bsgatlas/details.php?id=BSGatlas-3'UTR-461","BSGatlas-3'UTR-461")</f>
        <v>BSGatlas-3'UTR-461</v>
      </c>
      <c r="B462" s="3">
        <v>1150678</v>
      </c>
      <c r="C462" s="3">
        <v>1151098</v>
      </c>
      <c r="D462" s="1" t="s">
        <v>9</v>
      </c>
      <c r="E462" s="3">
        <v>421</v>
      </c>
      <c r="F462" s="1" t="s">
        <v>14237</v>
      </c>
      <c r="G462" s="1" t="s">
        <v>6255</v>
      </c>
    </row>
    <row r="463" spans="1:7" ht="21" x14ac:dyDescent="0.25">
      <c r="A463" s="2" t="str">
        <f>HYPERLINK("https://rth.dk/resources/bsgatlas/details.php?id=BSGatlas-3'UTR-462","BSGatlas-3'UTR-462")</f>
        <v>BSGatlas-3'UTR-462</v>
      </c>
      <c r="B463" s="3">
        <v>1150678</v>
      </c>
      <c r="C463" s="3">
        <v>1151318</v>
      </c>
      <c r="D463" s="1" t="s">
        <v>9</v>
      </c>
      <c r="E463" s="3">
        <v>641</v>
      </c>
      <c r="F463" s="1" t="s">
        <v>14237</v>
      </c>
      <c r="G463" s="1" t="s">
        <v>6256</v>
      </c>
    </row>
    <row r="464" spans="1:7" ht="21" x14ac:dyDescent="0.25">
      <c r="A464" s="2" t="str">
        <f>HYPERLINK("https://rth.dk/resources/bsgatlas/details.php?id=BSGatlas-3'UTR-463","BSGatlas-3'UTR-463")</f>
        <v>BSGatlas-3'UTR-463</v>
      </c>
      <c r="B464" s="3">
        <v>1156473</v>
      </c>
      <c r="C464" s="3">
        <v>1156514</v>
      </c>
      <c r="D464" s="1" t="s">
        <v>9</v>
      </c>
      <c r="E464" s="3">
        <v>42</v>
      </c>
      <c r="F464" s="1" t="s">
        <v>12395</v>
      </c>
      <c r="G464" s="1" t="s">
        <v>6267</v>
      </c>
    </row>
    <row r="465" spans="1:7" ht="21" x14ac:dyDescent="0.25">
      <c r="A465" s="2" t="str">
        <f>HYPERLINK("https://rth.dk/resources/bsgatlas/details.php?id=BSGatlas-3'UTR-464","BSGatlas-3'UTR-464")</f>
        <v>BSGatlas-3'UTR-464</v>
      </c>
      <c r="B465" s="3">
        <v>1159081</v>
      </c>
      <c r="C465" s="3">
        <v>1159184</v>
      </c>
      <c r="D465" s="1" t="s">
        <v>9</v>
      </c>
      <c r="E465" s="3">
        <v>104</v>
      </c>
      <c r="F465" s="1" t="s">
        <v>12397</v>
      </c>
      <c r="G465" s="1" t="s">
        <v>6270</v>
      </c>
    </row>
    <row r="466" spans="1:7" ht="21" x14ac:dyDescent="0.25">
      <c r="A466" s="2" t="str">
        <f>HYPERLINK("https://rth.dk/resources/bsgatlas/details.php?id=BSGatlas-3'UTR-465","BSGatlas-3'UTR-465")</f>
        <v>BSGatlas-3'UTR-465</v>
      </c>
      <c r="B466" s="3">
        <v>1165398</v>
      </c>
      <c r="C466" s="3">
        <v>1165442</v>
      </c>
      <c r="D466" s="1" t="s">
        <v>9</v>
      </c>
      <c r="E466" s="3">
        <v>45</v>
      </c>
      <c r="F466" s="1" t="s">
        <v>12401</v>
      </c>
      <c r="G466" s="1" t="s">
        <v>6278</v>
      </c>
    </row>
    <row r="467" spans="1:7" ht="21" x14ac:dyDescent="0.25">
      <c r="A467" s="2" t="str">
        <f>HYPERLINK("https://rth.dk/resources/bsgatlas/details.php?id=BSGatlas-3'UTR-466","BSGatlas-3'UTR-466")</f>
        <v>BSGatlas-3'UTR-466</v>
      </c>
      <c r="B467" s="3">
        <v>1168059</v>
      </c>
      <c r="C467" s="3">
        <v>1168199</v>
      </c>
      <c r="D467" s="1" t="s">
        <v>13</v>
      </c>
      <c r="E467" s="3">
        <v>141</v>
      </c>
      <c r="F467" s="1" t="s">
        <v>12404</v>
      </c>
      <c r="G467" s="1" t="s">
        <v>6283</v>
      </c>
    </row>
    <row r="468" spans="1:7" ht="21" x14ac:dyDescent="0.25">
      <c r="A468" s="2" t="str">
        <f>HYPERLINK("https://rth.dk/resources/bsgatlas/details.php?id=BSGatlas-3'UTR-467","BSGatlas-3'UTR-467")</f>
        <v>BSGatlas-3'UTR-467</v>
      </c>
      <c r="B468" s="3">
        <v>1169842</v>
      </c>
      <c r="C468" s="3">
        <v>1169877</v>
      </c>
      <c r="D468" s="1" t="s">
        <v>13</v>
      </c>
      <c r="E468" s="3">
        <v>36</v>
      </c>
      <c r="F468" s="1" t="s">
        <v>14238</v>
      </c>
      <c r="G468" s="1" t="s">
        <v>6288</v>
      </c>
    </row>
    <row r="469" spans="1:7" ht="21" x14ac:dyDescent="0.25">
      <c r="A469" s="2" t="str">
        <f>HYPERLINK("https://rth.dk/resources/bsgatlas/details.php?id=BSGatlas-3'UTR-468","BSGatlas-3'UTR-468")</f>
        <v>BSGatlas-3'UTR-468</v>
      </c>
      <c r="B469" s="3">
        <v>1169849</v>
      </c>
      <c r="C469" s="3">
        <v>1169887</v>
      </c>
      <c r="D469" s="1" t="s">
        <v>9</v>
      </c>
      <c r="E469" s="3">
        <v>39</v>
      </c>
      <c r="F469" s="1" t="s">
        <v>12405</v>
      </c>
      <c r="G469" s="1" t="s">
        <v>6285</v>
      </c>
    </row>
    <row r="470" spans="1:7" ht="21" x14ac:dyDescent="0.25">
      <c r="A470" s="2" t="str">
        <f>HYPERLINK("https://rth.dk/resources/bsgatlas/details.php?id=BSGatlas-3'UTR-469","BSGatlas-3'UTR-469")</f>
        <v>BSGatlas-3'UTR-469</v>
      </c>
      <c r="B470" s="3">
        <v>1173675</v>
      </c>
      <c r="C470" s="3">
        <v>1174136</v>
      </c>
      <c r="D470" s="1" t="s">
        <v>13</v>
      </c>
      <c r="E470" s="3">
        <v>462</v>
      </c>
      <c r="F470" s="1" t="s">
        <v>12408</v>
      </c>
      <c r="G470" s="1" t="s">
        <v>6293</v>
      </c>
    </row>
    <row r="471" spans="1:7" ht="21" x14ac:dyDescent="0.25">
      <c r="A471" s="2" t="str">
        <f>HYPERLINK("https://rth.dk/resources/bsgatlas/details.php?id=BSGatlas-3'UTR-470","BSGatlas-3'UTR-470")</f>
        <v>BSGatlas-3'UTR-470</v>
      </c>
      <c r="B471" s="3">
        <v>1174091</v>
      </c>
      <c r="C471" s="3">
        <v>1174150</v>
      </c>
      <c r="D471" s="1" t="s">
        <v>9</v>
      </c>
      <c r="E471" s="3">
        <v>60</v>
      </c>
      <c r="F471" s="1" t="s">
        <v>14239</v>
      </c>
      <c r="G471" s="1" t="s">
        <v>6291</v>
      </c>
    </row>
    <row r="472" spans="1:7" ht="21" x14ac:dyDescent="0.25">
      <c r="A472" s="2" t="str">
        <f>HYPERLINK("https://rth.dk/resources/bsgatlas/details.php?id=BSGatlas-3'UTR-471","BSGatlas-3'UTR-471")</f>
        <v>BSGatlas-3'UTR-471</v>
      </c>
      <c r="B472" s="3">
        <v>1174837</v>
      </c>
      <c r="C472" s="3">
        <v>1174861</v>
      </c>
      <c r="D472" s="1" t="s">
        <v>13</v>
      </c>
      <c r="E472" s="3">
        <v>25</v>
      </c>
      <c r="F472" s="1" t="s">
        <v>14240</v>
      </c>
      <c r="G472" s="1" t="s">
        <v>6296</v>
      </c>
    </row>
    <row r="473" spans="1:7" ht="21" x14ac:dyDescent="0.25">
      <c r="A473" s="2" t="str">
        <f>HYPERLINK("https://rth.dk/resources/bsgatlas/details.php?id=BSGatlas-3'UTR-472","BSGatlas-3'UTR-472")</f>
        <v>BSGatlas-3'UTR-472</v>
      </c>
      <c r="B473" s="3">
        <v>1180646</v>
      </c>
      <c r="C473" s="3">
        <v>1180684</v>
      </c>
      <c r="D473" s="1" t="s">
        <v>13</v>
      </c>
      <c r="E473" s="3">
        <v>39</v>
      </c>
      <c r="F473" s="1" t="s">
        <v>14241</v>
      </c>
      <c r="G473" s="1" t="s">
        <v>6302</v>
      </c>
    </row>
    <row r="474" spans="1:7" ht="21" x14ac:dyDescent="0.25">
      <c r="A474" s="2" t="str">
        <f>HYPERLINK("https://rth.dk/resources/bsgatlas/details.php?id=BSGatlas-3'UTR-473","BSGatlas-3'UTR-473")</f>
        <v>BSGatlas-3'UTR-473</v>
      </c>
      <c r="B474" s="3">
        <v>1185901</v>
      </c>
      <c r="C474" s="3">
        <v>1185947</v>
      </c>
      <c r="D474" s="1" t="s">
        <v>9</v>
      </c>
      <c r="E474" s="3">
        <v>47</v>
      </c>
      <c r="F474" s="1" t="s">
        <v>14242</v>
      </c>
      <c r="G474" s="1" t="s">
        <v>6311</v>
      </c>
    </row>
    <row r="475" spans="1:7" ht="21" x14ac:dyDescent="0.25">
      <c r="A475" s="2" t="str">
        <f>HYPERLINK("https://rth.dk/resources/bsgatlas/details.php?id=BSGatlas-3'UTR-474","BSGatlas-3'UTR-474")</f>
        <v>BSGatlas-3'UTR-474</v>
      </c>
      <c r="B475" s="3">
        <v>1190005</v>
      </c>
      <c r="C475" s="3">
        <v>1190045</v>
      </c>
      <c r="D475" s="1" t="s">
        <v>9</v>
      </c>
      <c r="E475" s="3">
        <v>41</v>
      </c>
      <c r="F475" s="1" t="s">
        <v>12418</v>
      </c>
      <c r="G475" s="1" t="s">
        <v>6317</v>
      </c>
    </row>
    <row r="476" spans="1:7" ht="21" x14ac:dyDescent="0.25">
      <c r="A476" s="2" t="str">
        <f>HYPERLINK("https://rth.dk/resources/bsgatlas/details.php?id=BSGatlas-3'UTR-475","BSGatlas-3'UTR-475")</f>
        <v>BSGatlas-3'UTR-475</v>
      </c>
      <c r="B476" s="3">
        <v>1204420</v>
      </c>
      <c r="C476" s="3">
        <v>1204449</v>
      </c>
      <c r="D476" s="1" t="s">
        <v>9</v>
      </c>
      <c r="E476" s="3">
        <v>30</v>
      </c>
      <c r="F476" s="1" t="s">
        <v>14243</v>
      </c>
      <c r="G476" s="1" t="s">
        <v>6333</v>
      </c>
    </row>
    <row r="477" spans="1:7" ht="21" x14ac:dyDescent="0.25">
      <c r="A477" s="2" t="str">
        <f>HYPERLINK("https://rth.dk/resources/bsgatlas/details.php?id=BSGatlas-3'UTR-476","BSGatlas-3'UTR-476")</f>
        <v>BSGatlas-3'UTR-476</v>
      </c>
      <c r="B477" s="3">
        <v>1204434</v>
      </c>
      <c r="C477" s="3">
        <v>1204731</v>
      </c>
      <c r="D477" s="1" t="s">
        <v>13</v>
      </c>
      <c r="E477" s="3">
        <v>298</v>
      </c>
      <c r="F477" s="1" t="s">
        <v>12425</v>
      </c>
      <c r="G477" s="1" t="s">
        <v>6336</v>
      </c>
    </row>
    <row r="478" spans="1:7" ht="21" x14ac:dyDescent="0.25">
      <c r="A478" s="2" t="str">
        <f>HYPERLINK("https://rth.dk/resources/bsgatlas/details.php?id=BSGatlas-3'UTR-477","BSGatlas-3'UTR-477")</f>
        <v>BSGatlas-3'UTR-477</v>
      </c>
      <c r="B478" s="3">
        <v>1204685</v>
      </c>
      <c r="C478" s="3">
        <v>1204734</v>
      </c>
      <c r="D478" s="1" t="s">
        <v>9</v>
      </c>
      <c r="E478" s="3">
        <v>50</v>
      </c>
      <c r="F478" s="1" t="s">
        <v>12424</v>
      </c>
      <c r="G478" s="1" t="s">
        <v>6338</v>
      </c>
    </row>
    <row r="479" spans="1:7" ht="21" x14ac:dyDescent="0.25">
      <c r="A479" s="2" t="str">
        <f>HYPERLINK("https://rth.dk/resources/bsgatlas/details.php?id=BSGatlas-3'UTR-478","BSGatlas-3'UTR-478")</f>
        <v>BSGatlas-3'UTR-478</v>
      </c>
      <c r="B479" s="3">
        <v>1205899</v>
      </c>
      <c r="C479" s="3">
        <v>1205920</v>
      </c>
      <c r="D479" s="1" t="s">
        <v>9</v>
      </c>
      <c r="E479" s="3">
        <v>22</v>
      </c>
      <c r="F479" s="1" t="s">
        <v>12426</v>
      </c>
      <c r="G479" s="1" t="s">
        <v>6341</v>
      </c>
    </row>
    <row r="480" spans="1:7" ht="21" x14ac:dyDescent="0.25">
      <c r="A480" s="2" t="str">
        <f>HYPERLINK("https://rth.dk/resources/bsgatlas/details.php?id=BSGatlas-3'UTR-479","BSGatlas-3'UTR-479")</f>
        <v>BSGatlas-3'UTR-479</v>
      </c>
      <c r="B480" s="3">
        <v>1207788</v>
      </c>
      <c r="C480" s="3">
        <v>1207829</v>
      </c>
      <c r="D480" s="1" t="s">
        <v>9</v>
      </c>
      <c r="E480" s="3">
        <v>42</v>
      </c>
      <c r="F480" s="1" t="s">
        <v>12429</v>
      </c>
      <c r="G480" s="1" t="s">
        <v>6344</v>
      </c>
    </row>
    <row r="481" spans="1:7" ht="21" x14ac:dyDescent="0.25">
      <c r="A481" s="2" t="str">
        <f>HYPERLINK("https://rth.dk/resources/bsgatlas/details.php?id=BSGatlas-3'UTR-480","BSGatlas-3'UTR-480")</f>
        <v>BSGatlas-3'UTR-480</v>
      </c>
      <c r="B481" s="3">
        <v>1210424</v>
      </c>
      <c r="C481" s="3">
        <v>1210474</v>
      </c>
      <c r="D481" s="1" t="s">
        <v>9</v>
      </c>
      <c r="E481" s="3">
        <v>51</v>
      </c>
      <c r="F481" s="1" t="s">
        <v>14244</v>
      </c>
      <c r="G481" s="1" t="s">
        <v>6360</v>
      </c>
    </row>
    <row r="482" spans="1:7" ht="21" x14ac:dyDescent="0.25">
      <c r="A482" s="2" t="str">
        <f>HYPERLINK("https://rth.dk/resources/bsgatlas/details.php?id=BSGatlas-3'UTR-481","BSGatlas-3'UTR-481")</f>
        <v>BSGatlas-3'UTR-481</v>
      </c>
      <c r="B482" s="3">
        <v>1217121</v>
      </c>
      <c r="C482" s="3">
        <v>1217157</v>
      </c>
      <c r="D482" s="1" t="s">
        <v>9</v>
      </c>
      <c r="E482" s="3">
        <v>37</v>
      </c>
      <c r="F482" s="1" t="s">
        <v>14245</v>
      </c>
      <c r="G482" s="1" t="s">
        <v>6368</v>
      </c>
    </row>
    <row r="483" spans="1:7" ht="21" x14ac:dyDescent="0.25">
      <c r="A483" s="2" t="str">
        <f>HYPERLINK("https://rth.dk/resources/bsgatlas/details.php?id=BSGatlas-3'UTR-482","BSGatlas-3'UTR-482")</f>
        <v>BSGatlas-3'UTR-482</v>
      </c>
      <c r="B483" s="3">
        <v>1217121</v>
      </c>
      <c r="C483" s="3">
        <v>1217222</v>
      </c>
      <c r="D483" s="1" t="s">
        <v>9</v>
      </c>
      <c r="E483" s="3">
        <v>102</v>
      </c>
      <c r="F483" s="1" t="s">
        <v>14245</v>
      </c>
      <c r="G483" s="1" t="s">
        <v>6369</v>
      </c>
    </row>
    <row r="484" spans="1:7" ht="21" x14ac:dyDescent="0.25">
      <c r="A484" s="2" t="str">
        <f>HYPERLINK("https://rth.dk/resources/bsgatlas/details.php?id=BSGatlas-3'UTR-483","BSGatlas-3'UTR-483")</f>
        <v>BSGatlas-3'UTR-483</v>
      </c>
      <c r="B484" s="3">
        <v>1218070</v>
      </c>
      <c r="C484" s="3">
        <v>1218113</v>
      </c>
      <c r="D484" s="1" t="s">
        <v>13</v>
      </c>
      <c r="E484" s="3">
        <v>44</v>
      </c>
      <c r="F484" s="1" t="s">
        <v>12436</v>
      </c>
      <c r="G484" s="1" t="s">
        <v>6376</v>
      </c>
    </row>
    <row r="485" spans="1:7" ht="21" x14ac:dyDescent="0.25">
      <c r="A485" s="2" t="str">
        <f>HYPERLINK("https://rth.dk/resources/bsgatlas/details.php?id=BSGatlas-3'UTR-484","BSGatlas-3'UTR-484")</f>
        <v>BSGatlas-3'UTR-484</v>
      </c>
      <c r="B485" s="3">
        <v>1219129</v>
      </c>
      <c r="C485" s="3">
        <v>1219163</v>
      </c>
      <c r="D485" s="1" t="s">
        <v>13</v>
      </c>
      <c r="E485" s="3">
        <v>35</v>
      </c>
      <c r="F485" s="1" t="s">
        <v>14246</v>
      </c>
      <c r="G485" s="1" t="s">
        <v>6377</v>
      </c>
    </row>
    <row r="486" spans="1:7" ht="21" x14ac:dyDescent="0.25">
      <c r="A486" s="2" t="str">
        <f>HYPERLINK("https://rth.dk/resources/bsgatlas/details.php?id=BSGatlas-3'UTR-485","BSGatlas-3'UTR-485")</f>
        <v>BSGatlas-3'UTR-485</v>
      </c>
      <c r="B486" s="3">
        <v>1225450</v>
      </c>
      <c r="C486" s="3">
        <v>1225499</v>
      </c>
      <c r="D486" s="1" t="s">
        <v>9</v>
      </c>
      <c r="E486" s="3">
        <v>50</v>
      </c>
      <c r="F486" s="1" t="s">
        <v>14247</v>
      </c>
      <c r="G486" s="1" t="s">
        <v>6381</v>
      </c>
    </row>
    <row r="487" spans="1:7" ht="21" x14ac:dyDescent="0.25">
      <c r="A487" s="2" t="str">
        <f>HYPERLINK("https://rth.dk/resources/bsgatlas/details.php?id=BSGatlas-3'UTR-486","BSGatlas-3'UTR-486")</f>
        <v>BSGatlas-3'UTR-486</v>
      </c>
      <c r="B487" s="3">
        <v>1228092</v>
      </c>
      <c r="C487" s="3">
        <v>1228147</v>
      </c>
      <c r="D487" s="1" t="s">
        <v>9</v>
      </c>
      <c r="E487" s="3">
        <v>56</v>
      </c>
      <c r="F487" s="1" t="s">
        <v>12440</v>
      </c>
      <c r="G487" s="1" t="s">
        <v>6385</v>
      </c>
    </row>
    <row r="488" spans="1:7" ht="21" x14ac:dyDescent="0.25">
      <c r="A488" s="2" t="str">
        <f>HYPERLINK("https://rth.dk/resources/bsgatlas/details.php?id=BSGatlas-3'UTR-487","BSGatlas-3'UTR-487")</f>
        <v>BSGatlas-3'UTR-487</v>
      </c>
      <c r="B488" s="3">
        <v>1228099</v>
      </c>
      <c r="C488" s="3">
        <v>1228135</v>
      </c>
      <c r="D488" s="1" t="s">
        <v>13</v>
      </c>
      <c r="E488" s="3">
        <v>37</v>
      </c>
      <c r="F488" s="1" t="s">
        <v>12441</v>
      </c>
      <c r="G488" s="1" t="s">
        <v>6391</v>
      </c>
    </row>
    <row r="489" spans="1:7" ht="21" x14ac:dyDescent="0.25">
      <c r="A489" s="2" t="str">
        <f>HYPERLINK("https://rth.dk/resources/bsgatlas/details.php?id=BSGatlas-3'UTR-488","BSGatlas-3'UTR-488")</f>
        <v>BSGatlas-3'UTR-488</v>
      </c>
      <c r="B489" s="3">
        <v>1229724</v>
      </c>
      <c r="C489" s="3">
        <v>1229765</v>
      </c>
      <c r="D489" s="1" t="s">
        <v>9</v>
      </c>
      <c r="E489" s="3">
        <v>42</v>
      </c>
      <c r="F489" s="1" t="s">
        <v>12443</v>
      </c>
      <c r="G489" s="1" t="s">
        <v>6394</v>
      </c>
    </row>
    <row r="490" spans="1:7" ht="21" x14ac:dyDescent="0.25">
      <c r="A490" s="2" t="str">
        <f>HYPERLINK("https://rth.dk/resources/bsgatlas/details.php?id=BSGatlas-3'UTR-489","BSGatlas-3'UTR-489")</f>
        <v>BSGatlas-3'UTR-489</v>
      </c>
      <c r="B490" s="3">
        <v>1231036</v>
      </c>
      <c r="C490" s="3">
        <v>1231128</v>
      </c>
      <c r="D490" s="1" t="s">
        <v>9</v>
      </c>
      <c r="E490" s="3">
        <v>93</v>
      </c>
      <c r="F490" s="1" t="s">
        <v>12444</v>
      </c>
      <c r="G490" s="1" t="s">
        <v>6396</v>
      </c>
    </row>
    <row r="491" spans="1:7" ht="21" x14ac:dyDescent="0.25">
      <c r="A491" s="2" t="str">
        <f>HYPERLINK("https://rth.dk/resources/bsgatlas/details.php?id=BSGatlas-3'UTR-490","BSGatlas-3'UTR-490")</f>
        <v>BSGatlas-3'UTR-490</v>
      </c>
      <c r="B491" s="3">
        <v>1235125</v>
      </c>
      <c r="C491" s="3">
        <v>1235163</v>
      </c>
      <c r="D491" s="1" t="s">
        <v>13</v>
      </c>
      <c r="E491" s="3">
        <v>39</v>
      </c>
      <c r="F491" s="1" t="s">
        <v>12449</v>
      </c>
      <c r="G491" s="1" t="s">
        <v>6412</v>
      </c>
    </row>
    <row r="492" spans="1:7" ht="21" x14ac:dyDescent="0.25">
      <c r="A492" s="2" t="str">
        <f>HYPERLINK("https://rth.dk/resources/bsgatlas/details.php?id=BSGatlas-3'UTR-491","BSGatlas-3'UTR-491")</f>
        <v>BSGatlas-3'UTR-491</v>
      </c>
      <c r="B492" s="3">
        <v>1242370</v>
      </c>
      <c r="C492" s="3">
        <v>1242434</v>
      </c>
      <c r="D492" s="1" t="s">
        <v>9</v>
      </c>
      <c r="E492" s="3">
        <v>65</v>
      </c>
      <c r="F492" s="1" t="s">
        <v>14248</v>
      </c>
      <c r="G492" s="1" t="s">
        <v>6424</v>
      </c>
    </row>
    <row r="493" spans="1:7" ht="21" x14ac:dyDescent="0.25">
      <c r="A493" s="2" t="str">
        <f>HYPERLINK("https://rth.dk/resources/bsgatlas/details.php?id=BSGatlas-3'UTR-492","BSGatlas-3'UTR-492")</f>
        <v>BSGatlas-3'UTR-492</v>
      </c>
      <c r="B493" s="3">
        <v>1247652</v>
      </c>
      <c r="C493" s="3">
        <v>1247690</v>
      </c>
      <c r="D493" s="1" t="s">
        <v>9</v>
      </c>
      <c r="E493" s="3">
        <v>39</v>
      </c>
      <c r="F493" s="1" t="s">
        <v>14249</v>
      </c>
      <c r="G493" s="1" t="s">
        <v>6423</v>
      </c>
    </row>
    <row r="494" spans="1:7" ht="21" x14ac:dyDescent="0.25">
      <c r="A494" s="2" t="str">
        <f>HYPERLINK("https://rth.dk/resources/bsgatlas/details.php?id=BSGatlas-3'UTR-493","BSGatlas-3'UTR-493")</f>
        <v>BSGatlas-3'UTR-493</v>
      </c>
      <c r="B494" s="3">
        <v>1248564</v>
      </c>
      <c r="C494" s="3">
        <v>1248616</v>
      </c>
      <c r="D494" s="1" t="s">
        <v>9</v>
      </c>
      <c r="E494" s="3">
        <v>53</v>
      </c>
      <c r="F494" s="1" t="s">
        <v>12455</v>
      </c>
      <c r="G494" s="1" t="s">
        <v>6426</v>
      </c>
    </row>
    <row r="495" spans="1:7" ht="21" x14ac:dyDescent="0.25">
      <c r="A495" s="2" t="str">
        <f>HYPERLINK("https://rth.dk/resources/bsgatlas/details.php?id=BSGatlas-3'UTR-494","BSGatlas-3'UTR-494")</f>
        <v>BSGatlas-3'UTR-494</v>
      </c>
      <c r="B495" s="3">
        <v>1249348</v>
      </c>
      <c r="C495" s="3">
        <v>1249404</v>
      </c>
      <c r="D495" s="1" t="s">
        <v>9</v>
      </c>
      <c r="E495" s="3">
        <v>57</v>
      </c>
      <c r="F495" s="1" t="s">
        <v>12456</v>
      </c>
      <c r="G495" s="1" t="s">
        <v>6428</v>
      </c>
    </row>
    <row r="496" spans="1:7" ht="21" x14ac:dyDescent="0.25">
      <c r="A496" s="2" t="str">
        <f>HYPERLINK("https://rth.dk/resources/bsgatlas/details.php?id=BSGatlas-3'UTR-495","BSGatlas-3'UTR-495")</f>
        <v>BSGatlas-3'UTR-495</v>
      </c>
      <c r="B496" s="3">
        <v>1249348</v>
      </c>
      <c r="C496" s="3">
        <v>1249442</v>
      </c>
      <c r="D496" s="1" t="s">
        <v>13</v>
      </c>
      <c r="E496" s="3">
        <v>95</v>
      </c>
      <c r="F496" s="1" t="s">
        <v>14250</v>
      </c>
      <c r="G496" s="1" t="s">
        <v>6433</v>
      </c>
    </row>
    <row r="497" spans="1:7" ht="21" x14ac:dyDescent="0.25">
      <c r="A497" s="2" t="str">
        <f>HYPERLINK("https://rth.dk/resources/bsgatlas/details.php?id=BSGatlas-3'UTR-496","BSGatlas-3'UTR-496")</f>
        <v>BSGatlas-3'UTR-496</v>
      </c>
      <c r="B497" s="3">
        <v>1249348</v>
      </c>
      <c r="C497" s="3">
        <v>1249453</v>
      </c>
      <c r="D497" s="1" t="s">
        <v>9</v>
      </c>
      <c r="E497" s="3">
        <v>106</v>
      </c>
      <c r="F497" s="1" t="s">
        <v>12456</v>
      </c>
      <c r="G497" s="1" t="s">
        <v>6429</v>
      </c>
    </row>
    <row r="498" spans="1:7" ht="21" x14ac:dyDescent="0.25">
      <c r="A498" s="2" t="str">
        <f>HYPERLINK("https://rth.dk/resources/bsgatlas/details.php?id=BSGatlas-3'UTR-497","BSGatlas-3'UTR-497")</f>
        <v>BSGatlas-3'UTR-497</v>
      </c>
      <c r="B498" s="3">
        <v>1249348</v>
      </c>
      <c r="C498" s="3">
        <v>1250707</v>
      </c>
      <c r="D498" s="1" t="s">
        <v>9</v>
      </c>
      <c r="E498" s="3">
        <v>1360</v>
      </c>
      <c r="F498" s="1" t="s">
        <v>12456</v>
      </c>
      <c r="G498" s="1" t="s">
        <v>6430</v>
      </c>
    </row>
    <row r="499" spans="1:7" ht="21" x14ac:dyDescent="0.25">
      <c r="A499" s="2" t="str">
        <f>HYPERLINK("https://rth.dk/resources/bsgatlas/details.php?id=BSGatlas-3'UTR-498","BSGatlas-3'UTR-498")</f>
        <v>BSGatlas-3'UTR-498</v>
      </c>
      <c r="B499" s="3">
        <v>1249921</v>
      </c>
      <c r="C499" s="3">
        <v>1250016</v>
      </c>
      <c r="D499" s="1" t="s">
        <v>13</v>
      </c>
      <c r="E499" s="3">
        <v>96</v>
      </c>
      <c r="F499" s="1" t="s">
        <v>12458</v>
      </c>
      <c r="G499" s="1" t="s">
        <v>6436</v>
      </c>
    </row>
    <row r="500" spans="1:7" ht="21" x14ac:dyDescent="0.25">
      <c r="A500" s="2" t="str">
        <f>HYPERLINK("https://rth.dk/resources/bsgatlas/details.php?id=BSGatlas-3'UTR-499","BSGatlas-3'UTR-499")</f>
        <v>BSGatlas-3'UTR-499</v>
      </c>
      <c r="B500" s="3">
        <v>1250611</v>
      </c>
      <c r="C500" s="3">
        <v>1250656</v>
      </c>
      <c r="D500" s="1" t="s">
        <v>13</v>
      </c>
      <c r="E500" s="3">
        <v>46</v>
      </c>
      <c r="F500" s="1" t="s">
        <v>12459</v>
      </c>
      <c r="G500" s="1" t="s">
        <v>6440</v>
      </c>
    </row>
    <row r="501" spans="1:7" ht="21" x14ac:dyDescent="0.25">
      <c r="A501" s="2" t="str">
        <f>HYPERLINK("https://rth.dk/resources/bsgatlas/details.php?id=BSGatlas-3'UTR-500","BSGatlas-3'UTR-500")</f>
        <v>BSGatlas-3'UTR-500</v>
      </c>
      <c r="B501" s="3">
        <v>1252752</v>
      </c>
      <c r="C501" s="3">
        <v>1252769</v>
      </c>
      <c r="D501" s="1" t="s">
        <v>9</v>
      </c>
      <c r="E501" s="3">
        <v>18</v>
      </c>
      <c r="F501" s="1" t="s">
        <v>14251</v>
      </c>
      <c r="G501" s="1" t="s">
        <v>6451</v>
      </c>
    </row>
    <row r="502" spans="1:7" ht="21" x14ac:dyDescent="0.25">
      <c r="A502" s="2" t="str">
        <f>HYPERLINK("https://rth.dk/resources/bsgatlas/details.php?id=BSGatlas-3'UTR-501","BSGatlas-3'UTR-501")</f>
        <v>BSGatlas-3'UTR-501</v>
      </c>
      <c r="B502" s="3">
        <v>1253252</v>
      </c>
      <c r="C502" s="3">
        <v>1253310</v>
      </c>
      <c r="D502" s="1" t="s">
        <v>9</v>
      </c>
      <c r="E502" s="3">
        <v>59</v>
      </c>
      <c r="F502" s="1" t="s">
        <v>12462</v>
      </c>
      <c r="G502" s="1" t="s">
        <v>6456</v>
      </c>
    </row>
    <row r="503" spans="1:7" ht="21" x14ac:dyDescent="0.25">
      <c r="A503" s="2" t="str">
        <f>HYPERLINK("https://rth.dk/resources/bsgatlas/details.php?id=BSGatlas-3'UTR-502","BSGatlas-3'UTR-502")</f>
        <v>BSGatlas-3'UTR-502</v>
      </c>
      <c r="B503" s="3">
        <v>1253621</v>
      </c>
      <c r="C503" s="3">
        <v>1253713</v>
      </c>
      <c r="D503" s="1" t="s">
        <v>13</v>
      </c>
      <c r="E503" s="3">
        <v>93</v>
      </c>
      <c r="F503" s="1" t="s">
        <v>12465</v>
      </c>
      <c r="G503" s="1" t="s">
        <v>6465</v>
      </c>
    </row>
    <row r="504" spans="1:7" ht="21" x14ac:dyDescent="0.25">
      <c r="A504" s="2" t="str">
        <f>HYPERLINK("https://rth.dk/resources/bsgatlas/details.php?id=BSGatlas-3'UTR-503","BSGatlas-3'UTR-503")</f>
        <v>BSGatlas-3'UTR-503</v>
      </c>
      <c r="B504" s="3">
        <v>1253639</v>
      </c>
      <c r="C504" s="3">
        <v>1253687</v>
      </c>
      <c r="D504" s="1" t="s">
        <v>9</v>
      </c>
      <c r="E504" s="3">
        <v>49</v>
      </c>
      <c r="F504" s="1" t="s">
        <v>12463</v>
      </c>
      <c r="G504" s="1" t="s">
        <v>6458</v>
      </c>
    </row>
    <row r="505" spans="1:7" ht="21" x14ac:dyDescent="0.25">
      <c r="A505" s="2" t="str">
        <f>HYPERLINK("https://rth.dk/resources/bsgatlas/details.php?id=BSGatlas-3'UTR-504","BSGatlas-3'UTR-504")</f>
        <v>BSGatlas-3'UTR-504</v>
      </c>
      <c r="B505" s="3">
        <v>1253639</v>
      </c>
      <c r="C505" s="3">
        <v>1254802</v>
      </c>
      <c r="D505" s="1" t="s">
        <v>9</v>
      </c>
      <c r="E505" s="3">
        <v>1164</v>
      </c>
      <c r="F505" s="1" t="s">
        <v>12463</v>
      </c>
      <c r="G505" s="1" t="s">
        <v>6459</v>
      </c>
    </row>
    <row r="506" spans="1:7" ht="21" x14ac:dyDescent="0.25">
      <c r="A506" s="2" t="str">
        <f>HYPERLINK("https://rth.dk/resources/bsgatlas/details.php?id=BSGatlas-3'UTR-505","BSGatlas-3'UTR-505")</f>
        <v>BSGatlas-3'UTR-505</v>
      </c>
      <c r="B506" s="3">
        <v>1256407</v>
      </c>
      <c r="C506" s="3">
        <v>1256436</v>
      </c>
      <c r="D506" s="1" t="s">
        <v>13</v>
      </c>
      <c r="E506" s="3">
        <v>30</v>
      </c>
      <c r="F506" s="1" t="s">
        <v>14252</v>
      </c>
      <c r="G506" s="1" t="s">
        <v>6472</v>
      </c>
    </row>
    <row r="507" spans="1:7" ht="21" x14ac:dyDescent="0.25">
      <c r="A507" s="2" t="str">
        <f>HYPERLINK("https://rth.dk/resources/bsgatlas/details.php?id=BSGatlas-3'UTR-506","BSGatlas-3'UTR-506")</f>
        <v>BSGatlas-3'UTR-506</v>
      </c>
      <c r="B507" s="3">
        <v>1258424</v>
      </c>
      <c r="C507" s="3">
        <v>1258451</v>
      </c>
      <c r="D507" s="1" t="s">
        <v>9</v>
      </c>
      <c r="E507" s="3">
        <v>28</v>
      </c>
      <c r="F507" s="1" t="s">
        <v>14253</v>
      </c>
      <c r="G507" s="1" t="s">
        <v>6477</v>
      </c>
    </row>
    <row r="508" spans="1:7" ht="21" x14ac:dyDescent="0.25">
      <c r="A508" s="2" t="str">
        <f>HYPERLINK("https://rth.dk/resources/bsgatlas/details.php?id=BSGatlas-3'UTR-507","BSGatlas-3'UTR-507")</f>
        <v>BSGatlas-3'UTR-507</v>
      </c>
      <c r="B508" s="3">
        <v>1260778</v>
      </c>
      <c r="C508" s="3">
        <v>1260820</v>
      </c>
      <c r="D508" s="1" t="s">
        <v>9</v>
      </c>
      <c r="E508" s="3">
        <v>43</v>
      </c>
      <c r="F508" s="1" t="s">
        <v>14254</v>
      </c>
      <c r="G508" s="1" t="s">
        <v>6475</v>
      </c>
    </row>
    <row r="509" spans="1:7" ht="21" x14ac:dyDescent="0.25">
      <c r="A509" s="2" t="str">
        <f>HYPERLINK("https://rth.dk/resources/bsgatlas/details.php?id=BSGatlas-3'UTR-508","BSGatlas-3'UTR-508")</f>
        <v>BSGatlas-3'UTR-508</v>
      </c>
      <c r="B509" s="3">
        <v>1260778</v>
      </c>
      <c r="C509" s="3">
        <v>1262368</v>
      </c>
      <c r="D509" s="1" t="s">
        <v>9</v>
      </c>
      <c r="E509" s="3">
        <v>1591</v>
      </c>
      <c r="F509" s="1" t="s">
        <v>14254</v>
      </c>
      <c r="G509" s="1" t="s">
        <v>6476</v>
      </c>
    </row>
    <row r="510" spans="1:7" ht="21" x14ac:dyDescent="0.25">
      <c r="A510" s="2" t="str">
        <f>HYPERLINK("https://rth.dk/resources/bsgatlas/details.php?id=BSGatlas-3'UTR-509","BSGatlas-3'UTR-509")</f>
        <v>BSGatlas-3'UTR-509</v>
      </c>
      <c r="B510" s="3">
        <v>1262861</v>
      </c>
      <c r="C510" s="3">
        <v>1264523</v>
      </c>
      <c r="D510" s="1" t="s">
        <v>9</v>
      </c>
      <c r="E510" s="3">
        <v>1663</v>
      </c>
      <c r="F510" s="1" t="s">
        <v>12468</v>
      </c>
      <c r="G510" s="1" t="s">
        <v>6480</v>
      </c>
    </row>
    <row r="511" spans="1:7" ht="21" x14ac:dyDescent="0.25">
      <c r="A511" s="2" t="str">
        <f>HYPERLINK("https://rth.dk/resources/bsgatlas/details.php?id=BSGatlas-3'UTR-510","BSGatlas-3'UTR-510")</f>
        <v>BSGatlas-3'UTR-510</v>
      </c>
      <c r="B511" s="3">
        <v>1262883</v>
      </c>
      <c r="C511" s="3">
        <v>1263702</v>
      </c>
      <c r="D511" s="1" t="s">
        <v>13</v>
      </c>
      <c r="E511" s="3">
        <v>820</v>
      </c>
      <c r="F511" s="1" t="s">
        <v>12470</v>
      </c>
      <c r="G511" s="1" t="s">
        <v>6487</v>
      </c>
    </row>
    <row r="512" spans="1:7" ht="21" x14ac:dyDescent="0.25">
      <c r="A512" s="2" t="str">
        <f>HYPERLINK("https://rth.dk/resources/bsgatlas/details.php?id=BSGatlas-3'UTR-511","BSGatlas-3'UTR-511")</f>
        <v>BSGatlas-3'UTR-511</v>
      </c>
      <c r="B512" s="3">
        <v>1263634</v>
      </c>
      <c r="C512" s="3">
        <v>1263702</v>
      </c>
      <c r="D512" s="1" t="s">
        <v>13</v>
      </c>
      <c r="E512" s="3">
        <v>69</v>
      </c>
      <c r="F512" s="1" t="s">
        <v>12470</v>
      </c>
      <c r="G512" s="1" t="s">
        <v>6488</v>
      </c>
    </row>
    <row r="513" spans="1:7" ht="21" x14ac:dyDescent="0.25">
      <c r="A513" s="2" t="str">
        <f>HYPERLINK("https://rth.dk/resources/bsgatlas/details.php?id=BSGatlas-3'UTR-512","BSGatlas-3'UTR-512")</f>
        <v>BSGatlas-3'UTR-512</v>
      </c>
      <c r="B513" s="3">
        <v>1265377</v>
      </c>
      <c r="C513" s="3">
        <v>1265409</v>
      </c>
      <c r="D513" s="1" t="s">
        <v>9</v>
      </c>
      <c r="E513" s="3">
        <v>33</v>
      </c>
      <c r="F513" s="1" t="s">
        <v>12471</v>
      </c>
      <c r="G513" s="1" t="s">
        <v>6491</v>
      </c>
    </row>
    <row r="514" spans="1:7" ht="21" x14ac:dyDescent="0.25">
      <c r="A514" s="2" t="str">
        <f>HYPERLINK("https://rth.dk/resources/bsgatlas/details.php?id=BSGatlas-3'UTR-513","BSGatlas-3'UTR-513")</f>
        <v>BSGatlas-3'UTR-513</v>
      </c>
      <c r="B514" s="3">
        <v>1265377</v>
      </c>
      <c r="C514" s="3">
        <v>1265482</v>
      </c>
      <c r="D514" s="1" t="s">
        <v>9</v>
      </c>
      <c r="E514" s="3">
        <v>106</v>
      </c>
      <c r="F514" s="1" t="s">
        <v>12471</v>
      </c>
      <c r="G514" s="1" t="s">
        <v>6492</v>
      </c>
    </row>
    <row r="515" spans="1:7" ht="21" x14ac:dyDescent="0.25">
      <c r="A515" s="2" t="str">
        <f>HYPERLINK("https://rth.dk/resources/bsgatlas/details.php?id=BSGatlas-3'UTR-514","BSGatlas-3'UTR-514")</f>
        <v>BSGatlas-3'UTR-514</v>
      </c>
      <c r="B515" s="3">
        <v>1267413</v>
      </c>
      <c r="C515" s="3">
        <v>1267449</v>
      </c>
      <c r="D515" s="1" t="s">
        <v>9</v>
      </c>
      <c r="E515" s="3">
        <v>37</v>
      </c>
      <c r="F515" s="1" t="s">
        <v>14255</v>
      </c>
      <c r="G515" s="1" t="s">
        <v>6496</v>
      </c>
    </row>
    <row r="516" spans="1:7" ht="21" x14ac:dyDescent="0.25">
      <c r="A516" s="2" t="str">
        <f>HYPERLINK("https://rth.dk/resources/bsgatlas/details.php?id=BSGatlas-3'UTR-515","BSGatlas-3'UTR-515")</f>
        <v>BSGatlas-3'UTR-515</v>
      </c>
      <c r="B516" s="3">
        <v>1269584</v>
      </c>
      <c r="C516" s="3">
        <v>1269651</v>
      </c>
      <c r="D516" s="1" t="s">
        <v>9</v>
      </c>
      <c r="E516" s="3">
        <v>68</v>
      </c>
      <c r="F516" s="1" t="s">
        <v>14256</v>
      </c>
      <c r="G516" s="1" t="s">
        <v>6500</v>
      </c>
    </row>
    <row r="517" spans="1:7" ht="21" x14ac:dyDescent="0.25">
      <c r="A517" s="2" t="str">
        <f>HYPERLINK("https://rth.dk/resources/bsgatlas/details.php?id=BSGatlas-3'UTR-516","BSGatlas-3'UTR-516")</f>
        <v>BSGatlas-3'UTR-516</v>
      </c>
      <c r="B517" s="3">
        <v>1269642</v>
      </c>
      <c r="C517" s="3">
        <v>1269733</v>
      </c>
      <c r="D517" s="1" t="s">
        <v>13</v>
      </c>
      <c r="E517" s="3">
        <v>92</v>
      </c>
      <c r="F517" s="1" t="s">
        <v>12473</v>
      </c>
      <c r="G517" s="1" t="s">
        <v>6502</v>
      </c>
    </row>
    <row r="518" spans="1:7" ht="21" x14ac:dyDescent="0.25">
      <c r="A518" s="2" t="str">
        <f>HYPERLINK("https://rth.dk/resources/bsgatlas/details.php?id=BSGatlas-3'UTR-517","BSGatlas-3'UTR-517")</f>
        <v>BSGatlas-3'UTR-517</v>
      </c>
      <c r="B518" s="3">
        <v>1276981</v>
      </c>
      <c r="C518" s="3">
        <v>1277062</v>
      </c>
      <c r="D518" s="1" t="s">
        <v>13</v>
      </c>
      <c r="E518" s="3">
        <v>82</v>
      </c>
      <c r="F518" s="1" t="s">
        <v>12478</v>
      </c>
      <c r="G518" s="1" t="s">
        <v>6513</v>
      </c>
    </row>
    <row r="519" spans="1:7" ht="21" x14ac:dyDescent="0.25">
      <c r="A519" s="2" t="str">
        <f>HYPERLINK("https://rth.dk/resources/bsgatlas/details.php?id=BSGatlas-3'UTR-518","BSGatlas-3'UTR-518")</f>
        <v>BSGatlas-3'UTR-518</v>
      </c>
      <c r="B519" s="3">
        <v>1278165</v>
      </c>
      <c r="C519" s="3">
        <v>1278186</v>
      </c>
      <c r="D519" s="1" t="s">
        <v>9</v>
      </c>
      <c r="E519" s="3">
        <v>22</v>
      </c>
      <c r="F519" s="1" t="s">
        <v>12479</v>
      </c>
      <c r="G519" s="1" t="s">
        <v>6515</v>
      </c>
    </row>
    <row r="520" spans="1:7" ht="21" x14ac:dyDescent="0.25">
      <c r="A520" s="2" t="str">
        <f>HYPERLINK("https://rth.dk/resources/bsgatlas/details.php?id=BSGatlas-3'UTR-519","BSGatlas-3'UTR-519")</f>
        <v>BSGatlas-3'UTR-519</v>
      </c>
      <c r="B520" s="3">
        <v>1280574</v>
      </c>
      <c r="C520" s="3">
        <v>1280626</v>
      </c>
      <c r="D520" s="1" t="s">
        <v>13</v>
      </c>
      <c r="E520" s="3">
        <v>53</v>
      </c>
      <c r="F520" s="1" t="s">
        <v>12484</v>
      </c>
      <c r="G520" s="1" t="s">
        <v>6522</v>
      </c>
    </row>
    <row r="521" spans="1:7" ht="21" x14ac:dyDescent="0.25">
      <c r="A521" s="2" t="str">
        <f>HYPERLINK("https://rth.dk/resources/bsgatlas/details.php?id=BSGatlas-3'UTR-520","BSGatlas-3'UTR-520")</f>
        <v>BSGatlas-3'UTR-520</v>
      </c>
      <c r="B521" s="3">
        <v>1280574</v>
      </c>
      <c r="C521" s="3">
        <v>1280626</v>
      </c>
      <c r="D521" s="1" t="s">
        <v>13</v>
      </c>
      <c r="E521" s="3">
        <v>53</v>
      </c>
      <c r="F521" s="1" t="s">
        <v>12482</v>
      </c>
      <c r="G521" s="1" t="s">
        <v>6522</v>
      </c>
    </row>
    <row r="522" spans="1:7" ht="21" x14ac:dyDescent="0.25">
      <c r="A522" s="2" t="str">
        <f>HYPERLINK("https://rth.dk/resources/bsgatlas/details.php?id=BSGatlas-3'UTR-521","BSGatlas-3'UTR-521")</f>
        <v>BSGatlas-3'UTR-521</v>
      </c>
      <c r="B522" s="3">
        <v>1282526</v>
      </c>
      <c r="C522" s="3">
        <v>1282571</v>
      </c>
      <c r="D522" s="1" t="s">
        <v>13</v>
      </c>
      <c r="E522" s="3">
        <v>46</v>
      </c>
      <c r="F522" s="1" t="s">
        <v>12485</v>
      </c>
      <c r="G522" s="1" t="s">
        <v>6529</v>
      </c>
    </row>
    <row r="523" spans="1:7" ht="21" x14ac:dyDescent="0.25">
      <c r="A523" s="2" t="str">
        <f>HYPERLINK("https://rth.dk/resources/bsgatlas/details.php?id=BSGatlas-3'UTR-522","BSGatlas-3'UTR-522")</f>
        <v>BSGatlas-3'UTR-522</v>
      </c>
      <c r="B523" s="3">
        <v>1283111</v>
      </c>
      <c r="C523" s="3">
        <v>1283169</v>
      </c>
      <c r="D523" s="1" t="s">
        <v>13</v>
      </c>
      <c r="E523" s="3">
        <v>59</v>
      </c>
      <c r="F523" s="1" t="s">
        <v>12486</v>
      </c>
      <c r="G523" s="1" t="s">
        <v>6531</v>
      </c>
    </row>
    <row r="524" spans="1:7" ht="21" x14ac:dyDescent="0.25">
      <c r="A524" s="2" t="str">
        <f>HYPERLINK("https://rth.dk/resources/bsgatlas/details.php?id=BSGatlas-3'UTR-523","BSGatlas-3'UTR-523")</f>
        <v>BSGatlas-3'UTR-523</v>
      </c>
      <c r="B524" s="3">
        <v>1284830</v>
      </c>
      <c r="C524" s="3">
        <v>1284870</v>
      </c>
      <c r="D524" s="1" t="s">
        <v>13</v>
      </c>
      <c r="E524" s="3">
        <v>41</v>
      </c>
      <c r="F524" s="1" t="s">
        <v>12488</v>
      </c>
      <c r="G524" s="1" t="s">
        <v>6536</v>
      </c>
    </row>
    <row r="525" spans="1:7" ht="21" x14ac:dyDescent="0.25">
      <c r="A525" s="2" t="str">
        <f>HYPERLINK("https://rth.dk/resources/bsgatlas/details.php?id=BSGatlas-3'UTR-524","BSGatlas-3'UTR-524")</f>
        <v>BSGatlas-3'UTR-524</v>
      </c>
      <c r="B525" s="3">
        <v>1289101</v>
      </c>
      <c r="C525" s="3">
        <v>1289116</v>
      </c>
      <c r="D525" s="1" t="s">
        <v>9</v>
      </c>
      <c r="E525" s="3">
        <v>16</v>
      </c>
      <c r="F525" s="1" t="s">
        <v>14257</v>
      </c>
      <c r="G525" s="1" t="s">
        <v>6539</v>
      </c>
    </row>
    <row r="526" spans="1:7" ht="21" x14ac:dyDescent="0.25">
      <c r="A526" s="2" t="str">
        <f>HYPERLINK("https://rth.dk/resources/bsgatlas/details.php?id=BSGatlas-3'UTR-525","BSGatlas-3'UTR-525")</f>
        <v>BSGatlas-3'UTR-525</v>
      </c>
      <c r="B526" s="3">
        <v>1289285</v>
      </c>
      <c r="C526" s="3">
        <v>1290675</v>
      </c>
      <c r="D526" s="1" t="s">
        <v>13</v>
      </c>
      <c r="E526" s="3">
        <v>1391</v>
      </c>
      <c r="F526" s="1" t="s">
        <v>12491</v>
      </c>
      <c r="G526" s="1" t="s">
        <v>6545</v>
      </c>
    </row>
    <row r="527" spans="1:7" ht="21" x14ac:dyDescent="0.25">
      <c r="A527" s="2" t="str">
        <f>HYPERLINK("https://rth.dk/resources/bsgatlas/details.php?id=BSGatlas-3'UTR-526","BSGatlas-3'UTR-526")</f>
        <v>BSGatlas-3'UTR-526</v>
      </c>
      <c r="B527" s="3">
        <v>1290627</v>
      </c>
      <c r="C527" s="3">
        <v>1290675</v>
      </c>
      <c r="D527" s="1" t="s">
        <v>13</v>
      </c>
      <c r="E527" s="3">
        <v>49</v>
      </c>
      <c r="F527" s="1" t="s">
        <v>12491</v>
      </c>
      <c r="G527" s="1" t="s">
        <v>6547</v>
      </c>
    </row>
    <row r="528" spans="1:7" ht="21" x14ac:dyDescent="0.25">
      <c r="A528" s="2" t="str">
        <f>HYPERLINK("https://rth.dk/resources/bsgatlas/details.php?id=BSGatlas-3'UTR-527","BSGatlas-3'UTR-527")</f>
        <v>BSGatlas-3'UTR-527</v>
      </c>
      <c r="B528" s="3">
        <v>1290644</v>
      </c>
      <c r="C528" s="3">
        <v>1290668</v>
      </c>
      <c r="D528" s="1" t="s">
        <v>9</v>
      </c>
      <c r="E528" s="3">
        <v>25</v>
      </c>
      <c r="F528" s="1" t="s">
        <v>14258</v>
      </c>
      <c r="G528" s="1" t="s">
        <v>6543</v>
      </c>
    </row>
    <row r="529" spans="1:7" ht="21" x14ac:dyDescent="0.25">
      <c r="A529" s="2" t="str">
        <f>HYPERLINK("https://rth.dk/resources/bsgatlas/details.php?id=BSGatlas-3'UTR-528","BSGatlas-3'UTR-528")</f>
        <v>BSGatlas-3'UTR-528</v>
      </c>
      <c r="B529" s="3">
        <v>1300252</v>
      </c>
      <c r="C529" s="3">
        <v>1300273</v>
      </c>
      <c r="D529" s="1" t="s">
        <v>9</v>
      </c>
      <c r="E529" s="3">
        <v>22</v>
      </c>
      <c r="F529" s="1" t="s">
        <v>14259</v>
      </c>
      <c r="G529" s="1" t="s">
        <v>6561</v>
      </c>
    </row>
    <row r="530" spans="1:7" ht="21" x14ac:dyDescent="0.25">
      <c r="A530" s="2" t="str">
        <f>HYPERLINK("https://rth.dk/resources/bsgatlas/details.php?id=BSGatlas-3'UTR-529","BSGatlas-3'UTR-529")</f>
        <v>BSGatlas-3'UTR-529</v>
      </c>
      <c r="B530" s="3">
        <v>1312812</v>
      </c>
      <c r="C530" s="3">
        <v>1312858</v>
      </c>
      <c r="D530" s="1" t="s">
        <v>9</v>
      </c>
      <c r="E530" s="3">
        <v>47</v>
      </c>
      <c r="F530" s="1" t="s">
        <v>14260</v>
      </c>
      <c r="G530" s="1" t="s">
        <v>6568</v>
      </c>
    </row>
    <row r="531" spans="1:7" ht="21" x14ac:dyDescent="0.25">
      <c r="A531" s="2" t="str">
        <f>HYPERLINK("https://rth.dk/resources/bsgatlas/details.php?id=BSGatlas-3'UTR-530","BSGatlas-3'UTR-530")</f>
        <v>BSGatlas-3'UTR-530</v>
      </c>
      <c r="B531" s="3">
        <v>1313815</v>
      </c>
      <c r="C531" s="3">
        <v>1313840</v>
      </c>
      <c r="D531" s="1" t="s">
        <v>13</v>
      </c>
      <c r="E531" s="3">
        <v>26</v>
      </c>
      <c r="F531" s="1" t="s">
        <v>12502</v>
      </c>
      <c r="G531" s="1" t="s">
        <v>6580</v>
      </c>
    </row>
    <row r="532" spans="1:7" ht="21" x14ac:dyDescent="0.25">
      <c r="A532" s="2" t="str">
        <f>HYPERLINK("https://rth.dk/resources/bsgatlas/details.php?id=BSGatlas-3'UTR-531","BSGatlas-3'UTR-531")</f>
        <v>BSGatlas-3'UTR-531</v>
      </c>
      <c r="B532" s="3">
        <v>1315724</v>
      </c>
      <c r="C532" s="3">
        <v>1315770</v>
      </c>
      <c r="D532" s="1" t="s">
        <v>9</v>
      </c>
      <c r="E532" s="3">
        <v>47</v>
      </c>
      <c r="F532" s="1" t="s">
        <v>12503</v>
      </c>
      <c r="G532" s="1" t="s">
        <v>6584</v>
      </c>
    </row>
    <row r="533" spans="1:7" ht="21" x14ac:dyDescent="0.25">
      <c r="A533" s="2" t="str">
        <f>HYPERLINK("https://rth.dk/resources/bsgatlas/details.php?id=BSGatlas-3'UTR-532","BSGatlas-3'UTR-532")</f>
        <v>BSGatlas-3'UTR-532</v>
      </c>
      <c r="B533" s="3">
        <v>1317129</v>
      </c>
      <c r="C533" s="3">
        <v>1317158</v>
      </c>
      <c r="D533" s="1" t="s">
        <v>9</v>
      </c>
      <c r="E533" s="3">
        <v>30</v>
      </c>
      <c r="F533" s="1" t="s">
        <v>14261</v>
      </c>
      <c r="G533" s="1" t="s">
        <v>6587</v>
      </c>
    </row>
    <row r="534" spans="1:7" ht="21" x14ac:dyDescent="0.25">
      <c r="A534" s="2" t="str">
        <f>HYPERLINK("https://rth.dk/resources/bsgatlas/details.php?id=BSGatlas-3'UTR-533","BSGatlas-3'UTR-533")</f>
        <v>BSGatlas-3'UTR-533</v>
      </c>
      <c r="B534" s="3">
        <v>1318475</v>
      </c>
      <c r="C534" s="3">
        <v>1318528</v>
      </c>
      <c r="D534" s="1" t="s">
        <v>13</v>
      </c>
      <c r="E534" s="3">
        <v>54</v>
      </c>
      <c r="F534" s="1" t="s">
        <v>12508</v>
      </c>
      <c r="G534" s="1" t="s">
        <v>6596</v>
      </c>
    </row>
    <row r="535" spans="1:7" ht="21" x14ac:dyDescent="0.25">
      <c r="A535" s="2" t="str">
        <f>HYPERLINK("https://rth.dk/resources/bsgatlas/details.php?id=BSGatlas-3'UTR-534","BSGatlas-3'UTR-534")</f>
        <v>BSGatlas-3'UTR-534</v>
      </c>
      <c r="B535" s="3">
        <v>1318488</v>
      </c>
      <c r="C535" s="3">
        <v>1318514</v>
      </c>
      <c r="D535" s="1" t="s">
        <v>9</v>
      </c>
      <c r="E535" s="3">
        <v>27</v>
      </c>
      <c r="F535" s="1" t="s">
        <v>12506</v>
      </c>
      <c r="G535" s="1" t="s">
        <v>6591</v>
      </c>
    </row>
    <row r="536" spans="1:7" ht="21" x14ac:dyDescent="0.25">
      <c r="A536" s="2" t="str">
        <f>HYPERLINK("https://rth.dk/resources/bsgatlas/details.php?id=BSGatlas-3'UTR-535","BSGatlas-3'UTR-535")</f>
        <v>BSGatlas-3'UTR-535</v>
      </c>
      <c r="B536" s="3">
        <v>1319607</v>
      </c>
      <c r="C536" s="3">
        <v>1320570</v>
      </c>
      <c r="D536" s="1" t="s">
        <v>13</v>
      </c>
      <c r="E536" s="3">
        <v>964</v>
      </c>
      <c r="F536" s="1" t="s">
        <v>14262</v>
      </c>
      <c r="G536" s="1" t="s">
        <v>6598</v>
      </c>
    </row>
    <row r="537" spans="1:7" ht="21" x14ac:dyDescent="0.25">
      <c r="A537" s="2" t="str">
        <f>HYPERLINK("https://rth.dk/resources/bsgatlas/details.php?id=BSGatlas-3'UTR-536","BSGatlas-3'UTR-536")</f>
        <v>BSGatlas-3'UTR-536</v>
      </c>
      <c r="B537" s="3">
        <v>1321226</v>
      </c>
      <c r="C537" s="3">
        <v>1321329</v>
      </c>
      <c r="D537" s="1" t="s">
        <v>13</v>
      </c>
      <c r="E537" s="3">
        <v>104</v>
      </c>
      <c r="F537" s="1" t="s">
        <v>12510</v>
      </c>
      <c r="G537" s="1" t="s">
        <v>6601</v>
      </c>
    </row>
    <row r="538" spans="1:7" ht="21" x14ac:dyDescent="0.25">
      <c r="A538" s="2" t="str">
        <f>HYPERLINK("https://rth.dk/resources/bsgatlas/details.php?id=BSGatlas-3'UTR-537","BSGatlas-3'UTR-537")</f>
        <v>BSGatlas-3'UTR-537</v>
      </c>
      <c r="B538" s="3">
        <v>1324355</v>
      </c>
      <c r="C538" s="3">
        <v>1324451</v>
      </c>
      <c r="D538" s="1" t="s">
        <v>9</v>
      </c>
      <c r="E538" s="3">
        <v>97</v>
      </c>
      <c r="F538" s="1" t="s">
        <v>14263</v>
      </c>
      <c r="G538" s="1" t="s">
        <v>6604</v>
      </c>
    </row>
    <row r="539" spans="1:7" ht="21" x14ac:dyDescent="0.25">
      <c r="A539" s="2" t="str">
        <f>HYPERLINK("https://rth.dk/resources/bsgatlas/details.php?id=BSGatlas-3'UTR-538","BSGatlas-3'UTR-538")</f>
        <v>BSGatlas-3'UTR-538</v>
      </c>
      <c r="B539" s="3">
        <v>1334247</v>
      </c>
      <c r="C539" s="3">
        <v>1334308</v>
      </c>
      <c r="D539" s="1" t="s">
        <v>9</v>
      </c>
      <c r="E539" s="3">
        <v>62</v>
      </c>
      <c r="F539" s="1" t="s">
        <v>14264</v>
      </c>
      <c r="G539" s="1" t="s">
        <v>6608</v>
      </c>
    </row>
    <row r="540" spans="1:7" ht="21" x14ac:dyDescent="0.25">
      <c r="A540" s="2" t="str">
        <f>HYPERLINK("https://rth.dk/resources/bsgatlas/details.php?id=BSGatlas-3'UTR-539","BSGatlas-3'UTR-539")</f>
        <v>BSGatlas-3'UTR-539</v>
      </c>
      <c r="B540" s="3">
        <v>1334964</v>
      </c>
      <c r="C540" s="3">
        <v>1336418</v>
      </c>
      <c r="D540" s="1" t="s">
        <v>9</v>
      </c>
      <c r="E540" s="3">
        <v>1455</v>
      </c>
      <c r="F540" s="1" t="s">
        <v>14265</v>
      </c>
      <c r="G540" s="1" t="s">
        <v>6610</v>
      </c>
    </row>
    <row r="541" spans="1:7" ht="21" x14ac:dyDescent="0.25">
      <c r="A541" s="2" t="str">
        <f>HYPERLINK("https://rth.dk/resources/bsgatlas/details.php?id=BSGatlas-3'UTR-540","BSGatlas-3'UTR-540")</f>
        <v>BSGatlas-3'UTR-540</v>
      </c>
      <c r="B541" s="3">
        <v>1348182</v>
      </c>
      <c r="C541" s="3">
        <v>1348213</v>
      </c>
      <c r="D541" s="1" t="s">
        <v>9</v>
      </c>
      <c r="E541" s="3">
        <v>32</v>
      </c>
      <c r="F541" s="1" t="s">
        <v>14266</v>
      </c>
      <c r="G541" s="1" t="s">
        <v>6612</v>
      </c>
    </row>
    <row r="542" spans="1:7" ht="21" x14ac:dyDescent="0.25">
      <c r="A542" s="2" t="str">
        <f>HYPERLINK("https://rth.dk/resources/bsgatlas/details.php?id=BSGatlas-3'UTR-541","BSGatlas-3'UTR-541")</f>
        <v>BSGatlas-3'UTR-541</v>
      </c>
      <c r="B542" s="3">
        <v>1348426</v>
      </c>
      <c r="C542" s="3">
        <v>1348442</v>
      </c>
      <c r="D542" s="1" t="s">
        <v>13</v>
      </c>
      <c r="E542" s="3">
        <v>17</v>
      </c>
      <c r="F542" s="1" t="s">
        <v>14267</v>
      </c>
      <c r="G542" s="1" t="s">
        <v>6622</v>
      </c>
    </row>
    <row r="543" spans="1:7" ht="21" x14ac:dyDescent="0.25">
      <c r="A543" s="2" t="str">
        <f>HYPERLINK("https://rth.dk/resources/bsgatlas/details.php?id=BSGatlas-3'UTR-542","BSGatlas-3'UTR-542")</f>
        <v>BSGatlas-3'UTR-542</v>
      </c>
      <c r="B543" s="3">
        <v>1349439</v>
      </c>
      <c r="C543" s="3">
        <v>1349468</v>
      </c>
      <c r="D543" s="1" t="s">
        <v>13</v>
      </c>
      <c r="E543" s="3">
        <v>30</v>
      </c>
      <c r="F543" s="1" t="s">
        <v>14268</v>
      </c>
      <c r="G543" s="1" t="s">
        <v>6626</v>
      </c>
    </row>
    <row r="544" spans="1:7" ht="21" x14ac:dyDescent="0.25">
      <c r="A544" s="2" t="str">
        <f>HYPERLINK("https://rth.dk/resources/bsgatlas/details.php?id=BSGatlas-3'UTR-543","BSGatlas-3'UTR-543")</f>
        <v>BSGatlas-3'UTR-543</v>
      </c>
      <c r="B544" s="3">
        <v>1354030</v>
      </c>
      <c r="C544" s="3">
        <v>1354067</v>
      </c>
      <c r="D544" s="1" t="s">
        <v>9</v>
      </c>
      <c r="E544" s="3">
        <v>38</v>
      </c>
      <c r="F544" s="1" t="s">
        <v>12518</v>
      </c>
      <c r="G544" s="1" t="s">
        <v>6634</v>
      </c>
    </row>
    <row r="545" spans="1:7" ht="21" x14ac:dyDescent="0.25">
      <c r="A545" s="2" t="str">
        <f>HYPERLINK("https://rth.dk/resources/bsgatlas/details.php?id=BSGatlas-3'UTR-544","BSGatlas-3'UTR-544")</f>
        <v>BSGatlas-3'UTR-544</v>
      </c>
      <c r="B545" s="3">
        <v>1354277</v>
      </c>
      <c r="C545" s="3">
        <v>1355344</v>
      </c>
      <c r="D545" s="1" t="s">
        <v>9</v>
      </c>
      <c r="E545" s="3">
        <v>1068</v>
      </c>
      <c r="F545" s="1" t="s">
        <v>14269</v>
      </c>
      <c r="G545" s="1" t="s">
        <v>6635</v>
      </c>
    </row>
    <row r="546" spans="1:7" ht="21" x14ac:dyDescent="0.25">
      <c r="A546" s="2" t="str">
        <f>HYPERLINK("https://rth.dk/resources/bsgatlas/details.php?id=BSGatlas-3'UTR-545","BSGatlas-3'UTR-545")</f>
        <v>BSGatlas-3'UTR-545</v>
      </c>
      <c r="B546" s="3">
        <v>1356742</v>
      </c>
      <c r="C546" s="3">
        <v>1357481</v>
      </c>
      <c r="D546" s="1" t="s">
        <v>13</v>
      </c>
      <c r="E546" s="3">
        <v>740</v>
      </c>
      <c r="F546" s="1" t="s">
        <v>12519</v>
      </c>
      <c r="G546" s="1" t="s">
        <v>6639</v>
      </c>
    </row>
    <row r="547" spans="1:7" ht="21" x14ac:dyDescent="0.25">
      <c r="A547" s="2" t="str">
        <f>HYPERLINK("https://rth.dk/resources/bsgatlas/details.php?id=BSGatlas-3'UTR-546","BSGatlas-3'UTR-546")</f>
        <v>BSGatlas-3'UTR-546</v>
      </c>
      <c r="B547" s="3">
        <v>1357439</v>
      </c>
      <c r="C547" s="3">
        <v>1357481</v>
      </c>
      <c r="D547" s="1" t="s">
        <v>13</v>
      </c>
      <c r="E547" s="3">
        <v>43</v>
      </c>
      <c r="F547" s="1" t="s">
        <v>12519</v>
      </c>
      <c r="G547" s="1" t="s">
        <v>6640</v>
      </c>
    </row>
    <row r="548" spans="1:7" ht="21" x14ac:dyDescent="0.25">
      <c r="A548" s="2" t="str">
        <f>HYPERLINK("https://rth.dk/resources/bsgatlas/details.php?id=BSGatlas-3'UTR-547","BSGatlas-3'UTR-547")</f>
        <v>BSGatlas-3'UTR-547</v>
      </c>
      <c r="B548" s="3">
        <v>1357885</v>
      </c>
      <c r="C548" s="3">
        <v>1357936</v>
      </c>
      <c r="D548" s="1" t="s">
        <v>13</v>
      </c>
      <c r="E548" s="3">
        <v>52</v>
      </c>
      <c r="F548" s="1" t="s">
        <v>12520</v>
      </c>
      <c r="G548" s="1" t="s">
        <v>6643</v>
      </c>
    </row>
    <row r="549" spans="1:7" ht="21" x14ac:dyDescent="0.25">
      <c r="A549" s="2" t="str">
        <f>HYPERLINK("https://rth.dk/resources/bsgatlas/details.php?id=BSGatlas-3'UTR-548","BSGatlas-3'UTR-548")</f>
        <v>BSGatlas-3'UTR-548</v>
      </c>
      <c r="B549" s="3">
        <v>1360272</v>
      </c>
      <c r="C549" s="3">
        <v>1360305</v>
      </c>
      <c r="D549" s="1" t="s">
        <v>9</v>
      </c>
      <c r="E549" s="3">
        <v>34</v>
      </c>
      <c r="F549" s="1" t="s">
        <v>12521</v>
      </c>
      <c r="G549" s="1" t="s">
        <v>6646</v>
      </c>
    </row>
    <row r="550" spans="1:7" ht="21" x14ac:dyDescent="0.25">
      <c r="A550" s="2" t="str">
        <f>HYPERLINK("https://rth.dk/resources/bsgatlas/details.php?id=BSGatlas-3'UTR-549","BSGatlas-3'UTR-549")</f>
        <v>BSGatlas-3'UTR-549</v>
      </c>
      <c r="B550" s="3">
        <v>1365800</v>
      </c>
      <c r="C550" s="3">
        <v>1365816</v>
      </c>
      <c r="D550" s="1" t="s">
        <v>9</v>
      </c>
      <c r="E550" s="3">
        <v>17</v>
      </c>
      <c r="F550" s="1" t="s">
        <v>14270</v>
      </c>
      <c r="G550" s="1" t="s">
        <v>6650</v>
      </c>
    </row>
    <row r="551" spans="1:7" ht="21" x14ac:dyDescent="0.25">
      <c r="A551" s="2" t="str">
        <f>HYPERLINK("https://rth.dk/resources/bsgatlas/details.php?id=BSGatlas-3'UTR-550","BSGatlas-3'UTR-550")</f>
        <v>BSGatlas-3'UTR-550</v>
      </c>
      <c r="B551" s="3">
        <v>1365800</v>
      </c>
      <c r="C551" s="3">
        <v>1365847</v>
      </c>
      <c r="D551" s="1" t="s">
        <v>9</v>
      </c>
      <c r="E551" s="3">
        <v>48</v>
      </c>
      <c r="F551" s="1" t="s">
        <v>14270</v>
      </c>
      <c r="G551" s="1" t="s">
        <v>6651</v>
      </c>
    </row>
    <row r="552" spans="1:7" ht="21" x14ac:dyDescent="0.25">
      <c r="A552" s="2" t="str">
        <f>HYPERLINK("https://rth.dk/resources/bsgatlas/details.php?id=BSGatlas-3'UTR-551","BSGatlas-3'UTR-551")</f>
        <v>BSGatlas-3'UTR-551</v>
      </c>
      <c r="B552" s="3">
        <v>1369094</v>
      </c>
      <c r="C552" s="3">
        <v>1369876</v>
      </c>
      <c r="D552" s="1" t="s">
        <v>13</v>
      </c>
      <c r="E552" s="3">
        <v>783</v>
      </c>
      <c r="F552" s="1" t="s">
        <v>12524</v>
      </c>
      <c r="G552" s="1" t="s">
        <v>6660</v>
      </c>
    </row>
    <row r="553" spans="1:7" ht="21" x14ac:dyDescent="0.25">
      <c r="A553" s="2" t="str">
        <f>HYPERLINK("https://rth.dk/resources/bsgatlas/details.php?id=BSGatlas-3'UTR-552","BSGatlas-3'UTR-552")</f>
        <v>BSGatlas-3'UTR-552</v>
      </c>
      <c r="B553" s="3">
        <v>1369826</v>
      </c>
      <c r="C553" s="3">
        <v>1369876</v>
      </c>
      <c r="D553" s="1" t="s">
        <v>13</v>
      </c>
      <c r="E553" s="3">
        <v>51</v>
      </c>
      <c r="F553" s="1" t="s">
        <v>12524</v>
      </c>
      <c r="G553" s="1" t="s">
        <v>6663</v>
      </c>
    </row>
    <row r="554" spans="1:7" ht="21" x14ac:dyDescent="0.25">
      <c r="A554" s="2" t="str">
        <f>HYPERLINK("https://rth.dk/resources/bsgatlas/details.php?id=BSGatlas-3'UTR-553","BSGatlas-3'UTR-553")</f>
        <v>BSGatlas-3'UTR-553</v>
      </c>
      <c r="B554" s="3">
        <v>1369833</v>
      </c>
      <c r="C554" s="3">
        <v>1371069</v>
      </c>
      <c r="D554" s="1" t="s">
        <v>9</v>
      </c>
      <c r="E554" s="3">
        <v>1237</v>
      </c>
      <c r="F554" s="1" t="s">
        <v>14271</v>
      </c>
      <c r="G554" s="1" t="s">
        <v>6654</v>
      </c>
    </row>
    <row r="555" spans="1:7" ht="21" x14ac:dyDescent="0.25">
      <c r="A555" s="2" t="str">
        <f>HYPERLINK("https://rth.dk/resources/bsgatlas/details.php?id=BSGatlas-3'UTR-554","BSGatlas-3'UTR-554")</f>
        <v>BSGatlas-3'UTR-554</v>
      </c>
      <c r="B555" s="3">
        <v>1373991</v>
      </c>
      <c r="C555" s="3">
        <v>1374042</v>
      </c>
      <c r="D555" s="1" t="s">
        <v>9</v>
      </c>
      <c r="E555" s="3">
        <v>52</v>
      </c>
      <c r="F555" s="1" t="s">
        <v>12527</v>
      </c>
      <c r="G555" s="1" t="s">
        <v>6668</v>
      </c>
    </row>
    <row r="556" spans="1:7" ht="21" x14ac:dyDescent="0.25">
      <c r="A556" s="2" t="str">
        <f>HYPERLINK("https://rth.dk/resources/bsgatlas/details.php?id=BSGatlas-3'UTR-555","BSGatlas-3'UTR-555")</f>
        <v>BSGatlas-3'UTR-555</v>
      </c>
      <c r="B556" s="3">
        <v>1378443</v>
      </c>
      <c r="C556" s="3">
        <v>1378463</v>
      </c>
      <c r="D556" s="1" t="s">
        <v>9</v>
      </c>
      <c r="E556" s="3">
        <v>21</v>
      </c>
      <c r="F556" s="1" t="s">
        <v>14272</v>
      </c>
      <c r="G556" s="1" t="s">
        <v>6684</v>
      </c>
    </row>
    <row r="557" spans="1:7" ht="21" x14ac:dyDescent="0.25">
      <c r="A557" s="2" t="str">
        <f>HYPERLINK("https://rth.dk/resources/bsgatlas/details.php?id=BSGatlas-3'UTR-556","BSGatlas-3'UTR-556")</f>
        <v>BSGatlas-3'UTR-556</v>
      </c>
      <c r="B557" s="3">
        <v>1381396</v>
      </c>
      <c r="C557" s="3">
        <v>1381434</v>
      </c>
      <c r="D557" s="1" t="s">
        <v>13</v>
      </c>
      <c r="E557" s="3">
        <v>39</v>
      </c>
      <c r="F557" s="1" t="s">
        <v>12534</v>
      </c>
      <c r="G557" s="1" t="s">
        <v>6689</v>
      </c>
    </row>
    <row r="558" spans="1:7" ht="21" x14ac:dyDescent="0.25">
      <c r="A558" s="2" t="str">
        <f>HYPERLINK("https://rth.dk/resources/bsgatlas/details.php?id=BSGatlas-3'UTR-557","BSGatlas-3'UTR-557")</f>
        <v>BSGatlas-3'UTR-557</v>
      </c>
      <c r="B558" s="3">
        <v>1381403</v>
      </c>
      <c r="C558" s="3">
        <v>1381452</v>
      </c>
      <c r="D558" s="1" t="s">
        <v>9</v>
      </c>
      <c r="E558" s="3">
        <v>50</v>
      </c>
      <c r="F558" s="1" t="s">
        <v>12533</v>
      </c>
      <c r="G558" s="1" t="s">
        <v>6687</v>
      </c>
    </row>
    <row r="559" spans="1:7" ht="21" x14ac:dyDescent="0.25">
      <c r="A559" s="2" t="str">
        <f>HYPERLINK("https://rth.dk/resources/bsgatlas/details.php?id=BSGatlas-3'UTR-558","BSGatlas-3'UTR-558")</f>
        <v>BSGatlas-3'UTR-558</v>
      </c>
      <c r="B559" s="3">
        <v>1382430</v>
      </c>
      <c r="C559" s="3">
        <v>1382474</v>
      </c>
      <c r="D559" s="1" t="s">
        <v>9</v>
      </c>
      <c r="E559" s="3">
        <v>45</v>
      </c>
      <c r="F559" s="1" t="s">
        <v>12535</v>
      </c>
      <c r="G559" s="1" t="s">
        <v>6693</v>
      </c>
    </row>
    <row r="560" spans="1:7" ht="21" x14ac:dyDescent="0.25">
      <c r="A560" s="2" t="str">
        <f>HYPERLINK("https://rth.dk/resources/bsgatlas/details.php?id=BSGatlas-3'UTR-559","BSGatlas-3'UTR-559")</f>
        <v>BSGatlas-3'UTR-559</v>
      </c>
      <c r="B560" s="3">
        <v>1382627</v>
      </c>
      <c r="C560" s="3">
        <v>1383285</v>
      </c>
      <c r="D560" s="1" t="s">
        <v>9</v>
      </c>
      <c r="E560" s="3">
        <v>659</v>
      </c>
      <c r="F560" s="1" t="s">
        <v>14273</v>
      </c>
      <c r="G560" s="1" t="s">
        <v>6695</v>
      </c>
    </row>
    <row r="561" spans="1:7" ht="21" x14ac:dyDescent="0.25">
      <c r="A561" s="2" t="str">
        <f>HYPERLINK("https://rth.dk/resources/bsgatlas/details.php?id=BSGatlas-3'UTR-560","BSGatlas-3'UTR-560")</f>
        <v>BSGatlas-3'UTR-560</v>
      </c>
      <c r="B561" s="3">
        <v>1382635</v>
      </c>
      <c r="C561" s="3">
        <v>1382677</v>
      </c>
      <c r="D561" s="1" t="s">
        <v>13</v>
      </c>
      <c r="E561" s="3">
        <v>43</v>
      </c>
      <c r="F561" s="1" t="s">
        <v>12536</v>
      </c>
      <c r="G561" s="1" t="s">
        <v>6697</v>
      </c>
    </row>
    <row r="562" spans="1:7" ht="21" x14ac:dyDescent="0.25">
      <c r="A562" s="2" t="str">
        <f>HYPERLINK("https://rth.dk/resources/bsgatlas/details.php?id=BSGatlas-3'UTR-561","BSGatlas-3'UTR-561")</f>
        <v>BSGatlas-3'UTR-561</v>
      </c>
      <c r="B562" s="3">
        <v>1385673</v>
      </c>
      <c r="C562" s="3">
        <v>1385735</v>
      </c>
      <c r="D562" s="1" t="s">
        <v>13</v>
      </c>
      <c r="E562" s="3">
        <v>63</v>
      </c>
      <c r="F562" s="1" t="s">
        <v>14274</v>
      </c>
      <c r="G562" s="1" t="s">
        <v>6701</v>
      </c>
    </row>
    <row r="563" spans="1:7" ht="21" x14ac:dyDescent="0.25">
      <c r="A563" s="2" t="str">
        <f>HYPERLINK("https://rth.dk/resources/bsgatlas/details.php?id=BSGatlas-3'UTR-562","BSGatlas-3'UTR-562")</f>
        <v>BSGatlas-3'UTR-562</v>
      </c>
      <c r="B563" s="3">
        <v>1391698</v>
      </c>
      <c r="C563" s="3">
        <v>1391738</v>
      </c>
      <c r="D563" s="1" t="s">
        <v>13</v>
      </c>
      <c r="E563" s="3">
        <v>41</v>
      </c>
      <c r="F563" s="1" t="s">
        <v>14275</v>
      </c>
      <c r="G563" s="1" t="s">
        <v>6708</v>
      </c>
    </row>
    <row r="564" spans="1:7" ht="21" x14ac:dyDescent="0.25">
      <c r="A564" s="2" t="str">
        <f>HYPERLINK("https://rth.dk/resources/bsgatlas/details.php?id=BSGatlas-3'UTR-563","BSGatlas-3'UTR-563")</f>
        <v>BSGatlas-3'UTR-563</v>
      </c>
      <c r="B564" s="3">
        <v>1395781</v>
      </c>
      <c r="C564" s="3">
        <v>1395824</v>
      </c>
      <c r="D564" s="1" t="s">
        <v>9</v>
      </c>
      <c r="E564" s="3">
        <v>44</v>
      </c>
      <c r="F564" s="1" t="s">
        <v>14276</v>
      </c>
      <c r="G564" s="1" t="s">
        <v>6717</v>
      </c>
    </row>
    <row r="565" spans="1:7" ht="21" x14ac:dyDescent="0.25">
      <c r="A565" s="2" t="str">
        <f>HYPERLINK("https://rth.dk/resources/bsgatlas/details.php?id=BSGatlas-3'UTR-564","BSGatlas-3'UTR-564")</f>
        <v>BSGatlas-3'UTR-564</v>
      </c>
      <c r="B565" s="3">
        <v>1397363</v>
      </c>
      <c r="C565" s="3">
        <v>1397411</v>
      </c>
      <c r="D565" s="1" t="s">
        <v>13</v>
      </c>
      <c r="E565" s="3">
        <v>49</v>
      </c>
      <c r="F565" s="1" t="s">
        <v>12545</v>
      </c>
      <c r="G565" s="1" t="s">
        <v>6720</v>
      </c>
    </row>
    <row r="566" spans="1:7" ht="21" x14ac:dyDescent="0.25">
      <c r="A566" s="2" t="str">
        <f>HYPERLINK("https://rth.dk/resources/bsgatlas/details.php?id=BSGatlas-3'UTR-565","BSGatlas-3'UTR-565")</f>
        <v>BSGatlas-3'UTR-565</v>
      </c>
      <c r="B566" s="3">
        <v>1398363</v>
      </c>
      <c r="C566" s="3">
        <v>1398388</v>
      </c>
      <c r="D566" s="1" t="s">
        <v>9</v>
      </c>
      <c r="E566" s="3">
        <v>26</v>
      </c>
      <c r="F566" s="1" t="s">
        <v>12547</v>
      </c>
      <c r="G566" s="1" t="s">
        <v>6724</v>
      </c>
    </row>
    <row r="567" spans="1:7" ht="21" x14ac:dyDescent="0.25">
      <c r="A567" s="2" t="str">
        <f>HYPERLINK("https://rth.dk/resources/bsgatlas/details.php?id=BSGatlas-3'UTR-566","BSGatlas-3'UTR-566")</f>
        <v>BSGatlas-3'UTR-566</v>
      </c>
      <c r="B567" s="3">
        <v>1413748</v>
      </c>
      <c r="C567" s="3">
        <v>1413800</v>
      </c>
      <c r="D567" s="1" t="s">
        <v>13</v>
      </c>
      <c r="E567" s="3">
        <v>53</v>
      </c>
      <c r="F567" s="1" t="s">
        <v>12556</v>
      </c>
      <c r="G567" s="1" t="s">
        <v>6752</v>
      </c>
    </row>
    <row r="568" spans="1:7" ht="21" x14ac:dyDescent="0.25">
      <c r="A568" s="2" t="str">
        <f>HYPERLINK("https://rth.dk/resources/bsgatlas/details.php?id=BSGatlas-3'UTR-567","BSGatlas-3'UTR-567")</f>
        <v>BSGatlas-3'UTR-567</v>
      </c>
      <c r="B568" s="3">
        <v>1413789</v>
      </c>
      <c r="C568" s="3">
        <v>1414159</v>
      </c>
      <c r="D568" s="1" t="s">
        <v>9</v>
      </c>
      <c r="E568" s="3">
        <v>371</v>
      </c>
      <c r="F568" s="1" t="s">
        <v>14277</v>
      </c>
      <c r="G568" s="1" t="s">
        <v>6749</v>
      </c>
    </row>
    <row r="569" spans="1:7" ht="21" x14ac:dyDescent="0.25">
      <c r="A569" s="2" t="str">
        <f>HYPERLINK("https://rth.dk/resources/bsgatlas/details.php?id=BSGatlas-3'UTR-568","BSGatlas-3'UTR-568")</f>
        <v>BSGatlas-3'UTR-568</v>
      </c>
      <c r="B569" s="3">
        <v>1415893</v>
      </c>
      <c r="C569" s="3">
        <v>1415909</v>
      </c>
      <c r="D569" s="1" t="s">
        <v>9</v>
      </c>
      <c r="E569" s="3">
        <v>17</v>
      </c>
      <c r="F569" s="1" t="s">
        <v>12558</v>
      </c>
      <c r="G569" s="1" t="s">
        <v>6756</v>
      </c>
    </row>
    <row r="570" spans="1:7" ht="21" x14ac:dyDescent="0.25">
      <c r="A570" s="2" t="str">
        <f>HYPERLINK("https://rth.dk/resources/bsgatlas/details.php?id=BSGatlas-3'UTR-569","BSGatlas-3'UTR-569")</f>
        <v>BSGatlas-3'UTR-569</v>
      </c>
      <c r="B570" s="3">
        <v>1417895</v>
      </c>
      <c r="C570" s="3">
        <v>1417913</v>
      </c>
      <c r="D570" s="1" t="s">
        <v>9</v>
      </c>
      <c r="E570" s="3">
        <v>19</v>
      </c>
      <c r="F570" s="1" t="s">
        <v>14278</v>
      </c>
      <c r="G570" s="1" t="s">
        <v>6761</v>
      </c>
    </row>
    <row r="571" spans="1:7" ht="21" x14ac:dyDescent="0.25">
      <c r="A571" s="2" t="str">
        <f>HYPERLINK("https://rth.dk/resources/bsgatlas/details.php?id=BSGatlas-3'UTR-570","BSGatlas-3'UTR-570")</f>
        <v>BSGatlas-3'UTR-570</v>
      </c>
      <c r="B571" s="3">
        <v>1421171</v>
      </c>
      <c r="C571" s="3">
        <v>1422172</v>
      </c>
      <c r="D571" s="1" t="s">
        <v>13</v>
      </c>
      <c r="E571" s="3">
        <v>1002</v>
      </c>
      <c r="F571" s="1" t="s">
        <v>14279</v>
      </c>
      <c r="G571" s="1" t="s">
        <v>6769</v>
      </c>
    </row>
    <row r="572" spans="1:7" ht="21" x14ac:dyDescent="0.25">
      <c r="A572" s="2" t="str">
        <f>HYPERLINK("https://rth.dk/resources/bsgatlas/details.php?id=BSGatlas-3'UTR-571","BSGatlas-3'UTR-571")</f>
        <v>BSGatlas-3'UTR-571</v>
      </c>
      <c r="B572" s="3">
        <v>1422117</v>
      </c>
      <c r="C572" s="3">
        <v>1422172</v>
      </c>
      <c r="D572" s="1" t="s">
        <v>13</v>
      </c>
      <c r="E572" s="3">
        <v>56</v>
      </c>
      <c r="F572" s="1" t="s">
        <v>14279</v>
      </c>
      <c r="G572" s="1" t="s">
        <v>6772</v>
      </c>
    </row>
    <row r="573" spans="1:7" ht="21" x14ac:dyDescent="0.25">
      <c r="A573" s="2" t="str">
        <f>HYPERLINK("https://rth.dk/resources/bsgatlas/details.php?id=BSGatlas-3'UTR-572","BSGatlas-3'UTR-572")</f>
        <v>BSGatlas-3'UTR-572</v>
      </c>
      <c r="B573" s="3">
        <v>1422138</v>
      </c>
      <c r="C573" s="3">
        <v>1422182</v>
      </c>
      <c r="D573" s="1" t="s">
        <v>9</v>
      </c>
      <c r="E573" s="3">
        <v>45</v>
      </c>
      <c r="F573" s="1" t="s">
        <v>14280</v>
      </c>
      <c r="G573" s="1" t="s">
        <v>6770</v>
      </c>
    </row>
    <row r="574" spans="1:7" ht="21" x14ac:dyDescent="0.25">
      <c r="A574" s="2" t="str">
        <f>HYPERLINK("https://rth.dk/resources/bsgatlas/details.php?id=BSGatlas-3'UTR-573","BSGatlas-3'UTR-573")</f>
        <v>BSGatlas-3'UTR-573</v>
      </c>
      <c r="B574" s="3">
        <v>1422138</v>
      </c>
      <c r="C574" s="3">
        <v>1423323</v>
      </c>
      <c r="D574" s="1" t="s">
        <v>9</v>
      </c>
      <c r="E574" s="3">
        <v>1186</v>
      </c>
      <c r="F574" s="1" t="s">
        <v>14280</v>
      </c>
      <c r="G574" s="1" t="s">
        <v>6771</v>
      </c>
    </row>
    <row r="575" spans="1:7" ht="21" x14ac:dyDescent="0.25">
      <c r="A575" s="2" t="str">
        <f>HYPERLINK("https://rth.dk/resources/bsgatlas/details.php?id=BSGatlas-3'UTR-574","BSGatlas-3'UTR-574")</f>
        <v>BSGatlas-3'UTR-574</v>
      </c>
      <c r="B575" s="3">
        <v>1424483</v>
      </c>
      <c r="C575" s="3">
        <v>1424526</v>
      </c>
      <c r="D575" s="1" t="s">
        <v>13</v>
      </c>
      <c r="E575" s="3">
        <v>44</v>
      </c>
      <c r="F575" s="1" t="s">
        <v>14281</v>
      </c>
      <c r="G575" s="1" t="s">
        <v>6773</v>
      </c>
    </row>
    <row r="576" spans="1:7" ht="21" x14ac:dyDescent="0.25">
      <c r="A576" s="2" t="str">
        <f>HYPERLINK("https://rth.dk/resources/bsgatlas/details.php?id=BSGatlas-3'UTR-575","BSGatlas-3'UTR-575")</f>
        <v>BSGatlas-3'UTR-575</v>
      </c>
      <c r="B576" s="3">
        <v>1426976</v>
      </c>
      <c r="C576" s="3">
        <v>1426997</v>
      </c>
      <c r="D576" s="1" t="s">
        <v>9</v>
      </c>
      <c r="E576" s="3">
        <v>22</v>
      </c>
      <c r="F576" s="1" t="s">
        <v>14282</v>
      </c>
      <c r="G576" s="1" t="s">
        <v>6782</v>
      </c>
    </row>
    <row r="577" spans="1:7" ht="21" x14ac:dyDescent="0.25">
      <c r="A577" s="2" t="str">
        <f>HYPERLINK("https://rth.dk/resources/bsgatlas/details.php?id=BSGatlas-3'UTR-576","BSGatlas-3'UTR-576")</f>
        <v>BSGatlas-3'UTR-576</v>
      </c>
      <c r="B577" s="3">
        <v>1429934</v>
      </c>
      <c r="C577" s="3">
        <v>1430161</v>
      </c>
      <c r="D577" s="1" t="s">
        <v>13</v>
      </c>
      <c r="E577" s="3">
        <v>228</v>
      </c>
      <c r="F577" s="1" t="s">
        <v>12569</v>
      </c>
      <c r="G577" s="1" t="s">
        <v>6785</v>
      </c>
    </row>
    <row r="578" spans="1:7" ht="21" x14ac:dyDescent="0.25">
      <c r="A578" s="2" t="str">
        <f>HYPERLINK("https://rth.dk/resources/bsgatlas/details.php?id=BSGatlas-3'UTR-577","BSGatlas-3'UTR-577")</f>
        <v>BSGatlas-3'UTR-577</v>
      </c>
      <c r="B578" s="3">
        <v>1430120</v>
      </c>
      <c r="C578" s="3">
        <v>1430166</v>
      </c>
      <c r="D578" s="1" t="s">
        <v>9</v>
      </c>
      <c r="E578" s="3">
        <v>47</v>
      </c>
      <c r="F578" s="1" t="s">
        <v>14283</v>
      </c>
      <c r="G578" s="1" t="s">
        <v>6781</v>
      </c>
    </row>
    <row r="579" spans="1:7" ht="21" x14ac:dyDescent="0.25">
      <c r="A579" s="2" t="str">
        <f>HYPERLINK("https://rth.dk/resources/bsgatlas/details.php?id=BSGatlas-3'UTR-578","BSGatlas-3'UTR-578")</f>
        <v>BSGatlas-3'UTR-578</v>
      </c>
      <c r="B579" s="3">
        <v>1430659</v>
      </c>
      <c r="C579" s="3">
        <v>1431486</v>
      </c>
      <c r="D579" s="1" t="s">
        <v>13</v>
      </c>
      <c r="E579" s="3">
        <v>828</v>
      </c>
      <c r="F579" s="1" t="s">
        <v>12572</v>
      </c>
      <c r="G579" s="1" t="s">
        <v>6792</v>
      </c>
    </row>
    <row r="580" spans="1:7" ht="21" x14ac:dyDescent="0.25">
      <c r="A580" s="2" t="str">
        <f>HYPERLINK("https://rth.dk/resources/bsgatlas/details.php?id=BSGatlas-3'UTR-579","BSGatlas-3'UTR-579")</f>
        <v>BSGatlas-3'UTR-579</v>
      </c>
      <c r="B580" s="3">
        <v>1430941</v>
      </c>
      <c r="C580" s="3">
        <v>1430957</v>
      </c>
      <c r="D580" s="1" t="s">
        <v>9</v>
      </c>
      <c r="E580" s="3">
        <v>17</v>
      </c>
      <c r="F580" s="1" t="s">
        <v>12570</v>
      </c>
      <c r="G580" s="1" t="s">
        <v>6788</v>
      </c>
    </row>
    <row r="581" spans="1:7" ht="21" x14ac:dyDescent="0.25">
      <c r="A581" s="2" t="str">
        <f>HYPERLINK("https://rth.dk/resources/bsgatlas/details.php?id=BSGatlas-3'UTR-580","BSGatlas-3'UTR-580")</f>
        <v>BSGatlas-3'UTR-580</v>
      </c>
      <c r="B581" s="3">
        <v>1430941</v>
      </c>
      <c r="C581" s="3">
        <v>1431003</v>
      </c>
      <c r="D581" s="1" t="s">
        <v>9</v>
      </c>
      <c r="E581" s="3">
        <v>63</v>
      </c>
      <c r="F581" s="1" t="s">
        <v>12570</v>
      </c>
      <c r="G581" s="1" t="s">
        <v>6789</v>
      </c>
    </row>
    <row r="582" spans="1:7" ht="21" x14ac:dyDescent="0.25">
      <c r="A582" s="2" t="str">
        <f>HYPERLINK("https://rth.dk/resources/bsgatlas/details.php?id=BSGatlas-3'UTR-581","BSGatlas-3'UTR-581")</f>
        <v>BSGatlas-3'UTR-581</v>
      </c>
      <c r="B582" s="3">
        <v>1433627</v>
      </c>
      <c r="C582" s="3">
        <v>1433676</v>
      </c>
      <c r="D582" s="1" t="s">
        <v>13</v>
      </c>
      <c r="E582" s="3">
        <v>50</v>
      </c>
      <c r="F582" s="1" t="s">
        <v>14284</v>
      </c>
      <c r="G582" s="1" t="s">
        <v>6799</v>
      </c>
    </row>
    <row r="583" spans="1:7" ht="21" x14ac:dyDescent="0.25">
      <c r="A583" s="2" t="str">
        <f>HYPERLINK("https://rth.dk/resources/bsgatlas/details.php?id=BSGatlas-3'UTR-582","BSGatlas-3'UTR-582")</f>
        <v>BSGatlas-3'UTR-582</v>
      </c>
      <c r="B583" s="3">
        <v>1434135</v>
      </c>
      <c r="C583" s="3">
        <v>1434433</v>
      </c>
      <c r="D583" s="1" t="s">
        <v>13</v>
      </c>
      <c r="E583" s="3">
        <v>299</v>
      </c>
      <c r="F583" s="1" t="s">
        <v>12573</v>
      </c>
      <c r="G583" s="1" t="s">
        <v>6800</v>
      </c>
    </row>
    <row r="584" spans="1:7" ht="21" x14ac:dyDescent="0.25">
      <c r="A584" s="2" t="str">
        <f>HYPERLINK("https://rth.dk/resources/bsgatlas/details.php?id=BSGatlas-3'UTR-583","BSGatlas-3'UTR-583")</f>
        <v>BSGatlas-3'UTR-583</v>
      </c>
      <c r="B584" s="3">
        <v>1435393</v>
      </c>
      <c r="C584" s="3">
        <v>1435628</v>
      </c>
      <c r="D584" s="1" t="s">
        <v>13</v>
      </c>
      <c r="E584" s="3">
        <v>236</v>
      </c>
      <c r="F584" s="1" t="s">
        <v>12574</v>
      </c>
      <c r="G584" s="1" t="s">
        <v>6802</v>
      </c>
    </row>
    <row r="585" spans="1:7" ht="21" x14ac:dyDescent="0.25">
      <c r="A585" s="2" t="str">
        <f>HYPERLINK("https://rth.dk/resources/bsgatlas/details.php?id=BSGatlas-3'UTR-584","BSGatlas-3'UTR-584")</f>
        <v>BSGatlas-3'UTR-584</v>
      </c>
      <c r="B585" s="3">
        <v>1435584</v>
      </c>
      <c r="C585" s="3">
        <v>1435628</v>
      </c>
      <c r="D585" s="1" t="s">
        <v>13</v>
      </c>
      <c r="E585" s="3">
        <v>45</v>
      </c>
      <c r="F585" s="1" t="s">
        <v>12574</v>
      </c>
      <c r="G585" s="1" t="s">
        <v>6805</v>
      </c>
    </row>
    <row r="586" spans="1:7" ht="21" x14ac:dyDescent="0.25">
      <c r="A586" s="2" t="str">
        <f>HYPERLINK("https://rth.dk/resources/bsgatlas/details.php?id=BSGatlas-3'UTR-585","BSGatlas-3'UTR-585")</f>
        <v>BSGatlas-3'UTR-585</v>
      </c>
      <c r="B586" s="3">
        <v>1439318</v>
      </c>
      <c r="C586" s="3">
        <v>1439354</v>
      </c>
      <c r="D586" s="1" t="s">
        <v>9</v>
      </c>
      <c r="E586" s="3">
        <v>37</v>
      </c>
      <c r="F586" s="1" t="s">
        <v>14285</v>
      </c>
      <c r="G586" s="1" t="s">
        <v>6811</v>
      </c>
    </row>
    <row r="587" spans="1:7" ht="21" x14ac:dyDescent="0.25">
      <c r="A587" s="2" t="str">
        <f>HYPERLINK("https://rth.dk/resources/bsgatlas/details.php?id=BSGatlas-3'UTR-586","BSGatlas-3'UTR-586")</f>
        <v>BSGatlas-3'UTR-586</v>
      </c>
      <c r="B587" s="3">
        <v>1441788</v>
      </c>
      <c r="C587" s="3">
        <v>1442045</v>
      </c>
      <c r="D587" s="1" t="s">
        <v>9</v>
      </c>
      <c r="E587" s="3">
        <v>258</v>
      </c>
      <c r="F587" s="1" t="s">
        <v>14286</v>
      </c>
      <c r="G587" s="1" t="s">
        <v>6810</v>
      </c>
    </row>
    <row r="588" spans="1:7" ht="21" x14ac:dyDescent="0.25">
      <c r="A588" s="2" t="str">
        <f>HYPERLINK("https://rth.dk/resources/bsgatlas/details.php?id=BSGatlas-3'UTR-587","BSGatlas-3'UTR-587")</f>
        <v>BSGatlas-3'UTR-587</v>
      </c>
      <c r="B588" s="3">
        <v>1442011</v>
      </c>
      <c r="C588" s="3">
        <v>1442347</v>
      </c>
      <c r="D588" s="1" t="s">
        <v>13</v>
      </c>
      <c r="E588" s="3">
        <v>337</v>
      </c>
      <c r="F588" s="1" t="s">
        <v>12577</v>
      </c>
      <c r="G588" s="1" t="s">
        <v>6813</v>
      </c>
    </row>
    <row r="589" spans="1:7" ht="21" x14ac:dyDescent="0.25">
      <c r="A589" s="2" t="str">
        <f>HYPERLINK("https://rth.dk/resources/bsgatlas/details.php?id=BSGatlas-3'UTR-588","BSGatlas-3'UTR-588")</f>
        <v>BSGatlas-3'UTR-588</v>
      </c>
      <c r="B589" s="3">
        <v>1442121</v>
      </c>
      <c r="C589" s="3">
        <v>1442347</v>
      </c>
      <c r="D589" s="1" t="s">
        <v>13</v>
      </c>
      <c r="E589" s="3">
        <v>227</v>
      </c>
      <c r="F589" s="1" t="s">
        <v>12577</v>
      </c>
      <c r="G589" s="1" t="s">
        <v>6814</v>
      </c>
    </row>
    <row r="590" spans="1:7" ht="21" x14ac:dyDescent="0.25">
      <c r="A590" s="2" t="str">
        <f>HYPERLINK("https://rth.dk/resources/bsgatlas/details.php?id=BSGatlas-3'UTR-589","BSGatlas-3'UTR-589")</f>
        <v>BSGatlas-3'UTR-589</v>
      </c>
      <c r="B590" s="3">
        <v>1443618</v>
      </c>
      <c r="C590" s="3">
        <v>1443695</v>
      </c>
      <c r="D590" s="1" t="s">
        <v>9</v>
      </c>
      <c r="E590" s="3">
        <v>78</v>
      </c>
      <c r="F590" s="1" t="s">
        <v>12578</v>
      </c>
      <c r="G590" s="1" t="s">
        <v>6816</v>
      </c>
    </row>
    <row r="591" spans="1:7" ht="21" x14ac:dyDescent="0.25">
      <c r="A591" s="2" t="str">
        <f>HYPERLINK("https://rth.dk/resources/bsgatlas/details.php?id=BSGatlas-3'UTR-590","BSGatlas-3'UTR-590")</f>
        <v>BSGatlas-3'UTR-590</v>
      </c>
      <c r="B591" s="3">
        <v>1447541</v>
      </c>
      <c r="C591" s="3">
        <v>1447562</v>
      </c>
      <c r="D591" s="1" t="s">
        <v>9</v>
      </c>
      <c r="E591" s="3">
        <v>22</v>
      </c>
      <c r="F591" s="1" t="s">
        <v>12580</v>
      </c>
      <c r="G591" s="1" t="s">
        <v>6825</v>
      </c>
    </row>
    <row r="592" spans="1:7" ht="21" x14ac:dyDescent="0.25">
      <c r="A592" s="2" t="str">
        <f>HYPERLINK("https://rth.dk/resources/bsgatlas/details.php?id=BSGatlas-3'UTR-591","BSGatlas-3'UTR-591")</f>
        <v>BSGatlas-3'UTR-591</v>
      </c>
      <c r="B592" s="3">
        <v>1447599</v>
      </c>
      <c r="C592" s="3">
        <v>1447662</v>
      </c>
      <c r="D592" s="1" t="s">
        <v>13</v>
      </c>
      <c r="E592" s="3">
        <v>64</v>
      </c>
      <c r="F592" s="1" t="s">
        <v>12581</v>
      </c>
      <c r="G592" s="1" t="s">
        <v>6827</v>
      </c>
    </row>
    <row r="593" spans="1:7" ht="21" x14ac:dyDescent="0.25">
      <c r="A593" s="2" t="str">
        <f>HYPERLINK("https://rth.dk/resources/bsgatlas/details.php?id=BSGatlas-3'UTR-592","BSGatlas-3'UTR-592")</f>
        <v>BSGatlas-3'UTR-592</v>
      </c>
      <c r="B593" s="3">
        <v>1449132</v>
      </c>
      <c r="C593" s="3">
        <v>1449178</v>
      </c>
      <c r="D593" s="1" t="s">
        <v>9</v>
      </c>
      <c r="E593" s="3">
        <v>47</v>
      </c>
      <c r="F593" s="1" t="s">
        <v>14287</v>
      </c>
      <c r="G593" s="1" t="s">
        <v>6833</v>
      </c>
    </row>
    <row r="594" spans="1:7" ht="21" x14ac:dyDescent="0.25">
      <c r="A594" s="2" t="str">
        <f>HYPERLINK("https://rth.dk/resources/bsgatlas/details.php?id=BSGatlas-3'UTR-593","BSGatlas-3'UTR-593")</f>
        <v>BSGatlas-3'UTR-593</v>
      </c>
      <c r="B594" s="3">
        <v>1451135</v>
      </c>
      <c r="C594" s="3">
        <v>1451171</v>
      </c>
      <c r="D594" s="1" t="s">
        <v>9</v>
      </c>
      <c r="E594" s="3">
        <v>37</v>
      </c>
      <c r="F594" s="1" t="s">
        <v>12584</v>
      </c>
      <c r="G594" s="1" t="s">
        <v>6836</v>
      </c>
    </row>
    <row r="595" spans="1:7" ht="21" x14ac:dyDescent="0.25">
      <c r="A595" s="2" t="str">
        <f>HYPERLINK("https://rth.dk/resources/bsgatlas/details.php?id=BSGatlas-3'UTR-594","BSGatlas-3'UTR-594")</f>
        <v>BSGatlas-3'UTR-594</v>
      </c>
      <c r="B595" s="3">
        <v>1453284</v>
      </c>
      <c r="C595" s="3">
        <v>1453326</v>
      </c>
      <c r="D595" s="1" t="s">
        <v>9</v>
      </c>
      <c r="E595" s="3">
        <v>43</v>
      </c>
      <c r="F595" s="1" t="s">
        <v>14288</v>
      </c>
      <c r="G595" s="1" t="s">
        <v>6841</v>
      </c>
    </row>
    <row r="596" spans="1:7" ht="21" x14ac:dyDescent="0.25">
      <c r="A596" s="2" t="str">
        <f>HYPERLINK("https://rth.dk/resources/bsgatlas/details.php?id=BSGatlas-3'UTR-595","BSGatlas-3'UTR-595")</f>
        <v>BSGatlas-3'UTR-595</v>
      </c>
      <c r="B596" s="3">
        <v>1453319</v>
      </c>
      <c r="C596" s="3">
        <v>1454795</v>
      </c>
      <c r="D596" s="1" t="s">
        <v>13</v>
      </c>
      <c r="E596" s="3">
        <v>1477</v>
      </c>
      <c r="F596" s="1" t="s">
        <v>14289</v>
      </c>
      <c r="G596" s="1" t="s">
        <v>6843</v>
      </c>
    </row>
    <row r="597" spans="1:7" ht="21" x14ac:dyDescent="0.25">
      <c r="A597" s="2" t="str">
        <f>HYPERLINK("https://rth.dk/resources/bsgatlas/details.php?id=BSGatlas-3'UTR-596","BSGatlas-3'UTR-596")</f>
        <v>BSGatlas-3'UTR-596</v>
      </c>
      <c r="B597" s="3">
        <v>1456958</v>
      </c>
      <c r="C597" s="3">
        <v>1456982</v>
      </c>
      <c r="D597" s="1" t="s">
        <v>9</v>
      </c>
      <c r="E597" s="3">
        <v>25</v>
      </c>
      <c r="F597" s="1" t="s">
        <v>14290</v>
      </c>
      <c r="G597" s="1" t="s">
        <v>6848</v>
      </c>
    </row>
    <row r="598" spans="1:7" ht="21" x14ac:dyDescent="0.25">
      <c r="A598" s="2" t="str">
        <f>HYPERLINK("https://rth.dk/resources/bsgatlas/details.php?id=BSGatlas-3'UTR-597","BSGatlas-3'UTR-597")</f>
        <v>BSGatlas-3'UTR-597</v>
      </c>
      <c r="B598" s="3">
        <v>1461362</v>
      </c>
      <c r="C598" s="3">
        <v>1461411</v>
      </c>
      <c r="D598" s="1" t="s">
        <v>9</v>
      </c>
      <c r="E598" s="3">
        <v>50</v>
      </c>
      <c r="F598" s="1" t="s">
        <v>14291</v>
      </c>
      <c r="G598" s="1" t="s">
        <v>6852</v>
      </c>
    </row>
    <row r="599" spans="1:7" ht="21" x14ac:dyDescent="0.25">
      <c r="A599" s="2" t="str">
        <f>HYPERLINK("https://rth.dk/resources/bsgatlas/details.php?id=BSGatlas-3'UTR-598","BSGatlas-3'UTR-598")</f>
        <v>BSGatlas-3'UTR-598</v>
      </c>
      <c r="B599" s="3">
        <v>1461440</v>
      </c>
      <c r="C599" s="3">
        <v>1462813</v>
      </c>
      <c r="D599" s="1" t="s">
        <v>13</v>
      </c>
      <c r="E599" s="3">
        <v>1374</v>
      </c>
      <c r="F599" s="1" t="s">
        <v>12591</v>
      </c>
      <c r="G599" s="1" t="s">
        <v>6861</v>
      </c>
    </row>
    <row r="600" spans="1:7" ht="21" x14ac:dyDescent="0.25">
      <c r="A600" s="2" t="str">
        <f>HYPERLINK("https://rth.dk/resources/bsgatlas/details.php?id=BSGatlas-3'UTR-599","BSGatlas-3'UTR-599")</f>
        <v>BSGatlas-3'UTR-599</v>
      </c>
      <c r="B600" s="3">
        <v>1462798</v>
      </c>
      <c r="C600" s="3">
        <v>1462839</v>
      </c>
      <c r="D600" s="1" t="s">
        <v>9</v>
      </c>
      <c r="E600" s="3">
        <v>42</v>
      </c>
      <c r="F600" s="1" t="s">
        <v>12590</v>
      </c>
      <c r="G600" s="1" t="s">
        <v>6859</v>
      </c>
    </row>
    <row r="601" spans="1:7" ht="21" x14ac:dyDescent="0.25">
      <c r="A601" s="2" t="str">
        <f>HYPERLINK("https://rth.dk/resources/bsgatlas/details.php?id=BSGatlas-3'UTR-600","BSGatlas-3'UTR-600")</f>
        <v>BSGatlas-3'UTR-600</v>
      </c>
      <c r="B601" s="3">
        <v>1465595</v>
      </c>
      <c r="C601" s="3">
        <v>1465631</v>
      </c>
      <c r="D601" s="1" t="s">
        <v>9</v>
      </c>
      <c r="E601" s="3">
        <v>37</v>
      </c>
      <c r="F601" s="1" t="s">
        <v>14292</v>
      </c>
      <c r="G601" s="1" t="s">
        <v>6866</v>
      </c>
    </row>
    <row r="602" spans="1:7" ht="21" x14ac:dyDescent="0.25">
      <c r="A602" s="2" t="str">
        <f>HYPERLINK("https://rth.dk/resources/bsgatlas/details.php?id=BSGatlas-3'UTR-601","BSGatlas-3'UTR-601")</f>
        <v>BSGatlas-3'UTR-601</v>
      </c>
      <c r="B602" s="3">
        <v>1465687</v>
      </c>
      <c r="C602" s="3">
        <v>1466638</v>
      </c>
      <c r="D602" s="1" t="s">
        <v>13</v>
      </c>
      <c r="E602" s="3">
        <v>952</v>
      </c>
      <c r="F602" s="1" t="s">
        <v>12593</v>
      </c>
      <c r="G602" s="1" t="s">
        <v>6870</v>
      </c>
    </row>
    <row r="603" spans="1:7" ht="21" x14ac:dyDescent="0.25">
      <c r="A603" s="2" t="str">
        <f>HYPERLINK("https://rth.dk/resources/bsgatlas/details.php?id=BSGatlas-3'UTR-602","BSGatlas-3'UTR-602")</f>
        <v>BSGatlas-3'UTR-602</v>
      </c>
      <c r="B603" s="3">
        <v>1471846</v>
      </c>
      <c r="C603" s="3">
        <v>1471884</v>
      </c>
      <c r="D603" s="1" t="s">
        <v>9</v>
      </c>
      <c r="E603" s="3">
        <v>39</v>
      </c>
      <c r="F603" s="1" t="s">
        <v>12594</v>
      </c>
      <c r="G603" s="1" t="s">
        <v>6876</v>
      </c>
    </row>
    <row r="604" spans="1:7" ht="21" x14ac:dyDescent="0.25">
      <c r="A604" s="2" t="str">
        <f>HYPERLINK("https://rth.dk/resources/bsgatlas/details.php?id=BSGatlas-3'UTR-603","BSGatlas-3'UTR-603")</f>
        <v>BSGatlas-3'UTR-603</v>
      </c>
      <c r="B604" s="3">
        <v>1473588</v>
      </c>
      <c r="C604" s="3">
        <v>1474560</v>
      </c>
      <c r="D604" s="1" t="s">
        <v>13</v>
      </c>
      <c r="E604" s="3">
        <v>973</v>
      </c>
      <c r="F604" s="1" t="s">
        <v>12598</v>
      </c>
      <c r="G604" s="1" t="s">
        <v>6886</v>
      </c>
    </row>
    <row r="605" spans="1:7" ht="21" x14ac:dyDescent="0.25">
      <c r="A605" s="2" t="str">
        <f>HYPERLINK("https://rth.dk/resources/bsgatlas/details.php?id=BSGatlas-3'UTR-604","BSGatlas-3'UTR-604")</f>
        <v>BSGatlas-3'UTR-604</v>
      </c>
      <c r="B605" s="3">
        <v>1474509</v>
      </c>
      <c r="C605" s="3">
        <v>1474560</v>
      </c>
      <c r="D605" s="1" t="s">
        <v>13</v>
      </c>
      <c r="E605" s="3">
        <v>52</v>
      </c>
      <c r="F605" s="1" t="s">
        <v>12598</v>
      </c>
      <c r="G605" s="1" t="s">
        <v>6888</v>
      </c>
    </row>
    <row r="606" spans="1:7" ht="21" x14ac:dyDescent="0.25">
      <c r="A606" s="2" t="str">
        <f>HYPERLINK("https://rth.dk/resources/bsgatlas/details.php?id=BSGatlas-3'UTR-605","BSGatlas-3'UTR-605")</f>
        <v>BSGatlas-3'UTR-605</v>
      </c>
      <c r="B606" s="3">
        <v>1474516</v>
      </c>
      <c r="C606" s="3">
        <v>1474566</v>
      </c>
      <c r="D606" s="1" t="s">
        <v>9</v>
      </c>
      <c r="E606" s="3">
        <v>51</v>
      </c>
      <c r="F606" s="1" t="s">
        <v>12597</v>
      </c>
      <c r="G606" s="1" t="s">
        <v>6884</v>
      </c>
    </row>
    <row r="607" spans="1:7" ht="21" x14ac:dyDescent="0.25">
      <c r="A607" s="2" t="str">
        <f>HYPERLINK("https://rth.dk/resources/bsgatlas/details.php?id=BSGatlas-3'UTR-606","BSGatlas-3'UTR-606")</f>
        <v>BSGatlas-3'UTR-606</v>
      </c>
      <c r="B607" s="3">
        <v>1476501</v>
      </c>
      <c r="C607" s="3">
        <v>1476518</v>
      </c>
      <c r="D607" s="1" t="s">
        <v>13</v>
      </c>
      <c r="E607" s="3">
        <v>18</v>
      </c>
      <c r="F607" s="1" t="s">
        <v>12600</v>
      </c>
      <c r="G607" s="1" t="s">
        <v>6895</v>
      </c>
    </row>
    <row r="608" spans="1:7" ht="21" x14ac:dyDescent="0.25">
      <c r="A608" s="2" t="str">
        <f>HYPERLINK("https://rth.dk/resources/bsgatlas/details.php?id=BSGatlas-3'UTR-607","BSGatlas-3'UTR-607")</f>
        <v>BSGatlas-3'UTR-607</v>
      </c>
      <c r="B608" s="3">
        <v>1481451</v>
      </c>
      <c r="C608" s="3">
        <v>1481506</v>
      </c>
      <c r="D608" s="1" t="s">
        <v>9</v>
      </c>
      <c r="E608" s="3">
        <v>56</v>
      </c>
      <c r="F608" s="1" t="s">
        <v>14293</v>
      </c>
      <c r="G608" s="1" t="s">
        <v>6900</v>
      </c>
    </row>
    <row r="609" spans="1:7" ht="21" x14ac:dyDescent="0.25">
      <c r="A609" s="2" t="str">
        <f>HYPERLINK("https://rth.dk/resources/bsgatlas/details.php?id=BSGatlas-3'UTR-608","BSGatlas-3'UTR-608")</f>
        <v>BSGatlas-3'UTR-608</v>
      </c>
      <c r="B609" s="3">
        <v>1485315</v>
      </c>
      <c r="C609" s="3">
        <v>1485333</v>
      </c>
      <c r="D609" s="1" t="s">
        <v>9</v>
      </c>
      <c r="E609" s="3">
        <v>19</v>
      </c>
      <c r="F609" s="1" t="s">
        <v>12606</v>
      </c>
      <c r="G609" s="1" t="s">
        <v>6910</v>
      </c>
    </row>
    <row r="610" spans="1:7" ht="21" x14ac:dyDescent="0.25">
      <c r="A610" s="2" t="str">
        <f>HYPERLINK("https://rth.dk/resources/bsgatlas/details.php?id=BSGatlas-3'UTR-609","BSGatlas-3'UTR-609")</f>
        <v>BSGatlas-3'UTR-609</v>
      </c>
      <c r="B610" s="3">
        <v>1486926</v>
      </c>
      <c r="C610" s="3">
        <v>1486959</v>
      </c>
      <c r="D610" s="1" t="s">
        <v>9</v>
      </c>
      <c r="E610" s="3">
        <v>34</v>
      </c>
      <c r="F610" s="1" t="s">
        <v>12607</v>
      </c>
      <c r="G610" s="1" t="s">
        <v>6912</v>
      </c>
    </row>
    <row r="611" spans="1:7" ht="21" x14ac:dyDescent="0.25">
      <c r="A611" s="2" t="str">
        <f>HYPERLINK("https://rth.dk/resources/bsgatlas/details.php?id=BSGatlas-3'UTR-610","BSGatlas-3'UTR-610")</f>
        <v>BSGatlas-3'UTR-610</v>
      </c>
      <c r="B611" s="3">
        <v>1488868</v>
      </c>
      <c r="C611" s="3">
        <v>1488884</v>
      </c>
      <c r="D611" s="1" t="s">
        <v>9</v>
      </c>
      <c r="E611" s="3">
        <v>17</v>
      </c>
      <c r="F611" s="1" t="s">
        <v>14294</v>
      </c>
      <c r="G611" s="1" t="s">
        <v>6920</v>
      </c>
    </row>
    <row r="612" spans="1:7" ht="21" x14ac:dyDescent="0.25">
      <c r="A612" s="2" t="str">
        <f>HYPERLINK("https://rth.dk/resources/bsgatlas/details.php?id=BSGatlas-3'UTR-611","BSGatlas-3'UTR-611")</f>
        <v>BSGatlas-3'UTR-611</v>
      </c>
      <c r="B612" s="3">
        <v>1493321</v>
      </c>
      <c r="C612" s="3">
        <v>1493351</v>
      </c>
      <c r="D612" s="1" t="s">
        <v>9</v>
      </c>
      <c r="E612" s="3">
        <v>31</v>
      </c>
      <c r="F612" s="1" t="s">
        <v>14295</v>
      </c>
      <c r="G612" s="1" t="s">
        <v>6929</v>
      </c>
    </row>
    <row r="613" spans="1:7" ht="21" x14ac:dyDescent="0.25">
      <c r="A613" s="2" t="str">
        <f>HYPERLINK("https://rth.dk/resources/bsgatlas/details.php?id=BSGatlas-3'UTR-612","BSGatlas-3'UTR-612")</f>
        <v>BSGatlas-3'UTR-612</v>
      </c>
      <c r="B613" s="3">
        <v>1494361</v>
      </c>
      <c r="C613" s="3">
        <v>1494403</v>
      </c>
      <c r="D613" s="1" t="s">
        <v>13</v>
      </c>
      <c r="E613" s="3">
        <v>43</v>
      </c>
      <c r="F613" s="1" t="s">
        <v>12615</v>
      </c>
      <c r="G613" s="1" t="s">
        <v>6934</v>
      </c>
    </row>
    <row r="614" spans="1:7" ht="21" x14ac:dyDescent="0.25">
      <c r="A614" s="2" t="str">
        <f>HYPERLINK("https://rth.dk/resources/bsgatlas/details.php?id=BSGatlas-3'UTR-613","BSGatlas-3'UTR-613")</f>
        <v>BSGatlas-3'UTR-613</v>
      </c>
      <c r="B614" s="3">
        <v>1494362</v>
      </c>
      <c r="C614" s="3">
        <v>1494412</v>
      </c>
      <c r="D614" s="1" t="s">
        <v>9</v>
      </c>
      <c r="E614" s="3">
        <v>51</v>
      </c>
      <c r="F614" s="1" t="s">
        <v>12613</v>
      </c>
      <c r="G614" s="1" t="s">
        <v>6932</v>
      </c>
    </row>
    <row r="615" spans="1:7" ht="21" x14ac:dyDescent="0.25">
      <c r="A615" s="2" t="str">
        <f>HYPERLINK("https://rth.dk/resources/bsgatlas/details.php?id=BSGatlas-3'UTR-614","BSGatlas-3'UTR-614")</f>
        <v>BSGatlas-3'UTR-614</v>
      </c>
      <c r="B615" s="3">
        <v>1507298</v>
      </c>
      <c r="C615" s="3">
        <v>1507334</v>
      </c>
      <c r="D615" s="1" t="s">
        <v>9</v>
      </c>
      <c r="E615" s="3">
        <v>37</v>
      </c>
      <c r="F615" s="1" t="s">
        <v>14296</v>
      </c>
      <c r="G615" s="1" t="s">
        <v>6941</v>
      </c>
    </row>
    <row r="616" spans="1:7" ht="21" x14ac:dyDescent="0.25">
      <c r="A616" s="2" t="str">
        <f>HYPERLINK("https://rth.dk/resources/bsgatlas/details.php?id=BSGatlas-3'UTR-615","BSGatlas-3'UTR-615")</f>
        <v>BSGatlas-3'UTR-615</v>
      </c>
      <c r="B616" s="3">
        <v>1511163</v>
      </c>
      <c r="C616" s="3">
        <v>1511209</v>
      </c>
      <c r="D616" s="1" t="s">
        <v>9</v>
      </c>
      <c r="E616" s="3">
        <v>47</v>
      </c>
      <c r="F616" s="1" t="s">
        <v>14297</v>
      </c>
      <c r="G616" s="1" t="s">
        <v>6947</v>
      </c>
    </row>
    <row r="617" spans="1:7" ht="21" x14ac:dyDescent="0.25">
      <c r="A617" s="2" t="str">
        <f>HYPERLINK("https://rth.dk/resources/bsgatlas/details.php?id=BSGatlas-3'UTR-616","BSGatlas-3'UTR-616")</f>
        <v>BSGatlas-3'UTR-616</v>
      </c>
      <c r="B617" s="3">
        <v>1511889</v>
      </c>
      <c r="C617" s="3">
        <v>1511934</v>
      </c>
      <c r="D617" s="1" t="s">
        <v>9</v>
      </c>
      <c r="E617" s="3">
        <v>46</v>
      </c>
      <c r="F617" s="1" t="s">
        <v>12619</v>
      </c>
      <c r="G617" s="1" t="s">
        <v>6951</v>
      </c>
    </row>
    <row r="618" spans="1:7" ht="21" x14ac:dyDescent="0.25">
      <c r="A618" s="2" t="str">
        <f>HYPERLINK("https://rth.dk/resources/bsgatlas/details.php?id=BSGatlas-3'UTR-617","BSGatlas-3'UTR-617")</f>
        <v>BSGatlas-3'UTR-617</v>
      </c>
      <c r="B618" s="3">
        <v>1511906</v>
      </c>
      <c r="C618" s="3">
        <v>1511923</v>
      </c>
      <c r="D618" s="1" t="s">
        <v>13</v>
      </c>
      <c r="E618" s="3">
        <v>18</v>
      </c>
      <c r="F618" s="1" t="s">
        <v>12620</v>
      </c>
      <c r="G618" s="1" t="s">
        <v>6953</v>
      </c>
    </row>
    <row r="619" spans="1:7" ht="21" x14ac:dyDescent="0.25">
      <c r="A619" s="2" t="str">
        <f>HYPERLINK("https://rth.dk/resources/bsgatlas/details.php?id=BSGatlas-3'UTR-618","BSGatlas-3'UTR-618")</f>
        <v>BSGatlas-3'UTR-618</v>
      </c>
      <c r="B619" s="3">
        <v>1514963</v>
      </c>
      <c r="C619" s="3">
        <v>1514990</v>
      </c>
      <c r="D619" s="1" t="s">
        <v>9</v>
      </c>
      <c r="E619" s="3">
        <v>28</v>
      </c>
      <c r="F619" s="1" t="s">
        <v>14298</v>
      </c>
      <c r="G619" s="1" t="s">
        <v>6957</v>
      </c>
    </row>
    <row r="620" spans="1:7" ht="21" x14ac:dyDescent="0.25">
      <c r="A620" s="2" t="str">
        <f>HYPERLINK("https://rth.dk/resources/bsgatlas/details.php?id=BSGatlas-3'UTR-619","BSGatlas-3'UTR-619")</f>
        <v>BSGatlas-3'UTR-619</v>
      </c>
      <c r="B620" s="3">
        <v>1518143</v>
      </c>
      <c r="C620" s="3">
        <v>1518196</v>
      </c>
      <c r="D620" s="1" t="s">
        <v>9</v>
      </c>
      <c r="E620" s="3">
        <v>54</v>
      </c>
      <c r="F620" s="1" t="s">
        <v>12625</v>
      </c>
      <c r="G620" s="1" t="s">
        <v>6965</v>
      </c>
    </row>
    <row r="621" spans="1:7" ht="21" x14ac:dyDescent="0.25">
      <c r="A621" s="2" t="str">
        <f>HYPERLINK("https://rth.dk/resources/bsgatlas/details.php?id=BSGatlas-3'UTR-620","BSGatlas-3'UTR-620")</f>
        <v>BSGatlas-3'UTR-620</v>
      </c>
      <c r="B621" s="3">
        <v>1522446</v>
      </c>
      <c r="C621" s="3">
        <v>1523118</v>
      </c>
      <c r="D621" s="1" t="s">
        <v>13</v>
      </c>
      <c r="E621" s="3">
        <v>673</v>
      </c>
      <c r="F621" s="1" t="s">
        <v>14299</v>
      </c>
      <c r="G621" s="1" t="s">
        <v>6977</v>
      </c>
    </row>
    <row r="622" spans="1:7" ht="21" x14ac:dyDescent="0.25">
      <c r="A622" s="2" t="str">
        <f>HYPERLINK("https://rth.dk/resources/bsgatlas/details.php?id=BSGatlas-3'UTR-621","BSGatlas-3'UTR-621")</f>
        <v>BSGatlas-3'UTR-621</v>
      </c>
      <c r="B622" s="3">
        <v>1526159</v>
      </c>
      <c r="C622" s="3">
        <v>1526856</v>
      </c>
      <c r="D622" s="1" t="s">
        <v>9</v>
      </c>
      <c r="E622" s="3">
        <v>698</v>
      </c>
      <c r="F622" s="1" t="s">
        <v>12630</v>
      </c>
      <c r="G622" s="1" t="s">
        <v>6982</v>
      </c>
    </row>
    <row r="623" spans="1:7" ht="21" x14ac:dyDescent="0.25">
      <c r="A623" s="2" t="str">
        <f>HYPERLINK("https://rth.dk/resources/bsgatlas/details.php?id=BSGatlas-3'UTR-622","BSGatlas-3'UTR-622")</f>
        <v>BSGatlas-3'UTR-622</v>
      </c>
      <c r="B623" s="3">
        <v>1526836</v>
      </c>
      <c r="C623" s="3">
        <v>1526859</v>
      </c>
      <c r="D623" s="1" t="s">
        <v>13</v>
      </c>
      <c r="E623" s="3">
        <v>24</v>
      </c>
      <c r="F623" s="1" t="s">
        <v>14300</v>
      </c>
      <c r="G623" s="1" t="s">
        <v>6985</v>
      </c>
    </row>
    <row r="624" spans="1:7" ht="21" x14ac:dyDescent="0.25">
      <c r="A624" s="2" t="str">
        <f>HYPERLINK("https://rth.dk/resources/bsgatlas/details.php?id=BSGatlas-3'UTR-623","BSGatlas-3'UTR-623")</f>
        <v>BSGatlas-3'UTR-623</v>
      </c>
      <c r="B624" s="3">
        <v>1533282</v>
      </c>
      <c r="C624" s="3">
        <v>1533336</v>
      </c>
      <c r="D624" s="1" t="s">
        <v>9</v>
      </c>
      <c r="E624" s="3">
        <v>55</v>
      </c>
      <c r="F624" s="1" t="s">
        <v>14301</v>
      </c>
      <c r="G624" s="1" t="s">
        <v>6995</v>
      </c>
    </row>
    <row r="625" spans="1:7" ht="21" x14ac:dyDescent="0.25">
      <c r="A625" s="2" t="str">
        <f>HYPERLINK("https://rth.dk/resources/bsgatlas/details.php?id=BSGatlas-3'UTR-624","BSGatlas-3'UTR-624")</f>
        <v>BSGatlas-3'UTR-624</v>
      </c>
      <c r="B625" s="3">
        <v>1533950</v>
      </c>
      <c r="C625" s="3">
        <v>1534279</v>
      </c>
      <c r="D625" s="1" t="s">
        <v>13</v>
      </c>
      <c r="E625" s="3">
        <v>330</v>
      </c>
      <c r="F625" s="1" t="s">
        <v>12638</v>
      </c>
      <c r="G625" s="1" t="s">
        <v>7006</v>
      </c>
    </row>
    <row r="626" spans="1:7" ht="21" x14ac:dyDescent="0.25">
      <c r="A626" s="2" t="str">
        <f>HYPERLINK("https://rth.dk/resources/bsgatlas/details.php?id=BSGatlas-3'UTR-625","BSGatlas-3'UTR-625")</f>
        <v>BSGatlas-3'UTR-625</v>
      </c>
      <c r="B626" s="3">
        <v>1534104</v>
      </c>
      <c r="C626" s="3">
        <v>1534279</v>
      </c>
      <c r="D626" s="1" t="s">
        <v>13</v>
      </c>
      <c r="E626" s="3">
        <v>176</v>
      </c>
      <c r="F626" s="1" t="s">
        <v>12638</v>
      </c>
      <c r="G626" s="1" t="s">
        <v>7008</v>
      </c>
    </row>
    <row r="627" spans="1:7" ht="21" x14ac:dyDescent="0.25">
      <c r="A627" s="2" t="str">
        <f>HYPERLINK("https://rth.dk/resources/bsgatlas/details.php?id=BSGatlas-3'UTR-626","BSGatlas-3'UTR-626")</f>
        <v>BSGatlas-3'UTR-626</v>
      </c>
      <c r="B627" s="3">
        <v>1537096</v>
      </c>
      <c r="C627" s="3">
        <v>1538770</v>
      </c>
      <c r="D627" s="1" t="s">
        <v>13</v>
      </c>
      <c r="E627" s="3">
        <v>1675</v>
      </c>
      <c r="F627" s="1" t="s">
        <v>12643</v>
      </c>
      <c r="G627" s="1" t="s">
        <v>7019</v>
      </c>
    </row>
    <row r="628" spans="1:7" ht="21" x14ac:dyDescent="0.25">
      <c r="A628" s="2" t="str">
        <f>HYPERLINK("https://rth.dk/resources/bsgatlas/details.php?id=BSGatlas-3'UTR-627","BSGatlas-3'UTR-627")</f>
        <v>BSGatlas-3'UTR-627</v>
      </c>
      <c r="B628" s="3">
        <v>1537301</v>
      </c>
      <c r="C628" s="3">
        <v>1537316</v>
      </c>
      <c r="D628" s="1" t="s">
        <v>9</v>
      </c>
      <c r="E628" s="3">
        <v>16</v>
      </c>
      <c r="F628" s="1" t="s">
        <v>12641</v>
      </c>
      <c r="G628" s="1" t="s">
        <v>7016</v>
      </c>
    </row>
    <row r="629" spans="1:7" ht="21" x14ac:dyDescent="0.25">
      <c r="A629" s="2" t="str">
        <f>HYPERLINK("https://rth.dk/resources/bsgatlas/details.php?id=BSGatlas-3'UTR-628","BSGatlas-3'UTR-628")</f>
        <v>BSGatlas-3'UTR-628</v>
      </c>
      <c r="B629" s="3">
        <v>1538692</v>
      </c>
      <c r="C629" s="3">
        <v>1539679</v>
      </c>
      <c r="D629" s="1" t="s">
        <v>9</v>
      </c>
      <c r="E629" s="3">
        <v>988</v>
      </c>
      <c r="F629" s="1" t="s">
        <v>14302</v>
      </c>
      <c r="G629" s="1" t="s">
        <v>7023</v>
      </c>
    </row>
    <row r="630" spans="1:7" ht="21" x14ac:dyDescent="0.25">
      <c r="A630" s="2" t="str">
        <f>HYPERLINK("https://rth.dk/resources/bsgatlas/details.php?id=BSGatlas-3'UTR-629","BSGatlas-3'UTR-629")</f>
        <v>BSGatlas-3'UTR-629</v>
      </c>
      <c r="B630" s="3">
        <v>1538746</v>
      </c>
      <c r="C630" s="3">
        <v>1538770</v>
      </c>
      <c r="D630" s="1" t="s">
        <v>13</v>
      </c>
      <c r="E630" s="3">
        <v>25</v>
      </c>
      <c r="F630" s="1" t="s">
        <v>12643</v>
      </c>
      <c r="G630" s="1" t="s">
        <v>7024</v>
      </c>
    </row>
    <row r="631" spans="1:7" ht="21" x14ac:dyDescent="0.25">
      <c r="A631" s="2" t="str">
        <f>HYPERLINK("https://rth.dk/resources/bsgatlas/details.php?id=BSGatlas-3'UTR-630","BSGatlas-3'UTR-630")</f>
        <v>BSGatlas-3'UTR-630</v>
      </c>
      <c r="B631" s="3">
        <v>1539992</v>
      </c>
      <c r="C631" s="3">
        <v>1540036</v>
      </c>
      <c r="D631" s="1" t="s">
        <v>13</v>
      </c>
      <c r="E631" s="3">
        <v>45</v>
      </c>
      <c r="F631" s="1" t="s">
        <v>12644</v>
      </c>
      <c r="G631" s="1" t="s">
        <v>7026</v>
      </c>
    </row>
    <row r="632" spans="1:7" ht="21" x14ac:dyDescent="0.25">
      <c r="A632" s="2" t="str">
        <f>HYPERLINK("https://rth.dk/resources/bsgatlas/details.php?id=BSGatlas-3'UTR-631","BSGatlas-3'UTR-631")</f>
        <v>BSGatlas-3'UTR-631</v>
      </c>
      <c r="B632" s="3">
        <v>1544896</v>
      </c>
      <c r="C632" s="3">
        <v>1544941</v>
      </c>
      <c r="D632" s="1" t="s">
        <v>9</v>
      </c>
      <c r="E632" s="3">
        <v>46</v>
      </c>
      <c r="F632" s="1" t="s">
        <v>14303</v>
      </c>
      <c r="G632" s="1" t="s">
        <v>7029</v>
      </c>
    </row>
    <row r="633" spans="1:7" ht="21" x14ac:dyDescent="0.25">
      <c r="A633" s="2" t="str">
        <f>HYPERLINK("https://rth.dk/resources/bsgatlas/details.php?id=BSGatlas-3'UTR-632","BSGatlas-3'UTR-632")</f>
        <v>BSGatlas-3'UTR-632</v>
      </c>
      <c r="B633" s="3">
        <v>1545781</v>
      </c>
      <c r="C633" s="3">
        <v>1545820</v>
      </c>
      <c r="D633" s="1" t="s">
        <v>13</v>
      </c>
      <c r="E633" s="3">
        <v>40</v>
      </c>
      <c r="F633" s="1" t="s">
        <v>12647</v>
      </c>
      <c r="G633" s="1" t="s">
        <v>7035</v>
      </c>
    </row>
    <row r="634" spans="1:7" ht="21" x14ac:dyDescent="0.25">
      <c r="A634" s="2" t="str">
        <f>HYPERLINK("https://rth.dk/resources/bsgatlas/details.php?id=BSGatlas-3'UTR-633","BSGatlas-3'UTR-633")</f>
        <v>BSGatlas-3'UTR-633</v>
      </c>
      <c r="B634" s="3">
        <v>1548360</v>
      </c>
      <c r="C634" s="3">
        <v>1548389</v>
      </c>
      <c r="D634" s="1" t="s">
        <v>13</v>
      </c>
      <c r="E634" s="3">
        <v>30</v>
      </c>
      <c r="F634" s="1" t="s">
        <v>12649</v>
      </c>
      <c r="G634" s="1" t="s">
        <v>7041</v>
      </c>
    </row>
    <row r="635" spans="1:7" ht="21" x14ac:dyDescent="0.25">
      <c r="A635" s="2" t="str">
        <f>HYPERLINK("https://rth.dk/resources/bsgatlas/details.php?id=BSGatlas-3'UTR-634","BSGatlas-3'UTR-634")</f>
        <v>BSGatlas-3'UTR-634</v>
      </c>
      <c r="B635" s="3">
        <v>1548645</v>
      </c>
      <c r="C635" s="3">
        <v>1548681</v>
      </c>
      <c r="D635" s="1" t="s">
        <v>13</v>
      </c>
      <c r="E635" s="3">
        <v>37</v>
      </c>
      <c r="F635" s="1" t="s">
        <v>12650</v>
      </c>
      <c r="G635" s="1" t="s">
        <v>7043</v>
      </c>
    </row>
    <row r="636" spans="1:7" ht="21" x14ac:dyDescent="0.25">
      <c r="A636" s="2" t="str">
        <f>HYPERLINK("https://rth.dk/resources/bsgatlas/details.php?id=BSGatlas-3'UTR-635","BSGatlas-3'UTR-635")</f>
        <v>BSGatlas-3'UTR-635</v>
      </c>
      <c r="B636" s="3">
        <v>1550670</v>
      </c>
      <c r="C636" s="3">
        <v>1550797</v>
      </c>
      <c r="D636" s="1" t="s">
        <v>13</v>
      </c>
      <c r="E636" s="3">
        <v>128</v>
      </c>
      <c r="F636" s="1" t="s">
        <v>12652</v>
      </c>
      <c r="G636" s="1" t="s">
        <v>7048</v>
      </c>
    </row>
    <row r="637" spans="1:7" ht="21" x14ac:dyDescent="0.25">
      <c r="A637" s="2" t="str">
        <f>HYPERLINK("https://rth.dk/resources/bsgatlas/details.php?id=BSGatlas-3'UTR-636","BSGatlas-3'UTR-636")</f>
        <v>BSGatlas-3'UTR-636</v>
      </c>
      <c r="B637" s="3">
        <v>1557631</v>
      </c>
      <c r="C637" s="3">
        <v>1557682</v>
      </c>
      <c r="D637" s="1" t="s">
        <v>9</v>
      </c>
      <c r="E637" s="3">
        <v>52</v>
      </c>
      <c r="F637" s="1" t="s">
        <v>12655</v>
      </c>
      <c r="G637" s="1" t="s">
        <v>7054</v>
      </c>
    </row>
    <row r="638" spans="1:7" ht="21" x14ac:dyDescent="0.25">
      <c r="A638" s="2" t="str">
        <f>HYPERLINK("https://rth.dk/resources/bsgatlas/details.php?id=BSGatlas-3'UTR-637","BSGatlas-3'UTR-637")</f>
        <v>BSGatlas-3'UTR-637</v>
      </c>
      <c r="B638" s="3">
        <v>1557666</v>
      </c>
      <c r="C638" s="3">
        <v>1558034</v>
      </c>
      <c r="D638" s="1" t="s">
        <v>13</v>
      </c>
      <c r="E638" s="3">
        <v>369</v>
      </c>
      <c r="F638" s="1" t="s">
        <v>12656</v>
      </c>
      <c r="G638" s="1" t="s">
        <v>7057</v>
      </c>
    </row>
    <row r="639" spans="1:7" ht="21" x14ac:dyDescent="0.25">
      <c r="A639" s="2" t="str">
        <f>HYPERLINK("https://rth.dk/resources/bsgatlas/details.php?id=BSGatlas-3'UTR-638","BSGatlas-3'UTR-638")</f>
        <v>BSGatlas-3'UTR-638</v>
      </c>
      <c r="B639" s="3">
        <v>1557985</v>
      </c>
      <c r="C639" s="3">
        <v>1558034</v>
      </c>
      <c r="D639" s="1" t="s">
        <v>13</v>
      </c>
      <c r="E639" s="3">
        <v>50</v>
      </c>
      <c r="F639" s="1" t="s">
        <v>12656</v>
      </c>
      <c r="G639" s="1" t="s">
        <v>7059</v>
      </c>
    </row>
    <row r="640" spans="1:7" ht="21" x14ac:dyDescent="0.25">
      <c r="A640" s="2" t="str">
        <f>HYPERLINK("https://rth.dk/resources/bsgatlas/details.php?id=BSGatlas-3'UTR-639","BSGatlas-3'UTR-639")</f>
        <v>BSGatlas-3'UTR-639</v>
      </c>
      <c r="B640" s="3">
        <v>1560226</v>
      </c>
      <c r="C640" s="3">
        <v>1560277</v>
      </c>
      <c r="D640" s="1" t="s">
        <v>9</v>
      </c>
      <c r="E640" s="3">
        <v>52</v>
      </c>
      <c r="F640" s="1" t="s">
        <v>12657</v>
      </c>
      <c r="G640" s="1" t="s">
        <v>7061</v>
      </c>
    </row>
    <row r="641" spans="1:7" ht="21" x14ac:dyDescent="0.25">
      <c r="A641" s="2" t="str">
        <f>HYPERLINK("https://rth.dk/resources/bsgatlas/details.php?id=BSGatlas-3'UTR-640","BSGatlas-3'UTR-640")</f>
        <v>BSGatlas-3'UTR-640</v>
      </c>
      <c r="B641" s="3">
        <v>1560226</v>
      </c>
      <c r="C641" s="3">
        <v>1560325</v>
      </c>
      <c r="D641" s="1" t="s">
        <v>9</v>
      </c>
      <c r="E641" s="3">
        <v>100</v>
      </c>
      <c r="F641" s="1" t="s">
        <v>12657</v>
      </c>
      <c r="G641" s="1" t="s">
        <v>7062</v>
      </c>
    </row>
    <row r="642" spans="1:7" ht="21" x14ac:dyDescent="0.25">
      <c r="A642" s="2" t="str">
        <f>HYPERLINK("https://rth.dk/resources/bsgatlas/details.php?id=BSGatlas-3'UTR-641","BSGatlas-3'UTR-641")</f>
        <v>BSGatlas-3'UTR-641</v>
      </c>
      <c r="B642" s="3">
        <v>1565315</v>
      </c>
      <c r="C642" s="3">
        <v>1565355</v>
      </c>
      <c r="D642" s="1" t="s">
        <v>9</v>
      </c>
      <c r="E642" s="3">
        <v>41</v>
      </c>
      <c r="F642" s="1" t="s">
        <v>14304</v>
      </c>
      <c r="G642" s="1" t="s">
        <v>7064</v>
      </c>
    </row>
    <row r="643" spans="1:7" ht="21" x14ac:dyDescent="0.25">
      <c r="A643" s="2" t="str">
        <f>HYPERLINK("https://rth.dk/resources/bsgatlas/details.php?id=BSGatlas-3'UTR-642","BSGatlas-3'UTR-642")</f>
        <v>BSGatlas-3'UTR-642</v>
      </c>
      <c r="B643" s="3">
        <v>1567419</v>
      </c>
      <c r="C643" s="3">
        <v>1567462</v>
      </c>
      <c r="D643" s="1" t="s">
        <v>9</v>
      </c>
      <c r="E643" s="3">
        <v>44</v>
      </c>
      <c r="F643" s="1" t="s">
        <v>12661</v>
      </c>
      <c r="G643" s="1" t="s">
        <v>7074</v>
      </c>
    </row>
    <row r="644" spans="1:7" ht="21" x14ac:dyDescent="0.25">
      <c r="A644" s="2" t="str">
        <f>HYPERLINK("https://rth.dk/resources/bsgatlas/details.php?id=BSGatlas-3'UTR-643","BSGatlas-3'UTR-643")</f>
        <v>BSGatlas-3'UTR-643</v>
      </c>
      <c r="B644" s="3">
        <v>1567633</v>
      </c>
      <c r="C644" s="3">
        <v>1569226</v>
      </c>
      <c r="D644" s="1" t="s">
        <v>13</v>
      </c>
      <c r="E644" s="3">
        <v>1594</v>
      </c>
      <c r="F644" s="1" t="s">
        <v>14305</v>
      </c>
      <c r="G644" s="1" t="s">
        <v>7081</v>
      </c>
    </row>
    <row r="645" spans="1:7" ht="21" x14ac:dyDescent="0.25">
      <c r="A645" s="2" t="str">
        <f>HYPERLINK("https://rth.dk/resources/bsgatlas/details.php?id=BSGatlas-3'UTR-644","BSGatlas-3'UTR-644")</f>
        <v>BSGatlas-3'UTR-644</v>
      </c>
      <c r="B645" s="3">
        <v>1568304</v>
      </c>
      <c r="C645" s="3">
        <v>1568338</v>
      </c>
      <c r="D645" s="1" t="s">
        <v>9</v>
      </c>
      <c r="E645" s="3">
        <v>35</v>
      </c>
      <c r="F645" s="1" t="s">
        <v>14306</v>
      </c>
      <c r="G645" s="1" t="s">
        <v>7079</v>
      </c>
    </row>
    <row r="646" spans="1:7" ht="21" x14ac:dyDescent="0.25">
      <c r="A646" s="2" t="str">
        <f>HYPERLINK("https://rth.dk/resources/bsgatlas/details.php?id=BSGatlas-3'UTR-645","BSGatlas-3'UTR-645")</f>
        <v>BSGatlas-3'UTR-645</v>
      </c>
      <c r="B646" s="3">
        <v>1568968</v>
      </c>
      <c r="C646" s="3">
        <v>1569226</v>
      </c>
      <c r="D646" s="1" t="s">
        <v>13</v>
      </c>
      <c r="E646" s="3">
        <v>259</v>
      </c>
      <c r="F646" s="1" t="s">
        <v>14305</v>
      </c>
      <c r="G646" s="1" t="s">
        <v>7086</v>
      </c>
    </row>
    <row r="647" spans="1:7" ht="21" x14ac:dyDescent="0.25">
      <c r="A647" s="2" t="str">
        <f>HYPERLINK("https://rth.dk/resources/bsgatlas/details.php?id=BSGatlas-3'UTR-646","BSGatlas-3'UTR-646")</f>
        <v>BSGatlas-3'UTR-646</v>
      </c>
      <c r="B647" s="3">
        <v>1570543</v>
      </c>
      <c r="C647" s="3">
        <v>1570574</v>
      </c>
      <c r="D647" s="1" t="s">
        <v>13</v>
      </c>
      <c r="E647" s="3">
        <v>32</v>
      </c>
      <c r="F647" s="1" t="s">
        <v>12665</v>
      </c>
      <c r="G647" s="1" t="s">
        <v>7091</v>
      </c>
    </row>
    <row r="648" spans="1:7" ht="21" x14ac:dyDescent="0.25">
      <c r="A648" s="2" t="str">
        <f>HYPERLINK("https://rth.dk/resources/bsgatlas/details.php?id=BSGatlas-3'UTR-647","BSGatlas-3'UTR-647")</f>
        <v>BSGatlas-3'UTR-647</v>
      </c>
      <c r="B648" s="3">
        <v>1576710</v>
      </c>
      <c r="C648" s="3">
        <v>1576772</v>
      </c>
      <c r="D648" s="1" t="s">
        <v>9</v>
      </c>
      <c r="E648" s="3">
        <v>63</v>
      </c>
      <c r="F648" s="1" t="s">
        <v>12671</v>
      </c>
      <c r="G648" s="1" t="s">
        <v>7106</v>
      </c>
    </row>
    <row r="649" spans="1:7" ht="21" x14ac:dyDescent="0.25">
      <c r="A649" s="2" t="str">
        <f>HYPERLINK("https://rth.dk/resources/bsgatlas/details.php?id=BSGatlas-3'UTR-648","BSGatlas-3'UTR-648")</f>
        <v>BSGatlas-3'UTR-648</v>
      </c>
      <c r="B649" s="3">
        <v>1576710</v>
      </c>
      <c r="C649" s="3">
        <v>1577261</v>
      </c>
      <c r="D649" s="1" t="s">
        <v>9</v>
      </c>
      <c r="E649" s="3">
        <v>552</v>
      </c>
      <c r="F649" s="1" t="s">
        <v>12671</v>
      </c>
      <c r="G649" s="1" t="s">
        <v>7107</v>
      </c>
    </row>
    <row r="650" spans="1:7" ht="21" x14ac:dyDescent="0.25">
      <c r="A650" s="2" t="str">
        <f>HYPERLINK("https://rth.dk/resources/bsgatlas/details.php?id=BSGatlas-3'UTR-649","BSGatlas-3'UTR-649")</f>
        <v>BSGatlas-3'UTR-649</v>
      </c>
      <c r="B650" s="3">
        <v>1579995</v>
      </c>
      <c r="C650" s="3">
        <v>1580030</v>
      </c>
      <c r="D650" s="1" t="s">
        <v>9</v>
      </c>
      <c r="E650" s="3">
        <v>36</v>
      </c>
      <c r="F650" s="1" t="s">
        <v>12674</v>
      </c>
      <c r="G650" s="1" t="s">
        <v>7113</v>
      </c>
    </row>
    <row r="651" spans="1:7" ht="21" x14ac:dyDescent="0.25">
      <c r="A651" s="2" t="str">
        <f>HYPERLINK("https://rth.dk/resources/bsgatlas/details.php?id=BSGatlas-3'UTR-650","BSGatlas-3'UTR-650")</f>
        <v>BSGatlas-3'UTR-650</v>
      </c>
      <c r="B651" s="3">
        <v>1580082</v>
      </c>
      <c r="C651" s="3">
        <v>1581224</v>
      </c>
      <c r="D651" s="1" t="s">
        <v>13</v>
      </c>
      <c r="E651" s="3">
        <v>1143</v>
      </c>
      <c r="F651" s="1" t="s">
        <v>14307</v>
      </c>
      <c r="G651" s="1" t="s">
        <v>7119</v>
      </c>
    </row>
    <row r="652" spans="1:7" ht="21" x14ac:dyDescent="0.25">
      <c r="A652" s="2" t="str">
        <f>HYPERLINK("https://rth.dk/resources/bsgatlas/details.php?id=BSGatlas-3'UTR-651","BSGatlas-3'UTR-651")</f>
        <v>BSGatlas-3'UTR-651</v>
      </c>
      <c r="B652" s="3">
        <v>1584097</v>
      </c>
      <c r="C652" s="3">
        <v>1584140</v>
      </c>
      <c r="D652" s="1" t="s">
        <v>9</v>
      </c>
      <c r="E652" s="3">
        <v>44</v>
      </c>
      <c r="F652" s="1" t="s">
        <v>14308</v>
      </c>
      <c r="G652" s="1" t="s">
        <v>7117</v>
      </c>
    </row>
    <row r="653" spans="1:7" ht="21" x14ac:dyDescent="0.25">
      <c r="A653" s="2" t="str">
        <f>HYPERLINK("https://rth.dk/resources/bsgatlas/details.php?id=BSGatlas-3'UTR-652","BSGatlas-3'UTR-652")</f>
        <v>BSGatlas-3'UTR-652</v>
      </c>
      <c r="B653" s="3">
        <v>1586154</v>
      </c>
      <c r="C653" s="3">
        <v>1586182</v>
      </c>
      <c r="D653" s="1" t="s">
        <v>9</v>
      </c>
      <c r="E653" s="3">
        <v>29</v>
      </c>
      <c r="F653" s="1" t="s">
        <v>12676</v>
      </c>
      <c r="G653" s="1" t="s">
        <v>7121</v>
      </c>
    </row>
    <row r="654" spans="1:7" ht="21" x14ac:dyDescent="0.25">
      <c r="A654" s="2" t="str">
        <f>HYPERLINK("https://rth.dk/resources/bsgatlas/details.php?id=BSGatlas-3'UTR-653","BSGatlas-3'UTR-653")</f>
        <v>BSGatlas-3'UTR-653</v>
      </c>
      <c r="B654" s="3">
        <v>1591417</v>
      </c>
      <c r="C654" s="3">
        <v>1591516</v>
      </c>
      <c r="D654" s="1" t="s">
        <v>9</v>
      </c>
      <c r="E654" s="3">
        <v>100</v>
      </c>
      <c r="F654" s="1" t="s">
        <v>12678</v>
      </c>
      <c r="G654" s="1" t="s">
        <v>7124</v>
      </c>
    </row>
    <row r="655" spans="1:7" ht="21" x14ac:dyDescent="0.25">
      <c r="A655" s="2" t="str">
        <f>HYPERLINK("https://rth.dk/resources/bsgatlas/details.php?id=BSGatlas-3'UTR-654","BSGatlas-3'UTR-654")</f>
        <v>BSGatlas-3'UTR-654</v>
      </c>
      <c r="B655" s="3">
        <v>1593574</v>
      </c>
      <c r="C655" s="3">
        <v>1593614</v>
      </c>
      <c r="D655" s="1" t="s">
        <v>9</v>
      </c>
      <c r="E655" s="3">
        <v>41</v>
      </c>
      <c r="F655" s="1" t="s">
        <v>12679</v>
      </c>
      <c r="G655" s="1" t="s">
        <v>7126</v>
      </c>
    </row>
    <row r="656" spans="1:7" ht="21" x14ac:dyDescent="0.25">
      <c r="A656" s="2" t="str">
        <f>HYPERLINK("https://rth.dk/resources/bsgatlas/details.php?id=BSGatlas-3'UTR-655","BSGatlas-3'UTR-655")</f>
        <v>BSGatlas-3'UTR-655</v>
      </c>
      <c r="B656" s="3">
        <v>1598980</v>
      </c>
      <c r="C656" s="3">
        <v>1599012</v>
      </c>
      <c r="D656" s="1" t="s">
        <v>9</v>
      </c>
      <c r="E656" s="3">
        <v>33</v>
      </c>
      <c r="F656" s="1" t="s">
        <v>14309</v>
      </c>
      <c r="G656" s="1" t="s">
        <v>7145</v>
      </c>
    </row>
    <row r="657" spans="1:7" ht="21" x14ac:dyDescent="0.25">
      <c r="A657" s="2" t="str">
        <f>HYPERLINK("https://rth.dk/resources/bsgatlas/details.php?id=BSGatlas-3'UTR-656","BSGatlas-3'UTR-656")</f>
        <v>BSGatlas-3'UTR-656</v>
      </c>
      <c r="B657" s="3">
        <v>1603584</v>
      </c>
      <c r="C657" s="3">
        <v>1603603</v>
      </c>
      <c r="D657" s="1" t="s">
        <v>9</v>
      </c>
      <c r="E657" s="3">
        <v>20</v>
      </c>
      <c r="F657" s="1" t="s">
        <v>12682</v>
      </c>
      <c r="G657" s="1" t="s">
        <v>7147</v>
      </c>
    </row>
    <row r="658" spans="1:7" ht="21" x14ac:dyDescent="0.25">
      <c r="A658" s="2" t="str">
        <f>HYPERLINK("https://rth.dk/resources/bsgatlas/details.php?id=BSGatlas-3'UTR-657","BSGatlas-3'UTR-657")</f>
        <v>BSGatlas-3'UTR-657</v>
      </c>
      <c r="B658" s="3">
        <v>1606412</v>
      </c>
      <c r="C658" s="3">
        <v>1606461</v>
      </c>
      <c r="D658" s="1" t="s">
        <v>9</v>
      </c>
      <c r="E658" s="3">
        <v>50</v>
      </c>
      <c r="F658" s="1" t="s">
        <v>12684</v>
      </c>
      <c r="G658" s="1" t="s">
        <v>7153</v>
      </c>
    </row>
    <row r="659" spans="1:7" ht="21" x14ac:dyDescent="0.25">
      <c r="A659" s="2" t="str">
        <f>HYPERLINK("https://rth.dk/resources/bsgatlas/details.php?id=BSGatlas-3'UTR-658","BSGatlas-3'UTR-658")</f>
        <v>BSGatlas-3'UTR-658</v>
      </c>
      <c r="B659" s="3">
        <v>1629970</v>
      </c>
      <c r="C659" s="3">
        <v>1630055</v>
      </c>
      <c r="D659" s="1" t="s">
        <v>9</v>
      </c>
      <c r="E659" s="3">
        <v>86</v>
      </c>
      <c r="F659" s="1" t="s">
        <v>14310</v>
      </c>
      <c r="G659" s="1" t="s">
        <v>7181</v>
      </c>
    </row>
    <row r="660" spans="1:7" ht="21" x14ac:dyDescent="0.25">
      <c r="A660" s="2" t="str">
        <f>HYPERLINK("https://rth.dk/resources/bsgatlas/details.php?id=BSGatlas-3'UTR-659","BSGatlas-3'UTR-659")</f>
        <v>BSGatlas-3'UTR-659</v>
      </c>
      <c r="B660" s="3">
        <v>1636091</v>
      </c>
      <c r="C660" s="3">
        <v>1636130</v>
      </c>
      <c r="D660" s="1" t="s">
        <v>9</v>
      </c>
      <c r="E660" s="3">
        <v>40</v>
      </c>
      <c r="F660" s="1" t="s">
        <v>14311</v>
      </c>
      <c r="G660" s="1" t="s">
        <v>7190</v>
      </c>
    </row>
    <row r="661" spans="1:7" ht="21" x14ac:dyDescent="0.25">
      <c r="A661" s="2" t="str">
        <f>HYPERLINK("https://rth.dk/resources/bsgatlas/details.php?id=BSGatlas-3'UTR-660","BSGatlas-3'UTR-660")</f>
        <v>BSGatlas-3'UTR-660</v>
      </c>
      <c r="B661" s="3">
        <v>1636096</v>
      </c>
      <c r="C661" s="3">
        <v>1636131</v>
      </c>
      <c r="D661" s="1" t="s">
        <v>13</v>
      </c>
      <c r="E661" s="3">
        <v>36</v>
      </c>
      <c r="F661" s="1" t="s">
        <v>12696</v>
      </c>
      <c r="G661" s="1" t="s">
        <v>7194</v>
      </c>
    </row>
    <row r="662" spans="1:7" ht="21" x14ac:dyDescent="0.25">
      <c r="A662" s="2" t="str">
        <f>HYPERLINK("https://rth.dk/resources/bsgatlas/details.php?id=BSGatlas-3'UTR-661","BSGatlas-3'UTR-661")</f>
        <v>BSGatlas-3'UTR-661</v>
      </c>
      <c r="B662" s="3">
        <v>1640637</v>
      </c>
      <c r="C662" s="3">
        <v>1640696</v>
      </c>
      <c r="D662" s="1" t="s">
        <v>9</v>
      </c>
      <c r="E662" s="3">
        <v>60</v>
      </c>
      <c r="F662" s="1" t="s">
        <v>12697</v>
      </c>
      <c r="G662" s="1" t="s">
        <v>7197</v>
      </c>
    </row>
    <row r="663" spans="1:7" ht="21" x14ac:dyDescent="0.25">
      <c r="A663" s="2" t="str">
        <f>HYPERLINK("https://rth.dk/resources/bsgatlas/details.php?id=BSGatlas-3'UTR-662","BSGatlas-3'UTR-662")</f>
        <v>BSGatlas-3'UTR-662</v>
      </c>
      <c r="B663" s="3">
        <v>1650377</v>
      </c>
      <c r="C663" s="3">
        <v>1650459</v>
      </c>
      <c r="D663" s="1" t="s">
        <v>9</v>
      </c>
      <c r="E663" s="3">
        <v>83</v>
      </c>
      <c r="F663" s="1" t="s">
        <v>14312</v>
      </c>
      <c r="G663" s="1" t="s">
        <v>7201</v>
      </c>
    </row>
    <row r="664" spans="1:7" ht="21" x14ac:dyDescent="0.25">
      <c r="A664" s="2" t="str">
        <f>HYPERLINK("https://rth.dk/resources/bsgatlas/details.php?id=BSGatlas-3'UTR-663","BSGatlas-3'UTR-663")</f>
        <v>BSGatlas-3'UTR-663</v>
      </c>
      <c r="B664" s="3">
        <v>1655526</v>
      </c>
      <c r="C664" s="3">
        <v>1655608</v>
      </c>
      <c r="D664" s="1" t="s">
        <v>9</v>
      </c>
      <c r="E664" s="3">
        <v>83</v>
      </c>
      <c r="F664" s="1" t="s">
        <v>12703</v>
      </c>
      <c r="G664" s="1" t="s">
        <v>7211</v>
      </c>
    </row>
    <row r="665" spans="1:7" ht="21" x14ac:dyDescent="0.25">
      <c r="A665" s="2" t="str">
        <f>HYPERLINK("https://rth.dk/resources/bsgatlas/details.php?id=BSGatlas-3'UTR-664","BSGatlas-3'UTR-664")</f>
        <v>BSGatlas-3'UTR-664</v>
      </c>
      <c r="B665" s="3">
        <v>1665253</v>
      </c>
      <c r="C665" s="3">
        <v>1665294</v>
      </c>
      <c r="D665" s="1" t="s">
        <v>9</v>
      </c>
      <c r="E665" s="3">
        <v>42</v>
      </c>
      <c r="F665" s="1" t="s">
        <v>14313</v>
      </c>
      <c r="G665" s="1" t="s">
        <v>7224</v>
      </c>
    </row>
    <row r="666" spans="1:7" ht="21" x14ac:dyDescent="0.25">
      <c r="A666" s="2" t="str">
        <f>HYPERLINK("https://rth.dk/resources/bsgatlas/details.php?id=BSGatlas-3'UTR-665","BSGatlas-3'UTR-665")</f>
        <v>BSGatlas-3'UTR-665</v>
      </c>
      <c r="B666" s="3">
        <v>1670021</v>
      </c>
      <c r="C666" s="3">
        <v>1671166</v>
      </c>
      <c r="D666" s="1" t="s">
        <v>13</v>
      </c>
      <c r="E666" s="3">
        <v>1146</v>
      </c>
      <c r="F666" s="1" t="s">
        <v>12712</v>
      </c>
      <c r="G666" s="1" t="s">
        <v>7236</v>
      </c>
    </row>
    <row r="667" spans="1:7" ht="21" x14ac:dyDescent="0.25">
      <c r="A667" s="2" t="str">
        <f>HYPERLINK("https://rth.dk/resources/bsgatlas/details.php?id=BSGatlas-3'UTR-666","BSGatlas-3'UTR-666")</f>
        <v>BSGatlas-3'UTR-666</v>
      </c>
      <c r="B667" s="3">
        <v>1671121</v>
      </c>
      <c r="C667" s="3">
        <v>1671166</v>
      </c>
      <c r="D667" s="1" t="s">
        <v>13</v>
      </c>
      <c r="E667" s="3">
        <v>46</v>
      </c>
      <c r="F667" s="1" t="s">
        <v>12712</v>
      </c>
      <c r="G667" s="1" t="s">
        <v>7237</v>
      </c>
    </row>
    <row r="668" spans="1:7" ht="21" x14ac:dyDescent="0.25">
      <c r="A668" s="2" t="str">
        <f>HYPERLINK("https://rth.dk/resources/bsgatlas/details.php?id=BSGatlas-3'UTR-667","BSGatlas-3'UTR-667")</f>
        <v>BSGatlas-3'UTR-667</v>
      </c>
      <c r="B668" s="3">
        <v>1671129</v>
      </c>
      <c r="C668" s="3">
        <v>1671170</v>
      </c>
      <c r="D668" s="1" t="s">
        <v>9</v>
      </c>
      <c r="E668" s="3">
        <v>42</v>
      </c>
      <c r="F668" s="1" t="s">
        <v>12711</v>
      </c>
      <c r="G668" s="1" t="s">
        <v>7231</v>
      </c>
    </row>
    <row r="669" spans="1:7" ht="21" x14ac:dyDescent="0.25">
      <c r="A669" s="2" t="str">
        <f>HYPERLINK("https://rth.dk/resources/bsgatlas/details.php?id=BSGatlas-3'UTR-668","BSGatlas-3'UTR-668")</f>
        <v>BSGatlas-3'UTR-668</v>
      </c>
      <c r="B669" s="3">
        <v>1674137</v>
      </c>
      <c r="C669" s="3">
        <v>1674176</v>
      </c>
      <c r="D669" s="1" t="s">
        <v>9</v>
      </c>
      <c r="E669" s="3">
        <v>40</v>
      </c>
      <c r="F669" s="1" t="s">
        <v>14314</v>
      </c>
      <c r="G669" s="1" t="s">
        <v>7242</v>
      </c>
    </row>
    <row r="670" spans="1:7" ht="21" x14ac:dyDescent="0.25">
      <c r="A670" s="2" t="str">
        <f>HYPERLINK("https://rth.dk/resources/bsgatlas/details.php?id=BSGatlas-3'UTR-669","BSGatlas-3'UTR-669")</f>
        <v>BSGatlas-3'UTR-669</v>
      </c>
      <c r="B670" s="3">
        <v>1676389</v>
      </c>
      <c r="C670" s="3">
        <v>1676413</v>
      </c>
      <c r="D670" s="1" t="s">
        <v>9</v>
      </c>
      <c r="E670" s="3">
        <v>25</v>
      </c>
      <c r="F670" s="1" t="s">
        <v>12714</v>
      </c>
      <c r="G670" s="1" t="s">
        <v>7244</v>
      </c>
    </row>
    <row r="671" spans="1:7" ht="21" x14ac:dyDescent="0.25">
      <c r="A671" s="2" t="str">
        <f>HYPERLINK("https://rth.dk/resources/bsgatlas/details.php?id=BSGatlas-3'UTR-670","BSGatlas-3'UTR-670")</f>
        <v>BSGatlas-3'UTR-670</v>
      </c>
      <c r="B671" s="3">
        <v>1679980</v>
      </c>
      <c r="C671" s="3">
        <v>1680112</v>
      </c>
      <c r="D671" s="1" t="s">
        <v>9</v>
      </c>
      <c r="E671" s="3">
        <v>133</v>
      </c>
      <c r="F671" s="1" t="s">
        <v>14315</v>
      </c>
      <c r="G671" s="1" t="s">
        <v>7249</v>
      </c>
    </row>
    <row r="672" spans="1:7" ht="21" x14ac:dyDescent="0.25">
      <c r="A672" s="2" t="str">
        <f>HYPERLINK("https://rth.dk/resources/bsgatlas/details.php?id=BSGatlas-3'UTR-671","BSGatlas-3'UTR-671")</f>
        <v>BSGatlas-3'UTR-671</v>
      </c>
      <c r="B672" s="3">
        <v>1682519</v>
      </c>
      <c r="C672" s="3">
        <v>1682567</v>
      </c>
      <c r="D672" s="1" t="s">
        <v>9</v>
      </c>
      <c r="E672" s="3">
        <v>49</v>
      </c>
      <c r="F672" s="1" t="s">
        <v>14316</v>
      </c>
      <c r="G672" s="1" t="s">
        <v>7256</v>
      </c>
    </row>
    <row r="673" spans="1:7" ht="21" x14ac:dyDescent="0.25">
      <c r="A673" s="2" t="str">
        <f>HYPERLINK("https://rth.dk/resources/bsgatlas/details.php?id=BSGatlas-3'UTR-672","BSGatlas-3'UTR-672")</f>
        <v>BSGatlas-3'UTR-672</v>
      </c>
      <c r="B673" s="3">
        <v>1683473</v>
      </c>
      <c r="C673" s="3">
        <v>1683551</v>
      </c>
      <c r="D673" s="1" t="s">
        <v>9</v>
      </c>
      <c r="E673" s="3">
        <v>79</v>
      </c>
      <c r="F673" s="1" t="s">
        <v>14317</v>
      </c>
      <c r="G673" s="1" t="s">
        <v>7258</v>
      </c>
    </row>
    <row r="674" spans="1:7" ht="21" x14ac:dyDescent="0.25">
      <c r="A674" s="2" t="str">
        <f>HYPERLINK("https://rth.dk/resources/bsgatlas/details.php?id=BSGatlas-3'UTR-673","BSGatlas-3'UTR-673")</f>
        <v>BSGatlas-3'UTR-673</v>
      </c>
      <c r="B674" s="3">
        <v>1685736</v>
      </c>
      <c r="C674" s="3">
        <v>1685774</v>
      </c>
      <c r="D674" s="1" t="s">
        <v>9</v>
      </c>
      <c r="E674" s="3">
        <v>39</v>
      </c>
      <c r="F674" s="1" t="s">
        <v>12718</v>
      </c>
      <c r="G674" s="1" t="s">
        <v>7261</v>
      </c>
    </row>
    <row r="675" spans="1:7" ht="21" x14ac:dyDescent="0.25">
      <c r="A675" s="2" t="str">
        <f>HYPERLINK("https://rth.dk/resources/bsgatlas/details.php?id=BSGatlas-3'UTR-674","BSGatlas-3'UTR-674")</f>
        <v>BSGatlas-3'UTR-674</v>
      </c>
      <c r="B675" s="3">
        <v>1690898</v>
      </c>
      <c r="C675" s="3">
        <v>1690941</v>
      </c>
      <c r="D675" s="1" t="s">
        <v>9</v>
      </c>
      <c r="E675" s="3">
        <v>44</v>
      </c>
      <c r="F675" s="1" t="s">
        <v>14318</v>
      </c>
      <c r="G675" s="1" t="s">
        <v>7265</v>
      </c>
    </row>
    <row r="676" spans="1:7" ht="21" x14ac:dyDescent="0.25">
      <c r="A676" s="2" t="str">
        <f>HYPERLINK("https://rth.dk/resources/bsgatlas/details.php?id=BSGatlas-3'UTR-675","BSGatlas-3'UTR-675")</f>
        <v>BSGatlas-3'UTR-675</v>
      </c>
      <c r="B676" s="3">
        <v>1736804</v>
      </c>
      <c r="C676" s="3">
        <v>1736853</v>
      </c>
      <c r="D676" s="1" t="s">
        <v>9</v>
      </c>
      <c r="E676" s="3">
        <v>50</v>
      </c>
      <c r="F676" s="1" t="s">
        <v>14319</v>
      </c>
      <c r="G676" s="1" t="s">
        <v>7285</v>
      </c>
    </row>
    <row r="677" spans="1:7" ht="21" x14ac:dyDescent="0.25">
      <c r="A677" s="2" t="str">
        <f>HYPERLINK("https://rth.dk/resources/bsgatlas/details.php?id=BSGatlas-3'UTR-676","BSGatlas-3'UTR-676")</f>
        <v>BSGatlas-3'UTR-676</v>
      </c>
      <c r="B677" s="3">
        <v>1743846</v>
      </c>
      <c r="C677" s="3">
        <v>1743893</v>
      </c>
      <c r="D677" s="1" t="s">
        <v>9</v>
      </c>
      <c r="E677" s="3">
        <v>48</v>
      </c>
      <c r="F677" s="1" t="s">
        <v>12731</v>
      </c>
      <c r="G677" s="1" t="s">
        <v>7296</v>
      </c>
    </row>
    <row r="678" spans="1:7" ht="21" x14ac:dyDescent="0.25">
      <c r="A678" s="2" t="str">
        <f>HYPERLINK("https://rth.dk/resources/bsgatlas/details.php?id=BSGatlas-3'UTR-677","BSGatlas-3'UTR-677")</f>
        <v>BSGatlas-3'UTR-677</v>
      </c>
      <c r="B678" s="3">
        <v>1744181</v>
      </c>
      <c r="C678" s="3">
        <v>1744263</v>
      </c>
      <c r="D678" s="1" t="s">
        <v>9</v>
      </c>
      <c r="E678" s="3">
        <v>83</v>
      </c>
      <c r="F678" s="1" t="s">
        <v>12732</v>
      </c>
      <c r="G678" s="1" t="s">
        <v>7298</v>
      </c>
    </row>
    <row r="679" spans="1:7" ht="21" x14ac:dyDescent="0.25">
      <c r="A679" s="2" t="str">
        <f>HYPERLINK("https://rth.dk/resources/bsgatlas/details.php?id=BSGatlas-3'UTR-678","BSGatlas-3'UTR-678")</f>
        <v>BSGatlas-3'UTR-678</v>
      </c>
      <c r="B679" s="3">
        <v>1749240</v>
      </c>
      <c r="C679" s="3">
        <v>1749313</v>
      </c>
      <c r="D679" s="1" t="s">
        <v>9</v>
      </c>
      <c r="E679" s="3">
        <v>74</v>
      </c>
      <c r="F679" s="1" t="s">
        <v>14320</v>
      </c>
      <c r="G679" s="1" t="s">
        <v>7301</v>
      </c>
    </row>
    <row r="680" spans="1:7" ht="21" x14ac:dyDescent="0.25">
      <c r="A680" s="2" t="str">
        <f>HYPERLINK("https://rth.dk/resources/bsgatlas/details.php?id=BSGatlas-3'UTR-679","BSGatlas-3'UTR-679")</f>
        <v>BSGatlas-3'UTR-679</v>
      </c>
      <c r="B680" s="3">
        <v>1754641</v>
      </c>
      <c r="C680" s="3">
        <v>1754671</v>
      </c>
      <c r="D680" s="1" t="s">
        <v>9</v>
      </c>
      <c r="E680" s="3">
        <v>31</v>
      </c>
      <c r="F680" s="1" t="s">
        <v>12737</v>
      </c>
      <c r="G680" s="1" t="s">
        <v>7311</v>
      </c>
    </row>
    <row r="681" spans="1:7" ht="21" x14ac:dyDescent="0.25">
      <c r="A681" s="2" t="str">
        <f>HYPERLINK("https://rth.dk/resources/bsgatlas/details.php?id=BSGatlas-3'UTR-680","BSGatlas-3'UTR-680")</f>
        <v>BSGatlas-3'UTR-680</v>
      </c>
      <c r="B681" s="3">
        <v>1765691</v>
      </c>
      <c r="C681" s="3">
        <v>1765755</v>
      </c>
      <c r="D681" s="1" t="s">
        <v>9</v>
      </c>
      <c r="E681" s="3">
        <v>65</v>
      </c>
      <c r="F681" s="1" t="s">
        <v>12743</v>
      </c>
      <c r="G681" s="1" t="s">
        <v>7330</v>
      </c>
    </row>
    <row r="682" spans="1:7" ht="21" x14ac:dyDescent="0.25">
      <c r="A682" s="2" t="str">
        <f>HYPERLINK("https://rth.dk/resources/bsgatlas/details.php?id=BSGatlas-3'UTR-681","BSGatlas-3'UTR-681")</f>
        <v>BSGatlas-3'UTR-681</v>
      </c>
      <c r="B682" s="3">
        <v>1767034</v>
      </c>
      <c r="C682" s="3">
        <v>1767166</v>
      </c>
      <c r="D682" s="1" t="s">
        <v>9</v>
      </c>
      <c r="E682" s="3">
        <v>133</v>
      </c>
      <c r="F682" s="1" t="s">
        <v>12744</v>
      </c>
      <c r="G682" s="1" t="s">
        <v>7332</v>
      </c>
    </row>
    <row r="683" spans="1:7" ht="21" x14ac:dyDescent="0.25">
      <c r="A683" s="2" t="str">
        <f>HYPERLINK("https://rth.dk/resources/bsgatlas/details.php?id=BSGatlas-3'UTR-682","BSGatlas-3'UTR-682")</f>
        <v>BSGatlas-3'UTR-682</v>
      </c>
      <c r="B683" s="3">
        <v>1770195</v>
      </c>
      <c r="C683" s="3">
        <v>1770257</v>
      </c>
      <c r="D683" s="1" t="s">
        <v>9</v>
      </c>
      <c r="E683" s="3">
        <v>63</v>
      </c>
      <c r="F683" s="1" t="s">
        <v>12746</v>
      </c>
      <c r="G683" s="1" t="s">
        <v>7337</v>
      </c>
    </row>
    <row r="684" spans="1:7" ht="21" x14ac:dyDescent="0.25">
      <c r="A684" s="2" t="str">
        <f>HYPERLINK("https://rth.dk/resources/bsgatlas/details.php?id=BSGatlas-3'UTR-683","BSGatlas-3'UTR-683")</f>
        <v>BSGatlas-3'UTR-683</v>
      </c>
      <c r="B684" s="3">
        <v>1775612</v>
      </c>
      <c r="C684" s="3">
        <v>1775662</v>
      </c>
      <c r="D684" s="1" t="s">
        <v>9</v>
      </c>
      <c r="E684" s="3">
        <v>51</v>
      </c>
      <c r="F684" s="1" t="s">
        <v>12749</v>
      </c>
      <c r="G684" s="1" t="s">
        <v>7346</v>
      </c>
    </row>
    <row r="685" spans="1:7" ht="21" x14ac:dyDescent="0.25">
      <c r="A685" s="2" t="str">
        <f>HYPERLINK("https://rth.dk/resources/bsgatlas/details.php?id=BSGatlas-3'UTR-684","BSGatlas-3'UTR-684")</f>
        <v>BSGatlas-3'UTR-684</v>
      </c>
      <c r="B685" s="3">
        <v>1780123</v>
      </c>
      <c r="C685" s="3">
        <v>1780404</v>
      </c>
      <c r="D685" s="1" t="s">
        <v>13</v>
      </c>
      <c r="E685" s="3">
        <v>282</v>
      </c>
      <c r="F685" s="1" t="s">
        <v>14321</v>
      </c>
      <c r="G685" s="1" t="s">
        <v>7352</v>
      </c>
    </row>
    <row r="686" spans="1:7" ht="21" x14ac:dyDescent="0.25">
      <c r="A686" s="2" t="str">
        <f>HYPERLINK("https://rth.dk/resources/bsgatlas/details.php?id=BSGatlas-3'UTR-685","BSGatlas-3'UTR-685")</f>
        <v>BSGatlas-3'UTR-685</v>
      </c>
      <c r="B686" s="3">
        <v>1780220</v>
      </c>
      <c r="C686" s="3">
        <v>1780278</v>
      </c>
      <c r="D686" s="1" t="s">
        <v>9</v>
      </c>
      <c r="E686" s="3">
        <v>59</v>
      </c>
      <c r="F686" s="1" t="s">
        <v>14322</v>
      </c>
      <c r="G686" s="1" t="s">
        <v>7351</v>
      </c>
    </row>
    <row r="687" spans="1:7" ht="21" x14ac:dyDescent="0.25">
      <c r="A687" s="2" t="str">
        <f>HYPERLINK("https://rth.dk/resources/bsgatlas/details.php?id=BSGatlas-3'UTR-686","BSGatlas-3'UTR-686")</f>
        <v>BSGatlas-3'UTR-686</v>
      </c>
      <c r="B687" s="3">
        <v>1859986</v>
      </c>
      <c r="C687" s="3">
        <v>1860014</v>
      </c>
      <c r="D687" s="1" t="s">
        <v>13</v>
      </c>
      <c r="E687" s="3">
        <v>29</v>
      </c>
      <c r="F687" s="1" t="s">
        <v>12756</v>
      </c>
      <c r="G687" s="1" t="s">
        <v>7368</v>
      </c>
    </row>
    <row r="688" spans="1:7" ht="21" x14ac:dyDescent="0.25">
      <c r="A688" s="2" t="str">
        <f>HYPERLINK("https://rth.dk/resources/bsgatlas/details.php?id=BSGatlas-3'UTR-687","BSGatlas-3'UTR-687")</f>
        <v>BSGatlas-3'UTR-687</v>
      </c>
      <c r="B688" s="3">
        <v>1861326</v>
      </c>
      <c r="C688" s="3">
        <v>1861384</v>
      </c>
      <c r="D688" s="1" t="s">
        <v>13</v>
      </c>
      <c r="E688" s="3">
        <v>59</v>
      </c>
      <c r="F688" s="1" t="s">
        <v>12758</v>
      </c>
      <c r="G688" s="1" t="s">
        <v>7372</v>
      </c>
    </row>
    <row r="689" spans="1:7" ht="21" x14ac:dyDescent="0.25">
      <c r="A689" s="2" t="str">
        <f>HYPERLINK("https://rth.dk/resources/bsgatlas/details.php?id=BSGatlas-3'UTR-688","BSGatlas-3'UTR-688")</f>
        <v>BSGatlas-3'UTR-688</v>
      </c>
      <c r="B689" s="3">
        <v>1862917</v>
      </c>
      <c r="C689" s="3">
        <v>1864691</v>
      </c>
      <c r="D689" s="1" t="s">
        <v>13</v>
      </c>
      <c r="E689" s="3">
        <v>1775</v>
      </c>
      <c r="F689" s="1" t="s">
        <v>14323</v>
      </c>
      <c r="G689" s="1" t="s">
        <v>7377</v>
      </c>
    </row>
    <row r="690" spans="1:7" ht="21" x14ac:dyDescent="0.25">
      <c r="A690" s="2" t="str">
        <f>HYPERLINK("https://rth.dk/resources/bsgatlas/details.php?id=BSGatlas-3'UTR-689","BSGatlas-3'UTR-689")</f>
        <v>BSGatlas-3'UTR-689</v>
      </c>
      <c r="B690" s="3">
        <v>1865470</v>
      </c>
      <c r="C690" s="3">
        <v>1865512</v>
      </c>
      <c r="D690" s="1" t="s">
        <v>13</v>
      </c>
      <c r="E690" s="3">
        <v>43</v>
      </c>
      <c r="F690" s="1" t="s">
        <v>12763</v>
      </c>
      <c r="G690" s="1" t="s">
        <v>7385</v>
      </c>
    </row>
    <row r="691" spans="1:7" ht="21" x14ac:dyDescent="0.25">
      <c r="A691" s="2" t="str">
        <f>HYPERLINK("https://rth.dk/resources/bsgatlas/details.php?id=BSGatlas-3'UTR-690","BSGatlas-3'UTR-690")</f>
        <v>BSGatlas-3'UTR-690</v>
      </c>
      <c r="B691" s="3">
        <v>1867594</v>
      </c>
      <c r="C691" s="3">
        <v>1867616</v>
      </c>
      <c r="D691" s="1" t="s">
        <v>9</v>
      </c>
      <c r="E691" s="3">
        <v>23</v>
      </c>
      <c r="F691" s="1" t="s">
        <v>12766</v>
      </c>
      <c r="G691" s="1" t="s">
        <v>7389</v>
      </c>
    </row>
    <row r="692" spans="1:7" ht="21" x14ac:dyDescent="0.25">
      <c r="A692" s="2" t="str">
        <f>HYPERLINK("https://rth.dk/resources/bsgatlas/details.php?id=BSGatlas-3'UTR-691","BSGatlas-3'UTR-691")</f>
        <v>BSGatlas-3'UTR-691</v>
      </c>
      <c r="B692" s="3">
        <v>1868374</v>
      </c>
      <c r="C692" s="3">
        <v>1868430</v>
      </c>
      <c r="D692" s="1" t="s">
        <v>9</v>
      </c>
      <c r="E692" s="3">
        <v>57</v>
      </c>
      <c r="F692" s="1" t="s">
        <v>12767</v>
      </c>
      <c r="G692" s="1" t="s">
        <v>7394</v>
      </c>
    </row>
    <row r="693" spans="1:7" ht="21" x14ac:dyDescent="0.25">
      <c r="A693" s="2" t="str">
        <f>HYPERLINK("https://rth.dk/resources/bsgatlas/details.php?id=BSGatlas-3'UTR-692","BSGatlas-3'UTR-692")</f>
        <v>BSGatlas-3'UTR-692</v>
      </c>
      <c r="B693" s="3">
        <v>1872078</v>
      </c>
      <c r="C693" s="3">
        <v>1872102</v>
      </c>
      <c r="D693" s="1" t="s">
        <v>9</v>
      </c>
      <c r="E693" s="3">
        <v>25</v>
      </c>
      <c r="F693" s="1" t="s">
        <v>14324</v>
      </c>
      <c r="G693" s="1" t="s">
        <v>7396</v>
      </c>
    </row>
    <row r="694" spans="1:7" ht="21" x14ac:dyDescent="0.25">
      <c r="A694" s="2" t="str">
        <f>HYPERLINK("https://rth.dk/resources/bsgatlas/details.php?id=BSGatlas-3'UTR-693","BSGatlas-3'UTR-693")</f>
        <v>BSGatlas-3'UTR-693</v>
      </c>
      <c r="B694" s="3">
        <v>1872085</v>
      </c>
      <c r="C694" s="3">
        <v>1872812</v>
      </c>
      <c r="D694" s="1" t="s">
        <v>13</v>
      </c>
      <c r="E694" s="3">
        <v>728</v>
      </c>
      <c r="F694" s="1" t="s">
        <v>14325</v>
      </c>
      <c r="G694" s="1" t="s">
        <v>7403</v>
      </c>
    </row>
    <row r="695" spans="1:7" ht="21" x14ac:dyDescent="0.25">
      <c r="A695" s="2" t="str">
        <f>HYPERLINK("https://rth.dk/resources/bsgatlas/details.php?id=BSGatlas-3'UTR-694","BSGatlas-3'UTR-694")</f>
        <v>BSGatlas-3'UTR-694</v>
      </c>
      <c r="B695" s="3">
        <v>1872739</v>
      </c>
      <c r="C695" s="3">
        <v>1872812</v>
      </c>
      <c r="D695" s="1" t="s">
        <v>13</v>
      </c>
      <c r="E695" s="3">
        <v>74</v>
      </c>
      <c r="F695" s="1" t="s">
        <v>14325</v>
      </c>
      <c r="G695" s="1" t="s">
        <v>7404</v>
      </c>
    </row>
    <row r="696" spans="1:7" ht="21" x14ac:dyDescent="0.25">
      <c r="A696" s="2" t="str">
        <f>HYPERLINK("https://rth.dk/resources/bsgatlas/details.php?id=BSGatlas-3'UTR-695","BSGatlas-3'UTR-695")</f>
        <v>BSGatlas-3'UTR-695</v>
      </c>
      <c r="B696" s="3">
        <v>1872748</v>
      </c>
      <c r="C696" s="3">
        <v>1872795</v>
      </c>
      <c r="D696" s="1" t="s">
        <v>9</v>
      </c>
      <c r="E696" s="3">
        <v>48</v>
      </c>
      <c r="F696" s="1" t="s">
        <v>14326</v>
      </c>
      <c r="G696" s="1" t="s">
        <v>7398</v>
      </c>
    </row>
    <row r="697" spans="1:7" ht="21" x14ac:dyDescent="0.25">
      <c r="A697" s="2" t="str">
        <f>HYPERLINK("https://rth.dk/resources/bsgatlas/details.php?id=BSGatlas-3'UTR-696","BSGatlas-3'UTR-696")</f>
        <v>BSGatlas-3'UTR-696</v>
      </c>
      <c r="B697" s="3">
        <v>1875171</v>
      </c>
      <c r="C697" s="3">
        <v>1875210</v>
      </c>
      <c r="D697" s="1" t="s">
        <v>9</v>
      </c>
      <c r="E697" s="3">
        <v>40</v>
      </c>
      <c r="F697" s="1" t="s">
        <v>12769</v>
      </c>
      <c r="G697" s="1" t="s">
        <v>7408</v>
      </c>
    </row>
    <row r="698" spans="1:7" ht="21" x14ac:dyDescent="0.25">
      <c r="A698" s="2" t="str">
        <f>HYPERLINK("https://rth.dk/resources/bsgatlas/details.php?id=BSGatlas-3'UTR-697","BSGatlas-3'UTR-697")</f>
        <v>BSGatlas-3'UTR-697</v>
      </c>
      <c r="B698" s="3">
        <v>1879759</v>
      </c>
      <c r="C698" s="3">
        <v>1879809</v>
      </c>
      <c r="D698" s="1" t="s">
        <v>9</v>
      </c>
      <c r="E698" s="3">
        <v>51</v>
      </c>
      <c r="F698" s="1" t="s">
        <v>12772</v>
      </c>
      <c r="G698" s="1" t="s">
        <v>7416</v>
      </c>
    </row>
    <row r="699" spans="1:7" ht="21" x14ac:dyDescent="0.25">
      <c r="A699" s="2" t="str">
        <f>HYPERLINK("https://rth.dk/resources/bsgatlas/details.php?id=BSGatlas-3'UTR-698","BSGatlas-3'UTR-698")</f>
        <v>BSGatlas-3'UTR-698</v>
      </c>
      <c r="B699" s="3">
        <v>1880377</v>
      </c>
      <c r="C699" s="3">
        <v>1880414</v>
      </c>
      <c r="D699" s="1" t="s">
        <v>9</v>
      </c>
      <c r="E699" s="3">
        <v>38</v>
      </c>
      <c r="F699" s="1" t="s">
        <v>12773</v>
      </c>
      <c r="G699" s="1" t="s">
        <v>7421</v>
      </c>
    </row>
    <row r="700" spans="1:7" ht="21" x14ac:dyDescent="0.25">
      <c r="A700" s="2" t="str">
        <f>HYPERLINK("https://rth.dk/resources/bsgatlas/details.php?id=BSGatlas-3'UTR-699","BSGatlas-3'UTR-699")</f>
        <v>BSGatlas-3'UTR-699</v>
      </c>
      <c r="B700" s="3">
        <v>1882831</v>
      </c>
      <c r="C700" s="3">
        <v>1882849</v>
      </c>
      <c r="D700" s="1" t="s">
        <v>9</v>
      </c>
      <c r="E700" s="3">
        <v>19</v>
      </c>
      <c r="F700" s="1" t="s">
        <v>14327</v>
      </c>
      <c r="G700" s="1" t="s">
        <v>7425</v>
      </c>
    </row>
    <row r="701" spans="1:7" ht="21" x14ac:dyDescent="0.25">
      <c r="A701" s="2" t="str">
        <f>HYPERLINK("https://rth.dk/resources/bsgatlas/details.php?id=BSGatlas-3'UTR-700","BSGatlas-3'UTR-700")</f>
        <v>BSGatlas-3'UTR-700</v>
      </c>
      <c r="B701" s="3">
        <v>1882831</v>
      </c>
      <c r="C701" s="3">
        <v>1882915</v>
      </c>
      <c r="D701" s="1" t="s">
        <v>9</v>
      </c>
      <c r="E701" s="3">
        <v>85</v>
      </c>
      <c r="F701" s="1" t="s">
        <v>14327</v>
      </c>
      <c r="G701" s="1" t="s">
        <v>7426</v>
      </c>
    </row>
    <row r="702" spans="1:7" ht="21" x14ac:dyDescent="0.25">
      <c r="A702" s="2" t="str">
        <f>HYPERLINK("https://rth.dk/resources/bsgatlas/details.php?id=BSGatlas-3'UTR-701","BSGatlas-3'UTR-701")</f>
        <v>BSGatlas-3'UTR-701</v>
      </c>
      <c r="B702" s="3">
        <v>1890375</v>
      </c>
      <c r="C702" s="3">
        <v>1890428</v>
      </c>
      <c r="D702" s="1" t="s">
        <v>9</v>
      </c>
      <c r="E702" s="3">
        <v>54</v>
      </c>
      <c r="F702" s="1" t="s">
        <v>14328</v>
      </c>
      <c r="G702" s="1" t="s">
        <v>7432</v>
      </c>
    </row>
    <row r="703" spans="1:7" ht="21" x14ac:dyDescent="0.25">
      <c r="A703" s="2" t="str">
        <f>HYPERLINK("https://rth.dk/resources/bsgatlas/details.php?id=BSGatlas-3'UTR-702","BSGatlas-3'UTR-702")</f>
        <v>BSGatlas-3'UTR-702</v>
      </c>
      <c r="B703" s="3">
        <v>1890460</v>
      </c>
      <c r="C703" s="3">
        <v>1890512</v>
      </c>
      <c r="D703" s="1" t="s">
        <v>13</v>
      </c>
      <c r="E703" s="3">
        <v>53</v>
      </c>
      <c r="F703" s="1" t="s">
        <v>12778</v>
      </c>
      <c r="G703" s="1" t="s">
        <v>7435</v>
      </c>
    </row>
    <row r="704" spans="1:7" ht="21" x14ac:dyDescent="0.25">
      <c r="A704" s="2" t="str">
        <f>HYPERLINK("https://rth.dk/resources/bsgatlas/details.php?id=BSGatlas-3'UTR-703","BSGatlas-3'UTR-703")</f>
        <v>BSGatlas-3'UTR-703</v>
      </c>
      <c r="B704" s="3">
        <v>1893245</v>
      </c>
      <c r="C704" s="3">
        <v>1893299</v>
      </c>
      <c r="D704" s="1" t="s">
        <v>9</v>
      </c>
      <c r="E704" s="3">
        <v>55</v>
      </c>
      <c r="F704" s="1" t="s">
        <v>12779</v>
      </c>
      <c r="G704" s="1" t="s">
        <v>7437</v>
      </c>
    </row>
    <row r="705" spans="1:7" ht="21" x14ac:dyDescent="0.25">
      <c r="A705" s="2" t="str">
        <f>HYPERLINK("https://rth.dk/resources/bsgatlas/details.php?id=BSGatlas-3'UTR-704","BSGatlas-3'UTR-704")</f>
        <v>BSGatlas-3'UTR-704</v>
      </c>
      <c r="B705" s="3">
        <v>1894895</v>
      </c>
      <c r="C705" s="3">
        <v>1895236</v>
      </c>
      <c r="D705" s="1" t="s">
        <v>9</v>
      </c>
      <c r="E705" s="3">
        <v>342</v>
      </c>
      <c r="F705" s="1" t="s">
        <v>14329</v>
      </c>
      <c r="G705" s="1" t="s">
        <v>7439</v>
      </c>
    </row>
    <row r="706" spans="1:7" ht="21" x14ac:dyDescent="0.25">
      <c r="A706" s="2" t="str">
        <f>HYPERLINK("https://rth.dk/resources/bsgatlas/details.php?id=BSGatlas-3'UTR-705","BSGatlas-3'UTR-705")</f>
        <v>BSGatlas-3'UTR-705</v>
      </c>
      <c r="B706" s="3">
        <v>1897884</v>
      </c>
      <c r="C706" s="3">
        <v>1897941</v>
      </c>
      <c r="D706" s="1" t="s">
        <v>13</v>
      </c>
      <c r="E706" s="3">
        <v>58</v>
      </c>
      <c r="F706" s="1" t="s">
        <v>12782</v>
      </c>
      <c r="G706" s="1" t="s">
        <v>7445</v>
      </c>
    </row>
    <row r="707" spans="1:7" ht="21" x14ac:dyDescent="0.25">
      <c r="A707" s="2" t="str">
        <f>HYPERLINK("https://rth.dk/resources/bsgatlas/details.php?id=BSGatlas-3'UTR-706","BSGatlas-3'UTR-706")</f>
        <v>BSGatlas-3'UTR-706</v>
      </c>
      <c r="B707" s="3">
        <v>1900230</v>
      </c>
      <c r="C707" s="3">
        <v>1900570</v>
      </c>
      <c r="D707" s="1" t="s">
        <v>13</v>
      </c>
      <c r="E707" s="3">
        <v>341</v>
      </c>
      <c r="F707" s="1" t="s">
        <v>14330</v>
      </c>
      <c r="G707" s="1" t="s">
        <v>7449</v>
      </c>
    </row>
    <row r="708" spans="1:7" ht="21" x14ac:dyDescent="0.25">
      <c r="A708" s="2" t="str">
        <f>HYPERLINK("https://rth.dk/resources/bsgatlas/details.php?id=BSGatlas-3'UTR-707","BSGatlas-3'UTR-707")</f>
        <v>BSGatlas-3'UTR-707</v>
      </c>
      <c r="B708" s="3">
        <v>1901095</v>
      </c>
      <c r="C708" s="3">
        <v>1901117</v>
      </c>
      <c r="D708" s="1" t="s">
        <v>13</v>
      </c>
      <c r="E708" s="3">
        <v>23</v>
      </c>
      <c r="F708" s="1" t="s">
        <v>12784</v>
      </c>
      <c r="G708" s="1" t="s">
        <v>7452</v>
      </c>
    </row>
    <row r="709" spans="1:7" ht="21" x14ac:dyDescent="0.25">
      <c r="A709" s="2" t="str">
        <f>HYPERLINK("https://rth.dk/resources/bsgatlas/details.php?id=BSGatlas-3'UTR-708","BSGatlas-3'UTR-708")</f>
        <v>BSGatlas-3'UTR-708</v>
      </c>
      <c r="B709" s="3">
        <v>1903142</v>
      </c>
      <c r="C709" s="3">
        <v>1903181</v>
      </c>
      <c r="D709" s="1" t="s">
        <v>13</v>
      </c>
      <c r="E709" s="3">
        <v>40</v>
      </c>
      <c r="F709" s="1" t="s">
        <v>14331</v>
      </c>
      <c r="G709" s="1" t="s">
        <v>7457</v>
      </c>
    </row>
    <row r="710" spans="1:7" ht="21" x14ac:dyDescent="0.25">
      <c r="A710" s="2" t="str">
        <f>HYPERLINK("https://rth.dk/resources/bsgatlas/details.php?id=BSGatlas-3'UTR-709","BSGatlas-3'UTR-709")</f>
        <v>BSGatlas-3'UTR-709</v>
      </c>
      <c r="B710" s="3">
        <v>1903490</v>
      </c>
      <c r="C710" s="3">
        <v>1905200</v>
      </c>
      <c r="D710" s="1" t="s">
        <v>9</v>
      </c>
      <c r="E710" s="3">
        <v>1711</v>
      </c>
      <c r="F710" s="1" t="s">
        <v>14332</v>
      </c>
      <c r="G710" s="1" t="s">
        <v>7460</v>
      </c>
    </row>
    <row r="711" spans="1:7" ht="21" x14ac:dyDescent="0.25">
      <c r="A711" s="2" t="str">
        <f>HYPERLINK("https://rth.dk/resources/bsgatlas/details.php?id=BSGatlas-3'UTR-710","BSGatlas-3'UTR-710")</f>
        <v>BSGatlas-3'UTR-710</v>
      </c>
      <c r="B711" s="3">
        <v>1903494</v>
      </c>
      <c r="C711" s="3">
        <v>1903511</v>
      </c>
      <c r="D711" s="1" t="s">
        <v>13</v>
      </c>
      <c r="E711" s="3">
        <v>18</v>
      </c>
      <c r="F711" s="1" t="s">
        <v>12786</v>
      </c>
      <c r="G711" s="1" t="s">
        <v>7462</v>
      </c>
    </row>
    <row r="712" spans="1:7" ht="21" x14ac:dyDescent="0.25">
      <c r="A712" s="2" t="str">
        <f>HYPERLINK("https://rth.dk/resources/bsgatlas/details.php?id=BSGatlas-3'UTR-711","BSGatlas-3'UTR-711")</f>
        <v>BSGatlas-3'UTR-711</v>
      </c>
      <c r="B712" s="3">
        <v>1904930</v>
      </c>
      <c r="C712" s="3">
        <v>1904995</v>
      </c>
      <c r="D712" s="1" t="s">
        <v>13</v>
      </c>
      <c r="E712" s="3">
        <v>66</v>
      </c>
      <c r="F712" s="1" t="s">
        <v>12788</v>
      </c>
      <c r="G712" s="1" t="s">
        <v>7465</v>
      </c>
    </row>
    <row r="713" spans="1:7" ht="21" x14ac:dyDescent="0.25">
      <c r="A713" s="2" t="str">
        <f>HYPERLINK("https://rth.dk/resources/bsgatlas/details.php?id=BSGatlas-3'UTR-712","BSGatlas-3'UTR-712")</f>
        <v>BSGatlas-3'UTR-712</v>
      </c>
      <c r="B713" s="3">
        <v>1906207</v>
      </c>
      <c r="C713" s="3">
        <v>1906282</v>
      </c>
      <c r="D713" s="1" t="s">
        <v>9</v>
      </c>
      <c r="E713" s="3">
        <v>76</v>
      </c>
      <c r="F713" s="1" t="s">
        <v>14333</v>
      </c>
      <c r="G713" s="1" t="s">
        <v>7470</v>
      </c>
    </row>
    <row r="714" spans="1:7" ht="21" x14ac:dyDescent="0.25">
      <c r="A714" s="2" t="str">
        <f>HYPERLINK("https://rth.dk/resources/bsgatlas/details.php?id=BSGatlas-3'UTR-713","BSGatlas-3'UTR-713")</f>
        <v>BSGatlas-3'UTR-713</v>
      </c>
      <c r="B714" s="3">
        <v>1907201</v>
      </c>
      <c r="C714" s="3">
        <v>1907268</v>
      </c>
      <c r="D714" s="1" t="s">
        <v>9</v>
      </c>
      <c r="E714" s="3">
        <v>68</v>
      </c>
      <c r="F714" s="1" t="s">
        <v>14334</v>
      </c>
      <c r="G714" s="1" t="s">
        <v>7472</v>
      </c>
    </row>
    <row r="715" spans="1:7" ht="21" x14ac:dyDescent="0.25">
      <c r="A715" s="2" t="str">
        <f>HYPERLINK("https://rth.dk/resources/bsgatlas/details.php?id=BSGatlas-3'UTR-714","BSGatlas-3'UTR-714")</f>
        <v>BSGatlas-3'UTR-714</v>
      </c>
      <c r="B715" s="3">
        <v>1911381</v>
      </c>
      <c r="C715" s="3">
        <v>1911431</v>
      </c>
      <c r="D715" s="1" t="s">
        <v>9</v>
      </c>
      <c r="E715" s="3">
        <v>51</v>
      </c>
      <c r="F715" s="1" t="s">
        <v>14335</v>
      </c>
      <c r="G715" s="1" t="s">
        <v>7478</v>
      </c>
    </row>
    <row r="716" spans="1:7" ht="21" x14ac:dyDescent="0.25">
      <c r="A716" s="2" t="str">
        <f>HYPERLINK("https://rth.dk/resources/bsgatlas/details.php?id=BSGatlas-3'UTR-715","BSGatlas-3'UTR-715")</f>
        <v>BSGatlas-3'UTR-715</v>
      </c>
      <c r="B716" s="3">
        <v>1914200</v>
      </c>
      <c r="C716" s="3">
        <v>1914991</v>
      </c>
      <c r="D716" s="1" t="s">
        <v>13</v>
      </c>
      <c r="E716" s="3">
        <v>792</v>
      </c>
      <c r="F716" s="1" t="s">
        <v>14336</v>
      </c>
      <c r="G716" s="1" t="s">
        <v>7484</v>
      </c>
    </row>
    <row r="717" spans="1:7" ht="21" x14ac:dyDescent="0.25">
      <c r="A717" s="2" t="str">
        <f>HYPERLINK("https://rth.dk/resources/bsgatlas/details.php?id=BSGatlas-3'UTR-716","BSGatlas-3'UTR-716")</f>
        <v>BSGatlas-3'UTR-716</v>
      </c>
      <c r="B717" s="3">
        <v>1915761</v>
      </c>
      <c r="C717" s="3">
        <v>1916006</v>
      </c>
      <c r="D717" s="1" t="s">
        <v>13</v>
      </c>
      <c r="E717" s="3">
        <v>246</v>
      </c>
      <c r="F717" s="1" t="s">
        <v>14337</v>
      </c>
      <c r="G717" s="1" t="s">
        <v>7491</v>
      </c>
    </row>
    <row r="718" spans="1:7" ht="21" x14ac:dyDescent="0.25">
      <c r="A718" s="2" t="str">
        <f>HYPERLINK("https://rth.dk/resources/bsgatlas/details.php?id=BSGatlas-3'UTR-717","BSGatlas-3'UTR-717")</f>
        <v>BSGatlas-3'UTR-717</v>
      </c>
      <c r="B718" s="3">
        <v>1915979</v>
      </c>
      <c r="C718" s="3">
        <v>1916027</v>
      </c>
      <c r="D718" s="1" t="s">
        <v>9</v>
      </c>
      <c r="E718" s="3">
        <v>49</v>
      </c>
      <c r="F718" s="1" t="s">
        <v>12793</v>
      </c>
      <c r="G718" s="1" t="s">
        <v>7488</v>
      </c>
    </row>
    <row r="719" spans="1:7" ht="21" x14ac:dyDescent="0.25">
      <c r="A719" s="2" t="str">
        <f>HYPERLINK("https://rth.dk/resources/bsgatlas/details.php?id=BSGatlas-3'UTR-718","BSGatlas-3'UTR-718")</f>
        <v>BSGatlas-3'UTR-718</v>
      </c>
      <c r="B719" s="3">
        <v>1917569</v>
      </c>
      <c r="C719" s="3">
        <v>1917639</v>
      </c>
      <c r="D719" s="1" t="s">
        <v>13</v>
      </c>
      <c r="E719" s="3">
        <v>71</v>
      </c>
      <c r="F719" s="1" t="s">
        <v>12796</v>
      </c>
      <c r="G719" s="1" t="s">
        <v>7496</v>
      </c>
    </row>
    <row r="720" spans="1:7" ht="21" x14ac:dyDescent="0.25">
      <c r="A720" s="2" t="str">
        <f>HYPERLINK("https://rth.dk/resources/bsgatlas/details.php?id=BSGatlas-3'UTR-719","BSGatlas-3'UTR-719")</f>
        <v>BSGatlas-3'UTR-719</v>
      </c>
      <c r="B720" s="3">
        <v>1917618</v>
      </c>
      <c r="C720" s="3">
        <v>1917639</v>
      </c>
      <c r="D720" s="1" t="s">
        <v>13</v>
      </c>
      <c r="E720" s="3">
        <v>22</v>
      </c>
      <c r="F720" s="1" t="s">
        <v>12796</v>
      </c>
      <c r="G720" s="1" t="s">
        <v>7499</v>
      </c>
    </row>
    <row r="721" spans="1:7" ht="21" x14ac:dyDescent="0.25">
      <c r="A721" s="2" t="str">
        <f>HYPERLINK("https://rth.dk/resources/bsgatlas/details.php?id=BSGatlas-3'UTR-720","BSGatlas-3'UTR-720")</f>
        <v>BSGatlas-3'UTR-720</v>
      </c>
      <c r="B721" s="3">
        <v>1919692</v>
      </c>
      <c r="C721" s="3">
        <v>1919739</v>
      </c>
      <c r="D721" s="1" t="s">
        <v>9</v>
      </c>
      <c r="E721" s="3">
        <v>48</v>
      </c>
      <c r="F721" s="1" t="s">
        <v>12798</v>
      </c>
      <c r="G721" s="1" t="s">
        <v>7502</v>
      </c>
    </row>
    <row r="722" spans="1:7" ht="21" x14ac:dyDescent="0.25">
      <c r="A722" s="2" t="str">
        <f>HYPERLINK("https://rth.dk/resources/bsgatlas/details.php?id=BSGatlas-3'UTR-721","BSGatlas-3'UTR-721")</f>
        <v>BSGatlas-3'UTR-721</v>
      </c>
      <c r="B722" s="3">
        <v>1921864</v>
      </c>
      <c r="C722" s="3">
        <v>1921911</v>
      </c>
      <c r="D722" s="1" t="s">
        <v>9</v>
      </c>
      <c r="E722" s="3">
        <v>48</v>
      </c>
      <c r="F722" s="1" t="s">
        <v>12799</v>
      </c>
      <c r="G722" s="1" t="s">
        <v>7505</v>
      </c>
    </row>
    <row r="723" spans="1:7" ht="21" x14ac:dyDescent="0.25">
      <c r="A723" s="2" t="str">
        <f>HYPERLINK("https://rth.dk/resources/bsgatlas/details.php?id=BSGatlas-3'UTR-722","BSGatlas-3'UTR-722")</f>
        <v>BSGatlas-3'UTR-722</v>
      </c>
      <c r="B723" s="3">
        <v>1922767</v>
      </c>
      <c r="C723" s="3">
        <v>1922801</v>
      </c>
      <c r="D723" s="1" t="s">
        <v>9</v>
      </c>
      <c r="E723" s="3">
        <v>35</v>
      </c>
      <c r="F723" s="1" t="s">
        <v>12801</v>
      </c>
      <c r="G723" s="1" t="s">
        <v>7509</v>
      </c>
    </row>
    <row r="724" spans="1:7" ht="21" x14ac:dyDescent="0.25">
      <c r="A724" s="2" t="str">
        <f>HYPERLINK("https://rth.dk/resources/bsgatlas/details.php?id=BSGatlas-3'UTR-723","BSGatlas-3'UTR-723")</f>
        <v>BSGatlas-3'UTR-723</v>
      </c>
      <c r="B724" s="3">
        <v>1922767</v>
      </c>
      <c r="C724" s="3">
        <v>1922841</v>
      </c>
      <c r="D724" s="1" t="s">
        <v>9</v>
      </c>
      <c r="E724" s="3">
        <v>75</v>
      </c>
      <c r="F724" s="1" t="s">
        <v>12801</v>
      </c>
      <c r="G724" s="1" t="s">
        <v>7510</v>
      </c>
    </row>
    <row r="725" spans="1:7" ht="21" x14ac:dyDescent="0.25">
      <c r="A725" s="2" t="str">
        <f>HYPERLINK("https://rth.dk/resources/bsgatlas/details.php?id=BSGatlas-3'UTR-724","BSGatlas-3'UTR-724")</f>
        <v>BSGatlas-3'UTR-724</v>
      </c>
      <c r="B725" s="3">
        <v>1922799</v>
      </c>
      <c r="C725" s="3">
        <v>1922841</v>
      </c>
      <c r="D725" s="1" t="s">
        <v>13</v>
      </c>
      <c r="E725" s="3">
        <v>43</v>
      </c>
      <c r="F725" s="1" t="s">
        <v>12802</v>
      </c>
      <c r="G725" s="1" t="s">
        <v>7513</v>
      </c>
    </row>
    <row r="726" spans="1:7" ht="21" x14ac:dyDescent="0.25">
      <c r="A726" s="2" t="str">
        <f>HYPERLINK("https://rth.dk/resources/bsgatlas/details.php?id=BSGatlas-3'UTR-725","BSGatlas-3'UTR-725")</f>
        <v>BSGatlas-3'UTR-725</v>
      </c>
      <c r="B726" s="3">
        <v>1924952</v>
      </c>
      <c r="C726" s="3">
        <v>1924993</v>
      </c>
      <c r="D726" s="1" t="s">
        <v>13</v>
      </c>
      <c r="E726" s="3">
        <v>42</v>
      </c>
      <c r="F726" s="1" t="s">
        <v>12806</v>
      </c>
      <c r="G726" s="1" t="s">
        <v>7523</v>
      </c>
    </row>
    <row r="727" spans="1:7" ht="21" x14ac:dyDescent="0.25">
      <c r="A727" s="2" t="str">
        <f>HYPERLINK("https://rth.dk/resources/bsgatlas/details.php?id=BSGatlas-3'UTR-726","BSGatlas-3'UTR-726")</f>
        <v>BSGatlas-3'UTR-726</v>
      </c>
      <c r="B727" s="3">
        <v>1924962</v>
      </c>
      <c r="C727" s="3">
        <v>1925003</v>
      </c>
      <c r="D727" s="1" t="s">
        <v>9</v>
      </c>
      <c r="E727" s="3">
        <v>42</v>
      </c>
      <c r="F727" s="1" t="s">
        <v>12805</v>
      </c>
      <c r="G727" s="1" t="s">
        <v>7518</v>
      </c>
    </row>
    <row r="728" spans="1:7" ht="21" x14ac:dyDescent="0.25">
      <c r="A728" s="2" t="str">
        <f>HYPERLINK("https://rth.dk/resources/bsgatlas/details.php?id=BSGatlas-3'UTR-727","BSGatlas-3'UTR-727")</f>
        <v>BSGatlas-3'UTR-727</v>
      </c>
      <c r="B728" s="3">
        <v>1925601</v>
      </c>
      <c r="C728" s="3">
        <v>1925655</v>
      </c>
      <c r="D728" s="1" t="s">
        <v>13</v>
      </c>
      <c r="E728" s="3">
        <v>55</v>
      </c>
      <c r="F728" s="1" t="s">
        <v>14338</v>
      </c>
      <c r="G728" s="1" t="s">
        <v>7528</v>
      </c>
    </row>
    <row r="729" spans="1:7" ht="21" x14ac:dyDescent="0.25">
      <c r="A729" s="2" t="str">
        <f>HYPERLINK("https://rth.dk/resources/bsgatlas/details.php?id=BSGatlas-3'UTR-728","BSGatlas-3'UTR-728")</f>
        <v>BSGatlas-3'UTR-728</v>
      </c>
      <c r="B729" s="3">
        <v>1926091</v>
      </c>
      <c r="C729" s="3">
        <v>1926128</v>
      </c>
      <c r="D729" s="1" t="s">
        <v>13</v>
      </c>
      <c r="E729" s="3">
        <v>38</v>
      </c>
      <c r="F729" s="1" t="s">
        <v>14339</v>
      </c>
      <c r="G729" s="1" t="s">
        <v>7537</v>
      </c>
    </row>
    <row r="730" spans="1:7" ht="21" x14ac:dyDescent="0.25">
      <c r="A730" s="2" t="str">
        <f>HYPERLINK("https://rth.dk/resources/bsgatlas/details.php?id=BSGatlas-3'UTR-729","BSGatlas-3'UTR-729")</f>
        <v>BSGatlas-3'UTR-729</v>
      </c>
      <c r="B730" s="3">
        <v>1929409</v>
      </c>
      <c r="C730" s="3">
        <v>1929459</v>
      </c>
      <c r="D730" s="1" t="s">
        <v>9</v>
      </c>
      <c r="E730" s="3">
        <v>51</v>
      </c>
      <c r="F730" s="1" t="s">
        <v>12808</v>
      </c>
      <c r="G730" s="1" t="s">
        <v>7530</v>
      </c>
    </row>
    <row r="731" spans="1:7" ht="21" x14ac:dyDescent="0.25">
      <c r="A731" s="2" t="str">
        <f>HYPERLINK("https://rth.dk/resources/bsgatlas/details.php?id=BSGatlas-3'UTR-730","BSGatlas-3'UTR-730")</f>
        <v>BSGatlas-3'UTR-730</v>
      </c>
      <c r="B731" s="3">
        <v>1929993</v>
      </c>
      <c r="C731" s="3">
        <v>1930014</v>
      </c>
      <c r="D731" s="1" t="s">
        <v>9</v>
      </c>
      <c r="E731" s="3">
        <v>22</v>
      </c>
      <c r="F731" s="1" t="s">
        <v>14340</v>
      </c>
      <c r="G731" s="1" t="s">
        <v>7533</v>
      </c>
    </row>
    <row r="732" spans="1:7" ht="21" x14ac:dyDescent="0.25">
      <c r="A732" s="2" t="str">
        <f>HYPERLINK("https://rth.dk/resources/bsgatlas/details.php?id=BSGatlas-3'UTR-731","BSGatlas-3'UTR-731")</f>
        <v>BSGatlas-3'UTR-731</v>
      </c>
      <c r="B732" s="3">
        <v>1930070</v>
      </c>
      <c r="C732" s="3">
        <v>1931545</v>
      </c>
      <c r="D732" s="1" t="s">
        <v>13</v>
      </c>
      <c r="E732" s="3">
        <v>1476</v>
      </c>
      <c r="F732" s="1" t="s">
        <v>12813</v>
      </c>
      <c r="G732" s="1" t="s">
        <v>7544</v>
      </c>
    </row>
    <row r="733" spans="1:7" ht="21" x14ac:dyDescent="0.25">
      <c r="A733" s="2" t="str">
        <f>HYPERLINK("https://rth.dk/resources/bsgatlas/details.php?id=BSGatlas-3'UTR-732","BSGatlas-3'UTR-732")</f>
        <v>BSGatlas-3'UTR-732</v>
      </c>
      <c r="B733" s="3">
        <v>1930698</v>
      </c>
      <c r="C733" s="3">
        <v>1930731</v>
      </c>
      <c r="D733" s="1" t="s">
        <v>9</v>
      </c>
      <c r="E733" s="3">
        <v>34</v>
      </c>
      <c r="F733" s="1" t="s">
        <v>14341</v>
      </c>
      <c r="G733" s="1" t="s">
        <v>7549</v>
      </c>
    </row>
    <row r="734" spans="1:7" ht="21" x14ac:dyDescent="0.25">
      <c r="A734" s="2" t="str">
        <f>HYPERLINK("https://rth.dk/resources/bsgatlas/details.php?id=BSGatlas-3'UTR-733","BSGatlas-3'UTR-733")</f>
        <v>BSGatlas-3'UTR-733</v>
      </c>
      <c r="B734" s="3">
        <v>1933078</v>
      </c>
      <c r="C734" s="3">
        <v>1933096</v>
      </c>
      <c r="D734" s="1" t="s">
        <v>9</v>
      </c>
      <c r="E734" s="3">
        <v>19</v>
      </c>
      <c r="F734" s="1" t="s">
        <v>12815</v>
      </c>
      <c r="G734" s="1" t="s">
        <v>7557</v>
      </c>
    </row>
    <row r="735" spans="1:7" ht="21" x14ac:dyDescent="0.25">
      <c r="A735" s="2" t="str">
        <f>HYPERLINK("https://rth.dk/resources/bsgatlas/details.php?id=BSGatlas-3'UTR-734","BSGatlas-3'UTR-734")</f>
        <v>BSGatlas-3'UTR-734</v>
      </c>
      <c r="B735" s="3">
        <v>1937868</v>
      </c>
      <c r="C735" s="3">
        <v>1937913</v>
      </c>
      <c r="D735" s="1" t="s">
        <v>9</v>
      </c>
      <c r="E735" s="3">
        <v>46</v>
      </c>
      <c r="F735" s="1" t="s">
        <v>14342</v>
      </c>
      <c r="G735" s="1" t="s">
        <v>7561</v>
      </c>
    </row>
    <row r="736" spans="1:7" ht="21" x14ac:dyDescent="0.25">
      <c r="A736" s="2" t="str">
        <f>HYPERLINK("https://rth.dk/resources/bsgatlas/details.php?id=BSGatlas-3'UTR-735","BSGatlas-3'UTR-735")</f>
        <v>BSGatlas-3'UTR-735</v>
      </c>
      <c r="B736" s="3">
        <v>1937897</v>
      </c>
      <c r="C736" s="3">
        <v>1937915</v>
      </c>
      <c r="D736" s="1" t="s">
        <v>13</v>
      </c>
      <c r="E736" s="3">
        <v>19</v>
      </c>
      <c r="F736" s="1" t="s">
        <v>14343</v>
      </c>
      <c r="G736" s="1" t="s">
        <v>7562</v>
      </c>
    </row>
    <row r="737" spans="1:7" ht="21" x14ac:dyDescent="0.25">
      <c r="A737" s="2" t="str">
        <f>HYPERLINK("https://rth.dk/resources/bsgatlas/details.php?id=BSGatlas-3'UTR-736","BSGatlas-3'UTR-736")</f>
        <v>BSGatlas-3'UTR-736</v>
      </c>
      <c r="B737" s="3">
        <v>1940322</v>
      </c>
      <c r="C737" s="3">
        <v>1940379</v>
      </c>
      <c r="D737" s="1" t="s">
        <v>9</v>
      </c>
      <c r="E737" s="3">
        <v>58</v>
      </c>
      <c r="F737" s="1" t="s">
        <v>12818</v>
      </c>
      <c r="G737" s="1" t="s">
        <v>7568</v>
      </c>
    </row>
    <row r="738" spans="1:7" ht="21" x14ac:dyDescent="0.25">
      <c r="A738" s="2" t="str">
        <f>HYPERLINK("https://rth.dk/resources/bsgatlas/details.php?id=BSGatlas-3'UTR-737","BSGatlas-3'UTR-737")</f>
        <v>BSGatlas-3'UTR-737</v>
      </c>
      <c r="B738" s="3">
        <v>1942124</v>
      </c>
      <c r="C738" s="3">
        <v>1942177</v>
      </c>
      <c r="D738" s="1" t="s">
        <v>9</v>
      </c>
      <c r="E738" s="3">
        <v>54</v>
      </c>
      <c r="F738" s="1" t="s">
        <v>12819</v>
      </c>
      <c r="G738" s="1" t="s">
        <v>7572</v>
      </c>
    </row>
    <row r="739" spans="1:7" ht="21" x14ac:dyDescent="0.25">
      <c r="A739" s="2" t="str">
        <f>HYPERLINK("https://rth.dk/resources/bsgatlas/details.php?id=BSGatlas-3'UTR-738","BSGatlas-3'UTR-738")</f>
        <v>BSGatlas-3'UTR-738</v>
      </c>
      <c r="B739" s="3">
        <v>1942692</v>
      </c>
      <c r="C739" s="3">
        <v>1942714</v>
      </c>
      <c r="D739" s="1" t="s">
        <v>13</v>
      </c>
      <c r="E739" s="3">
        <v>23</v>
      </c>
      <c r="F739" s="1" t="s">
        <v>14344</v>
      </c>
      <c r="G739" s="1" t="s">
        <v>7575</v>
      </c>
    </row>
    <row r="740" spans="1:7" ht="21" x14ac:dyDescent="0.25">
      <c r="A740" s="2" t="str">
        <f>HYPERLINK("https://rth.dk/resources/bsgatlas/details.php?id=BSGatlas-3'UTR-739","BSGatlas-3'UTR-739")</f>
        <v>BSGatlas-3'UTR-739</v>
      </c>
      <c r="B740" s="3">
        <v>1949633</v>
      </c>
      <c r="C740" s="3">
        <v>1949682</v>
      </c>
      <c r="D740" s="1" t="s">
        <v>13</v>
      </c>
      <c r="E740" s="3">
        <v>50</v>
      </c>
      <c r="F740" s="1" t="s">
        <v>14345</v>
      </c>
      <c r="G740" s="1" t="s">
        <v>7583</v>
      </c>
    </row>
    <row r="741" spans="1:7" ht="21" x14ac:dyDescent="0.25">
      <c r="A741" s="2" t="str">
        <f>HYPERLINK("https://rth.dk/resources/bsgatlas/details.php?id=BSGatlas-3'UTR-740","BSGatlas-3'UTR-740")</f>
        <v>BSGatlas-3'UTR-740</v>
      </c>
      <c r="B741" s="3">
        <v>1957982</v>
      </c>
      <c r="C741" s="3">
        <v>1958027</v>
      </c>
      <c r="D741" s="1" t="s">
        <v>13</v>
      </c>
      <c r="E741" s="3">
        <v>46</v>
      </c>
      <c r="F741" s="1" t="s">
        <v>12826</v>
      </c>
      <c r="G741" s="1" t="s">
        <v>7585</v>
      </c>
    </row>
    <row r="742" spans="1:7" ht="21" x14ac:dyDescent="0.25">
      <c r="A742" s="2" t="str">
        <f>HYPERLINK("https://rth.dk/resources/bsgatlas/details.php?id=BSGatlas-3'UTR-741","BSGatlas-3'UTR-741")</f>
        <v>BSGatlas-3'UTR-741</v>
      </c>
      <c r="B742" s="3">
        <v>1998292</v>
      </c>
      <c r="C742" s="3">
        <v>1998340</v>
      </c>
      <c r="D742" s="1" t="s">
        <v>13</v>
      </c>
      <c r="E742" s="3">
        <v>49</v>
      </c>
      <c r="F742" s="1" t="s">
        <v>14346</v>
      </c>
      <c r="G742" s="1" t="s">
        <v>7593</v>
      </c>
    </row>
    <row r="743" spans="1:7" ht="21" x14ac:dyDescent="0.25">
      <c r="A743" s="2" t="str">
        <f>HYPERLINK("https://rth.dk/resources/bsgatlas/details.php?id=BSGatlas-3'UTR-742","BSGatlas-3'UTR-742")</f>
        <v>BSGatlas-3'UTR-742</v>
      </c>
      <c r="B743" s="3">
        <v>2003352</v>
      </c>
      <c r="C743" s="3">
        <v>2003401</v>
      </c>
      <c r="D743" s="1" t="s">
        <v>13</v>
      </c>
      <c r="E743" s="3">
        <v>50</v>
      </c>
      <c r="F743" s="1" t="s">
        <v>12832</v>
      </c>
      <c r="G743" s="1" t="s">
        <v>7601</v>
      </c>
    </row>
    <row r="744" spans="1:7" ht="21" x14ac:dyDescent="0.25">
      <c r="A744" s="2" t="str">
        <f>HYPERLINK("https://rth.dk/resources/bsgatlas/details.php?id=BSGatlas-3'UTR-743","BSGatlas-3'UTR-743")</f>
        <v>BSGatlas-3'UTR-743</v>
      </c>
      <c r="B744" s="3">
        <v>2006488</v>
      </c>
      <c r="C744" s="3">
        <v>2006541</v>
      </c>
      <c r="D744" s="1" t="s">
        <v>13</v>
      </c>
      <c r="E744" s="3">
        <v>54</v>
      </c>
      <c r="F744" s="1" t="s">
        <v>12835</v>
      </c>
      <c r="G744" s="1" t="s">
        <v>7608</v>
      </c>
    </row>
    <row r="745" spans="1:7" ht="21" x14ac:dyDescent="0.25">
      <c r="A745" s="2" t="str">
        <f>HYPERLINK("https://rth.dk/resources/bsgatlas/details.php?id=BSGatlas-3'UTR-744","BSGatlas-3'UTR-744")</f>
        <v>BSGatlas-3'UTR-744</v>
      </c>
      <c r="B745" s="3">
        <v>2007549</v>
      </c>
      <c r="C745" s="3">
        <v>2008572</v>
      </c>
      <c r="D745" s="1" t="s">
        <v>13</v>
      </c>
      <c r="E745" s="3">
        <v>1024</v>
      </c>
      <c r="F745" s="1" t="s">
        <v>14347</v>
      </c>
      <c r="G745" s="1" t="s">
        <v>7611</v>
      </c>
    </row>
    <row r="746" spans="1:7" ht="21" x14ac:dyDescent="0.25">
      <c r="A746" s="2" t="str">
        <f>HYPERLINK("https://rth.dk/resources/bsgatlas/details.php?id=BSGatlas-3'UTR-745","BSGatlas-3'UTR-745")</f>
        <v>BSGatlas-3'UTR-745</v>
      </c>
      <c r="B746" s="3">
        <v>2008510</v>
      </c>
      <c r="C746" s="3">
        <v>2008572</v>
      </c>
      <c r="D746" s="1" t="s">
        <v>13</v>
      </c>
      <c r="E746" s="3">
        <v>63</v>
      </c>
      <c r="F746" s="1" t="s">
        <v>14347</v>
      </c>
      <c r="G746" s="1" t="s">
        <v>7612</v>
      </c>
    </row>
    <row r="747" spans="1:7" ht="21" x14ac:dyDescent="0.25">
      <c r="A747" s="2" t="str">
        <f>HYPERLINK("https://rth.dk/resources/bsgatlas/details.php?id=BSGatlas-3'UTR-746","BSGatlas-3'UTR-746")</f>
        <v>BSGatlas-3'UTR-746</v>
      </c>
      <c r="B747" s="3">
        <v>2015681</v>
      </c>
      <c r="C747" s="3">
        <v>2015733</v>
      </c>
      <c r="D747" s="1" t="s">
        <v>9</v>
      </c>
      <c r="E747" s="3">
        <v>53</v>
      </c>
      <c r="F747" s="1" t="s">
        <v>12836</v>
      </c>
      <c r="G747" s="1" t="s">
        <v>7616</v>
      </c>
    </row>
    <row r="748" spans="1:7" ht="21" x14ac:dyDescent="0.25">
      <c r="A748" s="2" t="str">
        <f>HYPERLINK("https://rth.dk/resources/bsgatlas/details.php?id=BSGatlas-3'UTR-747","BSGatlas-3'UTR-747")</f>
        <v>BSGatlas-3'UTR-747</v>
      </c>
      <c r="B748" s="3">
        <v>2021144</v>
      </c>
      <c r="C748" s="3">
        <v>2021230</v>
      </c>
      <c r="D748" s="1" t="s">
        <v>9</v>
      </c>
      <c r="E748" s="3">
        <v>87</v>
      </c>
      <c r="F748" s="1" t="s">
        <v>12842</v>
      </c>
      <c r="G748" s="1" t="s">
        <v>7628</v>
      </c>
    </row>
    <row r="749" spans="1:7" ht="21" x14ac:dyDescent="0.25">
      <c r="A749" s="2" t="str">
        <f>HYPERLINK("https://rth.dk/resources/bsgatlas/details.php?id=BSGatlas-3'UTR-748","BSGatlas-3'UTR-748")</f>
        <v>BSGatlas-3'UTR-748</v>
      </c>
      <c r="B749" s="3">
        <v>2021144</v>
      </c>
      <c r="C749" s="3">
        <v>2022004</v>
      </c>
      <c r="D749" s="1" t="s">
        <v>9</v>
      </c>
      <c r="E749" s="3">
        <v>861</v>
      </c>
      <c r="F749" s="1" t="s">
        <v>12842</v>
      </c>
      <c r="G749" s="1" t="s">
        <v>7629</v>
      </c>
    </row>
    <row r="750" spans="1:7" ht="21" x14ac:dyDescent="0.25">
      <c r="A750" s="2" t="str">
        <f>HYPERLINK("https://rth.dk/resources/bsgatlas/details.php?id=BSGatlas-3'UTR-749","BSGatlas-3'UTR-749")</f>
        <v>BSGatlas-3'UTR-749</v>
      </c>
      <c r="B750" s="3">
        <v>2025109</v>
      </c>
      <c r="C750" s="3">
        <v>2025159</v>
      </c>
      <c r="D750" s="1" t="s">
        <v>13</v>
      </c>
      <c r="E750" s="3">
        <v>51</v>
      </c>
      <c r="F750" s="1" t="s">
        <v>14348</v>
      </c>
      <c r="G750" s="1" t="s">
        <v>7634</v>
      </c>
    </row>
    <row r="751" spans="1:7" ht="21" x14ac:dyDescent="0.25">
      <c r="A751" s="2" t="str">
        <f>HYPERLINK("https://rth.dk/resources/bsgatlas/details.php?id=BSGatlas-3'UTR-750","BSGatlas-3'UTR-750")</f>
        <v>BSGatlas-3'UTR-750</v>
      </c>
      <c r="B751" s="3">
        <v>2027794</v>
      </c>
      <c r="C751" s="3">
        <v>2028175</v>
      </c>
      <c r="D751" s="1" t="s">
        <v>13</v>
      </c>
      <c r="E751" s="3">
        <v>382</v>
      </c>
      <c r="F751" s="1" t="s">
        <v>12846</v>
      </c>
      <c r="G751" s="1" t="s">
        <v>7641</v>
      </c>
    </row>
    <row r="752" spans="1:7" ht="21" x14ac:dyDescent="0.25">
      <c r="A752" s="2" t="str">
        <f>HYPERLINK("https://rth.dk/resources/bsgatlas/details.php?id=BSGatlas-3'UTR-751","BSGatlas-3'UTR-751")</f>
        <v>BSGatlas-3'UTR-751</v>
      </c>
      <c r="B752" s="3">
        <v>2027802</v>
      </c>
      <c r="C752" s="3">
        <v>2027861</v>
      </c>
      <c r="D752" s="1" t="s">
        <v>9</v>
      </c>
      <c r="E752" s="3">
        <v>60</v>
      </c>
      <c r="F752" s="1" t="s">
        <v>12845</v>
      </c>
      <c r="G752" s="1" t="s">
        <v>7638</v>
      </c>
    </row>
    <row r="753" spans="1:7" ht="21" x14ac:dyDescent="0.25">
      <c r="A753" s="2" t="str">
        <f>HYPERLINK("https://rth.dk/resources/bsgatlas/details.php?id=BSGatlas-3'UTR-752","BSGatlas-3'UTR-752")</f>
        <v>BSGatlas-3'UTR-752</v>
      </c>
      <c r="B753" s="3">
        <v>2029313</v>
      </c>
      <c r="C753" s="3">
        <v>2029442</v>
      </c>
      <c r="D753" s="1" t="s">
        <v>9</v>
      </c>
      <c r="E753" s="3">
        <v>130</v>
      </c>
      <c r="F753" s="1" t="s">
        <v>14349</v>
      </c>
      <c r="G753" s="1" t="s">
        <v>7643</v>
      </c>
    </row>
    <row r="754" spans="1:7" ht="21" x14ac:dyDescent="0.25">
      <c r="A754" s="2" t="str">
        <f>HYPERLINK("https://rth.dk/resources/bsgatlas/details.php?id=BSGatlas-3'UTR-753","BSGatlas-3'UTR-753")</f>
        <v>BSGatlas-3'UTR-753</v>
      </c>
      <c r="B754" s="3">
        <v>2029365</v>
      </c>
      <c r="C754" s="3">
        <v>2029429</v>
      </c>
      <c r="D754" s="1" t="s">
        <v>13</v>
      </c>
      <c r="E754" s="3">
        <v>65</v>
      </c>
      <c r="F754" s="1" t="s">
        <v>12848</v>
      </c>
      <c r="G754" s="1" t="s">
        <v>7645</v>
      </c>
    </row>
    <row r="755" spans="1:7" ht="21" x14ac:dyDescent="0.25">
      <c r="A755" s="2" t="str">
        <f>HYPERLINK("https://rth.dk/resources/bsgatlas/details.php?id=BSGatlas-3'UTR-754","BSGatlas-3'UTR-754")</f>
        <v>BSGatlas-3'UTR-754</v>
      </c>
      <c r="B755" s="3">
        <v>2032881</v>
      </c>
      <c r="C755" s="3">
        <v>2032927</v>
      </c>
      <c r="D755" s="1" t="s">
        <v>13</v>
      </c>
      <c r="E755" s="3">
        <v>47</v>
      </c>
      <c r="F755" s="1" t="s">
        <v>12850</v>
      </c>
      <c r="G755" s="1" t="s">
        <v>7649</v>
      </c>
    </row>
    <row r="756" spans="1:7" ht="21" x14ac:dyDescent="0.25">
      <c r="A756" s="2" t="str">
        <f>HYPERLINK("https://rth.dk/resources/bsgatlas/details.php?id=BSGatlas-3'UTR-755","BSGatlas-3'UTR-755")</f>
        <v>BSGatlas-3'UTR-755</v>
      </c>
      <c r="B756" s="3">
        <v>2037483</v>
      </c>
      <c r="C756" s="3">
        <v>2037601</v>
      </c>
      <c r="D756" s="1" t="s">
        <v>13</v>
      </c>
      <c r="E756" s="3">
        <v>119</v>
      </c>
      <c r="F756" s="1" t="s">
        <v>12853</v>
      </c>
      <c r="G756" s="1" t="s">
        <v>7653</v>
      </c>
    </row>
    <row r="757" spans="1:7" ht="21" x14ac:dyDescent="0.25">
      <c r="A757" s="2" t="str">
        <f>HYPERLINK("https://rth.dk/resources/bsgatlas/details.php?id=BSGatlas-3'UTR-756","BSGatlas-3'UTR-756")</f>
        <v>BSGatlas-3'UTR-756</v>
      </c>
      <c r="B757" s="3">
        <v>2041029</v>
      </c>
      <c r="C757" s="3">
        <v>2041499</v>
      </c>
      <c r="D757" s="1" t="s">
        <v>9</v>
      </c>
      <c r="E757" s="3">
        <v>471</v>
      </c>
      <c r="F757" s="1" t="s">
        <v>12854</v>
      </c>
      <c r="G757" s="1" t="s">
        <v>7656</v>
      </c>
    </row>
    <row r="758" spans="1:7" ht="21" x14ac:dyDescent="0.25">
      <c r="A758" s="2" t="str">
        <f>HYPERLINK("https://rth.dk/resources/bsgatlas/details.php?id=BSGatlas-3'UTR-757","BSGatlas-3'UTR-757")</f>
        <v>BSGatlas-3'UTR-757</v>
      </c>
      <c r="B758" s="3">
        <v>2044832</v>
      </c>
      <c r="C758" s="3">
        <v>2045876</v>
      </c>
      <c r="D758" s="1" t="s">
        <v>9</v>
      </c>
      <c r="E758" s="3">
        <v>1045</v>
      </c>
      <c r="F758" s="1" t="s">
        <v>14350</v>
      </c>
      <c r="G758" s="1" t="s">
        <v>7661</v>
      </c>
    </row>
    <row r="759" spans="1:7" ht="21" x14ac:dyDescent="0.25">
      <c r="A759" s="2" t="str">
        <f>HYPERLINK("https://rth.dk/resources/bsgatlas/details.php?id=BSGatlas-3'UTR-758","BSGatlas-3'UTR-758")</f>
        <v>BSGatlas-3'UTR-758</v>
      </c>
      <c r="B759" s="3">
        <v>2046897</v>
      </c>
      <c r="C759" s="3">
        <v>2046980</v>
      </c>
      <c r="D759" s="1" t="s">
        <v>13</v>
      </c>
      <c r="E759" s="3">
        <v>84</v>
      </c>
      <c r="F759" s="1" t="s">
        <v>12857</v>
      </c>
      <c r="G759" s="1" t="s">
        <v>7664</v>
      </c>
    </row>
    <row r="760" spans="1:7" ht="21" x14ac:dyDescent="0.25">
      <c r="A760" s="2" t="str">
        <f>HYPERLINK("https://rth.dk/resources/bsgatlas/details.php?id=BSGatlas-3'UTR-759","BSGatlas-3'UTR-759")</f>
        <v>BSGatlas-3'UTR-759</v>
      </c>
      <c r="B760" s="3">
        <v>2049453</v>
      </c>
      <c r="C760" s="3">
        <v>2050144</v>
      </c>
      <c r="D760" s="1" t="s">
        <v>9</v>
      </c>
      <c r="E760" s="3">
        <v>692</v>
      </c>
      <c r="F760" s="1" t="s">
        <v>12859</v>
      </c>
      <c r="G760" s="1" t="s">
        <v>7668</v>
      </c>
    </row>
    <row r="761" spans="1:7" ht="21" x14ac:dyDescent="0.25">
      <c r="A761" s="2" t="str">
        <f>HYPERLINK("https://rth.dk/resources/bsgatlas/details.php?id=BSGatlas-3'UTR-760","BSGatlas-3'UTR-760")</f>
        <v>BSGatlas-3'UTR-760</v>
      </c>
      <c r="B761" s="3">
        <v>2054105</v>
      </c>
      <c r="C761" s="3">
        <v>2054599</v>
      </c>
      <c r="D761" s="1" t="s">
        <v>13</v>
      </c>
      <c r="E761" s="3">
        <v>495</v>
      </c>
      <c r="F761" s="1" t="s">
        <v>12862</v>
      </c>
      <c r="G761" s="1" t="s">
        <v>7674</v>
      </c>
    </row>
    <row r="762" spans="1:7" ht="21" x14ac:dyDescent="0.25">
      <c r="A762" s="2" t="str">
        <f>HYPERLINK("https://rth.dk/resources/bsgatlas/details.php?id=BSGatlas-3'UTR-761","BSGatlas-3'UTR-761")</f>
        <v>BSGatlas-3'UTR-761</v>
      </c>
      <c r="B762" s="3">
        <v>2054371</v>
      </c>
      <c r="C762" s="3">
        <v>2054599</v>
      </c>
      <c r="D762" s="1" t="s">
        <v>13</v>
      </c>
      <c r="E762" s="3">
        <v>229</v>
      </c>
      <c r="F762" s="1" t="s">
        <v>12862</v>
      </c>
      <c r="G762" s="1" t="s">
        <v>7675</v>
      </c>
    </row>
    <row r="763" spans="1:7" ht="21" x14ac:dyDescent="0.25">
      <c r="A763" s="2" t="str">
        <f>HYPERLINK("https://rth.dk/resources/bsgatlas/details.php?id=BSGatlas-3'UTR-762","BSGatlas-3'UTR-762")</f>
        <v>BSGatlas-3'UTR-762</v>
      </c>
      <c r="B763" s="3">
        <v>2054567</v>
      </c>
      <c r="C763" s="3">
        <v>2054599</v>
      </c>
      <c r="D763" s="1" t="s">
        <v>13</v>
      </c>
      <c r="E763" s="3">
        <v>33</v>
      </c>
      <c r="F763" s="1" t="s">
        <v>12862</v>
      </c>
      <c r="G763" s="1" t="s">
        <v>7676</v>
      </c>
    </row>
    <row r="764" spans="1:7" ht="21" x14ac:dyDescent="0.25">
      <c r="A764" s="2" t="str">
        <f>HYPERLINK("https://rth.dk/resources/bsgatlas/details.php?id=BSGatlas-3'UTR-763","BSGatlas-3'UTR-763")</f>
        <v>BSGatlas-3'UTR-763</v>
      </c>
      <c r="B764" s="3">
        <v>2057609</v>
      </c>
      <c r="C764" s="3">
        <v>2058715</v>
      </c>
      <c r="D764" s="1" t="s">
        <v>13</v>
      </c>
      <c r="E764" s="3">
        <v>1107</v>
      </c>
      <c r="F764" s="1" t="s">
        <v>12865</v>
      </c>
      <c r="G764" s="1" t="s">
        <v>7681</v>
      </c>
    </row>
    <row r="765" spans="1:7" ht="21" x14ac:dyDescent="0.25">
      <c r="A765" s="2" t="str">
        <f>HYPERLINK("https://rth.dk/resources/bsgatlas/details.php?id=BSGatlas-3'UTR-764","BSGatlas-3'UTR-764")</f>
        <v>BSGatlas-3'UTR-764</v>
      </c>
      <c r="B765" s="3">
        <v>2058460</v>
      </c>
      <c r="C765" s="3">
        <v>2058560</v>
      </c>
      <c r="D765" s="1" t="s">
        <v>9</v>
      </c>
      <c r="E765" s="3">
        <v>101</v>
      </c>
      <c r="F765" s="1" t="s">
        <v>14351</v>
      </c>
      <c r="G765" s="1" t="s">
        <v>7683</v>
      </c>
    </row>
    <row r="766" spans="1:7" ht="21" x14ac:dyDescent="0.25">
      <c r="A766" s="2" t="str">
        <f>HYPERLINK("https://rth.dk/resources/bsgatlas/details.php?id=BSGatlas-3'UTR-765","BSGatlas-3'UTR-765")</f>
        <v>BSGatlas-3'UTR-765</v>
      </c>
      <c r="B766" s="3">
        <v>2061077</v>
      </c>
      <c r="C766" s="3">
        <v>2061660</v>
      </c>
      <c r="D766" s="1" t="s">
        <v>9</v>
      </c>
      <c r="E766" s="3">
        <v>584</v>
      </c>
      <c r="F766" s="1" t="s">
        <v>12866</v>
      </c>
      <c r="G766" s="1" t="s">
        <v>7686</v>
      </c>
    </row>
    <row r="767" spans="1:7" ht="21" x14ac:dyDescent="0.25">
      <c r="A767" s="2" t="str">
        <f>HYPERLINK("https://rth.dk/resources/bsgatlas/details.php?id=BSGatlas-3'UTR-766","BSGatlas-3'UTR-766")</f>
        <v>BSGatlas-3'UTR-766</v>
      </c>
      <c r="B767" s="3">
        <v>2061995</v>
      </c>
      <c r="C767" s="3">
        <v>2062014</v>
      </c>
      <c r="D767" s="1" t="s">
        <v>9</v>
      </c>
      <c r="E767" s="3">
        <v>20</v>
      </c>
      <c r="F767" s="1" t="s">
        <v>12867</v>
      </c>
      <c r="G767" s="1" t="s">
        <v>7688</v>
      </c>
    </row>
    <row r="768" spans="1:7" ht="21" x14ac:dyDescent="0.25">
      <c r="A768" s="2" t="str">
        <f>HYPERLINK("https://rth.dk/resources/bsgatlas/details.php?id=BSGatlas-3'UTR-767","BSGatlas-3'UTR-767")</f>
        <v>BSGatlas-3'UTR-767</v>
      </c>
      <c r="B768" s="3">
        <v>2063064</v>
      </c>
      <c r="C768" s="3">
        <v>2063510</v>
      </c>
      <c r="D768" s="1" t="s">
        <v>13</v>
      </c>
      <c r="E768" s="3">
        <v>447</v>
      </c>
      <c r="F768" s="1" t="s">
        <v>14352</v>
      </c>
      <c r="G768" s="1" t="s">
        <v>7696</v>
      </c>
    </row>
    <row r="769" spans="1:7" ht="21" x14ac:dyDescent="0.25">
      <c r="A769" s="2" t="str">
        <f>HYPERLINK("https://rth.dk/resources/bsgatlas/details.php?id=BSGatlas-3'UTR-768","BSGatlas-3'UTR-768")</f>
        <v>BSGatlas-3'UTR-768</v>
      </c>
      <c r="B769" s="3">
        <v>2063384</v>
      </c>
      <c r="C769" s="3">
        <v>2063400</v>
      </c>
      <c r="D769" s="1" t="s">
        <v>9</v>
      </c>
      <c r="E769" s="3">
        <v>17</v>
      </c>
      <c r="F769" s="1" t="s">
        <v>12869</v>
      </c>
      <c r="G769" s="1" t="s">
        <v>7691</v>
      </c>
    </row>
    <row r="770" spans="1:7" ht="21" x14ac:dyDescent="0.25">
      <c r="A770" s="2" t="str">
        <f>HYPERLINK("https://rth.dk/resources/bsgatlas/details.php?id=BSGatlas-3'UTR-769","BSGatlas-3'UTR-769")</f>
        <v>BSGatlas-3'UTR-769</v>
      </c>
      <c r="B770" s="3">
        <v>2063384</v>
      </c>
      <c r="C770" s="3">
        <v>2063446</v>
      </c>
      <c r="D770" s="1" t="s">
        <v>9</v>
      </c>
      <c r="E770" s="3">
        <v>63</v>
      </c>
      <c r="F770" s="1" t="s">
        <v>12869</v>
      </c>
      <c r="G770" s="1" t="s">
        <v>7692</v>
      </c>
    </row>
    <row r="771" spans="1:7" ht="21" x14ac:dyDescent="0.25">
      <c r="A771" s="2" t="str">
        <f>HYPERLINK("https://rth.dk/resources/bsgatlas/details.php?id=BSGatlas-3'UTR-770","BSGatlas-3'UTR-770")</f>
        <v>BSGatlas-3'UTR-770</v>
      </c>
      <c r="B771" s="3">
        <v>2065377</v>
      </c>
      <c r="C771" s="3">
        <v>2065434</v>
      </c>
      <c r="D771" s="1" t="s">
        <v>9</v>
      </c>
      <c r="E771" s="3">
        <v>58</v>
      </c>
      <c r="F771" s="1" t="s">
        <v>12871</v>
      </c>
      <c r="G771" s="1" t="s">
        <v>7699</v>
      </c>
    </row>
    <row r="772" spans="1:7" ht="21" x14ac:dyDescent="0.25">
      <c r="A772" s="2" t="str">
        <f>HYPERLINK("https://rth.dk/resources/bsgatlas/details.php?id=BSGatlas-3'UTR-771","BSGatlas-3'UTR-771")</f>
        <v>BSGatlas-3'UTR-771</v>
      </c>
      <c r="B772" s="3">
        <v>2065401</v>
      </c>
      <c r="C772" s="3">
        <v>2065424</v>
      </c>
      <c r="D772" s="1" t="s">
        <v>13</v>
      </c>
      <c r="E772" s="3">
        <v>24</v>
      </c>
      <c r="F772" s="1" t="s">
        <v>12872</v>
      </c>
      <c r="G772" s="1" t="s">
        <v>7701</v>
      </c>
    </row>
    <row r="773" spans="1:7" ht="21" x14ac:dyDescent="0.25">
      <c r="A773" s="2" t="str">
        <f>HYPERLINK("https://rth.dk/resources/bsgatlas/details.php?id=BSGatlas-3'UTR-772","BSGatlas-3'UTR-772")</f>
        <v>BSGatlas-3'UTR-772</v>
      </c>
      <c r="B773" s="3">
        <v>2069947</v>
      </c>
      <c r="C773" s="3">
        <v>2069964</v>
      </c>
      <c r="D773" s="1" t="s">
        <v>13</v>
      </c>
      <c r="E773" s="3">
        <v>18</v>
      </c>
      <c r="F773" s="1" t="s">
        <v>14353</v>
      </c>
      <c r="G773" s="1" t="s">
        <v>7710</v>
      </c>
    </row>
    <row r="774" spans="1:7" ht="21" x14ac:dyDescent="0.25">
      <c r="A774" s="2" t="str">
        <f>HYPERLINK("https://rth.dk/resources/bsgatlas/details.php?id=BSGatlas-3'UTR-773","BSGatlas-3'UTR-773")</f>
        <v>BSGatlas-3'UTR-773</v>
      </c>
      <c r="B774" s="3">
        <v>2069975</v>
      </c>
      <c r="C774" s="3">
        <v>2070022</v>
      </c>
      <c r="D774" s="1" t="s">
        <v>9</v>
      </c>
      <c r="E774" s="3">
        <v>48</v>
      </c>
      <c r="F774" s="1" t="s">
        <v>14354</v>
      </c>
      <c r="G774" s="1" t="s">
        <v>7708</v>
      </c>
    </row>
    <row r="775" spans="1:7" ht="21" x14ac:dyDescent="0.25">
      <c r="A775" s="2" t="str">
        <f>HYPERLINK("https://rth.dk/resources/bsgatlas/details.php?id=BSGatlas-3'UTR-774","BSGatlas-3'UTR-774")</f>
        <v>BSGatlas-3'UTR-774</v>
      </c>
      <c r="B775" s="3">
        <v>2071220</v>
      </c>
      <c r="C775" s="3">
        <v>2071286</v>
      </c>
      <c r="D775" s="1" t="s">
        <v>13</v>
      </c>
      <c r="E775" s="3">
        <v>67</v>
      </c>
      <c r="F775" s="1" t="s">
        <v>14355</v>
      </c>
      <c r="G775" s="1" t="s">
        <v>7712</v>
      </c>
    </row>
    <row r="776" spans="1:7" ht="21" x14ac:dyDescent="0.25">
      <c r="A776" s="2" t="str">
        <f>HYPERLINK("https://rth.dk/resources/bsgatlas/details.php?id=BSGatlas-3'UTR-775","BSGatlas-3'UTR-775")</f>
        <v>BSGatlas-3'UTR-775</v>
      </c>
      <c r="B776" s="3">
        <v>2078515</v>
      </c>
      <c r="C776" s="3">
        <v>2079214</v>
      </c>
      <c r="D776" s="1" t="s">
        <v>13</v>
      </c>
      <c r="E776" s="3">
        <v>700</v>
      </c>
      <c r="F776" s="1" t="s">
        <v>14356</v>
      </c>
      <c r="G776" s="1" t="s">
        <v>7720</v>
      </c>
    </row>
    <row r="777" spans="1:7" ht="21" x14ac:dyDescent="0.25">
      <c r="A777" s="2" t="str">
        <f>HYPERLINK("https://rth.dk/resources/bsgatlas/details.php?id=BSGatlas-3'UTR-776","BSGatlas-3'UTR-776")</f>
        <v>BSGatlas-3'UTR-776</v>
      </c>
      <c r="B777" s="3">
        <v>2084759</v>
      </c>
      <c r="C777" s="3">
        <v>2084912</v>
      </c>
      <c r="D777" s="1" t="s">
        <v>9</v>
      </c>
      <c r="E777" s="3">
        <v>154</v>
      </c>
      <c r="F777" s="1" t="s">
        <v>12883</v>
      </c>
      <c r="G777" s="1" t="s">
        <v>7732</v>
      </c>
    </row>
    <row r="778" spans="1:7" ht="21" x14ac:dyDescent="0.25">
      <c r="A778" s="2" t="str">
        <f>HYPERLINK("https://rth.dk/resources/bsgatlas/details.php?id=BSGatlas-3'UTR-777","BSGatlas-3'UTR-777")</f>
        <v>BSGatlas-3'UTR-777</v>
      </c>
      <c r="B778" s="3">
        <v>2084771</v>
      </c>
      <c r="C778" s="3">
        <v>2084786</v>
      </c>
      <c r="D778" s="1" t="s">
        <v>13</v>
      </c>
      <c r="E778" s="3">
        <v>16</v>
      </c>
      <c r="F778" s="1" t="s">
        <v>12884</v>
      </c>
      <c r="G778" s="1" t="s">
        <v>7735</v>
      </c>
    </row>
    <row r="779" spans="1:7" ht="21" x14ac:dyDescent="0.25">
      <c r="A779" s="2" t="str">
        <f>HYPERLINK("https://rth.dk/resources/bsgatlas/details.php?id=BSGatlas-3'UTR-778","BSGatlas-3'UTR-778")</f>
        <v>BSGatlas-3'UTR-778</v>
      </c>
      <c r="B779" s="3">
        <v>2090454</v>
      </c>
      <c r="C779" s="3">
        <v>2090506</v>
      </c>
      <c r="D779" s="1" t="s">
        <v>9</v>
      </c>
      <c r="E779" s="3">
        <v>53</v>
      </c>
      <c r="F779" s="1" t="s">
        <v>12890</v>
      </c>
      <c r="G779" s="1" t="s">
        <v>7747</v>
      </c>
    </row>
    <row r="780" spans="1:7" ht="21" x14ac:dyDescent="0.25">
      <c r="A780" s="2" t="str">
        <f>HYPERLINK("https://rth.dk/resources/bsgatlas/details.php?id=BSGatlas-3'UTR-779","BSGatlas-3'UTR-779")</f>
        <v>BSGatlas-3'UTR-779</v>
      </c>
      <c r="B780" s="3">
        <v>2092304</v>
      </c>
      <c r="C780" s="3">
        <v>2092347</v>
      </c>
      <c r="D780" s="1" t="s">
        <v>9</v>
      </c>
      <c r="E780" s="3">
        <v>44</v>
      </c>
      <c r="F780" s="1" t="s">
        <v>14357</v>
      </c>
      <c r="G780" s="1" t="s">
        <v>7750</v>
      </c>
    </row>
    <row r="781" spans="1:7" ht="21" x14ac:dyDescent="0.25">
      <c r="A781" s="2" t="str">
        <f>HYPERLINK("https://rth.dk/resources/bsgatlas/details.php?id=BSGatlas-3'UTR-780","BSGatlas-3'UTR-780")</f>
        <v>BSGatlas-3'UTR-780</v>
      </c>
      <c r="B781" s="3">
        <v>2092841</v>
      </c>
      <c r="C781" s="3">
        <v>2092899</v>
      </c>
      <c r="D781" s="1" t="s">
        <v>13</v>
      </c>
      <c r="E781" s="3">
        <v>59</v>
      </c>
      <c r="F781" s="1" t="s">
        <v>12892</v>
      </c>
      <c r="G781" s="1" t="s">
        <v>7756</v>
      </c>
    </row>
    <row r="782" spans="1:7" ht="21" x14ac:dyDescent="0.25">
      <c r="A782" s="2" t="str">
        <f>HYPERLINK("https://rth.dk/resources/bsgatlas/details.php?id=BSGatlas-3'UTR-781","BSGatlas-3'UTR-781")</f>
        <v>BSGatlas-3'UTR-781</v>
      </c>
      <c r="B782" s="3">
        <v>2095891</v>
      </c>
      <c r="C782" s="3">
        <v>2095909</v>
      </c>
      <c r="D782" s="1" t="s">
        <v>13</v>
      </c>
      <c r="E782" s="3">
        <v>19</v>
      </c>
      <c r="F782" s="1" t="s">
        <v>14358</v>
      </c>
      <c r="G782" s="1" t="s">
        <v>7762</v>
      </c>
    </row>
    <row r="783" spans="1:7" ht="21" x14ac:dyDescent="0.25">
      <c r="A783" s="2" t="str">
        <f>HYPERLINK("https://rth.dk/resources/bsgatlas/details.php?id=BSGatlas-3'UTR-782","BSGatlas-3'UTR-782")</f>
        <v>BSGatlas-3'UTR-782</v>
      </c>
      <c r="B783" s="3">
        <v>2097087</v>
      </c>
      <c r="C783" s="3">
        <v>2097126</v>
      </c>
      <c r="D783" s="1" t="s">
        <v>13</v>
      </c>
      <c r="E783" s="3">
        <v>40</v>
      </c>
      <c r="F783" s="1" t="s">
        <v>12894</v>
      </c>
      <c r="G783" s="1" t="s">
        <v>7767</v>
      </c>
    </row>
    <row r="784" spans="1:7" ht="21" x14ac:dyDescent="0.25">
      <c r="A784" s="2" t="str">
        <f>HYPERLINK("https://rth.dk/resources/bsgatlas/details.php?id=BSGatlas-3'UTR-783","BSGatlas-3'UTR-783")</f>
        <v>BSGatlas-3'UTR-783</v>
      </c>
      <c r="B784" s="3">
        <v>2099393</v>
      </c>
      <c r="C784" s="3">
        <v>2099446</v>
      </c>
      <c r="D784" s="1" t="s">
        <v>13</v>
      </c>
      <c r="E784" s="3">
        <v>54</v>
      </c>
      <c r="F784" s="1" t="s">
        <v>12898</v>
      </c>
      <c r="G784" s="1" t="s">
        <v>7775</v>
      </c>
    </row>
    <row r="785" spans="1:7" ht="21" x14ac:dyDescent="0.25">
      <c r="A785" s="2" t="str">
        <f>HYPERLINK("https://rth.dk/resources/bsgatlas/details.php?id=BSGatlas-3'UTR-784","BSGatlas-3'UTR-784")</f>
        <v>BSGatlas-3'UTR-784</v>
      </c>
      <c r="B785" s="3">
        <v>2100089</v>
      </c>
      <c r="C785" s="3">
        <v>2100147</v>
      </c>
      <c r="D785" s="1" t="s">
        <v>13</v>
      </c>
      <c r="E785" s="3">
        <v>59</v>
      </c>
      <c r="F785" s="1" t="s">
        <v>12899</v>
      </c>
      <c r="G785" s="1" t="s">
        <v>7779</v>
      </c>
    </row>
    <row r="786" spans="1:7" ht="21" x14ac:dyDescent="0.25">
      <c r="A786" s="2" t="str">
        <f>HYPERLINK("https://rth.dk/resources/bsgatlas/details.php?id=BSGatlas-3'UTR-785","BSGatlas-3'UTR-785")</f>
        <v>BSGatlas-3'UTR-785</v>
      </c>
      <c r="B786" s="3">
        <v>2107455</v>
      </c>
      <c r="C786" s="3">
        <v>2107505</v>
      </c>
      <c r="D786" s="1" t="s">
        <v>13</v>
      </c>
      <c r="E786" s="3">
        <v>51</v>
      </c>
      <c r="F786" s="1" t="s">
        <v>14359</v>
      </c>
      <c r="G786" s="1" t="s">
        <v>7792</v>
      </c>
    </row>
    <row r="787" spans="1:7" ht="21" x14ac:dyDescent="0.25">
      <c r="A787" s="2" t="str">
        <f>HYPERLINK("https://rth.dk/resources/bsgatlas/details.php?id=BSGatlas-3'UTR-786","BSGatlas-3'UTR-786")</f>
        <v>BSGatlas-3'UTR-786</v>
      </c>
      <c r="B787" s="3">
        <v>2115405</v>
      </c>
      <c r="C787" s="3">
        <v>2115425</v>
      </c>
      <c r="D787" s="1" t="s">
        <v>13</v>
      </c>
      <c r="E787" s="3">
        <v>21</v>
      </c>
      <c r="F787" s="1" t="s">
        <v>12906</v>
      </c>
      <c r="G787" s="1" t="s">
        <v>7798</v>
      </c>
    </row>
    <row r="788" spans="1:7" ht="21" x14ac:dyDescent="0.25">
      <c r="A788" s="2" t="str">
        <f>HYPERLINK("https://rth.dk/resources/bsgatlas/details.php?id=BSGatlas-3'UTR-787","BSGatlas-3'UTR-787")</f>
        <v>BSGatlas-3'UTR-787</v>
      </c>
      <c r="B788" s="3">
        <v>2121588</v>
      </c>
      <c r="C788" s="3">
        <v>2121641</v>
      </c>
      <c r="D788" s="1" t="s">
        <v>13</v>
      </c>
      <c r="E788" s="3">
        <v>54</v>
      </c>
      <c r="F788" s="1" t="s">
        <v>14360</v>
      </c>
      <c r="G788" s="1" t="s">
        <v>7812</v>
      </c>
    </row>
    <row r="789" spans="1:7" ht="21" x14ac:dyDescent="0.25">
      <c r="A789" s="2" t="str">
        <f>HYPERLINK("https://rth.dk/resources/bsgatlas/details.php?id=BSGatlas-3'UTR-788","BSGatlas-3'UTR-788")</f>
        <v>BSGatlas-3'UTR-788</v>
      </c>
      <c r="B789" s="3">
        <v>2124494</v>
      </c>
      <c r="C789" s="3">
        <v>2124522</v>
      </c>
      <c r="D789" s="1" t="s">
        <v>9</v>
      </c>
      <c r="E789" s="3">
        <v>29</v>
      </c>
      <c r="F789" s="1" t="s">
        <v>12911</v>
      </c>
      <c r="G789" s="1" t="s">
        <v>7817</v>
      </c>
    </row>
    <row r="790" spans="1:7" ht="21" x14ac:dyDescent="0.25">
      <c r="A790" s="2" t="str">
        <f>HYPERLINK("https://rth.dk/resources/bsgatlas/details.php?id=BSGatlas-3'UTR-789","BSGatlas-3'UTR-789")</f>
        <v>BSGatlas-3'UTR-789</v>
      </c>
      <c r="B790" s="3">
        <v>2126938</v>
      </c>
      <c r="C790" s="3">
        <v>2126970</v>
      </c>
      <c r="D790" s="1" t="s">
        <v>9</v>
      </c>
      <c r="E790" s="3">
        <v>33</v>
      </c>
      <c r="F790" s="1" t="s">
        <v>12915</v>
      </c>
      <c r="G790" s="1" t="s">
        <v>7823</v>
      </c>
    </row>
    <row r="791" spans="1:7" ht="21" x14ac:dyDescent="0.25">
      <c r="A791" s="2" t="str">
        <f>HYPERLINK("https://rth.dk/resources/bsgatlas/details.php?id=BSGatlas-3'UTR-790","BSGatlas-3'UTR-790")</f>
        <v>BSGatlas-3'UTR-790</v>
      </c>
      <c r="B791" s="3">
        <v>2128433</v>
      </c>
      <c r="C791" s="3">
        <v>2128464</v>
      </c>
      <c r="D791" s="1" t="s">
        <v>13</v>
      </c>
      <c r="E791" s="3">
        <v>32</v>
      </c>
      <c r="F791" s="1" t="s">
        <v>14361</v>
      </c>
      <c r="G791" s="1" t="s">
        <v>7829</v>
      </c>
    </row>
    <row r="792" spans="1:7" ht="21" x14ac:dyDescent="0.25">
      <c r="A792" s="2" t="str">
        <f>HYPERLINK("https://rth.dk/resources/bsgatlas/details.php?id=BSGatlas-3'UTR-791","BSGatlas-3'UTR-791")</f>
        <v>BSGatlas-3'UTR-791</v>
      </c>
      <c r="B792" s="3">
        <v>2131867</v>
      </c>
      <c r="C792" s="3">
        <v>2131910</v>
      </c>
      <c r="D792" s="1" t="s">
        <v>9</v>
      </c>
      <c r="E792" s="3">
        <v>44</v>
      </c>
      <c r="F792" s="1" t="s">
        <v>14362</v>
      </c>
      <c r="G792" s="1" t="s">
        <v>7833</v>
      </c>
    </row>
    <row r="793" spans="1:7" ht="21" x14ac:dyDescent="0.25">
      <c r="A793" s="2" t="str">
        <f>HYPERLINK("https://rth.dk/resources/bsgatlas/details.php?id=BSGatlas-3'UTR-792","BSGatlas-3'UTR-792")</f>
        <v>BSGatlas-3'UTR-792</v>
      </c>
      <c r="B793" s="3">
        <v>2134495</v>
      </c>
      <c r="C793" s="3">
        <v>2134572</v>
      </c>
      <c r="D793" s="1" t="s">
        <v>9</v>
      </c>
      <c r="E793" s="3">
        <v>78</v>
      </c>
      <c r="F793" s="1" t="s">
        <v>12922</v>
      </c>
      <c r="G793" s="1" t="s">
        <v>7838</v>
      </c>
    </row>
    <row r="794" spans="1:7" ht="21" x14ac:dyDescent="0.25">
      <c r="A794" s="2" t="str">
        <f>HYPERLINK("https://rth.dk/resources/bsgatlas/details.php?id=BSGatlas-3'UTR-793","BSGatlas-3'UTR-793")</f>
        <v>BSGatlas-3'UTR-793</v>
      </c>
      <c r="B794" s="3">
        <v>2136498</v>
      </c>
      <c r="C794" s="3">
        <v>2136518</v>
      </c>
      <c r="D794" s="1" t="s">
        <v>9</v>
      </c>
      <c r="E794" s="3">
        <v>21</v>
      </c>
      <c r="F794" s="1" t="s">
        <v>12924</v>
      </c>
      <c r="G794" s="1" t="s">
        <v>7845</v>
      </c>
    </row>
    <row r="795" spans="1:7" ht="21" x14ac:dyDescent="0.25">
      <c r="A795" s="2" t="str">
        <f>HYPERLINK("https://rth.dk/resources/bsgatlas/details.php?id=BSGatlas-3'UTR-794","BSGatlas-3'UTR-794")</f>
        <v>BSGatlas-3'UTR-794</v>
      </c>
      <c r="B795" s="3">
        <v>2137584</v>
      </c>
      <c r="C795" s="3">
        <v>2137602</v>
      </c>
      <c r="D795" s="1" t="s">
        <v>13</v>
      </c>
      <c r="E795" s="3">
        <v>19</v>
      </c>
      <c r="F795" s="1" t="s">
        <v>12927</v>
      </c>
      <c r="G795" s="1" t="s">
        <v>7850</v>
      </c>
    </row>
    <row r="796" spans="1:7" ht="21" x14ac:dyDescent="0.25">
      <c r="A796" s="2" t="str">
        <f>HYPERLINK("https://rth.dk/resources/bsgatlas/details.php?id=BSGatlas-3'UTR-795","BSGatlas-3'UTR-795")</f>
        <v>BSGatlas-3'UTR-795</v>
      </c>
      <c r="B796" s="3">
        <v>2138040</v>
      </c>
      <c r="C796" s="3">
        <v>2139085</v>
      </c>
      <c r="D796" s="1" t="s">
        <v>9</v>
      </c>
      <c r="E796" s="3">
        <v>1046</v>
      </c>
      <c r="F796" s="1" t="s">
        <v>12928</v>
      </c>
      <c r="G796" s="1" t="s">
        <v>7854</v>
      </c>
    </row>
    <row r="797" spans="1:7" ht="21" x14ac:dyDescent="0.25">
      <c r="A797" s="2" t="str">
        <f>HYPERLINK("https://rth.dk/resources/bsgatlas/details.php?id=BSGatlas-3'UTR-796","BSGatlas-3'UTR-796")</f>
        <v>BSGatlas-3'UTR-796</v>
      </c>
      <c r="B797" s="3">
        <v>2145764</v>
      </c>
      <c r="C797" s="3">
        <v>2145820</v>
      </c>
      <c r="D797" s="1" t="s">
        <v>13</v>
      </c>
      <c r="E797" s="3">
        <v>57</v>
      </c>
      <c r="F797" s="1" t="s">
        <v>14363</v>
      </c>
      <c r="G797" s="1" t="s">
        <v>7860</v>
      </c>
    </row>
    <row r="798" spans="1:7" ht="21" x14ac:dyDescent="0.25">
      <c r="A798" s="2" t="str">
        <f>HYPERLINK("https://rth.dk/resources/bsgatlas/details.php?id=BSGatlas-3'UTR-797","BSGatlas-3'UTR-797")</f>
        <v>BSGatlas-3'UTR-797</v>
      </c>
      <c r="B798" s="3">
        <v>2145764</v>
      </c>
      <c r="C798" s="3">
        <v>2145820</v>
      </c>
      <c r="D798" s="1" t="s">
        <v>13</v>
      </c>
      <c r="E798" s="3">
        <v>57</v>
      </c>
      <c r="F798" s="1" t="s">
        <v>12932</v>
      </c>
      <c r="G798" s="1" t="s">
        <v>7860</v>
      </c>
    </row>
    <row r="799" spans="1:7" ht="21" x14ac:dyDescent="0.25">
      <c r="A799" s="2" t="str">
        <f>HYPERLINK("https://rth.dk/resources/bsgatlas/details.php?id=BSGatlas-3'UTR-798","BSGatlas-3'UTR-798")</f>
        <v>BSGatlas-3'UTR-798</v>
      </c>
      <c r="B799" s="3">
        <v>2150037</v>
      </c>
      <c r="C799" s="3">
        <v>2150076</v>
      </c>
      <c r="D799" s="1" t="s">
        <v>9</v>
      </c>
      <c r="E799" s="3">
        <v>40</v>
      </c>
      <c r="F799" s="1" t="s">
        <v>14364</v>
      </c>
      <c r="G799" s="1" t="s">
        <v>7868</v>
      </c>
    </row>
    <row r="800" spans="1:7" ht="21" x14ac:dyDescent="0.25">
      <c r="A800" s="2" t="str">
        <f>HYPERLINK("https://rth.dk/resources/bsgatlas/details.php?id=BSGatlas-3'UTR-799","BSGatlas-3'UTR-799")</f>
        <v>BSGatlas-3'UTR-799</v>
      </c>
      <c r="B800" s="3">
        <v>2150068</v>
      </c>
      <c r="C800" s="3">
        <v>2150108</v>
      </c>
      <c r="D800" s="1" t="s">
        <v>13</v>
      </c>
      <c r="E800" s="3">
        <v>41</v>
      </c>
      <c r="F800" s="1" t="s">
        <v>12935</v>
      </c>
      <c r="G800" s="1" t="s">
        <v>7870</v>
      </c>
    </row>
    <row r="801" spans="1:7" ht="21" x14ac:dyDescent="0.25">
      <c r="A801" s="2" t="str">
        <f>HYPERLINK("https://rth.dk/resources/bsgatlas/details.php?id=BSGatlas-3'UTR-800","BSGatlas-3'UTR-800")</f>
        <v>BSGatlas-3'UTR-800</v>
      </c>
      <c r="B801" s="3">
        <v>2152924</v>
      </c>
      <c r="C801" s="3">
        <v>2153171</v>
      </c>
      <c r="D801" s="1" t="s">
        <v>13</v>
      </c>
      <c r="E801" s="3">
        <v>248</v>
      </c>
      <c r="F801" s="1" t="s">
        <v>14365</v>
      </c>
      <c r="G801" s="1" t="s">
        <v>7880</v>
      </c>
    </row>
    <row r="802" spans="1:7" ht="21" x14ac:dyDescent="0.25">
      <c r="A802" s="2" t="str">
        <f>HYPERLINK("https://rth.dk/resources/bsgatlas/details.php?id=BSGatlas-3'UTR-801","BSGatlas-3'UTR-801")</f>
        <v>BSGatlas-3'UTR-801</v>
      </c>
      <c r="B802" s="3">
        <v>2153169</v>
      </c>
      <c r="C802" s="3">
        <v>2153751</v>
      </c>
      <c r="D802" s="1" t="s">
        <v>9</v>
      </c>
      <c r="E802" s="3">
        <v>583</v>
      </c>
      <c r="F802" s="1" t="s">
        <v>12938</v>
      </c>
      <c r="G802" s="1" t="s">
        <v>7879</v>
      </c>
    </row>
    <row r="803" spans="1:7" ht="21" x14ac:dyDescent="0.25">
      <c r="A803" s="2" t="str">
        <f>HYPERLINK("https://rth.dk/resources/bsgatlas/details.php?id=BSGatlas-3'UTR-802","BSGatlas-3'UTR-802")</f>
        <v>BSGatlas-3'UTR-802</v>
      </c>
      <c r="B803" s="3">
        <v>2156457</v>
      </c>
      <c r="C803" s="3">
        <v>2156498</v>
      </c>
      <c r="D803" s="1" t="s">
        <v>9</v>
      </c>
      <c r="E803" s="3">
        <v>42</v>
      </c>
      <c r="F803" s="1" t="s">
        <v>12939</v>
      </c>
      <c r="G803" s="1" t="s">
        <v>7883</v>
      </c>
    </row>
    <row r="804" spans="1:7" ht="21" x14ac:dyDescent="0.25">
      <c r="A804" s="2" t="str">
        <f>HYPERLINK("https://rth.dk/resources/bsgatlas/details.php?id=BSGatlas-3'UTR-803","BSGatlas-3'UTR-803")</f>
        <v>BSGatlas-3'UTR-803</v>
      </c>
      <c r="B804" s="3">
        <v>2156457</v>
      </c>
      <c r="C804" s="3">
        <v>2157265</v>
      </c>
      <c r="D804" s="1" t="s">
        <v>9</v>
      </c>
      <c r="E804" s="3">
        <v>809</v>
      </c>
      <c r="F804" s="1" t="s">
        <v>12939</v>
      </c>
      <c r="G804" s="1" t="s">
        <v>7884</v>
      </c>
    </row>
    <row r="805" spans="1:7" ht="21" x14ac:dyDescent="0.25">
      <c r="A805" s="2" t="str">
        <f>HYPERLINK("https://rth.dk/resources/bsgatlas/details.php?id=BSGatlas-3'UTR-804","BSGatlas-3'UTR-804")</f>
        <v>BSGatlas-3'UTR-804</v>
      </c>
      <c r="B805" s="3">
        <v>2156457</v>
      </c>
      <c r="C805" s="3">
        <v>2158145</v>
      </c>
      <c r="D805" s="1" t="s">
        <v>9</v>
      </c>
      <c r="E805" s="3">
        <v>1689</v>
      </c>
      <c r="F805" s="1" t="s">
        <v>12939</v>
      </c>
      <c r="G805" s="1" t="s">
        <v>7885</v>
      </c>
    </row>
    <row r="806" spans="1:7" ht="21" x14ac:dyDescent="0.25">
      <c r="A806" s="2" t="str">
        <f>HYPERLINK("https://rth.dk/resources/bsgatlas/details.php?id=BSGatlas-3'UTR-805","BSGatlas-3'UTR-805")</f>
        <v>BSGatlas-3'UTR-805</v>
      </c>
      <c r="B806" s="3">
        <v>2158684</v>
      </c>
      <c r="C806" s="3">
        <v>2158902</v>
      </c>
      <c r="D806" s="1" t="s">
        <v>9</v>
      </c>
      <c r="E806" s="3">
        <v>219</v>
      </c>
      <c r="F806" s="1" t="s">
        <v>12941</v>
      </c>
      <c r="G806" s="1" t="s">
        <v>7887</v>
      </c>
    </row>
    <row r="807" spans="1:7" ht="21" x14ac:dyDescent="0.25">
      <c r="A807" s="2" t="str">
        <f>HYPERLINK("https://rth.dk/resources/bsgatlas/details.php?id=BSGatlas-3'UTR-806","BSGatlas-3'UTR-806")</f>
        <v>BSGatlas-3'UTR-806</v>
      </c>
      <c r="B807" s="3">
        <v>2161521</v>
      </c>
      <c r="C807" s="3">
        <v>2162108</v>
      </c>
      <c r="D807" s="1" t="s">
        <v>13</v>
      </c>
      <c r="E807" s="3">
        <v>588</v>
      </c>
      <c r="F807" s="1" t="s">
        <v>14366</v>
      </c>
      <c r="G807" s="1" t="s">
        <v>7890</v>
      </c>
    </row>
    <row r="808" spans="1:7" ht="21" x14ac:dyDescent="0.25">
      <c r="A808" s="2" t="str">
        <f>HYPERLINK("https://rth.dk/resources/bsgatlas/details.php?id=BSGatlas-3'UTR-807","BSGatlas-3'UTR-807")</f>
        <v>BSGatlas-3'UTR-807</v>
      </c>
      <c r="B808" s="3">
        <v>2164887</v>
      </c>
      <c r="C808" s="3">
        <v>2165577</v>
      </c>
      <c r="D808" s="1" t="s">
        <v>13</v>
      </c>
      <c r="E808" s="3">
        <v>691</v>
      </c>
      <c r="F808" s="1" t="s">
        <v>14367</v>
      </c>
      <c r="G808" s="1" t="s">
        <v>7892</v>
      </c>
    </row>
    <row r="809" spans="1:7" ht="21" x14ac:dyDescent="0.25">
      <c r="A809" s="2" t="str">
        <f>HYPERLINK("https://rth.dk/resources/bsgatlas/details.php?id=BSGatlas-3'UTR-808","BSGatlas-3'UTR-808")</f>
        <v>BSGatlas-3'UTR-808</v>
      </c>
      <c r="B809" s="3">
        <v>2169926</v>
      </c>
      <c r="C809" s="3">
        <v>2169981</v>
      </c>
      <c r="D809" s="1" t="s">
        <v>9</v>
      </c>
      <c r="E809" s="3">
        <v>56</v>
      </c>
      <c r="F809" s="1" t="s">
        <v>12944</v>
      </c>
      <c r="G809" s="1" t="s">
        <v>7894</v>
      </c>
    </row>
    <row r="810" spans="1:7" ht="21" x14ac:dyDescent="0.25">
      <c r="A810" s="2" t="str">
        <f>HYPERLINK("https://rth.dk/resources/bsgatlas/details.php?id=BSGatlas-3'UTR-809","BSGatlas-3'UTR-809")</f>
        <v>BSGatlas-3'UTR-809</v>
      </c>
      <c r="B810" s="3">
        <v>2186910</v>
      </c>
      <c r="C810" s="3">
        <v>2186985</v>
      </c>
      <c r="D810" s="1" t="s">
        <v>13</v>
      </c>
      <c r="E810" s="3">
        <v>76</v>
      </c>
      <c r="F810" s="1" t="s">
        <v>12947</v>
      </c>
      <c r="G810" s="1" t="s">
        <v>7899</v>
      </c>
    </row>
    <row r="811" spans="1:7" ht="21" x14ac:dyDescent="0.25">
      <c r="A811" s="2" t="str">
        <f>HYPERLINK("https://rth.dk/resources/bsgatlas/details.php?id=BSGatlas-3'UTR-810","BSGatlas-3'UTR-810")</f>
        <v>BSGatlas-3'UTR-810</v>
      </c>
      <c r="B811" s="3">
        <v>2190739</v>
      </c>
      <c r="C811" s="3">
        <v>2190884</v>
      </c>
      <c r="D811" s="1" t="s">
        <v>13</v>
      </c>
      <c r="E811" s="3">
        <v>146</v>
      </c>
      <c r="F811" s="1" t="s">
        <v>14368</v>
      </c>
      <c r="G811" s="1" t="s">
        <v>7907</v>
      </c>
    </row>
    <row r="812" spans="1:7" ht="21" x14ac:dyDescent="0.25">
      <c r="A812" s="2" t="str">
        <f>HYPERLINK("https://rth.dk/resources/bsgatlas/details.php?id=BSGatlas-3'UTR-811","BSGatlas-3'UTR-811")</f>
        <v>BSGatlas-3'UTR-811</v>
      </c>
      <c r="B812" s="3">
        <v>2208802</v>
      </c>
      <c r="C812" s="3">
        <v>2208855</v>
      </c>
      <c r="D812" s="1" t="s">
        <v>13</v>
      </c>
      <c r="E812" s="3">
        <v>54</v>
      </c>
      <c r="F812" s="1" t="s">
        <v>12957</v>
      </c>
      <c r="G812" s="1" t="s">
        <v>7923</v>
      </c>
    </row>
    <row r="813" spans="1:7" ht="21" x14ac:dyDescent="0.25">
      <c r="A813" s="2" t="str">
        <f>HYPERLINK("https://rth.dk/resources/bsgatlas/details.php?id=BSGatlas-3'UTR-812","BSGatlas-3'UTR-812")</f>
        <v>BSGatlas-3'UTR-812</v>
      </c>
      <c r="B813" s="3">
        <v>2213078</v>
      </c>
      <c r="C813" s="3">
        <v>2214894</v>
      </c>
      <c r="D813" s="1" t="s">
        <v>9</v>
      </c>
      <c r="E813" s="3">
        <v>1817</v>
      </c>
      <c r="F813" s="1" t="s">
        <v>14369</v>
      </c>
      <c r="G813" s="1" t="s">
        <v>7928</v>
      </c>
    </row>
    <row r="814" spans="1:7" ht="21" x14ac:dyDescent="0.25">
      <c r="A814" s="2" t="str">
        <f>HYPERLINK("https://rth.dk/resources/bsgatlas/details.php?id=BSGatlas-3'UTR-813","BSGatlas-3'UTR-813")</f>
        <v>BSGatlas-3'UTR-813</v>
      </c>
      <c r="B814" s="3">
        <v>2215289</v>
      </c>
      <c r="C814" s="3">
        <v>2215460</v>
      </c>
      <c r="D814" s="1" t="s">
        <v>13</v>
      </c>
      <c r="E814" s="3">
        <v>172</v>
      </c>
      <c r="F814" s="1" t="s">
        <v>12962</v>
      </c>
      <c r="G814" s="1" t="s">
        <v>7931</v>
      </c>
    </row>
    <row r="815" spans="1:7" ht="21" x14ac:dyDescent="0.25">
      <c r="A815" s="2" t="str">
        <f>HYPERLINK("https://rth.dk/resources/bsgatlas/details.php?id=BSGatlas-3'UTR-814","BSGatlas-3'UTR-814")</f>
        <v>BSGatlas-3'UTR-814</v>
      </c>
      <c r="B815" s="3">
        <v>2225615</v>
      </c>
      <c r="C815" s="3">
        <v>2225808</v>
      </c>
      <c r="D815" s="1" t="s">
        <v>9</v>
      </c>
      <c r="E815" s="3">
        <v>194</v>
      </c>
      <c r="F815" s="1" t="s">
        <v>14370</v>
      </c>
      <c r="G815" s="1" t="s">
        <v>7949</v>
      </c>
    </row>
    <row r="816" spans="1:7" ht="21" x14ac:dyDescent="0.25">
      <c r="A816" s="2" t="str">
        <f>HYPERLINK("https://rth.dk/resources/bsgatlas/details.php?id=BSGatlas-3'UTR-815","BSGatlas-3'UTR-815")</f>
        <v>BSGatlas-3'UTR-815</v>
      </c>
      <c r="B816" s="3">
        <v>2245274</v>
      </c>
      <c r="C816" s="3">
        <v>2246151</v>
      </c>
      <c r="D816" s="1" t="s">
        <v>13</v>
      </c>
      <c r="E816" s="3">
        <v>878</v>
      </c>
      <c r="F816" s="1" t="s">
        <v>12970</v>
      </c>
      <c r="G816" s="1" t="s">
        <v>7959</v>
      </c>
    </row>
    <row r="817" spans="1:7" ht="21" x14ac:dyDescent="0.25">
      <c r="A817" s="2" t="str">
        <f>HYPERLINK("https://rth.dk/resources/bsgatlas/details.php?id=BSGatlas-3'UTR-816","BSGatlas-3'UTR-816")</f>
        <v>BSGatlas-3'UTR-816</v>
      </c>
      <c r="B817" s="3">
        <v>2246148</v>
      </c>
      <c r="C817" s="3">
        <v>2246550</v>
      </c>
      <c r="D817" s="1" t="s">
        <v>9</v>
      </c>
      <c r="E817" s="3">
        <v>403</v>
      </c>
      <c r="F817" s="1" t="s">
        <v>14371</v>
      </c>
      <c r="G817" s="1" t="s">
        <v>7957</v>
      </c>
    </row>
    <row r="818" spans="1:7" ht="21" x14ac:dyDescent="0.25">
      <c r="A818" s="2" t="str">
        <f>HYPERLINK("https://rth.dk/resources/bsgatlas/details.php?id=BSGatlas-3'UTR-817","BSGatlas-3'UTR-817")</f>
        <v>BSGatlas-3'UTR-817</v>
      </c>
      <c r="B818" s="3">
        <v>2264320</v>
      </c>
      <c r="C818" s="3">
        <v>2265225</v>
      </c>
      <c r="D818" s="1" t="s">
        <v>13</v>
      </c>
      <c r="E818" s="3">
        <v>906</v>
      </c>
      <c r="F818" s="1" t="s">
        <v>14372</v>
      </c>
      <c r="G818" s="1" t="s">
        <v>7965</v>
      </c>
    </row>
    <row r="819" spans="1:7" ht="21" x14ac:dyDescent="0.25">
      <c r="A819" s="2" t="str">
        <f>HYPERLINK("https://rth.dk/resources/bsgatlas/details.php?id=BSGatlas-3'UTR-818","BSGatlas-3'UTR-818")</f>
        <v>BSGatlas-3'UTR-818</v>
      </c>
      <c r="B819" s="3">
        <v>2265122</v>
      </c>
      <c r="C819" s="3">
        <v>2265225</v>
      </c>
      <c r="D819" s="1" t="s">
        <v>13</v>
      </c>
      <c r="E819" s="3">
        <v>104</v>
      </c>
      <c r="F819" s="1" t="s">
        <v>14372</v>
      </c>
      <c r="G819" s="1" t="s">
        <v>7970</v>
      </c>
    </row>
    <row r="820" spans="1:7" ht="21" x14ac:dyDescent="0.25">
      <c r="A820" s="2" t="str">
        <f>HYPERLINK("https://rth.dk/resources/bsgatlas/details.php?id=BSGatlas-3'UTR-819","BSGatlas-3'UTR-819")</f>
        <v>BSGatlas-3'UTR-819</v>
      </c>
      <c r="B820" s="3">
        <v>2269487</v>
      </c>
      <c r="C820" s="3">
        <v>2269521</v>
      </c>
      <c r="D820" s="1" t="s">
        <v>13</v>
      </c>
      <c r="E820" s="3">
        <v>35</v>
      </c>
      <c r="F820" s="1" t="s">
        <v>12973</v>
      </c>
      <c r="G820" s="1" t="s">
        <v>7971</v>
      </c>
    </row>
    <row r="821" spans="1:7" ht="21" x14ac:dyDescent="0.25">
      <c r="A821" s="2" t="str">
        <f>HYPERLINK("https://rth.dk/resources/bsgatlas/details.php?id=BSGatlas-3'UTR-820","BSGatlas-3'UTR-820")</f>
        <v>BSGatlas-3'UTR-820</v>
      </c>
      <c r="B821" s="3">
        <v>2272491</v>
      </c>
      <c r="C821" s="3">
        <v>2272535</v>
      </c>
      <c r="D821" s="1" t="s">
        <v>9</v>
      </c>
      <c r="E821" s="3">
        <v>45</v>
      </c>
      <c r="F821" s="1" t="s">
        <v>12976</v>
      </c>
      <c r="G821" s="1" t="s">
        <v>7977</v>
      </c>
    </row>
    <row r="822" spans="1:7" ht="21" x14ac:dyDescent="0.25">
      <c r="A822" s="2" t="str">
        <f>HYPERLINK("https://rth.dk/resources/bsgatlas/details.php?id=BSGatlas-3'UTR-821","BSGatlas-3'UTR-821")</f>
        <v>BSGatlas-3'UTR-821</v>
      </c>
      <c r="B822" s="3">
        <v>2273481</v>
      </c>
      <c r="C822" s="3">
        <v>2273701</v>
      </c>
      <c r="D822" s="1" t="s">
        <v>13</v>
      </c>
      <c r="E822" s="3">
        <v>221</v>
      </c>
      <c r="F822" s="1" t="s">
        <v>14373</v>
      </c>
      <c r="G822" s="1" t="s">
        <v>7986</v>
      </c>
    </row>
    <row r="823" spans="1:7" ht="21" x14ac:dyDescent="0.25">
      <c r="A823" s="2" t="str">
        <f>HYPERLINK("https://rth.dk/resources/bsgatlas/details.php?id=BSGatlas-3'UTR-822","BSGatlas-3'UTR-822")</f>
        <v>BSGatlas-3'UTR-822</v>
      </c>
      <c r="B823" s="3">
        <v>2273710</v>
      </c>
      <c r="C823" s="3">
        <v>2273727</v>
      </c>
      <c r="D823" s="1" t="s">
        <v>9</v>
      </c>
      <c r="E823" s="3">
        <v>18</v>
      </c>
      <c r="F823" s="1" t="s">
        <v>14374</v>
      </c>
      <c r="G823" s="1" t="s">
        <v>7984</v>
      </c>
    </row>
    <row r="824" spans="1:7" ht="21" x14ac:dyDescent="0.25">
      <c r="A824" s="2" t="str">
        <f>HYPERLINK("https://rth.dk/resources/bsgatlas/details.php?id=BSGatlas-3'UTR-823","BSGatlas-3'UTR-823")</f>
        <v>BSGatlas-3'UTR-823</v>
      </c>
      <c r="B824" s="3">
        <v>2281379</v>
      </c>
      <c r="C824" s="3">
        <v>2282505</v>
      </c>
      <c r="D824" s="1" t="s">
        <v>13</v>
      </c>
      <c r="E824" s="3">
        <v>1127</v>
      </c>
      <c r="F824" s="1" t="s">
        <v>14375</v>
      </c>
      <c r="G824" s="1" t="s">
        <v>7997</v>
      </c>
    </row>
    <row r="825" spans="1:7" ht="21" x14ac:dyDescent="0.25">
      <c r="A825" s="2" t="str">
        <f>HYPERLINK("https://rth.dk/resources/bsgatlas/details.php?id=BSGatlas-3'UTR-824","BSGatlas-3'UTR-824")</f>
        <v>BSGatlas-3'UTR-824</v>
      </c>
      <c r="B825" s="3">
        <v>2282252</v>
      </c>
      <c r="C825" s="3">
        <v>2282505</v>
      </c>
      <c r="D825" s="1" t="s">
        <v>13</v>
      </c>
      <c r="E825" s="3">
        <v>254</v>
      </c>
      <c r="F825" s="1" t="s">
        <v>14375</v>
      </c>
      <c r="G825" s="1" t="s">
        <v>8000</v>
      </c>
    </row>
    <row r="826" spans="1:7" ht="21" x14ac:dyDescent="0.25">
      <c r="A826" s="2" t="str">
        <f>HYPERLINK("https://rth.dk/resources/bsgatlas/details.php?id=BSGatlas-3'UTR-825","BSGatlas-3'UTR-825")</f>
        <v>BSGatlas-3'UTR-825</v>
      </c>
      <c r="B826" s="3">
        <v>2282485</v>
      </c>
      <c r="C826" s="3">
        <v>2282557</v>
      </c>
      <c r="D826" s="1" t="s">
        <v>9</v>
      </c>
      <c r="E826" s="3">
        <v>73</v>
      </c>
      <c r="F826" s="1" t="s">
        <v>12982</v>
      </c>
      <c r="G826" s="1" t="s">
        <v>7999</v>
      </c>
    </row>
    <row r="827" spans="1:7" ht="21" x14ac:dyDescent="0.25">
      <c r="A827" s="2" t="str">
        <f>HYPERLINK("https://rth.dk/resources/bsgatlas/details.php?id=BSGatlas-3'UTR-826","BSGatlas-3'UTR-826")</f>
        <v>BSGatlas-3'UTR-826</v>
      </c>
      <c r="B827" s="3">
        <v>2287042</v>
      </c>
      <c r="C827" s="3">
        <v>2287097</v>
      </c>
      <c r="D827" s="1" t="s">
        <v>13</v>
      </c>
      <c r="E827" s="3">
        <v>56</v>
      </c>
      <c r="F827" s="1" t="s">
        <v>14376</v>
      </c>
      <c r="G827" s="1" t="s">
        <v>8008</v>
      </c>
    </row>
    <row r="828" spans="1:7" ht="21" x14ac:dyDescent="0.25">
      <c r="A828" s="2" t="str">
        <f>HYPERLINK("https://rth.dk/resources/bsgatlas/details.php?id=BSGatlas-3'UTR-827","BSGatlas-3'UTR-827")</f>
        <v>BSGatlas-3'UTR-827</v>
      </c>
      <c r="B828" s="3">
        <v>2287053</v>
      </c>
      <c r="C828" s="3">
        <v>2287100</v>
      </c>
      <c r="D828" s="1" t="s">
        <v>9</v>
      </c>
      <c r="E828" s="3">
        <v>48</v>
      </c>
      <c r="F828" s="1" t="s">
        <v>12985</v>
      </c>
      <c r="G828" s="1" t="s">
        <v>8006</v>
      </c>
    </row>
    <row r="829" spans="1:7" ht="21" x14ac:dyDescent="0.25">
      <c r="A829" s="2" t="str">
        <f>HYPERLINK("https://rth.dk/resources/bsgatlas/details.php?id=BSGatlas-3'UTR-828","BSGatlas-3'UTR-828")</f>
        <v>BSGatlas-3'UTR-828</v>
      </c>
      <c r="B829" s="3">
        <v>2288611</v>
      </c>
      <c r="C829" s="3">
        <v>2288669</v>
      </c>
      <c r="D829" s="1" t="s">
        <v>13</v>
      </c>
      <c r="E829" s="3">
        <v>59</v>
      </c>
      <c r="F829" s="1" t="s">
        <v>14377</v>
      </c>
      <c r="G829" s="1" t="s">
        <v>8014</v>
      </c>
    </row>
    <row r="830" spans="1:7" ht="21" x14ac:dyDescent="0.25">
      <c r="A830" s="2" t="str">
        <f>HYPERLINK("https://rth.dk/resources/bsgatlas/details.php?id=BSGatlas-3'UTR-829","BSGatlas-3'UTR-829")</f>
        <v>BSGatlas-3'UTR-829</v>
      </c>
      <c r="B830" s="3">
        <v>2288619</v>
      </c>
      <c r="C830" s="3">
        <v>2288666</v>
      </c>
      <c r="D830" s="1" t="s">
        <v>9</v>
      </c>
      <c r="E830" s="3">
        <v>48</v>
      </c>
      <c r="F830" s="1" t="s">
        <v>12987</v>
      </c>
      <c r="G830" s="1" t="s">
        <v>8012</v>
      </c>
    </row>
    <row r="831" spans="1:7" ht="21" x14ac:dyDescent="0.25">
      <c r="A831" s="2" t="str">
        <f>HYPERLINK("https://rth.dk/resources/bsgatlas/details.php?id=BSGatlas-3'UTR-830","BSGatlas-3'UTR-830")</f>
        <v>BSGatlas-3'UTR-830</v>
      </c>
      <c r="B831" s="3">
        <v>2288619</v>
      </c>
      <c r="C831" s="3">
        <v>2289916</v>
      </c>
      <c r="D831" s="1" t="s">
        <v>9</v>
      </c>
      <c r="E831" s="3">
        <v>1298</v>
      </c>
      <c r="F831" s="1" t="s">
        <v>12987</v>
      </c>
      <c r="G831" s="1" t="s">
        <v>8013</v>
      </c>
    </row>
    <row r="832" spans="1:7" ht="21" x14ac:dyDescent="0.25">
      <c r="A832" s="2" t="str">
        <f>HYPERLINK("https://rth.dk/resources/bsgatlas/details.php?id=BSGatlas-3'UTR-831","BSGatlas-3'UTR-831")</f>
        <v>BSGatlas-3'UTR-831</v>
      </c>
      <c r="B832" s="3">
        <v>2290038</v>
      </c>
      <c r="C832" s="3">
        <v>2290078</v>
      </c>
      <c r="D832" s="1" t="s">
        <v>13</v>
      </c>
      <c r="E832" s="3">
        <v>41</v>
      </c>
      <c r="F832" s="1" t="s">
        <v>14378</v>
      </c>
      <c r="G832" s="1" t="s">
        <v>8015</v>
      </c>
    </row>
    <row r="833" spans="1:7" ht="21" x14ac:dyDescent="0.25">
      <c r="A833" s="2" t="str">
        <f>HYPERLINK("https://rth.dk/resources/bsgatlas/details.php?id=BSGatlas-3'UTR-832","BSGatlas-3'UTR-832")</f>
        <v>BSGatlas-3'UTR-832</v>
      </c>
      <c r="B833" s="3">
        <v>2292358</v>
      </c>
      <c r="C833" s="3">
        <v>2292432</v>
      </c>
      <c r="D833" s="1" t="s">
        <v>13</v>
      </c>
      <c r="E833" s="3">
        <v>75</v>
      </c>
      <c r="F833" s="1" t="s">
        <v>12989</v>
      </c>
      <c r="G833" s="1" t="s">
        <v>8020</v>
      </c>
    </row>
    <row r="834" spans="1:7" ht="21" x14ac:dyDescent="0.25">
      <c r="A834" s="2" t="str">
        <f>HYPERLINK("https://rth.dk/resources/bsgatlas/details.php?id=BSGatlas-3'UTR-833","BSGatlas-3'UTR-833")</f>
        <v>BSGatlas-3'UTR-833</v>
      </c>
      <c r="B834" s="3">
        <v>2295942</v>
      </c>
      <c r="C834" s="3">
        <v>2295982</v>
      </c>
      <c r="D834" s="1" t="s">
        <v>13</v>
      </c>
      <c r="E834" s="3">
        <v>41</v>
      </c>
      <c r="F834" s="1" t="s">
        <v>14379</v>
      </c>
      <c r="G834" s="1" t="s">
        <v>8028</v>
      </c>
    </row>
    <row r="835" spans="1:7" ht="21" x14ac:dyDescent="0.25">
      <c r="A835" s="2" t="str">
        <f>HYPERLINK("https://rth.dk/resources/bsgatlas/details.php?id=BSGatlas-3'UTR-834","BSGatlas-3'UTR-834")</f>
        <v>BSGatlas-3'UTR-834</v>
      </c>
      <c r="B835" s="3">
        <v>2295943</v>
      </c>
      <c r="C835" s="3">
        <v>2295992</v>
      </c>
      <c r="D835" s="1" t="s">
        <v>9</v>
      </c>
      <c r="E835" s="3">
        <v>50</v>
      </c>
      <c r="F835" s="1" t="s">
        <v>14380</v>
      </c>
      <c r="G835" s="1" t="s">
        <v>8026</v>
      </c>
    </row>
    <row r="836" spans="1:7" ht="21" x14ac:dyDescent="0.25">
      <c r="A836" s="2" t="str">
        <f>HYPERLINK("https://rth.dk/resources/bsgatlas/details.php?id=BSGatlas-3'UTR-835","BSGatlas-3'UTR-835")</f>
        <v>BSGatlas-3'UTR-835</v>
      </c>
      <c r="B836" s="3">
        <v>2295943</v>
      </c>
      <c r="C836" s="3">
        <v>2297078</v>
      </c>
      <c r="D836" s="1" t="s">
        <v>9</v>
      </c>
      <c r="E836" s="3">
        <v>1136</v>
      </c>
      <c r="F836" s="1" t="s">
        <v>14380</v>
      </c>
      <c r="G836" s="1" t="s">
        <v>8027</v>
      </c>
    </row>
    <row r="837" spans="1:7" ht="21" x14ac:dyDescent="0.25">
      <c r="A837" s="2" t="str">
        <f>HYPERLINK("https://rth.dk/resources/bsgatlas/details.php?id=BSGatlas-3'UTR-836","BSGatlas-3'UTR-836")</f>
        <v>BSGatlas-3'UTR-836</v>
      </c>
      <c r="B837" s="3">
        <v>2297936</v>
      </c>
      <c r="C837" s="3">
        <v>2297984</v>
      </c>
      <c r="D837" s="1" t="s">
        <v>13</v>
      </c>
      <c r="E837" s="3">
        <v>49</v>
      </c>
      <c r="F837" s="1" t="s">
        <v>14381</v>
      </c>
      <c r="G837" s="1" t="s">
        <v>8033</v>
      </c>
    </row>
    <row r="838" spans="1:7" ht="21" x14ac:dyDescent="0.25">
      <c r="A838" s="2" t="str">
        <f>HYPERLINK("https://rth.dk/resources/bsgatlas/details.php?id=BSGatlas-3'UTR-837","BSGatlas-3'UTR-837")</f>
        <v>BSGatlas-3'UTR-837</v>
      </c>
      <c r="B838" s="3">
        <v>2299377</v>
      </c>
      <c r="C838" s="3">
        <v>2299406</v>
      </c>
      <c r="D838" s="1" t="s">
        <v>13</v>
      </c>
      <c r="E838" s="3">
        <v>30</v>
      </c>
      <c r="F838" s="1" t="s">
        <v>14382</v>
      </c>
      <c r="G838" s="1" t="s">
        <v>8037</v>
      </c>
    </row>
    <row r="839" spans="1:7" ht="21" x14ac:dyDescent="0.25">
      <c r="A839" s="2" t="str">
        <f>HYPERLINK("https://rth.dk/resources/bsgatlas/details.php?id=BSGatlas-3'UTR-838","BSGatlas-3'UTR-838")</f>
        <v>BSGatlas-3'UTR-838</v>
      </c>
      <c r="B839" s="3">
        <v>2300188</v>
      </c>
      <c r="C839" s="3">
        <v>2300221</v>
      </c>
      <c r="D839" s="1" t="s">
        <v>13</v>
      </c>
      <c r="E839" s="3">
        <v>34</v>
      </c>
      <c r="F839" s="1" t="s">
        <v>12994</v>
      </c>
      <c r="G839" s="1" t="s">
        <v>8041</v>
      </c>
    </row>
    <row r="840" spans="1:7" ht="21" x14ac:dyDescent="0.25">
      <c r="A840" s="2" t="str">
        <f>HYPERLINK("https://rth.dk/resources/bsgatlas/details.php?id=BSGatlas-3'UTR-839","BSGatlas-3'UTR-839")</f>
        <v>BSGatlas-3'UTR-839</v>
      </c>
      <c r="B840" s="3">
        <v>2300648</v>
      </c>
      <c r="C840" s="3">
        <v>2300762</v>
      </c>
      <c r="D840" s="1" t="s">
        <v>13</v>
      </c>
      <c r="E840" s="3">
        <v>115</v>
      </c>
      <c r="F840" s="1" t="s">
        <v>12995</v>
      </c>
      <c r="G840" s="1" t="s">
        <v>8043</v>
      </c>
    </row>
    <row r="841" spans="1:7" ht="21" x14ac:dyDescent="0.25">
      <c r="A841" s="2" t="str">
        <f>HYPERLINK("https://rth.dk/resources/bsgatlas/details.php?id=BSGatlas-3'UTR-840","BSGatlas-3'UTR-840")</f>
        <v>BSGatlas-3'UTR-840</v>
      </c>
      <c r="B841" s="3">
        <v>2302685</v>
      </c>
      <c r="C841" s="3">
        <v>2302727</v>
      </c>
      <c r="D841" s="1" t="s">
        <v>13</v>
      </c>
      <c r="E841" s="3">
        <v>43</v>
      </c>
      <c r="F841" s="1" t="s">
        <v>12996</v>
      </c>
      <c r="G841" s="1" t="s">
        <v>8045</v>
      </c>
    </row>
    <row r="842" spans="1:7" ht="21" x14ac:dyDescent="0.25">
      <c r="A842" s="2" t="str">
        <f>HYPERLINK("https://rth.dk/resources/bsgatlas/details.php?id=BSGatlas-3'UTR-841","BSGatlas-3'UTR-841")</f>
        <v>BSGatlas-3'UTR-841</v>
      </c>
      <c r="B842" s="3">
        <v>2307662</v>
      </c>
      <c r="C842" s="3">
        <v>2307680</v>
      </c>
      <c r="D842" s="1" t="s">
        <v>9</v>
      </c>
      <c r="E842" s="3">
        <v>19</v>
      </c>
      <c r="F842" s="1" t="s">
        <v>12999</v>
      </c>
      <c r="G842" s="1" t="s">
        <v>8052</v>
      </c>
    </row>
    <row r="843" spans="1:7" ht="21" x14ac:dyDescent="0.25">
      <c r="A843" s="2" t="str">
        <f>HYPERLINK("https://rth.dk/resources/bsgatlas/details.php?id=BSGatlas-3'UTR-842","BSGatlas-3'UTR-842")</f>
        <v>BSGatlas-3'UTR-842</v>
      </c>
      <c r="B843" s="3">
        <v>2308105</v>
      </c>
      <c r="C843" s="3">
        <v>2308142</v>
      </c>
      <c r="D843" s="1" t="s">
        <v>9</v>
      </c>
      <c r="E843" s="3">
        <v>38</v>
      </c>
      <c r="F843" s="1" t="s">
        <v>13000</v>
      </c>
      <c r="G843" s="1" t="s">
        <v>8057</v>
      </c>
    </row>
    <row r="844" spans="1:7" ht="21" x14ac:dyDescent="0.25">
      <c r="A844" s="2" t="str">
        <f>HYPERLINK("https://rth.dk/resources/bsgatlas/details.php?id=BSGatlas-3'UTR-843","BSGatlas-3'UTR-843")</f>
        <v>BSGatlas-3'UTR-843</v>
      </c>
      <c r="B844" s="3">
        <v>2308119</v>
      </c>
      <c r="C844" s="3">
        <v>2308157</v>
      </c>
      <c r="D844" s="1" t="s">
        <v>13</v>
      </c>
      <c r="E844" s="3">
        <v>39</v>
      </c>
      <c r="F844" s="1" t="s">
        <v>13001</v>
      </c>
      <c r="G844" s="1" t="s">
        <v>8060</v>
      </c>
    </row>
    <row r="845" spans="1:7" ht="21" x14ac:dyDescent="0.25">
      <c r="A845" s="2" t="str">
        <f>HYPERLINK("https://rth.dk/resources/bsgatlas/details.php?id=BSGatlas-3'UTR-844","BSGatlas-3'UTR-844")</f>
        <v>BSGatlas-3'UTR-844</v>
      </c>
      <c r="B845" s="3">
        <v>2308753</v>
      </c>
      <c r="C845" s="3">
        <v>2308792</v>
      </c>
      <c r="D845" s="1" t="s">
        <v>13</v>
      </c>
      <c r="E845" s="3">
        <v>40</v>
      </c>
      <c r="F845" s="1" t="s">
        <v>14383</v>
      </c>
      <c r="G845" s="1" t="s">
        <v>8065</v>
      </c>
    </row>
    <row r="846" spans="1:7" ht="21" x14ac:dyDescent="0.25">
      <c r="A846" s="2" t="str">
        <f>HYPERLINK("https://rth.dk/resources/bsgatlas/details.php?id=BSGatlas-3'UTR-845","BSGatlas-3'UTR-845")</f>
        <v>BSGatlas-3'UTR-845</v>
      </c>
      <c r="B846" s="3">
        <v>2308764</v>
      </c>
      <c r="C846" s="3">
        <v>2308797</v>
      </c>
      <c r="D846" s="1" t="s">
        <v>9</v>
      </c>
      <c r="E846" s="3">
        <v>34</v>
      </c>
      <c r="F846" s="1" t="s">
        <v>14384</v>
      </c>
      <c r="G846" s="1" t="s">
        <v>8064</v>
      </c>
    </row>
    <row r="847" spans="1:7" ht="21" x14ac:dyDescent="0.25">
      <c r="A847" s="2" t="str">
        <f>HYPERLINK("https://rth.dk/resources/bsgatlas/details.php?id=BSGatlas-3'UTR-846","BSGatlas-3'UTR-846")</f>
        <v>BSGatlas-3'UTR-846</v>
      </c>
      <c r="B847" s="3">
        <v>2310862</v>
      </c>
      <c r="C847" s="3">
        <v>2310995</v>
      </c>
      <c r="D847" s="1" t="s">
        <v>13</v>
      </c>
      <c r="E847" s="3">
        <v>134</v>
      </c>
      <c r="F847" s="1" t="s">
        <v>13004</v>
      </c>
      <c r="G847" s="1" t="s">
        <v>8075</v>
      </c>
    </row>
    <row r="848" spans="1:7" ht="21" x14ac:dyDescent="0.25">
      <c r="A848" s="2" t="str">
        <f>HYPERLINK("https://rth.dk/resources/bsgatlas/details.php?id=BSGatlas-3'UTR-847","BSGatlas-3'UTR-847")</f>
        <v>BSGatlas-3'UTR-847</v>
      </c>
      <c r="B848" s="3">
        <v>2310967</v>
      </c>
      <c r="C848" s="3">
        <v>2310995</v>
      </c>
      <c r="D848" s="1" t="s">
        <v>13</v>
      </c>
      <c r="E848" s="3">
        <v>29</v>
      </c>
      <c r="F848" s="1" t="s">
        <v>13004</v>
      </c>
      <c r="G848" s="1" t="s">
        <v>8076</v>
      </c>
    </row>
    <row r="849" spans="1:7" ht="21" x14ac:dyDescent="0.25">
      <c r="A849" s="2" t="str">
        <f>HYPERLINK("https://rth.dk/resources/bsgatlas/details.php?id=BSGatlas-3'UTR-848","BSGatlas-3'UTR-848")</f>
        <v>BSGatlas-3'UTR-848</v>
      </c>
      <c r="B849" s="3">
        <v>2310987</v>
      </c>
      <c r="C849" s="3">
        <v>2311964</v>
      </c>
      <c r="D849" s="1" t="s">
        <v>9</v>
      </c>
      <c r="E849" s="3">
        <v>978</v>
      </c>
      <c r="F849" s="1" t="s">
        <v>14385</v>
      </c>
      <c r="G849" s="1" t="s">
        <v>8073</v>
      </c>
    </row>
    <row r="850" spans="1:7" ht="21" x14ac:dyDescent="0.25">
      <c r="A850" s="2" t="str">
        <f>HYPERLINK("https://rth.dk/resources/bsgatlas/details.php?id=BSGatlas-3'UTR-849","BSGatlas-3'UTR-849")</f>
        <v>BSGatlas-3'UTR-849</v>
      </c>
      <c r="B850" s="3">
        <v>2311933</v>
      </c>
      <c r="C850" s="3">
        <v>2311986</v>
      </c>
      <c r="D850" s="1" t="s">
        <v>13</v>
      </c>
      <c r="E850" s="3">
        <v>54</v>
      </c>
      <c r="F850" s="1" t="s">
        <v>13005</v>
      </c>
      <c r="G850" s="1" t="s">
        <v>8078</v>
      </c>
    </row>
    <row r="851" spans="1:7" ht="21" x14ac:dyDescent="0.25">
      <c r="A851" s="2" t="str">
        <f>HYPERLINK("https://rth.dk/resources/bsgatlas/details.php?id=BSGatlas-3'UTR-850","BSGatlas-3'UTR-850")</f>
        <v>BSGatlas-3'UTR-850</v>
      </c>
      <c r="B851" s="3">
        <v>2316248</v>
      </c>
      <c r="C851" s="3">
        <v>2316286</v>
      </c>
      <c r="D851" s="1" t="s">
        <v>13</v>
      </c>
      <c r="E851" s="3">
        <v>39</v>
      </c>
      <c r="F851" s="1" t="s">
        <v>14386</v>
      </c>
      <c r="G851" s="1" t="s">
        <v>8084</v>
      </c>
    </row>
    <row r="852" spans="1:7" ht="21" x14ac:dyDescent="0.25">
      <c r="A852" s="2" t="str">
        <f>HYPERLINK("https://rth.dk/resources/bsgatlas/details.php?id=BSGatlas-3'UTR-851","BSGatlas-3'UTR-851")</f>
        <v>BSGatlas-3'UTR-851</v>
      </c>
      <c r="B852" s="3">
        <v>2318096</v>
      </c>
      <c r="C852" s="3">
        <v>2318127</v>
      </c>
      <c r="D852" s="1" t="s">
        <v>13</v>
      </c>
      <c r="E852" s="3">
        <v>32</v>
      </c>
      <c r="F852" s="1" t="s">
        <v>14387</v>
      </c>
      <c r="G852" s="1" t="s">
        <v>8090</v>
      </c>
    </row>
    <row r="853" spans="1:7" ht="21" x14ac:dyDescent="0.25">
      <c r="A853" s="2" t="str">
        <f>HYPERLINK("https://rth.dk/resources/bsgatlas/details.php?id=BSGatlas-3'UTR-852","BSGatlas-3'UTR-852")</f>
        <v>BSGatlas-3'UTR-852</v>
      </c>
      <c r="B853" s="3">
        <v>2320055</v>
      </c>
      <c r="C853" s="3">
        <v>2320113</v>
      </c>
      <c r="D853" s="1" t="s">
        <v>13</v>
      </c>
      <c r="E853" s="3">
        <v>59</v>
      </c>
      <c r="F853" s="1" t="s">
        <v>14388</v>
      </c>
      <c r="G853" s="1" t="s">
        <v>8091</v>
      </c>
    </row>
    <row r="854" spans="1:7" ht="21" x14ac:dyDescent="0.25">
      <c r="A854" s="2" t="str">
        <f>HYPERLINK("https://rth.dk/resources/bsgatlas/details.php?id=BSGatlas-3'UTR-853","BSGatlas-3'UTR-853")</f>
        <v>BSGatlas-3'UTR-853</v>
      </c>
      <c r="B854" s="3">
        <v>2320098</v>
      </c>
      <c r="C854" s="3">
        <v>2320113</v>
      </c>
      <c r="D854" s="1" t="s">
        <v>13</v>
      </c>
      <c r="E854" s="3">
        <v>16</v>
      </c>
      <c r="F854" s="1" t="s">
        <v>14388</v>
      </c>
      <c r="G854" s="1" t="s">
        <v>8092</v>
      </c>
    </row>
    <row r="855" spans="1:7" ht="21" x14ac:dyDescent="0.25">
      <c r="A855" s="2" t="str">
        <f>HYPERLINK("https://rth.dk/resources/bsgatlas/details.php?id=BSGatlas-3'UTR-854","BSGatlas-3'UTR-854")</f>
        <v>BSGatlas-3'UTR-854</v>
      </c>
      <c r="B855" s="3">
        <v>2321924</v>
      </c>
      <c r="C855" s="3">
        <v>2321972</v>
      </c>
      <c r="D855" s="1" t="s">
        <v>13</v>
      </c>
      <c r="E855" s="3">
        <v>49</v>
      </c>
      <c r="F855" s="1" t="s">
        <v>14389</v>
      </c>
      <c r="G855" s="1" t="s">
        <v>8097</v>
      </c>
    </row>
    <row r="856" spans="1:7" ht="21" x14ac:dyDescent="0.25">
      <c r="A856" s="2" t="str">
        <f>HYPERLINK("https://rth.dk/resources/bsgatlas/details.php?id=BSGatlas-3'UTR-855","BSGatlas-3'UTR-855")</f>
        <v>BSGatlas-3'UTR-855</v>
      </c>
      <c r="B856" s="3">
        <v>2327444</v>
      </c>
      <c r="C856" s="3">
        <v>2327488</v>
      </c>
      <c r="D856" s="1" t="s">
        <v>13</v>
      </c>
      <c r="E856" s="3">
        <v>45</v>
      </c>
      <c r="F856" s="1" t="s">
        <v>13014</v>
      </c>
      <c r="G856" s="1" t="s">
        <v>8102</v>
      </c>
    </row>
    <row r="857" spans="1:7" ht="21" x14ac:dyDescent="0.25">
      <c r="A857" s="2" t="str">
        <f>HYPERLINK("https://rth.dk/resources/bsgatlas/details.php?id=BSGatlas-3'UTR-856","BSGatlas-3'UTR-856")</f>
        <v>BSGatlas-3'UTR-856</v>
      </c>
      <c r="B857" s="3">
        <v>2330022</v>
      </c>
      <c r="C857" s="3">
        <v>2330054</v>
      </c>
      <c r="D857" s="1" t="s">
        <v>9</v>
      </c>
      <c r="E857" s="3">
        <v>33</v>
      </c>
      <c r="F857" s="1" t="s">
        <v>13016</v>
      </c>
      <c r="G857" s="1" t="s">
        <v>8105</v>
      </c>
    </row>
    <row r="858" spans="1:7" ht="21" x14ac:dyDescent="0.25">
      <c r="A858" s="2" t="str">
        <f>HYPERLINK("https://rth.dk/resources/bsgatlas/details.php?id=BSGatlas-3'UTR-857","BSGatlas-3'UTR-857")</f>
        <v>BSGatlas-3'UTR-857</v>
      </c>
      <c r="B858" s="3">
        <v>2332702</v>
      </c>
      <c r="C858" s="3">
        <v>2332784</v>
      </c>
      <c r="D858" s="1" t="s">
        <v>13</v>
      </c>
      <c r="E858" s="3">
        <v>83</v>
      </c>
      <c r="F858" s="1" t="s">
        <v>13019</v>
      </c>
      <c r="G858" s="1" t="s">
        <v>8114</v>
      </c>
    </row>
    <row r="859" spans="1:7" ht="21" x14ac:dyDescent="0.25">
      <c r="A859" s="2" t="str">
        <f>HYPERLINK("https://rth.dk/resources/bsgatlas/details.php?id=BSGatlas-3'UTR-858","BSGatlas-3'UTR-858")</f>
        <v>BSGatlas-3'UTR-858</v>
      </c>
      <c r="B859" s="3">
        <v>2337996</v>
      </c>
      <c r="C859" s="3">
        <v>2338026</v>
      </c>
      <c r="D859" s="1" t="s">
        <v>9</v>
      </c>
      <c r="E859" s="3">
        <v>31</v>
      </c>
      <c r="F859" s="1" t="s">
        <v>13022</v>
      </c>
      <c r="G859" s="1" t="s">
        <v>8124</v>
      </c>
    </row>
    <row r="860" spans="1:7" ht="21" x14ac:dyDescent="0.25">
      <c r="A860" s="2" t="str">
        <f>HYPERLINK("https://rth.dk/resources/bsgatlas/details.php?id=BSGatlas-3'UTR-859","BSGatlas-3'UTR-859")</f>
        <v>BSGatlas-3'UTR-859</v>
      </c>
      <c r="B860" s="3">
        <v>2337996</v>
      </c>
      <c r="C860" s="3">
        <v>2338180</v>
      </c>
      <c r="D860" s="1" t="s">
        <v>9</v>
      </c>
      <c r="E860" s="3">
        <v>185</v>
      </c>
      <c r="F860" s="1" t="s">
        <v>13022</v>
      </c>
      <c r="G860" s="1" t="s">
        <v>8125</v>
      </c>
    </row>
    <row r="861" spans="1:7" ht="21" x14ac:dyDescent="0.25">
      <c r="A861" s="2" t="str">
        <f>HYPERLINK("https://rth.dk/resources/bsgatlas/details.php?id=BSGatlas-3'UTR-860","BSGatlas-3'UTR-860")</f>
        <v>BSGatlas-3'UTR-860</v>
      </c>
      <c r="B861" s="3">
        <v>2338770</v>
      </c>
      <c r="C861" s="3">
        <v>2338821</v>
      </c>
      <c r="D861" s="1" t="s">
        <v>9</v>
      </c>
      <c r="E861" s="3">
        <v>52</v>
      </c>
      <c r="F861" s="1" t="s">
        <v>13023</v>
      </c>
      <c r="G861" s="1" t="s">
        <v>8129</v>
      </c>
    </row>
    <row r="862" spans="1:7" ht="21" x14ac:dyDescent="0.25">
      <c r="A862" s="2" t="str">
        <f>HYPERLINK("https://rth.dk/resources/bsgatlas/details.php?id=BSGatlas-3'UTR-861","BSGatlas-3'UTR-861")</f>
        <v>BSGatlas-3'UTR-861</v>
      </c>
      <c r="B862" s="3">
        <v>2339774</v>
      </c>
      <c r="C862" s="3">
        <v>2339812</v>
      </c>
      <c r="D862" s="1" t="s">
        <v>9</v>
      </c>
      <c r="E862" s="3">
        <v>39</v>
      </c>
      <c r="F862" s="1" t="s">
        <v>14390</v>
      </c>
      <c r="G862" s="1" t="s">
        <v>8136</v>
      </c>
    </row>
    <row r="863" spans="1:7" ht="21" x14ac:dyDescent="0.25">
      <c r="A863" s="2" t="str">
        <f>HYPERLINK("https://rth.dk/resources/bsgatlas/details.php?id=BSGatlas-3'UTR-862","BSGatlas-3'UTR-862")</f>
        <v>BSGatlas-3'UTR-862</v>
      </c>
      <c r="B863" s="3">
        <v>2343836</v>
      </c>
      <c r="C863" s="3">
        <v>2344264</v>
      </c>
      <c r="D863" s="1" t="s">
        <v>13</v>
      </c>
      <c r="E863" s="3">
        <v>429</v>
      </c>
      <c r="F863" s="1" t="s">
        <v>14391</v>
      </c>
      <c r="G863" s="1" t="s">
        <v>8144</v>
      </c>
    </row>
    <row r="864" spans="1:7" ht="21" x14ac:dyDescent="0.25">
      <c r="A864" s="2" t="str">
        <f>HYPERLINK("https://rth.dk/resources/bsgatlas/details.php?id=BSGatlas-3'UTR-863","BSGatlas-3'UTR-863")</f>
        <v>BSGatlas-3'UTR-863</v>
      </c>
      <c r="B864" s="3">
        <v>2344188</v>
      </c>
      <c r="C864" s="3">
        <v>2344234</v>
      </c>
      <c r="D864" s="1" t="s">
        <v>9</v>
      </c>
      <c r="E864" s="3">
        <v>47</v>
      </c>
      <c r="F864" s="1" t="s">
        <v>14392</v>
      </c>
      <c r="G864" s="1" t="s">
        <v>8140</v>
      </c>
    </row>
    <row r="865" spans="1:7" ht="21" x14ac:dyDescent="0.25">
      <c r="A865" s="2" t="str">
        <f>HYPERLINK("https://rth.dk/resources/bsgatlas/details.php?id=BSGatlas-3'UTR-864","BSGatlas-3'UTR-864")</f>
        <v>BSGatlas-3'UTR-864</v>
      </c>
      <c r="B865" s="3">
        <v>2347642</v>
      </c>
      <c r="C865" s="3">
        <v>2347660</v>
      </c>
      <c r="D865" s="1" t="s">
        <v>13</v>
      </c>
      <c r="E865" s="3">
        <v>19</v>
      </c>
      <c r="F865" s="1" t="s">
        <v>14393</v>
      </c>
      <c r="G865" s="1" t="s">
        <v>8149</v>
      </c>
    </row>
    <row r="866" spans="1:7" ht="21" x14ac:dyDescent="0.25">
      <c r="A866" s="2" t="str">
        <f>HYPERLINK("https://rth.dk/resources/bsgatlas/details.php?id=BSGatlas-3'UTR-865","BSGatlas-3'UTR-865")</f>
        <v>BSGatlas-3'UTR-865</v>
      </c>
      <c r="B866" s="3">
        <v>2361504</v>
      </c>
      <c r="C866" s="3">
        <v>2361544</v>
      </c>
      <c r="D866" s="1" t="s">
        <v>13</v>
      </c>
      <c r="E866" s="3">
        <v>41</v>
      </c>
      <c r="F866" s="1" t="s">
        <v>13034</v>
      </c>
      <c r="G866" s="1" t="s">
        <v>8161</v>
      </c>
    </row>
    <row r="867" spans="1:7" ht="21" x14ac:dyDescent="0.25">
      <c r="A867" s="2" t="str">
        <f>HYPERLINK("https://rth.dk/resources/bsgatlas/details.php?id=BSGatlas-3'UTR-866","BSGatlas-3'UTR-866")</f>
        <v>BSGatlas-3'UTR-866</v>
      </c>
      <c r="B867" s="3">
        <v>2363033</v>
      </c>
      <c r="C867" s="3">
        <v>2363111</v>
      </c>
      <c r="D867" s="1" t="s">
        <v>13</v>
      </c>
      <c r="E867" s="3">
        <v>79</v>
      </c>
      <c r="F867" s="1" t="s">
        <v>14394</v>
      </c>
      <c r="G867" s="1" t="s">
        <v>8165</v>
      </c>
    </row>
    <row r="868" spans="1:7" ht="21" x14ac:dyDescent="0.25">
      <c r="A868" s="2" t="str">
        <f>HYPERLINK("https://rth.dk/resources/bsgatlas/details.php?id=BSGatlas-3'UTR-867","BSGatlas-3'UTR-867")</f>
        <v>BSGatlas-3'UTR-867</v>
      </c>
      <c r="B868" s="3">
        <v>2367924</v>
      </c>
      <c r="C868" s="3">
        <v>2367954</v>
      </c>
      <c r="D868" s="1" t="s">
        <v>13</v>
      </c>
      <c r="E868" s="3">
        <v>31</v>
      </c>
      <c r="F868" s="1" t="s">
        <v>14395</v>
      </c>
      <c r="G868" s="1" t="s">
        <v>8173</v>
      </c>
    </row>
    <row r="869" spans="1:7" ht="21" x14ac:dyDescent="0.25">
      <c r="A869" s="2" t="str">
        <f>HYPERLINK("https://rth.dk/resources/bsgatlas/details.php?id=BSGatlas-3'UTR-868","BSGatlas-3'UTR-868")</f>
        <v>BSGatlas-3'UTR-868</v>
      </c>
      <c r="B869" s="3">
        <v>2373955</v>
      </c>
      <c r="C869" s="3">
        <v>2374139</v>
      </c>
      <c r="D869" s="1" t="s">
        <v>13</v>
      </c>
      <c r="E869" s="3">
        <v>185</v>
      </c>
      <c r="F869" s="1" t="s">
        <v>14396</v>
      </c>
      <c r="G869" s="1" t="s">
        <v>8187</v>
      </c>
    </row>
    <row r="870" spans="1:7" ht="21" x14ac:dyDescent="0.25">
      <c r="A870" s="2" t="str">
        <f>HYPERLINK("https://rth.dk/resources/bsgatlas/details.php?id=BSGatlas-3'UTR-869","BSGatlas-3'UTR-869")</f>
        <v>BSGatlas-3'UTR-869</v>
      </c>
      <c r="B870" s="3">
        <v>2381213</v>
      </c>
      <c r="C870" s="3">
        <v>2381354</v>
      </c>
      <c r="D870" s="1" t="s">
        <v>13</v>
      </c>
      <c r="E870" s="3">
        <v>142</v>
      </c>
      <c r="F870" s="1" t="s">
        <v>13045</v>
      </c>
      <c r="G870" s="1" t="s">
        <v>8194</v>
      </c>
    </row>
    <row r="871" spans="1:7" ht="21" x14ac:dyDescent="0.25">
      <c r="A871" s="2" t="str">
        <f>HYPERLINK("https://rth.dk/resources/bsgatlas/details.php?id=BSGatlas-3'UTR-870","BSGatlas-3'UTR-870")</f>
        <v>BSGatlas-3'UTR-870</v>
      </c>
      <c r="B871" s="3">
        <v>2384472</v>
      </c>
      <c r="C871" s="3">
        <v>2384534</v>
      </c>
      <c r="D871" s="1" t="s">
        <v>13</v>
      </c>
      <c r="E871" s="3">
        <v>63</v>
      </c>
      <c r="F871" s="1" t="s">
        <v>14397</v>
      </c>
      <c r="G871" s="1" t="s">
        <v>8199</v>
      </c>
    </row>
    <row r="872" spans="1:7" ht="21" x14ac:dyDescent="0.25">
      <c r="A872" s="2" t="str">
        <f>HYPERLINK("https://rth.dk/resources/bsgatlas/details.php?id=BSGatlas-3'UTR-871","BSGatlas-3'UTR-871")</f>
        <v>BSGatlas-3'UTR-871</v>
      </c>
      <c r="B872" s="3">
        <v>2385452</v>
      </c>
      <c r="C872" s="3">
        <v>2385543</v>
      </c>
      <c r="D872" s="1" t="s">
        <v>13</v>
      </c>
      <c r="E872" s="3">
        <v>92</v>
      </c>
      <c r="F872" s="1" t="s">
        <v>13048</v>
      </c>
      <c r="G872" s="1" t="s">
        <v>8202</v>
      </c>
    </row>
    <row r="873" spans="1:7" ht="21" x14ac:dyDescent="0.25">
      <c r="A873" s="2" t="str">
        <f>HYPERLINK("https://rth.dk/resources/bsgatlas/details.php?id=BSGatlas-3'UTR-872","BSGatlas-3'UTR-872")</f>
        <v>BSGatlas-3'UTR-872</v>
      </c>
      <c r="B873" s="3">
        <v>2385502</v>
      </c>
      <c r="C873" s="3">
        <v>2385543</v>
      </c>
      <c r="D873" s="1" t="s">
        <v>13</v>
      </c>
      <c r="E873" s="3">
        <v>42</v>
      </c>
      <c r="F873" s="1" t="s">
        <v>13048</v>
      </c>
      <c r="G873" s="1" t="s">
        <v>8205</v>
      </c>
    </row>
    <row r="874" spans="1:7" ht="21" x14ac:dyDescent="0.25">
      <c r="A874" s="2" t="str">
        <f>HYPERLINK("https://rth.dk/resources/bsgatlas/details.php?id=BSGatlas-3'UTR-873","BSGatlas-3'UTR-873")</f>
        <v>BSGatlas-3'UTR-873</v>
      </c>
      <c r="B874" s="3">
        <v>2385945</v>
      </c>
      <c r="C874" s="3">
        <v>2386195</v>
      </c>
      <c r="D874" s="1" t="s">
        <v>13</v>
      </c>
      <c r="E874" s="3">
        <v>251</v>
      </c>
      <c r="F874" s="1" t="s">
        <v>13049</v>
      </c>
      <c r="G874" s="1" t="s">
        <v>8207</v>
      </c>
    </row>
    <row r="875" spans="1:7" ht="21" x14ac:dyDescent="0.25">
      <c r="A875" s="2" t="str">
        <f>HYPERLINK("https://rth.dk/resources/bsgatlas/details.php?id=BSGatlas-3'UTR-874","BSGatlas-3'UTR-874")</f>
        <v>BSGatlas-3'UTR-874</v>
      </c>
      <c r="B875" s="3">
        <v>2386148</v>
      </c>
      <c r="C875" s="3">
        <v>2386195</v>
      </c>
      <c r="D875" s="1" t="s">
        <v>13</v>
      </c>
      <c r="E875" s="3">
        <v>48</v>
      </c>
      <c r="F875" s="1" t="s">
        <v>13049</v>
      </c>
      <c r="G875" s="1" t="s">
        <v>8209</v>
      </c>
    </row>
    <row r="876" spans="1:7" ht="21" x14ac:dyDescent="0.25">
      <c r="A876" s="2" t="str">
        <f>HYPERLINK("https://rth.dk/resources/bsgatlas/details.php?id=BSGatlas-3'UTR-875","BSGatlas-3'UTR-875")</f>
        <v>BSGatlas-3'UTR-875</v>
      </c>
      <c r="B876" s="3">
        <v>2391593</v>
      </c>
      <c r="C876" s="3">
        <v>2391670</v>
      </c>
      <c r="D876" s="1" t="s">
        <v>13</v>
      </c>
      <c r="E876" s="3">
        <v>78</v>
      </c>
      <c r="F876" s="1" t="s">
        <v>14398</v>
      </c>
      <c r="G876" s="1" t="s">
        <v>8220</v>
      </c>
    </row>
    <row r="877" spans="1:7" ht="21" x14ac:dyDescent="0.25">
      <c r="A877" s="2" t="str">
        <f>HYPERLINK("https://rth.dk/resources/bsgatlas/details.php?id=BSGatlas-3'UTR-876","BSGatlas-3'UTR-876")</f>
        <v>BSGatlas-3'UTR-876</v>
      </c>
      <c r="B877" s="3">
        <v>2393559</v>
      </c>
      <c r="C877" s="3">
        <v>2395108</v>
      </c>
      <c r="D877" s="1" t="s">
        <v>9</v>
      </c>
      <c r="E877" s="3">
        <v>1550</v>
      </c>
      <c r="F877" s="1" t="s">
        <v>13052</v>
      </c>
      <c r="G877" s="1" t="s">
        <v>8224</v>
      </c>
    </row>
    <row r="878" spans="1:7" ht="21" x14ac:dyDescent="0.25">
      <c r="A878" s="2" t="str">
        <f>HYPERLINK("https://rth.dk/resources/bsgatlas/details.php?id=BSGatlas-3'UTR-877","BSGatlas-3'UTR-877")</f>
        <v>BSGatlas-3'UTR-877</v>
      </c>
      <c r="B878" s="3">
        <v>2394504</v>
      </c>
      <c r="C878" s="3">
        <v>2394664</v>
      </c>
      <c r="D878" s="1" t="s">
        <v>13</v>
      </c>
      <c r="E878" s="3">
        <v>161</v>
      </c>
      <c r="F878" s="1" t="s">
        <v>13054</v>
      </c>
      <c r="G878" s="1" t="s">
        <v>8233</v>
      </c>
    </row>
    <row r="879" spans="1:7" ht="21" x14ac:dyDescent="0.25">
      <c r="A879" s="2" t="str">
        <f>HYPERLINK("https://rth.dk/resources/bsgatlas/details.php?id=BSGatlas-3'UTR-878","BSGatlas-3'UTR-878")</f>
        <v>BSGatlas-3'UTR-878</v>
      </c>
      <c r="B879" s="3">
        <v>2397724</v>
      </c>
      <c r="C879" s="3">
        <v>2397765</v>
      </c>
      <c r="D879" s="1" t="s">
        <v>13</v>
      </c>
      <c r="E879" s="3">
        <v>42</v>
      </c>
      <c r="F879" s="1" t="s">
        <v>14399</v>
      </c>
      <c r="G879" s="1" t="s">
        <v>8239</v>
      </c>
    </row>
    <row r="880" spans="1:7" ht="21" x14ac:dyDescent="0.25">
      <c r="A880" s="2" t="str">
        <f>HYPERLINK("https://rth.dk/resources/bsgatlas/details.php?id=BSGatlas-3'UTR-879","BSGatlas-3'UTR-879")</f>
        <v>BSGatlas-3'UTR-879</v>
      </c>
      <c r="B880" s="3">
        <v>2402003</v>
      </c>
      <c r="C880" s="3">
        <v>2402067</v>
      </c>
      <c r="D880" s="1" t="s">
        <v>13</v>
      </c>
      <c r="E880" s="3">
        <v>65</v>
      </c>
      <c r="F880" s="1" t="s">
        <v>13059</v>
      </c>
      <c r="G880" s="1" t="s">
        <v>8249</v>
      </c>
    </row>
    <row r="881" spans="1:7" ht="21" x14ac:dyDescent="0.25">
      <c r="A881" s="2" t="str">
        <f>HYPERLINK("https://rth.dk/resources/bsgatlas/details.php?id=BSGatlas-3'UTR-880","BSGatlas-3'UTR-880")</f>
        <v>BSGatlas-3'UTR-880</v>
      </c>
      <c r="B881" s="3">
        <v>2403486</v>
      </c>
      <c r="C881" s="3">
        <v>2403506</v>
      </c>
      <c r="D881" s="1" t="s">
        <v>13</v>
      </c>
      <c r="E881" s="3">
        <v>21</v>
      </c>
      <c r="F881" s="1" t="s">
        <v>13060</v>
      </c>
      <c r="G881" s="1" t="s">
        <v>8251</v>
      </c>
    </row>
    <row r="882" spans="1:7" ht="21" x14ac:dyDescent="0.25">
      <c r="A882" s="2" t="str">
        <f>HYPERLINK("https://rth.dk/resources/bsgatlas/details.php?id=BSGatlas-3'UTR-881","BSGatlas-3'UTR-881")</f>
        <v>BSGatlas-3'UTR-881</v>
      </c>
      <c r="B882" s="3">
        <v>2412658</v>
      </c>
      <c r="C882" s="3">
        <v>2412706</v>
      </c>
      <c r="D882" s="1" t="s">
        <v>13</v>
      </c>
      <c r="E882" s="3">
        <v>49</v>
      </c>
      <c r="F882" s="1" t="s">
        <v>13067</v>
      </c>
      <c r="G882" s="1" t="s">
        <v>8268</v>
      </c>
    </row>
    <row r="883" spans="1:7" ht="21" x14ac:dyDescent="0.25">
      <c r="A883" s="2" t="str">
        <f>HYPERLINK("https://rth.dk/resources/bsgatlas/details.php?id=BSGatlas-3'UTR-882","BSGatlas-3'UTR-882")</f>
        <v>BSGatlas-3'UTR-882</v>
      </c>
      <c r="B883" s="3">
        <v>2412663</v>
      </c>
      <c r="C883" s="3">
        <v>2412707</v>
      </c>
      <c r="D883" s="1" t="s">
        <v>9</v>
      </c>
      <c r="E883" s="3">
        <v>45</v>
      </c>
      <c r="F883" s="1" t="s">
        <v>13066</v>
      </c>
      <c r="G883" s="1" t="s">
        <v>8265</v>
      </c>
    </row>
    <row r="884" spans="1:7" ht="21" x14ac:dyDescent="0.25">
      <c r="A884" s="2" t="str">
        <f>HYPERLINK("https://rth.dk/resources/bsgatlas/details.php?id=BSGatlas-3'UTR-883","BSGatlas-3'UTR-883")</f>
        <v>BSGatlas-3'UTR-883</v>
      </c>
      <c r="B884" s="3">
        <v>2412663</v>
      </c>
      <c r="C884" s="3">
        <v>2413569</v>
      </c>
      <c r="D884" s="1" t="s">
        <v>9</v>
      </c>
      <c r="E884" s="3">
        <v>907</v>
      </c>
      <c r="F884" s="1" t="s">
        <v>13066</v>
      </c>
      <c r="G884" s="1" t="s">
        <v>8266</v>
      </c>
    </row>
    <row r="885" spans="1:7" ht="21" x14ac:dyDescent="0.25">
      <c r="A885" s="2" t="str">
        <f>HYPERLINK("https://rth.dk/resources/bsgatlas/details.php?id=BSGatlas-3'UTR-884","BSGatlas-3'UTR-884")</f>
        <v>BSGatlas-3'UTR-884</v>
      </c>
      <c r="B885" s="3">
        <v>2413551</v>
      </c>
      <c r="C885" s="3">
        <v>2413585</v>
      </c>
      <c r="D885" s="1" t="s">
        <v>13</v>
      </c>
      <c r="E885" s="3">
        <v>35</v>
      </c>
      <c r="F885" s="1" t="s">
        <v>14400</v>
      </c>
      <c r="G885" s="1" t="s">
        <v>8272</v>
      </c>
    </row>
    <row r="886" spans="1:7" ht="21" x14ac:dyDescent="0.25">
      <c r="A886" s="2" t="str">
        <f>HYPERLINK("https://rth.dk/resources/bsgatlas/details.php?id=BSGatlas-3'UTR-885","BSGatlas-3'UTR-885")</f>
        <v>BSGatlas-3'UTR-885</v>
      </c>
      <c r="B886" s="3">
        <v>2415337</v>
      </c>
      <c r="C886" s="3">
        <v>2415415</v>
      </c>
      <c r="D886" s="1" t="s">
        <v>13</v>
      </c>
      <c r="E886" s="3">
        <v>79</v>
      </c>
      <c r="F886" s="1" t="s">
        <v>14401</v>
      </c>
      <c r="G886" s="1" t="s">
        <v>8279</v>
      </c>
    </row>
    <row r="887" spans="1:7" ht="21" x14ac:dyDescent="0.25">
      <c r="A887" s="2" t="str">
        <f>HYPERLINK("https://rth.dk/resources/bsgatlas/details.php?id=BSGatlas-3'UTR-886","BSGatlas-3'UTR-886")</f>
        <v>BSGatlas-3'UTR-886</v>
      </c>
      <c r="B887" s="3">
        <v>2422241</v>
      </c>
      <c r="C887" s="3">
        <v>2422264</v>
      </c>
      <c r="D887" s="1" t="s">
        <v>13</v>
      </c>
      <c r="E887" s="3">
        <v>24</v>
      </c>
      <c r="F887" s="1" t="s">
        <v>14402</v>
      </c>
      <c r="G887" s="1" t="s">
        <v>8288</v>
      </c>
    </row>
    <row r="888" spans="1:7" ht="21" x14ac:dyDescent="0.25">
      <c r="A888" s="2" t="str">
        <f>HYPERLINK("https://rth.dk/resources/bsgatlas/details.php?id=BSGatlas-3'UTR-887","BSGatlas-3'UTR-887")</f>
        <v>BSGatlas-3'UTR-887</v>
      </c>
      <c r="B888" s="3">
        <v>2424612</v>
      </c>
      <c r="C888" s="3">
        <v>2424654</v>
      </c>
      <c r="D888" s="1" t="s">
        <v>13</v>
      </c>
      <c r="E888" s="3">
        <v>43</v>
      </c>
      <c r="F888" s="1" t="s">
        <v>13074</v>
      </c>
      <c r="G888" s="1" t="s">
        <v>8290</v>
      </c>
    </row>
    <row r="889" spans="1:7" ht="21" x14ac:dyDescent="0.25">
      <c r="A889" s="2" t="str">
        <f>HYPERLINK("https://rth.dk/resources/bsgatlas/details.php?id=BSGatlas-3'UTR-888","BSGatlas-3'UTR-888")</f>
        <v>BSGatlas-3'UTR-888</v>
      </c>
      <c r="B889" s="3">
        <v>2427366</v>
      </c>
      <c r="C889" s="3">
        <v>2427405</v>
      </c>
      <c r="D889" s="1" t="s">
        <v>13</v>
      </c>
      <c r="E889" s="3">
        <v>40</v>
      </c>
      <c r="F889" s="1" t="s">
        <v>13077</v>
      </c>
      <c r="G889" s="1" t="s">
        <v>8297</v>
      </c>
    </row>
    <row r="890" spans="1:7" ht="21" x14ac:dyDescent="0.25">
      <c r="A890" s="2" t="str">
        <f>HYPERLINK("https://rth.dk/resources/bsgatlas/details.php?id=BSGatlas-3'UTR-889","BSGatlas-3'UTR-889")</f>
        <v>BSGatlas-3'UTR-889</v>
      </c>
      <c r="B890" s="3">
        <v>2427391</v>
      </c>
      <c r="C890" s="3">
        <v>2427423</v>
      </c>
      <c r="D890" s="1" t="s">
        <v>9</v>
      </c>
      <c r="E890" s="3">
        <v>33</v>
      </c>
      <c r="F890" s="1" t="s">
        <v>13075</v>
      </c>
      <c r="G890" s="1" t="s">
        <v>8294</v>
      </c>
    </row>
    <row r="891" spans="1:7" ht="21" x14ac:dyDescent="0.25">
      <c r="A891" s="2" t="str">
        <f>HYPERLINK("https://rth.dk/resources/bsgatlas/details.php?id=BSGatlas-3'UTR-890","BSGatlas-3'UTR-890")</f>
        <v>BSGatlas-3'UTR-890</v>
      </c>
      <c r="B891" s="3">
        <v>2431368</v>
      </c>
      <c r="C891" s="3">
        <v>2431472</v>
      </c>
      <c r="D891" s="1" t="s">
        <v>13</v>
      </c>
      <c r="E891" s="3">
        <v>105</v>
      </c>
      <c r="F891" s="1" t="s">
        <v>14403</v>
      </c>
      <c r="G891" s="1" t="s">
        <v>8300</v>
      </c>
    </row>
    <row r="892" spans="1:7" ht="21" x14ac:dyDescent="0.25">
      <c r="A892" s="2" t="str">
        <f>HYPERLINK("https://rth.dk/resources/bsgatlas/details.php?id=BSGatlas-3'UTR-891","BSGatlas-3'UTR-891")</f>
        <v>BSGatlas-3'UTR-891</v>
      </c>
      <c r="B892" s="3">
        <v>2431691</v>
      </c>
      <c r="C892" s="3">
        <v>2431737</v>
      </c>
      <c r="D892" s="1" t="s">
        <v>13</v>
      </c>
      <c r="E892" s="3">
        <v>47</v>
      </c>
      <c r="F892" s="1" t="s">
        <v>13079</v>
      </c>
      <c r="G892" s="1" t="s">
        <v>8302</v>
      </c>
    </row>
    <row r="893" spans="1:7" ht="21" x14ac:dyDescent="0.25">
      <c r="A893" s="2" t="str">
        <f>HYPERLINK("https://rth.dk/resources/bsgatlas/details.php?id=BSGatlas-3'UTR-892","BSGatlas-3'UTR-892")</f>
        <v>BSGatlas-3'UTR-892</v>
      </c>
      <c r="B893" s="3">
        <v>2432274</v>
      </c>
      <c r="C893" s="3">
        <v>2432316</v>
      </c>
      <c r="D893" s="1" t="s">
        <v>13</v>
      </c>
      <c r="E893" s="3">
        <v>43</v>
      </c>
      <c r="F893" s="1" t="s">
        <v>13080</v>
      </c>
      <c r="G893" s="1" t="s">
        <v>8307</v>
      </c>
    </row>
    <row r="894" spans="1:7" ht="21" x14ac:dyDescent="0.25">
      <c r="A894" s="2" t="str">
        <f>HYPERLINK("https://rth.dk/resources/bsgatlas/details.php?id=BSGatlas-3'UTR-893","BSGatlas-3'UTR-893")</f>
        <v>BSGatlas-3'UTR-893</v>
      </c>
      <c r="B894" s="3">
        <v>2435224</v>
      </c>
      <c r="C894" s="3">
        <v>2435240</v>
      </c>
      <c r="D894" s="1" t="s">
        <v>9</v>
      </c>
      <c r="E894" s="3">
        <v>17</v>
      </c>
      <c r="F894" s="1" t="s">
        <v>13082</v>
      </c>
      <c r="G894" s="1" t="s">
        <v>8316</v>
      </c>
    </row>
    <row r="895" spans="1:7" ht="21" x14ac:dyDescent="0.25">
      <c r="A895" s="2" t="str">
        <f>HYPERLINK("https://rth.dk/resources/bsgatlas/details.php?id=BSGatlas-3'UTR-894","BSGatlas-3'UTR-894")</f>
        <v>BSGatlas-3'UTR-894</v>
      </c>
      <c r="B895" s="3">
        <v>2435310</v>
      </c>
      <c r="C895" s="3">
        <v>2435360</v>
      </c>
      <c r="D895" s="1" t="s">
        <v>13</v>
      </c>
      <c r="E895" s="3">
        <v>51</v>
      </c>
      <c r="F895" s="1" t="s">
        <v>13083</v>
      </c>
      <c r="G895" s="1" t="s">
        <v>8318</v>
      </c>
    </row>
    <row r="896" spans="1:7" ht="21" x14ac:dyDescent="0.25">
      <c r="A896" s="2" t="str">
        <f>HYPERLINK("https://rth.dk/resources/bsgatlas/details.php?id=BSGatlas-3'UTR-895","BSGatlas-3'UTR-895")</f>
        <v>BSGatlas-3'UTR-895</v>
      </c>
      <c r="B896" s="3">
        <v>2436917</v>
      </c>
      <c r="C896" s="3">
        <v>2436940</v>
      </c>
      <c r="D896" s="1" t="s">
        <v>9</v>
      </c>
      <c r="E896" s="3">
        <v>24</v>
      </c>
      <c r="F896" s="1" t="s">
        <v>13084</v>
      </c>
      <c r="G896" s="1" t="s">
        <v>8323</v>
      </c>
    </row>
    <row r="897" spans="1:7" ht="21" x14ac:dyDescent="0.25">
      <c r="A897" s="2" t="str">
        <f>HYPERLINK("https://rth.dk/resources/bsgatlas/details.php?id=BSGatlas-3'UTR-896","BSGatlas-3'UTR-896")</f>
        <v>BSGatlas-3'UTR-896</v>
      </c>
      <c r="B897" s="3">
        <v>2443396</v>
      </c>
      <c r="C897" s="3">
        <v>2443429</v>
      </c>
      <c r="D897" s="1" t="s">
        <v>13</v>
      </c>
      <c r="E897" s="3">
        <v>34</v>
      </c>
      <c r="F897" s="1" t="s">
        <v>14404</v>
      </c>
      <c r="G897" s="1" t="s">
        <v>8333</v>
      </c>
    </row>
    <row r="898" spans="1:7" ht="21" x14ac:dyDescent="0.25">
      <c r="A898" s="2" t="str">
        <f>HYPERLINK("https://rth.dk/resources/bsgatlas/details.php?id=BSGatlas-3'UTR-897","BSGatlas-3'UTR-897")</f>
        <v>BSGatlas-3'UTR-897</v>
      </c>
      <c r="B898" s="3">
        <v>2446349</v>
      </c>
      <c r="C898" s="3">
        <v>2446418</v>
      </c>
      <c r="D898" s="1" t="s">
        <v>13</v>
      </c>
      <c r="E898" s="3">
        <v>70</v>
      </c>
      <c r="F898" s="1" t="s">
        <v>14405</v>
      </c>
      <c r="G898" s="1" t="s">
        <v>8338</v>
      </c>
    </row>
    <row r="899" spans="1:7" ht="21" x14ac:dyDescent="0.25">
      <c r="A899" s="2" t="str">
        <f>HYPERLINK("https://rth.dk/resources/bsgatlas/details.php?id=BSGatlas-3'UTR-898","BSGatlas-3'UTR-898")</f>
        <v>BSGatlas-3'UTR-898</v>
      </c>
      <c r="B899" s="3">
        <v>2449788</v>
      </c>
      <c r="C899" s="3">
        <v>2449841</v>
      </c>
      <c r="D899" s="1" t="s">
        <v>13</v>
      </c>
      <c r="E899" s="3">
        <v>54</v>
      </c>
      <c r="F899" s="1" t="s">
        <v>13091</v>
      </c>
      <c r="G899" s="1" t="s">
        <v>8344</v>
      </c>
    </row>
    <row r="900" spans="1:7" ht="21" x14ac:dyDescent="0.25">
      <c r="A900" s="2" t="str">
        <f>HYPERLINK("https://rth.dk/resources/bsgatlas/details.php?id=BSGatlas-3'UTR-899","BSGatlas-3'UTR-899")</f>
        <v>BSGatlas-3'UTR-899</v>
      </c>
      <c r="B900" s="3">
        <v>2451448</v>
      </c>
      <c r="C900" s="3">
        <v>2451463</v>
      </c>
      <c r="D900" s="1" t="s">
        <v>13</v>
      </c>
      <c r="E900" s="3">
        <v>16</v>
      </c>
      <c r="F900" s="1" t="s">
        <v>14406</v>
      </c>
      <c r="G900" s="1" t="s">
        <v>8349</v>
      </c>
    </row>
    <row r="901" spans="1:7" ht="21" x14ac:dyDescent="0.25">
      <c r="A901" s="2" t="str">
        <f>HYPERLINK("https://rth.dk/resources/bsgatlas/details.php?id=BSGatlas-3'UTR-900","BSGatlas-3'UTR-900")</f>
        <v>BSGatlas-3'UTR-900</v>
      </c>
      <c r="B901" s="3">
        <v>2457233</v>
      </c>
      <c r="C901" s="3">
        <v>2457349</v>
      </c>
      <c r="D901" s="1" t="s">
        <v>13</v>
      </c>
      <c r="E901" s="3">
        <v>117</v>
      </c>
      <c r="F901" s="1" t="s">
        <v>14407</v>
      </c>
      <c r="G901" s="1" t="s">
        <v>8357</v>
      </c>
    </row>
    <row r="902" spans="1:7" ht="21" x14ac:dyDescent="0.25">
      <c r="A902" s="2" t="str">
        <f>HYPERLINK("https://rth.dk/resources/bsgatlas/details.php?id=BSGatlas-3'UTR-901","BSGatlas-3'UTR-901")</f>
        <v>BSGatlas-3'UTR-901</v>
      </c>
      <c r="B902" s="3">
        <v>2457340</v>
      </c>
      <c r="C902" s="3">
        <v>2457522</v>
      </c>
      <c r="D902" s="1" t="s">
        <v>9</v>
      </c>
      <c r="E902" s="3">
        <v>183</v>
      </c>
      <c r="F902" s="1" t="s">
        <v>13095</v>
      </c>
      <c r="G902" s="1" t="s">
        <v>8354</v>
      </c>
    </row>
    <row r="903" spans="1:7" ht="21" x14ac:dyDescent="0.25">
      <c r="A903" s="2" t="str">
        <f>HYPERLINK("https://rth.dk/resources/bsgatlas/details.php?id=BSGatlas-3'UTR-902","BSGatlas-3'UTR-902")</f>
        <v>BSGatlas-3'UTR-902</v>
      </c>
      <c r="B903" s="3">
        <v>2460240</v>
      </c>
      <c r="C903" s="3">
        <v>2460278</v>
      </c>
      <c r="D903" s="1" t="s">
        <v>13</v>
      </c>
      <c r="E903" s="3">
        <v>39</v>
      </c>
      <c r="F903" s="1" t="s">
        <v>13099</v>
      </c>
      <c r="G903" s="1" t="s">
        <v>8364</v>
      </c>
    </row>
    <row r="904" spans="1:7" ht="21" x14ac:dyDescent="0.25">
      <c r="A904" s="2" t="str">
        <f>HYPERLINK("https://rth.dk/resources/bsgatlas/details.php?id=BSGatlas-3'UTR-903","BSGatlas-3'UTR-903")</f>
        <v>BSGatlas-3'UTR-903</v>
      </c>
      <c r="B904" s="3">
        <v>2460246</v>
      </c>
      <c r="C904" s="3">
        <v>2460291</v>
      </c>
      <c r="D904" s="1" t="s">
        <v>9</v>
      </c>
      <c r="E904" s="3">
        <v>46</v>
      </c>
      <c r="F904" s="1" t="s">
        <v>13098</v>
      </c>
      <c r="G904" s="1" t="s">
        <v>8361</v>
      </c>
    </row>
    <row r="905" spans="1:7" ht="21" x14ac:dyDescent="0.25">
      <c r="A905" s="2" t="str">
        <f>HYPERLINK("https://rth.dk/resources/bsgatlas/details.php?id=BSGatlas-3'UTR-904","BSGatlas-3'UTR-904")</f>
        <v>BSGatlas-3'UTR-904</v>
      </c>
      <c r="B905" s="3">
        <v>2461571</v>
      </c>
      <c r="C905" s="3">
        <v>2461621</v>
      </c>
      <c r="D905" s="1" t="s">
        <v>13</v>
      </c>
      <c r="E905" s="3">
        <v>51</v>
      </c>
      <c r="F905" s="1" t="s">
        <v>13101</v>
      </c>
      <c r="G905" s="1" t="s">
        <v>8370</v>
      </c>
    </row>
    <row r="906" spans="1:7" ht="21" x14ac:dyDescent="0.25">
      <c r="A906" s="2" t="str">
        <f>HYPERLINK("https://rth.dk/resources/bsgatlas/details.php?id=BSGatlas-3'UTR-905","BSGatlas-3'UTR-905")</f>
        <v>BSGatlas-3'UTR-905</v>
      </c>
      <c r="B906" s="3">
        <v>2461581</v>
      </c>
      <c r="C906" s="3">
        <v>2461620</v>
      </c>
      <c r="D906" s="1" t="s">
        <v>9</v>
      </c>
      <c r="E906" s="3">
        <v>40</v>
      </c>
      <c r="F906" s="1" t="s">
        <v>13100</v>
      </c>
      <c r="G906" s="1" t="s">
        <v>8368</v>
      </c>
    </row>
    <row r="907" spans="1:7" ht="21" x14ac:dyDescent="0.25">
      <c r="A907" s="2" t="str">
        <f>HYPERLINK("https://rth.dk/resources/bsgatlas/details.php?id=BSGatlas-3'UTR-906","BSGatlas-3'UTR-906")</f>
        <v>BSGatlas-3'UTR-906</v>
      </c>
      <c r="B907" s="3">
        <v>2467947</v>
      </c>
      <c r="C907" s="3">
        <v>2468159</v>
      </c>
      <c r="D907" s="1" t="s">
        <v>13</v>
      </c>
      <c r="E907" s="3">
        <v>213</v>
      </c>
      <c r="F907" s="1" t="s">
        <v>14408</v>
      </c>
      <c r="G907" s="1" t="s">
        <v>8384</v>
      </c>
    </row>
    <row r="908" spans="1:7" ht="21" x14ac:dyDescent="0.25">
      <c r="A908" s="2" t="str">
        <f>HYPERLINK("https://rth.dk/resources/bsgatlas/details.php?id=BSGatlas-3'UTR-907","BSGatlas-3'UTR-907")</f>
        <v>BSGatlas-3'UTR-907</v>
      </c>
      <c r="B908" s="3">
        <v>2473987</v>
      </c>
      <c r="C908" s="3">
        <v>2474038</v>
      </c>
      <c r="D908" s="1" t="s">
        <v>9</v>
      </c>
      <c r="E908" s="3">
        <v>52</v>
      </c>
      <c r="F908" s="1" t="s">
        <v>13108</v>
      </c>
      <c r="G908" s="1" t="s">
        <v>8387</v>
      </c>
    </row>
    <row r="909" spans="1:7" ht="21" x14ac:dyDescent="0.25">
      <c r="A909" s="2" t="str">
        <f>HYPERLINK("https://rth.dk/resources/bsgatlas/details.php?id=BSGatlas-3'UTR-908","BSGatlas-3'UTR-908")</f>
        <v>BSGatlas-3'UTR-908</v>
      </c>
      <c r="B909" s="3">
        <v>2473988</v>
      </c>
      <c r="C909" s="3">
        <v>2474028</v>
      </c>
      <c r="D909" s="1" t="s">
        <v>13</v>
      </c>
      <c r="E909" s="3">
        <v>41</v>
      </c>
      <c r="F909" s="1" t="s">
        <v>13109</v>
      </c>
      <c r="G909" s="1" t="s">
        <v>8389</v>
      </c>
    </row>
    <row r="910" spans="1:7" ht="21" x14ac:dyDescent="0.25">
      <c r="A910" s="2" t="str">
        <f>HYPERLINK("https://rth.dk/resources/bsgatlas/details.php?id=BSGatlas-3'UTR-909","BSGatlas-3'UTR-909")</f>
        <v>BSGatlas-3'UTR-909</v>
      </c>
      <c r="B910" s="3">
        <v>2476859</v>
      </c>
      <c r="C910" s="3">
        <v>2476907</v>
      </c>
      <c r="D910" s="1" t="s">
        <v>9</v>
      </c>
      <c r="E910" s="3">
        <v>49</v>
      </c>
      <c r="F910" s="1" t="s">
        <v>13110</v>
      </c>
      <c r="G910" s="1" t="s">
        <v>8391</v>
      </c>
    </row>
    <row r="911" spans="1:7" ht="21" x14ac:dyDescent="0.25">
      <c r="A911" s="2" t="str">
        <f>HYPERLINK("https://rth.dk/resources/bsgatlas/details.php?id=BSGatlas-3'UTR-910","BSGatlas-3'UTR-910")</f>
        <v>BSGatlas-3'UTR-910</v>
      </c>
      <c r="B911" s="3">
        <v>2477726</v>
      </c>
      <c r="C911" s="3">
        <v>2477777</v>
      </c>
      <c r="D911" s="1" t="s">
        <v>13</v>
      </c>
      <c r="E911" s="3">
        <v>52</v>
      </c>
      <c r="F911" s="1" t="s">
        <v>14409</v>
      </c>
      <c r="G911" s="1" t="s">
        <v>8398</v>
      </c>
    </row>
    <row r="912" spans="1:7" ht="21" x14ac:dyDescent="0.25">
      <c r="A912" s="2" t="str">
        <f>HYPERLINK("https://rth.dk/resources/bsgatlas/details.php?id=BSGatlas-3'UTR-911","BSGatlas-3'UTR-911")</f>
        <v>BSGatlas-3'UTR-911</v>
      </c>
      <c r="B912" s="3">
        <v>2477730</v>
      </c>
      <c r="C912" s="3">
        <v>2477782</v>
      </c>
      <c r="D912" s="1" t="s">
        <v>9</v>
      </c>
      <c r="E912" s="3">
        <v>53</v>
      </c>
      <c r="F912" s="1" t="s">
        <v>13111</v>
      </c>
      <c r="G912" s="1" t="s">
        <v>8395</v>
      </c>
    </row>
    <row r="913" spans="1:7" ht="21" x14ac:dyDescent="0.25">
      <c r="A913" s="2" t="str">
        <f>HYPERLINK("https://rth.dk/resources/bsgatlas/details.php?id=BSGatlas-3'UTR-912","BSGatlas-3'UTR-912")</f>
        <v>BSGatlas-3'UTR-912</v>
      </c>
      <c r="B913" s="3">
        <v>2480625</v>
      </c>
      <c r="C913" s="3">
        <v>2480667</v>
      </c>
      <c r="D913" s="1" t="s">
        <v>9</v>
      </c>
      <c r="E913" s="3">
        <v>43</v>
      </c>
      <c r="F913" s="1" t="s">
        <v>13115</v>
      </c>
      <c r="G913" s="1" t="s">
        <v>8404</v>
      </c>
    </row>
    <row r="914" spans="1:7" ht="21" x14ac:dyDescent="0.25">
      <c r="A914" s="2" t="str">
        <f>HYPERLINK("https://rth.dk/resources/bsgatlas/details.php?id=BSGatlas-3'UTR-913","BSGatlas-3'UTR-913")</f>
        <v>BSGatlas-3'UTR-913</v>
      </c>
      <c r="B914" s="3">
        <v>2480699</v>
      </c>
      <c r="C914" s="3">
        <v>2480750</v>
      </c>
      <c r="D914" s="1" t="s">
        <v>13</v>
      </c>
      <c r="E914" s="3">
        <v>52</v>
      </c>
      <c r="F914" s="1" t="s">
        <v>13116</v>
      </c>
      <c r="G914" s="1" t="s">
        <v>8406</v>
      </c>
    </row>
    <row r="915" spans="1:7" ht="21" x14ac:dyDescent="0.25">
      <c r="A915" s="2" t="str">
        <f>HYPERLINK("https://rth.dk/resources/bsgatlas/details.php?id=BSGatlas-3'UTR-914","BSGatlas-3'UTR-914")</f>
        <v>BSGatlas-3'UTR-914</v>
      </c>
      <c r="B915" s="3">
        <v>2484731</v>
      </c>
      <c r="C915" s="3">
        <v>2484777</v>
      </c>
      <c r="D915" s="1" t="s">
        <v>9</v>
      </c>
      <c r="E915" s="3">
        <v>47</v>
      </c>
      <c r="F915" s="1" t="s">
        <v>14410</v>
      </c>
      <c r="G915" s="1" t="s">
        <v>8414</v>
      </c>
    </row>
    <row r="916" spans="1:7" ht="21" x14ac:dyDescent="0.25">
      <c r="A916" s="2" t="str">
        <f>HYPERLINK("https://rth.dk/resources/bsgatlas/details.php?id=BSGatlas-3'UTR-915","BSGatlas-3'UTR-915")</f>
        <v>BSGatlas-3'UTR-915</v>
      </c>
      <c r="B916" s="3">
        <v>2484757</v>
      </c>
      <c r="C916" s="3">
        <v>2485680</v>
      </c>
      <c r="D916" s="1" t="s">
        <v>13</v>
      </c>
      <c r="E916" s="3">
        <v>924</v>
      </c>
      <c r="F916" s="1" t="s">
        <v>14411</v>
      </c>
      <c r="G916" s="1" t="s">
        <v>8415</v>
      </c>
    </row>
    <row r="917" spans="1:7" ht="21" x14ac:dyDescent="0.25">
      <c r="A917" s="2" t="str">
        <f>HYPERLINK("https://rth.dk/resources/bsgatlas/details.php?id=BSGatlas-3'UTR-916","BSGatlas-3'UTR-916")</f>
        <v>BSGatlas-3'UTR-916</v>
      </c>
      <c r="B917" s="3">
        <v>2488976</v>
      </c>
      <c r="C917" s="3">
        <v>2489638</v>
      </c>
      <c r="D917" s="1" t="s">
        <v>9</v>
      </c>
      <c r="E917" s="3">
        <v>663</v>
      </c>
      <c r="F917" s="1" t="s">
        <v>14412</v>
      </c>
      <c r="G917" s="1" t="s">
        <v>8423</v>
      </c>
    </row>
    <row r="918" spans="1:7" ht="21" x14ac:dyDescent="0.25">
      <c r="A918" s="2" t="str">
        <f>HYPERLINK("https://rth.dk/resources/bsgatlas/details.php?id=BSGatlas-3'UTR-917","BSGatlas-3'UTR-917")</f>
        <v>BSGatlas-3'UTR-917</v>
      </c>
      <c r="B918" s="3">
        <v>2493016</v>
      </c>
      <c r="C918" s="3">
        <v>2493064</v>
      </c>
      <c r="D918" s="1" t="s">
        <v>13</v>
      </c>
      <c r="E918" s="3">
        <v>49</v>
      </c>
      <c r="F918" s="1" t="s">
        <v>13122</v>
      </c>
      <c r="G918" s="1" t="s">
        <v>8429</v>
      </c>
    </row>
    <row r="919" spans="1:7" ht="21" x14ac:dyDescent="0.25">
      <c r="A919" s="2" t="str">
        <f>HYPERLINK("https://rth.dk/resources/bsgatlas/details.php?id=BSGatlas-3'UTR-918","BSGatlas-3'UTR-918")</f>
        <v>BSGatlas-3'UTR-918</v>
      </c>
      <c r="B919" s="3">
        <v>2495825</v>
      </c>
      <c r="C919" s="3">
        <v>2495877</v>
      </c>
      <c r="D919" s="1" t="s">
        <v>9</v>
      </c>
      <c r="E919" s="3">
        <v>53</v>
      </c>
      <c r="F919" s="1" t="s">
        <v>13124</v>
      </c>
      <c r="G919" s="1" t="s">
        <v>8432</v>
      </c>
    </row>
    <row r="920" spans="1:7" ht="21" x14ac:dyDescent="0.25">
      <c r="A920" s="2" t="str">
        <f>HYPERLINK("https://rth.dk/resources/bsgatlas/details.php?id=BSGatlas-3'UTR-919","BSGatlas-3'UTR-919")</f>
        <v>BSGatlas-3'UTR-919</v>
      </c>
      <c r="B920" s="3">
        <v>2496733</v>
      </c>
      <c r="C920" s="3">
        <v>2496796</v>
      </c>
      <c r="D920" s="1" t="s">
        <v>13</v>
      </c>
      <c r="E920" s="3">
        <v>64</v>
      </c>
      <c r="F920" s="1" t="s">
        <v>14413</v>
      </c>
      <c r="G920" s="1" t="s">
        <v>8439</v>
      </c>
    </row>
    <row r="921" spans="1:7" ht="21" x14ac:dyDescent="0.25">
      <c r="A921" s="2" t="str">
        <f>HYPERLINK("https://rth.dk/resources/bsgatlas/details.php?id=BSGatlas-3'UTR-920","BSGatlas-3'UTR-920")</f>
        <v>BSGatlas-3'UTR-920</v>
      </c>
      <c r="B921" s="3">
        <v>2496734</v>
      </c>
      <c r="C921" s="3">
        <v>2496799</v>
      </c>
      <c r="D921" s="1" t="s">
        <v>9</v>
      </c>
      <c r="E921" s="3">
        <v>66</v>
      </c>
      <c r="F921" s="1" t="s">
        <v>14414</v>
      </c>
      <c r="G921" s="1" t="s">
        <v>8434</v>
      </c>
    </row>
    <row r="922" spans="1:7" ht="21" x14ac:dyDescent="0.25">
      <c r="A922" s="2" t="str">
        <f>HYPERLINK("https://rth.dk/resources/bsgatlas/details.php?id=BSGatlas-3'UTR-921","BSGatlas-3'UTR-921")</f>
        <v>BSGatlas-3'UTR-921</v>
      </c>
      <c r="B922" s="3">
        <v>2507252</v>
      </c>
      <c r="C922" s="3">
        <v>2507298</v>
      </c>
      <c r="D922" s="1" t="s">
        <v>13</v>
      </c>
      <c r="E922" s="3">
        <v>47</v>
      </c>
      <c r="F922" s="1" t="s">
        <v>13128</v>
      </c>
      <c r="G922" s="1" t="s">
        <v>8444</v>
      </c>
    </row>
    <row r="923" spans="1:7" ht="21" x14ac:dyDescent="0.25">
      <c r="A923" s="2" t="str">
        <f>HYPERLINK("https://rth.dk/resources/bsgatlas/details.php?id=BSGatlas-3'UTR-922","BSGatlas-3'UTR-922")</f>
        <v>BSGatlas-3'UTR-922</v>
      </c>
      <c r="B923" s="3">
        <v>2507256</v>
      </c>
      <c r="C923" s="3">
        <v>2507299</v>
      </c>
      <c r="D923" s="1" t="s">
        <v>9</v>
      </c>
      <c r="E923" s="3">
        <v>44</v>
      </c>
      <c r="F923" s="1" t="s">
        <v>13127</v>
      </c>
      <c r="G923" s="1" t="s">
        <v>8442</v>
      </c>
    </row>
    <row r="924" spans="1:7" ht="21" x14ac:dyDescent="0.25">
      <c r="A924" s="2" t="str">
        <f>HYPERLINK("https://rth.dk/resources/bsgatlas/details.php?id=BSGatlas-3'UTR-923","BSGatlas-3'UTR-923")</f>
        <v>BSGatlas-3'UTR-923</v>
      </c>
      <c r="B924" s="3">
        <v>2513600</v>
      </c>
      <c r="C924" s="3">
        <v>2514169</v>
      </c>
      <c r="D924" s="1" t="s">
        <v>13</v>
      </c>
      <c r="E924" s="3">
        <v>570</v>
      </c>
      <c r="F924" s="1" t="s">
        <v>13130</v>
      </c>
      <c r="G924" s="1" t="s">
        <v>8450</v>
      </c>
    </row>
    <row r="925" spans="1:7" ht="21" x14ac:dyDescent="0.25">
      <c r="A925" s="2" t="str">
        <f>HYPERLINK("https://rth.dk/resources/bsgatlas/details.php?id=BSGatlas-3'UTR-924","BSGatlas-3'UTR-924")</f>
        <v>BSGatlas-3'UTR-924</v>
      </c>
      <c r="B925" s="3">
        <v>2514154</v>
      </c>
      <c r="C925" s="3">
        <v>2514169</v>
      </c>
      <c r="D925" s="1" t="s">
        <v>13</v>
      </c>
      <c r="E925" s="3">
        <v>16</v>
      </c>
      <c r="F925" s="1" t="s">
        <v>13130</v>
      </c>
      <c r="G925" s="1" t="s">
        <v>8453</v>
      </c>
    </row>
    <row r="926" spans="1:7" ht="21" x14ac:dyDescent="0.25">
      <c r="A926" s="2" t="str">
        <f>HYPERLINK("https://rth.dk/resources/bsgatlas/details.php?id=BSGatlas-3'UTR-925","BSGatlas-3'UTR-925")</f>
        <v>BSGatlas-3'UTR-925</v>
      </c>
      <c r="B926" s="3">
        <v>2517558</v>
      </c>
      <c r="C926" s="3">
        <v>2517605</v>
      </c>
      <c r="D926" s="1" t="s">
        <v>9</v>
      </c>
      <c r="E926" s="3">
        <v>48</v>
      </c>
      <c r="F926" s="1" t="s">
        <v>13132</v>
      </c>
      <c r="G926" s="1" t="s">
        <v>8456</v>
      </c>
    </row>
    <row r="927" spans="1:7" ht="21" x14ac:dyDescent="0.25">
      <c r="A927" s="2" t="str">
        <f>HYPERLINK("https://rth.dk/resources/bsgatlas/details.php?id=BSGatlas-3'UTR-926","BSGatlas-3'UTR-926")</f>
        <v>BSGatlas-3'UTR-926</v>
      </c>
      <c r="B927" s="3">
        <v>2517936</v>
      </c>
      <c r="C927" s="3">
        <v>2518023</v>
      </c>
      <c r="D927" s="1" t="s">
        <v>13</v>
      </c>
      <c r="E927" s="3">
        <v>88</v>
      </c>
      <c r="F927" s="1" t="s">
        <v>13134</v>
      </c>
      <c r="G927" s="1" t="s">
        <v>8461</v>
      </c>
    </row>
    <row r="928" spans="1:7" ht="21" x14ac:dyDescent="0.25">
      <c r="A928" s="2" t="str">
        <f>HYPERLINK("https://rth.dk/resources/bsgatlas/details.php?id=BSGatlas-3'UTR-927","BSGatlas-3'UTR-927")</f>
        <v>BSGatlas-3'UTR-927</v>
      </c>
      <c r="B928" s="3">
        <v>2519068</v>
      </c>
      <c r="C928" s="3">
        <v>2519102</v>
      </c>
      <c r="D928" s="1" t="s">
        <v>13</v>
      </c>
      <c r="E928" s="3">
        <v>35</v>
      </c>
      <c r="F928" s="1" t="s">
        <v>13135</v>
      </c>
      <c r="G928" s="1" t="s">
        <v>8465</v>
      </c>
    </row>
    <row r="929" spans="1:7" ht="21" x14ac:dyDescent="0.25">
      <c r="A929" s="2" t="str">
        <f>HYPERLINK("https://rth.dk/resources/bsgatlas/details.php?id=BSGatlas-3'UTR-928","BSGatlas-3'UTR-928")</f>
        <v>BSGatlas-3'UTR-928</v>
      </c>
      <c r="B929" s="3">
        <v>2520523</v>
      </c>
      <c r="C929" s="3">
        <v>2520557</v>
      </c>
      <c r="D929" s="1" t="s">
        <v>13</v>
      </c>
      <c r="E929" s="3">
        <v>35</v>
      </c>
      <c r="F929" s="1" t="s">
        <v>14415</v>
      </c>
      <c r="G929" s="1" t="s">
        <v>8467</v>
      </c>
    </row>
    <row r="930" spans="1:7" ht="21" x14ac:dyDescent="0.25">
      <c r="A930" s="2" t="str">
        <f>HYPERLINK("https://rth.dk/resources/bsgatlas/details.php?id=BSGatlas-3'UTR-929","BSGatlas-3'UTR-929")</f>
        <v>BSGatlas-3'UTR-929</v>
      </c>
      <c r="B930" s="3">
        <v>2522839</v>
      </c>
      <c r="C930" s="3">
        <v>2522871</v>
      </c>
      <c r="D930" s="1" t="s">
        <v>13</v>
      </c>
      <c r="E930" s="3">
        <v>33</v>
      </c>
      <c r="F930" s="1" t="s">
        <v>14416</v>
      </c>
      <c r="G930" s="1" t="s">
        <v>8470</v>
      </c>
    </row>
    <row r="931" spans="1:7" ht="21" x14ac:dyDescent="0.25">
      <c r="A931" s="2" t="str">
        <f>HYPERLINK("https://rth.dk/resources/bsgatlas/details.php?id=BSGatlas-3'UTR-930","BSGatlas-3'UTR-930")</f>
        <v>BSGatlas-3'UTR-930</v>
      </c>
      <c r="B931" s="3">
        <v>2529877</v>
      </c>
      <c r="C931" s="3">
        <v>2529926</v>
      </c>
      <c r="D931" s="1" t="s">
        <v>13</v>
      </c>
      <c r="E931" s="3">
        <v>50</v>
      </c>
      <c r="F931" s="1" t="s">
        <v>14417</v>
      </c>
      <c r="G931" s="1" t="s">
        <v>8477</v>
      </c>
    </row>
    <row r="932" spans="1:7" ht="21" x14ac:dyDescent="0.25">
      <c r="A932" s="2" t="str">
        <f>HYPERLINK("https://rth.dk/resources/bsgatlas/details.php?id=BSGatlas-3'UTR-931","BSGatlas-3'UTR-931")</f>
        <v>BSGatlas-3'UTR-931</v>
      </c>
      <c r="B932" s="3">
        <v>2529911</v>
      </c>
      <c r="C932" s="3">
        <v>2529926</v>
      </c>
      <c r="D932" s="1" t="s">
        <v>13</v>
      </c>
      <c r="E932" s="3">
        <v>16</v>
      </c>
      <c r="F932" s="1" t="s">
        <v>14417</v>
      </c>
      <c r="G932" s="1" t="s">
        <v>8480</v>
      </c>
    </row>
    <row r="933" spans="1:7" ht="21" x14ac:dyDescent="0.25">
      <c r="A933" s="2" t="str">
        <f>HYPERLINK("https://rth.dk/resources/bsgatlas/details.php?id=BSGatlas-3'UTR-932","BSGatlas-3'UTR-932")</f>
        <v>BSGatlas-3'UTR-932</v>
      </c>
      <c r="B933" s="3">
        <v>2532304</v>
      </c>
      <c r="C933" s="3">
        <v>2532353</v>
      </c>
      <c r="D933" s="1" t="s">
        <v>13</v>
      </c>
      <c r="E933" s="3">
        <v>50</v>
      </c>
      <c r="F933" s="1" t="s">
        <v>14418</v>
      </c>
      <c r="G933" s="1" t="s">
        <v>8482</v>
      </c>
    </row>
    <row r="934" spans="1:7" ht="21" x14ac:dyDescent="0.25">
      <c r="A934" s="2" t="str">
        <f>HYPERLINK("https://rth.dk/resources/bsgatlas/details.php?id=BSGatlas-3'UTR-933","BSGatlas-3'UTR-933")</f>
        <v>BSGatlas-3'UTR-933</v>
      </c>
      <c r="B934" s="3">
        <v>2542442</v>
      </c>
      <c r="C934" s="3">
        <v>2542517</v>
      </c>
      <c r="D934" s="1" t="s">
        <v>9</v>
      </c>
      <c r="E934" s="3">
        <v>76</v>
      </c>
      <c r="F934" s="1" t="s">
        <v>14419</v>
      </c>
      <c r="G934" s="1" t="s">
        <v>8497</v>
      </c>
    </row>
    <row r="935" spans="1:7" ht="21" x14ac:dyDescent="0.25">
      <c r="A935" s="2" t="str">
        <f>HYPERLINK("https://rth.dk/resources/bsgatlas/details.php?id=BSGatlas-3'UTR-934","BSGatlas-3'UTR-934")</f>
        <v>BSGatlas-3'UTR-934</v>
      </c>
      <c r="B935" s="3">
        <v>2545367</v>
      </c>
      <c r="C935" s="3">
        <v>2545410</v>
      </c>
      <c r="D935" s="1" t="s">
        <v>13</v>
      </c>
      <c r="E935" s="3">
        <v>44</v>
      </c>
      <c r="F935" s="1" t="s">
        <v>14420</v>
      </c>
      <c r="G935" s="1" t="s">
        <v>8509</v>
      </c>
    </row>
    <row r="936" spans="1:7" ht="21" x14ac:dyDescent="0.25">
      <c r="A936" s="2" t="str">
        <f>HYPERLINK("https://rth.dk/resources/bsgatlas/details.php?id=BSGatlas-3'UTR-935","BSGatlas-3'UTR-935")</f>
        <v>BSGatlas-3'UTR-935</v>
      </c>
      <c r="B936" s="3">
        <v>2552965</v>
      </c>
      <c r="C936" s="3">
        <v>2553081</v>
      </c>
      <c r="D936" s="1" t="s">
        <v>13</v>
      </c>
      <c r="E936" s="3">
        <v>117</v>
      </c>
      <c r="F936" s="1" t="s">
        <v>13152</v>
      </c>
      <c r="G936" s="1" t="s">
        <v>8520</v>
      </c>
    </row>
    <row r="937" spans="1:7" ht="21" x14ac:dyDescent="0.25">
      <c r="A937" s="2" t="str">
        <f>HYPERLINK("https://rth.dk/resources/bsgatlas/details.php?id=BSGatlas-3'UTR-936","BSGatlas-3'UTR-936")</f>
        <v>BSGatlas-3'UTR-936</v>
      </c>
      <c r="B937" s="3">
        <v>2552988</v>
      </c>
      <c r="C937" s="3">
        <v>2553080</v>
      </c>
      <c r="D937" s="1" t="s">
        <v>9</v>
      </c>
      <c r="E937" s="3">
        <v>93</v>
      </c>
      <c r="F937" s="1" t="s">
        <v>13151</v>
      </c>
      <c r="G937" s="1" t="s">
        <v>8516</v>
      </c>
    </row>
    <row r="938" spans="1:7" ht="21" x14ac:dyDescent="0.25">
      <c r="A938" s="2" t="str">
        <f>HYPERLINK("https://rth.dk/resources/bsgatlas/details.php?id=BSGatlas-3'UTR-937","BSGatlas-3'UTR-937")</f>
        <v>BSGatlas-3'UTR-937</v>
      </c>
      <c r="B938" s="3">
        <v>2553065</v>
      </c>
      <c r="C938" s="3">
        <v>2553081</v>
      </c>
      <c r="D938" s="1" t="s">
        <v>13</v>
      </c>
      <c r="E938" s="3">
        <v>17</v>
      </c>
      <c r="F938" s="1" t="s">
        <v>13152</v>
      </c>
      <c r="G938" s="1" t="s">
        <v>8523</v>
      </c>
    </row>
    <row r="939" spans="1:7" ht="21" x14ac:dyDescent="0.25">
      <c r="A939" s="2" t="str">
        <f>HYPERLINK("https://rth.dk/resources/bsgatlas/details.php?id=BSGatlas-3'UTR-938","BSGatlas-3'UTR-938")</f>
        <v>BSGatlas-3'UTR-938</v>
      </c>
      <c r="B939" s="3">
        <v>2555643</v>
      </c>
      <c r="C939" s="3">
        <v>2555887</v>
      </c>
      <c r="D939" s="1" t="s">
        <v>13</v>
      </c>
      <c r="E939" s="3">
        <v>245</v>
      </c>
      <c r="F939" s="1" t="s">
        <v>13155</v>
      </c>
      <c r="G939" s="1" t="s">
        <v>8528</v>
      </c>
    </row>
    <row r="940" spans="1:7" ht="21" x14ac:dyDescent="0.25">
      <c r="A940" s="2" t="str">
        <f>HYPERLINK("https://rth.dk/resources/bsgatlas/details.php?id=BSGatlas-3'UTR-939","BSGatlas-3'UTR-939")</f>
        <v>BSGatlas-3'UTR-939</v>
      </c>
      <c r="B940" s="3">
        <v>2555845</v>
      </c>
      <c r="C940" s="3">
        <v>2555883</v>
      </c>
      <c r="D940" s="1" t="s">
        <v>9</v>
      </c>
      <c r="E940" s="3">
        <v>39</v>
      </c>
      <c r="F940" s="1" t="s">
        <v>13154</v>
      </c>
      <c r="G940" s="1" t="s">
        <v>8525</v>
      </c>
    </row>
    <row r="941" spans="1:7" ht="21" x14ac:dyDescent="0.25">
      <c r="A941" s="2" t="str">
        <f>HYPERLINK("https://rth.dk/resources/bsgatlas/details.php?id=BSGatlas-3'UTR-940","BSGatlas-3'UTR-940")</f>
        <v>BSGatlas-3'UTR-940</v>
      </c>
      <c r="B941" s="3">
        <v>2560237</v>
      </c>
      <c r="C941" s="3">
        <v>2560489</v>
      </c>
      <c r="D941" s="1" t="s">
        <v>13</v>
      </c>
      <c r="E941" s="3">
        <v>253</v>
      </c>
      <c r="F941" s="1" t="s">
        <v>13157</v>
      </c>
      <c r="G941" s="1" t="s">
        <v>8532</v>
      </c>
    </row>
    <row r="942" spans="1:7" ht="21" x14ac:dyDescent="0.25">
      <c r="A942" s="2" t="str">
        <f>HYPERLINK("https://rth.dk/resources/bsgatlas/details.php?id=BSGatlas-3'UTR-941","BSGatlas-3'UTR-941")</f>
        <v>BSGatlas-3'UTR-941</v>
      </c>
      <c r="B942" s="3">
        <v>2562890</v>
      </c>
      <c r="C942" s="3">
        <v>2562966</v>
      </c>
      <c r="D942" s="1" t="s">
        <v>13</v>
      </c>
      <c r="E942" s="3">
        <v>77</v>
      </c>
      <c r="F942" s="1" t="s">
        <v>14421</v>
      </c>
      <c r="G942" s="1" t="s">
        <v>8536</v>
      </c>
    </row>
    <row r="943" spans="1:7" ht="21" x14ac:dyDescent="0.25">
      <c r="A943" s="2" t="str">
        <f>HYPERLINK("https://rth.dk/resources/bsgatlas/details.php?id=BSGatlas-3'UTR-942","BSGatlas-3'UTR-942")</f>
        <v>BSGatlas-3'UTR-942</v>
      </c>
      <c r="B943" s="3">
        <v>2562913</v>
      </c>
      <c r="C943" s="3">
        <v>2562989</v>
      </c>
      <c r="D943" s="1" t="s">
        <v>9</v>
      </c>
      <c r="E943" s="3">
        <v>77</v>
      </c>
      <c r="F943" s="1" t="s">
        <v>13158</v>
      </c>
      <c r="G943" s="1" t="s">
        <v>8534</v>
      </c>
    </row>
    <row r="944" spans="1:7" ht="21" x14ac:dyDescent="0.25">
      <c r="A944" s="2" t="str">
        <f>HYPERLINK("https://rth.dk/resources/bsgatlas/details.php?id=BSGatlas-3'UTR-943","BSGatlas-3'UTR-943")</f>
        <v>BSGatlas-3'UTR-943</v>
      </c>
      <c r="B944" s="3">
        <v>2562913</v>
      </c>
      <c r="C944" s="3">
        <v>2563921</v>
      </c>
      <c r="D944" s="1" t="s">
        <v>9</v>
      </c>
      <c r="E944" s="3">
        <v>1009</v>
      </c>
      <c r="F944" s="1" t="s">
        <v>13158</v>
      </c>
      <c r="G944" s="1" t="s">
        <v>8535</v>
      </c>
    </row>
    <row r="945" spans="1:7" ht="21" x14ac:dyDescent="0.25">
      <c r="A945" s="2" t="str">
        <f>HYPERLINK("https://rth.dk/resources/bsgatlas/details.php?id=BSGatlas-3'UTR-944","BSGatlas-3'UTR-944")</f>
        <v>BSGatlas-3'UTR-944</v>
      </c>
      <c r="B945" s="3">
        <v>2563978</v>
      </c>
      <c r="C945" s="3">
        <v>2564026</v>
      </c>
      <c r="D945" s="1" t="s">
        <v>13</v>
      </c>
      <c r="E945" s="3">
        <v>49</v>
      </c>
      <c r="F945" s="1" t="s">
        <v>13159</v>
      </c>
      <c r="G945" s="1" t="s">
        <v>8538</v>
      </c>
    </row>
    <row r="946" spans="1:7" ht="21" x14ac:dyDescent="0.25">
      <c r="A946" s="2" t="str">
        <f>HYPERLINK("https://rth.dk/resources/bsgatlas/details.php?id=BSGatlas-3'UTR-945","BSGatlas-3'UTR-945")</f>
        <v>BSGatlas-3'UTR-945</v>
      </c>
      <c r="B946" s="3">
        <v>2565888</v>
      </c>
      <c r="C946" s="3">
        <v>2567021</v>
      </c>
      <c r="D946" s="1" t="s">
        <v>9</v>
      </c>
      <c r="E946" s="3">
        <v>1134</v>
      </c>
      <c r="F946" s="1" t="s">
        <v>13162</v>
      </c>
      <c r="G946" s="1" t="s">
        <v>8548</v>
      </c>
    </row>
    <row r="947" spans="1:7" ht="21" x14ac:dyDescent="0.25">
      <c r="A947" s="2" t="str">
        <f>HYPERLINK("https://rth.dk/resources/bsgatlas/details.php?id=BSGatlas-3'UTR-946","BSGatlas-3'UTR-946")</f>
        <v>BSGatlas-3'UTR-946</v>
      </c>
      <c r="B947" s="3">
        <v>2577172</v>
      </c>
      <c r="C947" s="3">
        <v>2577210</v>
      </c>
      <c r="D947" s="1" t="s">
        <v>13</v>
      </c>
      <c r="E947" s="3">
        <v>39</v>
      </c>
      <c r="F947" s="1" t="s">
        <v>14422</v>
      </c>
      <c r="G947" s="1" t="s">
        <v>8570</v>
      </c>
    </row>
    <row r="948" spans="1:7" ht="21" x14ac:dyDescent="0.25">
      <c r="A948" s="2" t="str">
        <f>HYPERLINK("https://rth.dk/resources/bsgatlas/details.php?id=BSGatlas-3'UTR-947","BSGatlas-3'UTR-947")</f>
        <v>BSGatlas-3'UTR-947</v>
      </c>
      <c r="B948" s="3">
        <v>2577181</v>
      </c>
      <c r="C948" s="3">
        <v>2577204</v>
      </c>
      <c r="D948" s="1" t="s">
        <v>9</v>
      </c>
      <c r="E948" s="3">
        <v>24</v>
      </c>
      <c r="F948" s="1" t="s">
        <v>14423</v>
      </c>
      <c r="G948" s="1" t="s">
        <v>8566</v>
      </c>
    </row>
    <row r="949" spans="1:7" ht="21" x14ac:dyDescent="0.25">
      <c r="A949" s="2" t="str">
        <f>HYPERLINK("https://rth.dk/resources/bsgatlas/details.php?id=BSGatlas-3'UTR-948","BSGatlas-3'UTR-948")</f>
        <v>BSGatlas-3'UTR-948</v>
      </c>
      <c r="B949" s="3">
        <v>2587580</v>
      </c>
      <c r="C949" s="3">
        <v>2587990</v>
      </c>
      <c r="D949" s="1" t="s">
        <v>9</v>
      </c>
      <c r="E949" s="3">
        <v>411</v>
      </c>
      <c r="F949" s="1" t="s">
        <v>13175</v>
      </c>
      <c r="G949" s="1" t="s">
        <v>8582</v>
      </c>
    </row>
    <row r="950" spans="1:7" ht="21" x14ac:dyDescent="0.25">
      <c r="A950" s="2" t="str">
        <f>HYPERLINK("https://rth.dk/resources/bsgatlas/details.php?id=BSGatlas-3'UTR-949","BSGatlas-3'UTR-949")</f>
        <v>BSGatlas-3'UTR-949</v>
      </c>
      <c r="B950" s="3">
        <v>2587957</v>
      </c>
      <c r="C950" s="3">
        <v>2587996</v>
      </c>
      <c r="D950" s="1" t="s">
        <v>13</v>
      </c>
      <c r="E950" s="3">
        <v>40</v>
      </c>
      <c r="F950" s="1" t="s">
        <v>13176</v>
      </c>
      <c r="G950" s="1" t="s">
        <v>8584</v>
      </c>
    </row>
    <row r="951" spans="1:7" ht="21" x14ac:dyDescent="0.25">
      <c r="A951" s="2" t="str">
        <f>HYPERLINK("https://rth.dk/resources/bsgatlas/details.php?id=BSGatlas-3'UTR-950","BSGatlas-3'UTR-950")</f>
        <v>BSGatlas-3'UTR-950</v>
      </c>
      <c r="B951" s="3">
        <v>2590256</v>
      </c>
      <c r="C951" s="3">
        <v>2590287</v>
      </c>
      <c r="D951" s="1" t="s">
        <v>9</v>
      </c>
      <c r="E951" s="3">
        <v>32</v>
      </c>
      <c r="F951" s="1" t="s">
        <v>13178</v>
      </c>
      <c r="G951" s="1" t="s">
        <v>8587</v>
      </c>
    </row>
    <row r="952" spans="1:7" ht="21" x14ac:dyDescent="0.25">
      <c r="A952" s="2" t="str">
        <f>HYPERLINK("https://rth.dk/resources/bsgatlas/details.php?id=BSGatlas-3'UTR-951","BSGatlas-3'UTR-951")</f>
        <v>BSGatlas-3'UTR-951</v>
      </c>
      <c r="B952" s="3">
        <v>2591385</v>
      </c>
      <c r="C952" s="3">
        <v>2591405</v>
      </c>
      <c r="D952" s="1" t="s">
        <v>9</v>
      </c>
      <c r="E952" s="3">
        <v>21</v>
      </c>
      <c r="F952" s="1" t="s">
        <v>13180</v>
      </c>
      <c r="G952" s="1" t="s">
        <v>8593</v>
      </c>
    </row>
    <row r="953" spans="1:7" ht="21" x14ac:dyDescent="0.25">
      <c r="A953" s="2" t="str">
        <f>HYPERLINK("https://rth.dk/resources/bsgatlas/details.php?id=BSGatlas-3'UTR-952","BSGatlas-3'UTR-952")</f>
        <v>BSGatlas-3'UTR-952</v>
      </c>
      <c r="B953" s="3">
        <v>2591385</v>
      </c>
      <c r="C953" s="3">
        <v>2592069</v>
      </c>
      <c r="D953" s="1" t="s">
        <v>9</v>
      </c>
      <c r="E953" s="3">
        <v>685</v>
      </c>
      <c r="F953" s="1" t="s">
        <v>13180</v>
      </c>
      <c r="G953" s="1" t="s">
        <v>8594</v>
      </c>
    </row>
    <row r="954" spans="1:7" ht="21" x14ac:dyDescent="0.25">
      <c r="A954" s="2" t="str">
        <f>HYPERLINK("https://rth.dk/resources/bsgatlas/details.php?id=BSGatlas-3'UTR-953","BSGatlas-3'UTR-953")</f>
        <v>BSGatlas-3'UTR-953</v>
      </c>
      <c r="B954" s="3">
        <v>2591410</v>
      </c>
      <c r="C954" s="3">
        <v>2591428</v>
      </c>
      <c r="D954" s="1" t="s">
        <v>13</v>
      </c>
      <c r="E954" s="3">
        <v>19</v>
      </c>
      <c r="F954" s="1" t="s">
        <v>13181</v>
      </c>
      <c r="G954" s="1" t="s">
        <v>8596</v>
      </c>
    </row>
    <row r="955" spans="1:7" ht="21" x14ac:dyDescent="0.25">
      <c r="A955" s="2" t="str">
        <f>HYPERLINK("https://rth.dk/resources/bsgatlas/details.php?id=BSGatlas-3'UTR-954","BSGatlas-3'UTR-954")</f>
        <v>BSGatlas-3'UTR-954</v>
      </c>
      <c r="B955" s="3">
        <v>2591907</v>
      </c>
      <c r="C955" s="3">
        <v>2592003</v>
      </c>
      <c r="D955" s="1" t="s">
        <v>13</v>
      </c>
      <c r="E955" s="3">
        <v>97</v>
      </c>
      <c r="F955" s="1" t="s">
        <v>13182</v>
      </c>
      <c r="G955" s="1" t="s">
        <v>8603</v>
      </c>
    </row>
    <row r="956" spans="1:7" ht="21" x14ac:dyDescent="0.25">
      <c r="A956" s="2" t="str">
        <f>HYPERLINK("https://rth.dk/resources/bsgatlas/details.php?id=BSGatlas-3'UTR-955","BSGatlas-3'UTR-955")</f>
        <v>BSGatlas-3'UTR-955</v>
      </c>
      <c r="B956" s="3">
        <v>2593254</v>
      </c>
      <c r="C956" s="3">
        <v>2594120</v>
      </c>
      <c r="D956" s="1" t="s">
        <v>9</v>
      </c>
      <c r="E956" s="3">
        <v>867</v>
      </c>
      <c r="F956" s="1" t="s">
        <v>13183</v>
      </c>
      <c r="G956" s="1" t="s">
        <v>8608</v>
      </c>
    </row>
    <row r="957" spans="1:7" ht="21" x14ac:dyDescent="0.25">
      <c r="A957" s="2" t="str">
        <f>HYPERLINK("https://rth.dk/resources/bsgatlas/details.php?id=BSGatlas-3'UTR-956","BSGatlas-3'UTR-956")</f>
        <v>BSGatlas-3'UTR-956</v>
      </c>
      <c r="B957" s="3">
        <v>2596412</v>
      </c>
      <c r="C957" s="3">
        <v>2596503</v>
      </c>
      <c r="D957" s="1" t="s">
        <v>9</v>
      </c>
      <c r="E957" s="3">
        <v>92</v>
      </c>
      <c r="F957" s="1" t="s">
        <v>13186</v>
      </c>
      <c r="G957" s="1" t="s">
        <v>8614</v>
      </c>
    </row>
    <row r="958" spans="1:7" ht="21" x14ac:dyDescent="0.25">
      <c r="A958" s="2" t="str">
        <f>HYPERLINK("https://rth.dk/resources/bsgatlas/details.php?id=BSGatlas-3'UTR-957","BSGatlas-3'UTR-957")</f>
        <v>BSGatlas-3'UTR-957</v>
      </c>
      <c r="B958" s="3">
        <v>2600169</v>
      </c>
      <c r="C958" s="3">
        <v>2600214</v>
      </c>
      <c r="D958" s="1" t="s">
        <v>13</v>
      </c>
      <c r="E958" s="3">
        <v>46</v>
      </c>
      <c r="F958" s="1" t="s">
        <v>14424</v>
      </c>
      <c r="G958" s="1" t="s">
        <v>8627</v>
      </c>
    </row>
    <row r="959" spans="1:7" ht="21" x14ac:dyDescent="0.25">
      <c r="A959" s="2" t="str">
        <f>HYPERLINK("https://rth.dk/resources/bsgatlas/details.php?id=BSGatlas-3'UTR-958","BSGatlas-3'UTR-958")</f>
        <v>BSGatlas-3'UTR-958</v>
      </c>
      <c r="B959" s="3">
        <v>2603275</v>
      </c>
      <c r="C959" s="3">
        <v>2603419</v>
      </c>
      <c r="D959" s="1" t="s">
        <v>9</v>
      </c>
      <c r="E959" s="3">
        <v>145</v>
      </c>
      <c r="F959" s="1" t="s">
        <v>14425</v>
      </c>
      <c r="G959" s="1" t="s">
        <v>8637</v>
      </c>
    </row>
    <row r="960" spans="1:7" ht="21" x14ac:dyDescent="0.25">
      <c r="A960" s="2" t="str">
        <f>HYPERLINK("https://rth.dk/resources/bsgatlas/details.php?id=BSGatlas-3'UTR-959","BSGatlas-3'UTR-959")</f>
        <v>BSGatlas-3'UTR-959</v>
      </c>
      <c r="B960" s="3">
        <v>2604085</v>
      </c>
      <c r="C960" s="3">
        <v>2604121</v>
      </c>
      <c r="D960" s="1" t="s">
        <v>13</v>
      </c>
      <c r="E960" s="3">
        <v>37</v>
      </c>
      <c r="F960" s="1" t="s">
        <v>14426</v>
      </c>
      <c r="G960" s="1" t="s">
        <v>8640</v>
      </c>
    </row>
    <row r="961" spans="1:7" ht="21" x14ac:dyDescent="0.25">
      <c r="A961" s="2" t="str">
        <f>HYPERLINK("https://rth.dk/resources/bsgatlas/details.php?id=BSGatlas-3'UTR-960","BSGatlas-3'UTR-960")</f>
        <v>BSGatlas-3'UTR-960</v>
      </c>
      <c r="B961" s="3">
        <v>2608688</v>
      </c>
      <c r="C961" s="3">
        <v>2608732</v>
      </c>
      <c r="D961" s="1" t="s">
        <v>13</v>
      </c>
      <c r="E961" s="3">
        <v>45</v>
      </c>
      <c r="F961" s="1" t="s">
        <v>14427</v>
      </c>
      <c r="G961" s="1" t="s">
        <v>8645</v>
      </c>
    </row>
    <row r="962" spans="1:7" ht="21" x14ac:dyDescent="0.25">
      <c r="A962" s="2" t="str">
        <f>HYPERLINK("https://rth.dk/resources/bsgatlas/details.php?id=BSGatlas-3'UTR-961","BSGatlas-3'UTR-961")</f>
        <v>BSGatlas-3'UTR-961</v>
      </c>
      <c r="B962" s="3">
        <v>2616959</v>
      </c>
      <c r="C962" s="3">
        <v>2617005</v>
      </c>
      <c r="D962" s="1" t="s">
        <v>13</v>
      </c>
      <c r="E962" s="3">
        <v>47</v>
      </c>
      <c r="F962" s="1" t="s">
        <v>14428</v>
      </c>
      <c r="G962" s="1" t="s">
        <v>8657</v>
      </c>
    </row>
    <row r="963" spans="1:7" ht="21" x14ac:dyDescent="0.25">
      <c r="A963" s="2" t="str">
        <f>HYPERLINK("https://rth.dk/resources/bsgatlas/details.php?id=BSGatlas-3'UTR-962","BSGatlas-3'UTR-962")</f>
        <v>BSGatlas-3'UTR-962</v>
      </c>
      <c r="B963" s="3">
        <v>2620099</v>
      </c>
      <c r="C963" s="3">
        <v>2620371</v>
      </c>
      <c r="D963" s="1" t="s">
        <v>13</v>
      </c>
      <c r="E963" s="3">
        <v>273</v>
      </c>
      <c r="F963" s="1" t="s">
        <v>13198</v>
      </c>
      <c r="G963" s="1" t="s">
        <v>8662</v>
      </c>
    </row>
    <row r="964" spans="1:7" ht="21" x14ac:dyDescent="0.25">
      <c r="A964" s="2" t="str">
        <f>HYPERLINK("https://rth.dk/resources/bsgatlas/details.php?id=BSGatlas-3'UTR-963","BSGatlas-3'UTR-963")</f>
        <v>BSGatlas-3'UTR-963</v>
      </c>
      <c r="B964" s="3">
        <v>2621631</v>
      </c>
      <c r="C964" s="3">
        <v>2621677</v>
      </c>
      <c r="D964" s="1" t="s">
        <v>13</v>
      </c>
      <c r="E964" s="3">
        <v>47</v>
      </c>
      <c r="F964" s="1" t="s">
        <v>14429</v>
      </c>
      <c r="G964" s="1" t="s">
        <v>8667</v>
      </c>
    </row>
    <row r="965" spans="1:7" ht="21" x14ac:dyDescent="0.25">
      <c r="A965" s="2" t="str">
        <f>HYPERLINK("https://rth.dk/resources/bsgatlas/details.php?id=BSGatlas-3'UTR-964","BSGatlas-3'UTR-964")</f>
        <v>BSGatlas-3'UTR-964</v>
      </c>
      <c r="B965" s="3">
        <v>2625989</v>
      </c>
      <c r="C965" s="3">
        <v>2626112</v>
      </c>
      <c r="D965" s="1" t="s">
        <v>13</v>
      </c>
      <c r="E965" s="3">
        <v>124</v>
      </c>
      <c r="F965" s="1" t="s">
        <v>14430</v>
      </c>
      <c r="G965" s="1" t="s">
        <v>8677</v>
      </c>
    </row>
    <row r="966" spans="1:7" ht="21" x14ac:dyDescent="0.25">
      <c r="A966" s="2" t="str">
        <f>HYPERLINK("https://rth.dk/resources/bsgatlas/details.php?id=BSGatlas-3'UTR-965","BSGatlas-3'UTR-965")</f>
        <v>BSGatlas-3'UTR-965</v>
      </c>
      <c r="B966" s="3">
        <v>2630869</v>
      </c>
      <c r="C966" s="3">
        <v>2630910</v>
      </c>
      <c r="D966" s="1" t="s">
        <v>13</v>
      </c>
      <c r="E966" s="3">
        <v>42</v>
      </c>
      <c r="F966" s="1" t="s">
        <v>13202</v>
      </c>
      <c r="G966" s="1" t="s">
        <v>8683</v>
      </c>
    </row>
    <row r="967" spans="1:7" ht="21" x14ac:dyDescent="0.25">
      <c r="A967" s="2" t="str">
        <f>HYPERLINK("https://rth.dk/resources/bsgatlas/details.php?id=BSGatlas-3'UTR-966","BSGatlas-3'UTR-966")</f>
        <v>BSGatlas-3'UTR-966</v>
      </c>
      <c r="B967" s="3">
        <v>2632820</v>
      </c>
      <c r="C967" s="3">
        <v>2632882</v>
      </c>
      <c r="D967" s="1" t="s">
        <v>13</v>
      </c>
      <c r="E967" s="3">
        <v>63</v>
      </c>
      <c r="F967" s="1" t="s">
        <v>14431</v>
      </c>
      <c r="G967" s="1" t="s">
        <v>8686</v>
      </c>
    </row>
    <row r="968" spans="1:7" ht="21" x14ac:dyDescent="0.25">
      <c r="A968" s="2" t="str">
        <f>HYPERLINK("https://rth.dk/resources/bsgatlas/details.php?id=BSGatlas-3'UTR-967","BSGatlas-3'UTR-967")</f>
        <v>BSGatlas-3'UTR-967</v>
      </c>
      <c r="B968" s="3">
        <v>2632866</v>
      </c>
      <c r="C968" s="3">
        <v>2632882</v>
      </c>
      <c r="D968" s="1" t="s">
        <v>13</v>
      </c>
      <c r="E968" s="3">
        <v>17</v>
      </c>
      <c r="F968" s="1" t="s">
        <v>14431</v>
      </c>
      <c r="G968" s="1" t="s">
        <v>8689</v>
      </c>
    </row>
    <row r="969" spans="1:7" ht="21" x14ac:dyDescent="0.25">
      <c r="A969" s="2" t="str">
        <f>HYPERLINK("https://rth.dk/resources/bsgatlas/details.php?id=BSGatlas-3'UTR-968","BSGatlas-3'UTR-968")</f>
        <v>BSGatlas-3'UTR-968</v>
      </c>
      <c r="B969" s="3">
        <v>2637503</v>
      </c>
      <c r="C969" s="3">
        <v>2637519</v>
      </c>
      <c r="D969" s="1" t="s">
        <v>9</v>
      </c>
      <c r="E969" s="3">
        <v>17</v>
      </c>
      <c r="F969" s="1" t="s">
        <v>13207</v>
      </c>
      <c r="G969" s="1" t="s">
        <v>8698</v>
      </c>
    </row>
    <row r="970" spans="1:7" ht="21" x14ac:dyDescent="0.25">
      <c r="A970" s="2" t="str">
        <f>HYPERLINK("https://rth.dk/resources/bsgatlas/details.php?id=BSGatlas-3'UTR-969","BSGatlas-3'UTR-969")</f>
        <v>BSGatlas-3'UTR-969</v>
      </c>
      <c r="B970" s="3">
        <v>2642035</v>
      </c>
      <c r="C970" s="3">
        <v>2642129</v>
      </c>
      <c r="D970" s="1" t="s">
        <v>9</v>
      </c>
      <c r="E970" s="3">
        <v>95</v>
      </c>
      <c r="F970" s="1" t="s">
        <v>13212</v>
      </c>
      <c r="G970" s="1" t="s">
        <v>8703</v>
      </c>
    </row>
    <row r="971" spans="1:7" ht="21" x14ac:dyDescent="0.25">
      <c r="A971" s="2" t="str">
        <f>HYPERLINK("https://rth.dk/resources/bsgatlas/details.php?id=BSGatlas-3'UTR-970","BSGatlas-3'UTR-970")</f>
        <v>BSGatlas-3'UTR-970</v>
      </c>
      <c r="B971" s="3">
        <v>2647614</v>
      </c>
      <c r="C971" s="3">
        <v>2647635</v>
      </c>
      <c r="D971" s="1" t="s">
        <v>9</v>
      </c>
      <c r="E971" s="3">
        <v>22</v>
      </c>
      <c r="F971" s="1" t="s">
        <v>13213</v>
      </c>
      <c r="G971" s="1" t="s">
        <v>8710</v>
      </c>
    </row>
    <row r="972" spans="1:7" ht="21" x14ac:dyDescent="0.25">
      <c r="A972" s="2" t="str">
        <f>HYPERLINK("https://rth.dk/resources/bsgatlas/details.php?id=BSGatlas-3'UTR-971","BSGatlas-3'UTR-971")</f>
        <v>BSGatlas-3'UTR-971</v>
      </c>
      <c r="B972" s="3">
        <v>2647869</v>
      </c>
      <c r="C972" s="3">
        <v>2648949</v>
      </c>
      <c r="D972" s="1" t="s">
        <v>9</v>
      </c>
      <c r="E972" s="3">
        <v>1081</v>
      </c>
      <c r="F972" s="1" t="s">
        <v>14432</v>
      </c>
      <c r="G972" s="1" t="s">
        <v>8712</v>
      </c>
    </row>
    <row r="973" spans="1:7" ht="21" x14ac:dyDescent="0.25">
      <c r="A973" s="2" t="str">
        <f>HYPERLINK("https://rth.dk/resources/bsgatlas/details.php?id=BSGatlas-3'UTR-972","BSGatlas-3'UTR-972")</f>
        <v>BSGatlas-3'UTR-972</v>
      </c>
      <c r="B973" s="3">
        <v>2648842</v>
      </c>
      <c r="C973" s="3">
        <v>2648903</v>
      </c>
      <c r="D973" s="1" t="s">
        <v>13</v>
      </c>
      <c r="E973" s="3">
        <v>62</v>
      </c>
      <c r="F973" s="1" t="s">
        <v>14433</v>
      </c>
      <c r="G973" s="1" t="s">
        <v>8718</v>
      </c>
    </row>
    <row r="974" spans="1:7" ht="21" x14ac:dyDescent="0.25">
      <c r="A974" s="2" t="str">
        <f>HYPERLINK("https://rth.dk/resources/bsgatlas/details.php?id=BSGatlas-3'UTR-973","BSGatlas-3'UTR-973")</f>
        <v>BSGatlas-3'UTR-973</v>
      </c>
      <c r="B974" s="3">
        <v>2652343</v>
      </c>
      <c r="C974" s="3">
        <v>2652387</v>
      </c>
      <c r="D974" s="1" t="s">
        <v>13</v>
      </c>
      <c r="E974" s="3">
        <v>45</v>
      </c>
      <c r="F974" s="1" t="s">
        <v>13217</v>
      </c>
      <c r="G974" s="1" t="s">
        <v>8725</v>
      </c>
    </row>
    <row r="975" spans="1:7" ht="21" x14ac:dyDescent="0.25">
      <c r="A975" s="2" t="str">
        <f>HYPERLINK("https://rth.dk/resources/bsgatlas/details.php?id=BSGatlas-3'UTR-974","BSGatlas-3'UTR-974")</f>
        <v>BSGatlas-3'UTR-974</v>
      </c>
      <c r="B975" s="3">
        <v>2653335</v>
      </c>
      <c r="C975" s="3">
        <v>2653371</v>
      </c>
      <c r="D975" s="1" t="s">
        <v>13</v>
      </c>
      <c r="E975" s="3">
        <v>37</v>
      </c>
      <c r="F975" s="1" t="s">
        <v>13219</v>
      </c>
      <c r="G975" s="1" t="s">
        <v>8730</v>
      </c>
    </row>
    <row r="976" spans="1:7" ht="21" x14ac:dyDescent="0.25">
      <c r="A976" s="2" t="str">
        <f>HYPERLINK("https://rth.dk/resources/bsgatlas/details.php?id=BSGatlas-3'UTR-975","BSGatlas-3'UTR-975")</f>
        <v>BSGatlas-3'UTR-975</v>
      </c>
      <c r="B976" s="3">
        <v>2655267</v>
      </c>
      <c r="C976" s="3">
        <v>2655322</v>
      </c>
      <c r="D976" s="1" t="s">
        <v>13</v>
      </c>
      <c r="E976" s="3">
        <v>56</v>
      </c>
      <c r="F976" s="1" t="s">
        <v>14434</v>
      </c>
      <c r="G976" s="1" t="s">
        <v>8733</v>
      </c>
    </row>
    <row r="977" spans="1:7" ht="21" x14ac:dyDescent="0.25">
      <c r="A977" s="2" t="str">
        <f>HYPERLINK("https://rth.dk/resources/bsgatlas/details.php?id=BSGatlas-3'UTR-976","BSGatlas-3'UTR-976")</f>
        <v>BSGatlas-3'UTR-976</v>
      </c>
      <c r="B977" s="3">
        <v>2657967</v>
      </c>
      <c r="C977" s="3">
        <v>2658006</v>
      </c>
      <c r="D977" s="1" t="s">
        <v>13</v>
      </c>
      <c r="E977" s="3">
        <v>40</v>
      </c>
      <c r="F977" s="1" t="s">
        <v>13221</v>
      </c>
      <c r="G977" s="1" t="s">
        <v>8736</v>
      </c>
    </row>
    <row r="978" spans="1:7" ht="21" x14ac:dyDescent="0.25">
      <c r="A978" s="2" t="str">
        <f>HYPERLINK("https://rth.dk/resources/bsgatlas/details.php?id=BSGatlas-3'UTR-977","BSGatlas-3'UTR-977")</f>
        <v>BSGatlas-3'UTR-977</v>
      </c>
      <c r="B978" s="3">
        <v>2660464</v>
      </c>
      <c r="C978" s="3">
        <v>2660528</v>
      </c>
      <c r="D978" s="1" t="s">
        <v>9</v>
      </c>
      <c r="E978" s="3">
        <v>65</v>
      </c>
      <c r="F978" s="1" t="s">
        <v>13223</v>
      </c>
      <c r="G978" s="1" t="s">
        <v>8739</v>
      </c>
    </row>
    <row r="979" spans="1:7" ht="21" x14ac:dyDescent="0.25">
      <c r="A979" s="2" t="str">
        <f>HYPERLINK("https://rth.dk/resources/bsgatlas/details.php?id=BSGatlas-3'UTR-978","BSGatlas-3'UTR-978")</f>
        <v>BSGatlas-3'UTR-978</v>
      </c>
      <c r="B979" s="3">
        <v>2663290</v>
      </c>
      <c r="C979" s="3">
        <v>2663345</v>
      </c>
      <c r="D979" s="1" t="s">
        <v>9</v>
      </c>
      <c r="E979" s="3">
        <v>56</v>
      </c>
      <c r="F979" s="1" t="s">
        <v>14435</v>
      </c>
      <c r="G979" s="1" t="s">
        <v>8744</v>
      </c>
    </row>
    <row r="980" spans="1:7" ht="21" x14ac:dyDescent="0.25">
      <c r="A980" s="2" t="str">
        <f>HYPERLINK("https://rth.dk/resources/bsgatlas/details.php?id=BSGatlas-3'UTR-979","BSGatlas-3'UTR-979")</f>
        <v>BSGatlas-3'UTR-979</v>
      </c>
      <c r="B980" s="3">
        <v>2663303</v>
      </c>
      <c r="C980" s="3">
        <v>2663551</v>
      </c>
      <c r="D980" s="1" t="s">
        <v>13</v>
      </c>
      <c r="E980" s="3">
        <v>249</v>
      </c>
      <c r="F980" s="1" t="s">
        <v>14436</v>
      </c>
      <c r="G980" s="1" t="s">
        <v>8747</v>
      </c>
    </row>
    <row r="981" spans="1:7" ht="21" x14ac:dyDescent="0.25">
      <c r="A981" s="2" t="str">
        <f>HYPERLINK("https://rth.dk/resources/bsgatlas/details.php?id=BSGatlas-3'UTR-980","BSGatlas-3'UTR-980")</f>
        <v>BSGatlas-3'UTR-980</v>
      </c>
      <c r="B981" s="3">
        <v>2663519</v>
      </c>
      <c r="C981" s="3">
        <v>2663551</v>
      </c>
      <c r="D981" s="1" t="s">
        <v>13</v>
      </c>
      <c r="E981" s="3">
        <v>33</v>
      </c>
      <c r="F981" s="1" t="s">
        <v>14436</v>
      </c>
      <c r="G981" s="1" t="s">
        <v>8749</v>
      </c>
    </row>
    <row r="982" spans="1:7" ht="21" x14ac:dyDescent="0.25">
      <c r="A982" s="2" t="str">
        <f>HYPERLINK("https://rth.dk/resources/bsgatlas/details.php?id=BSGatlas-3'UTR-981","BSGatlas-3'UTR-981")</f>
        <v>BSGatlas-3'UTR-981</v>
      </c>
      <c r="B982" s="3">
        <v>2663554</v>
      </c>
      <c r="C982" s="3">
        <v>2664424</v>
      </c>
      <c r="D982" s="1" t="s">
        <v>9</v>
      </c>
      <c r="E982" s="3">
        <v>871</v>
      </c>
      <c r="F982" s="1" t="s">
        <v>14437</v>
      </c>
      <c r="G982" s="1" t="s">
        <v>8748</v>
      </c>
    </row>
    <row r="983" spans="1:7" ht="21" x14ac:dyDescent="0.25">
      <c r="A983" s="2" t="str">
        <f>HYPERLINK("https://rth.dk/resources/bsgatlas/details.php?id=BSGatlas-3'UTR-982","BSGatlas-3'UTR-982")</f>
        <v>BSGatlas-3'UTR-982</v>
      </c>
      <c r="B983" s="3">
        <v>2672508</v>
      </c>
      <c r="C983" s="3">
        <v>2672706</v>
      </c>
      <c r="D983" s="1" t="s">
        <v>13</v>
      </c>
      <c r="E983" s="3">
        <v>199</v>
      </c>
      <c r="F983" s="1" t="s">
        <v>14438</v>
      </c>
      <c r="G983" s="1" t="s">
        <v>8754</v>
      </c>
    </row>
    <row r="984" spans="1:7" ht="21" x14ac:dyDescent="0.25">
      <c r="A984" s="2" t="str">
        <f>HYPERLINK("https://rth.dk/resources/bsgatlas/details.php?id=BSGatlas-3'UTR-983","BSGatlas-3'UTR-983")</f>
        <v>BSGatlas-3'UTR-983</v>
      </c>
      <c r="B984" s="3">
        <v>2677964</v>
      </c>
      <c r="C984" s="3">
        <v>2678343</v>
      </c>
      <c r="D984" s="1" t="s">
        <v>13</v>
      </c>
      <c r="E984" s="3">
        <v>380</v>
      </c>
      <c r="F984" s="1" t="s">
        <v>14439</v>
      </c>
      <c r="G984" s="1" t="s">
        <v>8756</v>
      </c>
    </row>
    <row r="985" spans="1:7" ht="21" x14ac:dyDescent="0.25">
      <c r="A985" s="2" t="str">
        <f>HYPERLINK("https://rth.dk/resources/bsgatlas/details.php?id=BSGatlas-3'UTR-984","BSGatlas-3'UTR-984")</f>
        <v>BSGatlas-3'UTR-984</v>
      </c>
      <c r="B985" s="3">
        <v>2678419</v>
      </c>
      <c r="C985" s="3">
        <v>2678434</v>
      </c>
      <c r="D985" s="1" t="s">
        <v>9</v>
      </c>
      <c r="E985" s="3">
        <v>16</v>
      </c>
      <c r="F985" s="1" t="s">
        <v>14440</v>
      </c>
      <c r="G985" s="1" t="s">
        <v>8761</v>
      </c>
    </row>
    <row r="986" spans="1:7" ht="21" x14ac:dyDescent="0.25">
      <c r="A986" s="2" t="str">
        <f>HYPERLINK("https://rth.dk/resources/bsgatlas/details.php?id=BSGatlas-3'UTR-985","BSGatlas-3'UTR-985")</f>
        <v>BSGatlas-3'UTR-985</v>
      </c>
      <c r="B986" s="3">
        <v>2678888</v>
      </c>
      <c r="C986" s="3">
        <v>2678922</v>
      </c>
      <c r="D986" s="1" t="s">
        <v>9</v>
      </c>
      <c r="E986" s="3">
        <v>35</v>
      </c>
      <c r="F986" s="1" t="s">
        <v>13227</v>
      </c>
      <c r="G986" s="1" t="s">
        <v>8766</v>
      </c>
    </row>
    <row r="987" spans="1:7" ht="21" x14ac:dyDescent="0.25">
      <c r="A987" s="2" t="str">
        <f>HYPERLINK("https://rth.dk/resources/bsgatlas/details.php?id=BSGatlas-3'UTR-986","BSGatlas-3'UTR-986")</f>
        <v>BSGatlas-3'UTR-986</v>
      </c>
      <c r="B987" s="3">
        <v>2678888</v>
      </c>
      <c r="C987" s="3">
        <v>2678988</v>
      </c>
      <c r="D987" s="1" t="s">
        <v>9</v>
      </c>
      <c r="E987" s="3">
        <v>101</v>
      </c>
      <c r="F987" s="1" t="s">
        <v>13227</v>
      </c>
      <c r="G987" s="1" t="s">
        <v>8767</v>
      </c>
    </row>
    <row r="988" spans="1:7" ht="21" x14ac:dyDescent="0.25">
      <c r="A988" s="2" t="str">
        <f>HYPERLINK("https://rth.dk/resources/bsgatlas/details.php?id=BSGatlas-3'UTR-987","BSGatlas-3'UTR-987")</f>
        <v>BSGatlas-3'UTR-987</v>
      </c>
      <c r="B988" s="3">
        <v>2679017</v>
      </c>
      <c r="C988" s="3">
        <v>2679415</v>
      </c>
      <c r="D988" s="1" t="s">
        <v>9</v>
      </c>
      <c r="E988" s="3">
        <v>399</v>
      </c>
      <c r="F988" s="1" t="s">
        <v>14441</v>
      </c>
      <c r="G988" s="1" t="s">
        <v>8764</v>
      </c>
    </row>
    <row r="989" spans="1:7" ht="21" x14ac:dyDescent="0.25">
      <c r="A989" s="2" t="str">
        <f>HYPERLINK("https://rth.dk/resources/bsgatlas/details.php?id=BSGatlas-3'UTR-988","BSGatlas-3'UTR-988")</f>
        <v>BSGatlas-3'UTR-988</v>
      </c>
      <c r="B989" s="3">
        <v>2692571</v>
      </c>
      <c r="C989" s="3">
        <v>2692892</v>
      </c>
      <c r="D989" s="1" t="s">
        <v>9</v>
      </c>
      <c r="E989" s="3">
        <v>322</v>
      </c>
      <c r="F989" s="1" t="s">
        <v>13233</v>
      </c>
      <c r="G989" s="1" t="s">
        <v>8781</v>
      </c>
    </row>
    <row r="990" spans="1:7" ht="21" x14ac:dyDescent="0.25">
      <c r="A990" s="2" t="str">
        <f>HYPERLINK("https://rth.dk/resources/bsgatlas/details.php?id=BSGatlas-3'UTR-989","BSGatlas-3'UTR-989")</f>
        <v>BSGatlas-3'UTR-989</v>
      </c>
      <c r="B990" s="3">
        <v>2699243</v>
      </c>
      <c r="C990" s="3">
        <v>2699361</v>
      </c>
      <c r="D990" s="1" t="s">
        <v>9</v>
      </c>
      <c r="E990" s="3">
        <v>119</v>
      </c>
      <c r="F990" s="1" t="s">
        <v>13235</v>
      </c>
      <c r="G990" s="1" t="s">
        <v>8786</v>
      </c>
    </row>
    <row r="991" spans="1:7" ht="21" x14ac:dyDescent="0.25">
      <c r="A991" s="2" t="str">
        <f>HYPERLINK("https://rth.dk/resources/bsgatlas/details.php?id=BSGatlas-3'UTR-990","BSGatlas-3'UTR-990")</f>
        <v>BSGatlas-3'UTR-990</v>
      </c>
      <c r="B991" s="3">
        <v>2701754</v>
      </c>
      <c r="C991" s="3">
        <v>2701799</v>
      </c>
      <c r="D991" s="1" t="s">
        <v>9</v>
      </c>
      <c r="E991" s="3">
        <v>46</v>
      </c>
      <c r="F991" s="1" t="s">
        <v>14442</v>
      </c>
      <c r="G991" s="1" t="s">
        <v>8791</v>
      </c>
    </row>
    <row r="992" spans="1:7" ht="21" x14ac:dyDescent="0.25">
      <c r="A992" s="2" t="str">
        <f>HYPERLINK("https://rth.dk/resources/bsgatlas/details.php?id=BSGatlas-3'UTR-991","BSGatlas-3'UTR-991")</f>
        <v>BSGatlas-3'UTR-991</v>
      </c>
      <c r="B992" s="3">
        <v>2701870</v>
      </c>
      <c r="C992" s="3">
        <v>2703150</v>
      </c>
      <c r="D992" s="1" t="s">
        <v>9</v>
      </c>
      <c r="E992" s="3">
        <v>1281</v>
      </c>
      <c r="F992" s="1" t="s">
        <v>14443</v>
      </c>
      <c r="G992" s="1" t="s">
        <v>8793</v>
      </c>
    </row>
    <row r="993" spans="1:7" ht="21" x14ac:dyDescent="0.25">
      <c r="A993" s="2" t="str">
        <f>HYPERLINK("https://rth.dk/resources/bsgatlas/details.php?id=BSGatlas-3'UTR-992","BSGatlas-3'UTR-992")</f>
        <v>BSGatlas-3'UTR-992</v>
      </c>
      <c r="B993" s="3">
        <v>2701879</v>
      </c>
      <c r="C993" s="3">
        <v>2701979</v>
      </c>
      <c r="D993" s="1" t="s">
        <v>13</v>
      </c>
      <c r="E993" s="3">
        <v>101</v>
      </c>
      <c r="F993" s="1" t="s">
        <v>14444</v>
      </c>
      <c r="G993" s="1" t="s">
        <v>8795</v>
      </c>
    </row>
    <row r="994" spans="1:7" ht="21" x14ac:dyDescent="0.25">
      <c r="A994" s="2" t="str">
        <f>HYPERLINK("https://rth.dk/resources/bsgatlas/details.php?id=BSGatlas-3'UTR-993","BSGatlas-3'UTR-993")</f>
        <v>BSGatlas-3'UTR-993</v>
      </c>
      <c r="B994" s="3">
        <v>2702255</v>
      </c>
      <c r="C994" s="3">
        <v>2702688</v>
      </c>
      <c r="D994" s="1" t="s">
        <v>13</v>
      </c>
      <c r="E994" s="3">
        <v>434</v>
      </c>
      <c r="F994" s="1" t="s">
        <v>14445</v>
      </c>
      <c r="G994" s="1" t="s">
        <v>8798</v>
      </c>
    </row>
    <row r="995" spans="1:7" ht="21" x14ac:dyDescent="0.25">
      <c r="A995" s="2" t="str">
        <f>HYPERLINK("https://rth.dk/resources/bsgatlas/details.php?id=BSGatlas-3'UTR-994","BSGatlas-3'UTR-994")</f>
        <v>BSGatlas-3'UTR-994</v>
      </c>
      <c r="B995" s="3">
        <v>2706678</v>
      </c>
      <c r="C995" s="3">
        <v>2707768</v>
      </c>
      <c r="D995" s="1" t="s">
        <v>13</v>
      </c>
      <c r="E995" s="3">
        <v>1091</v>
      </c>
      <c r="F995" s="1" t="s">
        <v>14446</v>
      </c>
      <c r="G995" s="1" t="s">
        <v>8803</v>
      </c>
    </row>
    <row r="996" spans="1:7" ht="21" x14ac:dyDescent="0.25">
      <c r="A996" s="2" t="str">
        <f>HYPERLINK("https://rth.dk/resources/bsgatlas/details.php?id=BSGatlas-3'UTR-995","BSGatlas-3'UTR-995")</f>
        <v>BSGatlas-3'UTR-995</v>
      </c>
      <c r="B996" s="3">
        <v>2707684</v>
      </c>
      <c r="C996" s="3">
        <v>2707840</v>
      </c>
      <c r="D996" s="1" t="s">
        <v>9</v>
      </c>
      <c r="E996" s="3">
        <v>157</v>
      </c>
      <c r="F996" s="1" t="s">
        <v>14447</v>
      </c>
      <c r="G996" s="1" t="s">
        <v>8801</v>
      </c>
    </row>
    <row r="997" spans="1:7" ht="21" x14ac:dyDescent="0.25">
      <c r="A997" s="2" t="str">
        <f>HYPERLINK("https://rth.dk/resources/bsgatlas/details.php?id=BSGatlas-3'UTR-996","BSGatlas-3'UTR-996")</f>
        <v>BSGatlas-3'UTR-996</v>
      </c>
      <c r="B997" s="3">
        <v>2713934</v>
      </c>
      <c r="C997" s="3">
        <v>2713949</v>
      </c>
      <c r="D997" s="1" t="s">
        <v>13</v>
      </c>
      <c r="E997" s="3">
        <v>16</v>
      </c>
      <c r="F997" s="1" t="s">
        <v>14448</v>
      </c>
      <c r="G997" s="1" t="s">
        <v>8815</v>
      </c>
    </row>
    <row r="998" spans="1:7" ht="21" x14ac:dyDescent="0.25">
      <c r="A998" s="2" t="str">
        <f>HYPERLINK("https://rth.dk/resources/bsgatlas/details.php?id=BSGatlas-3'UTR-997","BSGatlas-3'UTR-997")</f>
        <v>BSGatlas-3'UTR-997</v>
      </c>
      <c r="B998" s="3">
        <v>2714757</v>
      </c>
      <c r="C998" s="3">
        <v>2714933</v>
      </c>
      <c r="D998" s="1" t="s">
        <v>13</v>
      </c>
      <c r="E998" s="3">
        <v>177</v>
      </c>
      <c r="F998" s="1" t="s">
        <v>13244</v>
      </c>
      <c r="G998" s="1" t="s">
        <v>8818</v>
      </c>
    </row>
    <row r="999" spans="1:7" ht="21" x14ac:dyDescent="0.25">
      <c r="A999" s="2" t="str">
        <f>HYPERLINK("https://rth.dk/resources/bsgatlas/details.php?id=BSGatlas-3'UTR-998","BSGatlas-3'UTR-998")</f>
        <v>BSGatlas-3'UTR-998</v>
      </c>
      <c r="B999" s="3">
        <v>2718912</v>
      </c>
      <c r="C999" s="3">
        <v>2718959</v>
      </c>
      <c r="D999" s="1" t="s">
        <v>13</v>
      </c>
      <c r="E999" s="3">
        <v>48</v>
      </c>
      <c r="F999" s="1" t="s">
        <v>13247</v>
      </c>
      <c r="G999" s="1" t="s">
        <v>8823</v>
      </c>
    </row>
    <row r="1000" spans="1:7" ht="21" x14ac:dyDescent="0.25">
      <c r="A1000" s="2" t="str">
        <f>HYPERLINK("https://rth.dk/resources/bsgatlas/details.php?id=BSGatlas-3'UTR-999","BSGatlas-3'UTR-999")</f>
        <v>BSGatlas-3'UTR-999</v>
      </c>
      <c r="B1000" s="3">
        <v>2722644</v>
      </c>
      <c r="C1000" s="3">
        <v>2722725</v>
      </c>
      <c r="D1000" s="1" t="s">
        <v>9</v>
      </c>
      <c r="E1000" s="3">
        <v>82</v>
      </c>
      <c r="F1000" s="1" t="s">
        <v>13248</v>
      </c>
      <c r="G1000" s="1" t="s">
        <v>8826</v>
      </c>
    </row>
    <row r="1001" spans="1:7" ht="21" x14ac:dyDescent="0.25">
      <c r="A1001" s="2" t="str">
        <f>HYPERLINK("https://rth.dk/resources/bsgatlas/details.php?id=BSGatlas-3'UTR-1000","BSGatlas-3'UTR-1000")</f>
        <v>BSGatlas-3'UTR-1000</v>
      </c>
      <c r="B1001" s="3">
        <v>2725067</v>
      </c>
      <c r="C1001" s="3">
        <v>2725114</v>
      </c>
      <c r="D1001" s="1" t="s">
        <v>13</v>
      </c>
      <c r="E1001" s="3">
        <v>48</v>
      </c>
      <c r="F1001" s="1" t="s">
        <v>14449</v>
      </c>
      <c r="G1001" s="1" t="s">
        <v>8831</v>
      </c>
    </row>
    <row r="1002" spans="1:7" ht="21" x14ac:dyDescent="0.25">
      <c r="A1002" s="2" t="str">
        <f>HYPERLINK("https://rth.dk/resources/bsgatlas/details.php?id=BSGatlas-3'UTR-1001","BSGatlas-3'UTR-1001")</f>
        <v>BSGatlas-3'UTR-1001</v>
      </c>
      <c r="B1002" s="3">
        <v>2726727</v>
      </c>
      <c r="C1002" s="3">
        <v>2726858</v>
      </c>
      <c r="D1002" s="1" t="s">
        <v>9</v>
      </c>
      <c r="E1002" s="3">
        <v>132</v>
      </c>
      <c r="F1002" s="1" t="s">
        <v>13250</v>
      </c>
      <c r="G1002" s="1" t="s">
        <v>8833</v>
      </c>
    </row>
    <row r="1003" spans="1:7" ht="21" x14ac:dyDescent="0.25">
      <c r="A1003" s="2" t="str">
        <f>HYPERLINK("https://rth.dk/resources/bsgatlas/details.php?id=BSGatlas-3'UTR-1002","BSGatlas-3'UTR-1002")</f>
        <v>BSGatlas-3'UTR-1002</v>
      </c>
      <c r="B1003" s="3">
        <v>2726811</v>
      </c>
      <c r="C1003" s="3">
        <v>2726885</v>
      </c>
      <c r="D1003" s="1" t="s">
        <v>13</v>
      </c>
      <c r="E1003" s="3">
        <v>75</v>
      </c>
      <c r="F1003" s="1" t="s">
        <v>14450</v>
      </c>
      <c r="G1003" s="1" t="s">
        <v>8836</v>
      </c>
    </row>
    <row r="1004" spans="1:7" ht="21" x14ac:dyDescent="0.25">
      <c r="A1004" s="2" t="str">
        <f>HYPERLINK("https://rth.dk/resources/bsgatlas/details.php?id=BSGatlas-3'UTR-1003","BSGatlas-3'UTR-1003")</f>
        <v>BSGatlas-3'UTR-1003</v>
      </c>
      <c r="B1004" s="3">
        <v>2730888</v>
      </c>
      <c r="C1004" s="3">
        <v>2731107</v>
      </c>
      <c r="D1004" s="1" t="s">
        <v>13</v>
      </c>
      <c r="E1004" s="3">
        <v>220</v>
      </c>
      <c r="F1004" s="1" t="s">
        <v>14451</v>
      </c>
      <c r="G1004" s="1" t="s">
        <v>8838</v>
      </c>
    </row>
    <row r="1005" spans="1:7" ht="21" x14ac:dyDescent="0.25">
      <c r="A1005" s="2" t="str">
        <f>HYPERLINK("https://rth.dk/resources/bsgatlas/details.php?id=BSGatlas-3'UTR-1004","BSGatlas-3'UTR-1004")</f>
        <v>BSGatlas-3'UTR-1004</v>
      </c>
      <c r="B1005" s="3">
        <v>2732943</v>
      </c>
      <c r="C1005" s="3">
        <v>2732980</v>
      </c>
      <c r="D1005" s="1" t="s">
        <v>13</v>
      </c>
      <c r="E1005" s="3">
        <v>38</v>
      </c>
      <c r="F1005" s="1" t="s">
        <v>13252</v>
      </c>
      <c r="G1005" s="1" t="s">
        <v>8841</v>
      </c>
    </row>
    <row r="1006" spans="1:7" ht="21" x14ac:dyDescent="0.25">
      <c r="A1006" s="2" t="str">
        <f>HYPERLINK("https://rth.dk/resources/bsgatlas/details.php?id=BSGatlas-3'UTR-1005","BSGatlas-3'UTR-1005")</f>
        <v>BSGatlas-3'UTR-1005</v>
      </c>
      <c r="B1006" s="3">
        <v>2734917</v>
      </c>
      <c r="C1006" s="3">
        <v>2734953</v>
      </c>
      <c r="D1006" s="1" t="s">
        <v>13</v>
      </c>
      <c r="E1006" s="3">
        <v>37</v>
      </c>
      <c r="F1006" s="1" t="s">
        <v>14452</v>
      </c>
      <c r="G1006" s="1" t="s">
        <v>8845</v>
      </c>
    </row>
    <row r="1007" spans="1:7" ht="21" x14ac:dyDescent="0.25">
      <c r="A1007" s="2" t="str">
        <f>HYPERLINK("https://rth.dk/resources/bsgatlas/details.php?id=BSGatlas-3'UTR-1006","BSGatlas-3'UTR-1006")</f>
        <v>BSGatlas-3'UTR-1006</v>
      </c>
      <c r="B1007" s="3">
        <v>2737958</v>
      </c>
      <c r="C1007" s="3">
        <v>2737978</v>
      </c>
      <c r="D1007" s="1" t="s">
        <v>9</v>
      </c>
      <c r="E1007" s="3">
        <v>21</v>
      </c>
      <c r="F1007" s="1" t="s">
        <v>13254</v>
      </c>
      <c r="G1007" s="1" t="s">
        <v>8847</v>
      </c>
    </row>
    <row r="1008" spans="1:7" ht="21" x14ac:dyDescent="0.25">
      <c r="A1008" s="2" t="str">
        <f>HYPERLINK("https://rth.dk/resources/bsgatlas/details.php?id=BSGatlas-3'UTR-1007","BSGatlas-3'UTR-1007")</f>
        <v>BSGatlas-3'UTR-1007</v>
      </c>
      <c r="B1008" s="3">
        <v>2740193</v>
      </c>
      <c r="C1008" s="3">
        <v>2740215</v>
      </c>
      <c r="D1008" s="1" t="s">
        <v>9</v>
      </c>
      <c r="E1008" s="3">
        <v>23</v>
      </c>
      <c r="F1008" s="1" t="s">
        <v>13256</v>
      </c>
      <c r="G1008" s="1" t="s">
        <v>8850</v>
      </c>
    </row>
    <row r="1009" spans="1:7" ht="21" x14ac:dyDescent="0.25">
      <c r="A1009" s="2" t="str">
        <f>HYPERLINK("https://rth.dk/resources/bsgatlas/details.php?id=BSGatlas-3'UTR-1008","BSGatlas-3'UTR-1008")</f>
        <v>BSGatlas-3'UTR-1008</v>
      </c>
      <c r="B1009" s="3">
        <v>2740846</v>
      </c>
      <c r="C1009" s="3">
        <v>2740873</v>
      </c>
      <c r="D1009" s="1" t="s">
        <v>9</v>
      </c>
      <c r="E1009" s="3">
        <v>28</v>
      </c>
      <c r="F1009" s="1" t="s">
        <v>14453</v>
      </c>
      <c r="G1009" s="1" t="s">
        <v>8854</v>
      </c>
    </row>
    <row r="1010" spans="1:7" ht="21" x14ac:dyDescent="0.25">
      <c r="A1010" s="2" t="str">
        <f>HYPERLINK("https://rth.dk/resources/bsgatlas/details.php?id=BSGatlas-3'UTR-1009","BSGatlas-3'UTR-1009")</f>
        <v>BSGatlas-3'UTR-1009</v>
      </c>
      <c r="B1010" s="3">
        <v>2740894</v>
      </c>
      <c r="C1010" s="3">
        <v>2741126</v>
      </c>
      <c r="D1010" s="1" t="s">
        <v>9</v>
      </c>
      <c r="E1010" s="3">
        <v>233</v>
      </c>
      <c r="F1010" s="1" t="s">
        <v>14454</v>
      </c>
      <c r="G1010" s="1" t="s">
        <v>8853</v>
      </c>
    </row>
    <row r="1011" spans="1:7" ht="21" x14ac:dyDescent="0.25">
      <c r="A1011" s="2" t="str">
        <f>HYPERLINK("https://rth.dk/resources/bsgatlas/details.php?id=BSGatlas-3'UTR-1010","BSGatlas-3'UTR-1010")</f>
        <v>BSGatlas-3'UTR-1010</v>
      </c>
      <c r="B1011" s="3">
        <v>2741105</v>
      </c>
      <c r="C1011" s="3">
        <v>2741133</v>
      </c>
      <c r="D1011" s="1" t="s">
        <v>13</v>
      </c>
      <c r="E1011" s="3">
        <v>29</v>
      </c>
      <c r="F1011" s="1" t="s">
        <v>14455</v>
      </c>
      <c r="G1011" s="1" t="s">
        <v>8855</v>
      </c>
    </row>
    <row r="1012" spans="1:7" ht="21" x14ac:dyDescent="0.25">
      <c r="A1012" s="2" t="str">
        <f>HYPERLINK("https://rth.dk/resources/bsgatlas/details.php?id=BSGatlas-3'UTR-1011","BSGatlas-3'UTR-1011")</f>
        <v>BSGatlas-3'UTR-1011</v>
      </c>
      <c r="B1012" s="3">
        <v>2747936</v>
      </c>
      <c r="C1012" s="3">
        <v>2747984</v>
      </c>
      <c r="D1012" s="1" t="s">
        <v>13</v>
      </c>
      <c r="E1012" s="3">
        <v>49</v>
      </c>
      <c r="F1012" s="1" t="s">
        <v>13261</v>
      </c>
      <c r="G1012" s="1" t="s">
        <v>8863</v>
      </c>
    </row>
    <row r="1013" spans="1:7" ht="21" x14ac:dyDescent="0.25">
      <c r="A1013" s="2" t="str">
        <f>HYPERLINK("https://rth.dk/resources/bsgatlas/details.php?id=BSGatlas-3'UTR-1012","BSGatlas-3'UTR-1012")</f>
        <v>BSGatlas-3'UTR-1012</v>
      </c>
      <c r="B1013" s="3">
        <v>2750831</v>
      </c>
      <c r="C1013" s="3">
        <v>2750883</v>
      </c>
      <c r="D1013" s="1" t="s">
        <v>13</v>
      </c>
      <c r="E1013" s="3">
        <v>53</v>
      </c>
      <c r="F1013" s="1" t="s">
        <v>14456</v>
      </c>
      <c r="G1013" s="1" t="s">
        <v>8868</v>
      </c>
    </row>
    <row r="1014" spans="1:7" ht="21" x14ac:dyDescent="0.25">
      <c r="A1014" s="2" t="str">
        <f>HYPERLINK("https://rth.dk/resources/bsgatlas/details.php?id=BSGatlas-3'UTR-1013","BSGatlas-3'UTR-1013")</f>
        <v>BSGatlas-3'UTR-1013</v>
      </c>
      <c r="B1014" s="3">
        <v>2752084</v>
      </c>
      <c r="C1014" s="3">
        <v>2752167</v>
      </c>
      <c r="D1014" s="1" t="s">
        <v>13</v>
      </c>
      <c r="E1014" s="3">
        <v>84</v>
      </c>
      <c r="F1014" s="1" t="s">
        <v>13264</v>
      </c>
      <c r="G1014" s="1" t="s">
        <v>8870</v>
      </c>
    </row>
    <row r="1015" spans="1:7" ht="21" x14ac:dyDescent="0.25">
      <c r="A1015" s="2" t="str">
        <f>HYPERLINK("https://rth.dk/resources/bsgatlas/details.php?id=BSGatlas-3'UTR-1014","BSGatlas-3'UTR-1014")</f>
        <v>BSGatlas-3'UTR-1014</v>
      </c>
      <c r="B1015" s="3">
        <v>2755119</v>
      </c>
      <c r="C1015" s="3">
        <v>2755574</v>
      </c>
      <c r="D1015" s="1" t="s">
        <v>9</v>
      </c>
      <c r="E1015" s="3">
        <v>456</v>
      </c>
      <c r="F1015" s="1" t="s">
        <v>14457</v>
      </c>
      <c r="G1015" s="1" t="s">
        <v>8874</v>
      </c>
    </row>
    <row r="1016" spans="1:7" ht="21" x14ac:dyDescent="0.25">
      <c r="A1016" s="2" t="str">
        <f>HYPERLINK("https://rth.dk/resources/bsgatlas/details.php?id=BSGatlas-3'UTR-1015","BSGatlas-3'UTR-1015")</f>
        <v>BSGatlas-3'UTR-1015</v>
      </c>
      <c r="B1016" s="3">
        <v>2757993</v>
      </c>
      <c r="C1016" s="3">
        <v>2758043</v>
      </c>
      <c r="D1016" s="1" t="s">
        <v>13</v>
      </c>
      <c r="E1016" s="3">
        <v>51</v>
      </c>
      <c r="F1016" s="1" t="s">
        <v>14458</v>
      </c>
      <c r="G1016" s="1" t="s">
        <v>8887</v>
      </c>
    </row>
    <row r="1017" spans="1:7" ht="21" x14ac:dyDescent="0.25">
      <c r="A1017" s="2" t="str">
        <f>HYPERLINK("https://rth.dk/resources/bsgatlas/details.php?id=BSGatlas-3'UTR-1016","BSGatlas-3'UTR-1016")</f>
        <v>BSGatlas-3'UTR-1016</v>
      </c>
      <c r="B1017" s="3">
        <v>2758001</v>
      </c>
      <c r="C1017" s="3">
        <v>2758047</v>
      </c>
      <c r="D1017" s="1" t="s">
        <v>9</v>
      </c>
      <c r="E1017" s="3">
        <v>47</v>
      </c>
      <c r="F1017" s="1" t="s">
        <v>13269</v>
      </c>
      <c r="G1017" s="1" t="s">
        <v>8880</v>
      </c>
    </row>
    <row r="1018" spans="1:7" ht="21" x14ac:dyDescent="0.25">
      <c r="A1018" s="2" t="str">
        <f>HYPERLINK("https://rth.dk/resources/bsgatlas/details.php?id=BSGatlas-3'UTR-1017","BSGatlas-3'UTR-1017")</f>
        <v>BSGatlas-3'UTR-1017</v>
      </c>
      <c r="B1018" s="3">
        <v>2758001</v>
      </c>
      <c r="C1018" s="3">
        <v>2759153</v>
      </c>
      <c r="D1018" s="1" t="s">
        <v>9</v>
      </c>
      <c r="E1018" s="3">
        <v>1153</v>
      </c>
      <c r="F1018" s="1" t="s">
        <v>13269</v>
      </c>
      <c r="G1018" s="1" t="s">
        <v>8881</v>
      </c>
    </row>
    <row r="1019" spans="1:7" ht="21" x14ac:dyDescent="0.25">
      <c r="A1019" s="2" t="str">
        <f>HYPERLINK("https://rth.dk/resources/bsgatlas/details.php?id=BSGatlas-3'UTR-1018","BSGatlas-3'UTR-1018")</f>
        <v>BSGatlas-3'UTR-1018</v>
      </c>
      <c r="B1019" s="3">
        <v>2767988</v>
      </c>
      <c r="C1019" s="3">
        <v>2768042</v>
      </c>
      <c r="D1019" s="1" t="s">
        <v>13</v>
      </c>
      <c r="E1019" s="3">
        <v>55</v>
      </c>
      <c r="F1019" s="1" t="s">
        <v>13273</v>
      </c>
      <c r="G1019" s="1" t="s">
        <v>8893</v>
      </c>
    </row>
    <row r="1020" spans="1:7" ht="21" x14ac:dyDescent="0.25">
      <c r="A1020" s="2" t="str">
        <f>HYPERLINK("https://rth.dk/resources/bsgatlas/details.php?id=BSGatlas-3'UTR-1019","BSGatlas-3'UTR-1019")</f>
        <v>BSGatlas-3'UTR-1019</v>
      </c>
      <c r="B1020" s="3">
        <v>2769654</v>
      </c>
      <c r="C1020" s="3">
        <v>2769672</v>
      </c>
      <c r="D1020" s="1" t="s">
        <v>9</v>
      </c>
      <c r="E1020" s="3">
        <v>19</v>
      </c>
      <c r="F1020" s="1" t="s">
        <v>13274</v>
      </c>
      <c r="G1020" s="1" t="s">
        <v>8896</v>
      </c>
    </row>
    <row r="1021" spans="1:7" ht="21" x14ac:dyDescent="0.25">
      <c r="A1021" s="2" t="str">
        <f>HYPERLINK("https://rth.dk/resources/bsgatlas/details.php?id=BSGatlas-3'UTR-1020","BSGatlas-3'UTR-1020")</f>
        <v>BSGatlas-3'UTR-1020</v>
      </c>
      <c r="B1021" s="3">
        <v>2771207</v>
      </c>
      <c r="C1021" s="3">
        <v>2771252</v>
      </c>
      <c r="D1021" s="1" t="s">
        <v>9</v>
      </c>
      <c r="E1021" s="3">
        <v>46</v>
      </c>
      <c r="F1021" s="1" t="s">
        <v>14459</v>
      </c>
      <c r="G1021" s="1" t="s">
        <v>8899</v>
      </c>
    </row>
    <row r="1022" spans="1:7" ht="21" x14ac:dyDescent="0.25">
      <c r="A1022" s="2" t="str">
        <f>HYPERLINK("https://rth.dk/resources/bsgatlas/details.php?id=BSGatlas-3'UTR-1021","BSGatlas-3'UTR-1021")</f>
        <v>BSGatlas-3'UTR-1021</v>
      </c>
      <c r="B1022" s="3">
        <v>2773843</v>
      </c>
      <c r="C1022" s="3">
        <v>2773890</v>
      </c>
      <c r="D1022" s="1" t="s">
        <v>13</v>
      </c>
      <c r="E1022" s="3">
        <v>48</v>
      </c>
      <c r="F1022" s="1" t="s">
        <v>14460</v>
      </c>
      <c r="G1022" s="1" t="s">
        <v>8904</v>
      </c>
    </row>
    <row r="1023" spans="1:7" ht="21" x14ac:dyDescent="0.25">
      <c r="A1023" s="2" t="str">
        <f>HYPERLINK("https://rth.dk/resources/bsgatlas/details.php?id=BSGatlas-3'UTR-1022","BSGatlas-3'UTR-1022")</f>
        <v>BSGatlas-3'UTR-1022</v>
      </c>
      <c r="B1023" s="3">
        <v>2777811</v>
      </c>
      <c r="C1023" s="3">
        <v>2777877</v>
      </c>
      <c r="D1023" s="1" t="s">
        <v>13</v>
      </c>
      <c r="E1023" s="3">
        <v>67</v>
      </c>
      <c r="F1023" s="1" t="s">
        <v>13279</v>
      </c>
      <c r="G1023" s="1" t="s">
        <v>8907</v>
      </c>
    </row>
    <row r="1024" spans="1:7" ht="21" x14ac:dyDescent="0.25">
      <c r="A1024" s="2" t="str">
        <f>HYPERLINK("https://rth.dk/resources/bsgatlas/details.php?id=BSGatlas-3'UTR-1023","BSGatlas-3'UTR-1023")</f>
        <v>BSGatlas-3'UTR-1023</v>
      </c>
      <c r="B1024" s="3">
        <v>2784646</v>
      </c>
      <c r="C1024" s="3">
        <v>2784688</v>
      </c>
      <c r="D1024" s="1" t="s">
        <v>13</v>
      </c>
      <c r="E1024" s="3">
        <v>43</v>
      </c>
      <c r="F1024" s="1" t="s">
        <v>14461</v>
      </c>
      <c r="G1024" s="1" t="s">
        <v>8920</v>
      </c>
    </row>
    <row r="1025" spans="1:7" ht="21" x14ac:dyDescent="0.25">
      <c r="A1025" s="2" t="str">
        <f>HYPERLINK("https://rth.dk/resources/bsgatlas/details.php?id=BSGatlas-3'UTR-1024","BSGatlas-3'UTR-1024")</f>
        <v>BSGatlas-3'UTR-1024</v>
      </c>
      <c r="B1025" s="3">
        <v>2787036</v>
      </c>
      <c r="C1025" s="3">
        <v>2787130</v>
      </c>
      <c r="D1025" s="1" t="s">
        <v>13</v>
      </c>
      <c r="E1025" s="3">
        <v>95</v>
      </c>
      <c r="F1025" s="1" t="s">
        <v>13282</v>
      </c>
      <c r="G1025" s="1" t="s">
        <v>8924</v>
      </c>
    </row>
    <row r="1026" spans="1:7" ht="21" x14ac:dyDescent="0.25">
      <c r="A1026" s="2" t="str">
        <f>HYPERLINK("https://rth.dk/resources/bsgatlas/details.php?id=BSGatlas-3'UTR-1025","BSGatlas-3'UTR-1025")</f>
        <v>BSGatlas-3'UTR-1025</v>
      </c>
      <c r="B1026" s="3">
        <v>2788876</v>
      </c>
      <c r="C1026" s="3">
        <v>2788920</v>
      </c>
      <c r="D1026" s="1" t="s">
        <v>13</v>
      </c>
      <c r="E1026" s="3">
        <v>45</v>
      </c>
      <c r="F1026" s="1" t="s">
        <v>13285</v>
      </c>
      <c r="G1026" s="1" t="s">
        <v>8930</v>
      </c>
    </row>
    <row r="1027" spans="1:7" ht="21" x14ac:dyDescent="0.25">
      <c r="A1027" s="2" t="str">
        <f>HYPERLINK("https://rth.dk/resources/bsgatlas/details.php?id=BSGatlas-3'UTR-1026","BSGatlas-3'UTR-1026")</f>
        <v>BSGatlas-3'UTR-1026</v>
      </c>
      <c r="B1027" s="3">
        <v>2788883</v>
      </c>
      <c r="C1027" s="3">
        <v>2788912</v>
      </c>
      <c r="D1027" s="1" t="s">
        <v>9</v>
      </c>
      <c r="E1027" s="3">
        <v>30</v>
      </c>
      <c r="F1027" s="1" t="s">
        <v>13284</v>
      </c>
      <c r="G1027" s="1" t="s">
        <v>8927</v>
      </c>
    </row>
    <row r="1028" spans="1:7" ht="21" x14ac:dyDescent="0.25">
      <c r="A1028" s="2" t="str">
        <f>HYPERLINK("https://rth.dk/resources/bsgatlas/details.php?id=BSGatlas-3'UTR-1027","BSGatlas-3'UTR-1027")</f>
        <v>BSGatlas-3'UTR-1027</v>
      </c>
      <c r="B1028" s="3">
        <v>2791479</v>
      </c>
      <c r="C1028" s="3">
        <v>2791494</v>
      </c>
      <c r="D1028" s="1" t="s">
        <v>13</v>
      </c>
      <c r="E1028" s="3">
        <v>16</v>
      </c>
      <c r="F1028" s="1" t="s">
        <v>13286</v>
      </c>
      <c r="G1028" s="1" t="s">
        <v>8936</v>
      </c>
    </row>
    <row r="1029" spans="1:7" ht="21" x14ac:dyDescent="0.25">
      <c r="A1029" s="2" t="str">
        <f>HYPERLINK("https://rth.dk/resources/bsgatlas/details.php?id=BSGatlas-3'UTR-1028","BSGatlas-3'UTR-1028")</f>
        <v>BSGatlas-3'UTR-1028</v>
      </c>
      <c r="B1029" s="3">
        <v>2795865</v>
      </c>
      <c r="C1029" s="3">
        <v>2795887</v>
      </c>
      <c r="D1029" s="1" t="s">
        <v>13</v>
      </c>
      <c r="E1029" s="3">
        <v>23</v>
      </c>
      <c r="F1029" s="1" t="s">
        <v>13288</v>
      </c>
      <c r="G1029" s="1" t="s">
        <v>8941</v>
      </c>
    </row>
    <row r="1030" spans="1:7" ht="21" x14ac:dyDescent="0.25">
      <c r="A1030" s="2" t="str">
        <f>HYPERLINK("https://rth.dk/resources/bsgatlas/details.php?id=BSGatlas-3'UTR-1029","BSGatlas-3'UTR-1029")</f>
        <v>BSGatlas-3'UTR-1029</v>
      </c>
      <c r="B1030" s="3">
        <v>2797073</v>
      </c>
      <c r="C1030" s="3">
        <v>2797100</v>
      </c>
      <c r="D1030" s="1" t="s">
        <v>13</v>
      </c>
      <c r="E1030" s="3">
        <v>28</v>
      </c>
      <c r="F1030" s="1" t="s">
        <v>14462</v>
      </c>
      <c r="G1030" s="1" t="s">
        <v>8945</v>
      </c>
    </row>
    <row r="1031" spans="1:7" ht="21" x14ac:dyDescent="0.25">
      <c r="A1031" s="2" t="str">
        <f>HYPERLINK("https://rth.dk/resources/bsgatlas/details.php?id=BSGatlas-3'UTR-1030","BSGatlas-3'UTR-1030")</f>
        <v>BSGatlas-3'UTR-1030</v>
      </c>
      <c r="B1031" s="3">
        <v>2803929</v>
      </c>
      <c r="C1031" s="3">
        <v>2803981</v>
      </c>
      <c r="D1031" s="1" t="s">
        <v>9</v>
      </c>
      <c r="E1031" s="3">
        <v>53</v>
      </c>
      <c r="F1031" s="1" t="s">
        <v>14463</v>
      </c>
      <c r="G1031" s="1" t="s">
        <v>8956</v>
      </c>
    </row>
    <row r="1032" spans="1:7" ht="21" x14ac:dyDescent="0.25">
      <c r="A1032" s="2" t="str">
        <f>HYPERLINK("https://rth.dk/resources/bsgatlas/details.php?id=BSGatlas-3'UTR-1031","BSGatlas-3'UTR-1031")</f>
        <v>BSGatlas-3'UTR-1031</v>
      </c>
      <c r="B1032" s="3">
        <v>2805303</v>
      </c>
      <c r="C1032" s="3">
        <v>2805348</v>
      </c>
      <c r="D1032" s="1" t="s">
        <v>13</v>
      </c>
      <c r="E1032" s="3">
        <v>46</v>
      </c>
      <c r="F1032" s="1" t="s">
        <v>14464</v>
      </c>
      <c r="G1032" s="1" t="s">
        <v>8961</v>
      </c>
    </row>
    <row r="1033" spans="1:7" ht="21" x14ac:dyDescent="0.25">
      <c r="A1033" s="2" t="str">
        <f>HYPERLINK("https://rth.dk/resources/bsgatlas/details.php?id=BSGatlas-3'UTR-1032","BSGatlas-3'UTR-1032")</f>
        <v>BSGatlas-3'UTR-1032</v>
      </c>
      <c r="B1033" s="3">
        <v>2805313</v>
      </c>
      <c r="C1033" s="3">
        <v>2805354</v>
      </c>
      <c r="D1033" s="1" t="s">
        <v>9</v>
      </c>
      <c r="E1033" s="3">
        <v>42</v>
      </c>
      <c r="F1033" s="1" t="s">
        <v>14465</v>
      </c>
      <c r="G1033" s="1" t="s">
        <v>8958</v>
      </c>
    </row>
    <row r="1034" spans="1:7" ht="21" x14ac:dyDescent="0.25">
      <c r="A1034" s="2" t="str">
        <f>HYPERLINK("https://rth.dk/resources/bsgatlas/details.php?id=BSGatlas-3'UTR-1033","BSGatlas-3'UTR-1033")</f>
        <v>BSGatlas-3'UTR-1033</v>
      </c>
      <c r="B1034" s="3">
        <v>2809368</v>
      </c>
      <c r="C1034" s="3">
        <v>2809413</v>
      </c>
      <c r="D1034" s="1" t="s">
        <v>13</v>
      </c>
      <c r="E1034" s="3">
        <v>46</v>
      </c>
      <c r="F1034" s="1" t="s">
        <v>14466</v>
      </c>
      <c r="G1034" s="1" t="s">
        <v>8972</v>
      </c>
    </row>
    <row r="1035" spans="1:7" ht="21" x14ac:dyDescent="0.25">
      <c r="A1035" s="2" t="str">
        <f>HYPERLINK("https://rth.dk/resources/bsgatlas/details.php?id=BSGatlas-3'UTR-1034","BSGatlas-3'UTR-1034")</f>
        <v>BSGatlas-3'UTR-1034</v>
      </c>
      <c r="B1035" s="3">
        <v>2813601</v>
      </c>
      <c r="C1035" s="3">
        <v>2813622</v>
      </c>
      <c r="D1035" s="1" t="s">
        <v>9</v>
      </c>
      <c r="E1035" s="3">
        <v>22</v>
      </c>
      <c r="F1035" s="1" t="s">
        <v>13296</v>
      </c>
      <c r="G1035" s="1" t="s">
        <v>8975</v>
      </c>
    </row>
    <row r="1036" spans="1:7" ht="21" x14ac:dyDescent="0.25">
      <c r="A1036" s="2" t="str">
        <f>HYPERLINK("https://rth.dk/resources/bsgatlas/details.php?id=BSGatlas-3'UTR-1035","BSGatlas-3'UTR-1035")</f>
        <v>BSGatlas-3'UTR-1035</v>
      </c>
      <c r="B1036" s="3">
        <v>2820041</v>
      </c>
      <c r="C1036" s="3">
        <v>2820077</v>
      </c>
      <c r="D1036" s="1" t="s">
        <v>13</v>
      </c>
      <c r="E1036" s="3">
        <v>37</v>
      </c>
      <c r="F1036" s="1" t="s">
        <v>14467</v>
      </c>
      <c r="G1036" s="1" t="s">
        <v>8989</v>
      </c>
    </row>
    <row r="1037" spans="1:7" ht="21" x14ac:dyDescent="0.25">
      <c r="A1037" s="2" t="str">
        <f>HYPERLINK("https://rth.dk/resources/bsgatlas/details.php?id=BSGatlas-3'UTR-1036","BSGatlas-3'UTR-1036")</f>
        <v>BSGatlas-3'UTR-1036</v>
      </c>
      <c r="B1037" s="3">
        <v>2820050</v>
      </c>
      <c r="C1037" s="3">
        <v>2820086</v>
      </c>
      <c r="D1037" s="1" t="s">
        <v>9</v>
      </c>
      <c r="E1037" s="3">
        <v>37</v>
      </c>
      <c r="F1037" s="1" t="s">
        <v>13298</v>
      </c>
      <c r="G1037" s="1" t="s">
        <v>8984</v>
      </c>
    </row>
    <row r="1038" spans="1:7" ht="21" x14ac:dyDescent="0.25">
      <c r="A1038" s="2" t="str">
        <f>HYPERLINK("https://rth.dk/resources/bsgatlas/details.php?id=BSGatlas-3'UTR-1037","BSGatlas-3'UTR-1037")</f>
        <v>BSGatlas-3'UTR-1037</v>
      </c>
      <c r="B1038" s="3">
        <v>2822846</v>
      </c>
      <c r="C1038" s="3">
        <v>2822901</v>
      </c>
      <c r="D1038" s="1" t="s">
        <v>13</v>
      </c>
      <c r="E1038" s="3">
        <v>56</v>
      </c>
      <c r="F1038" s="1" t="s">
        <v>13301</v>
      </c>
      <c r="G1038" s="1" t="s">
        <v>8992</v>
      </c>
    </row>
    <row r="1039" spans="1:7" ht="21" x14ac:dyDescent="0.25">
      <c r="A1039" s="2" t="str">
        <f>HYPERLINK("https://rth.dk/resources/bsgatlas/details.php?id=BSGatlas-3'UTR-1038","BSGatlas-3'UTR-1038")</f>
        <v>BSGatlas-3'UTR-1038</v>
      </c>
      <c r="B1039" s="3">
        <v>2826883</v>
      </c>
      <c r="C1039" s="3">
        <v>2826900</v>
      </c>
      <c r="D1039" s="1" t="s">
        <v>13</v>
      </c>
      <c r="E1039" s="3">
        <v>18</v>
      </c>
      <c r="F1039" s="1" t="s">
        <v>14468</v>
      </c>
      <c r="G1039" s="1" t="s">
        <v>9000</v>
      </c>
    </row>
    <row r="1040" spans="1:7" ht="21" x14ac:dyDescent="0.25">
      <c r="A1040" s="2" t="str">
        <f>HYPERLINK("https://rth.dk/resources/bsgatlas/details.php?id=BSGatlas-3'UTR-1039","BSGatlas-3'UTR-1039")</f>
        <v>BSGatlas-3'UTR-1039</v>
      </c>
      <c r="B1040" s="3">
        <v>2831120</v>
      </c>
      <c r="C1040" s="3">
        <v>2831156</v>
      </c>
      <c r="D1040" s="1" t="s">
        <v>9</v>
      </c>
      <c r="E1040" s="3">
        <v>37</v>
      </c>
      <c r="F1040" s="1" t="s">
        <v>13305</v>
      </c>
      <c r="G1040" s="1" t="s">
        <v>9003</v>
      </c>
    </row>
    <row r="1041" spans="1:7" ht="21" x14ac:dyDescent="0.25">
      <c r="A1041" s="2" t="str">
        <f>HYPERLINK("https://rth.dk/resources/bsgatlas/details.php?id=BSGatlas-3'UTR-1040","BSGatlas-3'UTR-1040")</f>
        <v>BSGatlas-3'UTR-1040</v>
      </c>
      <c r="B1041" s="3">
        <v>2832384</v>
      </c>
      <c r="C1041" s="3">
        <v>2832424</v>
      </c>
      <c r="D1041" s="1" t="s">
        <v>13</v>
      </c>
      <c r="E1041" s="3">
        <v>41</v>
      </c>
      <c r="F1041" s="1" t="s">
        <v>13309</v>
      </c>
      <c r="G1041" s="1" t="s">
        <v>9010</v>
      </c>
    </row>
    <row r="1042" spans="1:7" ht="21" x14ac:dyDescent="0.25">
      <c r="A1042" s="2" t="str">
        <f>HYPERLINK("https://rth.dk/resources/bsgatlas/details.php?id=BSGatlas-3'UTR-1041","BSGatlas-3'UTR-1041")</f>
        <v>BSGatlas-3'UTR-1041</v>
      </c>
      <c r="B1042" s="3">
        <v>2835082</v>
      </c>
      <c r="C1042" s="3">
        <v>2835150</v>
      </c>
      <c r="D1042" s="1" t="s">
        <v>13</v>
      </c>
      <c r="E1042" s="3">
        <v>69</v>
      </c>
      <c r="F1042" s="1" t="s">
        <v>14469</v>
      </c>
      <c r="G1042" s="1" t="s">
        <v>9015</v>
      </c>
    </row>
    <row r="1043" spans="1:7" ht="21" x14ac:dyDescent="0.25">
      <c r="A1043" s="2" t="str">
        <f>HYPERLINK("https://rth.dk/resources/bsgatlas/details.php?id=BSGatlas-3'UTR-1042","BSGatlas-3'UTR-1042")</f>
        <v>BSGatlas-3'UTR-1042</v>
      </c>
      <c r="B1043" s="3">
        <v>2836863</v>
      </c>
      <c r="C1043" s="3">
        <v>2836909</v>
      </c>
      <c r="D1043" s="1" t="s">
        <v>13</v>
      </c>
      <c r="E1043" s="3">
        <v>47</v>
      </c>
      <c r="F1043" s="1" t="s">
        <v>13311</v>
      </c>
      <c r="G1043" s="1" t="s">
        <v>9017</v>
      </c>
    </row>
    <row r="1044" spans="1:7" ht="21" x14ac:dyDescent="0.25">
      <c r="A1044" s="2" t="str">
        <f>HYPERLINK("https://rth.dk/resources/bsgatlas/details.php?id=BSGatlas-3'UTR-1043","BSGatlas-3'UTR-1043")</f>
        <v>BSGatlas-3'UTR-1043</v>
      </c>
      <c r="B1044" s="3">
        <v>2838708</v>
      </c>
      <c r="C1044" s="3">
        <v>2838847</v>
      </c>
      <c r="D1044" s="1" t="s">
        <v>13</v>
      </c>
      <c r="E1044" s="3">
        <v>140</v>
      </c>
      <c r="F1044" s="1" t="s">
        <v>13313</v>
      </c>
      <c r="G1044" s="1" t="s">
        <v>9021</v>
      </c>
    </row>
    <row r="1045" spans="1:7" ht="21" x14ac:dyDescent="0.25">
      <c r="A1045" s="2" t="str">
        <f>HYPERLINK("https://rth.dk/resources/bsgatlas/details.php?id=BSGatlas-3'UTR-1044","BSGatlas-3'UTR-1044")</f>
        <v>BSGatlas-3'UTR-1044</v>
      </c>
      <c r="B1045" s="3">
        <v>2840399</v>
      </c>
      <c r="C1045" s="3">
        <v>2840767</v>
      </c>
      <c r="D1045" s="1" t="s">
        <v>13</v>
      </c>
      <c r="E1045" s="3">
        <v>369</v>
      </c>
      <c r="F1045" s="1" t="s">
        <v>14470</v>
      </c>
      <c r="G1045" s="1" t="s">
        <v>9026</v>
      </c>
    </row>
    <row r="1046" spans="1:7" ht="21" x14ac:dyDescent="0.25">
      <c r="A1046" s="2" t="str">
        <f>HYPERLINK("https://rth.dk/resources/bsgatlas/details.php?id=BSGatlas-3'UTR-1045","BSGatlas-3'UTR-1045")</f>
        <v>BSGatlas-3'UTR-1045</v>
      </c>
      <c r="B1046" s="3">
        <v>2840788</v>
      </c>
      <c r="C1046" s="3">
        <v>2840803</v>
      </c>
      <c r="D1046" s="1" t="s">
        <v>13</v>
      </c>
      <c r="E1046" s="3">
        <v>16</v>
      </c>
      <c r="F1046" s="1" t="s">
        <v>14471</v>
      </c>
      <c r="G1046" s="1" t="s">
        <v>9027</v>
      </c>
    </row>
    <row r="1047" spans="1:7" ht="21" x14ac:dyDescent="0.25">
      <c r="A1047" s="2" t="str">
        <f>HYPERLINK("https://rth.dk/resources/bsgatlas/details.php?id=BSGatlas-3'UTR-1046","BSGatlas-3'UTR-1046")</f>
        <v>BSGatlas-3'UTR-1046</v>
      </c>
      <c r="B1047" s="3">
        <v>2843065</v>
      </c>
      <c r="C1047" s="3">
        <v>2843116</v>
      </c>
      <c r="D1047" s="1" t="s">
        <v>9</v>
      </c>
      <c r="E1047" s="3">
        <v>52</v>
      </c>
      <c r="F1047" s="1" t="s">
        <v>13315</v>
      </c>
      <c r="G1047" s="1" t="s">
        <v>9032</v>
      </c>
    </row>
    <row r="1048" spans="1:7" ht="21" x14ac:dyDescent="0.25">
      <c r="A1048" s="2" t="str">
        <f>HYPERLINK("https://rth.dk/resources/bsgatlas/details.php?id=BSGatlas-3'UTR-1047","BSGatlas-3'UTR-1047")</f>
        <v>BSGatlas-3'UTR-1047</v>
      </c>
      <c r="B1048" s="3">
        <v>2843065</v>
      </c>
      <c r="C1048" s="3">
        <v>2843565</v>
      </c>
      <c r="D1048" s="1" t="s">
        <v>9</v>
      </c>
      <c r="E1048" s="3">
        <v>501</v>
      </c>
      <c r="F1048" s="1" t="s">
        <v>13315</v>
      </c>
      <c r="G1048" s="1" t="s">
        <v>9033</v>
      </c>
    </row>
    <row r="1049" spans="1:7" ht="21" x14ac:dyDescent="0.25">
      <c r="A1049" s="2" t="str">
        <f>HYPERLINK("https://rth.dk/resources/bsgatlas/details.php?id=BSGatlas-3'UTR-1048","BSGatlas-3'UTR-1048")</f>
        <v>BSGatlas-3'UTR-1048</v>
      </c>
      <c r="B1049" s="3">
        <v>2843881</v>
      </c>
      <c r="C1049" s="3">
        <v>2843931</v>
      </c>
      <c r="D1049" s="1" t="s">
        <v>13</v>
      </c>
      <c r="E1049" s="3">
        <v>51</v>
      </c>
      <c r="F1049" s="1" t="s">
        <v>13317</v>
      </c>
      <c r="G1049" s="1" t="s">
        <v>9038</v>
      </c>
    </row>
    <row r="1050" spans="1:7" ht="21" x14ac:dyDescent="0.25">
      <c r="A1050" s="2" t="str">
        <f>HYPERLINK("https://rth.dk/resources/bsgatlas/details.php?id=BSGatlas-3'UTR-1049","BSGatlas-3'UTR-1049")</f>
        <v>BSGatlas-3'UTR-1049</v>
      </c>
      <c r="B1050" s="3">
        <v>2845930</v>
      </c>
      <c r="C1050" s="3">
        <v>2845955</v>
      </c>
      <c r="D1050" s="1" t="s">
        <v>13</v>
      </c>
      <c r="E1050" s="3">
        <v>26</v>
      </c>
      <c r="F1050" s="1" t="s">
        <v>14472</v>
      </c>
      <c r="G1050" s="1" t="s">
        <v>9043</v>
      </c>
    </row>
    <row r="1051" spans="1:7" ht="21" x14ac:dyDescent="0.25">
      <c r="A1051" s="2" t="str">
        <f>HYPERLINK("https://rth.dk/resources/bsgatlas/details.php?id=BSGatlas-3'UTR-1050","BSGatlas-3'UTR-1050")</f>
        <v>BSGatlas-3'UTR-1050</v>
      </c>
      <c r="B1051" s="3">
        <v>2851249</v>
      </c>
      <c r="C1051" s="3">
        <v>2851283</v>
      </c>
      <c r="D1051" s="1" t="s">
        <v>13</v>
      </c>
      <c r="E1051" s="3">
        <v>35</v>
      </c>
      <c r="F1051" s="1" t="s">
        <v>14473</v>
      </c>
      <c r="G1051" s="1" t="s">
        <v>9053</v>
      </c>
    </row>
    <row r="1052" spans="1:7" ht="21" x14ac:dyDescent="0.25">
      <c r="A1052" s="2" t="str">
        <f>HYPERLINK("https://rth.dk/resources/bsgatlas/details.php?id=BSGatlas-3'UTR-1051","BSGatlas-3'UTR-1051")</f>
        <v>BSGatlas-3'UTR-1051</v>
      </c>
      <c r="B1052" s="3">
        <v>2851258</v>
      </c>
      <c r="C1052" s="3">
        <v>2851292</v>
      </c>
      <c r="D1052" s="1" t="s">
        <v>9</v>
      </c>
      <c r="E1052" s="3">
        <v>35</v>
      </c>
      <c r="F1052" s="1" t="s">
        <v>13321</v>
      </c>
      <c r="G1052" s="1" t="s">
        <v>9049</v>
      </c>
    </row>
    <row r="1053" spans="1:7" ht="21" x14ac:dyDescent="0.25">
      <c r="A1053" s="2" t="str">
        <f>HYPERLINK("https://rth.dk/resources/bsgatlas/details.php?id=BSGatlas-3'UTR-1052","BSGatlas-3'UTR-1052")</f>
        <v>BSGatlas-3'UTR-1052</v>
      </c>
      <c r="B1053" s="3">
        <v>2851258</v>
      </c>
      <c r="C1053" s="3">
        <v>2852028</v>
      </c>
      <c r="D1053" s="1" t="s">
        <v>9</v>
      </c>
      <c r="E1053" s="3">
        <v>771</v>
      </c>
      <c r="F1053" s="1" t="s">
        <v>13321</v>
      </c>
      <c r="G1053" s="1" t="s">
        <v>9050</v>
      </c>
    </row>
    <row r="1054" spans="1:7" ht="21" x14ac:dyDescent="0.25">
      <c r="A1054" s="2" t="str">
        <f>HYPERLINK("https://rth.dk/resources/bsgatlas/details.php?id=BSGatlas-3'UTR-1053","BSGatlas-3'UTR-1053")</f>
        <v>BSGatlas-3'UTR-1053</v>
      </c>
      <c r="B1054" s="3">
        <v>2852605</v>
      </c>
      <c r="C1054" s="3">
        <v>2852661</v>
      </c>
      <c r="D1054" s="1" t="s">
        <v>13</v>
      </c>
      <c r="E1054" s="3">
        <v>57</v>
      </c>
      <c r="F1054" s="1" t="s">
        <v>14474</v>
      </c>
      <c r="G1054" s="1" t="s">
        <v>9057</v>
      </c>
    </row>
    <row r="1055" spans="1:7" ht="21" x14ac:dyDescent="0.25">
      <c r="A1055" s="2" t="str">
        <f>HYPERLINK("https://rth.dk/resources/bsgatlas/details.php?id=BSGatlas-3'UTR-1054","BSGatlas-3'UTR-1054")</f>
        <v>BSGatlas-3'UTR-1054</v>
      </c>
      <c r="B1055" s="3">
        <v>2854831</v>
      </c>
      <c r="C1055" s="3">
        <v>2854880</v>
      </c>
      <c r="D1055" s="1" t="s">
        <v>13</v>
      </c>
      <c r="E1055" s="3">
        <v>50</v>
      </c>
      <c r="F1055" s="1" t="s">
        <v>14475</v>
      </c>
      <c r="G1055" s="1" t="s">
        <v>9058</v>
      </c>
    </row>
    <row r="1056" spans="1:7" ht="21" x14ac:dyDescent="0.25">
      <c r="A1056" s="2" t="str">
        <f>HYPERLINK("https://rth.dk/resources/bsgatlas/details.php?id=BSGatlas-3'UTR-1055","BSGatlas-3'UTR-1055")</f>
        <v>BSGatlas-3'UTR-1055</v>
      </c>
      <c r="B1056" s="3">
        <v>2855925</v>
      </c>
      <c r="C1056" s="3">
        <v>2855973</v>
      </c>
      <c r="D1056" s="1" t="s">
        <v>13</v>
      </c>
      <c r="E1056" s="3">
        <v>49</v>
      </c>
      <c r="F1056" s="1" t="s">
        <v>14476</v>
      </c>
      <c r="G1056" s="1" t="s">
        <v>9064</v>
      </c>
    </row>
    <row r="1057" spans="1:7" ht="21" x14ac:dyDescent="0.25">
      <c r="A1057" s="2" t="str">
        <f>HYPERLINK("https://rth.dk/resources/bsgatlas/details.php?id=BSGatlas-3'UTR-1056","BSGatlas-3'UTR-1056")</f>
        <v>BSGatlas-3'UTR-1056</v>
      </c>
      <c r="B1057" s="3">
        <v>2857726</v>
      </c>
      <c r="C1057" s="3">
        <v>2857776</v>
      </c>
      <c r="D1057" s="1" t="s">
        <v>13</v>
      </c>
      <c r="E1057" s="3">
        <v>51</v>
      </c>
      <c r="F1057" s="1" t="s">
        <v>14477</v>
      </c>
      <c r="G1057" s="1" t="s">
        <v>9066</v>
      </c>
    </row>
    <row r="1058" spans="1:7" ht="21" x14ac:dyDescent="0.25">
      <c r="A1058" s="2" t="str">
        <f>HYPERLINK("https://rth.dk/resources/bsgatlas/details.php?id=BSGatlas-3'UTR-1057","BSGatlas-3'UTR-1057")</f>
        <v>BSGatlas-3'UTR-1057</v>
      </c>
      <c r="B1058" s="3">
        <v>2861765</v>
      </c>
      <c r="C1058" s="3">
        <v>2861840</v>
      </c>
      <c r="D1058" s="1" t="s">
        <v>13</v>
      </c>
      <c r="E1058" s="3">
        <v>76</v>
      </c>
      <c r="F1058" s="1" t="s">
        <v>14478</v>
      </c>
      <c r="G1058" s="1" t="s">
        <v>9072</v>
      </c>
    </row>
    <row r="1059" spans="1:7" ht="21" x14ac:dyDescent="0.25">
      <c r="A1059" s="2" t="str">
        <f>HYPERLINK("https://rth.dk/resources/bsgatlas/details.php?id=BSGatlas-3'UTR-1058","BSGatlas-3'UTR-1058")</f>
        <v>BSGatlas-3'UTR-1058</v>
      </c>
      <c r="B1059" s="3">
        <v>2863270</v>
      </c>
      <c r="C1059" s="3">
        <v>2863294</v>
      </c>
      <c r="D1059" s="1" t="s">
        <v>13</v>
      </c>
      <c r="E1059" s="3">
        <v>25</v>
      </c>
      <c r="F1059" s="1" t="s">
        <v>13327</v>
      </c>
      <c r="G1059" s="1" t="s">
        <v>9075</v>
      </c>
    </row>
    <row r="1060" spans="1:7" ht="21" x14ac:dyDescent="0.25">
      <c r="A1060" s="2" t="str">
        <f>HYPERLINK("https://rth.dk/resources/bsgatlas/details.php?id=BSGatlas-3'UTR-1059","BSGatlas-3'UTR-1059")</f>
        <v>BSGatlas-3'UTR-1059</v>
      </c>
      <c r="B1060" s="3">
        <v>2864358</v>
      </c>
      <c r="C1060" s="3">
        <v>2864426</v>
      </c>
      <c r="D1060" s="1" t="s">
        <v>13</v>
      </c>
      <c r="E1060" s="3">
        <v>69</v>
      </c>
      <c r="F1060" s="1" t="s">
        <v>13328</v>
      </c>
      <c r="G1060" s="1" t="s">
        <v>9077</v>
      </c>
    </row>
    <row r="1061" spans="1:7" ht="21" x14ac:dyDescent="0.25">
      <c r="A1061" s="2" t="str">
        <f>HYPERLINK("https://rth.dk/resources/bsgatlas/details.php?id=BSGatlas-3'UTR-1060","BSGatlas-3'UTR-1060")</f>
        <v>BSGatlas-3'UTR-1060</v>
      </c>
      <c r="B1061" s="3">
        <v>2865257</v>
      </c>
      <c r="C1061" s="3">
        <v>2865312</v>
      </c>
      <c r="D1061" s="1" t="s">
        <v>13</v>
      </c>
      <c r="E1061" s="3">
        <v>56</v>
      </c>
      <c r="F1061" s="1" t="s">
        <v>14479</v>
      </c>
      <c r="G1061" s="1" t="s">
        <v>9080</v>
      </c>
    </row>
    <row r="1062" spans="1:7" ht="21" x14ac:dyDescent="0.25">
      <c r="A1062" s="2" t="str">
        <f>HYPERLINK("https://rth.dk/resources/bsgatlas/details.php?id=BSGatlas-3'UTR-1061","BSGatlas-3'UTR-1061")</f>
        <v>BSGatlas-3'UTR-1061</v>
      </c>
      <c r="B1062" s="3">
        <v>2866616</v>
      </c>
      <c r="C1062" s="3">
        <v>2866664</v>
      </c>
      <c r="D1062" s="1" t="s">
        <v>13</v>
      </c>
      <c r="E1062" s="3">
        <v>49</v>
      </c>
      <c r="F1062" s="1" t="s">
        <v>13329</v>
      </c>
      <c r="G1062" s="1" t="s">
        <v>9082</v>
      </c>
    </row>
    <row r="1063" spans="1:7" ht="21" x14ac:dyDescent="0.25">
      <c r="A1063" s="2" t="str">
        <f>HYPERLINK("https://rth.dk/resources/bsgatlas/details.php?id=BSGatlas-3'UTR-1062","BSGatlas-3'UTR-1062")</f>
        <v>BSGatlas-3'UTR-1062</v>
      </c>
      <c r="B1063" s="3">
        <v>2869335</v>
      </c>
      <c r="C1063" s="3">
        <v>2869365</v>
      </c>
      <c r="D1063" s="1" t="s">
        <v>13</v>
      </c>
      <c r="E1063" s="3">
        <v>31</v>
      </c>
      <c r="F1063" s="1" t="s">
        <v>14480</v>
      </c>
      <c r="G1063" s="1" t="s">
        <v>9083</v>
      </c>
    </row>
    <row r="1064" spans="1:7" ht="21" x14ac:dyDescent="0.25">
      <c r="A1064" s="2" t="str">
        <f>HYPERLINK("https://rth.dk/resources/bsgatlas/details.php?id=BSGatlas-3'UTR-1063","BSGatlas-3'UTR-1063")</f>
        <v>BSGatlas-3'UTR-1063</v>
      </c>
      <c r="B1064" s="3">
        <v>2872830</v>
      </c>
      <c r="C1064" s="3">
        <v>2872880</v>
      </c>
      <c r="D1064" s="1" t="s">
        <v>13</v>
      </c>
      <c r="E1064" s="3">
        <v>51</v>
      </c>
      <c r="F1064" s="1" t="s">
        <v>14481</v>
      </c>
      <c r="G1064" s="1" t="s">
        <v>9090</v>
      </c>
    </row>
    <row r="1065" spans="1:7" ht="21" x14ac:dyDescent="0.25">
      <c r="A1065" s="2" t="str">
        <f>HYPERLINK("https://rth.dk/resources/bsgatlas/details.php?id=BSGatlas-3'UTR-1064","BSGatlas-3'UTR-1064")</f>
        <v>BSGatlas-3'UTR-1064</v>
      </c>
      <c r="B1065" s="3">
        <v>2879852</v>
      </c>
      <c r="C1065" s="3">
        <v>2879882</v>
      </c>
      <c r="D1065" s="1" t="s">
        <v>13</v>
      </c>
      <c r="E1065" s="3">
        <v>31</v>
      </c>
      <c r="F1065" s="1" t="s">
        <v>14482</v>
      </c>
      <c r="G1065" s="1" t="s">
        <v>9098</v>
      </c>
    </row>
    <row r="1066" spans="1:7" ht="21" x14ac:dyDescent="0.25">
      <c r="A1066" s="2" t="str">
        <f>HYPERLINK("https://rth.dk/resources/bsgatlas/details.php?id=BSGatlas-3'UTR-1065","BSGatlas-3'UTR-1065")</f>
        <v>BSGatlas-3'UTR-1065</v>
      </c>
      <c r="B1066" s="3">
        <v>2879860</v>
      </c>
      <c r="C1066" s="3">
        <v>2879903</v>
      </c>
      <c r="D1066" s="1" t="s">
        <v>9</v>
      </c>
      <c r="E1066" s="3">
        <v>44</v>
      </c>
      <c r="F1066" s="1" t="s">
        <v>13333</v>
      </c>
      <c r="G1066" s="1" t="s">
        <v>9095</v>
      </c>
    </row>
    <row r="1067" spans="1:7" ht="21" x14ac:dyDescent="0.25">
      <c r="A1067" s="2" t="str">
        <f>HYPERLINK("https://rth.dk/resources/bsgatlas/details.php?id=BSGatlas-3'UTR-1066","BSGatlas-3'UTR-1066")</f>
        <v>BSGatlas-3'UTR-1066</v>
      </c>
      <c r="B1067" s="3">
        <v>2882936</v>
      </c>
      <c r="C1067" s="3">
        <v>2882971</v>
      </c>
      <c r="D1067" s="1" t="s">
        <v>13</v>
      </c>
      <c r="E1067" s="3">
        <v>36</v>
      </c>
      <c r="F1067" s="1" t="s">
        <v>13335</v>
      </c>
      <c r="G1067" s="1" t="s">
        <v>9101</v>
      </c>
    </row>
    <row r="1068" spans="1:7" ht="21" x14ac:dyDescent="0.25">
      <c r="A1068" s="2" t="str">
        <f>HYPERLINK("https://rth.dk/resources/bsgatlas/details.php?id=BSGatlas-3'UTR-1067","BSGatlas-3'UTR-1067")</f>
        <v>BSGatlas-3'UTR-1067</v>
      </c>
      <c r="B1068" s="3">
        <v>2884727</v>
      </c>
      <c r="C1068" s="3">
        <v>2884781</v>
      </c>
      <c r="D1068" s="1" t="s">
        <v>13</v>
      </c>
      <c r="E1068" s="3">
        <v>55</v>
      </c>
      <c r="F1068" s="1" t="s">
        <v>13336</v>
      </c>
      <c r="G1068" s="1" t="s">
        <v>9103</v>
      </c>
    </row>
    <row r="1069" spans="1:7" ht="21" x14ac:dyDescent="0.25">
      <c r="A1069" s="2" t="str">
        <f>HYPERLINK("https://rth.dk/resources/bsgatlas/details.php?id=BSGatlas-3'UTR-1068","BSGatlas-3'UTR-1068")</f>
        <v>BSGatlas-3'UTR-1068</v>
      </c>
      <c r="B1069" s="3">
        <v>2886263</v>
      </c>
      <c r="C1069" s="3">
        <v>2886315</v>
      </c>
      <c r="D1069" s="1" t="s">
        <v>13</v>
      </c>
      <c r="E1069" s="3">
        <v>53</v>
      </c>
      <c r="F1069" s="1" t="s">
        <v>13337</v>
      </c>
      <c r="G1069" s="1" t="s">
        <v>9105</v>
      </c>
    </row>
    <row r="1070" spans="1:7" ht="21" x14ac:dyDescent="0.25">
      <c r="A1070" s="2" t="str">
        <f>HYPERLINK("https://rth.dk/resources/bsgatlas/details.php?id=BSGatlas-3'UTR-1069","BSGatlas-3'UTR-1069")</f>
        <v>BSGatlas-3'UTR-1069</v>
      </c>
      <c r="B1070" s="3">
        <v>2886289</v>
      </c>
      <c r="C1070" s="3">
        <v>2886315</v>
      </c>
      <c r="D1070" s="1" t="s">
        <v>13</v>
      </c>
      <c r="E1070" s="3">
        <v>27</v>
      </c>
      <c r="F1070" s="1" t="s">
        <v>13337</v>
      </c>
      <c r="G1070" s="1" t="s">
        <v>9106</v>
      </c>
    </row>
    <row r="1071" spans="1:7" ht="21" x14ac:dyDescent="0.25">
      <c r="A1071" s="2" t="str">
        <f>HYPERLINK("https://rth.dk/resources/bsgatlas/details.php?id=BSGatlas-3'UTR-1070","BSGatlas-3'UTR-1070")</f>
        <v>BSGatlas-3'UTR-1070</v>
      </c>
      <c r="B1071" s="3">
        <v>2888898</v>
      </c>
      <c r="C1071" s="3">
        <v>2888940</v>
      </c>
      <c r="D1071" s="1" t="s">
        <v>13</v>
      </c>
      <c r="E1071" s="3">
        <v>43</v>
      </c>
      <c r="F1071" s="1" t="s">
        <v>14483</v>
      </c>
      <c r="G1071" s="1" t="s">
        <v>9110</v>
      </c>
    </row>
    <row r="1072" spans="1:7" ht="21" x14ac:dyDescent="0.25">
      <c r="A1072" s="2" t="str">
        <f>HYPERLINK("https://rth.dk/resources/bsgatlas/details.php?id=BSGatlas-3'UTR-1071","BSGatlas-3'UTR-1071")</f>
        <v>BSGatlas-3'UTR-1071</v>
      </c>
      <c r="B1072" s="3">
        <v>2893519</v>
      </c>
      <c r="C1072" s="3">
        <v>2893681</v>
      </c>
      <c r="D1072" s="1" t="s">
        <v>13</v>
      </c>
      <c r="E1072" s="3">
        <v>163</v>
      </c>
      <c r="F1072" s="1" t="s">
        <v>14484</v>
      </c>
      <c r="G1072" s="1" t="s">
        <v>9115</v>
      </c>
    </row>
    <row r="1073" spans="1:7" ht="21" x14ac:dyDescent="0.25">
      <c r="A1073" s="2" t="str">
        <f>HYPERLINK("https://rth.dk/resources/bsgatlas/details.php?id=BSGatlas-3'UTR-1072","BSGatlas-3'UTR-1072")</f>
        <v>BSGatlas-3'UTR-1072</v>
      </c>
      <c r="B1073" s="3">
        <v>2897037</v>
      </c>
      <c r="C1073" s="3">
        <v>2897093</v>
      </c>
      <c r="D1073" s="1" t="s">
        <v>13</v>
      </c>
      <c r="E1073" s="3">
        <v>57</v>
      </c>
      <c r="F1073" s="1" t="s">
        <v>14485</v>
      </c>
      <c r="G1073" s="1" t="s">
        <v>9116</v>
      </c>
    </row>
    <row r="1074" spans="1:7" ht="21" x14ac:dyDescent="0.25">
      <c r="A1074" s="2" t="str">
        <f>HYPERLINK("https://rth.dk/resources/bsgatlas/details.php?id=BSGatlas-3'UTR-1073","BSGatlas-3'UTR-1073")</f>
        <v>BSGatlas-3'UTR-1073</v>
      </c>
      <c r="B1074" s="3">
        <v>2898123</v>
      </c>
      <c r="C1074" s="3">
        <v>2898173</v>
      </c>
      <c r="D1074" s="1" t="s">
        <v>9</v>
      </c>
      <c r="E1074" s="3">
        <v>51</v>
      </c>
      <c r="F1074" s="1" t="s">
        <v>13341</v>
      </c>
      <c r="G1074" s="1" t="s">
        <v>9119</v>
      </c>
    </row>
    <row r="1075" spans="1:7" ht="21" x14ac:dyDescent="0.25">
      <c r="A1075" s="2" t="str">
        <f>HYPERLINK("https://rth.dk/resources/bsgatlas/details.php?id=BSGatlas-3'UTR-1074","BSGatlas-3'UTR-1074")</f>
        <v>BSGatlas-3'UTR-1074</v>
      </c>
      <c r="B1075" s="3">
        <v>2898747</v>
      </c>
      <c r="C1075" s="3">
        <v>2898813</v>
      </c>
      <c r="D1075" s="1" t="s">
        <v>9</v>
      </c>
      <c r="E1075" s="3">
        <v>67</v>
      </c>
      <c r="F1075" s="1" t="s">
        <v>13342</v>
      </c>
      <c r="G1075" s="1" t="s">
        <v>9121</v>
      </c>
    </row>
    <row r="1076" spans="1:7" ht="21" x14ac:dyDescent="0.25">
      <c r="A1076" s="2" t="str">
        <f>HYPERLINK("https://rth.dk/resources/bsgatlas/details.php?id=BSGatlas-3'UTR-1075","BSGatlas-3'UTR-1075")</f>
        <v>BSGatlas-3'UTR-1075</v>
      </c>
      <c r="B1076" s="3">
        <v>2899752</v>
      </c>
      <c r="C1076" s="3">
        <v>2899767</v>
      </c>
      <c r="D1076" s="1" t="s">
        <v>9</v>
      </c>
      <c r="E1076" s="3">
        <v>16</v>
      </c>
      <c r="F1076" s="1" t="s">
        <v>13343</v>
      </c>
      <c r="G1076" s="1" t="s">
        <v>9123</v>
      </c>
    </row>
    <row r="1077" spans="1:7" ht="21" x14ac:dyDescent="0.25">
      <c r="A1077" s="2" t="str">
        <f>HYPERLINK("https://rth.dk/resources/bsgatlas/details.php?id=BSGatlas-3'UTR-1076","BSGatlas-3'UTR-1076")</f>
        <v>BSGatlas-3'UTR-1076</v>
      </c>
      <c r="B1077" s="3">
        <v>2899752</v>
      </c>
      <c r="C1077" s="3">
        <v>2899816</v>
      </c>
      <c r="D1077" s="1" t="s">
        <v>9</v>
      </c>
      <c r="E1077" s="3">
        <v>65</v>
      </c>
      <c r="F1077" s="1" t="s">
        <v>13343</v>
      </c>
      <c r="G1077" s="1" t="s">
        <v>9124</v>
      </c>
    </row>
    <row r="1078" spans="1:7" ht="21" x14ac:dyDescent="0.25">
      <c r="A1078" s="2" t="str">
        <f>HYPERLINK("https://rth.dk/resources/bsgatlas/details.php?id=BSGatlas-3'UTR-1077","BSGatlas-3'UTR-1077")</f>
        <v>BSGatlas-3'UTR-1077</v>
      </c>
      <c r="B1078" s="3">
        <v>2901935</v>
      </c>
      <c r="C1078" s="3">
        <v>2902002</v>
      </c>
      <c r="D1078" s="1" t="s">
        <v>13</v>
      </c>
      <c r="E1078" s="3">
        <v>68</v>
      </c>
      <c r="F1078" s="1" t="s">
        <v>13346</v>
      </c>
      <c r="G1078" s="1" t="s">
        <v>9131</v>
      </c>
    </row>
    <row r="1079" spans="1:7" ht="21" x14ac:dyDescent="0.25">
      <c r="A1079" s="2" t="str">
        <f>HYPERLINK("https://rth.dk/resources/bsgatlas/details.php?id=BSGatlas-3'UTR-1078","BSGatlas-3'UTR-1078")</f>
        <v>BSGatlas-3'UTR-1078</v>
      </c>
      <c r="B1079" s="3">
        <v>2904677</v>
      </c>
      <c r="C1079" s="3">
        <v>2904727</v>
      </c>
      <c r="D1079" s="1" t="s">
        <v>13</v>
      </c>
      <c r="E1079" s="3">
        <v>51</v>
      </c>
      <c r="F1079" s="1" t="s">
        <v>13348</v>
      </c>
      <c r="G1079" s="1" t="s">
        <v>9137</v>
      </c>
    </row>
    <row r="1080" spans="1:7" ht="21" x14ac:dyDescent="0.25">
      <c r="A1080" s="2" t="str">
        <f>HYPERLINK("https://rth.dk/resources/bsgatlas/details.php?id=BSGatlas-3'UTR-1079","BSGatlas-3'UTR-1079")</f>
        <v>BSGatlas-3'UTR-1079</v>
      </c>
      <c r="B1080" s="3">
        <v>2905526</v>
      </c>
      <c r="C1080" s="3">
        <v>2905571</v>
      </c>
      <c r="D1080" s="1" t="s">
        <v>13</v>
      </c>
      <c r="E1080" s="3">
        <v>46</v>
      </c>
      <c r="F1080" s="1" t="s">
        <v>14486</v>
      </c>
      <c r="G1080" s="1" t="s">
        <v>9140</v>
      </c>
    </row>
    <row r="1081" spans="1:7" ht="21" x14ac:dyDescent="0.25">
      <c r="A1081" s="2" t="str">
        <f>HYPERLINK("https://rth.dk/resources/bsgatlas/details.php?id=BSGatlas-3'UTR-1080","BSGatlas-3'UTR-1080")</f>
        <v>BSGatlas-3'UTR-1080</v>
      </c>
      <c r="B1081" s="3">
        <v>2909469</v>
      </c>
      <c r="C1081" s="3">
        <v>2909520</v>
      </c>
      <c r="D1081" s="1" t="s">
        <v>13</v>
      </c>
      <c r="E1081" s="3">
        <v>52</v>
      </c>
      <c r="F1081" s="1" t="s">
        <v>13351</v>
      </c>
      <c r="G1081" s="1" t="s">
        <v>9146</v>
      </c>
    </row>
    <row r="1082" spans="1:7" ht="21" x14ac:dyDescent="0.25">
      <c r="A1082" s="2" t="str">
        <f>HYPERLINK("https://rth.dk/resources/bsgatlas/details.php?id=BSGatlas-3'UTR-1081","BSGatlas-3'UTR-1081")</f>
        <v>BSGatlas-3'UTR-1081</v>
      </c>
      <c r="B1082" s="3">
        <v>2909469</v>
      </c>
      <c r="C1082" s="3">
        <v>2909520</v>
      </c>
      <c r="D1082" s="1" t="s">
        <v>13</v>
      </c>
      <c r="E1082" s="3">
        <v>52</v>
      </c>
      <c r="F1082" s="1" t="s">
        <v>14487</v>
      </c>
      <c r="G1082" s="1" t="s">
        <v>9146</v>
      </c>
    </row>
    <row r="1083" spans="1:7" ht="21" x14ac:dyDescent="0.25">
      <c r="A1083" s="2" t="str">
        <f>HYPERLINK("https://rth.dk/resources/bsgatlas/details.php?id=BSGatlas-3'UTR-1082","BSGatlas-3'UTR-1082")</f>
        <v>BSGatlas-3'UTR-1082</v>
      </c>
      <c r="B1083" s="3">
        <v>2909476</v>
      </c>
      <c r="C1083" s="3">
        <v>2909521</v>
      </c>
      <c r="D1083" s="1" t="s">
        <v>9</v>
      </c>
      <c r="E1083" s="3">
        <v>46</v>
      </c>
      <c r="F1083" s="1" t="s">
        <v>13349</v>
      </c>
      <c r="G1083" s="1" t="s">
        <v>9142</v>
      </c>
    </row>
    <row r="1084" spans="1:7" ht="21" x14ac:dyDescent="0.25">
      <c r="A1084" s="2" t="str">
        <f>HYPERLINK("https://rth.dk/resources/bsgatlas/details.php?id=BSGatlas-3'UTR-1083","BSGatlas-3'UTR-1083")</f>
        <v>BSGatlas-3'UTR-1083</v>
      </c>
      <c r="B1084" s="3">
        <v>2910801</v>
      </c>
      <c r="C1084" s="3">
        <v>2910871</v>
      </c>
      <c r="D1084" s="1" t="s">
        <v>13</v>
      </c>
      <c r="E1084" s="3">
        <v>71</v>
      </c>
      <c r="F1084" s="1" t="s">
        <v>14488</v>
      </c>
      <c r="G1084" s="1" t="s">
        <v>9148</v>
      </c>
    </row>
    <row r="1085" spans="1:7" ht="21" x14ac:dyDescent="0.25">
      <c r="A1085" s="2" t="str">
        <f>HYPERLINK("https://rth.dk/resources/bsgatlas/details.php?id=BSGatlas-3'UTR-1084","BSGatlas-3'UTR-1084")</f>
        <v>BSGatlas-3'UTR-1084</v>
      </c>
      <c r="B1085" s="3">
        <v>2912964</v>
      </c>
      <c r="C1085" s="3">
        <v>2913024</v>
      </c>
      <c r="D1085" s="1" t="s">
        <v>13</v>
      </c>
      <c r="E1085" s="3">
        <v>61</v>
      </c>
      <c r="F1085" s="1" t="s">
        <v>13353</v>
      </c>
      <c r="G1085" s="1" t="s">
        <v>9151</v>
      </c>
    </row>
    <row r="1086" spans="1:7" ht="21" x14ac:dyDescent="0.25">
      <c r="A1086" s="2" t="str">
        <f>HYPERLINK("https://rth.dk/resources/bsgatlas/details.php?id=BSGatlas-3'UTR-1085","BSGatlas-3'UTR-1085")</f>
        <v>BSGatlas-3'UTR-1085</v>
      </c>
      <c r="B1086" s="3">
        <v>2913611</v>
      </c>
      <c r="C1086" s="3">
        <v>2913661</v>
      </c>
      <c r="D1086" s="1" t="s">
        <v>13</v>
      </c>
      <c r="E1086" s="3">
        <v>51</v>
      </c>
      <c r="F1086" s="1" t="s">
        <v>13354</v>
      </c>
      <c r="G1086" s="1" t="s">
        <v>9154</v>
      </c>
    </row>
    <row r="1087" spans="1:7" ht="21" x14ac:dyDescent="0.25">
      <c r="A1087" s="2" t="str">
        <f>HYPERLINK("https://rth.dk/resources/bsgatlas/details.php?id=BSGatlas-3'UTR-1086","BSGatlas-3'UTR-1086")</f>
        <v>BSGatlas-3'UTR-1086</v>
      </c>
      <c r="B1087" s="3">
        <v>2915322</v>
      </c>
      <c r="C1087" s="3">
        <v>2915365</v>
      </c>
      <c r="D1087" s="1" t="s">
        <v>13</v>
      </c>
      <c r="E1087" s="3">
        <v>44</v>
      </c>
      <c r="F1087" s="1" t="s">
        <v>14489</v>
      </c>
      <c r="G1087" s="1" t="s">
        <v>9157</v>
      </c>
    </row>
    <row r="1088" spans="1:7" ht="21" x14ac:dyDescent="0.25">
      <c r="A1088" s="2" t="str">
        <f>HYPERLINK("https://rth.dk/resources/bsgatlas/details.php?id=BSGatlas-3'UTR-1087","BSGatlas-3'UTR-1087")</f>
        <v>BSGatlas-3'UTR-1087</v>
      </c>
      <c r="B1088" s="3">
        <v>2920384</v>
      </c>
      <c r="C1088" s="3">
        <v>2920517</v>
      </c>
      <c r="D1088" s="1" t="s">
        <v>13</v>
      </c>
      <c r="E1088" s="3">
        <v>134</v>
      </c>
      <c r="F1088" s="1" t="s">
        <v>14490</v>
      </c>
      <c r="G1088" s="1" t="s">
        <v>9160</v>
      </c>
    </row>
    <row r="1089" spans="1:7" ht="21" x14ac:dyDescent="0.25">
      <c r="A1089" s="2" t="str">
        <f>HYPERLINK("https://rth.dk/resources/bsgatlas/details.php?id=BSGatlas-3'UTR-1088","BSGatlas-3'UTR-1088")</f>
        <v>BSGatlas-3'UTR-1088</v>
      </c>
      <c r="B1089" s="3">
        <v>2920431</v>
      </c>
      <c r="C1089" s="3">
        <v>2920517</v>
      </c>
      <c r="D1089" s="1" t="s">
        <v>13</v>
      </c>
      <c r="E1089" s="3">
        <v>87</v>
      </c>
      <c r="F1089" s="1" t="s">
        <v>14490</v>
      </c>
      <c r="G1089" s="1" t="s">
        <v>9164</v>
      </c>
    </row>
    <row r="1090" spans="1:7" ht="21" x14ac:dyDescent="0.25">
      <c r="A1090" s="2" t="str">
        <f>HYPERLINK("https://rth.dk/resources/bsgatlas/details.php?id=BSGatlas-3'UTR-1089","BSGatlas-3'UTR-1089")</f>
        <v>BSGatlas-3'UTR-1089</v>
      </c>
      <c r="B1090" s="3">
        <v>2920497</v>
      </c>
      <c r="C1090" s="3">
        <v>2920517</v>
      </c>
      <c r="D1090" s="1" t="s">
        <v>13</v>
      </c>
      <c r="E1090" s="3">
        <v>21</v>
      </c>
      <c r="F1090" s="1" t="s">
        <v>14490</v>
      </c>
      <c r="G1090" s="1" t="s">
        <v>9165</v>
      </c>
    </row>
    <row r="1091" spans="1:7" ht="21" x14ac:dyDescent="0.25">
      <c r="A1091" s="2" t="str">
        <f>HYPERLINK("https://rth.dk/resources/bsgatlas/details.php?id=BSGatlas-3'UTR-1090","BSGatlas-3'UTR-1090")</f>
        <v>BSGatlas-3'UTR-1090</v>
      </c>
      <c r="B1091" s="3">
        <v>2925061</v>
      </c>
      <c r="C1091" s="3">
        <v>2925100</v>
      </c>
      <c r="D1091" s="1" t="s">
        <v>13</v>
      </c>
      <c r="E1091" s="3">
        <v>40</v>
      </c>
      <c r="F1091" s="1" t="s">
        <v>14491</v>
      </c>
      <c r="G1091" s="1" t="s">
        <v>9166</v>
      </c>
    </row>
    <row r="1092" spans="1:7" ht="21" x14ac:dyDescent="0.25">
      <c r="A1092" s="2" t="str">
        <f>HYPERLINK("https://rth.dk/resources/bsgatlas/details.php?id=BSGatlas-3'UTR-1091","BSGatlas-3'UTR-1091")</f>
        <v>BSGatlas-3'UTR-1091</v>
      </c>
      <c r="B1092" s="3">
        <v>2926964</v>
      </c>
      <c r="C1092" s="3">
        <v>2927008</v>
      </c>
      <c r="D1092" s="1" t="s">
        <v>13</v>
      </c>
      <c r="E1092" s="3">
        <v>45</v>
      </c>
      <c r="F1092" s="1" t="s">
        <v>14492</v>
      </c>
      <c r="G1092" s="1" t="s">
        <v>9170</v>
      </c>
    </row>
    <row r="1093" spans="1:7" ht="21" x14ac:dyDescent="0.25">
      <c r="A1093" s="2" t="str">
        <f>HYPERLINK("https://rth.dk/resources/bsgatlas/details.php?id=BSGatlas-3'UTR-1092","BSGatlas-3'UTR-1092")</f>
        <v>BSGatlas-3'UTR-1092</v>
      </c>
      <c r="B1093" s="3">
        <v>2926972</v>
      </c>
      <c r="C1093" s="3">
        <v>2927015</v>
      </c>
      <c r="D1093" s="1" t="s">
        <v>9</v>
      </c>
      <c r="E1093" s="3">
        <v>44</v>
      </c>
      <c r="F1093" s="1" t="s">
        <v>13358</v>
      </c>
      <c r="G1093" s="1" t="s">
        <v>9169</v>
      </c>
    </row>
    <row r="1094" spans="1:7" ht="21" x14ac:dyDescent="0.25">
      <c r="A1094" s="2" t="str">
        <f>HYPERLINK("https://rth.dk/resources/bsgatlas/details.php?id=BSGatlas-3'UTR-1093","BSGatlas-3'UTR-1093")</f>
        <v>BSGatlas-3'UTR-1093</v>
      </c>
      <c r="B1094" s="3">
        <v>2931907</v>
      </c>
      <c r="C1094" s="3">
        <v>2931949</v>
      </c>
      <c r="D1094" s="1" t="s">
        <v>9</v>
      </c>
      <c r="E1094" s="3">
        <v>43</v>
      </c>
      <c r="F1094" s="1" t="s">
        <v>13361</v>
      </c>
      <c r="G1094" s="1" t="s">
        <v>9177</v>
      </c>
    </row>
    <row r="1095" spans="1:7" ht="21" x14ac:dyDescent="0.25">
      <c r="A1095" s="2" t="str">
        <f>HYPERLINK("https://rth.dk/resources/bsgatlas/details.php?id=BSGatlas-3'UTR-1094","BSGatlas-3'UTR-1094")</f>
        <v>BSGatlas-3'UTR-1094</v>
      </c>
      <c r="B1095" s="3">
        <v>2935918</v>
      </c>
      <c r="C1095" s="3">
        <v>2935967</v>
      </c>
      <c r="D1095" s="1" t="s">
        <v>13</v>
      </c>
      <c r="E1095" s="3">
        <v>50</v>
      </c>
      <c r="F1095" s="1" t="s">
        <v>14493</v>
      </c>
      <c r="G1095" s="1" t="s">
        <v>9184</v>
      </c>
    </row>
    <row r="1096" spans="1:7" ht="21" x14ac:dyDescent="0.25">
      <c r="A1096" s="2" t="str">
        <f>HYPERLINK("https://rth.dk/resources/bsgatlas/details.php?id=BSGatlas-3'UTR-1095","BSGatlas-3'UTR-1095")</f>
        <v>BSGatlas-3'UTR-1095</v>
      </c>
      <c r="B1096" s="3">
        <v>2935928</v>
      </c>
      <c r="C1096" s="3">
        <v>2935972</v>
      </c>
      <c r="D1096" s="1" t="s">
        <v>9</v>
      </c>
      <c r="E1096" s="3">
        <v>45</v>
      </c>
      <c r="F1096" s="1" t="s">
        <v>14494</v>
      </c>
      <c r="G1096" s="1" t="s">
        <v>9183</v>
      </c>
    </row>
    <row r="1097" spans="1:7" ht="21" x14ac:dyDescent="0.25">
      <c r="A1097" s="2" t="str">
        <f>HYPERLINK("https://rth.dk/resources/bsgatlas/details.php?id=BSGatlas-3'UTR-1096","BSGatlas-3'UTR-1096")</f>
        <v>BSGatlas-3'UTR-1096</v>
      </c>
      <c r="B1097" s="3">
        <v>2938285</v>
      </c>
      <c r="C1097" s="3">
        <v>2938330</v>
      </c>
      <c r="D1097" s="1" t="s">
        <v>13</v>
      </c>
      <c r="E1097" s="3">
        <v>46</v>
      </c>
      <c r="F1097" s="1" t="s">
        <v>13366</v>
      </c>
      <c r="G1097" s="1" t="s">
        <v>9190</v>
      </c>
    </row>
    <row r="1098" spans="1:7" ht="21" x14ac:dyDescent="0.25">
      <c r="A1098" s="2" t="str">
        <f>HYPERLINK("https://rth.dk/resources/bsgatlas/details.php?id=BSGatlas-3'UTR-1097","BSGatlas-3'UTR-1097")</f>
        <v>BSGatlas-3'UTR-1097</v>
      </c>
      <c r="B1098" s="3">
        <v>2939681</v>
      </c>
      <c r="C1098" s="3">
        <v>2939851</v>
      </c>
      <c r="D1098" s="1" t="s">
        <v>13</v>
      </c>
      <c r="E1098" s="3">
        <v>171</v>
      </c>
      <c r="F1098" s="1" t="s">
        <v>14495</v>
      </c>
      <c r="G1098" s="1" t="s">
        <v>9194</v>
      </c>
    </row>
    <row r="1099" spans="1:7" ht="21" x14ac:dyDescent="0.25">
      <c r="A1099" s="2" t="str">
        <f>HYPERLINK("https://rth.dk/resources/bsgatlas/details.php?id=BSGatlas-3'UTR-1098","BSGatlas-3'UTR-1098")</f>
        <v>BSGatlas-3'UTR-1098</v>
      </c>
      <c r="B1099" s="3">
        <v>2949025</v>
      </c>
      <c r="C1099" s="3">
        <v>2949053</v>
      </c>
      <c r="D1099" s="1" t="s">
        <v>13</v>
      </c>
      <c r="E1099" s="3">
        <v>29</v>
      </c>
      <c r="F1099" s="1" t="s">
        <v>13368</v>
      </c>
      <c r="G1099" s="1" t="s">
        <v>9196</v>
      </c>
    </row>
    <row r="1100" spans="1:7" ht="21" x14ac:dyDescent="0.25">
      <c r="A1100" s="2" t="str">
        <f>HYPERLINK("https://rth.dk/resources/bsgatlas/details.php?id=BSGatlas-3'UTR-1099","BSGatlas-3'UTR-1099")</f>
        <v>BSGatlas-3'UTR-1099</v>
      </c>
      <c r="B1100" s="3">
        <v>2951853</v>
      </c>
      <c r="C1100" s="3">
        <v>2951898</v>
      </c>
      <c r="D1100" s="1" t="s">
        <v>13</v>
      </c>
      <c r="E1100" s="3">
        <v>46</v>
      </c>
      <c r="F1100" s="1" t="s">
        <v>14496</v>
      </c>
      <c r="G1100" s="1" t="s">
        <v>9204</v>
      </c>
    </row>
    <row r="1101" spans="1:7" ht="21" x14ac:dyDescent="0.25">
      <c r="A1101" s="2" t="str">
        <f>HYPERLINK("https://rth.dk/resources/bsgatlas/details.php?id=BSGatlas-3'UTR-1100","BSGatlas-3'UTR-1100")</f>
        <v>BSGatlas-3'UTR-1100</v>
      </c>
      <c r="B1101" s="3">
        <v>2951882</v>
      </c>
      <c r="C1101" s="3">
        <v>2951901</v>
      </c>
      <c r="D1101" s="1" t="s">
        <v>9</v>
      </c>
      <c r="E1101" s="3">
        <v>20</v>
      </c>
      <c r="F1101" s="1" t="s">
        <v>13370</v>
      </c>
      <c r="G1101" s="1" t="s">
        <v>9200</v>
      </c>
    </row>
    <row r="1102" spans="1:7" ht="21" x14ac:dyDescent="0.25">
      <c r="A1102" s="2" t="str">
        <f>HYPERLINK("https://rth.dk/resources/bsgatlas/details.php?id=BSGatlas-3'UTR-1101","BSGatlas-3'UTR-1101")</f>
        <v>BSGatlas-3'UTR-1101</v>
      </c>
      <c r="B1102" s="3">
        <v>2951882</v>
      </c>
      <c r="C1102" s="3">
        <v>2952183</v>
      </c>
      <c r="D1102" s="1" t="s">
        <v>9</v>
      </c>
      <c r="E1102" s="3">
        <v>302</v>
      </c>
      <c r="F1102" s="1" t="s">
        <v>13370</v>
      </c>
      <c r="G1102" s="1" t="s">
        <v>9201</v>
      </c>
    </row>
    <row r="1103" spans="1:7" ht="21" x14ac:dyDescent="0.25">
      <c r="A1103" s="2" t="str">
        <f>HYPERLINK("https://rth.dk/resources/bsgatlas/details.php?id=BSGatlas-3'UTR-1102","BSGatlas-3'UTR-1102")</f>
        <v>BSGatlas-3'UTR-1102</v>
      </c>
      <c r="B1103" s="3">
        <v>2952061</v>
      </c>
      <c r="C1103" s="3">
        <v>2952224</v>
      </c>
      <c r="D1103" s="1" t="s">
        <v>13</v>
      </c>
      <c r="E1103" s="3">
        <v>164</v>
      </c>
      <c r="F1103" s="1" t="s">
        <v>14497</v>
      </c>
      <c r="G1103" s="1" t="s">
        <v>9207</v>
      </c>
    </row>
    <row r="1104" spans="1:7" ht="21" x14ac:dyDescent="0.25">
      <c r="A1104" s="2" t="str">
        <f>HYPERLINK("https://rth.dk/resources/bsgatlas/details.php?id=BSGatlas-3'UTR-1103","BSGatlas-3'UTR-1103")</f>
        <v>BSGatlas-3'UTR-1103</v>
      </c>
      <c r="B1104" s="3">
        <v>2952179</v>
      </c>
      <c r="C1104" s="3">
        <v>2952224</v>
      </c>
      <c r="D1104" s="1" t="s">
        <v>13</v>
      </c>
      <c r="E1104" s="3">
        <v>46</v>
      </c>
      <c r="F1104" s="1" t="s">
        <v>14497</v>
      </c>
      <c r="G1104" s="1" t="s">
        <v>9208</v>
      </c>
    </row>
    <row r="1105" spans="1:7" ht="21" x14ac:dyDescent="0.25">
      <c r="A1105" s="2" t="str">
        <f>HYPERLINK("https://rth.dk/resources/bsgatlas/details.php?id=BSGatlas-3'UTR-1104","BSGatlas-3'UTR-1104")</f>
        <v>BSGatlas-3'UTR-1104</v>
      </c>
      <c r="B1105" s="3">
        <v>2954456</v>
      </c>
      <c r="C1105" s="3">
        <v>2954492</v>
      </c>
      <c r="D1105" s="1" t="s">
        <v>13</v>
      </c>
      <c r="E1105" s="3">
        <v>37</v>
      </c>
      <c r="F1105" s="1" t="s">
        <v>14498</v>
      </c>
      <c r="G1105" s="1" t="s">
        <v>9213</v>
      </c>
    </row>
    <row r="1106" spans="1:7" ht="21" x14ac:dyDescent="0.25">
      <c r="A1106" s="2" t="str">
        <f>HYPERLINK("https://rth.dk/resources/bsgatlas/details.php?id=BSGatlas-3'UTR-1105","BSGatlas-3'UTR-1105")</f>
        <v>BSGatlas-3'UTR-1105</v>
      </c>
      <c r="B1106" s="3">
        <v>2954460</v>
      </c>
      <c r="C1106" s="3">
        <v>2954506</v>
      </c>
      <c r="D1106" s="1" t="s">
        <v>9</v>
      </c>
      <c r="E1106" s="3">
        <v>47</v>
      </c>
      <c r="F1106" s="1" t="s">
        <v>13372</v>
      </c>
      <c r="G1106" s="1" t="s">
        <v>9212</v>
      </c>
    </row>
    <row r="1107" spans="1:7" ht="21" x14ac:dyDescent="0.25">
      <c r="A1107" s="2" t="str">
        <f>HYPERLINK("https://rth.dk/resources/bsgatlas/details.php?id=BSGatlas-3'UTR-1106","BSGatlas-3'UTR-1106")</f>
        <v>BSGatlas-3'UTR-1106</v>
      </c>
      <c r="B1107" s="3">
        <v>2955760</v>
      </c>
      <c r="C1107" s="3">
        <v>2955783</v>
      </c>
      <c r="D1107" s="1" t="s">
        <v>13</v>
      </c>
      <c r="E1107" s="3">
        <v>24</v>
      </c>
      <c r="F1107" s="1" t="s">
        <v>14499</v>
      </c>
      <c r="G1107" s="1" t="s">
        <v>9216</v>
      </c>
    </row>
    <row r="1108" spans="1:7" ht="21" x14ac:dyDescent="0.25">
      <c r="A1108" s="2" t="str">
        <f>HYPERLINK("https://rth.dk/resources/bsgatlas/details.php?id=BSGatlas-3'UTR-1107","BSGatlas-3'UTR-1107")</f>
        <v>BSGatlas-3'UTR-1107</v>
      </c>
      <c r="B1108" s="3">
        <v>2959207</v>
      </c>
      <c r="C1108" s="3">
        <v>2959257</v>
      </c>
      <c r="D1108" s="1" t="s">
        <v>13</v>
      </c>
      <c r="E1108" s="3">
        <v>51</v>
      </c>
      <c r="F1108" s="1" t="s">
        <v>13376</v>
      </c>
      <c r="G1108" s="1" t="s">
        <v>9222</v>
      </c>
    </row>
    <row r="1109" spans="1:7" ht="21" x14ac:dyDescent="0.25">
      <c r="A1109" s="2" t="str">
        <f>HYPERLINK("https://rth.dk/resources/bsgatlas/details.php?id=BSGatlas-3'UTR-1108","BSGatlas-3'UTR-1108")</f>
        <v>BSGatlas-3'UTR-1108</v>
      </c>
      <c r="B1109" s="3">
        <v>2959216</v>
      </c>
      <c r="C1109" s="3">
        <v>2959262</v>
      </c>
      <c r="D1109" s="1" t="s">
        <v>9</v>
      </c>
      <c r="E1109" s="3">
        <v>47</v>
      </c>
      <c r="F1109" s="1" t="s">
        <v>13375</v>
      </c>
      <c r="G1109" s="1" t="s">
        <v>9220</v>
      </c>
    </row>
    <row r="1110" spans="1:7" ht="21" x14ac:dyDescent="0.25">
      <c r="A1110" s="2" t="str">
        <f>HYPERLINK("https://rth.dk/resources/bsgatlas/details.php?id=BSGatlas-3'UTR-1109","BSGatlas-3'UTR-1109")</f>
        <v>BSGatlas-3'UTR-1109</v>
      </c>
      <c r="B1110" s="3">
        <v>2961204</v>
      </c>
      <c r="C1110" s="3">
        <v>2961232</v>
      </c>
      <c r="D1110" s="1" t="s">
        <v>13</v>
      </c>
      <c r="E1110" s="3">
        <v>29</v>
      </c>
      <c r="F1110" s="1" t="s">
        <v>14500</v>
      </c>
      <c r="G1110" s="1" t="s">
        <v>9229</v>
      </c>
    </row>
    <row r="1111" spans="1:7" ht="21" x14ac:dyDescent="0.25">
      <c r="A1111" s="2" t="str">
        <f>HYPERLINK("https://rth.dk/resources/bsgatlas/details.php?id=BSGatlas-3'UTR-1110","BSGatlas-3'UTR-1110")</f>
        <v>BSGatlas-3'UTR-1110</v>
      </c>
      <c r="B1111" s="3">
        <v>2965640</v>
      </c>
      <c r="C1111" s="3">
        <v>2965681</v>
      </c>
      <c r="D1111" s="1" t="s">
        <v>13</v>
      </c>
      <c r="E1111" s="3">
        <v>42</v>
      </c>
      <c r="F1111" s="1" t="s">
        <v>13379</v>
      </c>
      <c r="G1111" s="1" t="s">
        <v>9233</v>
      </c>
    </row>
    <row r="1112" spans="1:7" ht="21" x14ac:dyDescent="0.25">
      <c r="A1112" s="2" t="str">
        <f>HYPERLINK("https://rth.dk/resources/bsgatlas/details.php?id=BSGatlas-3'UTR-1111","BSGatlas-3'UTR-1111")</f>
        <v>BSGatlas-3'UTR-1111</v>
      </c>
      <c r="B1112" s="3">
        <v>2966332</v>
      </c>
      <c r="C1112" s="3">
        <v>2966413</v>
      </c>
      <c r="D1112" s="1" t="s">
        <v>13</v>
      </c>
      <c r="E1112" s="3">
        <v>82</v>
      </c>
      <c r="F1112" s="1" t="s">
        <v>13380</v>
      </c>
      <c r="G1112" s="1" t="s">
        <v>9235</v>
      </c>
    </row>
    <row r="1113" spans="1:7" ht="21" x14ac:dyDescent="0.25">
      <c r="A1113" s="2" t="str">
        <f>HYPERLINK("https://rth.dk/resources/bsgatlas/details.php?id=BSGatlas-3'UTR-1112","BSGatlas-3'UTR-1112")</f>
        <v>BSGatlas-3'UTR-1112</v>
      </c>
      <c r="B1113" s="3">
        <v>2970877</v>
      </c>
      <c r="C1113" s="3">
        <v>2970922</v>
      </c>
      <c r="D1113" s="1" t="s">
        <v>13</v>
      </c>
      <c r="E1113" s="3">
        <v>46</v>
      </c>
      <c r="F1113" s="1" t="s">
        <v>14501</v>
      </c>
      <c r="G1113" s="1" t="s">
        <v>9248</v>
      </c>
    </row>
    <row r="1114" spans="1:7" ht="21" x14ac:dyDescent="0.25">
      <c r="A1114" s="2" t="str">
        <f>HYPERLINK("https://rth.dk/resources/bsgatlas/details.php?id=BSGatlas-3'UTR-1113","BSGatlas-3'UTR-1113")</f>
        <v>BSGatlas-3'UTR-1113</v>
      </c>
      <c r="B1114" s="3">
        <v>2970880</v>
      </c>
      <c r="C1114" s="3">
        <v>2970895</v>
      </c>
      <c r="D1114" s="1" t="s">
        <v>9</v>
      </c>
      <c r="E1114" s="3">
        <v>16</v>
      </c>
      <c r="F1114" s="1" t="s">
        <v>14502</v>
      </c>
      <c r="G1114" s="1" t="s">
        <v>9242</v>
      </c>
    </row>
    <row r="1115" spans="1:7" ht="21" x14ac:dyDescent="0.25">
      <c r="A1115" s="2" t="str">
        <f>HYPERLINK("https://rth.dk/resources/bsgatlas/details.php?id=BSGatlas-3'UTR-1114","BSGatlas-3'UTR-1114")</f>
        <v>BSGatlas-3'UTR-1114</v>
      </c>
      <c r="B1115" s="3">
        <v>2975933</v>
      </c>
      <c r="C1115" s="3">
        <v>2976068</v>
      </c>
      <c r="D1115" s="1" t="s">
        <v>13</v>
      </c>
      <c r="E1115" s="3">
        <v>136</v>
      </c>
      <c r="F1115" s="1" t="s">
        <v>14503</v>
      </c>
      <c r="G1115" s="1" t="s">
        <v>9253</v>
      </c>
    </row>
    <row r="1116" spans="1:7" ht="21" x14ac:dyDescent="0.25">
      <c r="A1116" s="2" t="str">
        <f>HYPERLINK("https://rth.dk/resources/bsgatlas/details.php?id=BSGatlas-3'UTR-1115","BSGatlas-3'UTR-1115")</f>
        <v>BSGatlas-3'UTR-1115</v>
      </c>
      <c r="B1116" s="3">
        <v>2978687</v>
      </c>
      <c r="C1116" s="3">
        <v>2978734</v>
      </c>
      <c r="D1116" s="1" t="s">
        <v>13</v>
      </c>
      <c r="E1116" s="3">
        <v>48</v>
      </c>
      <c r="F1116" s="1" t="s">
        <v>14504</v>
      </c>
      <c r="G1116" s="1" t="s">
        <v>9261</v>
      </c>
    </row>
    <row r="1117" spans="1:7" ht="21" x14ac:dyDescent="0.25">
      <c r="A1117" s="2" t="str">
        <f>HYPERLINK("https://rth.dk/resources/bsgatlas/details.php?id=BSGatlas-3'UTR-1116","BSGatlas-3'UTR-1116")</f>
        <v>BSGatlas-3'UTR-1116</v>
      </c>
      <c r="B1117" s="3">
        <v>2982566</v>
      </c>
      <c r="C1117" s="3">
        <v>2982603</v>
      </c>
      <c r="D1117" s="1" t="s">
        <v>13</v>
      </c>
      <c r="E1117" s="3">
        <v>38</v>
      </c>
      <c r="F1117" s="1" t="s">
        <v>13389</v>
      </c>
      <c r="G1117" s="1" t="s">
        <v>9271</v>
      </c>
    </row>
    <row r="1118" spans="1:7" ht="21" x14ac:dyDescent="0.25">
      <c r="A1118" s="2" t="str">
        <f>HYPERLINK("https://rth.dk/resources/bsgatlas/details.php?id=BSGatlas-3'UTR-1117","BSGatlas-3'UTR-1117")</f>
        <v>BSGatlas-3'UTR-1117</v>
      </c>
      <c r="B1118" s="3">
        <v>2984267</v>
      </c>
      <c r="C1118" s="3">
        <v>2984312</v>
      </c>
      <c r="D1118" s="1" t="s">
        <v>13</v>
      </c>
      <c r="E1118" s="3">
        <v>46</v>
      </c>
      <c r="F1118" s="1" t="s">
        <v>14505</v>
      </c>
      <c r="G1118" s="1" t="s">
        <v>9275</v>
      </c>
    </row>
    <row r="1119" spans="1:7" ht="21" x14ac:dyDescent="0.25">
      <c r="A1119" s="2" t="str">
        <f>HYPERLINK("https://rth.dk/resources/bsgatlas/details.php?id=BSGatlas-3'UTR-1118","BSGatlas-3'UTR-1118")</f>
        <v>BSGatlas-3'UTR-1118</v>
      </c>
      <c r="B1119" s="3">
        <v>2984279</v>
      </c>
      <c r="C1119" s="3">
        <v>2984322</v>
      </c>
      <c r="D1119" s="1" t="s">
        <v>9</v>
      </c>
      <c r="E1119" s="3">
        <v>44</v>
      </c>
      <c r="F1119" s="1" t="s">
        <v>13387</v>
      </c>
      <c r="G1119" s="1" t="s">
        <v>9268</v>
      </c>
    </row>
    <row r="1120" spans="1:7" ht="21" x14ac:dyDescent="0.25">
      <c r="A1120" s="2" t="str">
        <f>HYPERLINK("https://rth.dk/resources/bsgatlas/details.php?id=BSGatlas-3'UTR-1119","BSGatlas-3'UTR-1119")</f>
        <v>BSGatlas-3'UTR-1119</v>
      </c>
      <c r="B1120" s="3">
        <v>2984741</v>
      </c>
      <c r="C1120" s="3">
        <v>2984788</v>
      </c>
      <c r="D1120" s="1" t="s">
        <v>13</v>
      </c>
      <c r="E1120" s="3">
        <v>48</v>
      </c>
      <c r="F1120" s="1" t="s">
        <v>14506</v>
      </c>
      <c r="G1120" s="1" t="s">
        <v>9277</v>
      </c>
    </row>
    <row r="1121" spans="1:7" ht="21" x14ac:dyDescent="0.25">
      <c r="A1121" s="2" t="str">
        <f>HYPERLINK("https://rth.dk/resources/bsgatlas/details.php?id=BSGatlas-3'UTR-1120","BSGatlas-3'UTR-1120")</f>
        <v>BSGatlas-3'UTR-1120</v>
      </c>
      <c r="B1121" s="3">
        <v>2987691</v>
      </c>
      <c r="C1121" s="3">
        <v>2987731</v>
      </c>
      <c r="D1121" s="1" t="s">
        <v>13</v>
      </c>
      <c r="E1121" s="3">
        <v>41</v>
      </c>
      <c r="F1121" s="1" t="s">
        <v>14507</v>
      </c>
      <c r="G1121" s="1" t="s">
        <v>9278</v>
      </c>
    </row>
    <row r="1122" spans="1:7" ht="21" x14ac:dyDescent="0.25">
      <c r="A1122" s="2" t="str">
        <f>HYPERLINK("https://rth.dk/resources/bsgatlas/details.php?id=BSGatlas-3'UTR-1121","BSGatlas-3'UTR-1121")</f>
        <v>BSGatlas-3'UTR-1121</v>
      </c>
      <c r="B1122" s="3">
        <v>2989770</v>
      </c>
      <c r="C1122" s="3">
        <v>2989900</v>
      </c>
      <c r="D1122" s="1" t="s">
        <v>13</v>
      </c>
      <c r="E1122" s="3">
        <v>131</v>
      </c>
      <c r="F1122" s="1" t="s">
        <v>14508</v>
      </c>
      <c r="G1122" s="1" t="s">
        <v>9283</v>
      </c>
    </row>
    <row r="1123" spans="1:7" ht="21" x14ac:dyDescent="0.25">
      <c r="A1123" s="2" t="str">
        <f>HYPERLINK("https://rth.dk/resources/bsgatlas/details.php?id=BSGatlas-3'UTR-1122","BSGatlas-3'UTR-1122")</f>
        <v>BSGatlas-3'UTR-1122</v>
      </c>
      <c r="B1123" s="3">
        <v>2995678</v>
      </c>
      <c r="C1123" s="3">
        <v>2995908</v>
      </c>
      <c r="D1123" s="1" t="s">
        <v>13</v>
      </c>
      <c r="E1123" s="3">
        <v>231</v>
      </c>
      <c r="F1123" s="1" t="s">
        <v>13398</v>
      </c>
      <c r="G1123" s="1" t="s">
        <v>9294</v>
      </c>
    </row>
    <row r="1124" spans="1:7" ht="21" x14ac:dyDescent="0.25">
      <c r="A1124" s="2" t="str">
        <f>HYPERLINK("https://rth.dk/resources/bsgatlas/details.php?id=BSGatlas-3'UTR-1123","BSGatlas-3'UTR-1123")</f>
        <v>BSGatlas-3'UTR-1123</v>
      </c>
      <c r="B1124" s="3">
        <v>2995876</v>
      </c>
      <c r="C1124" s="3">
        <v>2995908</v>
      </c>
      <c r="D1124" s="1" t="s">
        <v>13</v>
      </c>
      <c r="E1124" s="3">
        <v>33</v>
      </c>
      <c r="F1124" s="1" t="s">
        <v>13398</v>
      </c>
      <c r="G1124" s="1" t="s">
        <v>9295</v>
      </c>
    </row>
    <row r="1125" spans="1:7" ht="21" x14ac:dyDescent="0.25">
      <c r="A1125" s="2" t="str">
        <f>HYPERLINK("https://rth.dk/resources/bsgatlas/details.php?id=BSGatlas-3'UTR-1124","BSGatlas-3'UTR-1124")</f>
        <v>BSGatlas-3'UTR-1124</v>
      </c>
      <c r="B1125" s="3">
        <v>2997282</v>
      </c>
      <c r="C1125" s="3">
        <v>2999111</v>
      </c>
      <c r="D1125" s="1" t="s">
        <v>9</v>
      </c>
      <c r="E1125" s="3">
        <v>1830</v>
      </c>
      <c r="F1125" s="1" t="s">
        <v>13397</v>
      </c>
      <c r="G1125" s="1" t="s">
        <v>9297</v>
      </c>
    </row>
    <row r="1126" spans="1:7" ht="21" x14ac:dyDescent="0.25">
      <c r="A1126" s="2" t="str">
        <f>HYPERLINK("https://rth.dk/resources/bsgatlas/details.php?id=BSGatlas-3'UTR-1125","BSGatlas-3'UTR-1125")</f>
        <v>BSGatlas-3'UTR-1125</v>
      </c>
      <c r="B1126" s="3">
        <v>2998690</v>
      </c>
      <c r="C1126" s="3">
        <v>2998796</v>
      </c>
      <c r="D1126" s="1" t="s">
        <v>13</v>
      </c>
      <c r="E1126" s="3">
        <v>107</v>
      </c>
      <c r="F1126" s="1" t="s">
        <v>14509</v>
      </c>
      <c r="G1126" s="1" t="s">
        <v>9302</v>
      </c>
    </row>
    <row r="1127" spans="1:7" ht="21" x14ac:dyDescent="0.25">
      <c r="A1127" s="2" t="str">
        <f>HYPERLINK("https://rth.dk/resources/bsgatlas/details.php?id=BSGatlas-3'UTR-1126","BSGatlas-3'UTR-1126")</f>
        <v>BSGatlas-3'UTR-1126</v>
      </c>
      <c r="B1127" s="3">
        <v>3009307</v>
      </c>
      <c r="C1127" s="3">
        <v>3009915</v>
      </c>
      <c r="D1127" s="1" t="s">
        <v>13</v>
      </c>
      <c r="E1127" s="3">
        <v>609</v>
      </c>
      <c r="F1127" s="1" t="s">
        <v>14510</v>
      </c>
      <c r="G1127" s="1" t="s">
        <v>9307</v>
      </c>
    </row>
    <row r="1128" spans="1:7" ht="21" x14ac:dyDescent="0.25">
      <c r="A1128" s="2" t="str">
        <f>HYPERLINK("https://rth.dk/resources/bsgatlas/details.php?id=BSGatlas-3'UTR-1127","BSGatlas-3'UTR-1127")</f>
        <v>BSGatlas-3'UTR-1127</v>
      </c>
      <c r="B1128" s="3">
        <v>3009864</v>
      </c>
      <c r="C1128" s="3">
        <v>3011662</v>
      </c>
      <c r="D1128" s="1" t="s">
        <v>9</v>
      </c>
      <c r="E1128" s="3">
        <v>1799</v>
      </c>
      <c r="F1128" s="1" t="s">
        <v>13401</v>
      </c>
      <c r="G1128" s="1" t="s">
        <v>9305</v>
      </c>
    </row>
    <row r="1129" spans="1:7" ht="21" x14ac:dyDescent="0.25">
      <c r="A1129" s="2" t="str">
        <f>HYPERLINK("https://rth.dk/resources/bsgatlas/details.php?id=BSGatlas-3'UTR-1128","BSGatlas-3'UTR-1128")</f>
        <v>BSGatlas-3'UTR-1128</v>
      </c>
      <c r="B1129" s="3">
        <v>3009865</v>
      </c>
      <c r="C1129" s="3">
        <v>3009915</v>
      </c>
      <c r="D1129" s="1" t="s">
        <v>13</v>
      </c>
      <c r="E1129" s="3">
        <v>51</v>
      </c>
      <c r="F1129" s="1" t="s">
        <v>14510</v>
      </c>
      <c r="G1129" s="1" t="s">
        <v>9310</v>
      </c>
    </row>
    <row r="1130" spans="1:7" ht="21" x14ac:dyDescent="0.25">
      <c r="A1130" s="2" t="str">
        <f>HYPERLINK("https://rth.dk/resources/bsgatlas/details.php?id=BSGatlas-3'UTR-1129","BSGatlas-3'UTR-1129")</f>
        <v>BSGatlas-3'UTR-1129</v>
      </c>
      <c r="B1130" s="3">
        <v>3011638</v>
      </c>
      <c r="C1130" s="3">
        <v>3011751</v>
      </c>
      <c r="D1130" s="1" t="s">
        <v>13</v>
      </c>
      <c r="E1130" s="3">
        <v>114</v>
      </c>
      <c r="F1130" s="1" t="s">
        <v>14511</v>
      </c>
      <c r="G1130" s="1" t="s">
        <v>9313</v>
      </c>
    </row>
    <row r="1131" spans="1:7" ht="21" x14ac:dyDescent="0.25">
      <c r="A1131" s="2" t="str">
        <f>HYPERLINK("https://rth.dk/resources/bsgatlas/details.php?id=BSGatlas-3'UTR-1130","BSGatlas-3'UTR-1130")</f>
        <v>BSGatlas-3'UTR-1130</v>
      </c>
      <c r="B1131" s="3">
        <v>3014457</v>
      </c>
      <c r="C1131" s="3">
        <v>3014514</v>
      </c>
      <c r="D1131" s="1" t="s">
        <v>13</v>
      </c>
      <c r="E1131" s="3">
        <v>58</v>
      </c>
      <c r="F1131" s="1" t="s">
        <v>13404</v>
      </c>
      <c r="G1131" s="1" t="s">
        <v>9315</v>
      </c>
    </row>
    <row r="1132" spans="1:7" ht="21" x14ac:dyDescent="0.25">
      <c r="A1132" s="2" t="str">
        <f>HYPERLINK("https://rth.dk/resources/bsgatlas/details.php?id=BSGatlas-3'UTR-1131","BSGatlas-3'UTR-1131")</f>
        <v>BSGatlas-3'UTR-1131</v>
      </c>
      <c r="B1132" s="3">
        <v>3015065</v>
      </c>
      <c r="C1132" s="3">
        <v>3015111</v>
      </c>
      <c r="D1132" s="1" t="s">
        <v>13</v>
      </c>
      <c r="E1132" s="3">
        <v>47</v>
      </c>
      <c r="F1132" s="1" t="s">
        <v>13405</v>
      </c>
      <c r="G1132" s="1" t="s">
        <v>9318</v>
      </c>
    </row>
    <row r="1133" spans="1:7" ht="21" x14ac:dyDescent="0.25">
      <c r="A1133" s="2" t="str">
        <f>HYPERLINK("https://rth.dk/resources/bsgatlas/details.php?id=BSGatlas-3'UTR-1132","BSGatlas-3'UTR-1132")</f>
        <v>BSGatlas-3'UTR-1132</v>
      </c>
      <c r="B1133" s="3">
        <v>3016581</v>
      </c>
      <c r="C1133" s="3">
        <v>3016646</v>
      </c>
      <c r="D1133" s="1" t="s">
        <v>13</v>
      </c>
      <c r="E1133" s="3">
        <v>66</v>
      </c>
      <c r="F1133" s="1" t="s">
        <v>14512</v>
      </c>
      <c r="G1133" s="1" t="s">
        <v>9320</v>
      </c>
    </row>
    <row r="1134" spans="1:7" ht="21" x14ac:dyDescent="0.25">
      <c r="A1134" s="2" t="str">
        <f>HYPERLINK("https://rth.dk/resources/bsgatlas/details.php?id=BSGatlas-3'UTR-1133","BSGatlas-3'UTR-1133")</f>
        <v>BSGatlas-3'UTR-1133</v>
      </c>
      <c r="B1134" s="3">
        <v>3017648</v>
      </c>
      <c r="C1134" s="3">
        <v>3017696</v>
      </c>
      <c r="D1134" s="1" t="s">
        <v>13</v>
      </c>
      <c r="E1134" s="3">
        <v>49</v>
      </c>
      <c r="F1134" s="1" t="s">
        <v>13406</v>
      </c>
      <c r="G1134" s="1" t="s">
        <v>9324</v>
      </c>
    </row>
    <row r="1135" spans="1:7" ht="21" x14ac:dyDescent="0.25">
      <c r="A1135" s="2" t="str">
        <f>HYPERLINK("https://rth.dk/resources/bsgatlas/details.php?id=BSGatlas-3'UTR-1134","BSGatlas-3'UTR-1134")</f>
        <v>BSGatlas-3'UTR-1134</v>
      </c>
      <c r="B1135" s="3">
        <v>3018263</v>
      </c>
      <c r="C1135" s="3">
        <v>3018309</v>
      </c>
      <c r="D1135" s="1" t="s">
        <v>13</v>
      </c>
      <c r="E1135" s="3">
        <v>47</v>
      </c>
      <c r="F1135" s="1" t="s">
        <v>13407</v>
      </c>
      <c r="G1135" s="1" t="s">
        <v>9326</v>
      </c>
    </row>
    <row r="1136" spans="1:7" ht="21" x14ac:dyDescent="0.25">
      <c r="A1136" s="2" t="str">
        <f>HYPERLINK("https://rth.dk/resources/bsgatlas/details.php?id=BSGatlas-3'UTR-1135","BSGatlas-3'UTR-1135")</f>
        <v>BSGatlas-3'UTR-1135</v>
      </c>
      <c r="B1136" s="3">
        <v>3019174</v>
      </c>
      <c r="C1136" s="3">
        <v>3019533</v>
      </c>
      <c r="D1136" s="1" t="s">
        <v>13</v>
      </c>
      <c r="E1136" s="3">
        <v>360</v>
      </c>
      <c r="F1136" s="1" t="s">
        <v>14513</v>
      </c>
      <c r="G1136" s="1" t="s">
        <v>9332</v>
      </c>
    </row>
    <row r="1137" spans="1:7" ht="21" x14ac:dyDescent="0.25">
      <c r="A1137" s="2" t="str">
        <f>HYPERLINK("https://rth.dk/resources/bsgatlas/details.php?id=BSGatlas-3'UTR-1136","BSGatlas-3'UTR-1136")</f>
        <v>BSGatlas-3'UTR-1136</v>
      </c>
      <c r="B1137" s="3">
        <v>3019493</v>
      </c>
      <c r="C1137" s="3">
        <v>3019533</v>
      </c>
      <c r="D1137" s="1" t="s">
        <v>13</v>
      </c>
      <c r="E1137" s="3">
        <v>41</v>
      </c>
      <c r="F1137" s="1" t="s">
        <v>14513</v>
      </c>
      <c r="G1137" s="1" t="s">
        <v>9334</v>
      </c>
    </row>
    <row r="1138" spans="1:7" ht="21" x14ac:dyDescent="0.25">
      <c r="A1138" s="2" t="str">
        <f>HYPERLINK("https://rth.dk/resources/bsgatlas/details.php?id=BSGatlas-3'UTR-1137","BSGatlas-3'UTR-1137")</f>
        <v>BSGatlas-3'UTR-1137</v>
      </c>
      <c r="B1138" s="3">
        <v>3022031</v>
      </c>
      <c r="C1138" s="3">
        <v>3022068</v>
      </c>
      <c r="D1138" s="1" t="s">
        <v>13</v>
      </c>
      <c r="E1138" s="3">
        <v>38</v>
      </c>
      <c r="F1138" s="1" t="s">
        <v>14514</v>
      </c>
      <c r="G1138" s="1" t="s">
        <v>9338</v>
      </c>
    </row>
    <row r="1139" spans="1:7" ht="21" x14ac:dyDescent="0.25">
      <c r="A1139" s="2" t="str">
        <f>HYPERLINK("https://rth.dk/resources/bsgatlas/details.php?id=BSGatlas-3'UTR-1138","BSGatlas-3'UTR-1138")</f>
        <v>BSGatlas-3'UTR-1138</v>
      </c>
      <c r="B1139" s="3">
        <v>3025385</v>
      </c>
      <c r="C1139" s="3">
        <v>3025445</v>
      </c>
      <c r="D1139" s="1" t="s">
        <v>13</v>
      </c>
      <c r="E1139" s="3">
        <v>61</v>
      </c>
      <c r="F1139" s="1" t="s">
        <v>13412</v>
      </c>
      <c r="G1139" s="1" t="s">
        <v>9342</v>
      </c>
    </row>
    <row r="1140" spans="1:7" ht="21" x14ac:dyDescent="0.25">
      <c r="A1140" s="2" t="str">
        <f>HYPERLINK("https://rth.dk/resources/bsgatlas/details.php?id=BSGatlas-3'UTR-1139","BSGatlas-3'UTR-1139")</f>
        <v>BSGatlas-3'UTR-1139</v>
      </c>
      <c r="B1140" s="3">
        <v>3029634</v>
      </c>
      <c r="C1140" s="3">
        <v>3029681</v>
      </c>
      <c r="D1140" s="1" t="s">
        <v>9</v>
      </c>
      <c r="E1140" s="3">
        <v>48</v>
      </c>
      <c r="F1140" s="1" t="s">
        <v>13414</v>
      </c>
      <c r="G1140" s="1" t="s">
        <v>9347</v>
      </c>
    </row>
    <row r="1141" spans="1:7" ht="21" x14ac:dyDescent="0.25">
      <c r="A1141" s="2" t="str">
        <f>HYPERLINK("https://rth.dk/resources/bsgatlas/details.php?id=BSGatlas-3'UTR-1140","BSGatlas-3'UTR-1140")</f>
        <v>BSGatlas-3'UTR-1140</v>
      </c>
      <c r="B1141" s="3">
        <v>3029668</v>
      </c>
      <c r="C1141" s="3">
        <v>3029729</v>
      </c>
      <c r="D1141" s="1" t="s">
        <v>13</v>
      </c>
      <c r="E1141" s="3">
        <v>62</v>
      </c>
      <c r="F1141" s="1" t="s">
        <v>13415</v>
      </c>
      <c r="G1141" s="1" t="s">
        <v>9349</v>
      </c>
    </row>
    <row r="1142" spans="1:7" ht="21" x14ac:dyDescent="0.25">
      <c r="A1142" s="2" t="str">
        <f>HYPERLINK("https://rth.dk/resources/bsgatlas/details.php?id=BSGatlas-3'UTR-1141","BSGatlas-3'UTR-1141")</f>
        <v>BSGatlas-3'UTR-1141</v>
      </c>
      <c r="B1142" s="3">
        <v>3032324</v>
      </c>
      <c r="C1142" s="3">
        <v>3032417</v>
      </c>
      <c r="D1142" s="1" t="s">
        <v>13</v>
      </c>
      <c r="E1142" s="3">
        <v>94</v>
      </c>
      <c r="F1142" s="1" t="s">
        <v>13418</v>
      </c>
      <c r="G1142" s="1" t="s">
        <v>9357</v>
      </c>
    </row>
    <row r="1143" spans="1:7" ht="21" x14ac:dyDescent="0.25">
      <c r="A1143" s="2" t="str">
        <f>HYPERLINK("https://rth.dk/resources/bsgatlas/details.php?id=BSGatlas-3'UTR-1142","BSGatlas-3'UTR-1142")</f>
        <v>BSGatlas-3'UTR-1142</v>
      </c>
      <c r="B1143" s="3">
        <v>3033651</v>
      </c>
      <c r="C1143" s="3">
        <v>3033696</v>
      </c>
      <c r="D1143" s="1" t="s">
        <v>13</v>
      </c>
      <c r="E1143" s="3">
        <v>46</v>
      </c>
      <c r="F1143" s="1" t="s">
        <v>13420</v>
      </c>
      <c r="G1143" s="1" t="s">
        <v>9362</v>
      </c>
    </row>
    <row r="1144" spans="1:7" ht="21" x14ac:dyDescent="0.25">
      <c r="A1144" s="2" t="str">
        <f>HYPERLINK("https://rth.dk/resources/bsgatlas/details.php?id=BSGatlas-3'UTR-1143","BSGatlas-3'UTR-1143")</f>
        <v>BSGatlas-3'UTR-1143</v>
      </c>
      <c r="B1144" s="3">
        <v>3033658</v>
      </c>
      <c r="C1144" s="3">
        <v>3033705</v>
      </c>
      <c r="D1144" s="1" t="s">
        <v>9</v>
      </c>
      <c r="E1144" s="3">
        <v>48</v>
      </c>
      <c r="F1144" s="1" t="s">
        <v>13417</v>
      </c>
      <c r="G1144" s="1" t="s">
        <v>9355</v>
      </c>
    </row>
    <row r="1145" spans="1:7" ht="21" x14ac:dyDescent="0.25">
      <c r="A1145" s="2" t="str">
        <f>HYPERLINK("https://rth.dk/resources/bsgatlas/details.php?id=BSGatlas-3'UTR-1144","BSGatlas-3'UTR-1144")</f>
        <v>BSGatlas-3'UTR-1144</v>
      </c>
      <c r="B1145" s="3">
        <v>3035442</v>
      </c>
      <c r="C1145" s="3">
        <v>3036340</v>
      </c>
      <c r="D1145" s="1" t="s">
        <v>13</v>
      </c>
      <c r="E1145" s="3">
        <v>899</v>
      </c>
      <c r="F1145" s="1" t="s">
        <v>14515</v>
      </c>
      <c r="G1145" s="1" t="s">
        <v>9367</v>
      </c>
    </row>
    <row r="1146" spans="1:7" ht="21" x14ac:dyDescent="0.25">
      <c r="A1146" s="2" t="str">
        <f>HYPERLINK("https://rth.dk/resources/bsgatlas/details.php?id=BSGatlas-3'UTR-1145","BSGatlas-3'UTR-1145")</f>
        <v>BSGatlas-3'UTR-1145</v>
      </c>
      <c r="B1146" s="3">
        <v>3036332</v>
      </c>
      <c r="C1146" s="3">
        <v>3036382</v>
      </c>
      <c r="D1146" s="1" t="s">
        <v>9</v>
      </c>
      <c r="E1146" s="3">
        <v>51</v>
      </c>
      <c r="F1146" s="1" t="s">
        <v>13419</v>
      </c>
      <c r="G1146" s="1" t="s">
        <v>9365</v>
      </c>
    </row>
    <row r="1147" spans="1:7" ht="21" x14ac:dyDescent="0.25">
      <c r="A1147" s="2" t="str">
        <f>HYPERLINK("https://rth.dk/resources/bsgatlas/details.php?id=BSGatlas-3'UTR-1146","BSGatlas-3'UTR-1146")</f>
        <v>BSGatlas-3'UTR-1146</v>
      </c>
      <c r="B1147" s="3">
        <v>3036554</v>
      </c>
      <c r="C1147" s="3">
        <v>3036603</v>
      </c>
      <c r="D1147" s="1" t="s">
        <v>13</v>
      </c>
      <c r="E1147" s="3">
        <v>50</v>
      </c>
      <c r="F1147" s="1" t="s">
        <v>13421</v>
      </c>
      <c r="G1147" s="1" t="s">
        <v>9372</v>
      </c>
    </row>
    <row r="1148" spans="1:7" ht="21" x14ac:dyDescent="0.25">
      <c r="A1148" s="2" t="str">
        <f>HYPERLINK("https://rth.dk/resources/bsgatlas/details.php?id=BSGatlas-3'UTR-1147","BSGatlas-3'UTR-1147")</f>
        <v>BSGatlas-3'UTR-1147</v>
      </c>
      <c r="B1148" s="3">
        <v>3042545</v>
      </c>
      <c r="C1148" s="3">
        <v>3042566</v>
      </c>
      <c r="D1148" s="1" t="s">
        <v>13</v>
      </c>
      <c r="E1148" s="3">
        <v>22</v>
      </c>
      <c r="F1148" s="1" t="s">
        <v>14516</v>
      </c>
      <c r="G1148" s="1" t="s">
        <v>9387</v>
      </c>
    </row>
    <row r="1149" spans="1:7" ht="21" x14ac:dyDescent="0.25">
      <c r="A1149" s="2" t="str">
        <f>HYPERLINK("https://rth.dk/resources/bsgatlas/details.php?id=BSGatlas-3'UTR-1148","BSGatlas-3'UTR-1148")</f>
        <v>BSGatlas-3'UTR-1148</v>
      </c>
      <c r="B1149" s="3">
        <v>3042555</v>
      </c>
      <c r="C1149" s="3">
        <v>3042594</v>
      </c>
      <c r="D1149" s="1" t="s">
        <v>9</v>
      </c>
      <c r="E1149" s="3">
        <v>40</v>
      </c>
      <c r="F1149" s="1" t="s">
        <v>14517</v>
      </c>
      <c r="G1149" s="1" t="s">
        <v>9382</v>
      </c>
    </row>
    <row r="1150" spans="1:7" ht="21" x14ac:dyDescent="0.25">
      <c r="A1150" s="2" t="str">
        <f>HYPERLINK("https://rth.dk/resources/bsgatlas/details.php?id=BSGatlas-3'UTR-1149","BSGatlas-3'UTR-1149")</f>
        <v>BSGatlas-3'UTR-1149</v>
      </c>
      <c r="B1150" s="3">
        <v>3044115</v>
      </c>
      <c r="C1150" s="3">
        <v>3044165</v>
      </c>
      <c r="D1150" s="1" t="s">
        <v>13</v>
      </c>
      <c r="E1150" s="3">
        <v>51</v>
      </c>
      <c r="F1150" s="1" t="s">
        <v>13424</v>
      </c>
      <c r="G1150" s="1" t="s">
        <v>9389</v>
      </c>
    </row>
    <row r="1151" spans="1:7" ht="21" x14ac:dyDescent="0.25">
      <c r="A1151" s="2" t="str">
        <f>HYPERLINK("https://rth.dk/resources/bsgatlas/details.php?id=BSGatlas-3'UTR-1150","BSGatlas-3'UTR-1150")</f>
        <v>BSGatlas-3'UTR-1150</v>
      </c>
      <c r="B1151" s="3">
        <v>3045414</v>
      </c>
      <c r="C1151" s="3">
        <v>3045445</v>
      </c>
      <c r="D1151" s="1" t="s">
        <v>13</v>
      </c>
      <c r="E1151" s="3">
        <v>32</v>
      </c>
      <c r="F1151" s="1" t="s">
        <v>13425</v>
      </c>
      <c r="G1151" s="1" t="s">
        <v>9392</v>
      </c>
    </row>
    <row r="1152" spans="1:7" ht="21" x14ac:dyDescent="0.25">
      <c r="A1152" s="2" t="str">
        <f>HYPERLINK("https://rth.dk/resources/bsgatlas/details.php?id=BSGatlas-3'UTR-1151","BSGatlas-3'UTR-1151")</f>
        <v>BSGatlas-3'UTR-1151</v>
      </c>
      <c r="B1152" s="3">
        <v>3046714</v>
      </c>
      <c r="C1152" s="3">
        <v>3046757</v>
      </c>
      <c r="D1152" s="1" t="s">
        <v>13</v>
      </c>
      <c r="E1152" s="3">
        <v>44</v>
      </c>
      <c r="F1152" s="1" t="s">
        <v>14518</v>
      </c>
      <c r="G1152" s="1" t="s">
        <v>9396</v>
      </c>
    </row>
    <row r="1153" spans="1:7" ht="21" x14ac:dyDescent="0.25">
      <c r="A1153" s="2" t="str">
        <f>HYPERLINK("https://rth.dk/resources/bsgatlas/details.php?id=BSGatlas-3'UTR-1152","BSGatlas-3'UTR-1152")</f>
        <v>BSGatlas-3'UTR-1152</v>
      </c>
      <c r="B1153" s="3">
        <v>3048140</v>
      </c>
      <c r="C1153" s="3">
        <v>3048177</v>
      </c>
      <c r="D1153" s="1" t="s">
        <v>13</v>
      </c>
      <c r="E1153" s="3">
        <v>38</v>
      </c>
      <c r="F1153" s="1" t="s">
        <v>13427</v>
      </c>
      <c r="G1153" s="1" t="s">
        <v>9399</v>
      </c>
    </row>
    <row r="1154" spans="1:7" ht="21" x14ac:dyDescent="0.25">
      <c r="A1154" s="2" t="str">
        <f>HYPERLINK("https://rth.dk/resources/bsgatlas/details.php?id=BSGatlas-3'UTR-1153","BSGatlas-3'UTR-1153")</f>
        <v>BSGatlas-3'UTR-1153</v>
      </c>
      <c r="B1154" s="3">
        <v>3052704</v>
      </c>
      <c r="C1154" s="3">
        <v>3052743</v>
      </c>
      <c r="D1154" s="1" t="s">
        <v>13</v>
      </c>
      <c r="E1154" s="3">
        <v>40</v>
      </c>
      <c r="F1154" s="1" t="s">
        <v>14519</v>
      </c>
      <c r="G1154" s="1" t="s">
        <v>9405</v>
      </c>
    </row>
    <row r="1155" spans="1:7" ht="21" x14ac:dyDescent="0.25">
      <c r="A1155" s="2" t="str">
        <f>HYPERLINK("https://rth.dk/resources/bsgatlas/details.php?id=BSGatlas-3'UTR-1154","BSGatlas-3'UTR-1154")</f>
        <v>BSGatlas-3'UTR-1154</v>
      </c>
      <c r="B1155" s="3">
        <v>3055192</v>
      </c>
      <c r="C1155" s="3">
        <v>3055954</v>
      </c>
      <c r="D1155" s="1" t="s">
        <v>9</v>
      </c>
      <c r="E1155" s="3">
        <v>763</v>
      </c>
      <c r="F1155" s="1" t="s">
        <v>13430</v>
      </c>
      <c r="G1155" s="1" t="s">
        <v>9408</v>
      </c>
    </row>
    <row r="1156" spans="1:7" ht="21" x14ac:dyDescent="0.25">
      <c r="A1156" s="2" t="str">
        <f>HYPERLINK("https://rth.dk/resources/bsgatlas/details.php?id=BSGatlas-3'UTR-1155","BSGatlas-3'UTR-1155")</f>
        <v>BSGatlas-3'UTR-1155</v>
      </c>
      <c r="B1156" s="3">
        <v>3056796</v>
      </c>
      <c r="C1156" s="3">
        <v>3056818</v>
      </c>
      <c r="D1156" s="1" t="s">
        <v>9</v>
      </c>
      <c r="E1156" s="3">
        <v>23</v>
      </c>
      <c r="F1156" s="1" t="s">
        <v>13432</v>
      </c>
      <c r="G1156" s="1" t="s">
        <v>9412</v>
      </c>
    </row>
    <row r="1157" spans="1:7" ht="21" x14ac:dyDescent="0.25">
      <c r="A1157" s="2" t="str">
        <f>HYPERLINK("https://rth.dk/resources/bsgatlas/details.php?id=BSGatlas-3'UTR-1156","BSGatlas-3'UTR-1156")</f>
        <v>BSGatlas-3'UTR-1156</v>
      </c>
      <c r="B1157" s="3">
        <v>3056805</v>
      </c>
      <c r="C1157" s="3">
        <v>3056849</v>
      </c>
      <c r="D1157" s="1" t="s">
        <v>13</v>
      </c>
      <c r="E1157" s="3">
        <v>45</v>
      </c>
      <c r="F1157" s="1" t="s">
        <v>13433</v>
      </c>
      <c r="G1157" s="1" t="s">
        <v>9414</v>
      </c>
    </row>
    <row r="1158" spans="1:7" ht="21" x14ac:dyDescent="0.25">
      <c r="A1158" s="2" t="str">
        <f>HYPERLINK("https://rth.dk/resources/bsgatlas/details.php?id=BSGatlas-3'UTR-1157","BSGatlas-3'UTR-1157")</f>
        <v>BSGatlas-3'UTR-1157</v>
      </c>
      <c r="B1158" s="3">
        <v>3059509</v>
      </c>
      <c r="C1158" s="3">
        <v>3059547</v>
      </c>
      <c r="D1158" s="1" t="s">
        <v>13</v>
      </c>
      <c r="E1158" s="3">
        <v>39</v>
      </c>
      <c r="F1158" s="1" t="s">
        <v>13435</v>
      </c>
      <c r="G1158" s="1" t="s">
        <v>9419</v>
      </c>
    </row>
    <row r="1159" spans="1:7" ht="21" x14ac:dyDescent="0.25">
      <c r="A1159" s="2" t="str">
        <f>HYPERLINK("https://rth.dk/resources/bsgatlas/details.php?id=BSGatlas-3'UTR-1158","BSGatlas-3'UTR-1158")</f>
        <v>BSGatlas-3'UTR-1158</v>
      </c>
      <c r="B1159" s="3">
        <v>3060673</v>
      </c>
      <c r="C1159" s="3">
        <v>3060844</v>
      </c>
      <c r="D1159" s="1" t="s">
        <v>9</v>
      </c>
      <c r="E1159" s="3">
        <v>172</v>
      </c>
      <c r="F1159" s="1" t="s">
        <v>13436</v>
      </c>
      <c r="G1159" s="1" t="s">
        <v>9422</v>
      </c>
    </row>
    <row r="1160" spans="1:7" ht="21" x14ac:dyDescent="0.25">
      <c r="A1160" s="2" t="str">
        <f>HYPERLINK("https://rth.dk/resources/bsgatlas/details.php?id=BSGatlas-3'UTR-1159","BSGatlas-3'UTR-1159")</f>
        <v>BSGatlas-3'UTR-1159</v>
      </c>
      <c r="B1160" s="3">
        <v>3061564</v>
      </c>
      <c r="C1160" s="3">
        <v>3061651</v>
      </c>
      <c r="D1160" s="1" t="s">
        <v>13</v>
      </c>
      <c r="E1160" s="3">
        <v>88</v>
      </c>
      <c r="F1160" s="1" t="s">
        <v>14520</v>
      </c>
      <c r="G1160" s="1" t="s">
        <v>9424</v>
      </c>
    </row>
    <row r="1161" spans="1:7" ht="21" x14ac:dyDescent="0.25">
      <c r="A1161" s="2" t="str">
        <f>HYPERLINK("https://rth.dk/resources/bsgatlas/details.php?id=BSGatlas-3'UTR-1160","BSGatlas-3'UTR-1160")</f>
        <v>BSGatlas-3'UTR-1160</v>
      </c>
      <c r="B1161" s="3">
        <v>3067377</v>
      </c>
      <c r="C1161" s="3">
        <v>3067420</v>
      </c>
      <c r="D1161" s="1" t="s">
        <v>13</v>
      </c>
      <c r="E1161" s="3">
        <v>44</v>
      </c>
      <c r="F1161" s="1" t="s">
        <v>13440</v>
      </c>
      <c r="G1161" s="1" t="s">
        <v>9434</v>
      </c>
    </row>
    <row r="1162" spans="1:7" ht="21" x14ac:dyDescent="0.25">
      <c r="A1162" s="2" t="str">
        <f>HYPERLINK("https://rth.dk/resources/bsgatlas/details.php?id=BSGatlas-3'UTR-1161","BSGatlas-3'UTR-1161")</f>
        <v>BSGatlas-3'UTR-1161</v>
      </c>
      <c r="B1162" s="3">
        <v>3070206</v>
      </c>
      <c r="C1162" s="3">
        <v>3070256</v>
      </c>
      <c r="D1162" s="1" t="s">
        <v>9</v>
      </c>
      <c r="E1162" s="3">
        <v>51</v>
      </c>
      <c r="F1162" s="1" t="s">
        <v>13441</v>
      </c>
      <c r="G1162" s="1" t="s">
        <v>9437</v>
      </c>
    </row>
    <row r="1163" spans="1:7" ht="21" x14ac:dyDescent="0.25">
      <c r="A1163" s="2" t="str">
        <f>HYPERLINK("https://rth.dk/resources/bsgatlas/details.php?id=BSGatlas-3'UTR-1162","BSGatlas-3'UTR-1162")</f>
        <v>BSGatlas-3'UTR-1162</v>
      </c>
      <c r="B1163" s="3">
        <v>3070221</v>
      </c>
      <c r="C1163" s="3">
        <v>3070246</v>
      </c>
      <c r="D1163" s="1" t="s">
        <v>13</v>
      </c>
      <c r="E1163" s="3">
        <v>26</v>
      </c>
      <c r="F1163" s="1" t="s">
        <v>14521</v>
      </c>
      <c r="G1163" s="1" t="s">
        <v>9440</v>
      </c>
    </row>
    <row r="1164" spans="1:7" ht="21" x14ac:dyDescent="0.25">
      <c r="A1164" s="2" t="str">
        <f>HYPERLINK("https://rth.dk/resources/bsgatlas/details.php?id=BSGatlas-3'UTR-1163","BSGatlas-3'UTR-1163")</f>
        <v>BSGatlas-3'UTR-1163</v>
      </c>
      <c r="B1164" s="3">
        <v>3072622</v>
      </c>
      <c r="C1164" s="3">
        <v>3072696</v>
      </c>
      <c r="D1164" s="1" t="s">
        <v>9</v>
      </c>
      <c r="E1164" s="3">
        <v>75</v>
      </c>
      <c r="F1164" s="1" t="s">
        <v>14522</v>
      </c>
      <c r="G1164" s="1" t="s">
        <v>9446</v>
      </c>
    </row>
    <row r="1165" spans="1:7" ht="21" x14ac:dyDescent="0.25">
      <c r="A1165" s="2" t="str">
        <f>HYPERLINK("https://rth.dk/resources/bsgatlas/details.php?id=BSGatlas-3'UTR-1164","BSGatlas-3'UTR-1164")</f>
        <v>BSGatlas-3'UTR-1164</v>
      </c>
      <c r="B1165" s="3">
        <v>3073506</v>
      </c>
      <c r="C1165" s="3">
        <v>3073531</v>
      </c>
      <c r="D1165" s="1" t="s">
        <v>13</v>
      </c>
      <c r="E1165" s="3">
        <v>26</v>
      </c>
      <c r="F1165" s="1" t="s">
        <v>13444</v>
      </c>
      <c r="G1165" s="1" t="s">
        <v>9450</v>
      </c>
    </row>
    <row r="1166" spans="1:7" ht="21" x14ac:dyDescent="0.25">
      <c r="A1166" s="2" t="str">
        <f>HYPERLINK("https://rth.dk/resources/bsgatlas/details.php?id=BSGatlas-3'UTR-1165","BSGatlas-3'UTR-1165")</f>
        <v>BSGatlas-3'UTR-1165</v>
      </c>
      <c r="B1166" s="3">
        <v>3078349</v>
      </c>
      <c r="C1166" s="3">
        <v>3078393</v>
      </c>
      <c r="D1166" s="1" t="s">
        <v>13</v>
      </c>
      <c r="E1166" s="3">
        <v>45</v>
      </c>
      <c r="F1166" s="1" t="s">
        <v>13447</v>
      </c>
      <c r="G1166" s="1" t="s">
        <v>9457</v>
      </c>
    </row>
    <row r="1167" spans="1:7" ht="21" x14ac:dyDescent="0.25">
      <c r="A1167" s="2" t="str">
        <f>HYPERLINK("https://rth.dk/resources/bsgatlas/details.php?id=BSGatlas-3'UTR-1166","BSGatlas-3'UTR-1166")</f>
        <v>BSGatlas-3'UTR-1166</v>
      </c>
      <c r="B1167" s="3">
        <v>3078356</v>
      </c>
      <c r="C1167" s="3">
        <v>3078404</v>
      </c>
      <c r="D1167" s="1" t="s">
        <v>9</v>
      </c>
      <c r="E1167" s="3">
        <v>49</v>
      </c>
      <c r="F1167" s="1" t="s">
        <v>13446</v>
      </c>
      <c r="G1167" s="1" t="s">
        <v>9454</v>
      </c>
    </row>
    <row r="1168" spans="1:7" ht="21" x14ac:dyDescent="0.25">
      <c r="A1168" s="2" t="str">
        <f>HYPERLINK("https://rth.dk/resources/bsgatlas/details.php?id=BSGatlas-3'UTR-1167","BSGatlas-3'UTR-1167")</f>
        <v>BSGatlas-3'UTR-1167</v>
      </c>
      <c r="B1168" s="3">
        <v>3085756</v>
      </c>
      <c r="C1168" s="3">
        <v>3085800</v>
      </c>
      <c r="D1168" s="1" t="s">
        <v>13</v>
      </c>
      <c r="E1168" s="3">
        <v>45</v>
      </c>
      <c r="F1168" s="1" t="s">
        <v>14523</v>
      </c>
      <c r="G1168" s="1" t="s">
        <v>9462</v>
      </c>
    </row>
    <row r="1169" spans="1:7" ht="21" x14ac:dyDescent="0.25">
      <c r="A1169" s="2" t="str">
        <f>HYPERLINK("https://rth.dk/resources/bsgatlas/details.php?id=BSGatlas-3'UTR-1168","BSGatlas-3'UTR-1168")</f>
        <v>BSGatlas-3'UTR-1168</v>
      </c>
      <c r="B1169" s="3">
        <v>3088352</v>
      </c>
      <c r="C1169" s="3">
        <v>3088388</v>
      </c>
      <c r="D1169" s="1" t="s">
        <v>13</v>
      </c>
      <c r="E1169" s="3">
        <v>37</v>
      </c>
      <c r="F1169" s="1" t="s">
        <v>14524</v>
      </c>
      <c r="G1169" s="1" t="s">
        <v>9467</v>
      </c>
    </row>
    <row r="1170" spans="1:7" ht="21" x14ac:dyDescent="0.25">
      <c r="A1170" s="2" t="str">
        <f>HYPERLINK("https://rth.dk/resources/bsgatlas/details.php?id=BSGatlas-3'UTR-1169","BSGatlas-3'UTR-1169")</f>
        <v>BSGatlas-3'UTR-1169</v>
      </c>
      <c r="B1170" s="3">
        <v>3090431</v>
      </c>
      <c r="C1170" s="3">
        <v>3090482</v>
      </c>
      <c r="D1170" s="1" t="s">
        <v>13</v>
      </c>
      <c r="E1170" s="3">
        <v>52</v>
      </c>
      <c r="F1170" s="1" t="s">
        <v>14525</v>
      </c>
      <c r="G1170" s="1" t="s">
        <v>9469</v>
      </c>
    </row>
    <row r="1171" spans="1:7" ht="21" x14ac:dyDescent="0.25">
      <c r="A1171" s="2" t="str">
        <f>HYPERLINK("https://rth.dk/resources/bsgatlas/details.php?id=BSGatlas-3'UTR-1170","BSGatlas-3'UTR-1170")</f>
        <v>BSGatlas-3'UTR-1170</v>
      </c>
      <c r="B1171" s="3">
        <v>3095606</v>
      </c>
      <c r="C1171" s="3">
        <v>3095665</v>
      </c>
      <c r="D1171" s="1" t="s">
        <v>13</v>
      </c>
      <c r="E1171" s="3">
        <v>60</v>
      </c>
      <c r="F1171" s="1" t="s">
        <v>13452</v>
      </c>
      <c r="G1171" s="1" t="s">
        <v>9471</v>
      </c>
    </row>
    <row r="1172" spans="1:7" ht="21" x14ac:dyDescent="0.25">
      <c r="A1172" s="2" t="str">
        <f>HYPERLINK("https://rth.dk/resources/bsgatlas/details.php?id=BSGatlas-3'UTR-1171","BSGatlas-3'UTR-1171")</f>
        <v>BSGatlas-3'UTR-1171</v>
      </c>
      <c r="B1172" s="3">
        <v>3102179</v>
      </c>
      <c r="C1172" s="3">
        <v>3102219</v>
      </c>
      <c r="D1172" s="1" t="s">
        <v>9</v>
      </c>
      <c r="E1172" s="3">
        <v>41</v>
      </c>
      <c r="F1172" s="1" t="s">
        <v>13455</v>
      </c>
      <c r="G1172" s="1" t="s">
        <v>9474</v>
      </c>
    </row>
    <row r="1173" spans="1:7" ht="21" x14ac:dyDescent="0.25">
      <c r="A1173" s="2" t="str">
        <f>HYPERLINK("https://rth.dk/resources/bsgatlas/details.php?id=BSGatlas-3'UTR-1172","BSGatlas-3'UTR-1172")</f>
        <v>BSGatlas-3'UTR-1172</v>
      </c>
      <c r="B1173" s="3">
        <v>3102179</v>
      </c>
      <c r="C1173" s="3">
        <v>3102600</v>
      </c>
      <c r="D1173" s="1" t="s">
        <v>9</v>
      </c>
      <c r="E1173" s="3">
        <v>422</v>
      </c>
      <c r="F1173" s="1" t="s">
        <v>13455</v>
      </c>
      <c r="G1173" s="1" t="s">
        <v>9475</v>
      </c>
    </row>
    <row r="1174" spans="1:7" ht="21" x14ac:dyDescent="0.25">
      <c r="A1174" s="2" t="str">
        <f>HYPERLINK("https://rth.dk/resources/bsgatlas/details.php?id=BSGatlas-3'UTR-1173","BSGatlas-3'UTR-1173")</f>
        <v>BSGatlas-3'UTR-1173</v>
      </c>
      <c r="B1174" s="3">
        <v>3102582</v>
      </c>
      <c r="C1174" s="3">
        <v>3102629</v>
      </c>
      <c r="D1174" s="1" t="s">
        <v>13</v>
      </c>
      <c r="E1174" s="3">
        <v>48</v>
      </c>
      <c r="F1174" s="1" t="s">
        <v>13457</v>
      </c>
      <c r="G1174" s="1" t="s">
        <v>9482</v>
      </c>
    </row>
    <row r="1175" spans="1:7" ht="21" x14ac:dyDescent="0.25">
      <c r="A1175" s="2" t="str">
        <f>HYPERLINK("https://rth.dk/resources/bsgatlas/details.php?id=BSGatlas-3'UTR-1174","BSGatlas-3'UTR-1174")</f>
        <v>BSGatlas-3'UTR-1174</v>
      </c>
      <c r="B1175" s="3">
        <v>3105125</v>
      </c>
      <c r="C1175" s="3">
        <v>3105152</v>
      </c>
      <c r="D1175" s="1" t="s">
        <v>13</v>
      </c>
      <c r="E1175" s="3">
        <v>28</v>
      </c>
      <c r="F1175" s="1" t="s">
        <v>14526</v>
      </c>
      <c r="G1175" s="1" t="s">
        <v>9483</v>
      </c>
    </row>
    <row r="1176" spans="1:7" ht="21" x14ac:dyDescent="0.25">
      <c r="A1176" s="2" t="str">
        <f>HYPERLINK("https://rth.dk/resources/bsgatlas/details.php?id=BSGatlas-3'UTR-1175","BSGatlas-3'UTR-1175")</f>
        <v>BSGatlas-3'UTR-1175</v>
      </c>
      <c r="B1176" s="3">
        <v>3106995</v>
      </c>
      <c r="C1176" s="3">
        <v>3107080</v>
      </c>
      <c r="D1176" s="1" t="s">
        <v>9</v>
      </c>
      <c r="E1176" s="3">
        <v>86</v>
      </c>
      <c r="F1176" s="1" t="s">
        <v>13459</v>
      </c>
      <c r="G1176" s="1" t="s">
        <v>9487</v>
      </c>
    </row>
    <row r="1177" spans="1:7" ht="21" x14ac:dyDescent="0.25">
      <c r="A1177" s="2" t="str">
        <f>HYPERLINK("https://rth.dk/resources/bsgatlas/details.php?id=BSGatlas-3'UTR-1176","BSGatlas-3'UTR-1176")</f>
        <v>BSGatlas-3'UTR-1176</v>
      </c>
      <c r="B1177" s="3">
        <v>3107189</v>
      </c>
      <c r="C1177" s="3">
        <v>3107232</v>
      </c>
      <c r="D1177" s="1" t="s">
        <v>13</v>
      </c>
      <c r="E1177" s="3">
        <v>44</v>
      </c>
      <c r="F1177" s="1" t="s">
        <v>13460</v>
      </c>
      <c r="G1177" s="1" t="s">
        <v>9489</v>
      </c>
    </row>
    <row r="1178" spans="1:7" ht="21" x14ac:dyDescent="0.25">
      <c r="A1178" s="2" t="str">
        <f>HYPERLINK("https://rth.dk/resources/bsgatlas/details.php?id=BSGatlas-3'UTR-1177","BSGatlas-3'UTR-1177")</f>
        <v>BSGatlas-3'UTR-1177</v>
      </c>
      <c r="B1178" s="3">
        <v>3109353</v>
      </c>
      <c r="C1178" s="3">
        <v>3109397</v>
      </c>
      <c r="D1178" s="1" t="s">
        <v>13</v>
      </c>
      <c r="E1178" s="3">
        <v>45</v>
      </c>
      <c r="F1178" s="1" t="s">
        <v>14527</v>
      </c>
      <c r="G1178" s="1" t="s">
        <v>9493</v>
      </c>
    </row>
    <row r="1179" spans="1:7" ht="21" x14ac:dyDescent="0.25">
      <c r="A1179" s="2" t="str">
        <f>HYPERLINK("https://rth.dk/resources/bsgatlas/details.php?id=BSGatlas-3'UTR-1178","BSGatlas-3'UTR-1178")</f>
        <v>BSGatlas-3'UTR-1178</v>
      </c>
      <c r="B1179" s="3">
        <v>3109360</v>
      </c>
      <c r="C1179" s="3">
        <v>3109401</v>
      </c>
      <c r="D1179" s="1" t="s">
        <v>9</v>
      </c>
      <c r="E1179" s="3">
        <v>42</v>
      </c>
      <c r="F1179" s="1" t="s">
        <v>13461</v>
      </c>
      <c r="G1179" s="1" t="s">
        <v>9492</v>
      </c>
    </row>
    <row r="1180" spans="1:7" ht="21" x14ac:dyDescent="0.25">
      <c r="A1180" s="2" t="str">
        <f>HYPERLINK("https://rth.dk/resources/bsgatlas/details.php?id=BSGatlas-3'UTR-1179","BSGatlas-3'UTR-1179")</f>
        <v>BSGatlas-3'UTR-1179</v>
      </c>
      <c r="B1180" s="3">
        <v>3112159</v>
      </c>
      <c r="C1180" s="3">
        <v>3112190</v>
      </c>
      <c r="D1180" s="1" t="s">
        <v>13</v>
      </c>
      <c r="E1180" s="3">
        <v>32</v>
      </c>
      <c r="F1180" s="1" t="s">
        <v>14528</v>
      </c>
      <c r="G1180" s="1" t="s">
        <v>9498</v>
      </c>
    </row>
    <row r="1181" spans="1:7" ht="21" x14ac:dyDescent="0.25">
      <c r="A1181" s="2" t="str">
        <f>HYPERLINK("https://rth.dk/resources/bsgatlas/details.php?id=BSGatlas-3'UTR-1180","BSGatlas-3'UTR-1180")</f>
        <v>BSGatlas-3'UTR-1180</v>
      </c>
      <c r="B1181" s="3">
        <v>3113936</v>
      </c>
      <c r="C1181" s="3">
        <v>3113979</v>
      </c>
      <c r="D1181" s="1" t="s">
        <v>13</v>
      </c>
      <c r="E1181" s="3">
        <v>44</v>
      </c>
      <c r="F1181" s="1" t="s">
        <v>14529</v>
      </c>
      <c r="G1181" s="1" t="s">
        <v>9500</v>
      </c>
    </row>
    <row r="1182" spans="1:7" ht="21" x14ac:dyDescent="0.25">
      <c r="A1182" s="2" t="str">
        <f>HYPERLINK("https://rth.dk/resources/bsgatlas/details.php?id=BSGatlas-3'UTR-1181","BSGatlas-3'UTR-1181")</f>
        <v>BSGatlas-3'UTR-1181</v>
      </c>
      <c r="B1182" s="3">
        <v>3119550</v>
      </c>
      <c r="C1182" s="3">
        <v>3119565</v>
      </c>
      <c r="D1182" s="1" t="s">
        <v>13</v>
      </c>
      <c r="E1182" s="3">
        <v>16</v>
      </c>
      <c r="F1182" s="1" t="s">
        <v>13465</v>
      </c>
      <c r="G1182" s="1" t="s">
        <v>9505</v>
      </c>
    </row>
    <row r="1183" spans="1:7" ht="21" x14ac:dyDescent="0.25">
      <c r="A1183" s="2" t="str">
        <f>HYPERLINK("https://rth.dk/resources/bsgatlas/details.php?id=BSGatlas-3'UTR-1182","BSGatlas-3'UTR-1182")</f>
        <v>BSGatlas-3'UTR-1182</v>
      </c>
      <c r="B1183" s="3">
        <v>3121516</v>
      </c>
      <c r="C1183" s="3">
        <v>3121538</v>
      </c>
      <c r="D1183" s="1" t="s">
        <v>13</v>
      </c>
      <c r="E1183" s="3">
        <v>23</v>
      </c>
      <c r="F1183" s="1" t="s">
        <v>14530</v>
      </c>
      <c r="G1183" s="1" t="s">
        <v>9510</v>
      </c>
    </row>
    <row r="1184" spans="1:7" ht="21" x14ac:dyDescent="0.25">
      <c r="A1184" s="2" t="str">
        <f>HYPERLINK("https://rth.dk/resources/bsgatlas/details.php?id=BSGatlas-3'UTR-1183","BSGatlas-3'UTR-1183")</f>
        <v>BSGatlas-3'UTR-1183</v>
      </c>
      <c r="B1184" s="3">
        <v>3124212</v>
      </c>
      <c r="C1184" s="3">
        <v>3124250</v>
      </c>
      <c r="D1184" s="1" t="s">
        <v>13</v>
      </c>
      <c r="E1184" s="3">
        <v>39</v>
      </c>
      <c r="F1184" s="1" t="s">
        <v>14531</v>
      </c>
      <c r="G1184" s="1" t="s">
        <v>9516</v>
      </c>
    </row>
    <row r="1185" spans="1:7" ht="21" x14ac:dyDescent="0.25">
      <c r="A1185" s="2" t="str">
        <f>HYPERLINK("https://rth.dk/resources/bsgatlas/details.php?id=BSGatlas-3'UTR-1184","BSGatlas-3'UTR-1184")</f>
        <v>BSGatlas-3'UTR-1184</v>
      </c>
      <c r="B1185" s="3">
        <v>3127782</v>
      </c>
      <c r="C1185" s="3">
        <v>3127825</v>
      </c>
      <c r="D1185" s="1" t="s">
        <v>13</v>
      </c>
      <c r="E1185" s="3">
        <v>44</v>
      </c>
      <c r="F1185" s="1" t="s">
        <v>13469</v>
      </c>
      <c r="G1185" s="1" t="s">
        <v>9518</v>
      </c>
    </row>
    <row r="1186" spans="1:7" ht="21" x14ac:dyDescent="0.25">
      <c r="A1186" s="2" t="str">
        <f>HYPERLINK("https://rth.dk/resources/bsgatlas/details.php?id=BSGatlas-3'UTR-1185","BSGatlas-3'UTR-1185")</f>
        <v>BSGatlas-3'UTR-1185</v>
      </c>
      <c r="B1186" s="3">
        <v>3131108</v>
      </c>
      <c r="C1186" s="3">
        <v>3131152</v>
      </c>
      <c r="D1186" s="1" t="s">
        <v>13</v>
      </c>
      <c r="E1186" s="3">
        <v>45</v>
      </c>
      <c r="F1186" s="1" t="s">
        <v>14532</v>
      </c>
      <c r="G1186" s="1" t="s">
        <v>9522</v>
      </c>
    </row>
    <row r="1187" spans="1:7" ht="21" x14ac:dyDescent="0.25">
      <c r="A1187" s="2" t="str">
        <f>HYPERLINK("https://rth.dk/resources/bsgatlas/details.php?id=BSGatlas-3'UTR-1186","BSGatlas-3'UTR-1186")</f>
        <v>BSGatlas-3'UTR-1186</v>
      </c>
      <c r="B1187" s="3">
        <v>3131113</v>
      </c>
      <c r="C1187" s="3">
        <v>3131161</v>
      </c>
      <c r="D1187" s="1" t="s">
        <v>9</v>
      </c>
      <c r="E1187" s="3">
        <v>49</v>
      </c>
      <c r="F1187" s="1" t="s">
        <v>13470</v>
      </c>
      <c r="G1187" s="1" t="s">
        <v>9521</v>
      </c>
    </row>
    <row r="1188" spans="1:7" ht="21" x14ac:dyDescent="0.25">
      <c r="A1188" s="2" t="str">
        <f>HYPERLINK("https://rth.dk/resources/bsgatlas/details.php?id=BSGatlas-3'UTR-1187","BSGatlas-3'UTR-1187")</f>
        <v>BSGatlas-3'UTR-1187</v>
      </c>
      <c r="B1188" s="3">
        <v>3133358</v>
      </c>
      <c r="C1188" s="3">
        <v>3134983</v>
      </c>
      <c r="D1188" s="1" t="s">
        <v>13</v>
      </c>
      <c r="E1188" s="3">
        <v>1626</v>
      </c>
      <c r="F1188" s="1" t="s">
        <v>13473</v>
      </c>
      <c r="G1188" s="1" t="s">
        <v>9528</v>
      </c>
    </row>
    <row r="1189" spans="1:7" ht="21" x14ac:dyDescent="0.25">
      <c r="A1189" s="2" t="str">
        <f>HYPERLINK("https://rth.dk/resources/bsgatlas/details.php?id=BSGatlas-3'UTR-1188","BSGatlas-3'UTR-1188")</f>
        <v>BSGatlas-3'UTR-1188</v>
      </c>
      <c r="B1189" s="3">
        <v>3134946</v>
      </c>
      <c r="C1189" s="3">
        <v>3134983</v>
      </c>
      <c r="D1189" s="1" t="s">
        <v>13</v>
      </c>
      <c r="E1189" s="3">
        <v>38</v>
      </c>
      <c r="F1189" s="1" t="s">
        <v>13473</v>
      </c>
      <c r="G1189" s="1" t="s">
        <v>9531</v>
      </c>
    </row>
    <row r="1190" spans="1:7" ht="21" x14ac:dyDescent="0.25">
      <c r="A1190" s="2" t="str">
        <f>HYPERLINK("https://rth.dk/resources/bsgatlas/details.php?id=BSGatlas-3'UTR-1189","BSGatlas-3'UTR-1189")</f>
        <v>BSGatlas-3'UTR-1189</v>
      </c>
      <c r="B1190" s="3">
        <v>3134956</v>
      </c>
      <c r="C1190" s="3">
        <v>3134993</v>
      </c>
      <c r="D1190" s="1" t="s">
        <v>9</v>
      </c>
      <c r="E1190" s="3">
        <v>38</v>
      </c>
      <c r="F1190" s="1" t="s">
        <v>14533</v>
      </c>
      <c r="G1190" s="1" t="s">
        <v>9526</v>
      </c>
    </row>
    <row r="1191" spans="1:7" ht="21" x14ac:dyDescent="0.25">
      <c r="A1191" s="2" t="str">
        <f>HYPERLINK("https://rth.dk/resources/bsgatlas/details.php?id=BSGatlas-3'UTR-1190","BSGatlas-3'UTR-1190")</f>
        <v>BSGatlas-3'UTR-1190</v>
      </c>
      <c r="B1191" s="3">
        <v>3136179</v>
      </c>
      <c r="C1191" s="3">
        <v>3136238</v>
      </c>
      <c r="D1191" s="1" t="s">
        <v>13</v>
      </c>
      <c r="E1191" s="3">
        <v>60</v>
      </c>
      <c r="F1191" s="1" t="s">
        <v>13475</v>
      </c>
      <c r="G1191" s="1" t="s">
        <v>9534</v>
      </c>
    </row>
    <row r="1192" spans="1:7" ht="21" x14ac:dyDescent="0.25">
      <c r="A1192" s="2" t="str">
        <f>HYPERLINK("https://rth.dk/resources/bsgatlas/details.php?id=BSGatlas-3'UTR-1191","BSGatlas-3'UTR-1191")</f>
        <v>BSGatlas-3'UTR-1191</v>
      </c>
      <c r="B1192" s="3">
        <v>3136944</v>
      </c>
      <c r="C1192" s="3">
        <v>3136986</v>
      </c>
      <c r="D1192" s="1" t="s">
        <v>9</v>
      </c>
      <c r="E1192" s="3">
        <v>43</v>
      </c>
      <c r="F1192" s="1" t="s">
        <v>14534</v>
      </c>
      <c r="G1192" s="1" t="s">
        <v>9540</v>
      </c>
    </row>
    <row r="1193" spans="1:7" ht="21" x14ac:dyDescent="0.25">
      <c r="A1193" s="2" t="str">
        <f>HYPERLINK("https://rth.dk/resources/bsgatlas/details.php?id=BSGatlas-3'UTR-1192","BSGatlas-3'UTR-1192")</f>
        <v>BSGatlas-3'UTR-1192</v>
      </c>
      <c r="B1193" s="3">
        <v>3137443</v>
      </c>
      <c r="C1193" s="3">
        <v>3137495</v>
      </c>
      <c r="D1193" s="1" t="s">
        <v>13</v>
      </c>
      <c r="E1193" s="3">
        <v>53</v>
      </c>
      <c r="F1193" s="1" t="s">
        <v>14535</v>
      </c>
      <c r="G1193" s="1" t="s">
        <v>9541</v>
      </c>
    </row>
    <row r="1194" spans="1:7" ht="21" x14ac:dyDescent="0.25">
      <c r="A1194" s="2" t="str">
        <f>HYPERLINK("https://rth.dk/resources/bsgatlas/details.php?id=BSGatlas-3'UTR-1193","BSGatlas-3'UTR-1193")</f>
        <v>BSGatlas-3'UTR-1193</v>
      </c>
      <c r="B1194" s="3">
        <v>3142054</v>
      </c>
      <c r="C1194" s="3">
        <v>3142077</v>
      </c>
      <c r="D1194" s="1" t="s">
        <v>13</v>
      </c>
      <c r="E1194" s="3">
        <v>24</v>
      </c>
      <c r="F1194" s="1" t="s">
        <v>14536</v>
      </c>
      <c r="G1194" s="1" t="s">
        <v>9555</v>
      </c>
    </row>
    <row r="1195" spans="1:7" ht="21" x14ac:dyDescent="0.25">
      <c r="A1195" s="2" t="str">
        <f>HYPERLINK("https://rth.dk/resources/bsgatlas/details.php?id=BSGatlas-3'UTR-1194","BSGatlas-3'UTR-1194")</f>
        <v>BSGatlas-3'UTR-1194</v>
      </c>
      <c r="B1195" s="3">
        <v>3142058</v>
      </c>
      <c r="C1195" s="3">
        <v>3142102</v>
      </c>
      <c r="D1195" s="1" t="s">
        <v>9</v>
      </c>
      <c r="E1195" s="3">
        <v>45</v>
      </c>
      <c r="F1195" s="1" t="s">
        <v>13481</v>
      </c>
      <c r="G1195" s="1" t="s">
        <v>9551</v>
      </c>
    </row>
    <row r="1196" spans="1:7" ht="21" x14ac:dyDescent="0.25">
      <c r="A1196" s="2" t="str">
        <f>HYPERLINK("https://rth.dk/resources/bsgatlas/details.php?id=BSGatlas-3'UTR-1195","BSGatlas-3'UTR-1195")</f>
        <v>BSGatlas-3'UTR-1195</v>
      </c>
      <c r="B1196" s="3">
        <v>3146205</v>
      </c>
      <c r="C1196" s="3">
        <v>3146238</v>
      </c>
      <c r="D1196" s="1" t="s">
        <v>13</v>
      </c>
      <c r="E1196" s="3">
        <v>34</v>
      </c>
      <c r="F1196" s="1" t="s">
        <v>14537</v>
      </c>
      <c r="G1196" s="1" t="s">
        <v>9561</v>
      </c>
    </row>
    <row r="1197" spans="1:7" ht="21" x14ac:dyDescent="0.25">
      <c r="A1197" s="2" t="str">
        <f>HYPERLINK("https://rth.dk/resources/bsgatlas/details.php?id=BSGatlas-3'UTR-1196","BSGatlas-3'UTR-1196")</f>
        <v>BSGatlas-3'UTR-1196</v>
      </c>
      <c r="B1197" s="3">
        <v>3148837</v>
      </c>
      <c r="C1197" s="3">
        <v>3148901</v>
      </c>
      <c r="D1197" s="1" t="s">
        <v>13</v>
      </c>
      <c r="E1197" s="3">
        <v>65</v>
      </c>
      <c r="F1197" s="1" t="s">
        <v>13483</v>
      </c>
      <c r="G1197" s="1" t="s">
        <v>9571</v>
      </c>
    </row>
    <row r="1198" spans="1:7" ht="21" x14ac:dyDescent="0.25">
      <c r="A1198" s="2" t="str">
        <f>HYPERLINK("https://rth.dk/resources/bsgatlas/details.php?id=BSGatlas-3'UTR-1197","BSGatlas-3'UTR-1197")</f>
        <v>BSGatlas-3'UTR-1197</v>
      </c>
      <c r="B1198" s="3">
        <v>3154044</v>
      </c>
      <c r="C1198" s="3">
        <v>3154735</v>
      </c>
      <c r="D1198" s="1" t="s">
        <v>13</v>
      </c>
      <c r="E1198" s="3">
        <v>692</v>
      </c>
      <c r="F1198" s="1" t="s">
        <v>13486</v>
      </c>
      <c r="G1198" s="1" t="s">
        <v>9576</v>
      </c>
    </row>
    <row r="1199" spans="1:7" ht="21" x14ac:dyDescent="0.25">
      <c r="A1199" s="2" t="str">
        <f>HYPERLINK("https://rth.dk/resources/bsgatlas/details.php?id=BSGatlas-3'UTR-1198","BSGatlas-3'UTR-1198")</f>
        <v>BSGatlas-3'UTR-1198</v>
      </c>
      <c r="B1199" s="3">
        <v>3154726</v>
      </c>
      <c r="C1199" s="3">
        <v>3154759</v>
      </c>
      <c r="D1199" s="1" t="s">
        <v>9</v>
      </c>
      <c r="E1199" s="3">
        <v>34</v>
      </c>
      <c r="F1199" s="1" t="s">
        <v>13485</v>
      </c>
      <c r="G1199" s="1" t="s">
        <v>9574</v>
      </c>
    </row>
    <row r="1200" spans="1:7" ht="21" x14ac:dyDescent="0.25">
      <c r="A1200" s="2" t="str">
        <f>HYPERLINK("https://rth.dk/resources/bsgatlas/details.php?id=BSGatlas-3'UTR-1199","BSGatlas-3'UTR-1199")</f>
        <v>BSGatlas-3'UTR-1199</v>
      </c>
      <c r="B1200" s="3">
        <v>3159086</v>
      </c>
      <c r="C1200" s="3">
        <v>3159258</v>
      </c>
      <c r="D1200" s="1" t="s">
        <v>13</v>
      </c>
      <c r="E1200" s="3">
        <v>173</v>
      </c>
      <c r="F1200" s="1" t="s">
        <v>14538</v>
      </c>
      <c r="G1200" s="1" t="s">
        <v>9583</v>
      </c>
    </row>
    <row r="1201" spans="1:7" ht="21" x14ac:dyDescent="0.25">
      <c r="A1201" s="2" t="str">
        <f>HYPERLINK("https://rth.dk/resources/bsgatlas/details.php?id=BSGatlas-3'UTR-1200","BSGatlas-3'UTR-1200")</f>
        <v>BSGatlas-3'UTR-1200</v>
      </c>
      <c r="B1201" s="3">
        <v>3159184</v>
      </c>
      <c r="C1201" s="3">
        <v>3159229</v>
      </c>
      <c r="D1201" s="1" t="s">
        <v>9</v>
      </c>
      <c r="E1201" s="3">
        <v>46</v>
      </c>
      <c r="F1201" s="1" t="s">
        <v>14539</v>
      </c>
      <c r="G1201" s="1" t="s">
        <v>9579</v>
      </c>
    </row>
    <row r="1202" spans="1:7" ht="21" x14ac:dyDescent="0.25">
      <c r="A1202" s="2" t="str">
        <f>HYPERLINK("https://rth.dk/resources/bsgatlas/details.php?id=BSGatlas-3'UTR-1201","BSGatlas-3'UTR-1201")</f>
        <v>BSGatlas-3'UTR-1201</v>
      </c>
      <c r="B1202" s="3">
        <v>3159184</v>
      </c>
      <c r="C1202" s="3">
        <v>3159785</v>
      </c>
      <c r="D1202" s="1" t="s">
        <v>9</v>
      </c>
      <c r="E1202" s="3">
        <v>602</v>
      </c>
      <c r="F1202" s="1" t="s">
        <v>14539</v>
      </c>
      <c r="G1202" s="1" t="s">
        <v>9580</v>
      </c>
    </row>
    <row r="1203" spans="1:7" ht="21" x14ac:dyDescent="0.25">
      <c r="A1203" s="2" t="str">
        <f>HYPERLINK("https://rth.dk/resources/bsgatlas/details.php?id=BSGatlas-3'UTR-1202","BSGatlas-3'UTR-1202")</f>
        <v>BSGatlas-3'UTR-1202</v>
      </c>
      <c r="B1203" s="3">
        <v>3159228</v>
      </c>
      <c r="C1203" s="3">
        <v>3159258</v>
      </c>
      <c r="D1203" s="1" t="s">
        <v>13</v>
      </c>
      <c r="E1203" s="3">
        <v>31</v>
      </c>
      <c r="F1203" s="1" t="s">
        <v>14538</v>
      </c>
      <c r="G1203" s="1" t="s">
        <v>9584</v>
      </c>
    </row>
    <row r="1204" spans="1:7" ht="21" x14ac:dyDescent="0.25">
      <c r="A1204" s="2" t="str">
        <f>HYPERLINK("https://rth.dk/resources/bsgatlas/details.php?id=BSGatlas-3'UTR-1203","BSGatlas-3'UTR-1203")</f>
        <v>BSGatlas-3'UTR-1203</v>
      </c>
      <c r="B1204" s="3">
        <v>3163699</v>
      </c>
      <c r="C1204" s="3">
        <v>3163735</v>
      </c>
      <c r="D1204" s="1" t="s">
        <v>13</v>
      </c>
      <c r="E1204" s="3">
        <v>37</v>
      </c>
      <c r="F1204" s="1" t="s">
        <v>14540</v>
      </c>
      <c r="G1204" s="1" t="s">
        <v>9593</v>
      </c>
    </row>
    <row r="1205" spans="1:7" ht="21" x14ac:dyDescent="0.25">
      <c r="A1205" s="2" t="str">
        <f>HYPERLINK("https://rth.dk/resources/bsgatlas/details.php?id=BSGatlas-3'UTR-1204","BSGatlas-3'UTR-1204")</f>
        <v>BSGatlas-3'UTR-1204</v>
      </c>
      <c r="B1205" s="3">
        <v>3163704</v>
      </c>
      <c r="C1205" s="3">
        <v>3163745</v>
      </c>
      <c r="D1205" s="1" t="s">
        <v>9</v>
      </c>
      <c r="E1205" s="3">
        <v>42</v>
      </c>
      <c r="F1205" s="1" t="s">
        <v>13490</v>
      </c>
      <c r="G1205" s="1" t="s">
        <v>9590</v>
      </c>
    </row>
    <row r="1206" spans="1:7" ht="21" x14ac:dyDescent="0.25">
      <c r="A1206" s="2" t="str">
        <f>HYPERLINK("https://rth.dk/resources/bsgatlas/details.php?id=BSGatlas-3'UTR-1205","BSGatlas-3'UTR-1205")</f>
        <v>BSGatlas-3'UTR-1205</v>
      </c>
      <c r="B1206" s="3">
        <v>3171694</v>
      </c>
      <c r="C1206" s="3">
        <v>3171878</v>
      </c>
      <c r="D1206" s="1" t="s">
        <v>13</v>
      </c>
      <c r="E1206" s="3">
        <v>185</v>
      </c>
      <c r="F1206" s="1" t="s">
        <v>14541</v>
      </c>
      <c r="G1206" s="1" t="s">
        <v>9597</v>
      </c>
    </row>
    <row r="1207" spans="1:7" ht="21" x14ac:dyDescent="0.25">
      <c r="A1207" s="2" t="str">
        <f>HYPERLINK("https://rth.dk/resources/bsgatlas/details.php?id=BSGatlas-3'UTR-1206","BSGatlas-3'UTR-1206")</f>
        <v>BSGatlas-3'UTR-1206</v>
      </c>
      <c r="B1207" s="3">
        <v>3171736</v>
      </c>
      <c r="C1207" s="3">
        <v>3171878</v>
      </c>
      <c r="D1207" s="1" t="s">
        <v>13</v>
      </c>
      <c r="E1207" s="3">
        <v>143</v>
      </c>
      <c r="F1207" s="1" t="s">
        <v>14541</v>
      </c>
      <c r="G1207" s="1" t="s">
        <v>9599</v>
      </c>
    </row>
    <row r="1208" spans="1:7" ht="21" x14ac:dyDescent="0.25">
      <c r="A1208" s="2" t="str">
        <f>HYPERLINK("https://rth.dk/resources/bsgatlas/details.php?id=BSGatlas-3'UTR-1207","BSGatlas-3'UTR-1207")</f>
        <v>BSGatlas-3'UTR-1207</v>
      </c>
      <c r="B1208" s="3">
        <v>3171837</v>
      </c>
      <c r="C1208" s="3">
        <v>3171878</v>
      </c>
      <c r="D1208" s="1" t="s">
        <v>13</v>
      </c>
      <c r="E1208" s="3">
        <v>42</v>
      </c>
      <c r="F1208" s="1" t="s">
        <v>14541</v>
      </c>
      <c r="G1208" s="1" t="s">
        <v>9600</v>
      </c>
    </row>
    <row r="1209" spans="1:7" ht="21" x14ac:dyDescent="0.25">
      <c r="A1209" s="2" t="str">
        <f>HYPERLINK("https://rth.dk/resources/bsgatlas/details.php?id=BSGatlas-3'UTR-1208","BSGatlas-3'UTR-1208")</f>
        <v>BSGatlas-3'UTR-1208</v>
      </c>
      <c r="B1209" s="3">
        <v>3178701</v>
      </c>
      <c r="C1209" s="3">
        <v>3178906</v>
      </c>
      <c r="D1209" s="1" t="s">
        <v>9</v>
      </c>
      <c r="E1209" s="3">
        <v>206</v>
      </c>
      <c r="F1209" s="1" t="s">
        <v>14542</v>
      </c>
      <c r="G1209" s="1" t="s">
        <v>9601</v>
      </c>
    </row>
    <row r="1210" spans="1:7" ht="21" x14ac:dyDescent="0.25">
      <c r="A1210" s="2" t="str">
        <f>HYPERLINK("https://rth.dk/resources/bsgatlas/details.php?id=BSGatlas-3'UTR-1209","BSGatlas-3'UTR-1209")</f>
        <v>BSGatlas-3'UTR-1209</v>
      </c>
      <c r="B1210" s="3">
        <v>3179206</v>
      </c>
      <c r="C1210" s="3">
        <v>3179227</v>
      </c>
      <c r="D1210" s="1" t="s">
        <v>9</v>
      </c>
      <c r="E1210" s="3">
        <v>22</v>
      </c>
      <c r="F1210" s="1" t="s">
        <v>14543</v>
      </c>
      <c r="G1210" s="1" t="s">
        <v>9605</v>
      </c>
    </row>
    <row r="1211" spans="1:7" ht="21" x14ac:dyDescent="0.25">
      <c r="A1211" s="2" t="str">
        <f>HYPERLINK("https://rth.dk/resources/bsgatlas/details.php?id=BSGatlas-3'UTR-1210","BSGatlas-3'UTR-1210")</f>
        <v>BSGatlas-3'UTR-1210</v>
      </c>
      <c r="B1211" s="3">
        <v>3179879</v>
      </c>
      <c r="C1211" s="3">
        <v>3179926</v>
      </c>
      <c r="D1211" s="1" t="s">
        <v>13</v>
      </c>
      <c r="E1211" s="3">
        <v>48</v>
      </c>
      <c r="F1211" s="1" t="s">
        <v>14544</v>
      </c>
      <c r="G1211" s="1" t="s">
        <v>9608</v>
      </c>
    </row>
    <row r="1212" spans="1:7" ht="21" x14ac:dyDescent="0.25">
      <c r="A1212" s="2" t="str">
        <f>HYPERLINK("https://rth.dk/resources/bsgatlas/details.php?id=BSGatlas-3'UTR-1211","BSGatlas-3'UTR-1211")</f>
        <v>BSGatlas-3'UTR-1211</v>
      </c>
      <c r="B1212" s="3">
        <v>3183195</v>
      </c>
      <c r="C1212" s="3">
        <v>3183641</v>
      </c>
      <c r="D1212" s="1" t="s">
        <v>9</v>
      </c>
      <c r="E1212" s="3">
        <v>447</v>
      </c>
      <c r="F1212" s="1" t="s">
        <v>13495</v>
      </c>
      <c r="G1212" s="1" t="s">
        <v>9613</v>
      </c>
    </row>
    <row r="1213" spans="1:7" ht="21" x14ac:dyDescent="0.25">
      <c r="A1213" s="2" t="str">
        <f>HYPERLINK("https://rth.dk/resources/bsgatlas/details.php?id=BSGatlas-3'UTR-1212","BSGatlas-3'UTR-1212")</f>
        <v>BSGatlas-3'UTR-1212</v>
      </c>
      <c r="B1213" s="3">
        <v>3194348</v>
      </c>
      <c r="C1213" s="3">
        <v>3194614</v>
      </c>
      <c r="D1213" s="1" t="s">
        <v>9</v>
      </c>
      <c r="E1213" s="3">
        <v>267</v>
      </c>
      <c r="F1213" s="1" t="s">
        <v>13503</v>
      </c>
      <c r="G1213" s="1" t="s">
        <v>9635</v>
      </c>
    </row>
    <row r="1214" spans="1:7" ht="21" x14ac:dyDescent="0.25">
      <c r="A1214" s="2" t="str">
        <f>HYPERLINK("https://rth.dk/resources/bsgatlas/details.php?id=BSGatlas-3'UTR-1213","BSGatlas-3'UTR-1213")</f>
        <v>BSGatlas-3'UTR-1213</v>
      </c>
      <c r="B1214" s="3">
        <v>3194448</v>
      </c>
      <c r="C1214" s="3">
        <v>3194635</v>
      </c>
      <c r="D1214" s="1" t="s">
        <v>13</v>
      </c>
      <c r="E1214" s="3">
        <v>188</v>
      </c>
      <c r="F1214" s="1" t="s">
        <v>14545</v>
      </c>
      <c r="G1214" s="1" t="s">
        <v>9639</v>
      </c>
    </row>
    <row r="1215" spans="1:7" ht="21" x14ac:dyDescent="0.25">
      <c r="A1215" s="2" t="str">
        <f>HYPERLINK("https://rth.dk/resources/bsgatlas/details.php?id=BSGatlas-3'UTR-1214","BSGatlas-3'UTR-1214")</f>
        <v>BSGatlas-3'UTR-1214</v>
      </c>
      <c r="B1215" s="3">
        <v>3197892</v>
      </c>
      <c r="C1215" s="3">
        <v>3197940</v>
      </c>
      <c r="D1215" s="1" t="s">
        <v>9</v>
      </c>
      <c r="E1215" s="3">
        <v>49</v>
      </c>
      <c r="F1215" s="1" t="s">
        <v>13507</v>
      </c>
      <c r="G1215" s="1" t="s">
        <v>9644</v>
      </c>
    </row>
    <row r="1216" spans="1:7" ht="21" x14ac:dyDescent="0.25">
      <c r="A1216" s="2" t="str">
        <f>HYPERLINK("https://rth.dk/resources/bsgatlas/details.php?id=BSGatlas-3'UTR-1215","BSGatlas-3'UTR-1215")</f>
        <v>BSGatlas-3'UTR-1215</v>
      </c>
      <c r="B1216" s="3">
        <v>3204024</v>
      </c>
      <c r="C1216" s="3">
        <v>3204067</v>
      </c>
      <c r="D1216" s="1" t="s">
        <v>13</v>
      </c>
      <c r="E1216" s="3">
        <v>44</v>
      </c>
      <c r="F1216" s="1" t="s">
        <v>13510</v>
      </c>
      <c r="G1216" s="1" t="s">
        <v>9652</v>
      </c>
    </row>
    <row r="1217" spans="1:7" ht="21" x14ac:dyDescent="0.25">
      <c r="A1217" s="2" t="str">
        <f>HYPERLINK("https://rth.dk/resources/bsgatlas/details.php?id=BSGatlas-3'UTR-1216","BSGatlas-3'UTR-1216")</f>
        <v>BSGatlas-3'UTR-1216</v>
      </c>
      <c r="B1217" s="3">
        <v>3206119</v>
      </c>
      <c r="C1217" s="3">
        <v>3206169</v>
      </c>
      <c r="D1217" s="1" t="s">
        <v>13</v>
      </c>
      <c r="E1217" s="3">
        <v>51</v>
      </c>
      <c r="F1217" s="1" t="s">
        <v>13511</v>
      </c>
      <c r="G1217" s="1" t="s">
        <v>9655</v>
      </c>
    </row>
    <row r="1218" spans="1:7" ht="21" x14ac:dyDescent="0.25">
      <c r="A1218" s="2" t="str">
        <f>HYPERLINK("https://rth.dk/resources/bsgatlas/details.php?id=BSGatlas-3'UTR-1217","BSGatlas-3'UTR-1217")</f>
        <v>BSGatlas-3'UTR-1217</v>
      </c>
      <c r="B1218" s="3">
        <v>3210400</v>
      </c>
      <c r="C1218" s="3">
        <v>3210445</v>
      </c>
      <c r="D1218" s="1" t="s">
        <v>13</v>
      </c>
      <c r="E1218" s="3">
        <v>46</v>
      </c>
      <c r="F1218" s="1" t="s">
        <v>13513</v>
      </c>
      <c r="G1218" s="1" t="s">
        <v>9659</v>
      </c>
    </row>
    <row r="1219" spans="1:7" ht="21" x14ac:dyDescent="0.25">
      <c r="A1219" s="2" t="str">
        <f>HYPERLINK("https://rth.dk/resources/bsgatlas/details.php?id=BSGatlas-3'UTR-1218","BSGatlas-3'UTR-1218")</f>
        <v>BSGatlas-3'UTR-1218</v>
      </c>
      <c r="B1219" s="3">
        <v>3213328</v>
      </c>
      <c r="C1219" s="3">
        <v>3213377</v>
      </c>
      <c r="D1219" s="1" t="s">
        <v>9</v>
      </c>
      <c r="E1219" s="3">
        <v>50</v>
      </c>
      <c r="F1219" s="1" t="s">
        <v>13514</v>
      </c>
      <c r="G1219" s="1" t="s">
        <v>9663</v>
      </c>
    </row>
    <row r="1220" spans="1:7" ht="21" x14ac:dyDescent="0.25">
      <c r="A1220" s="2" t="str">
        <f>HYPERLINK("https://rth.dk/resources/bsgatlas/details.php?id=BSGatlas-3'UTR-1219","BSGatlas-3'UTR-1219")</f>
        <v>BSGatlas-3'UTR-1219</v>
      </c>
      <c r="B1220" s="3">
        <v>3214337</v>
      </c>
      <c r="C1220" s="3">
        <v>3214372</v>
      </c>
      <c r="D1220" s="1" t="s">
        <v>13</v>
      </c>
      <c r="E1220" s="3">
        <v>36</v>
      </c>
      <c r="F1220" s="1" t="s">
        <v>13515</v>
      </c>
      <c r="G1220" s="1" t="s">
        <v>9668</v>
      </c>
    </row>
    <row r="1221" spans="1:7" ht="21" x14ac:dyDescent="0.25">
      <c r="A1221" s="2" t="str">
        <f>HYPERLINK("https://rth.dk/resources/bsgatlas/details.php?id=BSGatlas-3'UTR-1220","BSGatlas-3'UTR-1220")</f>
        <v>BSGatlas-3'UTR-1220</v>
      </c>
      <c r="B1221" s="3">
        <v>3216120</v>
      </c>
      <c r="C1221" s="3">
        <v>3216163</v>
      </c>
      <c r="D1221" s="1" t="s">
        <v>13</v>
      </c>
      <c r="E1221" s="3">
        <v>44</v>
      </c>
      <c r="F1221" s="1" t="s">
        <v>14546</v>
      </c>
      <c r="G1221" s="1" t="s">
        <v>9670</v>
      </c>
    </row>
    <row r="1222" spans="1:7" ht="21" x14ac:dyDescent="0.25">
      <c r="A1222" s="2" t="str">
        <f>HYPERLINK("https://rth.dk/resources/bsgatlas/details.php?id=BSGatlas-3'UTR-1221","BSGatlas-3'UTR-1221")</f>
        <v>BSGatlas-3'UTR-1221</v>
      </c>
      <c r="B1222" s="3">
        <v>3219756</v>
      </c>
      <c r="C1222" s="3">
        <v>3219837</v>
      </c>
      <c r="D1222" s="1" t="s">
        <v>13</v>
      </c>
      <c r="E1222" s="3">
        <v>82</v>
      </c>
      <c r="F1222" s="1" t="s">
        <v>14547</v>
      </c>
      <c r="G1222" s="1" t="s">
        <v>9680</v>
      </c>
    </row>
    <row r="1223" spans="1:7" ht="21" x14ac:dyDescent="0.25">
      <c r="A1223" s="2" t="str">
        <f>HYPERLINK("https://rth.dk/resources/bsgatlas/details.php?id=BSGatlas-3'UTR-1222","BSGatlas-3'UTR-1222")</f>
        <v>BSGatlas-3'UTR-1222</v>
      </c>
      <c r="B1223" s="3">
        <v>3220683</v>
      </c>
      <c r="C1223" s="3">
        <v>3220731</v>
      </c>
      <c r="D1223" s="1" t="s">
        <v>13</v>
      </c>
      <c r="E1223" s="3">
        <v>49</v>
      </c>
      <c r="F1223" s="1" t="s">
        <v>13519</v>
      </c>
      <c r="G1223" s="1" t="s">
        <v>9684</v>
      </c>
    </row>
    <row r="1224" spans="1:7" ht="21" x14ac:dyDescent="0.25">
      <c r="A1224" s="2" t="str">
        <f>HYPERLINK("https://rth.dk/resources/bsgatlas/details.php?id=BSGatlas-3'UTR-1223","BSGatlas-3'UTR-1223")</f>
        <v>BSGatlas-3'UTR-1223</v>
      </c>
      <c r="B1224" s="3">
        <v>3222149</v>
      </c>
      <c r="C1224" s="3">
        <v>3222195</v>
      </c>
      <c r="D1224" s="1" t="s">
        <v>13</v>
      </c>
      <c r="E1224" s="3">
        <v>47</v>
      </c>
      <c r="F1224" s="1" t="s">
        <v>13520</v>
      </c>
      <c r="G1224" s="1" t="s">
        <v>9686</v>
      </c>
    </row>
    <row r="1225" spans="1:7" ht="21" x14ac:dyDescent="0.25">
      <c r="A1225" s="2" t="str">
        <f>HYPERLINK("https://rth.dk/resources/bsgatlas/details.php?id=BSGatlas-3'UTR-1224","BSGatlas-3'UTR-1224")</f>
        <v>BSGatlas-3'UTR-1224</v>
      </c>
      <c r="B1225" s="3">
        <v>3223424</v>
      </c>
      <c r="C1225" s="3">
        <v>3223471</v>
      </c>
      <c r="D1225" s="1" t="s">
        <v>13</v>
      </c>
      <c r="E1225" s="3">
        <v>48</v>
      </c>
      <c r="F1225" s="1" t="s">
        <v>13521</v>
      </c>
      <c r="G1225" s="1" t="s">
        <v>9688</v>
      </c>
    </row>
    <row r="1226" spans="1:7" ht="21" x14ac:dyDescent="0.25">
      <c r="A1226" s="2" t="str">
        <f>HYPERLINK("https://rth.dk/resources/bsgatlas/details.php?id=BSGatlas-3'UTR-1225","BSGatlas-3'UTR-1225")</f>
        <v>BSGatlas-3'UTR-1225</v>
      </c>
      <c r="B1226" s="3">
        <v>3225100</v>
      </c>
      <c r="C1226" s="3">
        <v>3225181</v>
      </c>
      <c r="D1226" s="1" t="s">
        <v>9</v>
      </c>
      <c r="E1226" s="3">
        <v>82</v>
      </c>
      <c r="F1226" s="1" t="s">
        <v>13522</v>
      </c>
      <c r="G1226" s="1" t="s">
        <v>9692</v>
      </c>
    </row>
    <row r="1227" spans="1:7" ht="21" x14ac:dyDescent="0.25">
      <c r="A1227" s="2" t="str">
        <f>HYPERLINK("https://rth.dk/resources/bsgatlas/details.php?id=BSGatlas-3'UTR-1226","BSGatlas-3'UTR-1226")</f>
        <v>BSGatlas-3'UTR-1226</v>
      </c>
      <c r="B1227" s="3">
        <v>3225128</v>
      </c>
      <c r="C1227" s="3">
        <v>3225178</v>
      </c>
      <c r="D1227" s="1" t="s">
        <v>13</v>
      </c>
      <c r="E1227" s="3">
        <v>51</v>
      </c>
      <c r="F1227" s="1" t="s">
        <v>13523</v>
      </c>
      <c r="G1227" s="1" t="s">
        <v>9695</v>
      </c>
    </row>
    <row r="1228" spans="1:7" ht="21" x14ac:dyDescent="0.25">
      <c r="A1228" s="2" t="str">
        <f>HYPERLINK("https://rth.dk/resources/bsgatlas/details.php?id=BSGatlas-3'UTR-1227","BSGatlas-3'UTR-1227")</f>
        <v>BSGatlas-3'UTR-1227</v>
      </c>
      <c r="B1228" s="3">
        <v>3228396</v>
      </c>
      <c r="C1228" s="3">
        <v>3228431</v>
      </c>
      <c r="D1228" s="1" t="s">
        <v>13</v>
      </c>
      <c r="E1228" s="3">
        <v>36</v>
      </c>
      <c r="F1228" s="1" t="s">
        <v>13526</v>
      </c>
      <c r="G1228" s="1" t="s">
        <v>9704</v>
      </c>
    </row>
    <row r="1229" spans="1:7" ht="21" x14ac:dyDescent="0.25">
      <c r="A1229" s="2" t="str">
        <f>HYPERLINK("https://rth.dk/resources/bsgatlas/details.php?id=BSGatlas-3'UTR-1228","BSGatlas-3'UTR-1228")</f>
        <v>BSGatlas-3'UTR-1228</v>
      </c>
      <c r="B1229" s="3">
        <v>3228402</v>
      </c>
      <c r="C1229" s="3">
        <v>3228440</v>
      </c>
      <c r="D1229" s="1" t="s">
        <v>9</v>
      </c>
      <c r="E1229" s="3">
        <v>39</v>
      </c>
      <c r="F1229" s="1" t="s">
        <v>13524</v>
      </c>
      <c r="G1229" s="1" t="s">
        <v>9701</v>
      </c>
    </row>
    <row r="1230" spans="1:7" ht="21" x14ac:dyDescent="0.25">
      <c r="A1230" s="2" t="str">
        <f>HYPERLINK("https://rth.dk/resources/bsgatlas/details.php?id=BSGatlas-3'UTR-1229","BSGatlas-3'UTR-1229")</f>
        <v>BSGatlas-3'UTR-1229</v>
      </c>
      <c r="B1230" s="3">
        <v>3229941</v>
      </c>
      <c r="C1230" s="3">
        <v>3229997</v>
      </c>
      <c r="D1230" s="1" t="s">
        <v>9</v>
      </c>
      <c r="E1230" s="3">
        <v>57</v>
      </c>
      <c r="F1230" s="1" t="s">
        <v>13527</v>
      </c>
      <c r="G1230" s="1" t="s">
        <v>9706</v>
      </c>
    </row>
    <row r="1231" spans="1:7" ht="21" x14ac:dyDescent="0.25">
      <c r="A1231" s="2" t="str">
        <f>HYPERLINK("https://rth.dk/resources/bsgatlas/details.php?id=BSGatlas-3'UTR-1230","BSGatlas-3'UTR-1230")</f>
        <v>BSGatlas-3'UTR-1230</v>
      </c>
      <c r="B1231" s="3">
        <v>3231036</v>
      </c>
      <c r="C1231" s="3">
        <v>3231812</v>
      </c>
      <c r="D1231" s="1" t="s">
        <v>13</v>
      </c>
      <c r="E1231" s="3">
        <v>777</v>
      </c>
      <c r="F1231" s="1" t="s">
        <v>13530</v>
      </c>
      <c r="G1231" s="1" t="s">
        <v>9711</v>
      </c>
    </row>
    <row r="1232" spans="1:7" ht="21" x14ac:dyDescent="0.25">
      <c r="A1232" s="2" t="str">
        <f>HYPERLINK("https://rth.dk/resources/bsgatlas/details.php?id=BSGatlas-3'UTR-1231","BSGatlas-3'UTR-1231")</f>
        <v>BSGatlas-3'UTR-1231</v>
      </c>
      <c r="B1232" s="3">
        <v>3231785</v>
      </c>
      <c r="C1232" s="3">
        <v>3231822</v>
      </c>
      <c r="D1232" s="1" t="s">
        <v>9</v>
      </c>
      <c r="E1232" s="3">
        <v>38</v>
      </c>
      <c r="F1232" s="1" t="s">
        <v>13529</v>
      </c>
      <c r="G1232" s="1" t="s">
        <v>9709</v>
      </c>
    </row>
    <row r="1233" spans="1:7" ht="21" x14ac:dyDescent="0.25">
      <c r="A1233" s="2" t="str">
        <f>HYPERLINK("https://rth.dk/resources/bsgatlas/details.php?id=BSGatlas-3'UTR-1232","BSGatlas-3'UTR-1232")</f>
        <v>BSGatlas-3'UTR-1232</v>
      </c>
      <c r="B1233" s="3">
        <v>3236219</v>
      </c>
      <c r="C1233" s="3">
        <v>3236303</v>
      </c>
      <c r="D1233" s="1" t="s">
        <v>9</v>
      </c>
      <c r="E1233" s="3">
        <v>85</v>
      </c>
      <c r="F1233" s="1" t="s">
        <v>14548</v>
      </c>
      <c r="G1233" s="1" t="s">
        <v>9717</v>
      </c>
    </row>
    <row r="1234" spans="1:7" ht="21" x14ac:dyDescent="0.25">
      <c r="A1234" s="2" t="str">
        <f>HYPERLINK("https://rth.dk/resources/bsgatlas/details.php?id=BSGatlas-3'UTR-1233","BSGatlas-3'UTR-1233")</f>
        <v>BSGatlas-3'UTR-1233</v>
      </c>
      <c r="B1234" s="3">
        <v>3239458</v>
      </c>
      <c r="C1234" s="3">
        <v>3239503</v>
      </c>
      <c r="D1234" s="1" t="s">
        <v>9</v>
      </c>
      <c r="E1234" s="3">
        <v>46</v>
      </c>
      <c r="F1234" s="1" t="s">
        <v>14549</v>
      </c>
      <c r="G1234" s="1" t="s">
        <v>9722</v>
      </c>
    </row>
    <row r="1235" spans="1:7" ht="21" x14ac:dyDescent="0.25">
      <c r="A1235" s="2" t="str">
        <f>HYPERLINK("https://rth.dk/resources/bsgatlas/details.php?id=BSGatlas-3'UTR-1234","BSGatlas-3'UTR-1234")</f>
        <v>BSGatlas-3'UTR-1234</v>
      </c>
      <c r="B1235" s="3">
        <v>3241009</v>
      </c>
      <c r="C1235" s="3">
        <v>3241062</v>
      </c>
      <c r="D1235" s="1" t="s">
        <v>9</v>
      </c>
      <c r="E1235" s="3">
        <v>54</v>
      </c>
      <c r="F1235" s="1" t="s">
        <v>13535</v>
      </c>
      <c r="G1235" s="1" t="s">
        <v>9724</v>
      </c>
    </row>
    <row r="1236" spans="1:7" ht="21" x14ac:dyDescent="0.25">
      <c r="A1236" s="2" t="str">
        <f>HYPERLINK("https://rth.dk/resources/bsgatlas/details.php?id=BSGatlas-3'UTR-1235","BSGatlas-3'UTR-1235")</f>
        <v>BSGatlas-3'UTR-1235</v>
      </c>
      <c r="B1236" s="3">
        <v>3246116</v>
      </c>
      <c r="C1236" s="3">
        <v>3246161</v>
      </c>
      <c r="D1236" s="1" t="s">
        <v>9</v>
      </c>
      <c r="E1236" s="3">
        <v>46</v>
      </c>
      <c r="F1236" s="1" t="s">
        <v>13536</v>
      </c>
      <c r="G1236" s="1" t="s">
        <v>9727</v>
      </c>
    </row>
    <row r="1237" spans="1:7" ht="21" x14ac:dyDescent="0.25">
      <c r="A1237" s="2" t="str">
        <f>HYPERLINK("https://rth.dk/resources/bsgatlas/details.php?id=BSGatlas-3'UTR-1236","BSGatlas-3'UTR-1236")</f>
        <v>BSGatlas-3'UTR-1236</v>
      </c>
      <c r="B1237" s="3">
        <v>3250461</v>
      </c>
      <c r="C1237" s="3">
        <v>3252405</v>
      </c>
      <c r="D1237" s="1" t="s">
        <v>13</v>
      </c>
      <c r="E1237" s="3">
        <v>1945</v>
      </c>
      <c r="F1237" s="1" t="s">
        <v>14550</v>
      </c>
      <c r="G1237" s="1" t="s">
        <v>9739</v>
      </c>
    </row>
    <row r="1238" spans="1:7" ht="21" x14ac:dyDescent="0.25">
      <c r="A1238" s="2" t="str">
        <f>HYPERLINK("https://rth.dk/resources/bsgatlas/details.php?id=BSGatlas-3'UTR-1237","BSGatlas-3'UTR-1237")</f>
        <v>BSGatlas-3'UTR-1237</v>
      </c>
      <c r="B1238" s="3">
        <v>3252358</v>
      </c>
      <c r="C1238" s="3">
        <v>3252405</v>
      </c>
      <c r="D1238" s="1" t="s">
        <v>13</v>
      </c>
      <c r="E1238" s="3">
        <v>48</v>
      </c>
      <c r="F1238" s="1" t="s">
        <v>14550</v>
      </c>
      <c r="G1238" s="1" t="s">
        <v>9743</v>
      </c>
    </row>
    <row r="1239" spans="1:7" ht="21" x14ac:dyDescent="0.25">
      <c r="A1239" s="2" t="str">
        <f>HYPERLINK("https://rth.dk/resources/bsgatlas/details.php?id=BSGatlas-3'UTR-1238","BSGatlas-3'UTR-1238")</f>
        <v>BSGatlas-3'UTR-1238</v>
      </c>
      <c r="B1239" s="3">
        <v>3252366</v>
      </c>
      <c r="C1239" s="3">
        <v>3252414</v>
      </c>
      <c r="D1239" s="1" t="s">
        <v>9</v>
      </c>
      <c r="E1239" s="3">
        <v>49</v>
      </c>
      <c r="F1239" s="1" t="s">
        <v>14551</v>
      </c>
      <c r="G1239" s="1" t="s">
        <v>9732</v>
      </c>
    </row>
    <row r="1240" spans="1:7" ht="21" x14ac:dyDescent="0.25">
      <c r="A1240" s="2" t="str">
        <f>HYPERLINK("https://rth.dk/resources/bsgatlas/details.php?id=BSGatlas-3'UTR-1239","BSGatlas-3'UTR-1239")</f>
        <v>BSGatlas-3'UTR-1239</v>
      </c>
      <c r="B1240" s="3">
        <v>3253476</v>
      </c>
      <c r="C1240" s="3">
        <v>3253529</v>
      </c>
      <c r="D1240" s="1" t="s">
        <v>13</v>
      </c>
      <c r="E1240" s="3">
        <v>54</v>
      </c>
      <c r="F1240" s="1" t="s">
        <v>14552</v>
      </c>
      <c r="G1240" s="1" t="s">
        <v>9744</v>
      </c>
    </row>
    <row r="1241" spans="1:7" ht="21" x14ac:dyDescent="0.25">
      <c r="A1241" s="2" t="str">
        <f>HYPERLINK("https://rth.dk/resources/bsgatlas/details.php?id=BSGatlas-3'UTR-1240","BSGatlas-3'UTR-1240")</f>
        <v>BSGatlas-3'UTR-1240</v>
      </c>
      <c r="B1241" s="3">
        <v>3257057</v>
      </c>
      <c r="C1241" s="3">
        <v>3257092</v>
      </c>
      <c r="D1241" s="1" t="s">
        <v>13</v>
      </c>
      <c r="E1241" s="3">
        <v>36</v>
      </c>
      <c r="F1241" s="1" t="s">
        <v>13543</v>
      </c>
      <c r="G1241" s="1" t="s">
        <v>9751</v>
      </c>
    </row>
    <row r="1242" spans="1:7" ht="21" x14ac:dyDescent="0.25">
      <c r="A1242" s="2" t="str">
        <f>HYPERLINK("https://rth.dk/resources/bsgatlas/details.php?id=BSGatlas-3'UTR-1241","BSGatlas-3'UTR-1241")</f>
        <v>BSGatlas-3'UTR-1241</v>
      </c>
      <c r="B1242" s="3">
        <v>3257583</v>
      </c>
      <c r="C1242" s="3">
        <v>3258037</v>
      </c>
      <c r="D1242" s="1" t="s">
        <v>13</v>
      </c>
      <c r="E1242" s="3">
        <v>455</v>
      </c>
      <c r="F1242" s="1" t="s">
        <v>13545</v>
      </c>
      <c r="G1242" s="1" t="s">
        <v>9755</v>
      </c>
    </row>
    <row r="1243" spans="1:7" ht="21" x14ac:dyDescent="0.25">
      <c r="A1243" s="2" t="str">
        <f>HYPERLINK("https://rth.dk/resources/bsgatlas/details.php?id=BSGatlas-3'UTR-1242","BSGatlas-3'UTR-1242")</f>
        <v>BSGatlas-3'UTR-1242</v>
      </c>
      <c r="B1243" s="3">
        <v>3258061</v>
      </c>
      <c r="C1243" s="3">
        <v>3259355</v>
      </c>
      <c r="D1243" s="1" t="s">
        <v>9</v>
      </c>
      <c r="E1243" s="3">
        <v>1295</v>
      </c>
      <c r="F1243" s="1" t="s">
        <v>13544</v>
      </c>
      <c r="G1243" s="1" t="s">
        <v>9757</v>
      </c>
    </row>
    <row r="1244" spans="1:7" ht="21" x14ac:dyDescent="0.25">
      <c r="A1244" s="2" t="str">
        <f>HYPERLINK("https://rth.dk/resources/bsgatlas/details.php?id=BSGatlas-3'UTR-1243","BSGatlas-3'UTR-1243")</f>
        <v>BSGatlas-3'UTR-1243</v>
      </c>
      <c r="B1244" s="3">
        <v>3259355</v>
      </c>
      <c r="C1244" s="3">
        <v>3259403</v>
      </c>
      <c r="D1244" s="1" t="s">
        <v>13</v>
      </c>
      <c r="E1244" s="3">
        <v>49</v>
      </c>
      <c r="F1244" s="1" t="s">
        <v>14553</v>
      </c>
      <c r="G1244" s="1" t="s">
        <v>9758</v>
      </c>
    </row>
    <row r="1245" spans="1:7" ht="21" x14ac:dyDescent="0.25">
      <c r="A1245" s="2" t="str">
        <f>HYPERLINK("https://rth.dk/resources/bsgatlas/details.php?id=BSGatlas-3'UTR-1244","BSGatlas-3'UTR-1244")</f>
        <v>BSGatlas-3'UTR-1244</v>
      </c>
      <c r="B1245" s="3">
        <v>3264249</v>
      </c>
      <c r="C1245" s="3">
        <v>3264265</v>
      </c>
      <c r="D1245" s="1" t="s">
        <v>13</v>
      </c>
      <c r="E1245" s="3">
        <v>17</v>
      </c>
      <c r="F1245" s="1" t="s">
        <v>13551</v>
      </c>
      <c r="G1245" s="1" t="s">
        <v>9769</v>
      </c>
    </row>
    <row r="1246" spans="1:7" ht="21" x14ac:dyDescent="0.25">
      <c r="A1246" s="2" t="str">
        <f>HYPERLINK("https://rth.dk/resources/bsgatlas/details.php?id=BSGatlas-3'UTR-1245","BSGatlas-3'UTR-1245")</f>
        <v>BSGatlas-3'UTR-1245</v>
      </c>
      <c r="B1246" s="3">
        <v>3274665</v>
      </c>
      <c r="C1246" s="3">
        <v>3276450</v>
      </c>
      <c r="D1246" s="1" t="s">
        <v>9</v>
      </c>
      <c r="E1246" s="3">
        <v>1786</v>
      </c>
      <c r="F1246" s="1" t="s">
        <v>14554</v>
      </c>
      <c r="G1246" s="1" t="s">
        <v>9780</v>
      </c>
    </row>
    <row r="1247" spans="1:7" ht="21" x14ac:dyDescent="0.25">
      <c r="A1247" s="2" t="str">
        <f>HYPERLINK("https://rth.dk/resources/bsgatlas/details.php?id=BSGatlas-3'UTR-1246","BSGatlas-3'UTR-1246")</f>
        <v>BSGatlas-3'UTR-1246</v>
      </c>
      <c r="B1247" s="3">
        <v>3279461</v>
      </c>
      <c r="C1247" s="3">
        <v>3279495</v>
      </c>
      <c r="D1247" s="1" t="s">
        <v>9</v>
      </c>
      <c r="E1247" s="3">
        <v>35</v>
      </c>
      <c r="F1247" s="1" t="s">
        <v>13557</v>
      </c>
      <c r="G1247" s="1" t="s">
        <v>9789</v>
      </c>
    </row>
    <row r="1248" spans="1:7" ht="21" x14ac:dyDescent="0.25">
      <c r="A1248" s="2" t="str">
        <f>HYPERLINK("https://rth.dk/resources/bsgatlas/details.php?id=BSGatlas-3'UTR-1247","BSGatlas-3'UTR-1247")</f>
        <v>BSGatlas-3'UTR-1247</v>
      </c>
      <c r="B1248" s="3">
        <v>3280246</v>
      </c>
      <c r="C1248" s="3">
        <v>3280294</v>
      </c>
      <c r="D1248" s="1" t="s">
        <v>13</v>
      </c>
      <c r="E1248" s="3">
        <v>49</v>
      </c>
      <c r="F1248" s="1" t="s">
        <v>14555</v>
      </c>
      <c r="G1248" s="1" t="s">
        <v>9795</v>
      </c>
    </row>
    <row r="1249" spans="1:7" ht="21" x14ac:dyDescent="0.25">
      <c r="A1249" s="2" t="str">
        <f>HYPERLINK("https://rth.dk/resources/bsgatlas/details.php?id=BSGatlas-3'UTR-1248","BSGatlas-3'UTR-1248")</f>
        <v>BSGatlas-3'UTR-1248</v>
      </c>
      <c r="B1249" s="3">
        <v>3292395</v>
      </c>
      <c r="C1249" s="3">
        <v>3292490</v>
      </c>
      <c r="D1249" s="1" t="s">
        <v>13</v>
      </c>
      <c r="E1249" s="3">
        <v>96</v>
      </c>
      <c r="F1249" s="1" t="s">
        <v>13560</v>
      </c>
      <c r="G1249" s="1" t="s">
        <v>9798</v>
      </c>
    </row>
    <row r="1250" spans="1:7" ht="21" x14ac:dyDescent="0.25">
      <c r="A1250" s="2" t="str">
        <f>HYPERLINK("https://rth.dk/resources/bsgatlas/details.php?id=BSGatlas-3'UTR-1249","BSGatlas-3'UTR-1249")</f>
        <v>BSGatlas-3'UTR-1249</v>
      </c>
      <c r="B1250" s="3">
        <v>3298545</v>
      </c>
      <c r="C1250" s="3">
        <v>3298584</v>
      </c>
      <c r="D1250" s="1" t="s">
        <v>13</v>
      </c>
      <c r="E1250" s="3">
        <v>40</v>
      </c>
      <c r="F1250" s="1" t="s">
        <v>14556</v>
      </c>
      <c r="G1250" s="1" t="s">
        <v>9810</v>
      </c>
    </row>
    <row r="1251" spans="1:7" ht="21" x14ac:dyDescent="0.25">
      <c r="A1251" s="2" t="str">
        <f>HYPERLINK("https://rth.dk/resources/bsgatlas/details.php?id=BSGatlas-3'UTR-1250","BSGatlas-3'UTR-1250")</f>
        <v>BSGatlas-3'UTR-1250</v>
      </c>
      <c r="B1251" s="3">
        <v>3299699</v>
      </c>
      <c r="C1251" s="3">
        <v>3300285</v>
      </c>
      <c r="D1251" s="1" t="s">
        <v>9</v>
      </c>
      <c r="E1251" s="3">
        <v>587</v>
      </c>
      <c r="F1251" s="1" t="s">
        <v>14557</v>
      </c>
      <c r="G1251" s="1" t="s">
        <v>9819</v>
      </c>
    </row>
    <row r="1252" spans="1:7" ht="21" x14ac:dyDescent="0.25">
      <c r="A1252" s="2" t="str">
        <f>HYPERLINK("https://rth.dk/resources/bsgatlas/details.php?id=BSGatlas-3'UTR-1251","BSGatlas-3'UTR-1251")</f>
        <v>BSGatlas-3'UTR-1251</v>
      </c>
      <c r="B1252" s="3">
        <v>3304022</v>
      </c>
      <c r="C1252" s="3">
        <v>3304081</v>
      </c>
      <c r="D1252" s="1" t="s">
        <v>9</v>
      </c>
      <c r="E1252" s="3">
        <v>60</v>
      </c>
      <c r="F1252" s="1" t="s">
        <v>13571</v>
      </c>
      <c r="G1252" s="1" t="s">
        <v>9831</v>
      </c>
    </row>
    <row r="1253" spans="1:7" ht="21" x14ac:dyDescent="0.25">
      <c r="A1253" s="2" t="str">
        <f>HYPERLINK("https://rth.dk/resources/bsgatlas/details.php?id=BSGatlas-3'UTR-1252","BSGatlas-3'UTR-1252")</f>
        <v>BSGatlas-3'UTR-1252</v>
      </c>
      <c r="B1253" s="3">
        <v>3304073</v>
      </c>
      <c r="C1253" s="3">
        <v>3304096</v>
      </c>
      <c r="D1253" s="1" t="s">
        <v>13</v>
      </c>
      <c r="E1253" s="3">
        <v>24</v>
      </c>
      <c r="F1253" s="1" t="s">
        <v>14558</v>
      </c>
      <c r="G1253" s="1" t="s">
        <v>9834</v>
      </c>
    </row>
    <row r="1254" spans="1:7" ht="21" x14ac:dyDescent="0.25">
      <c r="A1254" s="2" t="str">
        <f>HYPERLINK("https://rth.dk/resources/bsgatlas/details.php?id=BSGatlas-3'UTR-1253","BSGatlas-3'UTR-1253")</f>
        <v>BSGatlas-3'UTR-1253</v>
      </c>
      <c r="B1254" s="3">
        <v>3305562</v>
      </c>
      <c r="C1254" s="3">
        <v>3305599</v>
      </c>
      <c r="D1254" s="1" t="s">
        <v>13</v>
      </c>
      <c r="E1254" s="3">
        <v>38</v>
      </c>
      <c r="F1254" s="1" t="s">
        <v>13573</v>
      </c>
      <c r="G1254" s="1" t="s">
        <v>9837</v>
      </c>
    </row>
    <row r="1255" spans="1:7" ht="21" x14ac:dyDescent="0.25">
      <c r="A1255" s="2" t="str">
        <f>HYPERLINK("https://rth.dk/resources/bsgatlas/details.php?id=BSGatlas-3'UTR-1254","BSGatlas-3'UTR-1254")</f>
        <v>BSGatlas-3'UTR-1254</v>
      </c>
      <c r="B1255" s="3">
        <v>3310489</v>
      </c>
      <c r="C1255" s="3">
        <v>3310763</v>
      </c>
      <c r="D1255" s="1" t="s">
        <v>13</v>
      </c>
      <c r="E1255" s="3">
        <v>275</v>
      </c>
      <c r="F1255" s="1" t="s">
        <v>13579</v>
      </c>
      <c r="G1255" s="1" t="s">
        <v>9854</v>
      </c>
    </row>
    <row r="1256" spans="1:7" ht="21" x14ac:dyDescent="0.25">
      <c r="A1256" s="2" t="str">
        <f>HYPERLINK("https://rth.dk/resources/bsgatlas/details.php?id=BSGatlas-3'UTR-1255","BSGatlas-3'UTR-1255")</f>
        <v>BSGatlas-3'UTR-1255</v>
      </c>
      <c r="B1256" s="3">
        <v>3322427</v>
      </c>
      <c r="C1256" s="3">
        <v>3322463</v>
      </c>
      <c r="D1256" s="1" t="s">
        <v>13</v>
      </c>
      <c r="E1256" s="3">
        <v>37</v>
      </c>
      <c r="F1256" s="1" t="s">
        <v>13587</v>
      </c>
      <c r="G1256" s="1" t="s">
        <v>9876</v>
      </c>
    </row>
    <row r="1257" spans="1:7" ht="21" x14ac:dyDescent="0.25">
      <c r="A1257" s="2" t="str">
        <f>HYPERLINK("https://rth.dk/resources/bsgatlas/details.php?id=BSGatlas-3'UTR-1256","BSGatlas-3'UTR-1256")</f>
        <v>BSGatlas-3'UTR-1256</v>
      </c>
      <c r="B1257" s="3">
        <v>3327209</v>
      </c>
      <c r="C1257" s="3">
        <v>3327247</v>
      </c>
      <c r="D1257" s="1" t="s">
        <v>13</v>
      </c>
      <c r="E1257" s="3">
        <v>39</v>
      </c>
      <c r="F1257" s="1" t="s">
        <v>13591</v>
      </c>
      <c r="G1257" s="1" t="s">
        <v>9884</v>
      </c>
    </row>
    <row r="1258" spans="1:7" ht="21" x14ac:dyDescent="0.25">
      <c r="A1258" s="2" t="str">
        <f>HYPERLINK("https://rth.dk/resources/bsgatlas/details.php?id=BSGatlas-3'UTR-1257","BSGatlas-3'UTR-1257")</f>
        <v>BSGatlas-3'UTR-1257</v>
      </c>
      <c r="B1258" s="3">
        <v>3334990</v>
      </c>
      <c r="C1258" s="3">
        <v>3335031</v>
      </c>
      <c r="D1258" s="1" t="s">
        <v>9</v>
      </c>
      <c r="E1258" s="3">
        <v>42</v>
      </c>
      <c r="F1258" s="1" t="s">
        <v>14559</v>
      </c>
      <c r="G1258" s="1" t="s">
        <v>9891</v>
      </c>
    </row>
    <row r="1259" spans="1:7" ht="21" x14ac:dyDescent="0.25">
      <c r="A1259" s="2" t="str">
        <f>HYPERLINK("https://rth.dk/resources/bsgatlas/details.php?id=BSGatlas-3'UTR-1258","BSGatlas-3'UTR-1258")</f>
        <v>BSGatlas-3'UTR-1258</v>
      </c>
      <c r="B1259" s="3">
        <v>3335545</v>
      </c>
      <c r="C1259" s="3">
        <v>3335603</v>
      </c>
      <c r="D1259" s="1" t="s">
        <v>9</v>
      </c>
      <c r="E1259" s="3">
        <v>59</v>
      </c>
      <c r="F1259" s="1" t="s">
        <v>13594</v>
      </c>
      <c r="G1259" s="1" t="s">
        <v>9896</v>
      </c>
    </row>
    <row r="1260" spans="1:7" ht="21" x14ac:dyDescent="0.25">
      <c r="A1260" s="2" t="str">
        <f>HYPERLINK("https://rth.dk/resources/bsgatlas/details.php?id=BSGatlas-3'UTR-1259","BSGatlas-3'UTR-1259")</f>
        <v>BSGatlas-3'UTR-1259</v>
      </c>
      <c r="B1260" s="3">
        <v>3335727</v>
      </c>
      <c r="C1260" s="3">
        <v>3335751</v>
      </c>
      <c r="D1260" s="1" t="s">
        <v>13</v>
      </c>
      <c r="E1260" s="3">
        <v>25</v>
      </c>
      <c r="F1260" s="1" t="s">
        <v>14560</v>
      </c>
      <c r="G1260" s="1" t="s">
        <v>9899</v>
      </c>
    </row>
    <row r="1261" spans="1:7" ht="21" x14ac:dyDescent="0.25">
      <c r="A1261" s="2" t="str">
        <f>HYPERLINK("https://rth.dk/resources/bsgatlas/details.php?id=BSGatlas-3'UTR-1260","BSGatlas-3'UTR-1260")</f>
        <v>BSGatlas-3'UTR-1260</v>
      </c>
      <c r="B1261" s="3">
        <v>3341125</v>
      </c>
      <c r="C1261" s="3">
        <v>3341166</v>
      </c>
      <c r="D1261" s="1" t="s">
        <v>13</v>
      </c>
      <c r="E1261" s="3">
        <v>42</v>
      </c>
      <c r="F1261" s="1" t="s">
        <v>14561</v>
      </c>
      <c r="G1261" s="1" t="s">
        <v>9905</v>
      </c>
    </row>
    <row r="1262" spans="1:7" ht="21" x14ac:dyDescent="0.25">
      <c r="A1262" s="2" t="str">
        <f>HYPERLINK("https://rth.dk/resources/bsgatlas/details.php?id=BSGatlas-3'UTR-1261","BSGatlas-3'UTR-1261")</f>
        <v>BSGatlas-3'UTR-1261</v>
      </c>
      <c r="B1262" s="3">
        <v>3344979</v>
      </c>
      <c r="C1262" s="3">
        <v>3345022</v>
      </c>
      <c r="D1262" s="1" t="s">
        <v>9</v>
      </c>
      <c r="E1262" s="3">
        <v>44</v>
      </c>
      <c r="F1262" s="1" t="s">
        <v>13597</v>
      </c>
      <c r="G1262" s="1" t="s">
        <v>9907</v>
      </c>
    </row>
    <row r="1263" spans="1:7" ht="21" x14ac:dyDescent="0.25">
      <c r="A1263" s="2" t="str">
        <f>HYPERLINK("https://rth.dk/resources/bsgatlas/details.php?id=BSGatlas-3'UTR-1262","BSGatlas-3'UTR-1262")</f>
        <v>BSGatlas-3'UTR-1262</v>
      </c>
      <c r="B1263" s="3">
        <v>3347025</v>
      </c>
      <c r="C1263" s="3">
        <v>3347051</v>
      </c>
      <c r="D1263" s="1" t="s">
        <v>13</v>
      </c>
      <c r="E1263" s="3">
        <v>27</v>
      </c>
      <c r="F1263" s="1" t="s">
        <v>14562</v>
      </c>
      <c r="G1263" s="1" t="s">
        <v>9922</v>
      </c>
    </row>
    <row r="1264" spans="1:7" ht="21" x14ac:dyDescent="0.25">
      <c r="A1264" s="2" t="str">
        <f>HYPERLINK("https://rth.dk/resources/bsgatlas/details.php?id=BSGatlas-3'UTR-1263","BSGatlas-3'UTR-1263")</f>
        <v>BSGatlas-3'UTR-1263</v>
      </c>
      <c r="B1264" s="3">
        <v>3351049</v>
      </c>
      <c r="C1264" s="3">
        <v>3351110</v>
      </c>
      <c r="D1264" s="1" t="s">
        <v>13</v>
      </c>
      <c r="E1264" s="3">
        <v>62</v>
      </c>
      <c r="F1264" s="1" t="s">
        <v>13599</v>
      </c>
      <c r="G1264" s="1" t="s">
        <v>9926</v>
      </c>
    </row>
    <row r="1265" spans="1:7" ht="21" x14ac:dyDescent="0.25">
      <c r="A1265" s="2" t="str">
        <f>HYPERLINK("https://rth.dk/resources/bsgatlas/details.php?id=BSGatlas-3'UTR-1264","BSGatlas-3'UTR-1264")</f>
        <v>BSGatlas-3'UTR-1264</v>
      </c>
      <c r="B1265" s="3">
        <v>3352288</v>
      </c>
      <c r="C1265" s="3">
        <v>3352312</v>
      </c>
      <c r="D1265" s="1" t="s">
        <v>13</v>
      </c>
      <c r="E1265" s="3">
        <v>25</v>
      </c>
      <c r="F1265" s="1" t="s">
        <v>13600</v>
      </c>
      <c r="G1265" s="1" t="s">
        <v>9929</v>
      </c>
    </row>
    <row r="1266" spans="1:7" ht="21" x14ac:dyDescent="0.25">
      <c r="A1266" s="2" t="str">
        <f>HYPERLINK("https://rth.dk/resources/bsgatlas/details.php?id=BSGatlas-3'UTR-1265","BSGatlas-3'UTR-1265")</f>
        <v>BSGatlas-3'UTR-1265</v>
      </c>
      <c r="B1266" s="3">
        <v>3354487</v>
      </c>
      <c r="C1266" s="3">
        <v>3354527</v>
      </c>
      <c r="D1266" s="1" t="s">
        <v>9</v>
      </c>
      <c r="E1266" s="3">
        <v>41</v>
      </c>
      <c r="F1266" s="1" t="s">
        <v>14563</v>
      </c>
      <c r="G1266" s="1" t="s">
        <v>9933</v>
      </c>
    </row>
    <row r="1267" spans="1:7" ht="21" x14ac:dyDescent="0.25">
      <c r="A1267" s="2" t="str">
        <f>HYPERLINK("https://rth.dk/resources/bsgatlas/details.php?id=BSGatlas-3'UTR-1266","BSGatlas-3'UTR-1266")</f>
        <v>BSGatlas-3'UTR-1266</v>
      </c>
      <c r="B1267" s="3">
        <v>3355507</v>
      </c>
      <c r="C1267" s="3">
        <v>3355593</v>
      </c>
      <c r="D1267" s="1" t="s">
        <v>13</v>
      </c>
      <c r="E1267" s="3">
        <v>87</v>
      </c>
      <c r="F1267" s="1" t="s">
        <v>14564</v>
      </c>
      <c r="G1267" s="1" t="s">
        <v>9938</v>
      </c>
    </row>
    <row r="1268" spans="1:7" ht="21" x14ac:dyDescent="0.25">
      <c r="A1268" s="2" t="str">
        <f>HYPERLINK("https://rth.dk/resources/bsgatlas/details.php?id=BSGatlas-3'UTR-1267","BSGatlas-3'UTR-1267")</f>
        <v>BSGatlas-3'UTR-1267</v>
      </c>
      <c r="B1268" s="3">
        <v>3364351</v>
      </c>
      <c r="C1268" s="3">
        <v>3364396</v>
      </c>
      <c r="D1268" s="1" t="s">
        <v>13</v>
      </c>
      <c r="E1268" s="3">
        <v>46</v>
      </c>
      <c r="F1268" s="1" t="s">
        <v>14565</v>
      </c>
      <c r="G1268" s="1" t="s">
        <v>9947</v>
      </c>
    </row>
    <row r="1269" spans="1:7" ht="21" x14ac:dyDescent="0.25">
      <c r="A1269" s="2" t="str">
        <f>HYPERLINK("https://rth.dk/resources/bsgatlas/details.php?id=BSGatlas-3'UTR-1268","BSGatlas-3'UTR-1268")</f>
        <v>BSGatlas-3'UTR-1268</v>
      </c>
      <c r="B1269" s="3">
        <v>3366995</v>
      </c>
      <c r="C1269" s="3">
        <v>3367040</v>
      </c>
      <c r="D1269" s="1" t="s">
        <v>13</v>
      </c>
      <c r="E1269" s="3">
        <v>46</v>
      </c>
      <c r="F1269" s="1" t="s">
        <v>14566</v>
      </c>
      <c r="G1269" s="1" t="s">
        <v>9957</v>
      </c>
    </row>
    <row r="1270" spans="1:7" ht="21" x14ac:dyDescent="0.25">
      <c r="A1270" s="2" t="str">
        <f>HYPERLINK("https://rth.dk/resources/bsgatlas/details.php?id=BSGatlas-3'UTR-1269","BSGatlas-3'UTR-1269")</f>
        <v>BSGatlas-3'UTR-1269</v>
      </c>
      <c r="B1270" s="3">
        <v>3379054</v>
      </c>
      <c r="C1270" s="3">
        <v>3379112</v>
      </c>
      <c r="D1270" s="1" t="s">
        <v>13</v>
      </c>
      <c r="E1270" s="3">
        <v>59</v>
      </c>
      <c r="F1270" s="1" t="s">
        <v>13616</v>
      </c>
      <c r="G1270" s="1" t="s">
        <v>9973</v>
      </c>
    </row>
    <row r="1271" spans="1:7" ht="21" x14ac:dyDescent="0.25">
      <c r="A1271" s="2" t="str">
        <f>HYPERLINK("https://rth.dk/resources/bsgatlas/details.php?id=BSGatlas-3'UTR-1270","BSGatlas-3'UTR-1270")</f>
        <v>BSGatlas-3'UTR-1270</v>
      </c>
      <c r="B1271" s="3">
        <v>3384019</v>
      </c>
      <c r="C1271" s="3">
        <v>3384070</v>
      </c>
      <c r="D1271" s="1" t="s">
        <v>13</v>
      </c>
      <c r="E1271" s="3">
        <v>52</v>
      </c>
      <c r="F1271" s="1" t="s">
        <v>13621</v>
      </c>
      <c r="G1271" s="1" t="s">
        <v>9985</v>
      </c>
    </row>
    <row r="1272" spans="1:7" ht="21" x14ac:dyDescent="0.25">
      <c r="A1272" s="2" t="str">
        <f>HYPERLINK("https://rth.dk/resources/bsgatlas/details.php?id=BSGatlas-3'UTR-1271","BSGatlas-3'UTR-1271")</f>
        <v>BSGatlas-3'UTR-1271</v>
      </c>
      <c r="B1272" s="3">
        <v>3384026</v>
      </c>
      <c r="C1272" s="3">
        <v>3384071</v>
      </c>
      <c r="D1272" s="1" t="s">
        <v>9</v>
      </c>
      <c r="E1272" s="3">
        <v>46</v>
      </c>
      <c r="F1272" s="1" t="s">
        <v>13620</v>
      </c>
      <c r="G1272" s="1" t="s">
        <v>9981</v>
      </c>
    </row>
    <row r="1273" spans="1:7" ht="21" x14ac:dyDescent="0.25">
      <c r="A1273" s="2" t="str">
        <f>HYPERLINK("https://rth.dk/resources/bsgatlas/details.php?id=BSGatlas-3'UTR-1272","BSGatlas-3'UTR-1272")</f>
        <v>BSGatlas-3'UTR-1272</v>
      </c>
      <c r="B1273" s="3">
        <v>3386819</v>
      </c>
      <c r="C1273" s="3">
        <v>3387781</v>
      </c>
      <c r="D1273" s="1" t="s">
        <v>13</v>
      </c>
      <c r="E1273" s="3">
        <v>963</v>
      </c>
      <c r="F1273" s="1" t="s">
        <v>13623</v>
      </c>
      <c r="G1273" s="1" t="s">
        <v>9993</v>
      </c>
    </row>
    <row r="1274" spans="1:7" ht="21" x14ac:dyDescent="0.25">
      <c r="A1274" s="2" t="str">
        <f>HYPERLINK("https://rth.dk/resources/bsgatlas/details.php?id=BSGatlas-3'UTR-1273","BSGatlas-3'UTR-1273")</f>
        <v>BSGatlas-3'UTR-1273</v>
      </c>
      <c r="B1274" s="3">
        <v>3387753</v>
      </c>
      <c r="C1274" s="3">
        <v>3387790</v>
      </c>
      <c r="D1274" s="1" t="s">
        <v>9</v>
      </c>
      <c r="E1274" s="3">
        <v>38</v>
      </c>
      <c r="F1274" s="1" t="s">
        <v>14567</v>
      </c>
      <c r="G1274" s="1" t="s">
        <v>9990</v>
      </c>
    </row>
    <row r="1275" spans="1:7" ht="21" x14ac:dyDescent="0.25">
      <c r="A1275" s="2" t="str">
        <f>HYPERLINK("https://rth.dk/resources/bsgatlas/details.php?id=BSGatlas-3'UTR-1274","BSGatlas-3'UTR-1274")</f>
        <v>BSGatlas-3'UTR-1274</v>
      </c>
      <c r="B1275" s="3">
        <v>3388979</v>
      </c>
      <c r="C1275" s="3">
        <v>3389024</v>
      </c>
      <c r="D1275" s="1" t="s">
        <v>13</v>
      </c>
      <c r="E1275" s="3">
        <v>46</v>
      </c>
      <c r="F1275" s="1" t="s">
        <v>13625</v>
      </c>
      <c r="G1275" s="1" t="s">
        <v>10000</v>
      </c>
    </row>
    <row r="1276" spans="1:7" ht="21" x14ac:dyDescent="0.25">
      <c r="A1276" s="2" t="str">
        <f>HYPERLINK("https://rth.dk/resources/bsgatlas/details.php?id=BSGatlas-3'UTR-1275","BSGatlas-3'UTR-1275")</f>
        <v>BSGatlas-3'UTR-1275</v>
      </c>
      <c r="B1276" s="3">
        <v>3388988</v>
      </c>
      <c r="C1276" s="3">
        <v>3390690</v>
      </c>
      <c r="D1276" s="1" t="s">
        <v>9</v>
      </c>
      <c r="E1276" s="3">
        <v>1703</v>
      </c>
      <c r="F1276" s="1" t="s">
        <v>13624</v>
      </c>
      <c r="G1276" s="1" t="s">
        <v>9998</v>
      </c>
    </row>
    <row r="1277" spans="1:7" ht="21" x14ac:dyDescent="0.25">
      <c r="A1277" s="2" t="str">
        <f>HYPERLINK("https://rth.dk/resources/bsgatlas/details.php?id=BSGatlas-3'UTR-1276","BSGatlas-3'UTR-1276")</f>
        <v>BSGatlas-3'UTR-1276</v>
      </c>
      <c r="B1277" s="3">
        <v>3394397</v>
      </c>
      <c r="C1277" s="3">
        <v>3394422</v>
      </c>
      <c r="D1277" s="1" t="s">
        <v>13</v>
      </c>
      <c r="E1277" s="3">
        <v>26</v>
      </c>
      <c r="F1277" s="1" t="s">
        <v>14568</v>
      </c>
      <c r="G1277" s="1" t="s">
        <v>10008</v>
      </c>
    </row>
    <row r="1278" spans="1:7" ht="21" x14ac:dyDescent="0.25">
      <c r="A1278" s="2" t="str">
        <f>HYPERLINK("https://rth.dk/resources/bsgatlas/details.php?id=BSGatlas-3'UTR-1277","BSGatlas-3'UTR-1277")</f>
        <v>BSGatlas-3'UTR-1277</v>
      </c>
      <c r="B1278" s="3">
        <v>3397771</v>
      </c>
      <c r="C1278" s="3">
        <v>3397846</v>
      </c>
      <c r="D1278" s="1" t="s">
        <v>13</v>
      </c>
      <c r="E1278" s="3">
        <v>76</v>
      </c>
      <c r="F1278" s="1" t="s">
        <v>14569</v>
      </c>
      <c r="G1278" s="1" t="s">
        <v>10012</v>
      </c>
    </row>
    <row r="1279" spans="1:7" ht="21" x14ac:dyDescent="0.25">
      <c r="A1279" s="2" t="str">
        <f>HYPERLINK("https://rth.dk/resources/bsgatlas/details.php?id=BSGatlas-3'UTR-1278","BSGatlas-3'UTR-1278")</f>
        <v>BSGatlas-3'UTR-1278</v>
      </c>
      <c r="B1279" s="3">
        <v>3400509</v>
      </c>
      <c r="C1279" s="3">
        <v>3400537</v>
      </c>
      <c r="D1279" s="1" t="s">
        <v>13</v>
      </c>
      <c r="E1279" s="3">
        <v>29</v>
      </c>
      <c r="F1279" s="1" t="s">
        <v>14570</v>
      </c>
      <c r="G1279" s="1" t="s">
        <v>10017</v>
      </c>
    </row>
    <row r="1280" spans="1:7" ht="21" x14ac:dyDescent="0.25">
      <c r="A1280" s="2" t="str">
        <f>HYPERLINK("https://rth.dk/resources/bsgatlas/details.php?id=BSGatlas-3'UTR-1279","BSGatlas-3'UTR-1279")</f>
        <v>BSGatlas-3'UTR-1279</v>
      </c>
      <c r="B1280" s="3">
        <v>3405622</v>
      </c>
      <c r="C1280" s="3">
        <v>3405664</v>
      </c>
      <c r="D1280" s="1" t="s">
        <v>13</v>
      </c>
      <c r="E1280" s="3">
        <v>43</v>
      </c>
      <c r="F1280" s="1" t="s">
        <v>13633</v>
      </c>
      <c r="G1280" s="1" t="s">
        <v>10022</v>
      </c>
    </row>
    <row r="1281" spans="1:7" ht="21" x14ac:dyDescent="0.25">
      <c r="A1281" s="2" t="str">
        <f>HYPERLINK("https://rth.dk/resources/bsgatlas/details.php?id=BSGatlas-3'UTR-1280","BSGatlas-3'UTR-1280")</f>
        <v>BSGatlas-3'UTR-1280</v>
      </c>
      <c r="B1281" s="3">
        <v>3409204</v>
      </c>
      <c r="C1281" s="3">
        <v>3409219</v>
      </c>
      <c r="D1281" s="1" t="s">
        <v>13</v>
      </c>
      <c r="E1281" s="3">
        <v>16</v>
      </c>
      <c r="F1281" s="1" t="s">
        <v>14571</v>
      </c>
      <c r="G1281" s="1" t="s">
        <v>10031</v>
      </c>
    </row>
    <row r="1282" spans="1:7" ht="21" x14ac:dyDescent="0.25">
      <c r="A1282" s="2" t="str">
        <f>HYPERLINK("https://rth.dk/resources/bsgatlas/details.php?id=BSGatlas-3'UTR-1281","BSGatlas-3'UTR-1281")</f>
        <v>BSGatlas-3'UTR-1281</v>
      </c>
      <c r="B1282" s="3">
        <v>3412085</v>
      </c>
      <c r="C1282" s="3">
        <v>3412128</v>
      </c>
      <c r="D1282" s="1" t="s">
        <v>13</v>
      </c>
      <c r="E1282" s="3">
        <v>44</v>
      </c>
      <c r="F1282" s="1" t="s">
        <v>14572</v>
      </c>
      <c r="G1282" s="1" t="s">
        <v>10040</v>
      </c>
    </row>
    <row r="1283" spans="1:7" ht="21" x14ac:dyDescent="0.25">
      <c r="A1283" s="2" t="str">
        <f>HYPERLINK("https://rth.dk/resources/bsgatlas/details.php?id=BSGatlas-3'UTR-1282","BSGatlas-3'UTR-1282")</f>
        <v>BSGatlas-3'UTR-1282</v>
      </c>
      <c r="B1283" s="3">
        <v>3412094</v>
      </c>
      <c r="C1283" s="3">
        <v>3412115</v>
      </c>
      <c r="D1283" s="1" t="s">
        <v>9</v>
      </c>
      <c r="E1283" s="3">
        <v>22</v>
      </c>
      <c r="F1283" s="1" t="s">
        <v>14573</v>
      </c>
      <c r="G1283" s="1" t="s">
        <v>10037</v>
      </c>
    </row>
    <row r="1284" spans="1:7" ht="21" x14ac:dyDescent="0.25">
      <c r="A1284" s="2" t="str">
        <f>HYPERLINK("https://rth.dk/resources/bsgatlas/details.php?id=BSGatlas-3'UTR-1283","BSGatlas-3'UTR-1283")</f>
        <v>BSGatlas-3'UTR-1283</v>
      </c>
      <c r="B1284" s="3">
        <v>3419421</v>
      </c>
      <c r="C1284" s="3">
        <v>3419462</v>
      </c>
      <c r="D1284" s="1" t="s">
        <v>9</v>
      </c>
      <c r="E1284" s="3">
        <v>42</v>
      </c>
      <c r="F1284" s="1" t="s">
        <v>13638</v>
      </c>
      <c r="G1284" s="1" t="s">
        <v>10045</v>
      </c>
    </row>
    <row r="1285" spans="1:7" ht="21" x14ac:dyDescent="0.25">
      <c r="A1285" s="2" t="str">
        <f>HYPERLINK("https://rth.dk/resources/bsgatlas/details.php?id=BSGatlas-3'UTR-1284","BSGatlas-3'UTR-1284")</f>
        <v>BSGatlas-3'UTR-1284</v>
      </c>
      <c r="B1285" s="3">
        <v>3419421</v>
      </c>
      <c r="C1285" s="3">
        <v>3419617</v>
      </c>
      <c r="D1285" s="1" t="s">
        <v>9</v>
      </c>
      <c r="E1285" s="3">
        <v>197</v>
      </c>
      <c r="F1285" s="1" t="s">
        <v>13638</v>
      </c>
      <c r="G1285" s="1" t="s">
        <v>10046</v>
      </c>
    </row>
    <row r="1286" spans="1:7" ht="21" x14ac:dyDescent="0.25">
      <c r="A1286" s="2" t="str">
        <f>HYPERLINK("https://rth.dk/resources/bsgatlas/details.php?id=BSGatlas-3'UTR-1285","BSGatlas-3'UTR-1285")</f>
        <v>BSGatlas-3'UTR-1285</v>
      </c>
      <c r="B1286" s="3">
        <v>3421145</v>
      </c>
      <c r="C1286" s="3">
        <v>3421168</v>
      </c>
      <c r="D1286" s="1" t="s">
        <v>13</v>
      </c>
      <c r="E1286" s="3">
        <v>24</v>
      </c>
      <c r="F1286" s="1" t="s">
        <v>14574</v>
      </c>
      <c r="G1286" s="1" t="s">
        <v>10051</v>
      </c>
    </row>
    <row r="1287" spans="1:7" ht="21" x14ac:dyDescent="0.25">
      <c r="A1287" s="2" t="str">
        <f>HYPERLINK("https://rth.dk/resources/bsgatlas/details.php?id=BSGatlas-3'UTR-1286","BSGatlas-3'UTR-1286")</f>
        <v>BSGatlas-3'UTR-1286</v>
      </c>
      <c r="B1287" s="3">
        <v>3426718</v>
      </c>
      <c r="C1287" s="3">
        <v>3427603</v>
      </c>
      <c r="D1287" s="1" t="s">
        <v>9</v>
      </c>
      <c r="E1287" s="3">
        <v>886</v>
      </c>
      <c r="F1287" s="1" t="s">
        <v>14575</v>
      </c>
      <c r="G1287" s="1" t="s">
        <v>10063</v>
      </c>
    </row>
    <row r="1288" spans="1:7" ht="21" x14ac:dyDescent="0.25">
      <c r="A1288" s="2" t="str">
        <f>HYPERLINK("https://rth.dk/resources/bsgatlas/details.php?id=BSGatlas-3'UTR-1287","BSGatlas-3'UTR-1287")</f>
        <v>BSGatlas-3'UTR-1287</v>
      </c>
      <c r="B1288" s="3">
        <v>3426733</v>
      </c>
      <c r="C1288" s="3">
        <v>3426749</v>
      </c>
      <c r="D1288" s="1" t="s">
        <v>13</v>
      </c>
      <c r="E1288" s="3">
        <v>17</v>
      </c>
      <c r="F1288" s="1" t="s">
        <v>13646</v>
      </c>
      <c r="G1288" s="1" t="s">
        <v>10065</v>
      </c>
    </row>
    <row r="1289" spans="1:7" ht="21" x14ac:dyDescent="0.25">
      <c r="A1289" s="2" t="str">
        <f>HYPERLINK("https://rth.dk/resources/bsgatlas/details.php?id=BSGatlas-3'UTR-1288","BSGatlas-3'UTR-1288")</f>
        <v>BSGatlas-3'UTR-1288</v>
      </c>
      <c r="B1289" s="3">
        <v>3428287</v>
      </c>
      <c r="C1289" s="3">
        <v>3428332</v>
      </c>
      <c r="D1289" s="1" t="s">
        <v>9</v>
      </c>
      <c r="E1289" s="3">
        <v>46</v>
      </c>
      <c r="F1289" s="1" t="s">
        <v>13645</v>
      </c>
      <c r="G1289" s="1" t="s">
        <v>10067</v>
      </c>
    </row>
    <row r="1290" spans="1:7" ht="21" x14ac:dyDescent="0.25">
      <c r="A1290" s="2" t="str">
        <f>HYPERLINK("https://rth.dk/resources/bsgatlas/details.php?id=BSGatlas-3'UTR-1289","BSGatlas-3'UTR-1289")</f>
        <v>BSGatlas-3'UTR-1289</v>
      </c>
      <c r="B1290" s="3">
        <v>3430545</v>
      </c>
      <c r="C1290" s="3">
        <v>3430598</v>
      </c>
      <c r="D1290" s="1" t="s">
        <v>13</v>
      </c>
      <c r="E1290" s="3">
        <v>54</v>
      </c>
      <c r="F1290" s="1" t="s">
        <v>14576</v>
      </c>
      <c r="G1290" s="1" t="s">
        <v>10074</v>
      </c>
    </row>
    <row r="1291" spans="1:7" ht="21" x14ac:dyDescent="0.25">
      <c r="A1291" s="2" t="str">
        <f>HYPERLINK("https://rth.dk/resources/bsgatlas/details.php?id=BSGatlas-3'UTR-1290","BSGatlas-3'UTR-1290")</f>
        <v>BSGatlas-3'UTR-1290</v>
      </c>
      <c r="B1291" s="3">
        <v>3436814</v>
      </c>
      <c r="C1291" s="3">
        <v>3436849</v>
      </c>
      <c r="D1291" s="1" t="s">
        <v>13</v>
      </c>
      <c r="E1291" s="3">
        <v>36</v>
      </c>
      <c r="F1291" s="1" t="s">
        <v>13650</v>
      </c>
      <c r="G1291" s="1" t="s">
        <v>10080</v>
      </c>
    </row>
    <row r="1292" spans="1:7" ht="21" x14ac:dyDescent="0.25">
      <c r="A1292" s="2" t="str">
        <f>HYPERLINK("https://rth.dk/resources/bsgatlas/details.php?id=BSGatlas-3'UTR-1291","BSGatlas-3'UTR-1291")</f>
        <v>BSGatlas-3'UTR-1291</v>
      </c>
      <c r="B1292" s="3">
        <v>3437600</v>
      </c>
      <c r="C1292" s="3">
        <v>3437644</v>
      </c>
      <c r="D1292" s="1" t="s">
        <v>13</v>
      </c>
      <c r="E1292" s="3">
        <v>45</v>
      </c>
      <c r="F1292" s="1" t="s">
        <v>14577</v>
      </c>
      <c r="G1292" s="1" t="s">
        <v>10083</v>
      </c>
    </row>
    <row r="1293" spans="1:7" ht="21" x14ac:dyDescent="0.25">
      <c r="A1293" s="2" t="str">
        <f>HYPERLINK("https://rth.dk/resources/bsgatlas/details.php?id=BSGatlas-3'UTR-1292","BSGatlas-3'UTR-1292")</f>
        <v>BSGatlas-3'UTR-1292</v>
      </c>
      <c r="B1293" s="3">
        <v>3438789</v>
      </c>
      <c r="C1293" s="3">
        <v>3438853</v>
      </c>
      <c r="D1293" s="1" t="s">
        <v>13</v>
      </c>
      <c r="E1293" s="3">
        <v>65</v>
      </c>
      <c r="F1293" s="1" t="s">
        <v>13652</v>
      </c>
      <c r="G1293" s="1" t="s">
        <v>10085</v>
      </c>
    </row>
    <row r="1294" spans="1:7" ht="21" x14ac:dyDescent="0.25">
      <c r="A1294" s="2" t="str">
        <f>HYPERLINK("https://rth.dk/resources/bsgatlas/details.php?id=BSGatlas-3'UTR-1293","BSGatlas-3'UTR-1293")</f>
        <v>BSGatlas-3'UTR-1293</v>
      </c>
      <c r="B1294" s="3">
        <v>3445398</v>
      </c>
      <c r="C1294" s="3">
        <v>3445442</v>
      </c>
      <c r="D1294" s="1" t="s">
        <v>13</v>
      </c>
      <c r="E1294" s="3">
        <v>45</v>
      </c>
      <c r="F1294" s="1" t="s">
        <v>13656</v>
      </c>
      <c r="G1294" s="1" t="s">
        <v>10096</v>
      </c>
    </row>
    <row r="1295" spans="1:7" ht="21" x14ac:dyDescent="0.25">
      <c r="A1295" s="2" t="str">
        <f>HYPERLINK("https://rth.dk/resources/bsgatlas/details.php?id=BSGatlas-3'UTR-1294","BSGatlas-3'UTR-1294")</f>
        <v>BSGatlas-3'UTR-1294</v>
      </c>
      <c r="B1295" s="3">
        <v>3448260</v>
      </c>
      <c r="C1295" s="3">
        <v>3448295</v>
      </c>
      <c r="D1295" s="1" t="s">
        <v>13</v>
      </c>
      <c r="E1295" s="3">
        <v>36</v>
      </c>
      <c r="F1295" s="1" t="s">
        <v>14578</v>
      </c>
      <c r="G1295" s="1" t="s">
        <v>10101</v>
      </c>
    </row>
    <row r="1296" spans="1:7" ht="21" x14ac:dyDescent="0.25">
      <c r="A1296" s="2" t="str">
        <f>HYPERLINK("https://rth.dk/resources/bsgatlas/details.php?id=BSGatlas-3'UTR-1295","BSGatlas-3'UTR-1295")</f>
        <v>BSGatlas-3'UTR-1295</v>
      </c>
      <c r="B1296" s="3">
        <v>3450693</v>
      </c>
      <c r="C1296" s="3">
        <v>3450708</v>
      </c>
      <c r="D1296" s="1" t="s">
        <v>13</v>
      </c>
      <c r="E1296" s="3">
        <v>16</v>
      </c>
      <c r="F1296" s="1" t="s">
        <v>13660</v>
      </c>
      <c r="G1296" s="1" t="s">
        <v>10105</v>
      </c>
    </row>
    <row r="1297" spans="1:7" ht="21" x14ac:dyDescent="0.25">
      <c r="A1297" s="2" t="str">
        <f>HYPERLINK("https://rth.dk/resources/bsgatlas/details.php?id=BSGatlas-3'UTR-1296","BSGatlas-3'UTR-1296")</f>
        <v>BSGatlas-3'UTR-1296</v>
      </c>
      <c r="B1297" s="3">
        <v>3455069</v>
      </c>
      <c r="C1297" s="3">
        <v>3455093</v>
      </c>
      <c r="D1297" s="1" t="s">
        <v>13</v>
      </c>
      <c r="E1297" s="3">
        <v>25</v>
      </c>
      <c r="F1297" s="1" t="s">
        <v>13663</v>
      </c>
      <c r="G1297" s="1" t="s">
        <v>10115</v>
      </c>
    </row>
    <row r="1298" spans="1:7" ht="21" x14ac:dyDescent="0.25">
      <c r="A1298" s="2" t="str">
        <f>HYPERLINK("https://rth.dk/resources/bsgatlas/details.php?id=BSGatlas-3'UTR-1297","BSGatlas-3'UTR-1297")</f>
        <v>BSGatlas-3'UTR-1297</v>
      </c>
      <c r="B1298" s="3">
        <v>3456242</v>
      </c>
      <c r="C1298" s="3">
        <v>3456285</v>
      </c>
      <c r="D1298" s="1" t="s">
        <v>9</v>
      </c>
      <c r="E1298" s="3">
        <v>44</v>
      </c>
      <c r="F1298" s="1" t="s">
        <v>13664</v>
      </c>
      <c r="G1298" s="1" t="s">
        <v>10117</v>
      </c>
    </row>
    <row r="1299" spans="1:7" ht="21" x14ac:dyDescent="0.25">
      <c r="A1299" s="2" t="str">
        <f>HYPERLINK("https://rth.dk/resources/bsgatlas/details.php?id=BSGatlas-3'UTR-1298","BSGatlas-3'UTR-1298")</f>
        <v>BSGatlas-3'UTR-1298</v>
      </c>
      <c r="B1299" s="3">
        <v>3458749</v>
      </c>
      <c r="C1299" s="3">
        <v>3459806</v>
      </c>
      <c r="D1299" s="1" t="s">
        <v>13</v>
      </c>
      <c r="E1299" s="3">
        <v>1058</v>
      </c>
      <c r="F1299" s="1" t="s">
        <v>14579</v>
      </c>
      <c r="G1299" s="1" t="s">
        <v>10125</v>
      </c>
    </row>
    <row r="1300" spans="1:7" ht="21" x14ac:dyDescent="0.25">
      <c r="A1300" s="2" t="str">
        <f>HYPERLINK("https://rth.dk/resources/bsgatlas/details.php?id=BSGatlas-3'UTR-1299","BSGatlas-3'UTR-1299")</f>
        <v>BSGatlas-3'UTR-1299</v>
      </c>
      <c r="B1300" s="3">
        <v>3459762</v>
      </c>
      <c r="C1300" s="3">
        <v>3459806</v>
      </c>
      <c r="D1300" s="1" t="s">
        <v>13</v>
      </c>
      <c r="E1300" s="3">
        <v>45</v>
      </c>
      <c r="F1300" s="1" t="s">
        <v>14579</v>
      </c>
      <c r="G1300" s="1" t="s">
        <v>10126</v>
      </c>
    </row>
    <row r="1301" spans="1:7" ht="21" x14ac:dyDescent="0.25">
      <c r="A1301" s="2" t="str">
        <f>HYPERLINK("https://rth.dk/resources/bsgatlas/details.php?id=BSGatlas-3'UTR-1300","BSGatlas-3'UTR-1300")</f>
        <v>BSGatlas-3'UTR-1300</v>
      </c>
      <c r="B1301" s="3">
        <v>3465672</v>
      </c>
      <c r="C1301" s="3">
        <v>3466434</v>
      </c>
      <c r="D1301" s="1" t="s">
        <v>13</v>
      </c>
      <c r="E1301" s="3">
        <v>763</v>
      </c>
      <c r="F1301" s="1" t="s">
        <v>14580</v>
      </c>
      <c r="G1301" s="1" t="s">
        <v>10141</v>
      </c>
    </row>
    <row r="1302" spans="1:7" ht="21" x14ac:dyDescent="0.25">
      <c r="A1302" s="2" t="str">
        <f>HYPERLINK("https://rth.dk/resources/bsgatlas/details.php?id=BSGatlas-3'UTR-1301","BSGatlas-3'UTR-1301")</f>
        <v>BSGatlas-3'UTR-1301</v>
      </c>
      <c r="B1302" s="3">
        <v>3466090</v>
      </c>
      <c r="C1302" s="3">
        <v>3466434</v>
      </c>
      <c r="D1302" s="1" t="s">
        <v>13</v>
      </c>
      <c r="E1302" s="3">
        <v>345</v>
      </c>
      <c r="F1302" s="1" t="s">
        <v>14580</v>
      </c>
      <c r="G1302" s="1" t="s">
        <v>10142</v>
      </c>
    </row>
    <row r="1303" spans="1:7" ht="21" x14ac:dyDescent="0.25">
      <c r="A1303" s="2" t="str">
        <f>HYPERLINK("https://rth.dk/resources/bsgatlas/details.php?id=BSGatlas-3'UTR-1302","BSGatlas-3'UTR-1302")</f>
        <v>BSGatlas-3'UTR-1302</v>
      </c>
      <c r="B1303" s="3">
        <v>3466383</v>
      </c>
      <c r="C1303" s="3">
        <v>3466434</v>
      </c>
      <c r="D1303" s="1" t="s">
        <v>13</v>
      </c>
      <c r="E1303" s="3">
        <v>52</v>
      </c>
      <c r="F1303" s="1" t="s">
        <v>14580</v>
      </c>
      <c r="G1303" s="1" t="s">
        <v>10143</v>
      </c>
    </row>
    <row r="1304" spans="1:7" ht="21" x14ac:dyDescent="0.25">
      <c r="A1304" s="2" t="str">
        <f>HYPERLINK("https://rth.dk/resources/bsgatlas/details.php?id=BSGatlas-3'UTR-1303","BSGatlas-3'UTR-1303")</f>
        <v>BSGatlas-3'UTR-1303</v>
      </c>
      <c r="B1304" s="3">
        <v>3466387</v>
      </c>
      <c r="C1304" s="3">
        <v>3466444</v>
      </c>
      <c r="D1304" s="1" t="s">
        <v>9</v>
      </c>
      <c r="E1304" s="3">
        <v>58</v>
      </c>
      <c r="F1304" s="1" t="s">
        <v>13672</v>
      </c>
      <c r="G1304" s="1" t="s">
        <v>10136</v>
      </c>
    </row>
    <row r="1305" spans="1:7" ht="21" x14ac:dyDescent="0.25">
      <c r="A1305" s="2" t="str">
        <f>HYPERLINK("https://rth.dk/resources/bsgatlas/details.php?id=BSGatlas-3'UTR-1304","BSGatlas-3'UTR-1304")</f>
        <v>BSGatlas-3'UTR-1304</v>
      </c>
      <c r="B1305" s="3">
        <v>3466387</v>
      </c>
      <c r="C1305" s="3">
        <v>3467583</v>
      </c>
      <c r="D1305" s="1" t="s">
        <v>9</v>
      </c>
      <c r="E1305" s="3">
        <v>1197</v>
      </c>
      <c r="F1305" s="1" t="s">
        <v>13672</v>
      </c>
      <c r="G1305" s="1" t="s">
        <v>10137</v>
      </c>
    </row>
    <row r="1306" spans="1:7" ht="21" x14ac:dyDescent="0.25">
      <c r="A1306" s="2" t="str">
        <f>HYPERLINK("https://rth.dk/resources/bsgatlas/details.php?id=BSGatlas-3'UTR-1305","BSGatlas-3'UTR-1305")</f>
        <v>BSGatlas-3'UTR-1305</v>
      </c>
      <c r="B1306" s="3">
        <v>3476508</v>
      </c>
      <c r="C1306" s="3">
        <v>3476555</v>
      </c>
      <c r="D1306" s="1" t="s">
        <v>13</v>
      </c>
      <c r="E1306" s="3">
        <v>48</v>
      </c>
      <c r="F1306" s="1" t="s">
        <v>14581</v>
      </c>
      <c r="G1306" s="1" t="s">
        <v>10161</v>
      </c>
    </row>
    <row r="1307" spans="1:7" ht="21" x14ac:dyDescent="0.25">
      <c r="A1307" s="2" t="str">
        <f>HYPERLINK("https://rth.dk/resources/bsgatlas/details.php?id=BSGatlas-3'UTR-1306","BSGatlas-3'UTR-1306")</f>
        <v>BSGatlas-3'UTR-1306</v>
      </c>
      <c r="B1307" s="3">
        <v>3476510</v>
      </c>
      <c r="C1307" s="3">
        <v>3476529</v>
      </c>
      <c r="D1307" s="1" t="s">
        <v>9</v>
      </c>
      <c r="E1307" s="3">
        <v>20</v>
      </c>
      <c r="F1307" s="1" t="s">
        <v>13680</v>
      </c>
      <c r="G1307" s="1" t="s">
        <v>10158</v>
      </c>
    </row>
    <row r="1308" spans="1:7" ht="21" x14ac:dyDescent="0.25">
      <c r="A1308" s="2" t="str">
        <f>HYPERLINK("https://rth.dk/resources/bsgatlas/details.php?id=BSGatlas-3'UTR-1307","BSGatlas-3'UTR-1307")</f>
        <v>BSGatlas-3'UTR-1307</v>
      </c>
      <c r="B1308" s="3">
        <v>3481593</v>
      </c>
      <c r="C1308" s="3">
        <v>3481698</v>
      </c>
      <c r="D1308" s="1" t="s">
        <v>13</v>
      </c>
      <c r="E1308" s="3">
        <v>106</v>
      </c>
      <c r="F1308" s="1" t="s">
        <v>13682</v>
      </c>
      <c r="G1308" s="1" t="s">
        <v>10167</v>
      </c>
    </row>
    <row r="1309" spans="1:7" ht="21" x14ac:dyDescent="0.25">
      <c r="A1309" s="2" t="str">
        <f>HYPERLINK("https://rth.dk/resources/bsgatlas/details.php?id=BSGatlas-3'UTR-1308","BSGatlas-3'UTR-1308")</f>
        <v>BSGatlas-3'UTR-1308</v>
      </c>
      <c r="B1309" s="3">
        <v>3484017</v>
      </c>
      <c r="C1309" s="3">
        <v>3484072</v>
      </c>
      <c r="D1309" s="1" t="s">
        <v>13</v>
      </c>
      <c r="E1309" s="3">
        <v>56</v>
      </c>
      <c r="F1309" s="1" t="s">
        <v>13684</v>
      </c>
      <c r="G1309" s="1" t="s">
        <v>10170</v>
      </c>
    </row>
    <row r="1310" spans="1:7" ht="21" x14ac:dyDescent="0.25">
      <c r="A1310" s="2" t="str">
        <f>HYPERLINK("https://rth.dk/resources/bsgatlas/details.php?id=BSGatlas-3'UTR-1309","BSGatlas-3'UTR-1309")</f>
        <v>BSGatlas-3'UTR-1309</v>
      </c>
      <c r="B1310" s="3">
        <v>3486758</v>
      </c>
      <c r="C1310" s="3">
        <v>3486807</v>
      </c>
      <c r="D1310" s="1" t="s">
        <v>9</v>
      </c>
      <c r="E1310" s="3">
        <v>50</v>
      </c>
      <c r="F1310" s="1" t="s">
        <v>13685</v>
      </c>
      <c r="G1310" s="1" t="s">
        <v>10173</v>
      </c>
    </row>
    <row r="1311" spans="1:7" ht="21" x14ac:dyDescent="0.25">
      <c r="A1311" s="2" t="str">
        <f>HYPERLINK("https://rth.dk/resources/bsgatlas/details.php?id=BSGatlas-3'UTR-1310","BSGatlas-3'UTR-1310")</f>
        <v>BSGatlas-3'UTR-1310</v>
      </c>
      <c r="B1311" s="3">
        <v>3486792</v>
      </c>
      <c r="C1311" s="3">
        <v>3486807</v>
      </c>
      <c r="D1311" s="1" t="s">
        <v>13</v>
      </c>
      <c r="E1311" s="3">
        <v>16</v>
      </c>
      <c r="F1311" s="1" t="s">
        <v>13686</v>
      </c>
      <c r="G1311" s="1" t="s">
        <v>10175</v>
      </c>
    </row>
    <row r="1312" spans="1:7" ht="21" x14ac:dyDescent="0.25">
      <c r="A1312" s="2" t="str">
        <f>HYPERLINK("https://rth.dk/resources/bsgatlas/details.php?id=BSGatlas-3'UTR-1311","BSGatlas-3'UTR-1311")</f>
        <v>BSGatlas-3'UTR-1311</v>
      </c>
      <c r="B1312" s="3">
        <v>3501585</v>
      </c>
      <c r="C1312" s="3">
        <v>3501651</v>
      </c>
      <c r="D1312" s="1" t="s">
        <v>13</v>
      </c>
      <c r="E1312" s="3">
        <v>67</v>
      </c>
      <c r="F1312" s="1" t="s">
        <v>14582</v>
      </c>
      <c r="G1312" s="1" t="s">
        <v>10193</v>
      </c>
    </row>
    <row r="1313" spans="1:7" ht="21" x14ac:dyDescent="0.25">
      <c r="A1313" s="2" t="str">
        <f>HYPERLINK("https://rth.dk/resources/bsgatlas/details.php?id=BSGatlas-3'UTR-1312","BSGatlas-3'UTR-1312")</f>
        <v>BSGatlas-3'UTR-1312</v>
      </c>
      <c r="B1313" s="3">
        <v>3509782</v>
      </c>
      <c r="C1313" s="3">
        <v>3509831</v>
      </c>
      <c r="D1313" s="1" t="s">
        <v>13</v>
      </c>
      <c r="E1313" s="3">
        <v>50</v>
      </c>
      <c r="F1313" s="1" t="s">
        <v>13695</v>
      </c>
      <c r="G1313" s="1" t="s">
        <v>10196</v>
      </c>
    </row>
    <row r="1314" spans="1:7" ht="21" x14ac:dyDescent="0.25">
      <c r="A1314" s="2" t="str">
        <f>HYPERLINK("https://rth.dk/resources/bsgatlas/details.php?id=BSGatlas-3'UTR-1313","BSGatlas-3'UTR-1313")</f>
        <v>BSGatlas-3'UTR-1313</v>
      </c>
      <c r="B1314" s="3">
        <v>3512462</v>
      </c>
      <c r="C1314" s="3">
        <v>3512498</v>
      </c>
      <c r="D1314" s="1" t="s">
        <v>13</v>
      </c>
      <c r="E1314" s="3">
        <v>37</v>
      </c>
      <c r="F1314" s="1" t="s">
        <v>13698</v>
      </c>
      <c r="G1314" s="1" t="s">
        <v>10202</v>
      </c>
    </row>
    <row r="1315" spans="1:7" ht="21" x14ac:dyDescent="0.25">
      <c r="A1315" s="2" t="str">
        <f>HYPERLINK("https://rth.dk/resources/bsgatlas/details.php?id=BSGatlas-3'UTR-1314","BSGatlas-3'UTR-1314")</f>
        <v>BSGatlas-3'UTR-1314</v>
      </c>
      <c r="B1315" s="3">
        <v>3512471</v>
      </c>
      <c r="C1315" s="3">
        <v>3513604</v>
      </c>
      <c r="D1315" s="1" t="s">
        <v>9</v>
      </c>
      <c r="E1315" s="3">
        <v>1134</v>
      </c>
      <c r="F1315" s="1" t="s">
        <v>13696</v>
      </c>
      <c r="G1315" s="1" t="s">
        <v>10200</v>
      </c>
    </row>
    <row r="1316" spans="1:7" ht="21" x14ac:dyDescent="0.25">
      <c r="A1316" s="2" t="str">
        <f>HYPERLINK("https://rth.dk/resources/bsgatlas/details.php?id=BSGatlas-3'UTR-1315","BSGatlas-3'UTR-1315")</f>
        <v>BSGatlas-3'UTR-1315</v>
      </c>
      <c r="B1316" s="3">
        <v>3514105</v>
      </c>
      <c r="C1316" s="3">
        <v>3514148</v>
      </c>
      <c r="D1316" s="1" t="s">
        <v>9</v>
      </c>
      <c r="E1316" s="3">
        <v>44</v>
      </c>
      <c r="F1316" s="1" t="s">
        <v>13697</v>
      </c>
      <c r="G1316" s="1" t="s">
        <v>10204</v>
      </c>
    </row>
    <row r="1317" spans="1:7" ht="21" x14ac:dyDescent="0.25">
      <c r="A1317" s="2" t="str">
        <f>HYPERLINK("https://rth.dk/resources/bsgatlas/details.php?id=BSGatlas-3'UTR-1316","BSGatlas-3'UTR-1316")</f>
        <v>BSGatlas-3'UTR-1316</v>
      </c>
      <c r="B1317" s="3">
        <v>3533371</v>
      </c>
      <c r="C1317" s="3">
        <v>3533419</v>
      </c>
      <c r="D1317" s="1" t="s">
        <v>13</v>
      </c>
      <c r="E1317" s="3">
        <v>49</v>
      </c>
      <c r="F1317" s="1" t="s">
        <v>14583</v>
      </c>
      <c r="G1317" s="1" t="s">
        <v>10217</v>
      </c>
    </row>
    <row r="1318" spans="1:7" ht="21" x14ac:dyDescent="0.25">
      <c r="A1318" s="2" t="str">
        <f>HYPERLINK("https://rth.dk/resources/bsgatlas/details.php?id=BSGatlas-3'UTR-1317","BSGatlas-3'UTR-1317")</f>
        <v>BSGatlas-3'UTR-1317</v>
      </c>
      <c r="B1318" s="3">
        <v>3537433</v>
      </c>
      <c r="C1318" s="3">
        <v>3537482</v>
      </c>
      <c r="D1318" s="1" t="s">
        <v>9</v>
      </c>
      <c r="E1318" s="3">
        <v>50</v>
      </c>
      <c r="F1318" s="1" t="s">
        <v>13705</v>
      </c>
      <c r="G1318" s="1" t="s">
        <v>10220</v>
      </c>
    </row>
    <row r="1319" spans="1:7" ht="21" x14ac:dyDescent="0.25">
      <c r="A1319" s="2" t="str">
        <f>HYPERLINK("https://rth.dk/resources/bsgatlas/details.php?id=BSGatlas-3'UTR-1318","BSGatlas-3'UTR-1318")</f>
        <v>BSGatlas-3'UTR-1318</v>
      </c>
      <c r="B1319" s="3">
        <v>3539057</v>
      </c>
      <c r="C1319" s="3">
        <v>3539099</v>
      </c>
      <c r="D1319" s="1" t="s">
        <v>9</v>
      </c>
      <c r="E1319" s="3">
        <v>43</v>
      </c>
      <c r="F1319" s="1" t="s">
        <v>14584</v>
      </c>
      <c r="G1319" s="1" t="s">
        <v>10222</v>
      </c>
    </row>
    <row r="1320" spans="1:7" ht="21" x14ac:dyDescent="0.25">
      <c r="A1320" s="2" t="str">
        <f>HYPERLINK("https://rth.dk/resources/bsgatlas/details.php?id=BSGatlas-3'UTR-1319","BSGatlas-3'UTR-1319")</f>
        <v>BSGatlas-3'UTR-1319</v>
      </c>
      <c r="B1320" s="3">
        <v>3540727</v>
      </c>
      <c r="C1320" s="3">
        <v>3540766</v>
      </c>
      <c r="D1320" s="1" t="s">
        <v>9</v>
      </c>
      <c r="E1320" s="3">
        <v>40</v>
      </c>
      <c r="F1320" s="1" t="s">
        <v>13706</v>
      </c>
      <c r="G1320" s="1" t="s">
        <v>10224</v>
      </c>
    </row>
    <row r="1321" spans="1:7" ht="21" x14ac:dyDescent="0.25">
      <c r="A1321" s="2" t="str">
        <f>HYPERLINK("https://rth.dk/resources/bsgatlas/details.php?id=BSGatlas-3'UTR-1320","BSGatlas-3'UTR-1320")</f>
        <v>BSGatlas-3'UTR-1320</v>
      </c>
      <c r="B1321" s="3">
        <v>3541463</v>
      </c>
      <c r="C1321" s="3">
        <v>3542179</v>
      </c>
      <c r="D1321" s="1" t="s">
        <v>13</v>
      </c>
      <c r="E1321" s="3">
        <v>717</v>
      </c>
      <c r="F1321" s="1" t="s">
        <v>13707</v>
      </c>
      <c r="G1321" s="1" t="s">
        <v>10231</v>
      </c>
    </row>
    <row r="1322" spans="1:7" ht="21" x14ac:dyDescent="0.25">
      <c r="A1322" s="2" t="str">
        <f>HYPERLINK("https://rth.dk/resources/bsgatlas/details.php?id=BSGatlas-3'UTR-1321","BSGatlas-3'UTR-1321")</f>
        <v>BSGatlas-3'UTR-1321</v>
      </c>
      <c r="B1322" s="3">
        <v>3541895</v>
      </c>
      <c r="C1322" s="3">
        <v>3542179</v>
      </c>
      <c r="D1322" s="1" t="s">
        <v>13</v>
      </c>
      <c r="E1322" s="3">
        <v>285</v>
      </c>
      <c r="F1322" s="1" t="s">
        <v>13707</v>
      </c>
      <c r="G1322" s="1" t="s">
        <v>10232</v>
      </c>
    </row>
    <row r="1323" spans="1:7" ht="21" x14ac:dyDescent="0.25">
      <c r="A1323" s="2" t="str">
        <f>HYPERLINK("https://rth.dk/resources/bsgatlas/details.php?id=BSGatlas-3'UTR-1322","BSGatlas-3'UTR-1322")</f>
        <v>BSGatlas-3'UTR-1322</v>
      </c>
      <c r="B1323" s="3">
        <v>3542143</v>
      </c>
      <c r="C1323" s="3">
        <v>3542333</v>
      </c>
      <c r="D1323" s="1" t="s">
        <v>9</v>
      </c>
      <c r="E1323" s="3">
        <v>191</v>
      </c>
      <c r="F1323" s="1" t="s">
        <v>14585</v>
      </c>
      <c r="G1323" s="1" t="s">
        <v>10229</v>
      </c>
    </row>
    <row r="1324" spans="1:7" ht="21" x14ac:dyDescent="0.25">
      <c r="A1324" s="2" t="str">
        <f>HYPERLINK("https://rth.dk/resources/bsgatlas/details.php?id=BSGatlas-3'UTR-1323","BSGatlas-3'UTR-1323")</f>
        <v>BSGatlas-3'UTR-1323</v>
      </c>
      <c r="B1324" s="3">
        <v>3542784</v>
      </c>
      <c r="C1324" s="3">
        <v>3542943</v>
      </c>
      <c r="D1324" s="1" t="s">
        <v>13</v>
      </c>
      <c r="E1324" s="3">
        <v>160</v>
      </c>
      <c r="F1324" s="1" t="s">
        <v>13708</v>
      </c>
      <c r="G1324" s="1" t="s">
        <v>10234</v>
      </c>
    </row>
    <row r="1325" spans="1:7" ht="21" x14ac:dyDescent="0.25">
      <c r="A1325" s="2" t="str">
        <f>HYPERLINK("https://rth.dk/resources/bsgatlas/details.php?id=BSGatlas-3'UTR-1324","BSGatlas-3'UTR-1324")</f>
        <v>BSGatlas-3'UTR-1324</v>
      </c>
      <c r="B1325" s="3">
        <v>3545604</v>
      </c>
      <c r="C1325" s="3">
        <v>3545891</v>
      </c>
      <c r="D1325" s="1" t="s">
        <v>9</v>
      </c>
      <c r="E1325" s="3">
        <v>288</v>
      </c>
      <c r="F1325" s="1" t="s">
        <v>13709</v>
      </c>
      <c r="G1325" s="1" t="s">
        <v>10236</v>
      </c>
    </row>
    <row r="1326" spans="1:7" ht="21" x14ac:dyDescent="0.25">
      <c r="A1326" s="2" t="str">
        <f>HYPERLINK("https://rth.dk/resources/bsgatlas/details.php?id=BSGatlas-3'UTR-1325","BSGatlas-3'UTR-1325")</f>
        <v>BSGatlas-3'UTR-1325</v>
      </c>
      <c r="B1326" s="3">
        <v>3545863</v>
      </c>
      <c r="C1326" s="3">
        <v>3545888</v>
      </c>
      <c r="D1326" s="1" t="s">
        <v>13</v>
      </c>
      <c r="E1326" s="3">
        <v>26</v>
      </c>
      <c r="F1326" s="1" t="s">
        <v>13710</v>
      </c>
      <c r="G1326" s="1" t="s">
        <v>10239</v>
      </c>
    </row>
    <row r="1327" spans="1:7" ht="21" x14ac:dyDescent="0.25">
      <c r="A1327" s="2" t="str">
        <f>HYPERLINK("https://rth.dk/resources/bsgatlas/details.php?id=BSGatlas-3'UTR-1326","BSGatlas-3'UTR-1326")</f>
        <v>BSGatlas-3'UTR-1326</v>
      </c>
      <c r="B1327" s="3">
        <v>3546827</v>
      </c>
      <c r="C1327" s="3">
        <v>3546876</v>
      </c>
      <c r="D1327" s="1" t="s">
        <v>9</v>
      </c>
      <c r="E1327" s="3">
        <v>50</v>
      </c>
      <c r="F1327" s="1" t="s">
        <v>13711</v>
      </c>
      <c r="G1327" s="1" t="s">
        <v>10241</v>
      </c>
    </row>
    <row r="1328" spans="1:7" ht="21" x14ac:dyDescent="0.25">
      <c r="A1328" s="2" t="str">
        <f>HYPERLINK("https://rth.dk/resources/bsgatlas/details.php?id=BSGatlas-3'UTR-1327","BSGatlas-3'UTR-1327")</f>
        <v>BSGatlas-3'UTR-1327</v>
      </c>
      <c r="B1328" s="3">
        <v>3546827</v>
      </c>
      <c r="C1328" s="3">
        <v>3547292</v>
      </c>
      <c r="D1328" s="1" t="s">
        <v>9</v>
      </c>
      <c r="E1328" s="3">
        <v>466</v>
      </c>
      <c r="F1328" s="1" t="s">
        <v>13711</v>
      </c>
      <c r="G1328" s="1" t="s">
        <v>10242</v>
      </c>
    </row>
    <row r="1329" spans="1:7" ht="21" x14ac:dyDescent="0.25">
      <c r="A1329" s="2" t="str">
        <f>HYPERLINK("https://rth.dk/resources/bsgatlas/details.php?id=BSGatlas-3'UTR-1328","BSGatlas-3'UTR-1328")</f>
        <v>BSGatlas-3'UTR-1328</v>
      </c>
      <c r="B1329" s="3">
        <v>3558846</v>
      </c>
      <c r="C1329" s="3">
        <v>3558940</v>
      </c>
      <c r="D1329" s="1" t="s">
        <v>13</v>
      </c>
      <c r="E1329" s="3">
        <v>95</v>
      </c>
      <c r="F1329" s="1" t="s">
        <v>13714</v>
      </c>
      <c r="G1329" s="1" t="s">
        <v>10250</v>
      </c>
    </row>
    <row r="1330" spans="1:7" ht="21" x14ac:dyDescent="0.25">
      <c r="A1330" s="2" t="str">
        <f>HYPERLINK("https://rth.dk/resources/bsgatlas/details.php?id=BSGatlas-3'UTR-1329","BSGatlas-3'UTR-1329")</f>
        <v>BSGatlas-3'UTR-1329</v>
      </c>
      <c r="B1330" s="3">
        <v>3559957</v>
      </c>
      <c r="C1330" s="3">
        <v>3559979</v>
      </c>
      <c r="D1330" s="1" t="s">
        <v>13</v>
      </c>
      <c r="E1330" s="3">
        <v>23</v>
      </c>
      <c r="F1330" s="1" t="s">
        <v>14586</v>
      </c>
      <c r="G1330" s="1" t="s">
        <v>10256</v>
      </c>
    </row>
    <row r="1331" spans="1:7" ht="21" x14ac:dyDescent="0.25">
      <c r="A1331" s="2" t="str">
        <f>HYPERLINK("https://rth.dk/resources/bsgatlas/details.php?id=BSGatlas-3'UTR-1330","BSGatlas-3'UTR-1330")</f>
        <v>BSGatlas-3'UTR-1330</v>
      </c>
      <c r="B1331" s="3">
        <v>3563537</v>
      </c>
      <c r="C1331" s="3">
        <v>3563581</v>
      </c>
      <c r="D1331" s="1" t="s">
        <v>13</v>
      </c>
      <c r="E1331" s="3">
        <v>45</v>
      </c>
      <c r="F1331" s="1" t="s">
        <v>14587</v>
      </c>
      <c r="G1331" s="1" t="s">
        <v>10261</v>
      </c>
    </row>
    <row r="1332" spans="1:7" ht="21" x14ac:dyDescent="0.25">
      <c r="A1332" s="2" t="str">
        <f>HYPERLINK("https://rth.dk/resources/bsgatlas/details.php?id=BSGatlas-3'UTR-1331","BSGatlas-3'UTR-1331")</f>
        <v>BSGatlas-3'UTR-1331</v>
      </c>
      <c r="B1332" s="3">
        <v>3568479</v>
      </c>
      <c r="C1332" s="3">
        <v>3568527</v>
      </c>
      <c r="D1332" s="1" t="s">
        <v>13</v>
      </c>
      <c r="E1332" s="3">
        <v>49</v>
      </c>
      <c r="F1332" s="1" t="s">
        <v>14588</v>
      </c>
      <c r="G1332" s="1" t="s">
        <v>10268</v>
      </c>
    </row>
    <row r="1333" spans="1:7" ht="21" x14ac:dyDescent="0.25">
      <c r="A1333" s="2" t="str">
        <f>HYPERLINK("https://rth.dk/resources/bsgatlas/details.php?id=BSGatlas-3'UTR-1332","BSGatlas-3'UTR-1332")</f>
        <v>BSGatlas-3'UTR-1332</v>
      </c>
      <c r="B1333" s="3">
        <v>3573077</v>
      </c>
      <c r="C1333" s="3">
        <v>3573207</v>
      </c>
      <c r="D1333" s="1" t="s">
        <v>13</v>
      </c>
      <c r="E1333" s="3">
        <v>131</v>
      </c>
      <c r="F1333" s="1" t="s">
        <v>13721</v>
      </c>
      <c r="G1333" s="1" t="s">
        <v>10272</v>
      </c>
    </row>
    <row r="1334" spans="1:7" ht="21" x14ac:dyDescent="0.25">
      <c r="A1334" s="2" t="str">
        <f>HYPERLINK("https://rth.dk/resources/bsgatlas/details.php?id=BSGatlas-3'UTR-1333","BSGatlas-3'UTR-1333")</f>
        <v>BSGatlas-3'UTR-1333</v>
      </c>
      <c r="B1334" s="3">
        <v>3605417</v>
      </c>
      <c r="C1334" s="3">
        <v>3606762</v>
      </c>
      <c r="D1334" s="1" t="s">
        <v>13</v>
      </c>
      <c r="E1334" s="3">
        <v>1346</v>
      </c>
      <c r="F1334" s="1" t="s">
        <v>14589</v>
      </c>
      <c r="G1334" s="1" t="s">
        <v>10314</v>
      </c>
    </row>
    <row r="1335" spans="1:7" ht="21" x14ac:dyDescent="0.25">
      <c r="A1335" s="2" t="str">
        <f>HYPERLINK("https://rth.dk/resources/bsgatlas/details.php?id=BSGatlas-3'UTR-1334","BSGatlas-3'UTR-1334")</f>
        <v>BSGatlas-3'UTR-1334</v>
      </c>
      <c r="B1335" s="3">
        <v>3606724</v>
      </c>
      <c r="C1335" s="3">
        <v>3606762</v>
      </c>
      <c r="D1335" s="1" t="s">
        <v>13</v>
      </c>
      <c r="E1335" s="3">
        <v>39</v>
      </c>
      <c r="F1335" s="1" t="s">
        <v>14589</v>
      </c>
      <c r="G1335" s="1" t="s">
        <v>10316</v>
      </c>
    </row>
    <row r="1336" spans="1:7" ht="21" x14ac:dyDescent="0.25">
      <c r="A1336" s="2" t="str">
        <f>HYPERLINK("https://rth.dk/resources/bsgatlas/details.php?id=BSGatlas-3'UTR-1335","BSGatlas-3'UTR-1335")</f>
        <v>BSGatlas-3'UTR-1335</v>
      </c>
      <c r="B1336" s="3">
        <v>3606734</v>
      </c>
      <c r="C1336" s="3">
        <v>3606754</v>
      </c>
      <c r="D1336" s="1" t="s">
        <v>9</v>
      </c>
      <c r="E1336" s="3">
        <v>21</v>
      </c>
      <c r="F1336" s="1" t="s">
        <v>14590</v>
      </c>
      <c r="G1336" s="1" t="s">
        <v>10310</v>
      </c>
    </row>
    <row r="1337" spans="1:7" ht="21" x14ac:dyDescent="0.25">
      <c r="A1337" s="2" t="str">
        <f>HYPERLINK("https://rth.dk/resources/bsgatlas/details.php?id=BSGatlas-3'UTR-1336","BSGatlas-3'UTR-1336")</f>
        <v>BSGatlas-3'UTR-1336</v>
      </c>
      <c r="B1337" s="3">
        <v>3606734</v>
      </c>
      <c r="C1337" s="3">
        <v>3607526</v>
      </c>
      <c r="D1337" s="1" t="s">
        <v>9</v>
      </c>
      <c r="E1337" s="3">
        <v>793</v>
      </c>
      <c r="F1337" s="1" t="s">
        <v>14590</v>
      </c>
      <c r="G1337" s="1" t="s">
        <v>10311</v>
      </c>
    </row>
    <row r="1338" spans="1:7" ht="21" x14ac:dyDescent="0.25">
      <c r="A1338" s="2" t="str">
        <f>HYPERLINK("https://rth.dk/resources/bsgatlas/details.php?id=BSGatlas-3'UTR-1337","BSGatlas-3'UTR-1337")</f>
        <v>BSGatlas-3'UTR-1337</v>
      </c>
      <c r="B1338" s="3">
        <v>3609221</v>
      </c>
      <c r="C1338" s="3">
        <v>3609450</v>
      </c>
      <c r="D1338" s="1" t="s">
        <v>9</v>
      </c>
      <c r="E1338" s="3">
        <v>230</v>
      </c>
      <c r="F1338" s="1" t="s">
        <v>13736</v>
      </c>
      <c r="G1338" s="1" t="s">
        <v>10318</v>
      </c>
    </row>
    <row r="1339" spans="1:7" ht="21" x14ac:dyDescent="0.25">
      <c r="A1339" s="2" t="str">
        <f>HYPERLINK("https://rth.dk/resources/bsgatlas/details.php?id=BSGatlas-3'UTR-1338","BSGatlas-3'UTR-1338")</f>
        <v>BSGatlas-3'UTR-1338</v>
      </c>
      <c r="B1339" s="3">
        <v>3609333</v>
      </c>
      <c r="C1339" s="3">
        <v>3609420</v>
      </c>
      <c r="D1339" s="1" t="s">
        <v>13</v>
      </c>
      <c r="E1339" s="3">
        <v>88</v>
      </c>
      <c r="F1339" s="1" t="s">
        <v>14591</v>
      </c>
      <c r="G1339" s="1" t="s">
        <v>10320</v>
      </c>
    </row>
    <row r="1340" spans="1:7" ht="21" x14ac:dyDescent="0.25">
      <c r="A1340" s="2" t="str">
        <f>HYPERLINK("https://rth.dk/resources/bsgatlas/details.php?id=BSGatlas-3'UTR-1339","BSGatlas-3'UTR-1339")</f>
        <v>BSGatlas-3'UTR-1339</v>
      </c>
      <c r="B1340" s="3">
        <v>3609988</v>
      </c>
      <c r="C1340" s="3">
        <v>3610064</v>
      </c>
      <c r="D1340" s="1" t="s">
        <v>13</v>
      </c>
      <c r="E1340" s="3">
        <v>77</v>
      </c>
      <c r="F1340" s="1" t="s">
        <v>14592</v>
      </c>
      <c r="G1340" s="1" t="s">
        <v>10325</v>
      </c>
    </row>
    <row r="1341" spans="1:7" ht="21" x14ac:dyDescent="0.25">
      <c r="A1341" s="2" t="str">
        <f>HYPERLINK("https://rth.dk/resources/bsgatlas/details.php?id=BSGatlas-3'UTR-1340","BSGatlas-3'UTR-1340")</f>
        <v>BSGatlas-3'UTR-1340</v>
      </c>
      <c r="B1341" s="3">
        <v>3615046</v>
      </c>
      <c r="C1341" s="3">
        <v>3615116</v>
      </c>
      <c r="D1341" s="1" t="s">
        <v>13</v>
      </c>
      <c r="E1341" s="3">
        <v>71</v>
      </c>
      <c r="F1341" s="1" t="s">
        <v>13738</v>
      </c>
      <c r="G1341" s="1" t="s">
        <v>10328</v>
      </c>
    </row>
    <row r="1342" spans="1:7" ht="21" x14ac:dyDescent="0.25">
      <c r="A1342" s="2" t="str">
        <f>HYPERLINK("https://rth.dk/resources/bsgatlas/details.php?id=BSGatlas-3'UTR-1341","BSGatlas-3'UTR-1341")</f>
        <v>BSGatlas-3'UTR-1341</v>
      </c>
      <c r="B1342" s="3">
        <v>3621521</v>
      </c>
      <c r="C1342" s="3">
        <v>3621618</v>
      </c>
      <c r="D1342" s="1" t="s">
        <v>13</v>
      </c>
      <c r="E1342" s="3">
        <v>98</v>
      </c>
      <c r="F1342" s="1" t="s">
        <v>14593</v>
      </c>
      <c r="G1342" s="1" t="s">
        <v>10342</v>
      </c>
    </row>
    <row r="1343" spans="1:7" ht="21" x14ac:dyDescent="0.25">
      <c r="A1343" s="2" t="str">
        <f>HYPERLINK("https://rth.dk/resources/bsgatlas/details.php?id=BSGatlas-3'UTR-1342","BSGatlas-3'UTR-1342")</f>
        <v>BSGatlas-3'UTR-1342</v>
      </c>
      <c r="B1343" s="3">
        <v>3622318</v>
      </c>
      <c r="C1343" s="3">
        <v>3622356</v>
      </c>
      <c r="D1343" s="1" t="s">
        <v>13</v>
      </c>
      <c r="E1343" s="3">
        <v>39</v>
      </c>
      <c r="F1343" s="1" t="s">
        <v>13742</v>
      </c>
      <c r="G1343" s="1" t="s">
        <v>10344</v>
      </c>
    </row>
    <row r="1344" spans="1:7" ht="21" x14ac:dyDescent="0.25">
      <c r="A1344" s="2" t="str">
        <f>HYPERLINK("https://rth.dk/resources/bsgatlas/details.php?id=BSGatlas-3'UTR-1343","BSGatlas-3'UTR-1343")</f>
        <v>BSGatlas-3'UTR-1343</v>
      </c>
      <c r="B1344" s="3">
        <v>3623906</v>
      </c>
      <c r="C1344" s="3">
        <v>3623938</v>
      </c>
      <c r="D1344" s="1" t="s">
        <v>13</v>
      </c>
      <c r="E1344" s="3">
        <v>33</v>
      </c>
      <c r="F1344" s="1" t="s">
        <v>14594</v>
      </c>
      <c r="G1344" s="1" t="s">
        <v>10347</v>
      </c>
    </row>
    <row r="1345" spans="1:7" ht="21" x14ac:dyDescent="0.25">
      <c r="A1345" s="2" t="str">
        <f>HYPERLINK("https://rth.dk/resources/bsgatlas/details.php?id=BSGatlas-3'UTR-1344","BSGatlas-3'UTR-1344")</f>
        <v>BSGatlas-3'UTR-1344</v>
      </c>
      <c r="B1345" s="3">
        <v>3625691</v>
      </c>
      <c r="C1345" s="3">
        <v>3625741</v>
      </c>
      <c r="D1345" s="1" t="s">
        <v>13</v>
      </c>
      <c r="E1345" s="3">
        <v>51</v>
      </c>
      <c r="F1345" s="1" t="s">
        <v>13743</v>
      </c>
      <c r="G1345" s="1" t="s">
        <v>10351</v>
      </c>
    </row>
    <row r="1346" spans="1:7" ht="21" x14ac:dyDescent="0.25">
      <c r="A1346" s="2" t="str">
        <f>HYPERLINK("https://rth.dk/resources/bsgatlas/details.php?id=BSGatlas-3'UTR-1345","BSGatlas-3'UTR-1345")</f>
        <v>BSGatlas-3'UTR-1345</v>
      </c>
      <c r="B1346" s="3">
        <v>3627091</v>
      </c>
      <c r="C1346" s="3">
        <v>3627139</v>
      </c>
      <c r="D1346" s="1" t="s">
        <v>13</v>
      </c>
      <c r="E1346" s="3">
        <v>49</v>
      </c>
      <c r="F1346" s="1" t="s">
        <v>14595</v>
      </c>
      <c r="G1346" s="1" t="s">
        <v>10356</v>
      </c>
    </row>
    <row r="1347" spans="1:7" ht="21" x14ac:dyDescent="0.25">
      <c r="A1347" s="2" t="str">
        <f>HYPERLINK("https://rth.dk/resources/bsgatlas/details.php?id=BSGatlas-3'UTR-1346","BSGatlas-3'UTR-1346")</f>
        <v>BSGatlas-3'UTR-1346</v>
      </c>
      <c r="B1347" s="3">
        <v>3630955</v>
      </c>
      <c r="C1347" s="3">
        <v>3631003</v>
      </c>
      <c r="D1347" s="1" t="s">
        <v>13</v>
      </c>
      <c r="E1347" s="3">
        <v>49</v>
      </c>
      <c r="F1347" s="1" t="s">
        <v>13745</v>
      </c>
      <c r="G1347" s="1" t="s">
        <v>10358</v>
      </c>
    </row>
    <row r="1348" spans="1:7" ht="21" x14ac:dyDescent="0.25">
      <c r="A1348" s="2" t="str">
        <f>HYPERLINK("https://rth.dk/resources/bsgatlas/details.php?id=BSGatlas-3'UTR-1347","BSGatlas-3'UTR-1347")</f>
        <v>BSGatlas-3'UTR-1347</v>
      </c>
      <c r="B1348" s="3">
        <v>3631977</v>
      </c>
      <c r="C1348" s="3">
        <v>3632150</v>
      </c>
      <c r="D1348" s="1" t="s">
        <v>13</v>
      </c>
      <c r="E1348" s="3">
        <v>174</v>
      </c>
      <c r="F1348" s="1" t="s">
        <v>14596</v>
      </c>
      <c r="G1348" s="1" t="s">
        <v>10366</v>
      </c>
    </row>
    <row r="1349" spans="1:7" ht="21" x14ac:dyDescent="0.25">
      <c r="A1349" s="2" t="str">
        <f>HYPERLINK("https://rth.dk/resources/bsgatlas/details.php?id=BSGatlas-3'UTR-1348","BSGatlas-3'UTR-1348")</f>
        <v>BSGatlas-3'UTR-1348</v>
      </c>
      <c r="B1349" s="3">
        <v>3634941</v>
      </c>
      <c r="C1349" s="3">
        <v>3634987</v>
      </c>
      <c r="D1349" s="1" t="s">
        <v>13</v>
      </c>
      <c r="E1349" s="3">
        <v>47</v>
      </c>
      <c r="F1349" s="1" t="s">
        <v>13747</v>
      </c>
      <c r="G1349" s="1" t="s">
        <v>10368</v>
      </c>
    </row>
    <row r="1350" spans="1:7" ht="21" x14ac:dyDescent="0.25">
      <c r="A1350" s="2" t="str">
        <f>HYPERLINK("https://rth.dk/resources/bsgatlas/details.php?id=BSGatlas-3'UTR-1349","BSGatlas-3'UTR-1349")</f>
        <v>BSGatlas-3'UTR-1349</v>
      </c>
      <c r="B1350" s="3">
        <v>3636028</v>
      </c>
      <c r="C1350" s="3">
        <v>3636046</v>
      </c>
      <c r="D1350" s="1" t="s">
        <v>13</v>
      </c>
      <c r="E1350" s="3">
        <v>19</v>
      </c>
      <c r="F1350" s="1" t="s">
        <v>14597</v>
      </c>
      <c r="G1350" s="1" t="s">
        <v>10370</v>
      </c>
    </row>
    <row r="1351" spans="1:7" ht="21" x14ac:dyDescent="0.25">
      <c r="A1351" s="2" t="str">
        <f>HYPERLINK("https://rth.dk/resources/bsgatlas/details.php?id=BSGatlas-3'UTR-1350","BSGatlas-3'UTR-1350")</f>
        <v>BSGatlas-3'UTR-1350</v>
      </c>
      <c r="B1351" s="3">
        <v>3637304</v>
      </c>
      <c r="C1351" s="3">
        <v>3637338</v>
      </c>
      <c r="D1351" s="1" t="s">
        <v>13</v>
      </c>
      <c r="E1351" s="3">
        <v>35</v>
      </c>
      <c r="F1351" s="1" t="s">
        <v>14598</v>
      </c>
      <c r="G1351" s="1" t="s">
        <v>10380</v>
      </c>
    </row>
    <row r="1352" spans="1:7" ht="21" x14ac:dyDescent="0.25">
      <c r="A1352" s="2" t="str">
        <f>HYPERLINK("https://rth.dk/resources/bsgatlas/details.php?id=BSGatlas-3'UTR-1351","BSGatlas-3'UTR-1351")</f>
        <v>BSGatlas-3'UTR-1351</v>
      </c>
      <c r="B1352" s="3">
        <v>3641101</v>
      </c>
      <c r="C1352" s="3">
        <v>3641125</v>
      </c>
      <c r="D1352" s="1" t="s">
        <v>13</v>
      </c>
      <c r="E1352" s="3">
        <v>25</v>
      </c>
      <c r="F1352" s="1" t="s">
        <v>14599</v>
      </c>
      <c r="G1352" s="1" t="s">
        <v>10385</v>
      </c>
    </row>
    <row r="1353" spans="1:7" ht="21" x14ac:dyDescent="0.25">
      <c r="A1353" s="2" t="str">
        <f>HYPERLINK("https://rth.dk/resources/bsgatlas/details.php?id=BSGatlas-3'UTR-1352","BSGatlas-3'UTR-1352")</f>
        <v>BSGatlas-3'UTR-1352</v>
      </c>
      <c r="B1353" s="3">
        <v>3643621</v>
      </c>
      <c r="C1353" s="3">
        <v>3643664</v>
      </c>
      <c r="D1353" s="1" t="s">
        <v>13</v>
      </c>
      <c r="E1353" s="3">
        <v>44</v>
      </c>
      <c r="F1353" s="1" t="s">
        <v>13752</v>
      </c>
      <c r="G1353" s="1" t="s">
        <v>10388</v>
      </c>
    </row>
    <row r="1354" spans="1:7" ht="21" x14ac:dyDescent="0.25">
      <c r="A1354" s="2" t="str">
        <f>HYPERLINK("https://rth.dk/resources/bsgatlas/details.php?id=BSGatlas-3'UTR-1353","BSGatlas-3'UTR-1353")</f>
        <v>BSGatlas-3'UTR-1353</v>
      </c>
      <c r="B1354" s="3">
        <v>3644558</v>
      </c>
      <c r="C1354" s="3">
        <v>3644607</v>
      </c>
      <c r="D1354" s="1" t="s">
        <v>13</v>
      </c>
      <c r="E1354" s="3">
        <v>50</v>
      </c>
      <c r="F1354" s="1" t="s">
        <v>14600</v>
      </c>
      <c r="G1354" s="1" t="s">
        <v>10390</v>
      </c>
    </row>
    <row r="1355" spans="1:7" ht="21" x14ac:dyDescent="0.25">
      <c r="A1355" s="2" t="str">
        <f>HYPERLINK("https://rth.dk/resources/bsgatlas/details.php?id=BSGatlas-3'UTR-1354","BSGatlas-3'UTR-1354")</f>
        <v>BSGatlas-3'UTR-1354</v>
      </c>
      <c r="B1355" s="3">
        <v>3648581</v>
      </c>
      <c r="C1355" s="3">
        <v>3648665</v>
      </c>
      <c r="D1355" s="1" t="s">
        <v>9</v>
      </c>
      <c r="E1355" s="3">
        <v>85</v>
      </c>
      <c r="F1355" s="1" t="s">
        <v>14601</v>
      </c>
      <c r="G1355" s="1" t="s">
        <v>10396</v>
      </c>
    </row>
    <row r="1356" spans="1:7" ht="21" x14ac:dyDescent="0.25">
      <c r="A1356" s="2" t="str">
        <f>HYPERLINK("https://rth.dk/resources/bsgatlas/details.php?id=BSGatlas-3'UTR-1355","BSGatlas-3'UTR-1355")</f>
        <v>BSGatlas-3'UTR-1355</v>
      </c>
      <c r="B1356" s="3">
        <v>3649839</v>
      </c>
      <c r="C1356" s="3">
        <v>3649875</v>
      </c>
      <c r="D1356" s="1" t="s">
        <v>13</v>
      </c>
      <c r="E1356" s="3">
        <v>37</v>
      </c>
      <c r="F1356" s="1" t="s">
        <v>14602</v>
      </c>
      <c r="G1356" s="1" t="s">
        <v>10403</v>
      </c>
    </row>
    <row r="1357" spans="1:7" ht="21" x14ac:dyDescent="0.25">
      <c r="A1357" s="2" t="str">
        <f>HYPERLINK("https://rth.dk/resources/bsgatlas/details.php?id=BSGatlas-3'UTR-1356","BSGatlas-3'UTR-1356")</f>
        <v>BSGatlas-3'UTR-1356</v>
      </c>
      <c r="B1357" s="3">
        <v>3659070</v>
      </c>
      <c r="C1357" s="3">
        <v>3659119</v>
      </c>
      <c r="D1357" s="1" t="s">
        <v>13</v>
      </c>
      <c r="E1357" s="3">
        <v>50</v>
      </c>
      <c r="F1357" s="1" t="s">
        <v>14603</v>
      </c>
      <c r="G1357" s="1" t="s">
        <v>10409</v>
      </c>
    </row>
    <row r="1358" spans="1:7" ht="21" x14ac:dyDescent="0.25">
      <c r="A1358" s="2" t="str">
        <f>HYPERLINK("https://rth.dk/resources/bsgatlas/details.php?id=BSGatlas-3'UTR-1357","BSGatlas-3'UTR-1357")</f>
        <v>BSGatlas-3'UTR-1357</v>
      </c>
      <c r="B1358" s="3">
        <v>3664201</v>
      </c>
      <c r="C1358" s="3">
        <v>3664251</v>
      </c>
      <c r="D1358" s="1" t="s">
        <v>9</v>
      </c>
      <c r="E1358" s="3">
        <v>51</v>
      </c>
      <c r="F1358" s="1" t="s">
        <v>13758</v>
      </c>
      <c r="G1358" s="1" t="s">
        <v>10413</v>
      </c>
    </row>
    <row r="1359" spans="1:7" ht="21" x14ac:dyDescent="0.25">
      <c r="A1359" s="2" t="str">
        <f>HYPERLINK("https://rth.dk/resources/bsgatlas/details.php?id=BSGatlas-3'UTR-1358","BSGatlas-3'UTR-1358")</f>
        <v>BSGatlas-3'UTR-1358</v>
      </c>
      <c r="B1359" s="3">
        <v>3666507</v>
      </c>
      <c r="C1359" s="3">
        <v>3666566</v>
      </c>
      <c r="D1359" s="1" t="s">
        <v>9</v>
      </c>
      <c r="E1359" s="3">
        <v>60</v>
      </c>
      <c r="F1359" s="1" t="s">
        <v>13760</v>
      </c>
      <c r="G1359" s="1" t="s">
        <v>10419</v>
      </c>
    </row>
    <row r="1360" spans="1:7" ht="21" x14ac:dyDescent="0.25">
      <c r="A1360" s="2" t="str">
        <f>HYPERLINK("https://rth.dk/resources/bsgatlas/details.php?id=BSGatlas-3'UTR-1359","BSGatlas-3'UTR-1359")</f>
        <v>BSGatlas-3'UTR-1359</v>
      </c>
      <c r="B1360" s="3">
        <v>3666544</v>
      </c>
      <c r="C1360" s="3">
        <v>3666933</v>
      </c>
      <c r="D1360" s="1" t="s">
        <v>13</v>
      </c>
      <c r="E1360" s="3">
        <v>390</v>
      </c>
      <c r="F1360" s="1" t="s">
        <v>14604</v>
      </c>
      <c r="G1360" s="1" t="s">
        <v>10421</v>
      </c>
    </row>
    <row r="1361" spans="1:7" ht="21" x14ac:dyDescent="0.25">
      <c r="A1361" s="2" t="str">
        <f>HYPERLINK("https://rth.dk/resources/bsgatlas/details.php?id=BSGatlas-3'UTR-1360","BSGatlas-3'UTR-1360")</f>
        <v>BSGatlas-3'UTR-1360</v>
      </c>
      <c r="B1361" s="3">
        <v>3667059</v>
      </c>
      <c r="C1361" s="3">
        <v>3667632</v>
      </c>
      <c r="D1361" s="1" t="s">
        <v>9</v>
      </c>
      <c r="E1361" s="3">
        <v>574</v>
      </c>
      <c r="F1361" s="1" t="s">
        <v>14605</v>
      </c>
      <c r="G1361" s="1" t="s">
        <v>10422</v>
      </c>
    </row>
    <row r="1362" spans="1:7" ht="21" x14ac:dyDescent="0.25">
      <c r="A1362" s="2" t="str">
        <f>HYPERLINK("https://rth.dk/resources/bsgatlas/details.php?id=BSGatlas-3'UTR-1361","BSGatlas-3'UTR-1361")</f>
        <v>BSGatlas-3'UTR-1361</v>
      </c>
      <c r="B1362" s="3">
        <v>3667136</v>
      </c>
      <c r="C1362" s="3">
        <v>3667209</v>
      </c>
      <c r="D1362" s="1" t="s">
        <v>13</v>
      </c>
      <c r="E1362" s="3">
        <v>74</v>
      </c>
      <c r="F1362" s="1" t="s">
        <v>14606</v>
      </c>
      <c r="G1362" s="1" t="s">
        <v>10424</v>
      </c>
    </row>
    <row r="1363" spans="1:7" ht="21" x14ac:dyDescent="0.25">
      <c r="A1363" s="2" t="str">
        <f>HYPERLINK("https://rth.dk/resources/bsgatlas/details.php?id=BSGatlas-3'UTR-1362","BSGatlas-3'UTR-1362")</f>
        <v>BSGatlas-3'UTR-1362</v>
      </c>
      <c r="B1363" s="3">
        <v>3673525</v>
      </c>
      <c r="C1363" s="3">
        <v>3673629</v>
      </c>
      <c r="D1363" s="1" t="s">
        <v>9</v>
      </c>
      <c r="E1363" s="3">
        <v>105</v>
      </c>
      <c r="F1363" s="1" t="s">
        <v>13761</v>
      </c>
      <c r="G1363" s="1" t="s">
        <v>10429</v>
      </c>
    </row>
    <row r="1364" spans="1:7" ht="21" x14ac:dyDescent="0.25">
      <c r="A1364" s="2" t="str">
        <f>HYPERLINK("https://rth.dk/resources/bsgatlas/details.php?id=BSGatlas-3'UTR-1363","BSGatlas-3'UTR-1363")</f>
        <v>BSGatlas-3'UTR-1363</v>
      </c>
      <c r="B1364" s="3">
        <v>3676098</v>
      </c>
      <c r="C1364" s="3">
        <v>3676159</v>
      </c>
      <c r="D1364" s="1" t="s">
        <v>13</v>
      </c>
      <c r="E1364" s="3">
        <v>62</v>
      </c>
      <c r="F1364" s="1" t="s">
        <v>14607</v>
      </c>
      <c r="G1364" s="1" t="s">
        <v>10434</v>
      </c>
    </row>
    <row r="1365" spans="1:7" ht="21" x14ac:dyDescent="0.25">
      <c r="A1365" s="2" t="str">
        <f>HYPERLINK("https://rth.dk/resources/bsgatlas/details.php?id=BSGatlas-3'UTR-1364","BSGatlas-3'UTR-1364")</f>
        <v>BSGatlas-3'UTR-1364</v>
      </c>
      <c r="B1365" s="3">
        <v>3682140</v>
      </c>
      <c r="C1365" s="3">
        <v>3682187</v>
      </c>
      <c r="D1365" s="1" t="s">
        <v>9</v>
      </c>
      <c r="E1365" s="3">
        <v>48</v>
      </c>
      <c r="F1365" s="1" t="s">
        <v>13765</v>
      </c>
      <c r="G1365" s="1" t="s">
        <v>10436</v>
      </c>
    </row>
    <row r="1366" spans="1:7" ht="21" x14ac:dyDescent="0.25">
      <c r="A1366" s="2" t="str">
        <f>HYPERLINK("https://rth.dk/resources/bsgatlas/details.php?id=BSGatlas-3'UTR-1365","BSGatlas-3'UTR-1365")</f>
        <v>BSGatlas-3'UTR-1365</v>
      </c>
      <c r="B1366" s="3">
        <v>3683318</v>
      </c>
      <c r="C1366" s="3">
        <v>3683367</v>
      </c>
      <c r="D1366" s="1" t="s">
        <v>9</v>
      </c>
      <c r="E1366" s="3">
        <v>50</v>
      </c>
      <c r="F1366" s="1" t="s">
        <v>14608</v>
      </c>
      <c r="G1366" s="1" t="s">
        <v>10438</v>
      </c>
    </row>
    <row r="1367" spans="1:7" ht="21" x14ac:dyDescent="0.25">
      <c r="A1367" s="2" t="str">
        <f>HYPERLINK("https://rth.dk/resources/bsgatlas/details.php?id=BSGatlas-3'UTR-1366","BSGatlas-3'UTR-1366")</f>
        <v>BSGatlas-3'UTR-1366</v>
      </c>
      <c r="B1367" s="3">
        <v>3684760</v>
      </c>
      <c r="C1367" s="3">
        <v>3684826</v>
      </c>
      <c r="D1367" s="1" t="s">
        <v>13</v>
      </c>
      <c r="E1367" s="3">
        <v>67</v>
      </c>
      <c r="F1367" s="1" t="s">
        <v>13767</v>
      </c>
      <c r="G1367" s="1" t="s">
        <v>10443</v>
      </c>
    </row>
    <row r="1368" spans="1:7" ht="21" x14ac:dyDescent="0.25">
      <c r="A1368" s="2" t="str">
        <f>HYPERLINK("https://rth.dk/resources/bsgatlas/details.php?id=BSGatlas-3'UTR-1367","BSGatlas-3'UTR-1367")</f>
        <v>BSGatlas-3'UTR-1367</v>
      </c>
      <c r="B1368" s="3">
        <v>3684766</v>
      </c>
      <c r="C1368" s="3">
        <v>3684820</v>
      </c>
      <c r="D1368" s="1" t="s">
        <v>9</v>
      </c>
      <c r="E1368" s="3">
        <v>55</v>
      </c>
      <c r="F1368" s="1" t="s">
        <v>13766</v>
      </c>
      <c r="G1368" s="1" t="s">
        <v>10441</v>
      </c>
    </row>
    <row r="1369" spans="1:7" ht="21" x14ac:dyDescent="0.25">
      <c r="A1369" s="2" t="str">
        <f>HYPERLINK("https://rth.dk/resources/bsgatlas/details.php?id=BSGatlas-3'UTR-1368","BSGatlas-3'UTR-1368")</f>
        <v>BSGatlas-3'UTR-1368</v>
      </c>
      <c r="B1369" s="3">
        <v>3687558</v>
      </c>
      <c r="C1369" s="3">
        <v>3687597</v>
      </c>
      <c r="D1369" s="1" t="s">
        <v>13</v>
      </c>
      <c r="E1369" s="3">
        <v>40</v>
      </c>
      <c r="F1369" s="1" t="s">
        <v>13768</v>
      </c>
      <c r="G1369" s="1" t="s">
        <v>10446</v>
      </c>
    </row>
    <row r="1370" spans="1:7" ht="21" x14ac:dyDescent="0.25">
      <c r="A1370" s="2" t="str">
        <f>HYPERLINK("https://rth.dk/resources/bsgatlas/details.php?id=BSGatlas-3'UTR-1369","BSGatlas-3'UTR-1369")</f>
        <v>BSGatlas-3'UTR-1369</v>
      </c>
      <c r="B1370" s="3">
        <v>3691566</v>
      </c>
      <c r="C1370" s="3">
        <v>3692533</v>
      </c>
      <c r="D1370" s="1" t="s">
        <v>13</v>
      </c>
      <c r="E1370" s="3">
        <v>968</v>
      </c>
      <c r="F1370" s="1" t="s">
        <v>13770</v>
      </c>
      <c r="G1370" s="1" t="s">
        <v>10452</v>
      </c>
    </row>
    <row r="1371" spans="1:7" ht="21" x14ac:dyDescent="0.25">
      <c r="A1371" s="2" t="str">
        <f>HYPERLINK("https://rth.dk/resources/bsgatlas/details.php?id=BSGatlas-3'UTR-1370","BSGatlas-3'UTR-1370")</f>
        <v>BSGatlas-3'UTR-1370</v>
      </c>
      <c r="B1371" s="3">
        <v>3692492</v>
      </c>
      <c r="C1371" s="3">
        <v>3692533</v>
      </c>
      <c r="D1371" s="1" t="s">
        <v>13</v>
      </c>
      <c r="E1371" s="3">
        <v>42</v>
      </c>
      <c r="F1371" s="1" t="s">
        <v>13770</v>
      </c>
      <c r="G1371" s="1" t="s">
        <v>10453</v>
      </c>
    </row>
    <row r="1372" spans="1:7" ht="21" x14ac:dyDescent="0.25">
      <c r="A1372" s="2" t="str">
        <f>HYPERLINK("https://rth.dk/resources/bsgatlas/details.php?id=BSGatlas-3'UTR-1371","BSGatlas-3'UTR-1371")</f>
        <v>BSGatlas-3'UTR-1371</v>
      </c>
      <c r="B1372" s="3">
        <v>3692496</v>
      </c>
      <c r="C1372" s="3">
        <v>3692543</v>
      </c>
      <c r="D1372" s="1" t="s">
        <v>9</v>
      </c>
      <c r="E1372" s="3">
        <v>48</v>
      </c>
      <c r="F1372" s="1" t="s">
        <v>14609</v>
      </c>
      <c r="G1372" s="1" t="s">
        <v>10450</v>
      </c>
    </row>
    <row r="1373" spans="1:7" ht="21" x14ac:dyDescent="0.25">
      <c r="A1373" s="2" t="str">
        <f>HYPERLINK("https://rth.dk/resources/bsgatlas/details.php?id=BSGatlas-3'UTR-1372","BSGatlas-3'UTR-1372")</f>
        <v>BSGatlas-3'UTR-1372</v>
      </c>
      <c r="B1373" s="3">
        <v>3695207</v>
      </c>
      <c r="C1373" s="3">
        <v>3695250</v>
      </c>
      <c r="D1373" s="1" t="s">
        <v>9</v>
      </c>
      <c r="E1373" s="3">
        <v>44</v>
      </c>
      <c r="F1373" s="1" t="s">
        <v>13771</v>
      </c>
      <c r="G1373" s="1" t="s">
        <v>10455</v>
      </c>
    </row>
    <row r="1374" spans="1:7" ht="21" x14ac:dyDescent="0.25">
      <c r="A1374" s="2" t="str">
        <f>HYPERLINK("https://rth.dk/resources/bsgatlas/details.php?id=BSGatlas-3'UTR-1373","BSGatlas-3'UTR-1373")</f>
        <v>BSGatlas-3'UTR-1373</v>
      </c>
      <c r="B1374" s="3">
        <v>3696215</v>
      </c>
      <c r="C1374" s="3">
        <v>3696257</v>
      </c>
      <c r="D1374" s="1" t="s">
        <v>13</v>
      </c>
      <c r="E1374" s="3">
        <v>43</v>
      </c>
      <c r="F1374" s="1" t="s">
        <v>13773</v>
      </c>
      <c r="G1374" s="1" t="s">
        <v>10461</v>
      </c>
    </row>
    <row r="1375" spans="1:7" ht="21" x14ac:dyDescent="0.25">
      <c r="A1375" s="2" t="str">
        <f>HYPERLINK("https://rth.dk/resources/bsgatlas/details.php?id=BSGatlas-3'UTR-1374","BSGatlas-3'UTR-1374")</f>
        <v>BSGatlas-3'UTR-1374</v>
      </c>
      <c r="B1375" s="3">
        <v>3697591</v>
      </c>
      <c r="C1375" s="3">
        <v>3697639</v>
      </c>
      <c r="D1375" s="1" t="s">
        <v>13</v>
      </c>
      <c r="E1375" s="3">
        <v>49</v>
      </c>
      <c r="F1375" s="1" t="s">
        <v>14610</v>
      </c>
      <c r="G1375" s="1" t="s">
        <v>10465</v>
      </c>
    </row>
    <row r="1376" spans="1:7" ht="21" x14ac:dyDescent="0.25">
      <c r="A1376" s="2" t="str">
        <f>HYPERLINK("https://rth.dk/resources/bsgatlas/details.php?id=BSGatlas-3'UTR-1375","BSGatlas-3'UTR-1375")</f>
        <v>BSGatlas-3'UTR-1375</v>
      </c>
      <c r="B1376" s="3">
        <v>3707680</v>
      </c>
      <c r="C1376" s="3">
        <v>3707727</v>
      </c>
      <c r="D1376" s="1" t="s">
        <v>9</v>
      </c>
      <c r="E1376" s="3">
        <v>48</v>
      </c>
      <c r="F1376" s="1" t="s">
        <v>13778</v>
      </c>
      <c r="G1376" s="1" t="s">
        <v>10470</v>
      </c>
    </row>
    <row r="1377" spans="1:7" ht="21" x14ac:dyDescent="0.25">
      <c r="A1377" s="2" t="str">
        <f>HYPERLINK("https://rth.dk/resources/bsgatlas/details.php?id=BSGatlas-3'UTR-1376","BSGatlas-3'UTR-1376")</f>
        <v>BSGatlas-3'UTR-1376</v>
      </c>
      <c r="B1377" s="3">
        <v>3708123</v>
      </c>
      <c r="C1377" s="3">
        <v>3708172</v>
      </c>
      <c r="D1377" s="1" t="s">
        <v>13</v>
      </c>
      <c r="E1377" s="3">
        <v>50</v>
      </c>
      <c r="F1377" s="1" t="s">
        <v>13780</v>
      </c>
      <c r="G1377" s="1" t="s">
        <v>10474</v>
      </c>
    </row>
    <row r="1378" spans="1:7" ht="21" x14ac:dyDescent="0.25">
      <c r="A1378" s="2" t="str">
        <f>HYPERLINK("https://rth.dk/resources/bsgatlas/details.php?id=BSGatlas-3'UTR-1377","BSGatlas-3'UTR-1377")</f>
        <v>BSGatlas-3'UTR-1377</v>
      </c>
      <c r="B1378" s="3">
        <v>3708132</v>
      </c>
      <c r="C1378" s="3">
        <v>3708765</v>
      </c>
      <c r="D1378" s="1" t="s">
        <v>9</v>
      </c>
      <c r="E1378" s="3">
        <v>634</v>
      </c>
      <c r="F1378" s="1" t="s">
        <v>13779</v>
      </c>
      <c r="G1378" s="1" t="s">
        <v>10472</v>
      </c>
    </row>
    <row r="1379" spans="1:7" ht="21" x14ac:dyDescent="0.25">
      <c r="A1379" s="2" t="str">
        <f>HYPERLINK("https://rth.dk/resources/bsgatlas/details.php?id=BSGatlas-3'UTR-1378","BSGatlas-3'UTR-1378")</f>
        <v>BSGatlas-3'UTR-1378</v>
      </c>
      <c r="B1379" s="3">
        <v>3708753</v>
      </c>
      <c r="C1379" s="3">
        <v>3708799</v>
      </c>
      <c r="D1379" s="1" t="s">
        <v>13</v>
      </c>
      <c r="E1379" s="3">
        <v>47</v>
      </c>
      <c r="F1379" s="1" t="s">
        <v>14611</v>
      </c>
      <c r="G1379" s="1" t="s">
        <v>10477</v>
      </c>
    </row>
    <row r="1380" spans="1:7" ht="21" x14ac:dyDescent="0.25">
      <c r="A1380" s="2" t="str">
        <f>HYPERLINK("https://rth.dk/resources/bsgatlas/details.php?id=BSGatlas-3'UTR-1379","BSGatlas-3'UTR-1379")</f>
        <v>BSGatlas-3'UTR-1379</v>
      </c>
      <c r="B1380" s="3">
        <v>3713950</v>
      </c>
      <c r="C1380" s="3">
        <v>3714002</v>
      </c>
      <c r="D1380" s="1" t="s">
        <v>13</v>
      </c>
      <c r="E1380" s="3">
        <v>53</v>
      </c>
      <c r="F1380" s="1" t="s">
        <v>14612</v>
      </c>
      <c r="G1380" s="1" t="s">
        <v>10483</v>
      </c>
    </row>
    <row r="1381" spans="1:7" ht="21" x14ac:dyDescent="0.25">
      <c r="A1381" s="2" t="str">
        <f>HYPERLINK("https://rth.dk/resources/bsgatlas/details.php?id=BSGatlas-3'UTR-1380","BSGatlas-3'UTR-1380")</f>
        <v>BSGatlas-3'UTR-1380</v>
      </c>
      <c r="B1381" s="3">
        <v>3714689</v>
      </c>
      <c r="C1381" s="3">
        <v>3714739</v>
      </c>
      <c r="D1381" s="1" t="s">
        <v>13</v>
      </c>
      <c r="E1381" s="3">
        <v>51</v>
      </c>
      <c r="F1381" s="1" t="s">
        <v>13784</v>
      </c>
      <c r="G1381" s="1" t="s">
        <v>10488</v>
      </c>
    </row>
    <row r="1382" spans="1:7" ht="21" x14ac:dyDescent="0.25">
      <c r="A1382" s="2" t="str">
        <f>HYPERLINK("https://rth.dk/resources/bsgatlas/details.php?id=BSGatlas-3'UTR-1381","BSGatlas-3'UTR-1381")</f>
        <v>BSGatlas-3'UTR-1381</v>
      </c>
      <c r="B1382" s="3">
        <v>3717825</v>
      </c>
      <c r="C1382" s="3">
        <v>3717890</v>
      </c>
      <c r="D1382" s="1" t="s">
        <v>9</v>
      </c>
      <c r="E1382" s="3">
        <v>66</v>
      </c>
      <c r="F1382" s="1" t="s">
        <v>13786</v>
      </c>
      <c r="G1382" s="1" t="s">
        <v>10493</v>
      </c>
    </row>
    <row r="1383" spans="1:7" ht="21" x14ac:dyDescent="0.25">
      <c r="A1383" s="2" t="str">
        <f>HYPERLINK("https://rth.dk/resources/bsgatlas/details.php?id=BSGatlas-3'UTR-1382","BSGatlas-3'UTR-1382")</f>
        <v>BSGatlas-3'UTR-1382</v>
      </c>
      <c r="B1383" s="3">
        <v>3718616</v>
      </c>
      <c r="C1383" s="3">
        <v>3718696</v>
      </c>
      <c r="D1383" s="1" t="s">
        <v>9</v>
      </c>
      <c r="E1383" s="3">
        <v>81</v>
      </c>
      <c r="F1383" s="1" t="s">
        <v>13788</v>
      </c>
      <c r="G1383" s="1" t="s">
        <v>10498</v>
      </c>
    </row>
    <row r="1384" spans="1:7" ht="21" x14ac:dyDescent="0.25">
      <c r="A1384" s="2" t="str">
        <f>HYPERLINK("https://rth.dk/resources/bsgatlas/details.php?id=BSGatlas-3'UTR-1383","BSGatlas-3'UTR-1383")</f>
        <v>BSGatlas-3'UTR-1383</v>
      </c>
      <c r="B1384" s="3">
        <v>3718695</v>
      </c>
      <c r="C1384" s="3">
        <v>3719134</v>
      </c>
      <c r="D1384" s="1" t="s">
        <v>13</v>
      </c>
      <c r="E1384" s="3">
        <v>440</v>
      </c>
      <c r="F1384" s="1" t="s">
        <v>14613</v>
      </c>
      <c r="G1384" s="1" t="s">
        <v>10499</v>
      </c>
    </row>
    <row r="1385" spans="1:7" ht="21" x14ac:dyDescent="0.25">
      <c r="A1385" s="2" t="str">
        <f>HYPERLINK("https://rth.dk/resources/bsgatlas/details.php?id=BSGatlas-3'UTR-1384","BSGatlas-3'UTR-1384")</f>
        <v>BSGatlas-3'UTR-1384</v>
      </c>
      <c r="B1385" s="3">
        <v>3719129</v>
      </c>
      <c r="C1385" s="3">
        <v>3719150</v>
      </c>
      <c r="D1385" s="1" t="s">
        <v>9</v>
      </c>
      <c r="E1385" s="3">
        <v>22</v>
      </c>
      <c r="F1385" s="1" t="s">
        <v>13789</v>
      </c>
      <c r="G1385" s="1" t="s">
        <v>10501</v>
      </c>
    </row>
    <row r="1386" spans="1:7" ht="21" x14ac:dyDescent="0.25">
      <c r="A1386" s="2" t="str">
        <f>HYPERLINK("https://rth.dk/resources/bsgatlas/details.php?id=BSGatlas-3'UTR-1385","BSGatlas-3'UTR-1385")</f>
        <v>BSGatlas-3'UTR-1385</v>
      </c>
      <c r="B1386" s="3">
        <v>3722533</v>
      </c>
      <c r="C1386" s="3">
        <v>3722568</v>
      </c>
      <c r="D1386" s="1" t="s">
        <v>13</v>
      </c>
      <c r="E1386" s="3">
        <v>36</v>
      </c>
      <c r="F1386" s="1" t="s">
        <v>14614</v>
      </c>
      <c r="G1386" s="1" t="s">
        <v>10505</v>
      </c>
    </row>
    <row r="1387" spans="1:7" ht="21" x14ac:dyDescent="0.25">
      <c r="A1387" s="2" t="str">
        <f>HYPERLINK("https://rth.dk/resources/bsgatlas/details.php?id=BSGatlas-3'UTR-1386","BSGatlas-3'UTR-1386")</f>
        <v>BSGatlas-3'UTR-1386</v>
      </c>
      <c r="B1387" s="3">
        <v>3724379</v>
      </c>
      <c r="C1387" s="3">
        <v>3724420</v>
      </c>
      <c r="D1387" s="1" t="s">
        <v>13</v>
      </c>
      <c r="E1387" s="3">
        <v>42</v>
      </c>
      <c r="F1387" s="1" t="s">
        <v>14615</v>
      </c>
      <c r="G1387" s="1" t="s">
        <v>10508</v>
      </c>
    </row>
    <row r="1388" spans="1:7" ht="21" x14ac:dyDescent="0.25">
      <c r="A1388" s="2" t="str">
        <f>HYPERLINK("https://rth.dk/resources/bsgatlas/details.php?id=BSGatlas-3'UTR-1387","BSGatlas-3'UTR-1387")</f>
        <v>BSGatlas-3'UTR-1387</v>
      </c>
      <c r="B1388" s="3">
        <v>3728400</v>
      </c>
      <c r="C1388" s="3">
        <v>3728511</v>
      </c>
      <c r="D1388" s="1" t="s">
        <v>13</v>
      </c>
      <c r="E1388" s="3">
        <v>112</v>
      </c>
      <c r="F1388" s="1" t="s">
        <v>13793</v>
      </c>
      <c r="G1388" s="1" t="s">
        <v>10512</v>
      </c>
    </row>
    <row r="1389" spans="1:7" ht="21" x14ac:dyDescent="0.25">
      <c r="A1389" s="2" t="str">
        <f>HYPERLINK("https://rth.dk/resources/bsgatlas/details.php?id=BSGatlas-3'UTR-1388","BSGatlas-3'UTR-1388")</f>
        <v>BSGatlas-3'UTR-1388</v>
      </c>
      <c r="B1389" s="3">
        <v>3729442</v>
      </c>
      <c r="C1389" s="3">
        <v>3729488</v>
      </c>
      <c r="D1389" s="1" t="s">
        <v>13</v>
      </c>
      <c r="E1389" s="3">
        <v>47</v>
      </c>
      <c r="F1389" s="1" t="s">
        <v>13794</v>
      </c>
      <c r="G1389" s="1" t="s">
        <v>10514</v>
      </c>
    </row>
    <row r="1390" spans="1:7" ht="21" x14ac:dyDescent="0.25">
      <c r="A1390" s="2" t="str">
        <f>HYPERLINK("https://rth.dk/resources/bsgatlas/details.php?id=BSGatlas-3'UTR-1389","BSGatlas-3'UTR-1389")</f>
        <v>BSGatlas-3'UTR-1389</v>
      </c>
      <c r="B1390" s="3">
        <v>3731799</v>
      </c>
      <c r="C1390" s="3">
        <v>3731822</v>
      </c>
      <c r="D1390" s="1" t="s">
        <v>13</v>
      </c>
      <c r="E1390" s="3">
        <v>24</v>
      </c>
      <c r="F1390" s="1" t="s">
        <v>14616</v>
      </c>
      <c r="G1390" s="1" t="s">
        <v>10519</v>
      </c>
    </row>
    <row r="1391" spans="1:7" ht="21" x14ac:dyDescent="0.25">
      <c r="A1391" s="2" t="str">
        <f>HYPERLINK("https://rth.dk/resources/bsgatlas/details.php?id=BSGatlas-3'UTR-1390","BSGatlas-3'UTR-1390")</f>
        <v>BSGatlas-3'UTR-1390</v>
      </c>
      <c r="B1391" s="3">
        <v>3738217</v>
      </c>
      <c r="C1391" s="3">
        <v>3738267</v>
      </c>
      <c r="D1391" s="1" t="s">
        <v>9</v>
      </c>
      <c r="E1391" s="3">
        <v>51</v>
      </c>
      <c r="F1391" s="1" t="s">
        <v>14617</v>
      </c>
      <c r="G1391" s="1" t="s">
        <v>10526</v>
      </c>
    </row>
    <row r="1392" spans="1:7" ht="21" x14ac:dyDescent="0.25">
      <c r="A1392" s="2" t="str">
        <f>HYPERLINK("https://rth.dk/resources/bsgatlas/details.php?id=BSGatlas-3'UTR-1391","BSGatlas-3'UTR-1391")</f>
        <v>BSGatlas-3'UTR-1391</v>
      </c>
      <c r="B1392" s="3">
        <v>3738244</v>
      </c>
      <c r="C1392" s="3">
        <v>3738343</v>
      </c>
      <c r="D1392" s="1" t="s">
        <v>13</v>
      </c>
      <c r="E1392" s="3">
        <v>100</v>
      </c>
      <c r="F1392" s="1" t="s">
        <v>14618</v>
      </c>
      <c r="G1392" s="1" t="s">
        <v>10529</v>
      </c>
    </row>
    <row r="1393" spans="1:7" ht="21" x14ac:dyDescent="0.25">
      <c r="A1393" s="2" t="str">
        <f>HYPERLINK("https://rth.dk/resources/bsgatlas/details.php?id=BSGatlas-3'UTR-1392","BSGatlas-3'UTR-1392")</f>
        <v>BSGatlas-3'UTR-1392</v>
      </c>
      <c r="B1393" s="3">
        <v>3740127</v>
      </c>
      <c r="C1393" s="3">
        <v>3740206</v>
      </c>
      <c r="D1393" s="1" t="s">
        <v>13</v>
      </c>
      <c r="E1393" s="3">
        <v>80</v>
      </c>
      <c r="F1393" s="1" t="s">
        <v>13799</v>
      </c>
      <c r="G1393" s="1" t="s">
        <v>10535</v>
      </c>
    </row>
    <row r="1394" spans="1:7" ht="21" x14ac:dyDescent="0.25">
      <c r="A1394" s="2" t="str">
        <f>HYPERLINK("https://rth.dk/resources/bsgatlas/details.php?id=BSGatlas-3'UTR-1393","BSGatlas-3'UTR-1393")</f>
        <v>BSGatlas-3'UTR-1393</v>
      </c>
      <c r="B1394" s="3">
        <v>3741160</v>
      </c>
      <c r="C1394" s="3">
        <v>3741732</v>
      </c>
      <c r="D1394" s="1" t="s">
        <v>13</v>
      </c>
      <c r="E1394" s="3">
        <v>573</v>
      </c>
      <c r="F1394" s="1" t="s">
        <v>14619</v>
      </c>
      <c r="G1394" s="1" t="s">
        <v>10540</v>
      </c>
    </row>
    <row r="1395" spans="1:7" ht="21" x14ac:dyDescent="0.25">
      <c r="A1395" s="2" t="str">
        <f>HYPERLINK("https://rth.dk/resources/bsgatlas/details.php?id=BSGatlas-3'UTR-1394","BSGatlas-3'UTR-1394")</f>
        <v>BSGatlas-3'UTR-1394</v>
      </c>
      <c r="B1395" s="3">
        <v>3741592</v>
      </c>
      <c r="C1395" s="3">
        <v>3741656</v>
      </c>
      <c r="D1395" s="1" t="s">
        <v>9</v>
      </c>
      <c r="E1395" s="3">
        <v>65</v>
      </c>
      <c r="F1395" s="1" t="s">
        <v>13801</v>
      </c>
      <c r="G1395" s="1" t="s">
        <v>10538</v>
      </c>
    </row>
    <row r="1396" spans="1:7" ht="21" x14ac:dyDescent="0.25">
      <c r="A1396" s="2" t="str">
        <f>HYPERLINK("https://rth.dk/resources/bsgatlas/details.php?id=BSGatlas-3'UTR-1395","BSGatlas-3'UTR-1395")</f>
        <v>BSGatlas-3'UTR-1395</v>
      </c>
      <c r="B1396" s="3">
        <v>3741666</v>
      </c>
      <c r="C1396" s="3">
        <v>3741732</v>
      </c>
      <c r="D1396" s="1" t="s">
        <v>13</v>
      </c>
      <c r="E1396" s="3">
        <v>67</v>
      </c>
      <c r="F1396" s="1" t="s">
        <v>14619</v>
      </c>
      <c r="G1396" s="1" t="s">
        <v>10541</v>
      </c>
    </row>
    <row r="1397" spans="1:7" ht="21" x14ac:dyDescent="0.25">
      <c r="A1397" s="2" t="str">
        <f>HYPERLINK("https://rth.dk/resources/bsgatlas/details.php?id=BSGatlas-3'UTR-1396","BSGatlas-3'UTR-1396")</f>
        <v>BSGatlas-3'UTR-1396</v>
      </c>
      <c r="B1397" s="3">
        <v>3741711</v>
      </c>
      <c r="C1397" s="3">
        <v>3741732</v>
      </c>
      <c r="D1397" s="1" t="s">
        <v>13</v>
      </c>
      <c r="E1397" s="3">
        <v>22</v>
      </c>
      <c r="F1397" s="1" t="s">
        <v>14619</v>
      </c>
      <c r="G1397" s="1" t="s">
        <v>10542</v>
      </c>
    </row>
    <row r="1398" spans="1:7" ht="21" x14ac:dyDescent="0.25">
      <c r="A1398" s="2" t="str">
        <f>HYPERLINK("https://rth.dk/resources/bsgatlas/details.php?id=BSGatlas-3'UTR-1397","BSGatlas-3'UTR-1397")</f>
        <v>BSGatlas-3'UTR-1397</v>
      </c>
      <c r="B1398" s="3">
        <v>3743220</v>
      </c>
      <c r="C1398" s="3">
        <v>3743241</v>
      </c>
      <c r="D1398" s="1" t="s">
        <v>9</v>
      </c>
      <c r="E1398" s="3">
        <v>22</v>
      </c>
      <c r="F1398" s="1" t="s">
        <v>14620</v>
      </c>
      <c r="G1398" s="1" t="s">
        <v>10544</v>
      </c>
    </row>
    <row r="1399" spans="1:7" ht="21" x14ac:dyDescent="0.25">
      <c r="A1399" s="2" t="str">
        <f>HYPERLINK("https://rth.dk/resources/bsgatlas/details.php?id=BSGatlas-3'UTR-1398","BSGatlas-3'UTR-1398")</f>
        <v>BSGatlas-3'UTR-1398</v>
      </c>
      <c r="B1399" s="3">
        <v>3743227</v>
      </c>
      <c r="C1399" s="3">
        <v>3743267</v>
      </c>
      <c r="D1399" s="1" t="s">
        <v>13</v>
      </c>
      <c r="E1399" s="3">
        <v>41</v>
      </c>
      <c r="F1399" s="1" t="s">
        <v>14621</v>
      </c>
      <c r="G1399" s="1" t="s">
        <v>10545</v>
      </c>
    </row>
    <row r="1400" spans="1:7" ht="21" x14ac:dyDescent="0.25">
      <c r="A1400" s="2" t="str">
        <f>HYPERLINK("https://rth.dk/resources/bsgatlas/details.php?id=BSGatlas-3'UTR-1399","BSGatlas-3'UTR-1399")</f>
        <v>BSGatlas-3'UTR-1399</v>
      </c>
      <c r="B1400" s="3">
        <v>3745356</v>
      </c>
      <c r="C1400" s="3">
        <v>3745436</v>
      </c>
      <c r="D1400" s="1" t="s">
        <v>13</v>
      </c>
      <c r="E1400" s="3">
        <v>81</v>
      </c>
      <c r="F1400" s="1" t="s">
        <v>14622</v>
      </c>
      <c r="G1400" s="1" t="s">
        <v>10555</v>
      </c>
    </row>
    <row r="1401" spans="1:7" ht="21" x14ac:dyDescent="0.25">
      <c r="A1401" s="2" t="str">
        <f>HYPERLINK("https://rth.dk/resources/bsgatlas/details.php?id=BSGatlas-3'UTR-1400","BSGatlas-3'UTR-1400")</f>
        <v>BSGatlas-3'UTR-1400</v>
      </c>
      <c r="B1401" s="3">
        <v>3745413</v>
      </c>
      <c r="C1401" s="3">
        <v>3745442</v>
      </c>
      <c r="D1401" s="1" t="s">
        <v>9</v>
      </c>
      <c r="E1401" s="3">
        <v>30</v>
      </c>
      <c r="F1401" s="1" t="s">
        <v>13803</v>
      </c>
      <c r="G1401" s="1" t="s">
        <v>10550</v>
      </c>
    </row>
    <row r="1402" spans="1:7" ht="21" x14ac:dyDescent="0.25">
      <c r="A1402" s="2" t="str">
        <f>HYPERLINK("https://rth.dk/resources/bsgatlas/details.php?id=BSGatlas-3'UTR-1401","BSGatlas-3'UTR-1401")</f>
        <v>BSGatlas-3'UTR-1401</v>
      </c>
      <c r="B1402" s="3">
        <v>3745413</v>
      </c>
      <c r="C1402" s="3">
        <v>3746331</v>
      </c>
      <c r="D1402" s="1" t="s">
        <v>9</v>
      </c>
      <c r="E1402" s="3">
        <v>919</v>
      </c>
      <c r="F1402" s="1" t="s">
        <v>13803</v>
      </c>
      <c r="G1402" s="1" t="s">
        <v>10551</v>
      </c>
    </row>
    <row r="1403" spans="1:7" ht="21" x14ac:dyDescent="0.25">
      <c r="A1403" s="2" t="str">
        <f>HYPERLINK("https://rth.dk/resources/bsgatlas/details.php?id=BSGatlas-3'UTR-1402","BSGatlas-3'UTR-1402")</f>
        <v>BSGatlas-3'UTR-1402</v>
      </c>
      <c r="B1403" s="3">
        <v>3747207</v>
      </c>
      <c r="C1403" s="3">
        <v>3747254</v>
      </c>
      <c r="D1403" s="1" t="s">
        <v>13</v>
      </c>
      <c r="E1403" s="3">
        <v>48</v>
      </c>
      <c r="F1403" s="1" t="s">
        <v>13806</v>
      </c>
      <c r="G1403" s="1" t="s">
        <v>10561</v>
      </c>
    </row>
    <row r="1404" spans="1:7" ht="21" x14ac:dyDescent="0.25">
      <c r="A1404" s="2" t="str">
        <f>HYPERLINK("https://rth.dk/resources/bsgatlas/details.php?id=BSGatlas-3'UTR-1403","BSGatlas-3'UTR-1403")</f>
        <v>BSGatlas-3'UTR-1403</v>
      </c>
      <c r="B1404" s="3">
        <v>3748330</v>
      </c>
      <c r="C1404" s="3">
        <v>3748421</v>
      </c>
      <c r="D1404" s="1" t="s">
        <v>13</v>
      </c>
      <c r="E1404" s="3">
        <v>92</v>
      </c>
      <c r="F1404" s="1" t="s">
        <v>14623</v>
      </c>
      <c r="G1404" s="1" t="s">
        <v>10564</v>
      </c>
    </row>
    <row r="1405" spans="1:7" ht="21" x14ac:dyDescent="0.25">
      <c r="A1405" s="2" t="str">
        <f>HYPERLINK("https://rth.dk/resources/bsgatlas/details.php?id=BSGatlas-3'UTR-1404","BSGatlas-3'UTR-1404")</f>
        <v>BSGatlas-3'UTR-1404</v>
      </c>
      <c r="B1405" s="3">
        <v>3750677</v>
      </c>
      <c r="C1405" s="3">
        <v>3750723</v>
      </c>
      <c r="D1405" s="1" t="s">
        <v>9</v>
      </c>
      <c r="E1405" s="3">
        <v>47</v>
      </c>
      <c r="F1405" s="1" t="s">
        <v>14624</v>
      </c>
      <c r="G1405" s="1" t="s">
        <v>10566</v>
      </c>
    </row>
    <row r="1406" spans="1:7" ht="21" x14ac:dyDescent="0.25">
      <c r="A1406" s="2" t="str">
        <f>HYPERLINK("https://rth.dk/resources/bsgatlas/details.php?id=BSGatlas-3'UTR-1405","BSGatlas-3'UTR-1405")</f>
        <v>BSGatlas-3'UTR-1405</v>
      </c>
      <c r="B1406" s="3">
        <v>3750709</v>
      </c>
      <c r="C1406" s="3">
        <v>3750768</v>
      </c>
      <c r="D1406" s="1" t="s">
        <v>13</v>
      </c>
      <c r="E1406" s="3">
        <v>60</v>
      </c>
      <c r="F1406" s="1" t="s">
        <v>13808</v>
      </c>
      <c r="G1406" s="1" t="s">
        <v>10568</v>
      </c>
    </row>
    <row r="1407" spans="1:7" ht="21" x14ac:dyDescent="0.25">
      <c r="A1407" s="2" t="str">
        <f>HYPERLINK("https://rth.dk/resources/bsgatlas/details.php?id=BSGatlas-3'UTR-1406","BSGatlas-3'UTR-1406")</f>
        <v>BSGatlas-3'UTR-1406</v>
      </c>
      <c r="B1407" s="3">
        <v>3752246</v>
      </c>
      <c r="C1407" s="3">
        <v>3752280</v>
      </c>
      <c r="D1407" s="1" t="s">
        <v>13</v>
      </c>
      <c r="E1407" s="3">
        <v>35</v>
      </c>
      <c r="F1407" s="1" t="s">
        <v>13809</v>
      </c>
      <c r="G1407" s="1" t="s">
        <v>10571</v>
      </c>
    </row>
    <row r="1408" spans="1:7" ht="21" x14ac:dyDescent="0.25">
      <c r="A1408" s="2" t="str">
        <f>HYPERLINK("https://rth.dk/resources/bsgatlas/details.php?id=BSGatlas-3'UTR-1407","BSGatlas-3'UTR-1407")</f>
        <v>BSGatlas-3'UTR-1407</v>
      </c>
      <c r="B1408" s="3">
        <v>3753890</v>
      </c>
      <c r="C1408" s="3">
        <v>3753933</v>
      </c>
      <c r="D1408" s="1" t="s">
        <v>13</v>
      </c>
      <c r="E1408" s="3">
        <v>44</v>
      </c>
      <c r="F1408" s="1" t="s">
        <v>14625</v>
      </c>
      <c r="G1408" s="1" t="s">
        <v>10572</v>
      </c>
    </row>
    <row r="1409" spans="1:7" ht="21" x14ac:dyDescent="0.25">
      <c r="A1409" s="2" t="str">
        <f>HYPERLINK("https://rth.dk/resources/bsgatlas/details.php?id=BSGatlas-3'UTR-1408","BSGatlas-3'UTR-1408")</f>
        <v>BSGatlas-3'UTR-1408</v>
      </c>
      <c r="B1409" s="3">
        <v>3758366</v>
      </c>
      <c r="C1409" s="3">
        <v>3758413</v>
      </c>
      <c r="D1409" s="1" t="s">
        <v>9</v>
      </c>
      <c r="E1409" s="3">
        <v>48</v>
      </c>
      <c r="F1409" s="1" t="s">
        <v>13813</v>
      </c>
      <c r="G1409" s="1" t="s">
        <v>10580</v>
      </c>
    </row>
    <row r="1410" spans="1:7" ht="21" x14ac:dyDescent="0.25">
      <c r="A1410" s="2" t="str">
        <f>HYPERLINK("https://rth.dk/resources/bsgatlas/details.php?id=BSGatlas-3'UTR-1409","BSGatlas-3'UTR-1409")</f>
        <v>BSGatlas-3'UTR-1409</v>
      </c>
      <c r="B1410" s="3">
        <v>3759125</v>
      </c>
      <c r="C1410" s="3">
        <v>3759169</v>
      </c>
      <c r="D1410" s="1" t="s">
        <v>13</v>
      </c>
      <c r="E1410" s="3">
        <v>45</v>
      </c>
      <c r="F1410" s="1" t="s">
        <v>13815</v>
      </c>
      <c r="G1410" s="1" t="s">
        <v>10587</v>
      </c>
    </row>
    <row r="1411" spans="1:7" ht="21" x14ac:dyDescent="0.25">
      <c r="A1411" s="2" t="str">
        <f>HYPERLINK("https://rth.dk/resources/bsgatlas/details.php?id=BSGatlas-3'UTR-1410","BSGatlas-3'UTR-1410")</f>
        <v>BSGatlas-3'UTR-1410</v>
      </c>
      <c r="B1411" s="3">
        <v>3759128</v>
      </c>
      <c r="C1411" s="3">
        <v>3759182</v>
      </c>
      <c r="D1411" s="1" t="s">
        <v>9</v>
      </c>
      <c r="E1411" s="3">
        <v>55</v>
      </c>
      <c r="F1411" s="1" t="s">
        <v>13814</v>
      </c>
      <c r="G1411" s="1" t="s">
        <v>10584</v>
      </c>
    </row>
    <row r="1412" spans="1:7" ht="21" x14ac:dyDescent="0.25">
      <c r="A1412" s="2" t="str">
        <f>HYPERLINK("https://rth.dk/resources/bsgatlas/details.php?id=BSGatlas-3'UTR-1411","BSGatlas-3'UTR-1411")</f>
        <v>BSGatlas-3'UTR-1411</v>
      </c>
      <c r="B1412" s="3">
        <v>3759657</v>
      </c>
      <c r="C1412" s="3">
        <v>3759702</v>
      </c>
      <c r="D1412" s="1" t="s">
        <v>13</v>
      </c>
      <c r="E1412" s="3">
        <v>46</v>
      </c>
      <c r="F1412" s="1" t="s">
        <v>14626</v>
      </c>
      <c r="G1412" s="1" t="s">
        <v>10590</v>
      </c>
    </row>
    <row r="1413" spans="1:7" ht="21" x14ac:dyDescent="0.25">
      <c r="A1413" s="2" t="str">
        <f>HYPERLINK("https://rth.dk/resources/bsgatlas/details.php?id=BSGatlas-3'UTR-1412","BSGatlas-3'UTR-1412")</f>
        <v>BSGatlas-3'UTR-1412</v>
      </c>
      <c r="B1413" s="3">
        <v>3761013</v>
      </c>
      <c r="C1413" s="3">
        <v>3761987</v>
      </c>
      <c r="D1413" s="1" t="s">
        <v>13</v>
      </c>
      <c r="E1413" s="3">
        <v>975</v>
      </c>
      <c r="F1413" s="1" t="s">
        <v>13818</v>
      </c>
      <c r="G1413" s="1" t="s">
        <v>10599</v>
      </c>
    </row>
    <row r="1414" spans="1:7" ht="21" x14ac:dyDescent="0.25">
      <c r="A1414" s="2" t="str">
        <f>HYPERLINK("https://rth.dk/resources/bsgatlas/details.php?id=BSGatlas-3'UTR-1413","BSGatlas-3'UTR-1413")</f>
        <v>BSGatlas-3'UTR-1413</v>
      </c>
      <c r="B1414" s="3">
        <v>3761700</v>
      </c>
      <c r="C1414" s="3">
        <v>3761725</v>
      </c>
      <c r="D1414" s="1" t="s">
        <v>9</v>
      </c>
      <c r="E1414" s="3">
        <v>26</v>
      </c>
      <c r="F1414" s="1" t="s">
        <v>13817</v>
      </c>
      <c r="G1414" s="1" t="s">
        <v>10595</v>
      </c>
    </row>
    <row r="1415" spans="1:7" ht="21" x14ac:dyDescent="0.25">
      <c r="A1415" s="2" t="str">
        <f>HYPERLINK("https://rth.dk/resources/bsgatlas/details.php?id=BSGatlas-3'UTR-1414","BSGatlas-3'UTR-1414")</f>
        <v>BSGatlas-3'UTR-1414</v>
      </c>
      <c r="B1415" s="3">
        <v>3761923</v>
      </c>
      <c r="C1415" s="3">
        <v>3761987</v>
      </c>
      <c r="D1415" s="1" t="s">
        <v>13</v>
      </c>
      <c r="E1415" s="3">
        <v>65</v>
      </c>
      <c r="F1415" s="1" t="s">
        <v>13818</v>
      </c>
      <c r="G1415" s="1" t="s">
        <v>10602</v>
      </c>
    </row>
    <row r="1416" spans="1:7" ht="21" x14ac:dyDescent="0.25">
      <c r="A1416" s="2" t="str">
        <f>HYPERLINK("https://rth.dk/resources/bsgatlas/details.php?id=BSGatlas-3'UTR-1415","BSGatlas-3'UTR-1415")</f>
        <v>BSGatlas-3'UTR-1415</v>
      </c>
      <c r="B1416" s="3">
        <v>3764108</v>
      </c>
      <c r="C1416" s="3">
        <v>3764133</v>
      </c>
      <c r="D1416" s="1" t="s">
        <v>13</v>
      </c>
      <c r="E1416" s="3">
        <v>26</v>
      </c>
      <c r="F1416" s="1" t="s">
        <v>13820</v>
      </c>
      <c r="G1416" s="1" t="s">
        <v>10606</v>
      </c>
    </row>
    <row r="1417" spans="1:7" ht="21" x14ac:dyDescent="0.25">
      <c r="A1417" s="2" t="str">
        <f>HYPERLINK("https://rth.dk/resources/bsgatlas/details.php?id=BSGatlas-3'UTR-1416","BSGatlas-3'UTR-1416")</f>
        <v>BSGatlas-3'UTR-1416</v>
      </c>
      <c r="B1417" s="3">
        <v>3765429</v>
      </c>
      <c r="C1417" s="3">
        <v>3765469</v>
      </c>
      <c r="D1417" s="1" t="s">
        <v>13</v>
      </c>
      <c r="E1417" s="3">
        <v>41</v>
      </c>
      <c r="F1417" s="1" t="s">
        <v>14627</v>
      </c>
      <c r="G1417" s="1" t="s">
        <v>10609</v>
      </c>
    </row>
    <row r="1418" spans="1:7" ht="21" x14ac:dyDescent="0.25">
      <c r="A1418" s="2" t="str">
        <f>HYPERLINK("https://rth.dk/resources/bsgatlas/details.php?id=BSGatlas-3'UTR-1417","BSGatlas-3'UTR-1417")</f>
        <v>BSGatlas-3'UTR-1417</v>
      </c>
      <c r="B1418" s="3">
        <v>3766671</v>
      </c>
      <c r="C1418" s="3">
        <v>3766714</v>
      </c>
      <c r="D1418" s="1" t="s">
        <v>13</v>
      </c>
      <c r="E1418" s="3">
        <v>44</v>
      </c>
      <c r="F1418" s="1" t="s">
        <v>14628</v>
      </c>
      <c r="G1418" s="1" t="s">
        <v>10615</v>
      </c>
    </row>
    <row r="1419" spans="1:7" ht="21" x14ac:dyDescent="0.25">
      <c r="A1419" s="2" t="str">
        <f>HYPERLINK("https://rth.dk/resources/bsgatlas/details.php?id=BSGatlas-3'UTR-1418","BSGatlas-3'UTR-1418")</f>
        <v>BSGatlas-3'UTR-1418</v>
      </c>
      <c r="B1419" s="3">
        <v>3768273</v>
      </c>
      <c r="C1419" s="3">
        <v>3770304</v>
      </c>
      <c r="D1419" s="1" t="s">
        <v>9</v>
      </c>
      <c r="E1419" s="3">
        <v>2032</v>
      </c>
      <c r="F1419" s="1" t="s">
        <v>14629</v>
      </c>
      <c r="G1419" s="1" t="s">
        <v>10620</v>
      </c>
    </row>
    <row r="1420" spans="1:7" ht="21" x14ac:dyDescent="0.25">
      <c r="A1420" s="2" t="str">
        <f>HYPERLINK("https://rth.dk/resources/bsgatlas/details.php?id=BSGatlas-3'UTR-1419","BSGatlas-3'UTR-1419")</f>
        <v>BSGatlas-3'UTR-1419</v>
      </c>
      <c r="B1420" s="3">
        <v>3770053</v>
      </c>
      <c r="C1420" s="3">
        <v>3770104</v>
      </c>
      <c r="D1420" s="1" t="s">
        <v>13</v>
      </c>
      <c r="E1420" s="3">
        <v>52</v>
      </c>
      <c r="F1420" s="1" t="s">
        <v>13825</v>
      </c>
      <c r="G1420" s="1" t="s">
        <v>10622</v>
      </c>
    </row>
    <row r="1421" spans="1:7" ht="21" x14ac:dyDescent="0.25">
      <c r="A1421" s="2" t="str">
        <f>HYPERLINK("https://rth.dk/resources/bsgatlas/details.php?id=BSGatlas-3'UTR-1420","BSGatlas-3'UTR-1420")</f>
        <v>BSGatlas-3'UTR-1420</v>
      </c>
      <c r="B1421" s="3">
        <v>3770960</v>
      </c>
      <c r="C1421" s="3">
        <v>3771000</v>
      </c>
      <c r="D1421" s="1" t="s">
        <v>13</v>
      </c>
      <c r="E1421" s="3">
        <v>41</v>
      </c>
      <c r="F1421" s="1" t="s">
        <v>13827</v>
      </c>
      <c r="G1421" s="1" t="s">
        <v>10626</v>
      </c>
    </row>
    <row r="1422" spans="1:7" ht="21" x14ac:dyDescent="0.25">
      <c r="A1422" s="2" t="str">
        <f>HYPERLINK("https://rth.dk/resources/bsgatlas/details.php?id=BSGatlas-3'UTR-1421","BSGatlas-3'UTR-1421")</f>
        <v>BSGatlas-3'UTR-1421</v>
      </c>
      <c r="B1422" s="3">
        <v>3772273</v>
      </c>
      <c r="C1422" s="3">
        <v>3772325</v>
      </c>
      <c r="D1422" s="1" t="s">
        <v>13</v>
      </c>
      <c r="E1422" s="3">
        <v>53</v>
      </c>
      <c r="F1422" s="1" t="s">
        <v>14630</v>
      </c>
      <c r="G1422" s="1" t="s">
        <v>10628</v>
      </c>
    </row>
    <row r="1423" spans="1:7" ht="21" x14ac:dyDescent="0.25">
      <c r="A1423" s="2" t="str">
        <f>HYPERLINK("https://rth.dk/resources/bsgatlas/details.php?id=BSGatlas-3'UTR-1422","BSGatlas-3'UTR-1422")</f>
        <v>BSGatlas-3'UTR-1422</v>
      </c>
      <c r="B1423" s="3">
        <v>3774220</v>
      </c>
      <c r="C1423" s="3">
        <v>3774255</v>
      </c>
      <c r="D1423" s="1" t="s">
        <v>13</v>
      </c>
      <c r="E1423" s="3">
        <v>36</v>
      </c>
      <c r="F1423" s="1" t="s">
        <v>14631</v>
      </c>
      <c r="G1423" s="1" t="s">
        <v>10631</v>
      </c>
    </row>
    <row r="1424" spans="1:7" ht="21" x14ac:dyDescent="0.25">
      <c r="A1424" s="2" t="str">
        <f>HYPERLINK("https://rth.dk/resources/bsgatlas/details.php?id=BSGatlas-3'UTR-1423","BSGatlas-3'UTR-1423")</f>
        <v>BSGatlas-3'UTR-1423</v>
      </c>
      <c r="B1424" s="3">
        <v>3774607</v>
      </c>
      <c r="C1424" s="3">
        <v>3774655</v>
      </c>
      <c r="D1424" s="1" t="s">
        <v>13</v>
      </c>
      <c r="E1424" s="3">
        <v>49</v>
      </c>
      <c r="F1424" s="1" t="s">
        <v>14632</v>
      </c>
      <c r="G1424" s="1" t="s">
        <v>10633</v>
      </c>
    </row>
    <row r="1425" spans="1:7" ht="21" x14ac:dyDescent="0.25">
      <c r="A1425" s="2" t="str">
        <f>HYPERLINK("https://rth.dk/resources/bsgatlas/details.php?id=BSGatlas-3'UTR-1424","BSGatlas-3'UTR-1424")</f>
        <v>BSGatlas-3'UTR-1424</v>
      </c>
      <c r="B1425" s="3">
        <v>3775609</v>
      </c>
      <c r="C1425" s="3">
        <v>3775653</v>
      </c>
      <c r="D1425" s="1" t="s">
        <v>13</v>
      </c>
      <c r="E1425" s="3">
        <v>45</v>
      </c>
      <c r="F1425" s="1" t="s">
        <v>14633</v>
      </c>
      <c r="G1425" s="1" t="s">
        <v>10635</v>
      </c>
    </row>
    <row r="1426" spans="1:7" ht="21" x14ac:dyDescent="0.25">
      <c r="A1426" s="2" t="str">
        <f>HYPERLINK("https://rth.dk/resources/bsgatlas/details.php?id=BSGatlas-3'UTR-1425","BSGatlas-3'UTR-1425")</f>
        <v>BSGatlas-3'UTR-1425</v>
      </c>
      <c r="B1426" s="3">
        <v>3776685</v>
      </c>
      <c r="C1426" s="3">
        <v>3776722</v>
      </c>
      <c r="D1426" s="1" t="s">
        <v>13</v>
      </c>
      <c r="E1426" s="3">
        <v>38</v>
      </c>
      <c r="F1426" s="1" t="s">
        <v>13829</v>
      </c>
      <c r="G1426" s="1" t="s">
        <v>10637</v>
      </c>
    </row>
    <row r="1427" spans="1:7" ht="21" x14ac:dyDescent="0.25">
      <c r="A1427" s="2" t="str">
        <f>HYPERLINK("https://rth.dk/resources/bsgatlas/details.php?id=BSGatlas-3'UTR-1426","BSGatlas-3'UTR-1426")</f>
        <v>BSGatlas-3'UTR-1426</v>
      </c>
      <c r="B1427" s="3">
        <v>3777896</v>
      </c>
      <c r="C1427" s="3">
        <v>3777949</v>
      </c>
      <c r="D1427" s="1" t="s">
        <v>13</v>
      </c>
      <c r="E1427" s="3">
        <v>54</v>
      </c>
      <c r="F1427" s="1" t="s">
        <v>13830</v>
      </c>
      <c r="G1427" s="1" t="s">
        <v>10639</v>
      </c>
    </row>
    <row r="1428" spans="1:7" ht="21" x14ac:dyDescent="0.25">
      <c r="A1428" s="2" t="str">
        <f>HYPERLINK("https://rth.dk/resources/bsgatlas/details.php?id=BSGatlas-3'UTR-1427","BSGatlas-3'UTR-1427")</f>
        <v>BSGatlas-3'UTR-1427</v>
      </c>
      <c r="B1428" s="3">
        <v>3781026</v>
      </c>
      <c r="C1428" s="3">
        <v>3781069</v>
      </c>
      <c r="D1428" s="1" t="s">
        <v>13</v>
      </c>
      <c r="E1428" s="3">
        <v>44</v>
      </c>
      <c r="F1428" s="1" t="s">
        <v>14634</v>
      </c>
      <c r="G1428" s="1" t="s">
        <v>10647</v>
      </c>
    </row>
    <row r="1429" spans="1:7" ht="21" x14ac:dyDescent="0.25">
      <c r="A1429" s="2" t="str">
        <f>HYPERLINK("https://rth.dk/resources/bsgatlas/details.php?id=BSGatlas-3'UTR-1428","BSGatlas-3'UTR-1428")</f>
        <v>BSGatlas-3'UTR-1428</v>
      </c>
      <c r="B1429" s="3">
        <v>3788388</v>
      </c>
      <c r="C1429" s="3">
        <v>3788426</v>
      </c>
      <c r="D1429" s="1" t="s">
        <v>13</v>
      </c>
      <c r="E1429" s="3">
        <v>39</v>
      </c>
      <c r="F1429" s="1" t="s">
        <v>13835</v>
      </c>
      <c r="G1429" s="1" t="s">
        <v>10653</v>
      </c>
    </row>
    <row r="1430" spans="1:7" ht="21" x14ac:dyDescent="0.25">
      <c r="A1430" s="2" t="str">
        <f>HYPERLINK("https://rth.dk/resources/bsgatlas/details.php?id=BSGatlas-3'UTR-1429","BSGatlas-3'UTR-1429")</f>
        <v>BSGatlas-3'UTR-1429</v>
      </c>
      <c r="B1430" s="3">
        <v>3789140</v>
      </c>
      <c r="C1430" s="3">
        <v>3789190</v>
      </c>
      <c r="D1430" s="1" t="s">
        <v>13</v>
      </c>
      <c r="E1430" s="3">
        <v>51</v>
      </c>
      <c r="F1430" s="1" t="s">
        <v>13836</v>
      </c>
      <c r="G1430" s="1" t="s">
        <v>10655</v>
      </c>
    </row>
    <row r="1431" spans="1:7" ht="21" x14ac:dyDescent="0.25">
      <c r="A1431" s="2" t="str">
        <f>HYPERLINK("https://rth.dk/resources/bsgatlas/details.php?id=BSGatlas-3'UTR-1430","BSGatlas-3'UTR-1430")</f>
        <v>BSGatlas-3'UTR-1430</v>
      </c>
      <c r="B1431" s="3">
        <v>3790610</v>
      </c>
      <c r="C1431" s="3">
        <v>3790644</v>
      </c>
      <c r="D1431" s="1" t="s">
        <v>13</v>
      </c>
      <c r="E1431" s="3">
        <v>35</v>
      </c>
      <c r="F1431" s="1" t="s">
        <v>14635</v>
      </c>
      <c r="G1431" s="1" t="s">
        <v>10659</v>
      </c>
    </row>
    <row r="1432" spans="1:7" ht="21" x14ac:dyDescent="0.25">
      <c r="A1432" s="2" t="str">
        <f>HYPERLINK("https://rth.dk/resources/bsgatlas/details.php?id=BSGatlas-3'UTR-1431","BSGatlas-3'UTR-1431")</f>
        <v>BSGatlas-3'UTR-1431</v>
      </c>
      <c r="B1432" s="3">
        <v>3792952</v>
      </c>
      <c r="C1432" s="3">
        <v>3792969</v>
      </c>
      <c r="D1432" s="1" t="s">
        <v>13</v>
      </c>
      <c r="E1432" s="3">
        <v>18</v>
      </c>
      <c r="F1432" s="1" t="s">
        <v>13840</v>
      </c>
      <c r="G1432" s="1" t="s">
        <v>10665</v>
      </c>
    </row>
    <row r="1433" spans="1:7" ht="21" x14ac:dyDescent="0.25">
      <c r="A1433" s="2" t="str">
        <f>HYPERLINK("https://rth.dk/resources/bsgatlas/details.php?id=BSGatlas-3'UTR-1432","BSGatlas-3'UTR-1432")</f>
        <v>BSGatlas-3'UTR-1432</v>
      </c>
      <c r="B1433" s="3">
        <v>3794087</v>
      </c>
      <c r="C1433" s="3">
        <v>3794166</v>
      </c>
      <c r="D1433" s="1" t="s">
        <v>13</v>
      </c>
      <c r="E1433" s="3">
        <v>80</v>
      </c>
      <c r="F1433" s="1" t="s">
        <v>14636</v>
      </c>
      <c r="G1433" s="1" t="s">
        <v>10666</v>
      </c>
    </row>
    <row r="1434" spans="1:7" ht="21" x14ac:dyDescent="0.25">
      <c r="A1434" s="2" t="str">
        <f>HYPERLINK("https://rth.dk/resources/bsgatlas/details.php?id=BSGatlas-3'UTR-1433","BSGatlas-3'UTR-1433")</f>
        <v>BSGatlas-3'UTR-1433</v>
      </c>
      <c r="B1434" s="3">
        <v>3795829</v>
      </c>
      <c r="C1434" s="3">
        <v>3795870</v>
      </c>
      <c r="D1434" s="1" t="s">
        <v>13</v>
      </c>
      <c r="E1434" s="3">
        <v>42</v>
      </c>
      <c r="F1434" s="1" t="s">
        <v>13843</v>
      </c>
      <c r="G1434" s="1" t="s">
        <v>10671</v>
      </c>
    </row>
    <row r="1435" spans="1:7" ht="21" x14ac:dyDescent="0.25">
      <c r="A1435" s="2" t="str">
        <f>HYPERLINK("https://rth.dk/resources/bsgatlas/details.php?id=BSGatlas-3'UTR-1434","BSGatlas-3'UTR-1434")</f>
        <v>BSGatlas-3'UTR-1434</v>
      </c>
      <c r="B1435" s="3">
        <v>3797066</v>
      </c>
      <c r="C1435" s="3">
        <v>3797085</v>
      </c>
      <c r="D1435" s="1" t="s">
        <v>13</v>
      </c>
      <c r="E1435" s="3">
        <v>20</v>
      </c>
      <c r="F1435" s="1" t="s">
        <v>13844</v>
      </c>
      <c r="G1435" s="1" t="s">
        <v>10673</v>
      </c>
    </row>
    <row r="1436" spans="1:7" ht="21" x14ac:dyDescent="0.25">
      <c r="A1436" s="2" t="str">
        <f>HYPERLINK("https://rth.dk/resources/bsgatlas/details.php?id=BSGatlas-3'UTR-1435","BSGatlas-3'UTR-1435")</f>
        <v>BSGatlas-3'UTR-1435</v>
      </c>
      <c r="B1436" s="3">
        <v>3799337</v>
      </c>
      <c r="C1436" s="3">
        <v>3799377</v>
      </c>
      <c r="D1436" s="1" t="s">
        <v>13</v>
      </c>
      <c r="E1436" s="3">
        <v>41</v>
      </c>
      <c r="F1436" s="1" t="s">
        <v>13847</v>
      </c>
      <c r="G1436" s="1" t="s">
        <v>10681</v>
      </c>
    </row>
    <row r="1437" spans="1:7" ht="21" x14ac:dyDescent="0.25">
      <c r="A1437" s="2" t="str">
        <f>HYPERLINK("https://rth.dk/resources/bsgatlas/details.php?id=BSGatlas-3'UTR-1436","BSGatlas-3'UTR-1436")</f>
        <v>BSGatlas-3'UTR-1436</v>
      </c>
      <c r="B1437" s="3">
        <v>3799343</v>
      </c>
      <c r="C1437" s="3">
        <v>3799383</v>
      </c>
      <c r="D1437" s="1" t="s">
        <v>9</v>
      </c>
      <c r="E1437" s="3">
        <v>41</v>
      </c>
      <c r="F1437" s="1" t="s">
        <v>13846</v>
      </c>
      <c r="G1437" s="1" t="s">
        <v>10677</v>
      </c>
    </row>
    <row r="1438" spans="1:7" ht="21" x14ac:dyDescent="0.25">
      <c r="A1438" s="2" t="str">
        <f>HYPERLINK("https://rth.dk/resources/bsgatlas/details.php?id=BSGatlas-3'UTR-1437","BSGatlas-3'UTR-1437")</f>
        <v>BSGatlas-3'UTR-1437</v>
      </c>
      <c r="B1438" s="3">
        <v>3802378</v>
      </c>
      <c r="C1438" s="3">
        <v>3802405</v>
      </c>
      <c r="D1438" s="1" t="s">
        <v>13</v>
      </c>
      <c r="E1438" s="3">
        <v>28</v>
      </c>
      <c r="F1438" s="1" t="s">
        <v>14637</v>
      </c>
      <c r="G1438" s="1" t="s">
        <v>10686</v>
      </c>
    </row>
    <row r="1439" spans="1:7" ht="21" x14ac:dyDescent="0.25">
      <c r="A1439" s="2" t="str">
        <f>HYPERLINK("https://rth.dk/resources/bsgatlas/details.php?id=BSGatlas-3'UTR-1438","BSGatlas-3'UTR-1438")</f>
        <v>BSGatlas-3'UTR-1438</v>
      </c>
      <c r="B1439" s="3">
        <v>3803028</v>
      </c>
      <c r="C1439" s="3">
        <v>3803081</v>
      </c>
      <c r="D1439" s="1" t="s">
        <v>13</v>
      </c>
      <c r="E1439" s="3">
        <v>54</v>
      </c>
      <c r="F1439" s="1" t="s">
        <v>13849</v>
      </c>
      <c r="G1439" s="1" t="s">
        <v>10688</v>
      </c>
    </row>
    <row r="1440" spans="1:7" ht="21" x14ac:dyDescent="0.25">
      <c r="A1440" s="2" t="str">
        <f>HYPERLINK("https://rth.dk/resources/bsgatlas/details.php?id=BSGatlas-3'UTR-1439","BSGatlas-3'UTR-1439")</f>
        <v>BSGatlas-3'UTR-1439</v>
      </c>
      <c r="B1440" s="3">
        <v>3805047</v>
      </c>
      <c r="C1440" s="3">
        <v>3805090</v>
      </c>
      <c r="D1440" s="1" t="s">
        <v>13</v>
      </c>
      <c r="E1440" s="3">
        <v>44</v>
      </c>
      <c r="F1440" s="1" t="s">
        <v>14638</v>
      </c>
      <c r="G1440" s="1" t="s">
        <v>10692</v>
      </c>
    </row>
    <row r="1441" spans="1:7" ht="21" x14ac:dyDescent="0.25">
      <c r="A1441" s="2" t="str">
        <f>HYPERLINK("https://rth.dk/resources/bsgatlas/details.php?id=BSGatlas-3'UTR-1440","BSGatlas-3'UTR-1440")</f>
        <v>BSGatlas-3'UTR-1440</v>
      </c>
      <c r="B1441" s="3">
        <v>3807696</v>
      </c>
      <c r="C1441" s="3">
        <v>3807754</v>
      </c>
      <c r="D1441" s="1" t="s">
        <v>13</v>
      </c>
      <c r="E1441" s="3">
        <v>59</v>
      </c>
      <c r="F1441" s="1" t="s">
        <v>14639</v>
      </c>
      <c r="G1441" s="1" t="s">
        <v>10696</v>
      </c>
    </row>
    <row r="1442" spans="1:7" ht="21" x14ac:dyDescent="0.25">
      <c r="A1442" s="2" t="str">
        <f>HYPERLINK("https://rth.dk/resources/bsgatlas/details.php?id=BSGatlas-3'UTR-1441","BSGatlas-3'UTR-1441")</f>
        <v>BSGatlas-3'UTR-1441</v>
      </c>
      <c r="B1442" s="3">
        <v>3808453</v>
      </c>
      <c r="C1442" s="3">
        <v>3808512</v>
      </c>
      <c r="D1442" s="1" t="s">
        <v>13</v>
      </c>
      <c r="E1442" s="3">
        <v>60</v>
      </c>
      <c r="F1442" s="1" t="s">
        <v>13850</v>
      </c>
      <c r="G1442" s="1" t="s">
        <v>10698</v>
      </c>
    </row>
    <row r="1443" spans="1:7" ht="21" x14ac:dyDescent="0.25">
      <c r="A1443" s="2" t="str">
        <f>HYPERLINK("https://rth.dk/resources/bsgatlas/details.php?id=BSGatlas-3'UTR-1442","BSGatlas-3'UTR-1442")</f>
        <v>BSGatlas-3'UTR-1442</v>
      </c>
      <c r="B1443" s="3">
        <v>3810611</v>
      </c>
      <c r="C1443" s="3">
        <v>3810700</v>
      </c>
      <c r="D1443" s="1" t="s">
        <v>9</v>
      </c>
      <c r="E1443" s="3">
        <v>90</v>
      </c>
      <c r="F1443" s="1" t="s">
        <v>13852</v>
      </c>
      <c r="G1443" s="1" t="s">
        <v>10703</v>
      </c>
    </row>
    <row r="1444" spans="1:7" ht="21" x14ac:dyDescent="0.25">
      <c r="A1444" s="2" t="str">
        <f>HYPERLINK("https://rth.dk/resources/bsgatlas/details.php?id=BSGatlas-3'UTR-1443","BSGatlas-3'UTR-1443")</f>
        <v>BSGatlas-3'UTR-1443</v>
      </c>
      <c r="B1444" s="3">
        <v>3810641</v>
      </c>
      <c r="C1444" s="3">
        <v>3810693</v>
      </c>
      <c r="D1444" s="1" t="s">
        <v>13</v>
      </c>
      <c r="E1444" s="3">
        <v>53</v>
      </c>
      <c r="F1444" s="1" t="s">
        <v>13853</v>
      </c>
      <c r="G1444" s="1" t="s">
        <v>10707</v>
      </c>
    </row>
    <row r="1445" spans="1:7" ht="21" x14ac:dyDescent="0.25">
      <c r="A1445" s="2" t="str">
        <f>HYPERLINK("https://rth.dk/resources/bsgatlas/details.php?id=BSGatlas-3'UTR-1444","BSGatlas-3'UTR-1444")</f>
        <v>BSGatlas-3'UTR-1444</v>
      </c>
      <c r="B1445" s="3">
        <v>3818890</v>
      </c>
      <c r="C1445" s="3">
        <v>3819220</v>
      </c>
      <c r="D1445" s="1" t="s">
        <v>13</v>
      </c>
      <c r="E1445" s="3">
        <v>331</v>
      </c>
      <c r="F1445" s="1" t="s">
        <v>14640</v>
      </c>
      <c r="G1445" s="1" t="s">
        <v>10724</v>
      </c>
    </row>
    <row r="1446" spans="1:7" ht="21" x14ac:dyDescent="0.25">
      <c r="A1446" s="2" t="str">
        <f>HYPERLINK("https://rth.dk/resources/bsgatlas/details.php?id=BSGatlas-3'UTR-1445","BSGatlas-3'UTR-1445")</f>
        <v>BSGatlas-3'UTR-1445</v>
      </c>
      <c r="B1446" s="3">
        <v>3819178</v>
      </c>
      <c r="C1446" s="3">
        <v>3819228</v>
      </c>
      <c r="D1446" s="1" t="s">
        <v>9</v>
      </c>
      <c r="E1446" s="3">
        <v>51</v>
      </c>
      <c r="F1446" s="1" t="s">
        <v>13857</v>
      </c>
      <c r="G1446" s="1" t="s">
        <v>10722</v>
      </c>
    </row>
    <row r="1447" spans="1:7" ht="21" x14ac:dyDescent="0.25">
      <c r="A1447" s="2" t="str">
        <f>HYPERLINK("https://rth.dk/resources/bsgatlas/details.php?id=BSGatlas-3'UTR-1446","BSGatlas-3'UTR-1446")</f>
        <v>BSGatlas-3'UTR-1446</v>
      </c>
      <c r="B1447" s="3">
        <v>3819178</v>
      </c>
      <c r="C1447" s="3">
        <v>3819652</v>
      </c>
      <c r="D1447" s="1" t="s">
        <v>9</v>
      </c>
      <c r="E1447" s="3">
        <v>475</v>
      </c>
      <c r="F1447" s="1" t="s">
        <v>13857</v>
      </c>
      <c r="G1447" s="1" t="s">
        <v>10723</v>
      </c>
    </row>
    <row r="1448" spans="1:7" ht="21" x14ac:dyDescent="0.25">
      <c r="A1448" s="2" t="str">
        <f>HYPERLINK("https://rth.dk/resources/bsgatlas/details.php?id=BSGatlas-3'UTR-1447","BSGatlas-3'UTR-1447")</f>
        <v>BSGatlas-3'UTR-1447</v>
      </c>
      <c r="B1448" s="3">
        <v>3819179</v>
      </c>
      <c r="C1448" s="3">
        <v>3819220</v>
      </c>
      <c r="D1448" s="1" t="s">
        <v>13</v>
      </c>
      <c r="E1448" s="3">
        <v>42</v>
      </c>
      <c r="F1448" s="1" t="s">
        <v>14640</v>
      </c>
      <c r="G1448" s="1" t="s">
        <v>10729</v>
      </c>
    </row>
    <row r="1449" spans="1:7" ht="21" x14ac:dyDescent="0.25">
      <c r="A1449" s="2" t="str">
        <f>HYPERLINK("https://rth.dk/resources/bsgatlas/details.php?id=BSGatlas-3'UTR-1448","BSGatlas-3'UTR-1448")</f>
        <v>BSGatlas-3'UTR-1448</v>
      </c>
      <c r="B1449" s="3">
        <v>3823180</v>
      </c>
      <c r="C1449" s="3">
        <v>3823558</v>
      </c>
      <c r="D1449" s="1" t="s">
        <v>13</v>
      </c>
      <c r="E1449" s="3">
        <v>379</v>
      </c>
      <c r="F1449" s="1" t="s">
        <v>14641</v>
      </c>
      <c r="G1449" s="1" t="s">
        <v>10733</v>
      </c>
    </row>
    <row r="1450" spans="1:7" ht="21" x14ac:dyDescent="0.25">
      <c r="A1450" s="2" t="str">
        <f>HYPERLINK("https://rth.dk/resources/bsgatlas/details.php?id=BSGatlas-3'UTR-1449","BSGatlas-3'UTR-1449")</f>
        <v>BSGatlas-3'UTR-1449</v>
      </c>
      <c r="B1450" s="3">
        <v>3823521</v>
      </c>
      <c r="C1450" s="3">
        <v>3823558</v>
      </c>
      <c r="D1450" s="1" t="s">
        <v>13</v>
      </c>
      <c r="E1450" s="3">
        <v>38</v>
      </c>
      <c r="F1450" s="1" t="s">
        <v>14641</v>
      </c>
      <c r="G1450" s="1" t="s">
        <v>10735</v>
      </c>
    </row>
    <row r="1451" spans="1:7" ht="21" x14ac:dyDescent="0.25">
      <c r="A1451" s="2" t="str">
        <f>HYPERLINK("https://rth.dk/resources/bsgatlas/details.php?id=BSGatlas-3'UTR-1450","BSGatlas-3'UTR-1450")</f>
        <v>BSGatlas-3'UTR-1450</v>
      </c>
      <c r="B1451" s="3">
        <v>3830116</v>
      </c>
      <c r="C1451" s="3">
        <v>3830141</v>
      </c>
      <c r="D1451" s="1" t="s">
        <v>13</v>
      </c>
      <c r="E1451" s="3">
        <v>26</v>
      </c>
      <c r="F1451" s="1" t="s">
        <v>13861</v>
      </c>
      <c r="G1451" s="1" t="s">
        <v>10737</v>
      </c>
    </row>
    <row r="1452" spans="1:7" ht="21" x14ac:dyDescent="0.25">
      <c r="A1452" s="2" t="str">
        <f>HYPERLINK("https://rth.dk/resources/bsgatlas/details.php?id=BSGatlas-3'UTR-1451","BSGatlas-3'UTR-1451")</f>
        <v>BSGatlas-3'UTR-1451</v>
      </c>
      <c r="B1452" s="3">
        <v>3831471</v>
      </c>
      <c r="C1452" s="3">
        <v>3831512</v>
      </c>
      <c r="D1452" s="1" t="s">
        <v>13</v>
      </c>
      <c r="E1452" s="3">
        <v>42</v>
      </c>
      <c r="F1452" s="1" t="s">
        <v>13863</v>
      </c>
      <c r="G1452" s="1" t="s">
        <v>10741</v>
      </c>
    </row>
    <row r="1453" spans="1:7" ht="21" x14ac:dyDescent="0.25">
      <c r="A1453" s="2" t="str">
        <f>HYPERLINK("https://rth.dk/resources/bsgatlas/details.php?id=BSGatlas-3'UTR-1452","BSGatlas-3'UTR-1452")</f>
        <v>BSGatlas-3'UTR-1452</v>
      </c>
      <c r="B1453" s="3">
        <v>3833599</v>
      </c>
      <c r="C1453" s="3">
        <v>3833650</v>
      </c>
      <c r="D1453" s="1" t="s">
        <v>13</v>
      </c>
      <c r="E1453" s="3">
        <v>52</v>
      </c>
      <c r="F1453" s="1" t="s">
        <v>14642</v>
      </c>
      <c r="G1453" s="1" t="s">
        <v>10745</v>
      </c>
    </row>
    <row r="1454" spans="1:7" ht="21" x14ac:dyDescent="0.25">
      <c r="A1454" s="2" t="str">
        <f>HYPERLINK("https://rth.dk/resources/bsgatlas/details.php?id=BSGatlas-3'UTR-1453","BSGatlas-3'UTR-1453")</f>
        <v>BSGatlas-3'UTR-1453</v>
      </c>
      <c r="B1454" s="3">
        <v>3836189</v>
      </c>
      <c r="C1454" s="3">
        <v>3836233</v>
      </c>
      <c r="D1454" s="1" t="s">
        <v>9</v>
      </c>
      <c r="E1454" s="3">
        <v>45</v>
      </c>
      <c r="F1454" s="1" t="s">
        <v>13866</v>
      </c>
      <c r="G1454" s="1" t="s">
        <v>10750</v>
      </c>
    </row>
    <row r="1455" spans="1:7" ht="21" x14ac:dyDescent="0.25">
      <c r="A1455" s="2" t="str">
        <f>HYPERLINK("https://rth.dk/resources/bsgatlas/details.php?id=BSGatlas-3'UTR-1454","BSGatlas-3'UTR-1454")</f>
        <v>BSGatlas-3'UTR-1454</v>
      </c>
      <c r="B1455" s="3">
        <v>3842540</v>
      </c>
      <c r="C1455" s="3">
        <v>3843001</v>
      </c>
      <c r="D1455" s="1" t="s">
        <v>13</v>
      </c>
      <c r="E1455" s="3">
        <v>462</v>
      </c>
      <c r="F1455" s="1" t="s">
        <v>14643</v>
      </c>
      <c r="G1455" s="1" t="s">
        <v>10755</v>
      </c>
    </row>
    <row r="1456" spans="1:7" ht="21" x14ac:dyDescent="0.25">
      <c r="A1456" s="2" t="str">
        <f>HYPERLINK("https://rth.dk/resources/bsgatlas/details.php?id=BSGatlas-3'UTR-1455","BSGatlas-3'UTR-1455")</f>
        <v>BSGatlas-3'UTR-1455</v>
      </c>
      <c r="B1456" s="3">
        <v>3842672</v>
      </c>
      <c r="C1456" s="3">
        <v>3843001</v>
      </c>
      <c r="D1456" s="1" t="s">
        <v>13</v>
      </c>
      <c r="E1456" s="3">
        <v>330</v>
      </c>
      <c r="F1456" s="1" t="s">
        <v>14643</v>
      </c>
      <c r="G1456" s="1" t="s">
        <v>10756</v>
      </c>
    </row>
    <row r="1457" spans="1:7" ht="21" x14ac:dyDescent="0.25">
      <c r="A1457" s="2" t="str">
        <f>HYPERLINK("https://rth.dk/resources/bsgatlas/details.php?id=BSGatlas-3'UTR-1456","BSGatlas-3'UTR-1456")</f>
        <v>BSGatlas-3'UTR-1456</v>
      </c>
      <c r="B1457" s="3">
        <v>3845975</v>
      </c>
      <c r="C1457" s="3">
        <v>3847853</v>
      </c>
      <c r="D1457" s="1" t="s">
        <v>13</v>
      </c>
      <c r="E1457" s="3">
        <v>1879</v>
      </c>
      <c r="F1457" s="1" t="s">
        <v>14644</v>
      </c>
      <c r="G1457" s="1" t="s">
        <v>10762</v>
      </c>
    </row>
    <row r="1458" spans="1:7" ht="21" x14ac:dyDescent="0.25">
      <c r="A1458" s="2" t="str">
        <f>HYPERLINK("https://rth.dk/resources/bsgatlas/details.php?id=BSGatlas-3'UTR-1457","BSGatlas-3'UTR-1457")</f>
        <v>BSGatlas-3'UTR-1457</v>
      </c>
      <c r="B1458" s="3">
        <v>3847094</v>
      </c>
      <c r="C1458" s="3">
        <v>3847853</v>
      </c>
      <c r="D1458" s="1" t="s">
        <v>13</v>
      </c>
      <c r="E1458" s="3">
        <v>760</v>
      </c>
      <c r="F1458" s="1" t="s">
        <v>14644</v>
      </c>
      <c r="G1458" s="1" t="s">
        <v>10764</v>
      </c>
    </row>
    <row r="1459" spans="1:7" ht="21" x14ac:dyDescent="0.25">
      <c r="A1459" s="2" t="str">
        <f>HYPERLINK("https://rth.dk/resources/bsgatlas/details.php?id=BSGatlas-3'UTR-1458","BSGatlas-3'UTR-1458")</f>
        <v>BSGatlas-3'UTR-1458</v>
      </c>
      <c r="B1459" s="3">
        <v>3847249</v>
      </c>
      <c r="C1459" s="3">
        <v>3847281</v>
      </c>
      <c r="D1459" s="1" t="s">
        <v>9</v>
      </c>
      <c r="E1459" s="3">
        <v>33</v>
      </c>
      <c r="F1459" s="1" t="s">
        <v>13869</v>
      </c>
      <c r="G1459" s="1" t="s">
        <v>10759</v>
      </c>
    </row>
    <row r="1460" spans="1:7" ht="21" x14ac:dyDescent="0.25">
      <c r="A1460" s="2" t="str">
        <f>HYPERLINK("https://rth.dk/resources/bsgatlas/details.php?id=BSGatlas-3'UTR-1459","BSGatlas-3'UTR-1459")</f>
        <v>BSGatlas-3'UTR-1459</v>
      </c>
      <c r="B1460" s="3">
        <v>3847812</v>
      </c>
      <c r="C1460" s="3">
        <v>3847853</v>
      </c>
      <c r="D1460" s="1" t="s">
        <v>13</v>
      </c>
      <c r="E1460" s="3">
        <v>42</v>
      </c>
      <c r="F1460" s="1" t="s">
        <v>14644</v>
      </c>
      <c r="G1460" s="1" t="s">
        <v>10766</v>
      </c>
    </row>
    <row r="1461" spans="1:7" ht="21" x14ac:dyDescent="0.25">
      <c r="A1461" s="2" t="str">
        <f>HYPERLINK("https://rth.dk/resources/bsgatlas/details.php?id=BSGatlas-3'UTR-1460","BSGatlas-3'UTR-1460")</f>
        <v>BSGatlas-3'UTR-1460</v>
      </c>
      <c r="B1461" s="3">
        <v>3847821</v>
      </c>
      <c r="C1461" s="3">
        <v>3847862</v>
      </c>
      <c r="D1461" s="1" t="s">
        <v>9</v>
      </c>
      <c r="E1461" s="3">
        <v>42</v>
      </c>
      <c r="F1461" s="1" t="s">
        <v>14645</v>
      </c>
      <c r="G1461" s="1" t="s">
        <v>10765</v>
      </c>
    </row>
    <row r="1462" spans="1:7" ht="21" x14ac:dyDescent="0.25">
      <c r="A1462" s="2" t="str">
        <f>HYPERLINK("https://rth.dk/resources/bsgatlas/details.php?id=BSGatlas-3'UTR-1461","BSGatlas-3'UTR-1461")</f>
        <v>BSGatlas-3'UTR-1461</v>
      </c>
      <c r="B1462" s="3">
        <v>3848740</v>
      </c>
      <c r="C1462" s="3">
        <v>3848786</v>
      </c>
      <c r="D1462" s="1" t="s">
        <v>13</v>
      </c>
      <c r="E1462" s="3">
        <v>47</v>
      </c>
      <c r="F1462" s="1" t="s">
        <v>13870</v>
      </c>
      <c r="G1462" s="1" t="s">
        <v>10768</v>
      </c>
    </row>
    <row r="1463" spans="1:7" ht="21" x14ac:dyDescent="0.25">
      <c r="A1463" s="2" t="str">
        <f>HYPERLINK("https://rth.dk/resources/bsgatlas/details.php?id=BSGatlas-3'UTR-1462","BSGatlas-3'UTR-1462")</f>
        <v>BSGatlas-3'UTR-1462</v>
      </c>
      <c r="B1463" s="3">
        <v>3851924</v>
      </c>
      <c r="C1463" s="3">
        <v>3852061</v>
      </c>
      <c r="D1463" s="1" t="s">
        <v>13</v>
      </c>
      <c r="E1463" s="3">
        <v>138</v>
      </c>
      <c r="F1463" s="1" t="s">
        <v>14646</v>
      </c>
      <c r="G1463" s="1" t="s">
        <v>10770</v>
      </c>
    </row>
    <row r="1464" spans="1:7" ht="21" x14ac:dyDescent="0.25">
      <c r="A1464" s="2" t="str">
        <f>HYPERLINK("https://rth.dk/resources/bsgatlas/details.php?id=BSGatlas-3'UTR-1463","BSGatlas-3'UTR-1463")</f>
        <v>BSGatlas-3'UTR-1463</v>
      </c>
      <c r="B1464" s="3">
        <v>3852091</v>
      </c>
      <c r="C1464" s="3">
        <v>3852186</v>
      </c>
      <c r="D1464" s="1" t="s">
        <v>13</v>
      </c>
      <c r="E1464" s="3">
        <v>96</v>
      </c>
      <c r="F1464" s="1" t="s">
        <v>14647</v>
      </c>
      <c r="G1464" s="1" t="s">
        <v>10773</v>
      </c>
    </row>
    <row r="1465" spans="1:7" ht="21" x14ac:dyDescent="0.25">
      <c r="A1465" s="2" t="str">
        <f>HYPERLINK("https://rth.dk/resources/bsgatlas/details.php?id=BSGatlas-3'UTR-1464","BSGatlas-3'UTR-1464")</f>
        <v>BSGatlas-3'UTR-1464</v>
      </c>
      <c r="B1465" s="3">
        <v>3853670</v>
      </c>
      <c r="C1465" s="3">
        <v>3853717</v>
      </c>
      <c r="D1465" s="1" t="s">
        <v>13</v>
      </c>
      <c r="E1465" s="3">
        <v>48</v>
      </c>
      <c r="F1465" s="1" t="s">
        <v>13874</v>
      </c>
      <c r="G1465" s="1" t="s">
        <v>10777</v>
      </c>
    </row>
    <row r="1466" spans="1:7" ht="21" x14ac:dyDescent="0.25">
      <c r="A1466" s="2" t="str">
        <f>HYPERLINK("https://rth.dk/resources/bsgatlas/details.php?id=BSGatlas-3'UTR-1465","BSGatlas-3'UTR-1465")</f>
        <v>BSGatlas-3'UTR-1465</v>
      </c>
      <c r="B1466" s="3">
        <v>3854220</v>
      </c>
      <c r="C1466" s="3">
        <v>3854256</v>
      </c>
      <c r="D1466" s="1" t="s">
        <v>13</v>
      </c>
      <c r="E1466" s="3">
        <v>37</v>
      </c>
      <c r="F1466" s="1" t="s">
        <v>14648</v>
      </c>
      <c r="G1466" s="1" t="s">
        <v>10780</v>
      </c>
    </row>
    <row r="1467" spans="1:7" ht="21" x14ac:dyDescent="0.25">
      <c r="A1467" s="2" t="str">
        <f>HYPERLINK("https://rth.dk/resources/bsgatlas/details.php?id=BSGatlas-3'UTR-1466","BSGatlas-3'UTR-1466")</f>
        <v>BSGatlas-3'UTR-1466</v>
      </c>
      <c r="B1467" s="3">
        <v>3856196</v>
      </c>
      <c r="C1467" s="3">
        <v>3856225</v>
      </c>
      <c r="D1467" s="1" t="s">
        <v>13</v>
      </c>
      <c r="E1467" s="3">
        <v>30</v>
      </c>
      <c r="F1467" s="1" t="s">
        <v>14649</v>
      </c>
      <c r="G1467" s="1" t="s">
        <v>10781</v>
      </c>
    </row>
    <row r="1468" spans="1:7" ht="21" x14ac:dyDescent="0.25">
      <c r="A1468" s="2" t="str">
        <f>HYPERLINK("https://rth.dk/resources/bsgatlas/details.php?id=BSGatlas-3'UTR-1467","BSGatlas-3'UTR-1467")</f>
        <v>BSGatlas-3'UTR-1467</v>
      </c>
      <c r="B1468" s="3">
        <v>3856449</v>
      </c>
      <c r="C1468" s="3">
        <v>3856478</v>
      </c>
      <c r="D1468" s="1" t="s">
        <v>13</v>
      </c>
      <c r="E1468" s="3">
        <v>30</v>
      </c>
      <c r="F1468" s="1" t="s">
        <v>14650</v>
      </c>
      <c r="G1468" s="1" t="s">
        <v>10782</v>
      </c>
    </row>
    <row r="1469" spans="1:7" ht="21" x14ac:dyDescent="0.25">
      <c r="A1469" s="2" t="str">
        <f>HYPERLINK("https://rth.dk/resources/bsgatlas/details.php?id=BSGatlas-3'UTR-1468","BSGatlas-3'UTR-1468")</f>
        <v>BSGatlas-3'UTR-1468</v>
      </c>
      <c r="B1469" s="3">
        <v>3856704</v>
      </c>
      <c r="C1469" s="3">
        <v>3856733</v>
      </c>
      <c r="D1469" s="1" t="s">
        <v>13</v>
      </c>
      <c r="E1469" s="3">
        <v>30</v>
      </c>
      <c r="F1469" s="1" t="s">
        <v>14651</v>
      </c>
      <c r="G1469" s="1" t="s">
        <v>10783</v>
      </c>
    </row>
    <row r="1470" spans="1:7" ht="21" x14ac:dyDescent="0.25">
      <c r="A1470" s="2" t="str">
        <f>HYPERLINK("https://rth.dk/resources/bsgatlas/details.php?id=BSGatlas-3'UTR-1469","BSGatlas-3'UTR-1469")</f>
        <v>BSGatlas-3'UTR-1469</v>
      </c>
      <c r="B1470" s="3">
        <v>3856704</v>
      </c>
      <c r="C1470" s="3">
        <v>3856782</v>
      </c>
      <c r="D1470" s="1" t="s">
        <v>13</v>
      </c>
      <c r="E1470" s="3">
        <v>79</v>
      </c>
      <c r="F1470" s="1" t="s">
        <v>13875</v>
      </c>
      <c r="G1470" s="1" t="s">
        <v>10783</v>
      </c>
    </row>
    <row r="1471" spans="1:7" ht="21" x14ac:dyDescent="0.25">
      <c r="A1471" s="2" t="str">
        <f>HYPERLINK("https://rth.dk/resources/bsgatlas/details.php?id=BSGatlas-3'UTR-1470","BSGatlas-3'UTR-1470")</f>
        <v>BSGatlas-3'UTR-1470</v>
      </c>
      <c r="B1471" s="3">
        <v>3858821</v>
      </c>
      <c r="C1471" s="3">
        <v>3858999</v>
      </c>
      <c r="D1471" s="1" t="s">
        <v>13</v>
      </c>
      <c r="E1471" s="3">
        <v>179</v>
      </c>
      <c r="F1471" s="1" t="s">
        <v>14652</v>
      </c>
      <c r="G1471" s="1" t="s">
        <v>10785</v>
      </c>
    </row>
    <row r="1472" spans="1:7" ht="21" x14ac:dyDescent="0.25">
      <c r="A1472" s="2" t="str">
        <f>HYPERLINK("https://rth.dk/resources/bsgatlas/details.php?id=BSGatlas-3'UTR-1471","BSGatlas-3'UTR-1471")</f>
        <v>BSGatlas-3'UTR-1471</v>
      </c>
      <c r="B1472" s="3">
        <v>3858948</v>
      </c>
      <c r="C1472" s="3">
        <v>3858999</v>
      </c>
      <c r="D1472" s="1" t="s">
        <v>13</v>
      </c>
      <c r="E1472" s="3">
        <v>52</v>
      </c>
      <c r="F1472" s="1" t="s">
        <v>14652</v>
      </c>
      <c r="G1472" s="1" t="s">
        <v>10790</v>
      </c>
    </row>
    <row r="1473" spans="1:7" ht="21" x14ac:dyDescent="0.25">
      <c r="A1473" s="2" t="str">
        <f>HYPERLINK("https://rth.dk/resources/bsgatlas/details.php?id=BSGatlas-3'UTR-1472","BSGatlas-3'UTR-1472")</f>
        <v>BSGatlas-3'UTR-1472</v>
      </c>
      <c r="B1473" s="3">
        <v>3862213</v>
      </c>
      <c r="C1473" s="3">
        <v>3862264</v>
      </c>
      <c r="D1473" s="1" t="s">
        <v>9</v>
      </c>
      <c r="E1473" s="3">
        <v>52</v>
      </c>
      <c r="F1473" s="1" t="s">
        <v>13878</v>
      </c>
      <c r="G1473" s="1" t="s">
        <v>10792</v>
      </c>
    </row>
    <row r="1474" spans="1:7" ht="21" x14ac:dyDescent="0.25">
      <c r="A1474" s="2" t="str">
        <f>HYPERLINK("https://rth.dk/resources/bsgatlas/details.php?id=BSGatlas-3'UTR-1473","BSGatlas-3'UTR-1473")</f>
        <v>BSGatlas-3'UTR-1473</v>
      </c>
      <c r="B1474" s="3">
        <v>3863363</v>
      </c>
      <c r="C1474" s="3">
        <v>3863415</v>
      </c>
      <c r="D1474" s="1" t="s">
        <v>13</v>
      </c>
      <c r="E1474" s="3">
        <v>53</v>
      </c>
      <c r="F1474" s="1" t="s">
        <v>14653</v>
      </c>
      <c r="G1474" s="1" t="s">
        <v>10794</v>
      </c>
    </row>
    <row r="1475" spans="1:7" ht="21" x14ac:dyDescent="0.25">
      <c r="A1475" s="2" t="str">
        <f>HYPERLINK("https://rth.dk/resources/bsgatlas/details.php?id=BSGatlas-3'UTR-1474","BSGatlas-3'UTR-1474")</f>
        <v>BSGatlas-3'UTR-1474</v>
      </c>
      <c r="B1475" s="3">
        <v>3865300</v>
      </c>
      <c r="C1475" s="3">
        <v>3865355</v>
      </c>
      <c r="D1475" s="1" t="s">
        <v>13</v>
      </c>
      <c r="E1475" s="3">
        <v>56</v>
      </c>
      <c r="F1475" s="1" t="s">
        <v>13881</v>
      </c>
      <c r="G1475" s="1" t="s">
        <v>10798</v>
      </c>
    </row>
    <row r="1476" spans="1:7" ht="21" x14ac:dyDescent="0.25">
      <c r="A1476" s="2" t="str">
        <f>HYPERLINK("https://rth.dk/resources/bsgatlas/details.php?id=BSGatlas-3'UTR-1475","BSGatlas-3'UTR-1475")</f>
        <v>BSGatlas-3'UTR-1475</v>
      </c>
      <c r="B1476" s="3">
        <v>3867360</v>
      </c>
      <c r="C1476" s="3">
        <v>3867387</v>
      </c>
      <c r="D1476" s="1" t="s">
        <v>9</v>
      </c>
      <c r="E1476" s="3">
        <v>28</v>
      </c>
      <c r="F1476" s="1" t="s">
        <v>13882</v>
      </c>
      <c r="G1476" s="1" t="s">
        <v>10802</v>
      </c>
    </row>
    <row r="1477" spans="1:7" ht="21" x14ac:dyDescent="0.25">
      <c r="A1477" s="2" t="str">
        <f>HYPERLINK("https://rth.dk/resources/bsgatlas/details.php?id=BSGatlas-3'UTR-1476","BSGatlas-3'UTR-1476")</f>
        <v>BSGatlas-3'UTR-1476</v>
      </c>
      <c r="B1477" s="3">
        <v>3874273</v>
      </c>
      <c r="C1477" s="3">
        <v>3874332</v>
      </c>
      <c r="D1477" s="1" t="s">
        <v>13</v>
      </c>
      <c r="E1477" s="3">
        <v>60</v>
      </c>
      <c r="F1477" s="1" t="s">
        <v>13885</v>
      </c>
      <c r="G1477" s="1" t="s">
        <v>10809</v>
      </c>
    </row>
    <row r="1478" spans="1:7" ht="21" x14ac:dyDescent="0.25">
      <c r="A1478" s="2" t="str">
        <f>HYPERLINK("https://rth.dk/resources/bsgatlas/details.php?id=BSGatlas-3'UTR-1477","BSGatlas-3'UTR-1477")</f>
        <v>BSGatlas-3'UTR-1477</v>
      </c>
      <c r="B1478" s="3">
        <v>3874309</v>
      </c>
      <c r="C1478" s="3">
        <v>3874332</v>
      </c>
      <c r="D1478" s="1" t="s">
        <v>13</v>
      </c>
      <c r="E1478" s="3">
        <v>24</v>
      </c>
      <c r="F1478" s="1" t="s">
        <v>13885</v>
      </c>
      <c r="G1478" s="1" t="s">
        <v>10810</v>
      </c>
    </row>
    <row r="1479" spans="1:7" ht="21" x14ac:dyDescent="0.25">
      <c r="A1479" s="2" t="str">
        <f>HYPERLINK("https://rth.dk/resources/bsgatlas/details.php?id=BSGatlas-3'UTR-1478","BSGatlas-3'UTR-1478")</f>
        <v>BSGatlas-3'UTR-1478</v>
      </c>
      <c r="B1479" s="3">
        <v>3875738</v>
      </c>
      <c r="C1479" s="3">
        <v>3875780</v>
      </c>
      <c r="D1479" s="1" t="s">
        <v>13</v>
      </c>
      <c r="E1479" s="3">
        <v>43</v>
      </c>
      <c r="F1479" s="1" t="s">
        <v>13886</v>
      </c>
      <c r="G1479" s="1" t="s">
        <v>10812</v>
      </c>
    </row>
    <row r="1480" spans="1:7" ht="21" x14ac:dyDescent="0.25">
      <c r="A1480" s="2" t="str">
        <f>HYPERLINK("https://rth.dk/resources/bsgatlas/details.php?id=BSGatlas-3'UTR-1479","BSGatlas-3'UTR-1479")</f>
        <v>BSGatlas-3'UTR-1479</v>
      </c>
      <c r="B1480" s="3">
        <v>3878951</v>
      </c>
      <c r="C1480" s="3">
        <v>3878966</v>
      </c>
      <c r="D1480" s="1" t="s">
        <v>13</v>
      </c>
      <c r="E1480" s="3">
        <v>16</v>
      </c>
      <c r="F1480" s="1" t="s">
        <v>13887</v>
      </c>
      <c r="G1480" s="1" t="s">
        <v>10815</v>
      </c>
    </row>
    <row r="1481" spans="1:7" ht="21" x14ac:dyDescent="0.25">
      <c r="A1481" s="2" t="str">
        <f>HYPERLINK("https://rth.dk/resources/bsgatlas/details.php?id=BSGatlas-3'UTR-1480","BSGatlas-3'UTR-1480")</f>
        <v>BSGatlas-3'UTR-1480</v>
      </c>
      <c r="B1481" s="3">
        <v>3880695</v>
      </c>
      <c r="C1481" s="3">
        <v>3880740</v>
      </c>
      <c r="D1481" s="1" t="s">
        <v>13</v>
      </c>
      <c r="E1481" s="3">
        <v>46</v>
      </c>
      <c r="F1481" s="1" t="s">
        <v>13888</v>
      </c>
      <c r="G1481" s="1" t="s">
        <v>10817</v>
      </c>
    </row>
    <row r="1482" spans="1:7" ht="21" x14ac:dyDescent="0.25">
      <c r="A1482" s="2" t="str">
        <f>HYPERLINK("https://rth.dk/resources/bsgatlas/details.php?id=BSGatlas-3'UTR-1481","BSGatlas-3'UTR-1481")</f>
        <v>BSGatlas-3'UTR-1481</v>
      </c>
      <c r="B1482" s="3">
        <v>3882135</v>
      </c>
      <c r="C1482" s="3">
        <v>3882191</v>
      </c>
      <c r="D1482" s="1" t="s">
        <v>13</v>
      </c>
      <c r="E1482" s="3">
        <v>57</v>
      </c>
      <c r="F1482" s="1" t="s">
        <v>13889</v>
      </c>
      <c r="G1482" s="1" t="s">
        <v>10819</v>
      </c>
    </row>
    <row r="1483" spans="1:7" ht="21" x14ac:dyDescent="0.25">
      <c r="A1483" s="2" t="str">
        <f>HYPERLINK("https://rth.dk/resources/bsgatlas/details.php?id=BSGatlas-3'UTR-1482","BSGatlas-3'UTR-1482")</f>
        <v>BSGatlas-3'UTR-1482</v>
      </c>
      <c r="B1483" s="3">
        <v>3882922</v>
      </c>
      <c r="C1483" s="3">
        <v>3882979</v>
      </c>
      <c r="D1483" s="1" t="s">
        <v>13</v>
      </c>
      <c r="E1483" s="3">
        <v>58</v>
      </c>
      <c r="F1483" s="1" t="s">
        <v>14654</v>
      </c>
      <c r="G1483" s="1" t="s">
        <v>10822</v>
      </c>
    </row>
    <row r="1484" spans="1:7" ht="21" x14ac:dyDescent="0.25">
      <c r="A1484" s="2" t="str">
        <f>HYPERLINK("https://rth.dk/resources/bsgatlas/details.php?id=BSGatlas-3'UTR-1483","BSGatlas-3'UTR-1483")</f>
        <v>BSGatlas-3'UTR-1483</v>
      </c>
      <c r="B1484" s="3">
        <v>3893979</v>
      </c>
      <c r="C1484" s="3">
        <v>3894030</v>
      </c>
      <c r="D1484" s="1" t="s">
        <v>13</v>
      </c>
      <c r="E1484" s="3">
        <v>52</v>
      </c>
      <c r="F1484" s="1" t="s">
        <v>14655</v>
      </c>
      <c r="G1484" s="1" t="s">
        <v>10827</v>
      </c>
    </row>
    <row r="1485" spans="1:7" ht="21" x14ac:dyDescent="0.25">
      <c r="A1485" s="2" t="str">
        <f>HYPERLINK("https://rth.dk/resources/bsgatlas/details.php?id=BSGatlas-3'UTR-1484","BSGatlas-3'UTR-1484")</f>
        <v>BSGatlas-3'UTR-1484</v>
      </c>
      <c r="B1485" s="3">
        <v>3893986</v>
      </c>
      <c r="C1485" s="3">
        <v>3894036</v>
      </c>
      <c r="D1485" s="1" t="s">
        <v>9</v>
      </c>
      <c r="E1485" s="3">
        <v>51</v>
      </c>
      <c r="F1485" s="1" t="s">
        <v>13891</v>
      </c>
      <c r="G1485" s="1" t="s">
        <v>10824</v>
      </c>
    </row>
    <row r="1486" spans="1:7" ht="21" x14ac:dyDescent="0.25">
      <c r="A1486" s="2" t="str">
        <f>HYPERLINK("https://rth.dk/resources/bsgatlas/details.php?id=BSGatlas-3'UTR-1485","BSGatlas-3'UTR-1485")</f>
        <v>BSGatlas-3'UTR-1485</v>
      </c>
      <c r="B1486" s="3">
        <v>3897650</v>
      </c>
      <c r="C1486" s="3">
        <v>3897685</v>
      </c>
      <c r="D1486" s="1" t="s">
        <v>13</v>
      </c>
      <c r="E1486" s="3">
        <v>36</v>
      </c>
      <c r="F1486" s="1" t="s">
        <v>13894</v>
      </c>
      <c r="G1486" s="1" t="s">
        <v>10831</v>
      </c>
    </row>
    <row r="1487" spans="1:7" ht="21" x14ac:dyDescent="0.25">
      <c r="A1487" s="2" t="str">
        <f>HYPERLINK("https://rth.dk/resources/bsgatlas/details.php?id=BSGatlas-3'UTR-1486","BSGatlas-3'UTR-1486")</f>
        <v>BSGatlas-3'UTR-1486</v>
      </c>
      <c r="B1487" s="3">
        <v>3897660</v>
      </c>
      <c r="C1487" s="3">
        <v>3897696</v>
      </c>
      <c r="D1487" s="1" t="s">
        <v>9</v>
      </c>
      <c r="E1487" s="3">
        <v>37</v>
      </c>
      <c r="F1487" s="1" t="s">
        <v>13893</v>
      </c>
      <c r="G1487" s="1" t="s">
        <v>10829</v>
      </c>
    </row>
    <row r="1488" spans="1:7" ht="21" x14ac:dyDescent="0.25">
      <c r="A1488" s="2" t="str">
        <f>HYPERLINK("https://rth.dk/resources/bsgatlas/details.php?id=BSGatlas-3'UTR-1487","BSGatlas-3'UTR-1487")</f>
        <v>BSGatlas-3'UTR-1487</v>
      </c>
      <c r="B1488" s="3">
        <v>3901778</v>
      </c>
      <c r="C1488" s="3">
        <v>3901824</v>
      </c>
      <c r="D1488" s="1" t="s">
        <v>9</v>
      </c>
      <c r="E1488" s="3">
        <v>47</v>
      </c>
      <c r="F1488" s="1" t="s">
        <v>13897</v>
      </c>
      <c r="G1488" s="1" t="s">
        <v>10838</v>
      </c>
    </row>
    <row r="1489" spans="1:7" ht="21" x14ac:dyDescent="0.25">
      <c r="A1489" s="2" t="str">
        <f>HYPERLINK("https://rth.dk/resources/bsgatlas/details.php?id=BSGatlas-3'UTR-1488","BSGatlas-3'UTR-1488")</f>
        <v>BSGatlas-3'UTR-1488</v>
      </c>
      <c r="B1489" s="3">
        <v>3901829</v>
      </c>
      <c r="C1489" s="3">
        <v>3901868</v>
      </c>
      <c r="D1489" s="1" t="s">
        <v>13</v>
      </c>
      <c r="E1489" s="3">
        <v>40</v>
      </c>
      <c r="F1489" s="1" t="s">
        <v>13898</v>
      </c>
      <c r="G1489" s="1" t="s">
        <v>10840</v>
      </c>
    </row>
    <row r="1490" spans="1:7" ht="21" x14ac:dyDescent="0.25">
      <c r="A1490" s="2" t="str">
        <f>HYPERLINK("https://rth.dk/resources/bsgatlas/details.php?id=BSGatlas-3'UTR-1489","BSGatlas-3'UTR-1489")</f>
        <v>BSGatlas-3'UTR-1489</v>
      </c>
      <c r="B1490" s="3">
        <v>3905057</v>
      </c>
      <c r="C1490" s="3">
        <v>3906142</v>
      </c>
      <c r="D1490" s="1" t="s">
        <v>13</v>
      </c>
      <c r="E1490" s="3">
        <v>1086</v>
      </c>
      <c r="F1490" s="1" t="s">
        <v>13901</v>
      </c>
      <c r="G1490" s="1" t="s">
        <v>10846</v>
      </c>
    </row>
    <row r="1491" spans="1:7" ht="21" x14ac:dyDescent="0.25">
      <c r="A1491" s="2" t="str">
        <f>HYPERLINK("https://rth.dk/resources/bsgatlas/details.php?id=BSGatlas-3'UTR-1490","BSGatlas-3'UTR-1490")</f>
        <v>BSGatlas-3'UTR-1490</v>
      </c>
      <c r="B1491" s="3">
        <v>3906094</v>
      </c>
      <c r="C1491" s="3">
        <v>3906142</v>
      </c>
      <c r="D1491" s="1" t="s">
        <v>13</v>
      </c>
      <c r="E1491" s="3">
        <v>49</v>
      </c>
      <c r="F1491" s="1" t="s">
        <v>13901</v>
      </c>
      <c r="G1491" s="1" t="s">
        <v>10852</v>
      </c>
    </row>
    <row r="1492" spans="1:7" ht="21" x14ac:dyDescent="0.25">
      <c r="A1492" s="2" t="str">
        <f>HYPERLINK("https://rth.dk/resources/bsgatlas/details.php?id=BSGatlas-3'UTR-1491","BSGatlas-3'UTR-1491")</f>
        <v>BSGatlas-3'UTR-1491</v>
      </c>
      <c r="B1492" s="3">
        <v>3906103</v>
      </c>
      <c r="C1492" s="3">
        <v>3906432</v>
      </c>
      <c r="D1492" s="1" t="s">
        <v>9</v>
      </c>
      <c r="E1492" s="3">
        <v>330</v>
      </c>
      <c r="F1492" s="1" t="s">
        <v>13900</v>
      </c>
      <c r="G1492" s="1" t="s">
        <v>10850</v>
      </c>
    </row>
    <row r="1493" spans="1:7" ht="21" x14ac:dyDescent="0.25">
      <c r="A1493" s="2" t="str">
        <f>HYPERLINK("https://rth.dk/resources/bsgatlas/details.php?id=BSGatlas-3'UTR-1492","BSGatlas-3'UTR-1492")</f>
        <v>BSGatlas-3'UTR-1492</v>
      </c>
      <c r="B1493" s="3">
        <v>3906103</v>
      </c>
      <c r="C1493" s="3">
        <v>3907204</v>
      </c>
      <c r="D1493" s="1" t="s">
        <v>9</v>
      </c>
      <c r="E1493" s="3">
        <v>1102</v>
      </c>
      <c r="F1493" s="1" t="s">
        <v>13900</v>
      </c>
      <c r="G1493" s="1" t="s">
        <v>10851</v>
      </c>
    </row>
    <row r="1494" spans="1:7" ht="21" x14ac:dyDescent="0.25">
      <c r="A1494" s="2" t="str">
        <f>HYPERLINK("https://rth.dk/resources/bsgatlas/details.php?id=BSGatlas-3'UTR-1493","BSGatlas-3'UTR-1493")</f>
        <v>BSGatlas-3'UTR-1493</v>
      </c>
      <c r="B1494" s="3">
        <v>3910256</v>
      </c>
      <c r="C1494" s="3">
        <v>3910302</v>
      </c>
      <c r="D1494" s="1" t="s">
        <v>13</v>
      </c>
      <c r="E1494" s="3">
        <v>47</v>
      </c>
      <c r="F1494" s="1" t="s">
        <v>14656</v>
      </c>
      <c r="G1494" s="1" t="s">
        <v>10858</v>
      </c>
    </row>
    <row r="1495" spans="1:7" ht="21" x14ac:dyDescent="0.25">
      <c r="A1495" s="2" t="str">
        <f>HYPERLINK("https://rth.dk/resources/bsgatlas/details.php?id=BSGatlas-3'UTR-1494","BSGatlas-3'UTR-1494")</f>
        <v>BSGatlas-3'UTR-1494</v>
      </c>
      <c r="B1495" s="3">
        <v>3910264</v>
      </c>
      <c r="C1495" s="3">
        <v>3910306</v>
      </c>
      <c r="D1495" s="1" t="s">
        <v>9</v>
      </c>
      <c r="E1495" s="3">
        <v>43</v>
      </c>
      <c r="F1495" s="1" t="s">
        <v>13903</v>
      </c>
      <c r="G1495" s="1" t="s">
        <v>10854</v>
      </c>
    </row>
    <row r="1496" spans="1:7" ht="21" x14ac:dyDescent="0.25">
      <c r="A1496" s="2" t="str">
        <f>HYPERLINK("https://rth.dk/resources/bsgatlas/details.php?id=BSGatlas-3'UTR-1495","BSGatlas-3'UTR-1495")</f>
        <v>BSGatlas-3'UTR-1495</v>
      </c>
      <c r="B1496" s="3">
        <v>3911432</v>
      </c>
      <c r="C1496" s="3">
        <v>3911477</v>
      </c>
      <c r="D1496" s="1" t="s">
        <v>13</v>
      </c>
      <c r="E1496" s="3">
        <v>46</v>
      </c>
      <c r="F1496" s="1" t="s">
        <v>13904</v>
      </c>
      <c r="G1496" s="1" t="s">
        <v>10859</v>
      </c>
    </row>
    <row r="1497" spans="1:7" ht="21" x14ac:dyDescent="0.25">
      <c r="A1497" s="2" t="str">
        <f>HYPERLINK("https://rth.dk/resources/bsgatlas/details.php?id=BSGatlas-3'UTR-1496","BSGatlas-3'UTR-1496")</f>
        <v>BSGatlas-3'UTR-1496</v>
      </c>
      <c r="B1497" s="3">
        <v>3912289</v>
      </c>
      <c r="C1497" s="3">
        <v>3912332</v>
      </c>
      <c r="D1497" s="1" t="s">
        <v>13</v>
      </c>
      <c r="E1497" s="3">
        <v>44</v>
      </c>
      <c r="F1497" s="1" t="s">
        <v>13905</v>
      </c>
      <c r="G1497" s="1" t="s">
        <v>10862</v>
      </c>
    </row>
    <row r="1498" spans="1:7" ht="21" x14ac:dyDescent="0.25">
      <c r="A1498" s="2" t="str">
        <f>HYPERLINK("https://rth.dk/resources/bsgatlas/details.php?id=BSGatlas-3'UTR-1497","BSGatlas-3'UTR-1497")</f>
        <v>BSGatlas-3'UTR-1497</v>
      </c>
      <c r="B1498" s="3">
        <v>3914271</v>
      </c>
      <c r="C1498" s="3">
        <v>3914315</v>
      </c>
      <c r="D1498" s="1" t="s">
        <v>13</v>
      </c>
      <c r="E1498" s="3">
        <v>45</v>
      </c>
      <c r="F1498" s="1" t="s">
        <v>14657</v>
      </c>
      <c r="G1498" s="1" t="s">
        <v>10866</v>
      </c>
    </row>
    <row r="1499" spans="1:7" ht="21" x14ac:dyDescent="0.25">
      <c r="A1499" s="2" t="str">
        <f>HYPERLINK("https://rth.dk/resources/bsgatlas/details.php?id=BSGatlas-3'UTR-1498","BSGatlas-3'UTR-1498")</f>
        <v>BSGatlas-3'UTR-1498</v>
      </c>
      <c r="B1499" s="3">
        <v>3914272</v>
      </c>
      <c r="C1499" s="3">
        <v>3914320</v>
      </c>
      <c r="D1499" s="1" t="s">
        <v>9</v>
      </c>
      <c r="E1499" s="3">
        <v>49</v>
      </c>
      <c r="F1499" s="1" t="s">
        <v>13906</v>
      </c>
      <c r="G1499" s="1" t="s">
        <v>10865</v>
      </c>
    </row>
    <row r="1500" spans="1:7" ht="21" x14ac:dyDescent="0.25">
      <c r="A1500" s="2" t="str">
        <f>HYPERLINK("https://rth.dk/resources/bsgatlas/details.php?id=BSGatlas-3'UTR-1499","BSGatlas-3'UTR-1499")</f>
        <v>BSGatlas-3'UTR-1499</v>
      </c>
      <c r="B1500" s="3">
        <v>3919022</v>
      </c>
      <c r="C1500" s="3">
        <v>3919072</v>
      </c>
      <c r="D1500" s="1" t="s">
        <v>9</v>
      </c>
      <c r="E1500" s="3">
        <v>51</v>
      </c>
      <c r="F1500" s="1" t="s">
        <v>13907</v>
      </c>
      <c r="G1500" s="1" t="s">
        <v>10874</v>
      </c>
    </row>
    <row r="1501" spans="1:7" ht="21" x14ac:dyDescent="0.25">
      <c r="A1501" s="2" t="str">
        <f>HYPERLINK("https://rth.dk/resources/bsgatlas/details.php?id=BSGatlas-3'UTR-1500","BSGatlas-3'UTR-1500")</f>
        <v>BSGatlas-3'UTR-1500</v>
      </c>
      <c r="B1501" s="3">
        <v>3923984</v>
      </c>
      <c r="C1501" s="3">
        <v>3925797</v>
      </c>
      <c r="D1501" s="1" t="s">
        <v>13</v>
      </c>
      <c r="E1501" s="3">
        <v>1814</v>
      </c>
      <c r="F1501" s="1" t="s">
        <v>14658</v>
      </c>
      <c r="G1501" s="1" t="s">
        <v>10887</v>
      </c>
    </row>
    <row r="1502" spans="1:7" ht="21" x14ac:dyDescent="0.25">
      <c r="A1502" s="2" t="str">
        <f>HYPERLINK("https://rth.dk/resources/bsgatlas/details.php?id=BSGatlas-3'UTR-1501","BSGatlas-3'UTR-1501")</f>
        <v>BSGatlas-3'UTR-1501</v>
      </c>
      <c r="B1502" s="3">
        <v>3925757</v>
      </c>
      <c r="C1502" s="3">
        <v>3925797</v>
      </c>
      <c r="D1502" s="1" t="s">
        <v>13</v>
      </c>
      <c r="E1502" s="3">
        <v>41</v>
      </c>
      <c r="F1502" s="1" t="s">
        <v>14658</v>
      </c>
      <c r="G1502" s="1" t="s">
        <v>10892</v>
      </c>
    </row>
    <row r="1503" spans="1:7" ht="21" x14ac:dyDescent="0.25">
      <c r="A1503" s="2" t="str">
        <f>HYPERLINK("https://rth.dk/resources/bsgatlas/details.php?id=BSGatlas-3'UTR-1502","BSGatlas-3'UTR-1502")</f>
        <v>BSGatlas-3'UTR-1502</v>
      </c>
      <c r="B1503" s="3">
        <v>3930650</v>
      </c>
      <c r="C1503" s="3">
        <v>3930707</v>
      </c>
      <c r="D1503" s="1" t="s">
        <v>13</v>
      </c>
      <c r="E1503" s="3">
        <v>58</v>
      </c>
      <c r="F1503" s="1" t="s">
        <v>14659</v>
      </c>
      <c r="G1503" s="1" t="s">
        <v>10897</v>
      </c>
    </row>
    <row r="1504" spans="1:7" ht="21" x14ac:dyDescent="0.25">
      <c r="A1504" s="2" t="str">
        <f>HYPERLINK("https://rth.dk/resources/bsgatlas/details.php?id=BSGatlas-3'UTR-1503","BSGatlas-3'UTR-1503")</f>
        <v>BSGatlas-3'UTR-1503</v>
      </c>
      <c r="B1504" s="3">
        <v>3937508</v>
      </c>
      <c r="C1504" s="3">
        <v>3937553</v>
      </c>
      <c r="D1504" s="1" t="s">
        <v>13</v>
      </c>
      <c r="E1504" s="3">
        <v>46</v>
      </c>
      <c r="F1504" s="1" t="s">
        <v>13920</v>
      </c>
      <c r="G1504" s="1" t="s">
        <v>10914</v>
      </c>
    </row>
    <row r="1505" spans="1:7" ht="21" x14ac:dyDescent="0.25">
      <c r="A1505" s="2" t="str">
        <f>HYPERLINK("https://rth.dk/resources/bsgatlas/details.php?id=BSGatlas-3'UTR-1504","BSGatlas-3'UTR-1504")</f>
        <v>BSGatlas-3'UTR-1504</v>
      </c>
      <c r="B1505" s="3">
        <v>3937515</v>
      </c>
      <c r="C1505" s="3">
        <v>3937563</v>
      </c>
      <c r="D1505" s="1" t="s">
        <v>9</v>
      </c>
      <c r="E1505" s="3">
        <v>49</v>
      </c>
      <c r="F1505" s="1" t="s">
        <v>13919</v>
      </c>
      <c r="G1505" s="1" t="s">
        <v>10912</v>
      </c>
    </row>
    <row r="1506" spans="1:7" ht="21" x14ac:dyDescent="0.25">
      <c r="A1506" s="2" t="str">
        <f>HYPERLINK("https://rth.dk/resources/bsgatlas/details.php?id=BSGatlas-3'UTR-1505","BSGatlas-3'UTR-1505")</f>
        <v>BSGatlas-3'UTR-1505</v>
      </c>
      <c r="B1506" s="3">
        <v>3941806</v>
      </c>
      <c r="C1506" s="3">
        <v>3941859</v>
      </c>
      <c r="D1506" s="1" t="s">
        <v>9</v>
      </c>
      <c r="E1506" s="3">
        <v>54</v>
      </c>
      <c r="F1506" s="1" t="s">
        <v>13922</v>
      </c>
      <c r="G1506" s="1" t="s">
        <v>10919</v>
      </c>
    </row>
    <row r="1507" spans="1:7" ht="21" x14ac:dyDescent="0.25">
      <c r="A1507" s="2" t="str">
        <f>HYPERLINK("https://rth.dk/resources/bsgatlas/details.php?id=BSGatlas-3'UTR-1506","BSGatlas-3'UTR-1506")</f>
        <v>BSGatlas-3'UTR-1506</v>
      </c>
      <c r="B1507" s="3">
        <v>3943289</v>
      </c>
      <c r="C1507" s="3">
        <v>3944560</v>
      </c>
      <c r="D1507" s="1" t="s">
        <v>13</v>
      </c>
      <c r="E1507" s="3">
        <v>1272</v>
      </c>
      <c r="F1507" s="1" t="s">
        <v>13924</v>
      </c>
      <c r="G1507" s="1" t="s">
        <v>10928</v>
      </c>
    </row>
    <row r="1508" spans="1:7" ht="21" x14ac:dyDescent="0.25">
      <c r="A1508" s="2" t="str">
        <f>HYPERLINK("https://rth.dk/resources/bsgatlas/details.php?id=BSGatlas-3'UTR-1507","BSGatlas-3'UTR-1507")</f>
        <v>BSGatlas-3'UTR-1507</v>
      </c>
      <c r="B1508" s="3">
        <v>3944508</v>
      </c>
      <c r="C1508" s="3">
        <v>3944560</v>
      </c>
      <c r="D1508" s="1" t="s">
        <v>13</v>
      </c>
      <c r="E1508" s="3">
        <v>53</v>
      </c>
      <c r="F1508" s="1" t="s">
        <v>13924</v>
      </c>
      <c r="G1508" s="1" t="s">
        <v>10929</v>
      </c>
    </row>
    <row r="1509" spans="1:7" ht="21" x14ac:dyDescent="0.25">
      <c r="A1509" s="2" t="str">
        <f>HYPERLINK("https://rth.dk/resources/bsgatlas/details.php?id=BSGatlas-3'UTR-1508","BSGatlas-3'UTR-1508")</f>
        <v>BSGatlas-3'UTR-1508</v>
      </c>
      <c r="B1509" s="3">
        <v>3944509</v>
      </c>
      <c r="C1509" s="3">
        <v>3944560</v>
      </c>
      <c r="D1509" s="1" t="s">
        <v>9</v>
      </c>
      <c r="E1509" s="3">
        <v>52</v>
      </c>
      <c r="F1509" s="1" t="s">
        <v>14660</v>
      </c>
      <c r="G1509" s="1" t="s">
        <v>10924</v>
      </c>
    </row>
    <row r="1510" spans="1:7" ht="21" x14ac:dyDescent="0.25">
      <c r="A1510" s="2" t="str">
        <f>HYPERLINK("https://rth.dk/resources/bsgatlas/details.php?id=BSGatlas-3'UTR-1509","BSGatlas-3'UTR-1509")</f>
        <v>BSGatlas-3'UTR-1509</v>
      </c>
      <c r="B1510" s="3">
        <v>3944509</v>
      </c>
      <c r="C1510" s="3">
        <v>3945426</v>
      </c>
      <c r="D1510" s="1" t="s">
        <v>9</v>
      </c>
      <c r="E1510" s="3">
        <v>918</v>
      </c>
      <c r="F1510" s="1" t="s">
        <v>14660</v>
      </c>
      <c r="G1510" s="1" t="s">
        <v>10925</v>
      </c>
    </row>
    <row r="1511" spans="1:7" ht="21" x14ac:dyDescent="0.25">
      <c r="A1511" s="2" t="str">
        <f>HYPERLINK("https://rth.dk/resources/bsgatlas/details.php?id=BSGatlas-3'UTR-1510","BSGatlas-3'UTR-1510")</f>
        <v>BSGatlas-3'UTR-1510</v>
      </c>
      <c r="B1511" s="3">
        <v>3947116</v>
      </c>
      <c r="C1511" s="3">
        <v>3947143</v>
      </c>
      <c r="D1511" s="1" t="s">
        <v>9</v>
      </c>
      <c r="E1511" s="3">
        <v>28</v>
      </c>
      <c r="F1511" s="1" t="s">
        <v>14661</v>
      </c>
      <c r="G1511" s="1" t="s">
        <v>10933</v>
      </c>
    </row>
    <row r="1512" spans="1:7" ht="21" x14ac:dyDescent="0.25">
      <c r="A1512" s="2" t="str">
        <f>HYPERLINK("https://rth.dk/resources/bsgatlas/details.php?id=BSGatlas-3'UTR-1511","BSGatlas-3'UTR-1511")</f>
        <v>BSGatlas-3'UTR-1511</v>
      </c>
      <c r="B1512" s="3">
        <v>3948399</v>
      </c>
      <c r="C1512" s="3">
        <v>3948455</v>
      </c>
      <c r="D1512" s="1" t="s">
        <v>9</v>
      </c>
      <c r="E1512" s="3">
        <v>57</v>
      </c>
      <c r="F1512" s="1" t="s">
        <v>14662</v>
      </c>
      <c r="G1512" s="1" t="s">
        <v>10935</v>
      </c>
    </row>
    <row r="1513" spans="1:7" ht="21" x14ac:dyDescent="0.25">
      <c r="A1513" s="2" t="str">
        <f>HYPERLINK("https://rth.dk/resources/bsgatlas/details.php?id=BSGatlas-3'UTR-1512","BSGatlas-3'UTR-1512")</f>
        <v>BSGatlas-3'UTR-1512</v>
      </c>
      <c r="B1513" s="3">
        <v>3949913</v>
      </c>
      <c r="C1513" s="3">
        <v>3949952</v>
      </c>
      <c r="D1513" s="1" t="s">
        <v>13</v>
      </c>
      <c r="E1513" s="3">
        <v>40</v>
      </c>
      <c r="F1513" s="1" t="s">
        <v>13928</v>
      </c>
      <c r="G1513" s="1" t="s">
        <v>10941</v>
      </c>
    </row>
    <row r="1514" spans="1:7" ht="21" x14ac:dyDescent="0.25">
      <c r="A1514" s="2" t="str">
        <f>HYPERLINK("https://rth.dk/resources/bsgatlas/details.php?id=BSGatlas-3'UTR-1513","BSGatlas-3'UTR-1513")</f>
        <v>BSGatlas-3'UTR-1513</v>
      </c>
      <c r="B1514" s="3">
        <v>3949922</v>
      </c>
      <c r="C1514" s="3">
        <v>3949962</v>
      </c>
      <c r="D1514" s="1" t="s">
        <v>9</v>
      </c>
      <c r="E1514" s="3">
        <v>41</v>
      </c>
      <c r="F1514" s="1" t="s">
        <v>13927</v>
      </c>
      <c r="G1514" s="1" t="s">
        <v>10939</v>
      </c>
    </row>
    <row r="1515" spans="1:7" ht="21" x14ac:dyDescent="0.25">
      <c r="A1515" s="2" t="str">
        <f>HYPERLINK("https://rth.dk/resources/bsgatlas/details.php?id=BSGatlas-3'UTR-1514","BSGatlas-3'UTR-1514")</f>
        <v>BSGatlas-3'UTR-1514</v>
      </c>
      <c r="B1515" s="3">
        <v>3950683</v>
      </c>
      <c r="C1515" s="3">
        <v>3950726</v>
      </c>
      <c r="D1515" s="1" t="s">
        <v>13</v>
      </c>
      <c r="E1515" s="3">
        <v>44</v>
      </c>
      <c r="F1515" s="1" t="s">
        <v>13930</v>
      </c>
      <c r="G1515" s="1" t="s">
        <v>10943</v>
      </c>
    </row>
    <row r="1516" spans="1:7" ht="21" x14ac:dyDescent="0.25">
      <c r="A1516" s="2" t="str">
        <f>HYPERLINK("https://rth.dk/resources/bsgatlas/details.php?id=BSGatlas-3'UTR-1515","BSGatlas-3'UTR-1515")</f>
        <v>BSGatlas-3'UTR-1515</v>
      </c>
      <c r="B1516" s="3">
        <v>3957219</v>
      </c>
      <c r="C1516" s="3">
        <v>3958516</v>
      </c>
      <c r="D1516" s="1" t="s">
        <v>13</v>
      </c>
      <c r="E1516" s="3">
        <v>1298</v>
      </c>
      <c r="F1516" s="1" t="s">
        <v>14663</v>
      </c>
      <c r="G1516" s="1" t="s">
        <v>10955</v>
      </c>
    </row>
    <row r="1517" spans="1:7" ht="21" x14ac:dyDescent="0.25">
      <c r="A1517" s="2" t="str">
        <f>HYPERLINK("https://rth.dk/resources/bsgatlas/details.php?id=BSGatlas-3'UTR-1516","BSGatlas-3'UTR-1516")</f>
        <v>BSGatlas-3'UTR-1516</v>
      </c>
      <c r="B1517" s="3">
        <v>3957250</v>
      </c>
      <c r="C1517" s="3">
        <v>3957275</v>
      </c>
      <c r="D1517" s="1" t="s">
        <v>9</v>
      </c>
      <c r="E1517" s="3">
        <v>26</v>
      </c>
      <c r="F1517" s="1" t="s">
        <v>14664</v>
      </c>
      <c r="G1517" s="1" t="s">
        <v>10947</v>
      </c>
    </row>
    <row r="1518" spans="1:7" ht="21" x14ac:dyDescent="0.25">
      <c r="A1518" s="2" t="str">
        <f>HYPERLINK("https://rth.dk/resources/bsgatlas/details.php?id=BSGatlas-3'UTR-1517","BSGatlas-3'UTR-1517")</f>
        <v>BSGatlas-3'UTR-1517</v>
      </c>
      <c r="B1518" s="3">
        <v>3958475</v>
      </c>
      <c r="C1518" s="3">
        <v>3958516</v>
      </c>
      <c r="D1518" s="1" t="s">
        <v>13</v>
      </c>
      <c r="E1518" s="3">
        <v>42</v>
      </c>
      <c r="F1518" s="1" t="s">
        <v>14663</v>
      </c>
      <c r="G1518" s="1" t="s">
        <v>10959</v>
      </c>
    </row>
    <row r="1519" spans="1:7" ht="21" x14ac:dyDescent="0.25">
      <c r="A1519" s="2" t="str">
        <f>HYPERLINK("https://rth.dk/resources/bsgatlas/details.php?id=BSGatlas-3'UTR-1518","BSGatlas-3'UTR-1518")</f>
        <v>BSGatlas-3'UTR-1518</v>
      </c>
      <c r="B1519" s="3">
        <v>3958482</v>
      </c>
      <c r="C1519" s="3">
        <v>3958525</v>
      </c>
      <c r="D1519" s="1" t="s">
        <v>9</v>
      </c>
      <c r="E1519" s="3">
        <v>44</v>
      </c>
      <c r="F1519" s="1" t="s">
        <v>13932</v>
      </c>
      <c r="G1519" s="1" t="s">
        <v>10958</v>
      </c>
    </row>
    <row r="1520" spans="1:7" ht="21" x14ac:dyDescent="0.25">
      <c r="A1520" s="2" t="str">
        <f>HYPERLINK("https://rth.dk/resources/bsgatlas/details.php?id=BSGatlas-3'UTR-1519","BSGatlas-3'UTR-1519")</f>
        <v>BSGatlas-3'UTR-1519</v>
      </c>
      <c r="B1520" s="3">
        <v>3961981</v>
      </c>
      <c r="C1520" s="3">
        <v>3962003</v>
      </c>
      <c r="D1520" s="1" t="s">
        <v>13</v>
      </c>
      <c r="E1520" s="3">
        <v>23</v>
      </c>
      <c r="F1520" s="1" t="s">
        <v>13934</v>
      </c>
      <c r="G1520" s="1" t="s">
        <v>10961</v>
      </c>
    </row>
    <row r="1521" spans="1:7" ht="21" x14ac:dyDescent="0.25">
      <c r="A1521" s="2" t="str">
        <f>HYPERLINK("https://rth.dk/resources/bsgatlas/details.php?id=BSGatlas-3'UTR-1520","BSGatlas-3'UTR-1520")</f>
        <v>BSGatlas-3'UTR-1520</v>
      </c>
      <c r="B1521" s="3">
        <v>3964067</v>
      </c>
      <c r="C1521" s="3">
        <v>3964091</v>
      </c>
      <c r="D1521" s="1" t="s">
        <v>13</v>
      </c>
      <c r="E1521" s="3">
        <v>25</v>
      </c>
      <c r="F1521" s="1" t="s">
        <v>14665</v>
      </c>
      <c r="G1521" s="1" t="s">
        <v>10964</v>
      </c>
    </row>
    <row r="1522" spans="1:7" ht="21" x14ac:dyDescent="0.25">
      <c r="A1522" s="2" t="str">
        <f>HYPERLINK("https://rth.dk/resources/bsgatlas/details.php?id=BSGatlas-3'UTR-1521","BSGatlas-3'UTR-1521")</f>
        <v>BSGatlas-3'UTR-1521</v>
      </c>
      <c r="B1522" s="3">
        <v>3966640</v>
      </c>
      <c r="C1522" s="3">
        <v>3966687</v>
      </c>
      <c r="D1522" s="1" t="s">
        <v>9</v>
      </c>
      <c r="E1522" s="3">
        <v>48</v>
      </c>
      <c r="F1522" s="1" t="s">
        <v>13936</v>
      </c>
      <c r="G1522" s="1" t="s">
        <v>10967</v>
      </c>
    </row>
    <row r="1523" spans="1:7" ht="21" x14ac:dyDescent="0.25">
      <c r="A1523" s="2" t="str">
        <f>HYPERLINK("https://rth.dk/resources/bsgatlas/details.php?id=BSGatlas-3'UTR-1522","BSGatlas-3'UTR-1522")</f>
        <v>BSGatlas-3'UTR-1522</v>
      </c>
      <c r="B1523" s="3">
        <v>3966770</v>
      </c>
      <c r="C1523" s="3">
        <v>3967944</v>
      </c>
      <c r="D1523" s="1" t="s">
        <v>13</v>
      </c>
      <c r="E1523" s="3">
        <v>1175</v>
      </c>
      <c r="F1523" s="1" t="s">
        <v>14666</v>
      </c>
      <c r="G1523" s="1" t="s">
        <v>10972</v>
      </c>
    </row>
    <row r="1524" spans="1:7" ht="21" x14ac:dyDescent="0.25">
      <c r="A1524" s="2" t="str">
        <f>HYPERLINK("https://rth.dk/resources/bsgatlas/details.php?id=BSGatlas-3'UTR-1523","BSGatlas-3'UTR-1523")</f>
        <v>BSGatlas-3'UTR-1523</v>
      </c>
      <c r="B1524" s="3">
        <v>3972403</v>
      </c>
      <c r="C1524" s="3">
        <v>3972448</v>
      </c>
      <c r="D1524" s="1" t="s">
        <v>13</v>
      </c>
      <c r="E1524" s="3">
        <v>46</v>
      </c>
      <c r="F1524" s="1" t="s">
        <v>13940</v>
      </c>
      <c r="G1524" s="1" t="s">
        <v>10980</v>
      </c>
    </row>
    <row r="1525" spans="1:7" ht="21" x14ac:dyDescent="0.25">
      <c r="A1525" s="2" t="str">
        <f>HYPERLINK("https://rth.dk/resources/bsgatlas/details.php?id=BSGatlas-3'UTR-1524","BSGatlas-3'UTR-1524")</f>
        <v>BSGatlas-3'UTR-1524</v>
      </c>
      <c r="B1525" s="3">
        <v>3972433</v>
      </c>
      <c r="C1525" s="3">
        <v>3972455</v>
      </c>
      <c r="D1525" s="1" t="s">
        <v>9</v>
      </c>
      <c r="E1525" s="3">
        <v>23</v>
      </c>
      <c r="F1525" s="1" t="s">
        <v>13938</v>
      </c>
      <c r="G1525" s="1" t="s">
        <v>10976</v>
      </c>
    </row>
    <row r="1526" spans="1:7" ht="21" x14ac:dyDescent="0.25">
      <c r="A1526" s="2" t="str">
        <f>HYPERLINK("https://rth.dk/resources/bsgatlas/details.php?id=BSGatlas-3'UTR-1525","BSGatlas-3'UTR-1525")</f>
        <v>BSGatlas-3'UTR-1525</v>
      </c>
      <c r="B1526" s="3">
        <v>3973327</v>
      </c>
      <c r="C1526" s="3">
        <v>3973364</v>
      </c>
      <c r="D1526" s="1" t="s">
        <v>13</v>
      </c>
      <c r="E1526" s="3">
        <v>38</v>
      </c>
      <c r="F1526" s="1" t="s">
        <v>14667</v>
      </c>
      <c r="G1526" s="1" t="s">
        <v>10982</v>
      </c>
    </row>
    <row r="1527" spans="1:7" ht="21" x14ac:dyDescent="0.25">
      <c r="A1527" s="2" t="str">
        <f>HYPERLINK("https://rth.dk/resources/bsgatlas/details.php?id=BSGatlas-3'UTR-1526","BSGatlas-3'UTR-1526")</f>
        <v>BSGatlas-3'UTR-1526</v>
      </c>
      <c r="B1527" s="3">
        <v>3981105</v>
      </c>
      <c r="C1527" s="3">
        <v>3981159</v>
      </c>
      <c r="D1527" s="1" t="s">
        <v>9</v>
      </c>
      <c r="E1527" s="3">
        <v>55</v>
      </c>
      <c r="F1527" s="1" t="s">
        <v>13942</v>
      </c>
      <c r="G1527" s="1" t="s">
        <v>10990</v>
      </c>
    </row>
    <row r="1528" spans="1:7" ht="21" x14ac:dyDescent="0.25">
      <c r="A1528" s="2" t="str">
        <f>HYPERLINK("https://rth.dk/resources/bsgatlas/details.php?id=BSGatlas-3'UTR-1527","BSGatlas-3'UTR-1527")</f>
        <v>BSGatlas-3'UTR-1527</v>
      </c>
      <c r="B1528" s="3">
        <v>3983037</v>
      </c>
      <c r="C1528" s="3">
        <v>3983187</v>
      </c>
      <c r="D1528" s="1" t="s">
        <v>13</v>
      </c>
      <c r="E1528" s="3">
        <v>151</v>
      </c>
      <c r="F1528" s="1" t="s">
        <v>13945</v>
      </c>
      <c r="G1528" s="1" t="s">
        <v>10996</v>
      </c>
    </row>
    <row r="1529" spans="1:7" ht="21" x14ac:dyDescent="0.25">
      <c r="A1529" s="2" t="str">
        <f>HYPERLINK("https://rth.dk/resources/bsgatlas/details.php?id=BSGatlas-3'UTR-1528","BSGatlas-3'UTR-1528")</f>
        <v>BSGatlas-3'UTR-1528</v>
      </c>
      <c r="B1529" s="3">
        <v>3983173</v>
      </c>
      <c r="C1529" s="3">
        <v>3983197</v>
      </c>
      <c r="D1529" s="1" t="s">
        <v>9</v>
      </c>
      <c r="E1529" s="3">
        <v>25</v>
      </c>
      <c r="F1529" s="1" t="s">
        <v>13944</v>
      </c>
      <c r="G1529" s="1" t="s">
        <v>10993</v>
      </c>
    </row>
    <row r="1530" spans="1:7" ht="21" x14ac:dyDescent="0.25">
      <c r="A1530" s="2" t="str">
        <f>HYPERLINK("https://rth.dk/resources/bsgatlas/details.php?id=BSGatlas-3'UTR-1529","BSGatlas-3'UTR-1529")</f>
        <v>BSGatlas-3'UTR-1529</v>
      </c>
      <c r="B1530" s="3">
        <v>3983173</v>
      </c>
      <c r="C1530" s="3">
        <v>3984107</v>
      </c>
      <c r="D1530" s="1" t="s">
        <v>9</v>
      </c>
      <c r="E1530" s="3">
        <v>935</v>
      </c>
      <c r="F1530" s="1" t="s">
        <v>13944</v>
      </c>
      <c r="G1530" s="1" t="s">
        <v>10994</v>
      </c>
    </row>
    <row r="1531" spans="1:7" ht="21" x14ac:dyDescent="0.25">
      <c r="A1531" s="2" t="str">
        <f>HYPERLINK("https://rth.dk/resources/bsgatlas/details.php?id=BSGatlas-3'UTR-1530","BSGatlas-3'UTR-1530")</f>
        <v>BSGatlas-3'UTR-1530</v>
      </c>
      <c r="B1531" s="3">
        <v>3984085</v>
      </c>
      <c r="C1531" s="3">
        <v>3984133</v>
      </c>
      <c r="D1531" s="1" t="s">
        <v>13</v>
      </c>
      <c r="E1531" s="3">
        <v>49</v>
      </c>
      <c r="F1531" s="1" t="s">
        <v>13946</v>
      </c>
      <c r="G1531" s="1" t="s">
        <v>10998</v>
      </c>
    </row>
    <row r="1532" spans="1:7" ht="21" x14ac:dyDescent="0.25">
      <c r="A1532" s="2" t="str">
        <f>HYPERLINK("https://rth.dk/resources/bsgatlas/details.php?id=BSGatlas-3'UTR-1531","BSGatlas-3'UTR-1531")</f>
        <v>BSGatlas-3'UTR-1531</v>
      </c>
      <c r="B1532" s="3">
        <v>3987880</v>
      </c>
      <c r="C1532" s="3">
        <v>3987927</v>
      </c>
      <c r="D1532" s="1" t="s">
        <v>13</v>
      </c>
      <c r="E1532" s="3">
        <v>48</v>
      </c>
      <c r="F1532" s="1" t="s">
        <v>13949</v>
      </c>
      <c r="G1532" s="1" t="s">
        <v>11006</v>
      </c>
    </row>
    <row r="1533" spans="1:7" ht="21" x14ac:dyDescent="0.25">
      <c r="A1533" s="2" t="str">
        <f>HYPERLINK("https://rth.dk/resources/bsgatlas/details.php?id=BSGatlas-3'UTR-1532","BSGatlas-3'UTR-1532")</f>
        <v>BSGatlas-3'UTR-1532</v>
      </c>
      <c r="B1533" s="3">
        <v>3987885</v>
      </c>
      <c r="C1533" s="3">
        <v>3987934</v>
      </c>
      <c r="D1533" s="1" t="s">
        <v>9</v>
      </c>
      <c r="E1533" s="3">
        <v>50</v>
      </c>
      <c r="F1533" s="1" t="s">
        <v>13948</v>
      </c>
      <c r="G1533" s="1" t="s">
        <v>11003</v>
      </c>
    </row>
    <row r="1534" spans="1:7" ht="21" x14ac:dyDescent="0.25">
      <c r="A1534" s="2" t="str">
        <f>HYPERLINK("https://rth.dk/resources/bsgatlas/details.php?id=BSGatlas-3'UTR-1533","BSGatlas-3'UTR-1533")</f>
        <v>BSGatlas-3'UTR-1533</v>
      </c>
      <c r="B1534" s="3">
        <v>3989873</v>
      </c>
      <c r="C1534" s="3">
        <v>3989918</v>
      </c>
      <c r="D1534" s="1" t="s">
        <v>9</v>
      </c>
      <c r="E1534" s="3">
        <v>46</v>
      </c>
      <c r="F1534" s="1" t="s">
        <v>13950</v>
      </c>
      <c r="G1534" s="1" t="s">
        <v>11010</v>
      </c>
    </row>
    <row r="1535" spans="1:7" ht="21" x14ac:dyDescent="0.25">
      <c r="A1535" s="2" t="str">
        <f>HYPERLINK("https://rth.dk/resources/bsgatlas/details.php?id=BSGatlas-3'UTR-1534","BSGatlas-3'UTR-1534")</f>
        <v>BSGatlas-3'UTR-1534</v>
      </c>
      <c r="B1535" s="3">
        <v>3989873</v>
      </c>
      <c r="C1535" s="3">
        <v>3990263</v>
      </c>
      <c r="D1535" s="1" t="s">
        <v>9</v>
      </c>
      <c r="E1535" s="3">
        <v>391</v>
      </c>
      <c r="F1535" s="1" t="s">
        <v>13950</v>
      </c>
      <c r="G1535" s="1" t="s">
        <v>11011</v>
      </c>
    </row>
    <row r="1536" spans="1:7" ht="21" x14ac:dyDescent="0.25">
      <c r="A1536" s="2" t="str">
        <f>HYPERLINK("https://rth.dk/resources/bsgatlas/details.php?id=BSGatlas-3'UTR-1535","BSGatlas-3'UTR-1535")</f>
        <v>BSGatlas-3'UTR-1535</v>
      </c>
      <c r="B1536" s="3">
        <v>3989904</v>
      </c>
      <c r="C1536" s="3">
        <v>3989948</v>
      </c>
      <c r="D1536" s="1" t="s">
        <v>13</v>
      </c>
      <c r="E1536" s="3">
        <v>45</v>
      </c>
      <c r="F1536" s="1" t="s">
        <v>13951</v>
      </c>
      <c r="G1536" s="1" t="s">
        <v>11014</v>
      </c>
    </row>
    <row r="1537" spans="1:7" ht="21" x14ac:dyDescent="0.25">
      <c r="A1537" s="2" t="str">
        <f>HYPERLINK("https://rth.dk/resources/bsgatlas/details.php?id=BSGatlas-3'UTR-1536","BSGatlas-3'UTR-1536")</f>
        <v>BSGatlas-3'UTR-1536</v>
      </c>
      <c r="B1537" s="3">
        <v>3996307</v>
      </c>
      <c r="C1537" s="3">
        <v>3996352</v>
      </c>
      <c r="D1537" s="1" t="s">
        <v>9</v>
      </c>
      <c r="E1537" s="3">
        <v>46</v>
      </c>
      <c r="F1537" s="1" t="s">
        <v>13954</v>
      </c>
      <c r="G1537" s="1" t="s">
        <v>11021</v>
      </c>
    </row>
    <row r="1538" spans="1:7" ht="21" x14ac:dyDescent="0.25">
      <c r="A1538" s="2" t="str">
        <f>HYPERLINK("https://rth.dk/resources/bsgatlas/details.php?id=BSGatlas-3'UTR-1537","BSGatlas-3'UTR-1537")</f>
        <v>BSGatlas-3'UTR-1537</v>
      </c>
      <c r="B1538" s="3">
        <v>3997881</v>
      </c>
      <c r="C1538" s="3">
        <v>3997939</v>
      </c>
      <c r="D1538" s="1" t="s">
        <v>9</v>
      </c>
      <c r="E1538" s="3">
        <v>59</v>
      </c>
      <c r="F1538" s="1" t="s">
        <v>14668</v>
      </c>
      <c r="G1538" s="1" t="s">
        <v>11031</v>
      </c>
    </row>
    <row r="1539" spans="1:7" ht="21" x14ac:dyDescent="0.25">
      <c r="A1539" s="2" t="str">
        <f>HYPERLINK("https://rth.dk/resources/bsgatlas/details.php?id=BSGatlas-3'UTR-1538","BSGatlas-3'UTR-1538")</f>
        <v>BSGatlas-3'UTR-1538</v>
      </c>
      <c r="B1539" s="3">
        <v>3999272</v>
      </c>
      <c r="C1539" s="3">
        <v>3999328</v>
      </c>
      <c r="D1539" s="1" t="s">
        <v>9</v>
      </c>
      <c r="E1539" s="3">
        <v>57</v>
      </c>
      <c r="F1539" s="1" t="s">
        <v>14669</v>
      </c>
      <c r="G1539" s="1" t="s">
        <v>11037</v>
      </c>
    </row>
    <row r="1540" spans="1:7" ht="21" x14ac:dyDescent="0.25">
      <c r="A1540" s="2" t="str">
        <f>HYPERLINK("https://rth.dk/resources/bsgatlas/details.php?id=BSGatlas-3'UTR-1539","BSGatlas-3'UTR-1539")</f>
        <v>BSGatlas-3'UTR-1539</v>
      </c>
      <c r="B1540" s="3">
        <v>4000485</v>
      </c>
      <c r="C1540" s="3">
        <v>4000539</v>
      </c>
      <c r="D1540" s="1" t="s">
        <v>13</v>
      </c>
      <c r="E1540" s="3">
        <v>55</v>
      </c>
      <c r="F1540" s="1" t="s">
        <v>14670</v>
      </c>
      <c r="G1540" s="1" t="s">
        <v>11040</v>
      </c>
    </row>
    <row r="1541" spans="1:7" ht="21" x14ac:dyDescent="0.25">
      <c r="A1541" s="2" t="str">
        <f>HYPERLINK("https://rth.dk/resources/bsgatlas/details.php?id=BSGatlas-3'UTR-1540","BSGatlas-3'UTR-1540")</f>
        <v>BSGatlas-3'UTR-1540</v>
      </c>
      <c r="B1541" s="3">
        <v>4000486</v>
      </c>
      <c r="C1541" s="3">
        <v>4000530</v>
      </c>
      <c r="D1541" s="1" t="s">
        <v>9</v>
      </c>
      <c r="E1541" s="3">
        <v>45</v>
      </c>
      <c r="F1541" s="1" t="s">
        <v>13958</v>
      </c>
      <c r="G1541" s="1" t="s">
        <v>11035</v>
      </c>
    </row>
    <row r="1542" spans="1:7" ht="21" x14ac:dyDescent="0.25">
      <c r="A1542" s="2" t="str">
        <f>HYPERLINK("https://rth.dk/resources/bsgatlas/details.php?id=BSGatlas-3'UTR-1541","BSGatlas-3'UTR-1541")</f>
        <v>BSGatlas-3'UTR-1541</v>
      </c>
      <c r="B1542" s="3">
        <v>4004243</v>
      </c>
      <c r="C1542" s="3">
        <v>4004288</v>
      </c>
      <c r="D1542" s="1" t="s">
        <v>13</v>
      </c>
      <c r="E1542" s="3">
        <v>46</v>
      </c>
      <c r="F1542" s="1" t="s">
        <v>13961</v>
      </c>
      <c r="G1542" s="1" t="s">
        <v>11044</v>
      </c>
    </row>
    <row r="1543" spans="1:7" ht="21" x14ac:dyDescent="0.25">
      <c r="A1543" s="2" t="str">
        <f>HYPERLINK("https://rth.dk/resources/bsgatlas/details.php?id=BSGatlas-3'UTR-1542","BSGatlas-3'UTR-1542")</f>
        <v>BSGatlas-3'UTR-1542</v>
      </c>
      <c r="B1543" s="3">
        <v>4006936</v>
      </c>
      <c r="C1543" s="3">
        <v>4006987</v>
      </c>
      <c r="D1543" s="1" t="s">
        <v>13</v>
      </c>
      <c r="E1543" s="3">
        <v>52</v>
      </c>
      <c r="F1543" s="1" t="s">
        <v>14671</v>
      </c>
      <c r="G1543" s="1" t="s">
        <v>11051</v>
      </c>
    </row>
    <row r="1544" spans="1:7" ht="21" x14ac:dyDescent="0.25">
      <c r="A1544" s="2" t="str">
        <f>HYPERLINK("https://rth.dk/resources/bsgatlas/details.php?id=BSGatlas-3'UTR-1543","BSGatlas-3'UTR-1543")</f>
        <v>BSGatlas-3'UTR-1543</v>
      </c>
      <c r="B1544" s="3">
        <v>4006945</v>
      </c>
      <c r="C1544" s="3">
        <v>4006995</v>
      </c>
      <c r="D1544" s="1" t="s">
        <v>9</v>
      </c>
      <c r="E1544" s="3">
        <v>51</v>
      </c>
      <c r="F1544" s="1" t="s">
        <v>13962</v>
      </c>
      <c r="G1544" s="1" t="s">
        <v>11048</v>
      </c>
    </row>
    <row r="1545" spans="1:7" ht="21" x14ac:dyDescent="0.25">
      <c r="A1545" s="2" t="str">
        <f>HYPERLINK("https://rth.dk/resources/bsgatlas/details.php?id=BSGatlas-3'UTR-1544","BSGatlas-3'UTR-1544")</f>
        <v>BSGatlas-3'UTR-1544</v>
      </c>
      <c r="B1545" s="3">
        <v>4006945</v>
      </c>
      <c r="C1545" s="3">
        <v>4007777</v>
      </c>
      <c r="D1545" s="1" t="s">
        <v>9</v>
      </c>
      <c r="E1545" s="3">
        <v>833</v>
      </c>
      <c r="F1545" s="1" t="s">
        <v>13962</v>
      </c>
      <c r="G1545" s="1" t="s">
        <v>11049</v>
      </c>
    </row>
    <row r="1546" spans="1:7" ht="21" x14ac:dyDescent="0.25">
      <c r="A1546" s="2" t="str">
        <f>HYPERLINK("https://rth.dk/resources/bsgatlas/details.php?id=BSGatlas-3'UTR-1545","BSGatlas-3'UTR-1545")</f>
        <v>BSGatlas-3'UTR-1545</v>
      </c>
      <c r="B1546" s="3">
        <v>4007766</v>
      </c>
      <c r="C1546" s="3">
        <v>4007803</v>
      </c>
      <c r="D1546" s="1" t="s">
        <v>13</v>
      </c>
      <c r="E1546" s="3">
        <v>38</v>
      </c>
      <c r="F1546" s="1" t="s">
        <v>13964</v>
      </c>
      <c r="G1546" s="1" t="s">
        <v>11054</v>
      </c>
    </row>
    <row r="1547" spans="1:7" ht="21" x14ac:dyDescent="0.25">
      <c r="A1547" s="2" t="str">
        <f>HYPERLINK("https://rth.dk/resources/bsgatlas/details.php?id=BSGatlas-3'UTR-1546","BSGatlas-3'UTR-1546")</f>
        <v>BSGatlas-3'UTR-1546</v>
      </c>
      <c r="B1547" s="3">
        <v>4011684</v>
      </c>
      <c r="C1547" s="3">
        <v>4011803</v>
      </c>
      <c r="D1547" s="1" t="s">
        <v>9</v>
      </c>
      <c r="E1547" s="3">
        <v>120</v>
      </c>
      <c r="F1547" s="1" t="s">
        <v>13966</v>
      </c>
      <c r="G1547" s="1" t="s">
        <v>11058</v>
      </c>
    </row>
    <row r="1548" spans="1:7" ht="21" x14ac:dyDescent="0.25">
      <c r="A1548" s="2" t="str">
        <f>HYPERLINK("https://rth.dk/resources/bsgatlas/details.php?id=BSGatlas-3'UTR-1547","BSGatlas-3'UTR-1547")</f>
        <v>BSGatlas-3'UTR-1547</v>
      </c>
      <c r="B1548" s="3">
        <v>4011788</v>
      </c>
      <c r="C1548" s="3">
        <v>4011842</v>
      </c>
      <c r="D1548" s="1" t="s">
        <v>13</v>
      </c>
      <c r="E1548" s="3">
        <v>55</v>
      </c>
      <c r="F1548" s="1" t="s">
        <v>13967</v>
      </c>
      <c r="G1548" s="1" t="s">
        <v>11060</v>
      </c>
    </row>
    <row r="1549" spans="1:7" ht="21" x14ac:dyDescent="0.25">
      <c r="A1549" s="2" t="str">
        <f>HYPERLINK("https://rth.dk/resources/bsgatlas/details.php?id=BSGatlas-3'UTR-1548","BSGatlas-3'UTR-1548")</f>
        <v>BSGatlas-3'UTR-1548</v>
      </c>
      <c r="B1549" s="3">
        <v>4012712</v>
      </c>
      <c r="C1549" s="3">
        <v>4012866</v>
      </c>
      <c r="D1549" s="1" t="s">
        <v>13</v>
      </c>
      <c r="E1549" s="3">
        <v>155</v>
      </c>
      <c r="F1549" s="1" t="s">
        <v>13968</v>
      </c>
      <c r="G1549" s="1" t="s">
        <v>11067</v>
      </c>
    </row>
    <row r="1550" spans="1:7" ht="21" x14ac:dyDescent="0.25">
      <c r="A1550" s="2" t="str">
        <f>HYPERLINK("https://rth.dk/resources/bsgatlas/details.php?id=BSGatlas-3'UTR-1549","BSGatlas-3'UTR-1549")</f>
        <v>BSGatlas-3'UTR-1549</v>
      </c>
      <c r="B1550" s="3">
        <v>4015938</v>
      </c>
      <c r="C1550" s="3">
        <v>4015987</v>
      </c>
      <c r="D1550" s="1" t="s">
        <v>13</v>
      </c>
      <c r="E1550" s="3">
        <v>50</v>
      </c>
      <c r="F1550" s="1" t="s">
        <v>13971</v>
      </c>
      <c r="G1550" s="1" t="s">
        <v>11073</v>
      </c>
    </row>
    <row r="1551" spans="1:7" ht="21" x14ac:dyDescent="0.25">
      <c r="A1551" s="2" t="str">
        <f>HYPERLINK("https://rth.dk/resources/bsgatlas/details.php?id=BSGatlas-3'UTR-1550","BSGatlas-3'UTR-1550")</f>
        <v>BSGatlas-3'UTR-1550</v>
      </c>
      <c r="B1551" s="3">
        <v>4015968</v>
      </c>
      <c r="C1551" s="3">
        <v>4016195</v>
      </c>
      <c r="D1551" s="1" t="s">
        <v>9</v>
      </c>
      <c r="E1551" s="3">
        <v>228</v>
      </c>
      <c r="F1551" s="1" t="s">
        <v>13970</v>
      </c>
      <c r="G1551" s="1" t="s">
        <v>11071</v>
      </c>
    </row>
    <row r="1552" spans="1:7" ht="21" x14ac:dyDescent="0.25">
      <c r="A1552" s="2" t="str">
        <f>HYPERLINK("https://rth.dk/resources/bsgatlas/details.php?id=BSGatlas-3'UTR-1551","BSGatlas-3'UTR-1551")</f>
        <v>BSGatlas-3'UTR-1551</v>
      </c>
      <c r="B1552" s="3">
        <v>4022814</v>
      </c>
      <c r="C1552" s="3">
        <v>4023054</v>
      </c>
      <c r="D1552" s="1" t="s">
        <v>13</v>
      </c>
      <c r="E1552" s="3">
        <v>241</v>
      </c>
      <c r="F1552" s="1" t="s">
        <v>14672</v>
      </c>
      <c r="G1552" s="1" t="s">
        <v>11079</v>
      </c>
    </row>
    <row r="1553" spans="1:7" ht="21" x14ac:dyDescent="0.25">
      <c r="A1553" s="2" t="str">
        <f>HYPERLINK("https://rth.dk/resources/bsgatlas/details.php?id=BSGatlas-3'UTR-1552","BSGatlas-3'UTR-1552")</f>
        <v>BSGatlas-3'UTR-1552</v>
      </c>
      <c r="B1553" s="3">
        <v>4030669</v>
      </c>
      <c r="C1553" s="3">
        <v>4030710</v>
      </c>
      <c r="D1553" s="1" t="s">
        <v>13</v>
      </c>
      <c r="E1553" s="3">
        <v>42</v>
      </c>
      <c r="F1553" s="1" t="s">
        <v>14673</v>
      </c>
      <c r="G1553" s="1" t="s">
        <v>11080</v>
      </c>
    </row>
    <row r="1554" spans="1:7" ht="21" x14ac:dyDescent="0.25">
      <c r="A1554" s="2" t="str">
        <f>HYPERLINK("https://rth.dk/resources/bsgatlas/details.php?id=BSGatlas-3'UTR-1553","BSGatlas-3'UTR-1553")</f>
        <v>BSGatlas-3'UTR-1553</v>
      </c>
      <c r="B1554" s="3">
        <v>4031755</v>
      </c>
      <c r="C1554" s="3">
        <v>4031797</v>
      </c>
      <c r="D1554" s="1" t="s">
        <v>13</v>
      </c>
      <c r="E1554" s="3">
        <v>43</v>
      </c>
      <c r="F1554" s="1" t="s">
        <v>13974</v>
      </c>
      <c r="G1554" s="1" t="s">
        <v>11083</v>
      </c>
    </row>
    <row r="1555" spans="1:7" ht="21" x14ac:dyDescent="0.25">
      <c r="A1555" s="2" t="str">
        <f>HYPERLINK("https://rth.dk/resources/bsgatlas/details.php?id=BSGatlas-3'UTR-1554","BSGatlas-3'UTR-1554")</f>
        <v>BSGatlas-3'UTR-1554</v>
      </c>
      <c r="B1555" s="3">
        <v>4035937</v>
      </c>
      <c r="C1555" s="3">
        <v>4035990</v>
      </c>
      <c r="D1555" s="1" t="s">
        <v>13</v>
      </c>
      <c r="E1555" s="3">
        <v>54</v>
      </c>
      <c r="F1555" s="1" t="s">
        <v>14674</v>
      </c>
      <c r="G1555" s="1" t="s">
        <v>11091</v>
      </c>
    </row>
    <row r="1556" spans="1:7" ht="21" x14ac:dyDescent="0.25">
      <c r="A1556" s="2" t="str">
        <f>HYPERLINK("https://rth.dk/resources/bsgatlas/details.php?id=BSGatlas-3'UTR-1555","BSGatlas-3'UTR-1555")</f>
        <v>BSGatlas-3'UTR-1555</v>
      </c>
      <c r="B1556" s="3">
        <v>4039423</v>
      </c>
      <c r="C1556" s="3">
        <v>4039466</v>
      </c>
      <c r="D1556" s="1" t="s">
        <v>13</v>
      </c>
      <c r="E1556" s="3">
        <v>44</v>
      </c>
      <c r="F1556" s="1" t="s">
        <v>13977</v>
      </c>
      <c r="G1556" s="1" t="s">
        <v>11096</v>
      </c>
    </row>
    <row r="1557" spans="1:7" ht="21" x14ac:dyDescent="0.25">
      <c r="A1557" s="2" t="str">
        <f>HYPERLINK("https://rth.dk/resources/bsgatlas/details.php?id=BSGatlas-3'UTR-1556","BSGatlas-3'UTR-1556")</f>
        <v>BSGatlas-3'UTR-1556</v>
      </c>
      <c r="B1557" s="3">
        <v>4041938</v>
      </c>
      <c r="C1557" s="3">
        <v>4042018</v>
      </c>
      <c r="D1557" s="1" t="s">
        <v>9</v>
      </c>
      <c r="E1557" s="3">
        <v>81</v>
      </c>
      <c r="F1557" s="1" t="s">
        <v>13979</v>
      </c>
      <c r="G1557" s="1" t="s">
        <v>11101</v>
      </c>
    </row>
    <row r="1558" spans="1:7" ht="21" x14ac:dyDescent="0.25">
      <c r="A1558" s="2" t="str">
        <f>HYPERLINK("https://rth.dk/resources/bsgatlas/details.php?id=BSGatlas-3'UTR-1557","BSGatlas-3'UTR-1557")</f>
        <v>BSGatlas-3'UTR-1557</v>
      </c>
      <c r="B1558" s="3">
        <v>4048959</v>
      </c>
      <c r="C1558" s="3">
        <v>4049009</v>
      </c>
      <c r="D1558" s="1" t="s">
        <v>13</v>
      </c>
      <c r="E1558" s="3">
        <v>51</v>
      </c>
      <c r="F1558" s="1" t="s">
        <v>14675</v>
      </c>
      <c r="G1558" s="1" t="s">
        <v>11106</v>
      </c>
    </row>
    <row r="1559" spans="1:7" ht="21" x14ac:dyDescent="0.25">
      <c r="A1559" s="2" t="str">
        <f>HYPERLINK("https://rth.dk/resources/bsgatlas/details.php?id=BSGatlas-3'UTR-1558","BSGatlas-3'UTR-1558")</f>
        <v>BSGatlas-3'UTR-1558</v>
      </c>
      <c r="B1559" s="3">
        <v>4048965</v>
      </c>
      <c r="C1559" s="3">
        <v>4049015</v>
      </c>
      <c r="D1559" s="1" t="s">
        <v>9</v>
      </c>
      <c r="E1559" s="3">
        <v>51</v>
      </c>
      <c r="F1559" s="1" t="s">
        <v>14676</v>
      </c>
      <c r="G1559" s="1" t="s">
        <v>11103</v>
      </c>
    </row>
    <row r="1560" spans="1:7" ht="21" x14ac:dyDescent="0.25">
      <c r="A1560" s="2" t="str">
        <f>HYPERLINK("https://rth.dk/resources/bsgatlas/details.php?id=BSGatlas-3'UTR-1559","BSGatlas-3'UTR-1559")</f>
        <v>BSGatlas-3'UTR-1559</v>
      </c>
      <c r="B1560" s="3">
        <v>4051559</v>
      </c>
      <c r="C1560" s="3">
        <v>4051602</v>
      </c>
      <c r="D1560" s="1" t="s">
        <v>13</v>
      </c>
      <c r="E1560" s="3">
        <v>44</v>
      </c>
      <c r="F1560" s="1" t="s">
        <v>13980</v>
      </c>
      <c r="G1560" s="1" t="s">
        <v>11109</v>
      </c>
    </row>
    <row r="1561" spans="1:7" ht="21" x14ac:dyDescent="0.25">
      <c r="A1561" s="2" t="str">
        <f>HYPERLINK("https://rth.dk/resources/bsgatlas/details.php?id=BSGatlas-3'UTR-1560","BSGatlas-3'UTR-1560")</f>
        <v>BSGatlas-3'UTR-1560</v>
      </c>
      <c r="B1561" s="3">
        <v>4054231</v>
      </c>
      <c r="C1561" s="3">
        <v>4054354</v>
      </c>
      <c r="D1561" s="1" t="s">
        <v>13</v>
      </c>
      <c r="E1561" s="3">
        <v>124</v>
      </c>
      <c r="F1561" s="1" t="s">
        <v>14677</v>
      </c>
      <c r="G1561" s="1" t="s">
        <v>14678</v>
      </c>
    </row>
    <row r="1562" spans="1:7" ht="21" x14ac:dyDescent="0.25">
      <c r="A1562" s="2" t="str">
        <f>HYPERLINK("https://rth.dk/resources/bsgatlas/details.php?id=BSGatlas-3'UTR-1561","BSGatlas-3'UTR-1561")</f>
        <v>BSGatlas-3'UTR-1561</v>
      </c>
      <c r="B1562" s="3">
        <v>4062525</v>
      </c>
      <c r="C1562" s="3">
        <v>4062543</v>
      </c>
      <c r="D1562" s="1" t="s">
        <v>13</v>
      </c>
      <c r="E1562" s="3">
        <v>19</v>
      </c>
      <c r="F1562" s="1" t="s">
        <v>13985</v>
      </c>
      <c r="G1562" s="1" t="s">
        <v>11117</v>
      </c>
    </row>
    <row r="1563" spans="1:7" ht="21" x14ac:dyDescent="0.25">
      <c r="A1563" s="2" t="str">
        <f>HYPERLINK("https://rth.dk/resources/bsgatlas/details.php?id=BSGatlas-3'UTR-1562","BSGatlas-3'UTR-1562")</f>
        <v>BSGatlas-3'UTR-1562</v>
      </c>
      <c r="B1563" s="3">
        <v>4063654</v>
      </c>
      <c r="C1563" s="3">
        <v>4063684</v>
      </c>
      <c r="D1563" s="1" t="s">
        <v>13</v>
      </c>
      <c r="E1563" s="3">
        <v>31</v>
      </c>
      <c r="F1563" s="1" t="s">
        <v>13986</v>
      </c>
      <c r="G1563" s="1" t="s">
        <v>11120</v>
      </c>
    </row>
    <row r="1564" spans="1:7" ht="21" x14ac:dyDescent="0.25">
      <c r="A1564" s="2" t="str">
        <f>HYPERLINK("https://rth.dk/resources/bsgatlas/details.php?id=BSGatlas-3'UTR-1563","BSGatlas-3'UTR-1563")</f>
        <v>BSGatlas-3'UTR-1563</v>
      </c>
      <c r="B1564" s="3">
        <v>4065962</v>
      </c>
      <c r="C1564" s="3">
        <v>4065998</v>
      </c>
      <c r="D1564" s="1" t="s">
        <v>9</v>
      </c>
      <c r="E1564" s="3">
        <v>37</v>
      </c>
      <c r="F1564" s="1" t="s">
        <v>13988</v>
      </c>
      <c r="G1564" s="1" t="s">
        <v>11126</v>
      </c>
    </row>
    <row r="1565" spans="1:7" ht="21" x14ac:dyDescent="0.25">
      <c r="A1565" s="2" t="str">
        <f>HYPERLINK("https://rth.dk/resources/bsgatlas/details.php?id=BSGatlas-3'UTR-1564","BSGatlas-3'UTR-1564")</f>
        <v>BSGatlas-3'UTR-1564</v>
      </c>
      <c r="B1565" s="3">
        <v>4065962</v>
      </c>
      <c r="C1565" s="3">
        <v>4066159</v>
      </c>
      <c r="D1565" s="1" t="s">
        <v>9</v>
      </c>
      <c r="E1565" s="3">
        <v>198</v>
      </c>
      <c r="F1565" s="1" t="s">
        <v>13988</v>
      </c>
      <c r="G1565" s="1" t="s">
        <v>11127</v>
      </c>
    </row>
    <row r="1566" spans="1:7" ht="21" x14ac:dyDescent="0.25">
      <c r="A1566" s="2" t="str">
        <f>HYPERLINK("https://rth.dk/resources/bsgatlas/details.php?id=BSGatlas-3'UTR-1565","BSGatlas-3'UTR-1565")</f>
        <v>BSGatlas-3'UTR-1565</v>
      </c>
      <c r="B1566" s="3">
        <v>4066563</v>
      </c>
      <c r="C1566" s="3">
        <v>4066598</v>
      </c>
      <c r="D1566" s="1" t="s">
        <v>9</v>
      </c>
      <c r="E1566" s="3">
        <v>36</v>
      </c>
      <c r="F1566" s="1" t="s">
        <v>13989</v>
      </c>
      <c r="G1566" s="1" t="s">
        <v>11129</v>
      </c>
    </row>
    <row r="1567" spans="1:7" ht="21" x14ac:dyDescent="0.25">
      <c r="A1567" s="2" t="str">
        <f>HYPERLINK("https://rth.dk/resources/bsgatlas/details.php?id=BSGatlas-3'UTR-1566","BSGatlas-3'UTR-1566")</f>
        <v>BSGatlas-3'UTR-1566</v>
      </c>
      <c r="B1567" s="3">
        <v>4066574</v>
      </c>
      <c r="C1567" s="3">
        <v>4066607</v>
      </c>
      <c r="D1567" s="1" t="s">
        <v>13</v>
      </c>
      <c r="E1567" s="3">
        <v>34</v>
      </c>
      <c r="F1567" s="1" t="s">
        <v>13990</v>
      </c>
      <c r="G1567" s="1" t="s">
        <v>11131</v>
      </c>
    </row>
    <row r="1568" spans="1:7" ht="21" x14ac:dyDescent="0.25">
      <c r="A1568" s="2" t="str">
        <f>HYPERLINK("https://rth.dk/resources/bsgatlas/details.php?id=BSGatlas-3'UTR-1567","BSGatlas-3'UTR-1567")</f>
        <v>BSGatlas-3'UTR-1567</v>
      </c>
      <c r="B1568" s="3">
        <v>4068148</v>
      </c>
      <c r="C1568" s="3">
        <v>4068192</v>
      </c>
      <c r="D1568" s="1" t="s">
        <v>9</v>
      </c>
      <c r="E1568" s="3">
        <v>45</v>
      </c>
      <c r="F1568" s="1" t="s">
        <v>13991</v>
      </c>
      <c r="G1568" s="1" t="s">
        <v>11136</v>
      </c>
    </row>
    <row r="1569" spans="1:7" ht="21" x14ac:dyDescent="0.25">
      <c r="A1569" s="2" t="str">
        <f>HYPERLINK("https://rth.dk/resources/bsgatlas/details.php?id=BSGatlas-3'UTR-1568","BSGatlas-3'UTR-1568")</f>
        <v>BSGatlas-3'UTR-1568</v>
      </c>
      <c r="B1569" s="3">
        <v>4068148</v>
      </c>
      <c r="C1569" s="3">
        <v>4069000</v>
      </c>
      <c r="D1569" s="1" t="s">
        <v>9</v>
      </c>
      <c r="E1569" s="3">
        <v>853</v>
      </c>
      <c r="F1569" s="1" t="s">
        <v>13991</v>
      </c>
      <c r="G1569" s="1" t="s">
        <v>11137</v>
      </c>
    </row>
    <row r="1570" spans="1:7" ht="21" x14ac:dyDescent="0.25">
      <c r="A1570" s="2" t="str">
        <f>HYPERLINK("https://rth.dk/resources/bsgatlas/details.php?id=BSGatlas-3'UTR-1569","BSGatlas-3'UTR-1569")</f>
        <v>BSGatlas-3'UTR-1569</v>
      </c>
      <c r="B1570" s="3">
        <v>4071227</v>
      </c>
      <c r="C1570" s="3">
        <v>4071310</v>
      </c>
      <c r="D1570" s="1" t="s">
        <v>13</v>
      </c>
      <c r="E1570" s="3">
        <v>84</v>
      </c>
      <c r="F1570" s="1" t="s">
        <v>14679</v>
      </c>
      <c r="G1570" s="1" t="s">
        <v>11143</v>
      </c>
    </row>
    <row r="1571" spans="1:7" ht="21" x14ac:dyDescent="0.25">
      <c r="A1571" s="2" t="str">
        <f>HYPERLINK("https://rth.dk/resources/bsgatlas/details.php?id=BSGatlas-3'UTR-1570","BSGatlas-3'UTR-1570")</f>
        <v>BSGatlas-3'UTR-1570</v>
      </c>
      <c r="B1571" s="3">
        <v>4073054</v>
      </c>
      <c r="C1571" s="3">
        <v>4073081</v>
      </c>
      <c r="D1571" s="1" t="s">
        <v>13</v>
      </c>
      <c r="E1571" s="3">
        <v>28</v>
      </c>
      <c r="F1571" s="1" t="s">
        <v>14680</v>
      </c>
      <c r="G1571" s="1" t="s">
        <v>11146</v>
      </c>
    </row>
    <row r="1572" spans="1:7" ht="21" x14ac:dyDescent="0.25">
      <c r="A1572" s="2" t="str">
        <f>HYPERLINK("https://rth.dk/resources/bsgatlas/details.php?id=BSGatlas-3'UTR-1571","BSGatlas-3'UTR-1571")</f>
        <v>BSGatlas-3'UTR-1571</v>
      </c>
      <c r="B1572" s="3">
        <v>4086540</v>
      </c>
      <c r="C1572" s="3">
        <v>4086588</v>
      </c>
      <c r="D1572" s="1" t="s">
        <v>9</v>
      </c>
      <c r="E1572" s="3">
        <v>49</v>
      </c>
      <c r="F1572" s="1" t="s">
        <v>13995</v>
      </c>
      <c r="G1572" s="1" t="s">
        <v>11150</v>
      </c>
    </row>
    <row r="1573" spans="1:7" ht="21" x14ac:dyDescent="0.25">
      <c r="A1573" s="2" t="str">
        <f>HYPERLINK("https://rth.dk/resources/bsgatlas/details.php?id=BSGatlas-3'UTR-1572","BSGatlas-3'UTR-1572")</f>
        <v>BSGatlas-3'UTR-1572</v>
      </c>
      <c r="B1573" s="3">
        <v>4087764</v>
      </c>
      <c r="C1573" s="3">
        <v>4087816</v>
      </c>
      <c r="D1573" s="1" t="s">
        <v>9</v>
      </c>
      <c r="E1573" s="3">
        <v>53</v>
      </c>
      <c r="F1573" s="1" t="s">
        <v>14681</v>
      </c>
      <c r="G1573" s="1" t="s">
        <v>11156</v>
      </c>
    </row>
    <row r="1574" spans="1:7" ht="21" x14ac:dyDescent="0.25">
      <c r="A1574" s="2" t="str">
        <f>HYPERLINK("https://rth.dk/resources/bsgatlas/details.php?id=BSGatlas-3'UTR-1573","BSGatlas-3'UTR-1573")</f>
        <v>BSGatlas-3'UTR-1573</v>
      </c>
      <c r="B1574" s="3">
        <v>4089378</v>
      </c>
      <c r="C1574" s="3">
        <v>4089429</v>
      </c>
      <c r="D1574" s="1" t="s">
        <v>13</v>
      </c>
      <c r="E1574" s="3">
        <v>52</v>
      </c>
      <c r="F1574" s="1" t="s">
        <v>13998</v>
      </c>
      <c r="G1574" s="1" t="s">
        <v>11161</v>
      </c>
    </row>
    <row r="1575" spans="1:7" ht="21" x14ac:dyDescent="0.25">
      <c r="A1575" s="2" t="str">
        <f>HYPERLINK("https://rth.dk/resources/bsgatlas/details.php?id=BSGatlas-3'UTR-1574","BSGatlas-3'UTR-1574")</f>
        <v>BSGatlas-3'UTR-1574</v>
      </c>
      <c r="B1575" s="3">
        <v>4089387</v>
      </c>
      <c r="C1575" s="3">
        <v>4089434</v>
      </c>
      <c r="D1575" s="1" t="s">
        <v>9</v>
      </c>
      <c r="E1575" s="3">
        <v>48</v>
      </c>
      <c r="F1575" s="1" t="s">
        <v>13997</v>
      </c>
      <c r="G1575" s="1" t="s">
        <v>11158</v>
      </c>
    </row>
    <row r="1576" spans="1:7" ht="21" x14ac:dyDescent="0.25">
      <c r="A1576" s="2" t="str">
        <f>HYPERLINK("https://rth.dk/resources/bsgatlas/details.php?id=BSGatlas-3'UTR-1575","BSGatlas-3'UTR-1575")</f>
        <v>BSGatlas-3'UTR-1575</v>
      </c>
      <c r="B1576" s="3">
        <v>4089387</v>
      </c>
      <c r="C1576" s="3">
        <v>4090001</v>
      </c>
      <c r="D1576" s="1" t="s">
        <v>9</v>
      </c>
      <c r="E1576" s="3">
        <v>615</v>
      </c>
      <c r="F1576" s="1" t="s">
        <v>13997</v>
      </c>
      <c r="G1576" s="1" t="s">
        <v>11159</v>
      </c>
    </row>
    <row r="1577" spans="1:7" ht="21" x14ac:dyDescent="0.25">
      <c r="A1577" s="2" t="str">
        <f>HYPERLINK("https://rth.dk/resources/bsgatlas/details.php?id=BSGatlas-3'UTR-1576","BSGatlas-3'UTR-1576")</f>
        <v>BSGatlas-3'UTR-1576</v>
      </c>
      <c r="B1577" s="3">
        <v>4092649</v>
      </c>
      <c r="C1577" s="3">
        <v>4092695</v>
      </c>
      <c r="D1577" s="1" t="s">
        <v>13</v>
      </c>
      <c r="E1577" s="3">
        <v>47</v>
      </c>
      <c r="F1577" s="1" t="s">
        <v>14001</v>
      </c>
      <c r="G1577" s="1" t="s">
        <v>11168</v>
      </c>
    </row>
    <row r="1578" spans="1:7" ht="21" x14ac:dyDescent="0.25">
      <c r="A1578" s="2" t="str">
        <f>HYPERLINK("https://rth.dk/resources/bsgatlas/details.php?id=BSGatlas-3'UTR-1577","BSGatlas-3'UTR-1577")</f>
        <v>BSGatlas-3'UTR-1577</v>
      </c>
      <c r="B1578" s="3">
        <v>4092666</v>
      </c>
      <c r="C1578" s="3">
        <v>4092699</v>
      </c>
      <c r="D1578" s="1" t="s">
        <v>9</v>
      </c>
      <c r="E1578" s="3">
        <v>34</v>
      </c>
      <c r="F1578" s="1" t="s">
        <v>14000</v>
      </c>
      <c r="G1578" s="1" t="s">
        <v>11166</v>
      </c>
    </row>
    <row r="1579" spans="1:7" ht="21" x14ac:dyDescent="0.25">
      <c r="A1579" s="2" t="str">
        <f>HYPERLINK("https://rth.dk/resources/bsgatlas/details.php?id=BSGatlas-3'UTR-1578","BSGatlas-3'UTR-1578")</f>
        <v>BSGatlas-3'UTR-1578</v>
      </c>
      <c r="B1579" s="3">
        <v>4094689</v>
      </c>
      <c r="C1579" s="3">
        <v>4095356</v>
      </c>
      <c r="D1579" s="1" t="s">
        <v>13</v>
      </c>
      <c r="E1579" s="3">
        <v>668</v>
      </c>
      <c r="F1579" s="1" t="s">
        <v>14682</v>
      </c>
      <c r="G1579" s="1" t="s">
        <v>11173</v>
      </c>
    </row>
    <row r="1580" spans="1:7" ht="21" x14ac:dyDescent="0.25">
      <c r="A1580" s="2" t="str">
        <f>HYPERLINK("https://rth.dk/resources/bsgatlas/details.php?id=BSGatlas-3'UTR-1579","BSGatlas-3'UTR-1579")</f>
        <v>BSGatlas-3'UTR-1579</v>
      </c>
      <c r="B1580" s="3">
        <v>4095317</v>
      </c>
      <c r="C1580" s="3">
        <v>4095356</v>
      </c>
      <c r="D1580" s="1" t="s">
        <v>13</v>
      </c>
      <c r="E1580" s="3">
        <v>40</v>
      </c>
      <c r="F1580" s="1" t="s">
        <v>14682</v>
      </c>
      <c r="G1580" s="1" t="s">
        <v>11175</v>
      </c>
    </row>
    <row r="1581" spans="1:7" ht="21" x14ac:dyDescent="0.25">
      <c r="A1581" s="2" t="str">
        <f>HYPERLINK("https://rth.dk/resources/bsgatlas/details.php?id=BSGatlas-3'UTR-1580","BSGatlas-3'UTR-1580")</f>
        <v>BSGatlas-3'UTR-1580</v>
      </c>
      <c r="B1581" s="3">
        <v>4095317</v>
      </c>
      <c r="C1581" s="3">
        <v>4095368</v>
      </c>
      <c r="D1581" s="1" t="s">
        <v>9</v>
      </c>
      <c r="E1581" s="3">
        <v>52</v>
      </c>
      <c r="F1581" s="1" t="s">
        <v>14683</v>
      </c>
      <c r="G1581" s="1" t="s">
        <v>11169</v>
      </c>
    </row>
    <row r="1582" spans="1:7" ht="21" x14ac:dyDescent="0.25">
      <c r="A1582" s="2" t="str">
        <f>HYPERLINK("https://rth.dk/resources/bsgatlas/details.php?id=BSGatlas-3'UTR-1581","BSGatlas-3'UTR-1581")</f>
        <v>BSGatlas-3'UTR-1581</v>
      </c>
      <c r="B1582" s="3">
        <v>4095317</v>
      </c>
      <c r="C1582" s="3">
        <v>4096919</v>
      </c>
      <c r="D1582" s="1" t="s">
        <v>9</v>
      </c>
      <c r="E1582" s="3">
        <v>1603</v>
      </c>
      <c r="F1582" s="1" t="s">
        <v>14683</v>
      </c>
      <c r="G1582" s="1" t="s">
        <v>11170</v>
      </c>
    </row>
    <row r="1583" spans="1:7" ht="21" x14ac:dyDescent="0.25">
      <c r="A1583" s="2" t="str">
        <f>HYPERLINK("https://rth.dk/resources/bsgatlas/details.php?id=BSGatlas-3'UTR-1582","BSGatlas-3'UTR-1582")</f>
        <v>BSGatlas-3'UTR-1582</v>
      </c>
      <c r="B1583" s="3">
        <v>4102365</v>
      </c>
      <c r="C1583" s="3">
        <v>4102433</v>
      </c>
      <c r="D1583" s="1" t="s">
        <v>9</v>
      </c>
      <c r="E1583" s="3">
        <v>69</v>
      </c>
      <c r="F1583" s="1" t="s">
        <v>14684</v>
      </c>
      <c r="G1583" s="1" t="s">
        <v>11181</v>
      </c>
    </row>
    <row r="1584" spans="1:7" ht="21" x14ac:dyDescent="0.25">
      <c r="A1584" s="2" t="str">
        <f>HYPERLINK("https://rth.dk/resources/bsgatlas/details.php?id=BSGatlas-3'UTR-1583","BSGatlas-3'UTR-1583")</f>
        <v>BSGatlas-3'UTR-1583</v>
      </c>
      <c r="B1584" s="3">
        <v>4102407</v>
      </c>
      <c r="C1584" s="3">
        <v>4102429</v>
      </c>
      <c r="D1584" s="1" t="s">
        <v>13</v>
      </c>
      <c r="E1584" s="3">
        <v>23</v>
      </c>
      <c r="F1584" s="1" t="s">
        <v>14003</v>
      </c>
      <c r="G1584" s="1" t="s">
        <v>11183</v>
      </c>
    </row>
    <row r="1585" spans="1:7" ht="21" x14ac:dyDescent="0.25">
      <c r="A1585" s="2" t="str">
        <f>HYPERLINK("https://rth.dk/resources/bsgatlas/details.php?id=BSGatlas-3'UTR-1584","BSGatlas-3'UTR-1584")</f>
        <v>BSGatlas-3'UTR-1584</v>
      </c>
      <c r="B1585" s="3">
        <v>4104894</v>
      </c>
      <c r="C1585" s="3">
        <v>4104929</v>
      </c>
      <c r="D1585" s="1" t="s">
        <v>13</v>
      </c>
      <c r="E1585" s="3">
        <v>36</v>
      </c>
      <c r="F1585" s="1" t="s">
        <v>14685</v>
      </c>
      <c r="G1585" s="1" t="s">
        <v>11192</v>
      </c>
    </row>
    <row r="1586" spans="1:7" ht="21" x14ac:dyDescent="0.25">
      <c r="A1586" s="2" t="str">
        <f>HYPERLINK("https://rth.dk/resources/bsgatlas/details.php?id=BSGatlas-3'UTR-1585","BSGatlas-3'UTR-1585")</f>
        <v>BSGatlas-3'UTR-1585</v>
      </c>
      <c r="B1586" s="3">
        <v>4104899</v>
      </c>
      <c r="C1586" s="3">
        <v>4104949</v>
      </c>
      <c r="D1586" s="1" t="s">
        <v>9</v>
      </c>
      <c r="E1586" s="3">
        <v>51</v>
      </c>
      <c r="F1586" s="1" t="s">
        <v>14005</v>
      </c>
      <c r="G1586" s="1" t="s">
        <v>11188</v>
      </c>
    </row>
    <row r="1587" spans="1:7" ht="21" x14ac:dyDescent="0.25">
      <c r="A1587" s="2" t="str">
        <f>HYPERLINK("https://rth.dk/resources/bsgatlas/details.php?id=BSGatlas-3'UTR-1586","BSGatlas-3'UTR-1586")</f>
        <v>BSGatlas-3'UTR-1586</v>
      </c>
      <c r="B1587" s="3">
        <v>4104899</v>
      </c>
      <c r="C1587" s="3">
        <v>4105546</v>
      </c>
      <c r="D1587" s="1" t="s">
        <v>9</v>
      </c>
      <c r="E1587" s="3">
        <v>648</v>
      </c>
      <c r="F1587" s="1" t="s">
        <v>14005</v>
      </c>
      <c r="G1587" s="1" t="s">
        <v>11189</v>
      </c>
    </row>
    <row r="1588" spans="1:7" ht="21" x14ac:dyDescent="0.25">
      <c r="A1588" s="2" t="str">
        <f>HYPERLINK("https://rth.dk/resources/bsgatlas/details.php?id=BSGatlas-3'UTR-1587","BSGatlas-3'UTR-1587")</f>
        <v>BSGatlas-3'UTR-1587</v>
      </c>
      <c r="B1588" s="3">
        <v>4109128</v>
      </c>
      <c r="C1588" s="3">
        <v>4109188</v>
      </c>
      <c r="D1588" s="1" t="s">
        <v>9</v>
      </c>
      <c r="E1588" s="3">
        <v>61</v>
      </c>
      <c r="F1588" s="1" t="s">
        <v>14008</v>
      </c>
      <c r="G1588" s="1" t="s">
        <v>11196</v>
      </c>
    </row>
    <row r="1589" spans="1:7" ht="21" x14ac:dyDescent="0.25">
      <c r="A1589" s="2" t="str">
        <f>HYPERLINK("https://rth.dk/resources/bsgatlas/details.php?id=BSGatlas-3'UTR-1588","BSGatlas-3'UTR-1588")</f>
        <v>BSGatlas-3'UTR-1588</v>
      </c>
      <c r="B1589" s="3">
        <v>4109133</v>
      </c>
      <c r="C1589" s="3">
        <v>4109185</v>
      </c>
      <c r="D1589" s="1" t="s">
        <v>13</v>
      </c>
      <c r="E1589" s="3">
        <v>53</v>
      </c>
      <c r="F1589" s="1" t="s">
        <v>14009</v>
      </c>
      <c r="G1589" s="1" t="s">
        <v>11198</v>
      </c>
    </row>
    <row r="1590" spans="1:7" ht="21" x14ac:dyDescent="0.25">
      <c r="A1590" s="2" t="str">
        <f>HYPERLINK("https://rth.dk/resources/bsgatlas/details.php?id=BSGatlas-3'UTR-1589","BSGatlas-3'UTR-1589")</f>
        <v>BSGatlas-3'UTR-1589</v>
      </c>
      <c r="B1590" s="3">
        <v>4109831</v>
      </c>
      <c r="C1590" s="3">
        <v>4110949</v>
      </c>
      <c r="D1590" s="1" t="s">
        <v>13</v>
      </c>
      <c r="E1590" s="3">
        <v>1119</v>
      </c>
      <c r="F1590" s="1" t="s">
        <v>14012</v>
      </c>
      <c r="G1590" s="1" t="s">
        <v>11203</v>
      </c>
    </row>
    <row r="1591" spans="1:7" ht="21" x14ac:dyDescent="0.25">
      <c r="A1591" s="2" t="str">
        <f>HYPERLINK("https://rth.dk/resources/bsgatlas/details.php?id=BSGatlas-3'UTR-1590","BSGatlas-3'UTR-1590")</f>
        <v>BSGatlas-3'UTR-1590</v>
      </c>
      <c r="B1591" s="3">
        <v>4110903</v>
      </c>
      <c r="C1591" s="3">
        <v>4110949</v>
      </c>
      <c r="D1591" s="1" t="s">
        <v>13</v>
      </c>
      <c r="E1591" s="3">
        <v>47</v>
      </c>
      <c r="F1591" s="1" t="s">
        <v>14012</v>
      </c>
      <c r="G1591" s="1" t="s">
        <v>11206</v>
      </c>
    </row>
    <row r="1592" spans="1:7" ht="21" x14ac:dyDescent="0.25">
      <c r="A1592" s="2" t="str">
        <f>HYPERLINK("https://rth.dk/resources/bsgatlas/details.php?id=BSGatlas-3'UTR-1591","BSGatlas-3'UTR-1591")</f>
        <v>BSGatlas-3'UTR-1591</v>
      </c>
      <c r="B1592" s="3">
        <v>4110909</v>
      </c>
      <c r="C1592" s="3">
        <v>4110955</v>
      </c>
      <c r="D1592" s="1" t="s">
        <v>9</v>
      </c>
      <c r="E1592" s="3">
        <v>47</v>
      </c>
      <c r="F1592" s="1" t="s">
        <v>14686</v>
      </c>
      <c r="G1592" s="1" t="s">
        <v>11201</v>
      </c>
    </row>
    <row r="1593" spans="1:7" ht="21" x14ac:dyDescent="0.25">
      <c r="A1593" s="2" t="str">
        <f>HYPERLINK("https://rth.dk/resources/bsgatlas/details.php?id=BSGatlas-3'UTR-1592","BSGatlas-3'UTR-1592")</f>
        <v>BSGatlas-3'UTR-1592</v>
      </c>
      <c r="B1593" s="3">
        <v>4118486</v>
      </c>
      <c r="C1593" s="3">
        <v>4118539</v>
      </c>
      <c r="D1593" s="1" t="s">
        <v>9</v>
      </c>
      <c r="E1593" s="3">
        <v>54</v>
      </c>
      <c r="F1593" s="1" t="s">
        <v>14014</v>
      </c>
      <c r="G1593" s="1" t="s">
        <v>11209</v>
      </c>
    </row>
    <row r="1594" spans="1:7" ht="21" x14ac:dyDescent="0.25">
      <c r="A1594" s="2" t="str">
        <f>HYPERLINK("https://rth.dk/resources/bsgatlas/details.php?id=BSGatlas-3'UTR-1593","BSGatlas-3'UTR-1593")</f>
        <v>BSGatlas-3'UTR-1593</v>
      </c>
      <c r="B1594" s="3">
        <v>4120861</v>
      </c>
      <c r="C1594" s="3">
        <v>4121166</v>
      </c>
      <c r="D1594" s="1" t="s">
        <v>13</v>
      </c>
      <c r="E1594" s="3">
        <v>306</v>
      </c>
      <c r="F1594" s="1" t="s">
        <v>14687</v>
      </c>
      <c r="G1594" s="1" t="s">
        <v>11220</v>
      </c>
    </row>
    <row r="1595" spans="1:7" ht="21" x14ac:dyDescent="0.25">
      <c r="A1595" s="2" t="str">
        <f>HYPERLINK("https://rth.dk/resources/bsgatlas/details.php?id=BSGatlas-3'UTR-1594","BSGatlas-3'UTR-1594")</f>
        <v>BSGatlas-3'UTR-1594</v>
      </c>
      <c r="B1595" s="3">
        <v>4121056</v>
      </c>
      <c r="C1595" s="3">
        <v>4121113</v>
      </c>
      <c r="D1595" s="1" t="s">
        <v>9</v>
      </c>
      <c r="E1595" s="3">
        <v>58</v>
      </c>
      <c r="F1595" s="1" t="s">
        <v>14688</v>
      </c>
      <c r="G1595" s="1" t="s">
        <v>11216</v>
      </c>
    </row>
    <row r="1596" spans="1:7" ht="21" x14ac:dyDescent="0.25">
      <c r="A1596" s="2" t="str">
        <f>HYPERLINK("https://rth.dk/resources/bsgatlas/details.php?id=BSGatlas-3'UTR-1595","BSGatlas-3'UTR-1595")</f>
        <v>BSGatlas-3'UTR-1595</v>
      </c>
      <c r="B1596" s="3">
        <v>4121108</v>
      </c>
      <c r="C1596" s="3">
        <v>4121166</v>
      </c>
      <c r="D1596" s="1" t="s">
        <v>13</v>
      </c>
      <c r="E1596" s="3">
        <v>59</v>
      </c>
      <c r="F1596" s="1" t="s">
        <v>14687</v>
      </c>
      <c r="G1596" s="1" t="s">
        <v>11221</v>
      </c>
    </row>
    <row r="1597" spans="1:7" ht="21" x14ac:dyDescent="0.25">
      <c r="A1597" s="2" t="str">
        <f>HYPERLINK("https://rth.dk/resources/bsgatlas/details.php?id=BSGatlas-3'UTR-1596","BSGatlas-3'UTR-1596")</f>
        <v>BSGatlas-3'UTR-1596</v>
      </c>
      <c r="B1597" s="3">
        <v>4124089</v>
      </c>
      <c r="C1597" s="3">
        <v>4124188</v>
      </c>
      <c r="D1597" s="1" t="s">
        <v>9</v>
      </c>
      <c r="E1597" s="3">
        <v>100</v>
      </c>
      <c r="F1597" s="1" t="s">
        <v>14689</v>
      </c>
      <c r="G1597" s="1" t="s">
        <v>11226</v>
      </c>
    </row>
    <row r="1598" spans="1:7" ht="21" x14ac:dyDescent="0.25">
      <c r="A1598" s="2" t="str">
        <f>HYPERLINK("https://rth.dk/resources/bsgatlas/details.php?id=BSGatlas-3'UTR-1597","BSGatlas-3'UTR-1597")</f>
        <v>BSGatlas-3'UTR-1597</v>
      </c>
      <c r="B1598" s="3">
        <v>4124176</v>
      </c>
      <c r="C1598" s="3">
        <v>4124220</v>
      </c>
      <c r="D1598" s="1" t="s">
        <v>13</v>
      </c>
      <c r="E1598" s="3">
        <v>45</v>
      </c>
      <c r="F1598" s="1" t="s">
        <v>14690</v>
      </c>
      <c r="G1598" s="1" t="s">
        <v>11229</v>
      </c>
    </row>
    <row r="1599" spans="1:7" ht="21" x14ac:dyDescent="0.25">
      <c r="A1599" s="2" t="str">
        <f>HYPERLINK("https://rth.dk/resources/bsgatlas/details.php?id=BSGatlas-3'UTR-1598","BSGatlas-3'UTR-1598")</f>
        <v>BSGatlas-3'UTR-1598</v>
      </c>
      <c r="B1599" s="3">
        <v>4127483</v>
      </c>
      <c r="C1599" s="3">
        <v>4127498</v>
      </c>
      <c r="D1599" s="1" t="s">
        <v>13</v>
      </c>
      <c r="E1599" s="3">
        <v>16</v>
      </c>
      <c r="F1599" s="1" t="s">
        <v>14018</v>
      </c>
      <c r="G1599" s="1" t="s">
        <v>11232</v>
      </c>
    </row>
    <row r="1600" spans="1:7" ht="21" x14ac:dyDescent="0.25">
      <c r="A1600" s="2" t="str">
        <f>HYPERLINK("https://rth.dk/resources/bsgatlas/details.php?id=BSGatlas-3'UTR-1599","BSGatlas-3'UTR-1599")</f>
        <v>BSGatlas-3'UTR-1599</v>
      </c>
      <c r="B1600" s="3">
        <v>4130044</v>
      </c>
      <c r="C1600" s="3">
        <v>4130392</v>
      </c>
      <c r="D1600" s="1" t="s">
        <v>9</v>
      </c>
      <c r="E1600" s="3">
        <v>349</v>
      </c>
      <c r="F1600" s="1" t="s">
        <v>14017</v>
      </c>
      <c r="G1600" s="1" t="s">
        <v>11234</v>
      </c>
    </row>
    <row r="1601" spans="1:7" ht="21" x14ac:dyDescent="0.25">
      <c r="A1601" s="2" t="str">
        <f>HYPERLINK("https://rth.dk/resources/bsgatlas/details.php?id=BSGatlas-3'UTR-1600","BSGatlas-3'UTR-1600")</f>
        <v>BSGatlas-3'UTR-1600</v>
      </c>
      <c r="B1601" s="3">
        <v>4130044</v>
      </c>
      <c r="C1601" s="3">
        <v>4131442</v>
      </c>
      <c r="D1601" s="1" t="s">
        <v>9</v>
      </c>
      <c r="E1601" s="3">
        <v>1399</v>
      </c>
      <c r="F1601" s="1" t="s">
        <v>14017</v>
      </c>
      <c r="G1601" s="1" t="s">
        <v>11235</v>
      </c>
    </row>
    <row r="1602" spans="1:7" ht="21" x14ac:dyDescent="0.25">
      <c r="A1602" s="2" t="str">
        <f>HYPERLINK("https://rth.dk/resources/bsgatlas/details.php?id=BSGatlas-3'UTR-1601","BSGatlas-3'UTR-1601")</f>
        <v>BSGatlas-3'UTR-1601</v>
      </c>
      <c r="B1602" s="3">
        <v>4130224</v>
      </c>
      <c r="C1602" s="3">
        <v>4130578</v>
      </c>
      <c r="D1602" s="1" t="s">
        <v>13</v>
      </c>
      <c r="E1602" s="3">
        <v>355</v>
      </c>
      <c r="F1602" s="1" t="s">
        <v>14691</v>
      </c>
      <c r="G1602" s="1" t="s">
        <v>11240</v>
      </c>
    </row>
    <row r="1603" spans="1:7" ht="21" x14ac:dyDescent="0.25">
      <c r="A1603" s="2" t="str">
        <f>HYPERLINK("https://rth.dk/resources/bsgatlas/details.php?id=BSGatlas-3'UTR-1602","BSGatlas-3'UTR-1602")</f>
        <v>BSGatlas-3'UTR-1602</v>
      </c>
      <c r="B1603" s="3">
        <v>4135751</v>
      </c>
      <c r="C1603" s="3">
        <v>4135798</v>
      </c>
      <c r="D1603" s="1" t="s">
        <v>13</v>
      </c>
      <c r="E1603" s="3">
        <v>48</v>
      </c>
      <c r="F1603" s="1" t="s">
        <v>14021</v>
      </c>
      <c r="G1603" s="1" t="s">
        <v>11246</v>
      </c>
    </row>
    <row r="1604" spans="1:7" ht="21" x14ac:dyDescent="0.25">
      <c r="A1604" s="2" t="str">
        <f>HYPERLINK("https://rth.dk/resources/bsgatlas/details.php?id=BSGatlas-3'UTR-1603","BSGatlas-3'UTR-1603")</f>
        <v>BSGatlas-3'UTR-1603</v>
      </c>
      <c r="B1604" s="3">
        <v>4135764</v>
      </c>
      <c r="C1604" s="3">
        <v>4135804</v>
      </c>
      <c r="D1604" s="1" t="s">
        <v>9</v>
      </c>
      <c r="E1604" s="3">
        <v>41</v>
      </c>
      <c r="F1604" s="1" t="s">
        <v>14020</v>
      </c>
      <c r="G1604" s="1" t="s">
        <v>11244</v>
      </c>
    </row>
    <row r="1605" spans="1:7" ht="21" x14ac:dyDescent="0.25">
      <c r="A1605" s="2" t="str">
        <f>HYPERLINK("https://rth.dk/resources/bsgatlas/details.php?id=BSGatlas-3'UTR-1604","BSGatlas-3'UTR-1604")</f>
        <v>BSGatlas-3'UTR-1604</v>
      </c>
      <c r="B1605" s="3">
        <v>4137314</v>
      </c>
      <c r="C1605" s="3">
        <v>4137362</v>
      </c>
      <c r="D1605" s="1" t="s">
        <v>13</v>
      </c>
      <c r="E1605" s="3">
        <v>49</v>
      </c>
      <c r="F1605" s="1" t="s">
        <v>14023</v>
      </c>
      <c r="G1605" s="1" t="s">
        <v>11249</v>
      </c>
    </row>
    <row r="1606" spans="1:7" ht="21" x14ac:dyDescent="0.25">
      <c r="A1606" s="2" t="str">
        <f>HYPERLINK("https://rth.dk/resources/bsgatlas/details.php?id=BSGatlas-3'UTR-1605","BSGatlas-3'UTR-1605")</f>
        <v>BSGatlas-3'UTR-1605</v>
      </c>
      <c r="B1606" s="3">
        <v>4139642</v>
      </c>
      <c r="C1606" s="3">
        <v>4139679</v>
      </c>
      <c r="D1606" s="1" t="s">
        <v>13</v>
      </c>
      <c r="E1606" s="3">
        <v>38</v>
      </c>
      <c r="F1606" s="1" t="s">
        <v>14025</v>
      </c>
      <c r="G1606" s="1" t="s">
        <v>11253</v>
      </c>
    </row>
    <row r="1607" spans="1:7" ht="21" x14ac:dyDescent="0.25">
      <c r="A1607" s="2" t="str">
        <f>HYPERLINK("https://rth.dk/resources/bsgatlas/details.php?id=BSGatlas-3'UTR-1606","BSGatlas-3'UTR-1606")</f>
        <v>BSGatlas-3'UTR-1606</v>
      </c>
      <c r="B1607" s="3">
        <v>4141474</v>
      </c>
      <c r="C1607" s="3">
        <v>4141560</v>
      </c>
      <c r="D1607" s="1" t="s">
        <v>9</v>
      </c>
      <c r="E1607" s="3">
        <v>87</v>
      </c>
      <c r="F1607" s="1" t="s">
        <v>14027</v>
      </c>
      <c r="G1607" s="1" t="s">
        <v>11258</v>
      </c>
    </row>
    <row r="1608" spans="1:7" ht="21" x14ac:dyDescent="0.25">
      <c r="A1608" s="2" t="str">
        <f>HYPERLINK("https://rth.dk/resources/bsgatlas/details.php?id=BSGatlas-3'UTR-1607","BSGatlas-3'UTR-1607")</f>
        <v>BSGatlas-3'UTR-1607</v>
      </c>
      <c r="B1608" s="3">
        <v>4141686</v>
      </c>
      <c r="C1608" s="3">
        <v>4141711</v>
      </c>
      <c r="D1608" s="1" t="s">
        <v>13</v>
      </c>
      <c r="E1608" s="3">
        <v>26</v>
      </c>
      <c r="F1608" s="1" t="s">
        <v>14692</v>
      </c>
      <c r="G1608" s="1" t="s">
        <v>11262</v>
      </c>
    </row>
    <row r="1609" spans="1:7" ht="21" x14ac:dyDescent="0.25">
      <c r="A1609" s="2" t="str">
        <f>HYPERLINK("https://rth.dk/resources/bsgatlas/details.php?id=BSGatlas-3'UTR-1608","BSGatlas-3'UTR-1608")</f>
        <v>BSGatlas-3'UTR-1608</v>
      </c>
      <c r="B1609" s="3">
        <v>4147132</v>
      </c>
      <c r="C1609" s="3">
        <v>4147532</v>
      </c>
      <c r="D1609" s="1" t="s">
        <v>9</v>
      </c>
      <c r="E1609" s="3">
        <v>401</v>
      </c>
      <c r="F1609" s="1" t="s">
        <v>14029</v>
      </c>
      <c r="G1609" s="1" t="s">
        <v>11265</v>
      </c>
    </row>
    <row r="1610" spans="1:7" ht="21" x14ac:dyDescent="0.25">
      <c r="A1610" s="2" t="str">
        <f>HYPERLINK("https://rth.dk/resources/bsgatlas/details.php?id=BSGatlas-3'UTR-1609","BSGatlas-3'UTR-1609")</f>
        <v>BSGatlas-3'UTR-1609</v>
      </c>
      <c r="B1610" s="3">
        <v>4147522</v>
      </c>
      <c r="C1610" s="3">
        <v>4147567</v>
      </c>
      <c r="D1610" s="1" t="s">
        <v>13</v>
      </c>
      <c r="E1610" s="3">
        <v>46</v>
      </c>
      <c r="F1610" s="1" t="s">
        <v>14030</v>
      </c>
      <c r="G1610" s="1" t="s">
        <v>11267</v>
      </c>
    </row>
    <row r="1611" spans="1:7" ht="21" x14ac:dyDescent="0.25">
      <c r="A1611" s="2" t="str">
        <f>HYPERLINK("https://rth.dk/resources/bsgatlas/details.php?id=BSGatlas-3'UTR-1610","BSGatlas-3'UTR-1610")</f>
        <v>BSGatlas-3'UTR-1610</v>
      </c>
      <c r="B1611" s="3">
        <v>4154764</v>
      </c>
      <c r="C1611" s="3">
        <v>4154786</v>
      </c>
      <c r="D1611" s="1" t="s">
        <v>13</v>
      </c>
      <c r="E1611" s="3">
        <v>23</v>
      </c>
      <c r="F1611" s="1" t="s">
        <v>14693</v>
      </c>
      <c r="G1611" s="1" t="s">
        <v>11272</v>
      </c>
    </row>
    <row r="1612" spans="1:7" ht="21" x14ac:dyDescent="0.25">
      <c r="A1612" s="2" t="str">
        <f>HYPERLINK("https://rth.dk/resources/bsgatlas/details.php?id=BSGatlas-3'UTR-1611","BSGatlas-3'UTR-1611")</f>
        <v>BSGatlas-3'UTR-1611</v>
      </c>
      <c r="B1612" s="3">
        <v>4155395</v>
      </c>
      <c r="C1612" s="3">
        <v>4155433</v>
      </c>
      <c r="D1612" s="1" t="s">
        <v>13</v>
      </c>
      <c r="E1612" s="3">
        <v>39</v>
      </c>
      <c r="F1612" s="1" t="s">
        <v>14033</v>
      </c>
      <c r="G1612" s="1" t="s">
        <v>11276</v>
      </c>
    </row>
    <row r="1613" spans="1:7" ht="21" x14ac:dyDescent="0.25">
      <c r="A1613" s="2" t="str">
        <f>HYPERLINK("https://rth.dk/resources/bsgatlas/details.php?id=BSGatlas-3'UTR-1612","BSGatlas-3'UTR-1612")</f>
        <v>BSGatlas-3'UTR-1612</v>
      </c>
      <c r="B1613" s="3">
        <v>4157434</v>
      </c>
      <c r="C1613" s="3">
        <v>4157471</v>
      </c>
      <c r="D1613" s="1" t="s">
        <v>13</v>
      </c>
      <c r="E1613" s="3">
        <v>38</v>
      </c>
      <c r="F1613" s="1" t="s">
        <v>14034</v>
      </c>
      <c r="G1613" s="1" t="s">
        <v>11281</v>
      </c>
    </row>
    <row r="1614" spans="1:7" ht="21" x14ac:dyDescent="0.25">
      <c r="A1614" s="2" t="str">
        <f>HYPERLINK("https://rth.dk/resources/bsgatlas/details.php?id=BSGatlas-3'UTR-1613","BSGatlas-3'UTR-1613")</f>
        <v>BSGatlas-3'UTR-1613</v>
      </c>
      <c r="B1614" s="3">
        <v>4159205</v>
      </c>
      <c r="C1614" s="3">
        <v>4159248</v>
      </c>
      <c r="D1614" s="1" t="s">
        <v>9</v>
      </c>
      <c r="E1614" s="3">
        <v>44</v>
      </c>
      <c r="F1614" s="1" t="s">
        <v>14035</v>
      </c>
      <c r="G1614" s="1" t="s">
        <v>11284</v>
      </c>
    </row>
    <row r="1615" spans="1:7" ht="21" x14ac:dyDescent="0.25">
      <c r="A1615" s="2" t="str">
        <f>HYPERLINK("https://rth.dk/resources/bsgatlas/details.php?id=BSGatlas-3'UTR-1614","BSGatlas-3'UTR-1614")</f>
        <v>BSGatlas-3'UTR-1614</v>
      </c>
      <c r="B1615" s="3">
        <v>4160998</v>
      </c>
      <c r="C1615" s="3">
        <v>4161033</v>
      </c>
      <c r="D1615" s="1" t="s">
        <v>9</v>
      </c>
      <c r="E1615" s="3">
        <v>36</v>
      </c>
      <c r="F1615" s="1" t="s">
        <v>14694</v>
      </c>
      <c r="G1615" s="1" t="s">
        <v>11288</v>
      </c>
    </row>
    <row r="1616" spans="1:7" ht="21" x14ac:dyDescent="0.25">
      <c r="A1616" s="2" t="str">
        <f>HYPERLINK("https://rth.dk/resources/bsgatlas/details.php?id=BSGatlas-3'UTR-1615","BSGatlas-3'UTR-1615")</f>
        <v>BSGatlas-3'UTR-1615</v>
      </c>
      <c r="B1616" s="3">
        <v>4163151</v>
      </c>
      <c r="C1616" s="3">
        <v>4163197</v>
      </c>
      <c r="D1616" s="1" t="s">
        <v>13</v>
      </c>
      <c r="E1616" s="3">
        <v>47</v>
      </c>
      <c r="F1616" s="1" t="s">
        <v>14038</v>
      </c>
      <c r="G1616" s="1" t="s">
        <v>11292</v>
      </c>
    </row>
    <row r="1617" spans="1:7" ht="21" x14ac:dyDescent="0.25">
      <c r="A1617" s="2" t="str">
        <f>HYPERLINK("https://rth.dk/resources/bsgatlas/details.php?id=BSGatlas-3'UTR-1616","BSGatlas-3'UTR-1616")</f>
        <v>BSGatlas-3'UTR-1616</v>
      </c>
      <c r="B1617" s="3">
        <v>4167583</v>
      </c>
      <c r="C1617" s="3">
        <v>4167622</v>
      </c>
      <c r="D1617" s="1" t="s">
        <v>13</v>
      </c>
      <c r="E1617" s="3">
        <v>40</v>
      </c>
      <c r="F1617" s="1" t="s">
        <v>14042</v>
      </c>
      <c r="G1617" s="1" t="s">
        <v>11302</v>
      </c>
    </row>
    <row r="1618" spans="1:7" ht="21" x14ac:dyDescent="0.25">
      <c r="A1618" s="2" t="str">
        <f>HYPERLINK("https://rth.dk/resources/bsgatlas/details.php?id=BSGatlas-3'UTR-1617","BSGatlas-3'UTR-1617")</f>
        <v>BSGatlas-3'UTR-1617</v>
      </c>
      <c r="B1618" s="3">
        <v>4167592</v>
      </c>
      <c r="C1618" s="3">
        <v>4167639</v>
      </c>
      <c r="D1618" s="1" t="s">
        <v>9</v>
      </c>
      <c r="E1618" s="3">
        <v>48</v>
      </c>
      <c r="F1618" s="1" t="s">
        <v>14041</v>
      </c>
      <c r="G1618" s="1" t="s">
        <v>11300</v>
      </c>
    </row>
    <row r="1619" spans="1:7" ht="21" x14ac:dyDescent="0.25">
      <c r="A1619" s="2" t="str">
        <f>HYPERLINK("https://rth.dk/resources/bsgatlas/details.php?id=BSGatlas-3'UTR-1618","BSGatlas-3'UTR-1618")</f>
        <v>BSGatlas-3'UTR-1618</v>
      </c>
      <c r="B1619" s="3">
        <v>4169126</v>
      </c>
      <c r="C1619" s="3">
        <v>4169166</v>
      </c>
      <c r="D1619" s="1" t="s">
        <v>13</v>
      </c>
      <c r="E1619" s="3">
        <v>41</v>
      </c>
      <c r="F1619" s="1" t="s">
        <v>14044</v>
      </c>
      <c r="G1619" s="1" t="s">
        <v>11307</v>
      </c>
    </row>
    <row r="1620" spans="1:7" ht="21" x14ac:dyDescent="0.25">
      <c r="A1620" s="2" t="str">
        <f>HYPERLINK("https://rth.dk/resources/bsgatlas/details.php?id=BSGatlas-3'UTR-1619","BSGatlas-3'UTR-1619")</f>
        <v>BSGatlas-3'UTR-1619</v>
      </c>
      <c r="B1620" s="3">
        <v>4169133</v>
      </c>
      <c r="C1620" s="3">
        <v>4169174</v>
      </c>
      <c r="D1620" s="1" t="s">
        <v>9</v>
      </c>
      <c r="E1620" s="3">
        <v>42</v>
      </c>
      <c r="F1620" s="1" t="s">
        <v>14043</v>
      </c>
      <c r="G1620" s="1" t="s">
        <v>11305</v>
      </c>
    </row>
    <row r="1621" spans="1:7" ht="21" x14ac:dyDescent="0.25">
      <c r="A1621" s="2" t="str">
        <f>HYPERLINK("https://rth.dk/resources/bsgatlas/details.php?id=BSGatlas-3'UTR-1620","BSGatlas-3'UTR-1620")</f>
        <v>BSGatlas-3'UTR-1620</v>
      </c>
      <c r="B1621" s="3">
        <v>4171131</v>
      </c>
      <c r="C1621" s="3">
        <v>4171396</v>
      </c>
      <c r="D1621" s="1" t="s">
        <v>13</v>
      </c>
      <c r="E1621" s="3">
        <v>266</v>
      </c>
      <c r="F1621" s="1" t="s">
        <v>14695</v>
      </c>
      <c r="G1621" s="1" t="s">
        <v>11313</v>
      </c>
    </row>
    <row r="1622" spans="1:7" ht="21" x14ac:dyDescent="0.25">
      <c r="A1622" s="2" t="str">
        <f>HYPERLINK("https://rth.dk/resources/bsgatlas/details.php?id=BSGatlas-3'UTR-1621","BSGatlas-3'UTR-1621")</f>
        <v>BSGatlas-3'UTR-1621</v>
      </c>
      <c r="B1622" s="3">
        <v>4171352</v>
      </c>
      <c r="C1622" s="3">
        <v>4172089</v>
      </c>
      <c r="D1622" s="1" t="s">
        <v>9</v>
      </c>
      <c r="E1622" s="3">
        <v>738</v>
      </c>
      <c r="F1622" s="1" t="s">
        <v>14045</v>
      </c>
      <c r="G1622" s="1" t="s">
        <v>11310</v>
      </c>
    </row>
    <row r="1623" spans="1:7" ht="21" x14ac:dyDescent="0.25">
      <c r="A1623" s="2" t="str">
        <f>HYPERLINK("https://rth.dk/resources/bsgatlas/details.php?id=BSGatlas-3'UTR-1622","BSGatlas-3'UTR-1622")</f>
        <v>BSGatlas-3'UTR-1622</v>
      </c>
      <c r="B1623" s="3">
        <v>4173551</v>
      </c>
      <c r="C1623" s="3">
        <v>4173645</v>
      </c>
      <c r="D1623" s="1" t="s">
        <v>9</v>
      </c>
      <c r="E1623" s="3">
        <v>95</v>
      </c>
      <c r="F1623" s="1" t="s">
        <v>14047</v>
      </c>
      <c r="G1623" s="1" t="s">
        <v>11318</v>
      </c>
    </row>
    <row r="1624" spans="1:7" ht="21" x14ac:dyDescent="0.25">
      <c r="A1624" s="2" t="str">
        <f>HYPERLINK("https://rth.dk/resources/bsgatlas/details.php?id=BSGatlas-3'UTR-1623","BSGatlas-3'UTR-1623")</f>
        <v>BSGatlas-3'UTR-1623</v>
      </c>
      <c r="B1624" s="3">
        <v>4174420</v>
      </c>
      <c r="C1624" s="3">
        <v>4174641</v>
      </c>
      <c r="D1624" s="1" t="s">
        <v>9</v>
      </c>
      <c r="E1624" s="3">
        <v>222</v>
      </c>
      <c r="F1624" s="1" t="s">
        <v>14696</v>
      </c>
      <c r="G1624" s="1" t="s">
        <v>11320</v>
      </c>
    </row>
    <row r="1625" spans="1:7" ht="21" x14ac:dyDescent="0.25">
      <c r="A1625" s="2" t="str">
        <f>HYPERLINK("https://rth.dk/resources/bsgatlas/details.php?id=BSGatlas-3'UTR-1624","BSGatlas-3'UTR-1624")</f>
        <v>BSGatlas-3'UTR-1624</v>
      </c>
      <c r="B1625" s="3">
        <v>4176525</v>
      </c>
      <c r="C1625" s="3">
        <v>4176863</v>
      </c>
      <c r="D1625" s="1" t="s">
        <v>9</v>
      </c>
      <c r="E1625" s="3">
        <v>339</v>
      </c>
      <c r="F1625" s="1" t="s">
        <v>14697</v>
      </c>
      <c r="G1625" s="1" t="s">
        <v>11322</v>
      </c>
    </row>
    <row r="1626" spans="1:7" ht="21" x14ac:dyDescent="0.25">
      <c r="A1626" s="2" t="str">
        <f>HYPERLINK("https://rth.dk/resources/bsgatlas/details.php?id=BSGatlas-3'UTR-1625","BSGatlas-3'UTR-1625")</f>
        <v>BSGatlas-3'UTR-1625</v>
      </c>
      <c r="B1626" s="3">
        <v>4176841</v>
      </c>
      <c r="C1626" s="3">
        <v>4176900</v>
      </c>
      <c r="D1626" s="1" t="s">
        <v>13</v>
      </c>
      <c r="E1626" s="3">
        <v>60</v>
      </c>
      <c r="F1626" s="1" t="s">
        <v>14048</v>
      </c>
      <c r="G1626" s="1" t="s">
        <v>11324</v>
      </c>
    </row>
    <row r="1627" spans="1:7" ht="21" x14ac:dyDescent="0.25">
      <c r="A1627" s="2" t="str">
        <f>HYPERLINK("https://rth.dk/resources/bsgatlas/details.php?id=BSGatlas-3'UTR-1626","BSGatlas-3'UTR-1626")</f>
        <v>BSGatlas-3'UTR-1626</v>
      </c>
      <c r="B1627" s="3">
        <v>4179120</v>
      </c>
      <c r="C1627" s="3">
        <v>4179163</v>
      </c>
      <c r="D1627" s="1" t="s">
        <v>13</v>
      </c>
      <c r="E1627" s="3">
        <v>44</v>
      </c>
      <c r="F1627" s="1" t="s">
        <v>14050</v>
      </c>
      <c r="G1627" s="1" t="s">
        <v>11330</v>
      </c>
    </row>
    <row r="1628" spans="1:7" ht="21" x14ac:dyDescent="0.25">
      <c r="A1628" s="2" t="str">
        <f>HYPERLINK("https://rth.dk/resources/bsgatlas/details.php?id=BSGatlas-3'UTR-1627","BSGatlas-3'UTR-1627")</f>
        <v>BSGatlas-3'UTR-1627</v>
      </c>
      <c r="B1628" s="3">
        <v>4179130</v>
      </c>
      <c r="C1628" s="3">
        <v>4179166</v>
      </c>
      <c r="D1628" s="1" t="s">
        <v>9</v>
      </c>
      <c r="E1628" s="3">
        <v>37</v>
      </c>
      <c r="F1628" s="1" t="s">
        <v>14049</v>
      </c>
      <c r="G1628" s="1" t="s">
        <v>11328</v>
      </c>
    </row>
    <row r="1629" spans="1:7" ht="21" x14ac:dyDescent="0.25">
      <c r="A1629" s="2" t="str">
        <f>HYPERLINK("https://rth.dk/resources/bsgatlas/details.php?id=BSGatlas-3'UTR-1628","BSGatlas-3'UTR-1628")</f>
        <v>BSGatlas-3'UTR-1628</v>
      </c>
      <c r="B1629" s="3">
        <v>4182461</v>
      </c>
      <c r="C1629" s="3">
        <v>4182569</v>
      </c>
      <c r="D1629" s="1" t="s">
        <v>9</v>
      </c>
      <c r="E1629" s="3">
        <v>109</v>
      </c>
      <c r="F1629" s="1" t="s">
        <v>14698</v>
      </c>
      <c r="G1629" s="1" t="s">
        <v>11335</v>
      </c>
    </row>
    <row r="1630" spans="1:7" ht="21" x14ac:dyDescent="0.25">
      <c r="A1630" s="2" t="str">
        <f>HYPERLINK("https://rth.dk/resources/bsgatlas/details.php?id=BSGatlas-3'UTR-1629","BSGatlas-3'UTR-1629")</f>
        <v>BSGatlas-3'UTR-1629</v>
      </c>
      <c r="B1630" s="3">
        <v>4187621</v>
      </c>
      <c r="C1630" s="3">
        <v>4187681</v>
      </c>
      <c r="D1630" s="1" t="s">
        <v>13</v>
      </c>
      <c r="E1630" s="3">
        <v>61</v>
      </c>
      <c r="F1630" s="1" t="s">
        <v>14699</v>
      </c>
      <c r="G1630" s="1" t="s">
        <v>11344</v>
      </c>
    </row>
    <row r="1631" spans="1:7" ht="21" x14ac:dyDescent="0.25">
      <c r="A1631" s="2" t="str">
        <f>HYPERLINK("https://rth.dk/resources/bsgatlas/details.php?id=BSGatlas-3'UTR-1630","BSGatlas-3'UTR-1630")</f>
        <v>BSGatlas-3'UTR-1630</v>
      </c>
      <c r="B1631" s="3">
        <v>4189645</v>
      </c>
      <c r="C1631" s="3">
        <v>4189676</v>
      </c>
      <c r="D1631" s="1" t="s">
        <v>9</v>
      </c>
      <c r="E1631" s="3">
        <v>32</v>
      </c>
      <c r="F1631" s="1" t="s">
        <v>14057</v>
      </c>
      <c r="G1631" s="1" t="s">
        <v>11346</v>
      </c>
    </row>
    <row r="1632" spans="1:7" ht="21" x14ac:dyDescent="0.25">
      <c r="A1632" s="2" t="str">
        <f>HYPERLINK("https://rth.dk/resources/bsgatlas/details.php?id=BSGatlas-3'UTR-1631","BSGatlas-3'UTR-1631")</f>
        <v>BSGatlas-3'UTR-1631</v>
      </c>
      <c r="B1632" s="3">
        <v>4189645</v>
      </c>
      <c r="C1632" s="3">
        <v>4189742</v>
      </c>
      <c r="D1632" s="1" t="s">
        <v>9</v>
      </c>
      <c r="E1632" s="3">
        <v>98</v>
      </c>
      <c r="F1632" s="1" t="s">
        <v>14057</v>
      </c>
      <c r="G1632" s="1" t="s">
        <v>11347</v>
      </c>
    </row>
    <row r="1633" spans="1:7" ht="21" x14ac:dyDescent="0.25">
      <c r="A1633" s="2" t="str">
        <f>HYPERLINK("https://rth.dk/resources/bsgatlas/details.php?id=BSGatlas-3'UTR-1632","BSGatlas-3'UTR-1632")</f>
        <v>BSGatlas-3'UTR-1632</v>
      </c>
      <c r="B1633" s="3">
        <v>4192893</v>
      </c>
      <c r="C1633" s="3">
        <v>4193264</v>
      </c>
      <c r="D1633" s="1" t="s">
        <v>13</v>
      </c>
      <c r="E1633" s="3">
        <v>372</v>
      </c>
      <c r="F1633" s="1" t="s">
        <v>14060</v>
      </c>
      <c r="G1633" s="1" t="s">
        <v>11353</v>
      </c>
    </row>
    <row r="1634" spans="1:7" ht="21" x14ac:dyDescent="0.25">
      <c r="A1634" s="2" t="str">
        <f>HYPERLINK("https://rth.dk/resources/bsgatlas/details.php?id=BSGatlas-3'UTR-1633","BSGatlas-3'UTR-1633")</f>
        <v>BSGatlas-3'UTR-1633</v>
      </c>
      <c r="B1634" s="3">
        <v>4193267</v>
      </c>
      <c r="C1634" s="3">
        <v>4193298</v>
      </c>
      <c r="D1634" s="1" t="s">
        <v>9</v>
      </c>
      <c r="E1634" s="3">
        <v>32</v>
      </c>
      <c r="F1634" s="1" t="s">
        <v>14059</v>
      </c>
      <c r="G1634" s="1" t="s">
        <v>11350</v>
      </c>
    </row>
    <row r="1635" spans="1:7" ht="21" x14ac:dyDescent="0.25">
      <c r="A1635" s="2" t="str">
        <f>HYPERLINK("https://rth.dk/resources/bsgatlas/details.php?id=BSGatlas-3'UTR-1634","BSGatlas-3'UTR-1634")</f>
        <v>BSGatlas-3'UTR-1634</v>
      </c>
      <c r="B1635" s="3">
        <v>4198549</v>
      </c>
      <c r="C1635" s="3">
        <v>4198603</v>
      </c>
      <c r="D1635" s="1" t="s">
        <v>13</v>
      </c>
      <c r="E1635" s="3">
        <v>55</v>
      </c>
      <c r="F1635" s="1" t="s">
        <v>14700</v>
      </c>
      <c r="G1635" s="1" t="s">
        <v>11363</v>
      </c>
    </row>
    <row r="1636" spans="1:7" ht="21" x14ac:dyDescent="0.25">
      <c r="A1636" s="2" t="str">
        <f>HYPERLINK("https://rth.dk/resources/bsgatlas/details.php?id=BSGatlas-3'UTR-1635","BSGatlas-3'UTR-1635")</f>
        <v>BSGatlas-3'UTR-1635</v>
      </c>
      <c r="B1636" s="3">
        <v>4203364</v>
      </c>
      <c r="C1636" s="3">
        <v>4203424</v>
      </c>
      <c r="D1636" s="1" t="s">
        <v>13</v>
      </c>
      <c r="E1636" s="3">
        <v>61</v>
      </c>
      <c r="F1636" s="1" t="s">
        <v>14067</v>
      </c>
      <c r="G1636" s="1" t="s">
        <v>11371</v>
      </c>
    </row>
    <row r="1637" spans="1:7" ht="21" x14ac:dyDescent="0.25">
      <c r="A1637" s="2" t="str">
        <f>HYPERLINK("https://rth.dk/resources/bsgatlas/details.php?id=BSGatlas-3'UTR-1636","BSGatlas-3'UTR-1636")</f>
        <v>BSGatlas-3'UTR-1636</v>
      </c>
      <c r="B1637" s="3">
        <v>4204594</v>
      </c>
      <c r="C1637" s="3">
        <v>4205556</v>
      </c>
      <c r="D1637" s="1" t="s">
        <v>13</v>
      </c>
      <c r="E1637" s="3">
        <v>963</v>
      </c>
      <c r="F1637" s="1" t="s">
        <v>14701</v>
      </c>
      <c r="G1637" s="1" t="s">
        <v>11374</v>
      </c>
    </row>
    <row r="1638" spans="1:7" ht="21" x14ac:dyDescent="0.25">
      <c r="A1638" s="2" t="str">
        <f>HYPERLINK("https://rth.dk/resources/bsgatlas/details.php?id=BSGatlas-3'UTR-1637","BSGatlas-3'UTR-1637")</f>
        <v>BSGatlas-3'UTR-1637</v>
      </c>
      <c r="B1638" s="3">
        <v>4205511</v>
      </c>
      <c r="C1638" s="3">
        <v>4205556</v>
      </c>
      <c r="D1638" s="1" t="s">
        <v>13</v>
      </c>
      <c r="E1638" s="3">
        <v>46</v>
      </c>
      <c r="F1638" s="1" t="s">
        <v>14701</v>
      </c>
      <c r="G1638" s="1" t="s">
        <v>11378</v>
      </c>
    </row>
    <row r="1639" spans="1:7" ht="21" x14ac:dyDescent="0.25">
      <c r="A1639" s="2" t="str">
        <f>HYPERLINK("https://rth.dk/resources/bsgatlas/details.php?id=BSGatlas-3'UTR-1638","BSGatlas-3'UTR-1638")</f>
        <v>BSGatlas-3'UTR-1638</v>
      </c>
      <c r="B1639" s="3">
        <v>4205517</v>
      </c>
      <c r="C1639" s="3">
        <v>4205561</v>
      </c>
      <c r="D1639" s="1" t="s">
        <v>9</v>
      </c>
      <c r="E1639" s="3">
        <v>45</v>
      </c>
      <c r="F1639" s="1" t="s">
        <v>14068</v>
      </c>
      <c r="G1639" s="1" t="s">
        <v>11377</v>
      </c>
    </row>
    <row r="1640" spans="1:7" ht="21" x14ac:dyDescent="0.25">
      <c r="A1640" s="2" t="str">
        <f>HYPERLINK("https://rth.dk/resources/bsgatlas/details.php?id=BSGatlas-3'UTR-1639","BSGatlas-3'UTR-1639")</f>
        <v>BSGatlas-3'UTR-1639</v>
      </c>
      <c r="B1640" s="3">
        <v>4207846</v>
      </c>
      <c r="C1640" s="3">
        <v>4207909</v>
      </c>
      <c r="D1640" s="1" t="s">
        <v>9</v>
      </c>
      <c r="E1640" s="3">
        <v>64</v>
      </c>
      <c r="F1640" s="1" t="s">
        <v>14069</v>
      </c>
      <c r="G1640" s="1" t="s">
        <v>11381</v>
      </c>
    </row>
    <row r="1641" spans="1:7" ht="21" x14ac:dyDescent="0.25">
      <c r="A1641" s="2" t="str">
        <f>HYPERLINK("https://rth.dk/resources/bsgatlas/details.php?id=BSGatlas-3'UTR-1640","BSGatlas-3'UTR-1640")</f>
        <v>BSGatlas-3'UTR-1640</v>
      </c>
      <c r="B1641" s="3">
        <v>4207857</v>
      </c>
      <c r="C1641" s="3">
        <v>4207897</v>
      </c>
      <c r="D1641" s="1" t="s">
        <v>13</v>
      </c>
      <c r="E1641" s="3">
        <v>41</v>
      </c>
      <c r="F1641" s="1" t="s">
        <v>14702</v>
      </c>
      <c r="G1641" s="1" t="s">
        <v>11386</v>
      </c>
    </row>
    <row r="1642" spans="1:7" ht="21" x14ac:dyDescent="0.25">
      <c r="A1642" s="2" t="str">
        <f>HYPERLINK("https://rth.dk/resources/bsgatlas/details.php?id=BSGatlas-3'UTR-1641","BSGatlas-3'UTR-1641")</f>
        <v>BSGatlas-3'UTR-1641</v>
      </c>
      <c r="B1642" s="3">
        <v>4213150</v>
      </c>
      <c r="C1642" s="3">
        <v>4213200</v>
      </c>
      <c r="D1642" s="1" t="s">
        <v>13</v>
      </c>
      <c r="E1642" s="3">
        <v>51</v>
      </c>
      <c r="F1642" s="1" t="s">
        <v>14703</v>
      </c>
      <c r="G1642" s="1" t="s">
        <v>11390</v>
      </c>
    </row>
    <row r="1643" spans="1:7" ht="21" x14ac:dyDescent="0.25">
      <c r="A1643" s="2" t="str">
        <f>HYPERLINK("https://rth.dk/resources/bsgatlas/details.php?id=BSGatlas-3'UTR-1642","BSGatlas-3'UTR-1642")</f>
        <v>BSGatlas-3'UTR-1642</v>
      </c>
      <c r="B1643" s="3">
        <v>4215217</v>
      </c>
      <c r="C1643" s="3">
        <v>4215255</v>
      </c>
      <c r="D1643" s="1" t="s">
        <v>13</v>
      </c>
      <c r="E1643" s="3">
        <v>39</v>
      </c>
      <c r="F1643" s="1" t="s">
        <v>14073</v>
      </c>
      <c r="G1643" s="1" t="s">
        <v>11395</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31120-04F2-1749-B158-58A3F953B4E3}">
  <dimension ref="A1:E1127"/>
  <sheetViews>
    <sheetView zoomScale="113" zoomScaleNormal="100" workbookViewId="0">
      <selection activeCell="E6" sqref="E6"/>
    </sheetView>
  </sheetViews>
  <sheetFormatPr baseColWidth="10" defaultRowHeight="16" x14ac:dyDescent="0.2"/>
  <cols>
    <col min="1" max="1" width="32.6640625" bestFit="1" customWidth="1"/>
    <col min="2" max="3" width="11.83203125" style="4" bestFit="1" customWidth="1"/>
    <col min="4" max="4" width="11" bestFit="1" customWidth="1"/>
    <col min="5" max="5" width="52.83203125" bestFit="1" customWidth="1"/>
  </cols>
  <sheetData>
    <row r="1" spans="1:5" ht="21" x14ac:dyDescent="0.25">
      <c r="A1" s="1" t="s">
        <v>11753</v>
      </c>
      <c r="B1" s="3" t="s">
        <v>4</v>
      </c>
      <c r="C1" s="3" t="s">
        <v>5</v>
      </c>
      <c r="D1" s="1" t="s">
        <v>6</v>
      </c>
      <c r="E1" s="1" t="s">
        <v>14704</v>
      </c>
    </row>
    <row r="2" spans="1:5" ht="21" x14ac:dyDescent="0.25">
      <c r="A2" s="2" t="str">
        <f>HYPERLINK("https://rth.dk/resources/bsgatlas/details.php?id=BSGatlas-internal_UTR-1","BSGatlas-internal_UTR-1")</f>
        <v>BSGatlas-internal_UTR-1</v>
      </c>
      <c r="B2" s="3">
        <v>1751</v>
      </c>
      <c r="C2" s="3">
        <v>1938</v>
      </c>
      <c r="D2" s="1" t="s">
        <v>9</v>
      </c>
      <c r="E2" s="1" t="s">
        <v>4377</v>
      </c>
    </row>
    <row r="3" spans="1:5" ht="21" x14ac:dyDescent="0.25">
      <c r="A3" s="2" t="str">
        <f>HYPERLINK("https://rth.dk/resources/bsgatlas/details.php?id=BSGatlas-internal_UTR-2","BSGatlas-internal_UTR-2")</f>
        <v>BSGatlas-internal_UTR-2</v>
      </c>
      <c r="B3" s="3">
        <v>4550</v>
      </c>
      <c r="C3" s="3">
        <v>4566</v>
      </c>
      <c r="D3" s="1" t="s">
        <v>9</v>
      </c>
      <c r="E3" s="1" t="s">
        <v>14705</v>
      </c>
    </row>
    <row r="4" spans="1:5" ht="21" x14ac:dyDescent="0.25">
      <c r="A4" s="2" t="str">
        <f>HYPERLINK("https://rth.dk/resources/bsgatlas/details.php?id=BSGatlas-internal_UTR-3","BSGatlas-internal_UTR-3")</f>
        <v>BSGatlas-internal_UTR-3</v>
      </c>
      <c r="B4" s="3">
        <v>4813</v>
      </c>
      <c r="C4" s="3">
        <v>4866</v>
      </c>
      <c r="D4" s="1" t="s">
        <v>9</v>
      </c>
      <c r="E4" s="1" t="s">
        <v>14705</v>
      </c>
    </row>
    <row r="5" spans="1:5" ht="21" x14ac:dyDescent="0.25">
      <c r="A5" s="2" t="str">
        <f>HYPERLINK("https://rth.dk/resources/bsgatlas/details.php?id=BSGatlas-internal_UTR-4","BSGatlas-internal_UTR-4")</f>
        <v>BSGatlas-internal_UTR-4</v>
      </c>
      <c r="B5" s="3">
        <v>6784</v>
      </c>
      <c r="C5" s="3">
        <v>6993</v>
      </c>
      <c r="D5" s="1" t="s">
        <v>9</v>
      </c>
      <c r="E5" s="1" t="s">
        <v>4377</v>
      </c>
    </row>
    <row r="6" spans="1:5" ht="21" x14ac:dyDescent="0.25">
      <c r="A6" s="2" t="str">
        <f>HYPERLINK("https://rth.dk/resources/bsgatlas/details.php?id=BSGatlas-internal_UTR-5","BSGatlas-internal_UTR-5")</f>
        <v>BSGatlas-internal_UTR-5</v>
      </c>
      <c r="B6" s="3">
        <v>11365</v>
      </c>
      <c r="C6" s="3">
        <v>11462</v>
      </c>
      <c r="D6" s="1" t="s">
        <v>9</v>
      </c>
      <c r="E6" s="1" t="s">
        <v>4386</v>
      </c>
    </row>
    <row r="7" spans="1:5" ht="21" x14ac:dyDescent="0.25">
      <c r="A7" s="2" t="str">
        <f>HYPERLINK("https://rth.dk/resources/bsgatlas/details.php?id=BSGatlas-internal_UTR-6","BSGatlas-internal_UTR-6")</f>
        <v>BSGatlas-internal_UTR-6</v>
      </c>
      <c r="B7" s="3">
        <v>11628</v>
      </c>
      <c r="C7" s="3">
        <v>11705</v>
      </c>
      <c r="D7" s="1" t="s">
        <v>9</v>
      </c>
      <c r="E7" s="1" t="s">
        <v>4386</v>
      </c>
    </row>
    <row r="8" spans="1:5" ht="21" x14ac:dyDescent="0.25">
      <c r="A8" s="2" t="str">
        <f>HYPERLINK("https://rth.dk/resources/bsgatlas/details.php?id=BSGatlas-internal_UTR-7","BSGatlas-internal_UTR-7")</f>
        <v>BSGatlas-internal_UTR-7</v>
      </c>
      <c r="B8" s="3">
        <v>14637</v>
      </c>
      <c r="C8" s="3">
        <v>14690</v>
      </c>
      <c r="D8" s="1" t="s">
        <v>9</v>
      </c>
      <c r="E8" s="1" t="s">
        <v>4386</v>
      </c>
    </row>
    <row r="9" spans="1:5" ht="21" x14ac:dyDescent="0.25">
      <c r="A9" s="2" t="str">
        <f>HYPERLINK("https://rth.dk/resources/bsgatlas/details.php?id=BSGatlas-internal_UTR-8","BSGatlas-internal_UTR-8")</f>
        <v>BSGatlas-internal_UTR-8</v>
      </c>
      <c r="B9" s="3">
        <v>18866</v>
      </c>
      <c r="C9" s="3">
        <v>19061</v>
      </c>
      <c r="D9" s="1" t="s">
        <v>9</v>
      </c>
      <c r="E9" s="1" t="s">
        <v>4382</v>
      </c>
    </row>
    <row r="10" spans="1:5" ht="21" x14ac:dyDescent="0.25">
      <c r="A10" s="2" t="str">
        <f>HYPERLINK("https://rth.dk/resources/bsgatlas/details.php?id=BSGatlas-internal_UTR-9","BSGatlas-internal_UTR-9")</f>
        <v>BSGatlas-internal_UTR-9</v>
      </c>
      <c r="B10" s="3">
        <v>19947</v>
      </c>
      <c r="C10" s="3">
        <v>19967</v>
      </c>
      <c r="D10" s="1" t="s">
        <v>9</v>
      </c>
      <c r="E10" s="1" t="s">
        <v>14706</v>
      </c>
    </row>
    <row r="11" spans="1:5" ht="21" x14ac:dyDescent="0.25">
      <c r="A11" s="2" t="str">
        <f>HYPERLINK("https://rth.dk/resources/bsgatlas/details.php?id=BSGatlas-internal_UTR-10","BSGatlas-internal_UTR-10")</f>
        <v>BSGatlas-internal_UTR-10</v>
      </c>
      <c r="B11" s="3">
        <v>20559</v>
      </c>
      <c r="C11" s="3">
        <v>20609</v>
      </c>
      <c r="D11" s="1" t="s">
        <v>9</v>
      </c>
      <c r="E11" s="1" t="s">
        <v>4382</v>
      </c>
    </row>
    <row r="12" spans="1:5" ht="21" x14ac:dyDescent="0.25">
      <c r="A12" s="2" t="str">
        <f>HYPERLINK("https://rth.dk/resources/bsgatlas/details.php?id=BSGatlas-internal_UTR-11","BSGatlas-internal_UTR-11")</f>
        <v>BSGatlas-internal_UTR-11</v>
      </c>
      <c r="B12" s="3">
        <v>20824</v>
      </c>
      <c r="C12" s="3">
        <v>20879</v>
      </c>
      <c r="D12" s="1" t="s">
        <v>9</v>
      </c>
      <c r="E12" s="1" t="s">
        <v>4382</v>
      </c>
    </row>
    <row r="13" spans="1:5" ht="21" x14ac:dyDescent="0.25">
      <c r="A13" s="2" t="str">
        <f>HYPERLINK("https://rth.dk/resources/bsgatlas/details.php?id=BSGatlas-internal_UTR-12","BSGatlas-internal_UTR-12")</f>
        <v>BSGatlas-internal_UTR-12</v>
      </c>
      <c r="B13" s="3">
        <v>25152</v>
      </c>
      <c r="C13" s="3">
        <v>25220</v>
      </c>
      <c r="D13" s="1" t="s">
        <v>13</v>
      </c>
      <c r="E13" s="1" t="s">
        <v>4377</v>
      </c>
    </row>
    <row r="14" spans="1:5" ht="21" x14ac:dyDescent="0.25">
      <c r="A14" s="2" t="str">
        <f>HYPERLINK("https://rth.dk/resources/bsgatlas/details.php?id=BSGatlas-internal_UTR-13","BSGatlas-internal_UTR-13")</f>
        <v>BSGatlas-internal_UTR-13</v>
      </c>
      <c r="B14" s="3">
        <v>26338</v>
      </c>
      <c r="C14" s="3">
        <v>26378</v>
      </c>
      <c r="D14" s="1" t="s">
        <v>9</v>
      </c>
      <c r="E14" s="1" t="s">
        <v>4386</v>
      </c>
    </row>
    <row r="15" spans="1:5" ht="21" x14ac:dyDescent="0.25">
      <c r="A15" s="2" t="str">
        <f>HYPERLINK("https://rth.dk/resources/bsgatlas/details.php?id=BSGatlas-internal_UTR-14","BSGatlas-internal_UTR-14")</f>
        <v>BSGatlas-internal_UTR-14</v>
      </c>
      <c r="B15" s="3">
        <v>28506</v>
      </c>
      <c r="C15" s="3">
        <v>28528</v>
      </c>
      <c r="D15" s="1" t="s">
        <v>9</v>
      </c>
      <c r="E15" s="1" t="s">
        <v>4373</v>
      </c>
    </row>
    <row r="16" spans="1:5" ht="21" x14ac:dyDescent="0.25">
      <c r="A16" s="2" t="str">
        <f>HYPERLINK("https://rth.dk/resources/bsgatlas/details.php?id=BSGatlas-internal_UTR-15","BSGatlas-internal_UTR-15")</f>
        <v>BSGatlas-internal_UTR-15</v>
      </c>
      <c r="B16" s="3">
        <v>29464</v>
      </c>
      <c r="C16" s="3">
        <v>29480</v>
      </c>
      <c r="D16" s="1" t="s">
        <v>9</v>
      </c>
      <c r="E16" s="1" t="s">
        <v>4373</v>
      </c>
    </row>
    <row r="17" spans="1:5" ht="21" x14ac:dyDescent="0.25">
      <c r="A17" s="2" t="str">
        <f>HYPERLINK("https://rth.dk/resources/bsgatlas/details.php?id=BSGatlas-internal_UTR-16","BSGatlas-internal_UTR-16")</f>
        <v>BSGatlas-internal_UTR-16</v>
      </c>
      <c r="B17" s="3">
        <v>29706</v>
      </c>
      <c r="C17" s="3">
        <v>29771</v>
      </c>
      <c r="D17" s="1" t="s">
        <v>9</v>
      </c>
      <c r="E17" s="1" t="s">
        <v>4373</v>
      </c>
    </row>
    <row r="18" spans="1:5" ht="21" x14ac:dyDescent="0.25">
      <c r="A18" s="2" t="str">
        <f>HYPERLINK("https://rth.dk/resources/bsgatlas/details.php?id=BSGatlas-internal_UTR-17","BSGatlas-internal_UTR-17")</f>
        <v>BSGatlas-internal_UTR-17</v>
      </c>
      <c r="B18" s="3">
        <v>31833</v>
      </c>
      <c r="C18" s="3">
        <v>31930</v>
      </c>
      <c r="D18" s="1" t="s">
        <v>9</v>
      </c>
      <c r="E18" s="1" t="s">
        <v>4386</v>
      </c>
    </row>
    <row r="19" spans="1:5" ht="21" x14ac:dyDescent="0.25">
      <c r="A19" s="2" t="str">
        <f>HYPERLINK("https://rth.dk/resources/bsgatlas/details.php?id=BSGatlas-internal_UTR-18","BSGatlas-internal_UTR-18")</f>
        <v>BSGatlas-internal_UTR-18</v>
      </c>
      <c r="B19" s="3">
        <v>32096</v>
      </c>
      <c r="C19" s="3">
        <v>32173</v>
      </c>
      <c r="D19" s="1" t="s">
        <v>9</v>
      </c>
      <c r="E19" s="1" t="s">
        <v>4386</v>
      </c>
    </row>
    <row r="20" spans="1:5" ht="21" x14ac:dyDescent="0.25">
      <c r="A20" s="2" t="str">
        <f>HYPERLINK("https://rth.dk/resources/bsgatlas/details.php?id=BSGatlas-internal_UTR-19","BSGatlas-internal_UTR-19")</f>
        <v>BSGatlas-internal_UTR-19</v>
      </c>
      <c r="B20" s="3">
        <v>35105</v>
      </c>
      <c r="C20" s="3">
        <v>35162</v>
      </c>
      <c r="D20" s="1" t="s">
        <v>9</v>
      </c>
      <c r="E20" s="1" t="s">
        <v>4386</v>
      </c>
    </row>
    <row r="21" spans="1:5" ht="21" x14ac:dyDescent="0.25">
      <c r="A21" s="2" t="str">
        <f>HYPERLINK("https://rth.dk/resources/bsgatlas/details.php?id=BSGatlas-internal_UTR-20","BSGatlas-internal_UTR-20")</f>
        <v>BSGatlas-internal_UTR-20</v>
      </c>
      <c r="B21" s="3">
        <v>36460</v>
      </c>
      <c r="C21" s="3">
        <v>36477</v>
      </c>
      <c r="D21" s="1" t="s">
        <v>9</v>
      </c>
      <c r="E21" s="1" t="s">
        <v>14707</v>
      </c>
    </row>
    <row r="22" spans="1:5" ht="21" x14ac:dyDescent="0.25">
      <c r="A22" s="2" t="str">
        <f>HYPERLINK("https://rth.dk/resources/bsgatlas/details.php?id=BSGatlas-internal_UTR-21","BSGatlas-internal_UTR-21")</f>
        <v>BSGatlas-internal_UTR-21</v>
      </c>
      <c r="B22" s="3">
        <v>37639</v>
      </c>
      <c r="C22" s="3">
        <v>37719</v>
      </c>
      <c r="D22" s="1" t="s">
        <v>9</v>
      </c>
      <c r="E22" s="1" t="s">
        <v>14707</v>
      </c>
    </row>
    <row r="23" spans="1:5" ht="21" x14ac:dyDescent="0.25">
      <c r="A23" s="2" t="str">
        <f>HYPERLINK("https://rth.dk/resources/bsgatlas/details.php?id=BSGatlas-internal_UTR-22","BSGatlas-internal_UTR-22")</f>
        <v>BSGatlas-internal_UTR-22</v>
      </c>
      <c r="B23" s="3">
        <v>39798</v>
      </c>
      <c r="C23" s="3">
        <v>39870</v>
      </c>
      <c r="D23" s="1" t="s">
        <v>9</v>
      </c>
      <c r="E23" s="1" t="s">
        <v>4373</v>
      </c>
    </row>
    <row r="24" spans="1:5" ht="21" x14ac:dyDescent="0.25">
      <c r="A24" s="2" t="str">
        <f>HYPERLINK("https://rth.dk/resources/bsgatlas/details.php?id=BSGatlas-internal_UTR-23","BSGatlas-internal_UTR-23")</f>
        <v>BSGatlas-internal_UTR-23</v>
      </c>
      <c r="B24" s="3">
        <v>42859</v>
      </c>
      <c r="C24" s="3">
        <v>42916</v>
      </c>
      <c r="D24" s="1" t="s">
        <v>9</v>
      </c>
      <c r="E24" s="1" t="s">
        <v>4373</v>
      </c>
    </row>
    <row r="25" spans="1:5" ht="21" x14ac:dyDescent="0.25">
      <c r="A25" s="2" t="str">
        <f>HYPERLINK("https://rth.dk/resources/bsgatlas/details.php?id=BSGatlas-internal_UTR-24","BSGatlas-internal_UTR-24")</f>
        <v>BSGatlas-internal_UTR-24</v>
      </c>
      <c r="B25" s="3">
        <v>47628</v>
      </c>
      <c r="C25" s="3">
        <v>47705</v>
      </c>
      <c r="D25" s="1" t="s">
        <v>9</v>
      </c>
      <c r="E25" s="1" t="s">
        <v>4377</v>
      </c>
    </row>
    <row r="26" spans="1:5" ht="21" x14ac:dyDescent="0.25">
      <c r="A26" s="2" t="str">
        <f>HYPERLINK("https://rth.dk/resources/bsgatlas/details.php?id=BSGatlas-internal_UTR-25","BSGatlas-internal_UTR-25")</f>
        <v>BSGatlas-internal_UTR-25</v>
      </c>
      <c r="B26" s="3">
        <v>54386</v>
      </c>
      <c r="C26" s="3">
        <v>54440</v>
      </c>
      <c r="D26" s="1" t="s">
        <v>9</v>
      </c>
      <c r="E26" s="1" t="s">
        <v>4386</v>
      </c>
    </row>
    <row r="27" spans="1:5" ht="21" x14ac:dyDescent="0.25">
      <c r="A27" s="2" t="str">
        <f>HYPERLINK("https://rth.dk/resources/bsgatlas/details.php?id=BSGatlas-internal_UTR-26","BSGatlas-internal_UTR-26")</f>
        <v>BSGatlas-internal_UTR-26</v>
      </c>
      <c r="B27" s="3">
        <v>57723</v>
      </c>
      <c r="C27" s="3">
        <v>57744</v>
      </c>
      <c r="D27" s="1" t="s">
        <v>9</v>
      </c>
      <c r="E27" s="1" t="s">
        <v>4373</v>
      </c>
    </row>
    <row r="28" spans="1:5" ht="21" x14ac:dyDescent="0.25">
      <c r="A28" s="2" t="str">
        <f>HYPERLINK("https://rth.dk/resources/bsgatlas/details.php?id=BSGatlas-internal_UTR-27","BSGatlas-internal_UTR-27")</f>
        <v>BSGatlas-internal_UTR-27</v>
      </c>
      <c r="B28" s="3">
        <v>58699</v>
      </c>
      <c r="C28" s="3">
        <v>58782</v>
      </c>
      <c r="D28" s="1" t="s">
        <v>9</v>
      </c>
      <c r="E28" s="1" t="s">
        <v>4373</v>
      </c>
    </row>
    <row r="29" spans="1:5" ht="21" x14ac:dyDescent="0.25">
      <c r="A29" s="2" t="str">
        <f>HYPERLINK("https://rth.dk/resources/bsgatlas/details.php?id=BSGatlas-internal_UTR-28","BSGatlas-internal_UTR-28")</f>
        <v>BSGatlas-internal_UTR-28</v>
      </c>
      <c r="B29" s="3">
        <v>59398</v>
      </c>
      <c r="C29" s="3">
        <v>59503</v>
      </c>
      <c r="D29" s="1" t="s">
        <v>9</v>
      </c>
      <c r="E29" s="1" t="s">
        <v>4373</v>
      </c>
    </row>
    <row r="30" spans="1:5" ht="21" x14ac:dyDescent="0.25">
      <c r="A30" s="2" t="str">
        <f>HYPERLINK("https://rth.dk/resources/bsgatlas/details.php?id=BSGatlas-internal_UTR-29","BSGatlas-internal_UTR-29")</f>
        <v>BSGatlas-internal_UTR-29</v>
      </c>
      <c r="B30" s="3">
        <v>60071</v>
      </c>
      <c r="C30" s="3">
        <v>60129</v>
      </c>
      <c r="D30" s="1" t="s">
        <v>9</v>
      </c>
      <c r="E30" s="1" t="s">
        <v>4373</v>
      </c>
    </row>
    <row r="31" spans="1:5" ht="21" x14ac:dyDescent="0.25">
      <c r="A31" s="2" t="str">
        <f>HYPERLINK("https://rth.dk/resources/bsgatlas/details.php?id=BSGatlas-internal_UTR-30","BSGatlas-internal_UTR-30")</f>
        <v>BSGatlas-internal_UTR-30</v>
      </c>
      <c r="B31" s="3">
        <v>60361</v>
      </c>
      <c r="C31" s="3">
        <v>60429</v>
      </c>
      <c r="D31" s="1" t="s">
        <v>9</v>
      </c>
      <c r="E31" s="1" t="s">
        <v>4377</v>
      </c>
    </row>
    <row r="32" spans="1:5" ht="21" x14ac:dyDescent="0.25">
      <c r="A32" s="2" t="str">
        <f>HYPERLINK("https://rth.dk/resources/bsgatlas/details.php?id=BSGatlas-internal_UTR-31","BSGatlas-internal_UTR-31")</f>
        <v>BSGatlas-internal_UTR-31</v>
      </c>
      <c r="B32" s="3">
        <v>63964</v>
      </c>
      <c r="C32" s="3">
        <v>64098</v>
      </c>
      <c r="D32" s="1" t="s">
        <v>9</v>
      </c>
      <c r="E32" s="1" t="s">
        <v>4377</v>
      </c>
    </row>
    <row r="33" spans="1:5" ht="21" x14ac:dyDescent="0.25">
      <c r="A33" s="2" t="str">
        <f>HYPERLINK("https://rth.dk/resources/bsgatlas/details.php?id=BSGatlas-internal_UTR-32","BSGatlas-internal_UTR-32")</f>
        <v>BSGatlas-internal_UTR-32</v>
      </c>
      <c r="B33" s="3">
        <v>68138</v>
      </c>
      <c r="C33" s="3">
        <v>68215</v>
      </c>
      <c r="D33" s="1" t="s">
        <v>9</v>
      </c>
      <c r="E33" s="1" t="s">
        <v>4373</v>
      </c>
    </row>
    <row r="34" spans="1:5" ht="21" x14ac:dyDescent="0.25">
      <c r="A34" s="2" t="str">
        <f>HYPERLINK("https://rth.dk/resources/bsgatlas/details.php?id=BSGatlas-internal_UTR-33","BSGatlas-internal_UTR-33")</f>
        <v>BSGatlas-internal_UTR-33</v>
      </c>
      <c r="B34" s="3">
        <v>69151</v>
      </c>
      <c r="C34" s="3">
        <v>69167</v>
      </c>
      <c r="D34" s="1" t="s">
        <v>9</v>
      </c>
      <c r="E34" s="1" t="s">
        <v>4373</v>
      </c>
    </row>
    <row r="35" spans="1:5" ht="21" x14ac:dyDescent="0.25">
      <c r="A35" s="2" t="str">
        <f>HYPERLINK("https://rth.dk/resources/bsgatlas/details.php?id=BSGatlas-internal_UTR-34","BSGatlas-internal_UTR-34")</f>
        <v>BSGatlas-internal_UTR-34</v>
      </c>
      <c r="B35" s="3">
        <v>69546</v>
      </c>
      <c r="C35" s="3">
        <v>69625</v>
      </c>
      <c r="D35" s="1" t="s">
        <v>9</v>
      </c>
      <c r="E35" s="1" t="s">
        <v>4373</v>
      </c>
    </row>
    <row r="36" spans="1:5" ht="21" x14ac:dyDescent="0.25">
      <c r="A36" s="2" t="str">
        <f>HYPERLINK("https://rth.dk/resources/bsgatlas/details.php?id=BSGatlas-internal_UTR-35","BSGatlas-internal_UTR-35")</f>
        <v>BSGatlas-internal_UTR-35</v>
      </c>
      <c r="B36" s="3">
        <v>73022</v>
      </c>
      <c r="C36" s="3">
        <v>73105</v>
      </c>
      <c r="D36" s="1" t="s">
        <v>9</v>
      </c>
      <c r="E36" s="1" t="s">
        <v>4386</v>
      </c>
    </row>
    <row r="37" spans="1:5" ht="21" x14ac:dyDescent="0.25">
      <c r="A37" s="2" t="str">
        <f>HYPERLINK("https://rth.dk/resources/bsgatlas/details.php?id=BSGatlas-internal_UTR-36","BSGatlas-internal_UTR-36")</f>
        <v>BSGatlas-internal_UTR-36</v>
      </c>
      <c r="B37" s="3">
        <v>74826</v>
      </c>
      <c r="C37" s="3">
        <v>74928</v>
      </c>
      <c r="D37" s="1" t="s">
        <v>9</v>
      </c>
      <c r="E37" s="1" t="s">
        <v>4386</v>
      </c>
    </row>
    <row r="38" spans="1:5" ht="21" x14ac:dyDescent="0.25">
      <c r="A38" s="2" t="str">
        <f>HYPERLINK("https://rth.dk/resources/bsgatlas/details.php?id=BSGatlas-internal_UTR-37","BSGatlas-internal_UTR-37")</f>
        <v>BSGatlas-internal_UTR-37</v>
      </c>
      <c r="B38" s="3">
        <v>76887</v>
      </c>
      <c r="C38" s="3">
        <v>76983</v>
      </c>
      <c r="D38" s="1" t="s">
        <v>9</v>
      </c>
      <c r="E38" s="1" t="s">
        <v>14708</v>
      </c>
    </row>
    <row r="39" spans="1:5" ht="21" x14ac:dyDescent="0.25">
      <c r="A39" s="2" t="str">
        <f>HYPERLINK("https://rth.dk/resources/bsgatlas/details.php?id=BSGatlas-internal_UTR-38","BSGatlas-internal_UTR-38")</f>
        <v>BSGatlas-internal_UTR-38</v>
      </c>
      <c r="B39" s="3">
        <v>80756</v>
      </c>
      <c r="C39" s="3">
        <v>80801</v>
      </c>
      <c r="D39" s="1" t="s">
        <v>9</v>
      </c>
      <c r="E39" s="1" t="s">
        <v>4377</v>
      </c>
    </row>
    <row r="40" spans="1:5" ht="21" x14ac:dyDescent="0.25">
      <c r="A40" s="2" t="str">
        <f>HYPERLINK("https://rth.dk/resources/bsgatlas/details.php?id=BSGatlas-internal_UTR-39","BSGatlas-internal_UTR-39")</f>
        <v>BSGatlas-internal_UTR-39</v>
      </c>
      <c r="B40" s="3">
        <v>81696</v>
      </c>
      <c r="C40" s="3">
        <v>81770</v>
      </c>
      <c r="D40" s="1" t="s">
        <v>9</v>
      </c>
      <c r="E40" s="1" t="s">
        <v>4377</v>
      </c>
    </row>
    <row r="41" spans="1:5" ht="21" x14ac:dyDescent="0.25">
      <c r="A41" s="2" t="str">
        <f>HYPERLINK("https://rth.dk/resources/bsgatlas/details.php?id=BSGatlas-internal_UTR-40","BSGatlas-internal_UTR-40")</f>
        <v>BSGatlas-internal_UTR-40</v>
      </c>
      <c r="B41" s="3">
        <v>87611</v>
      </c>
      <c r="C41" s="3">
        <v>87633</v>
      </c>
      <c r="D41" s="1" t="s">
        <v>9</v>
      </c>
      <c r="E41" s="1" t="s">
        <v>4377</v>
      </c>
    </row>
    <row r="42" spans="1:5" ht="21" x14ac:dyDescent="0.25">
      <c r="A42" s="2" t="str">
        <f>HYPERLINK("https://rth.dk/resources/bsgatlas/details.php?id=BSGatlas-internal_UTR-41","BSGatlas-internal_UTR-41")</f>
        <v>BSGatlas-internal_UTR-41</v>
      </c>
      <c r="B42" s="3">
        <v>88636</v>
      </c>
      <c r="C42" s="3">
        <v>88726</v>
      </c>
      <c r="D42" s="1" t="s">
        <v>9</v>
      </c>
      <c r="E42" s="1" t="s">
        <v>4377</v>
      </c>
    </row>
    <row r="43" spans="1:5" ht="21" x14ac:dyDescent="0.25">
      <c r="A43" s="2" t="str">
        <f>HYPERLINK("https://rth.dk/resources/bsgatlas/details.php?id=BSGatlas-internal_UTR-42","BSGatlas-internal_UTR-42")</f>
        <v>BSGatlas-internal_UTR-42</v>
      </c>
      <c r="B43" s="3">
        <v>92090</v>
      </c>
      <c r="C43" s="3">
        <v>92250</v>
      </c>
      <c r="D43" s="1" t="s">
        <v>9</v>
      </c>
      <c r="E43" s="1" t="s">
        <v>4397</v>
      </c>
    </row>
    <row r="44" spans="1:5" ht="21" x14ac:dyDescent="0.25">
      <c r="A44" s="2" t="str">
        <f>HYPERLINK("https://rth.dk/resources/bsgatlas/details.php?id=BSGatlas-internal_UTR-43","BSGatlas-internal_UTR-43")</f>
        <v>BSGatlas-internal_UTR-43</v>
      </c>
      <c r="B44" s="3">
        <v>95182</v>
      </c>
      <c r="C44" s="3">
        <v>95235</v>
      </c>
      <c r="D44" s="1" t="s">
        <v>9</v>
      </c>
      <c r="E44" s="1" t="s">
        <v>4397</v>
      </c>
    </row>
    <row r="45" spans="1:5" ht="21" x14ac:dyDescent="0.25">
      <c r="A45" s="2" t="str">
        <f>HYPERLINK("https://rth.dk/resources/bsgatlas/details.php?id=BSGatlas-internal_UTR-44","BSGatlas-internal_UTR-44")</f>
        <v>BSGatlas-internal_UTR-44</v>
      </c>
      <c r="B45" s="3">
        <v>95355</v>
      </c>
      <c r="C45" s="3">
        <v>95373</v>
      </c>
      <c r="D45" s="1" t="s">
        <v>9</v>
      </c>
      <c r="E45" s="1" t="s">
        <v>4397</v>
      </c>
    </row>
    <row r="46" spans="1:5" ht="21" x14ac:dyDescent="0.25">
      <c r="A46" s="2" t="str">
        <f>HYPERLINK("https://rth.dk/resources/bsgatlas/details.php?id=BSGatlas-internal_UTR-45","BSGatlas-internal_UTR-45")</f>
        <v>BSGatlas-internal_UTR-45</v>
      </c>
      <c r="B46" s="3">
        <v>95531</v>
      </c>
      <c r="C46" s="3">
        <v>95565</v>
      </c>
      <c r="D46" s="1" t="s">
        <v>9</v>
      </c>
      <c r="E46" s="1" t="s">
        <v>4397</v>
      </c>
    </row>
    <row r="47" spans="1:5" ht="21" x14ac:dyDescent="0.25">
      <c r="A47" s="2" t="str">
        <f>HYPERLINK("https://rth.dk/resources/bsgatlas/details.php?id=BSGatlas-internal_UTR-46","BSGatlas-internal_UTR-46")</f>
        <v>BSGatlas-internal_UTR-46</v>
      </c>
      <c r="B47" s="3">
        <v>95732</v>
      </c>
      <c r="C47" s="3">
        <v>95770</v>
      </c>
      <c r="D47" s="1" t="s">
        <v>9</v>
      </c>
      <c r="E47" s="1" t="s">
        <v>4397</v>
      </c>
    </row>
    <row r="48" spans="1:5" ht="21" x14ac:dyDescent="0.25">
      <c r="A48" s="2" t="str">
        <f>HYPERLINK("https://rth.dk/resources/bsgatlas/details.php?id=BSGatlas-internal_UTR-47","BSGatlas-internal_UTR-47")</f>
        <v>BSGatlas-internal_UTR-47</v>
      </c>
      <c r="B48" s="3">
        <v>96033</v>
      </c>
      <c r="C48" s="3">
        <v>96058</v>
      </c>
      <c r="D48" s="1" t="s">
        <v>9</v>
      </c>
      <c r="E48" s="1" t="s">
        <v>4397</v>
      </c>
    </row>
    <row r="49" spans="1:5" ht="21" x14ac:dyDescent="0.25">
      <c r="A49" s="2" t="str">
        <f>HYPERLINK("https://rth.dk/resources/bsgatlas/details.php?id=BSGatlas-internal_UTR-48","BSGatlas-internal_UTR-48")</f>
        <v>BSGatlas-internal_UTR-48</v>
      </c>
      <c r="B49" s="3">
        <v>106005</v>
      </c>
      <c r="C49" s="3">
        <v>106095</v>
      </c>
      <c r="D49" s="1" t="s">
        <v>9</v>
      </c>
      <c r="E49" s="1" t="s">
        <v>4386</v>
      </c>
    </row>
    <row r="50" spans="1:5" ht="21" x14ac:dyDescent="0.25">
      <c r="A50" s="2" t="str">
        <f>HYPERLINK("https://rth.dk/resources/bsgatlas/details.php?id=BSGatlas-internal_UTR-49","BSGatlas-internal_UTR-49")</f>
        <v>BSGatlas-internal_UTR-49</v>
      </c>
      <c r="B50" s="3">
        <v>112732</v>
      </c>
      <c r="C50" s="3">
        <v>112799</v>
      </c>
      <c r="D50" s="1" t="s">
        <v>9</v>
      </c>
      <c r="E50" s="1" t="s">
        <v>4377</v>
      </c>
    </row>
    <row r="51" spans="1:5" ht="21" x14ac:dyDescent="0.25">
      <c r="A51" s="2" t="str">
        <f>HYPERLINK("https://rth.dk/resources/bsgatlas/details.php?id=BSGatlas-internal_UTR-50","BSGatlas-internal_UTR-50")</f>
        <v>BSGatlas-internal_UTR-50</v>
      </c>
      <c r="B51" s="3">
        <v>117257</v>
      </c>
      <c r="C51" s="3">
        <v>117348</v>
      </c>
      <c r="D51" s="1" t="s">
        <v>9</v>
      </c>
      <c r="E51" s="1" t="s">
        <v>4386</v>
      </c>
    </row>
    <row r="52" spans="1:5" ht="21" x14ac:dyDescent="0.25">
      <c r="A52" s="2" t="str">
        <f>HYPERLINK("https://rth.dk/resources/bsgatlas/details.php?id=BSGatlas-internal_UTR-51","BSGatlas-internal_UTR-51")</f>
        <v>BSGatlas-internal_UTR-51</v>
      </c>
      <c r="B52" s="3">
        <v>117499</v>
      </c>
      <c r="C52" s="3">
        <v>117531</v>
      </c>
      <c r="D52" s="1" t="s">
        <v>9</v>
      </c>
      <c r="E52" s="1" t="s">
        <v>4386</v>
      </c>
    </row>
    <row r="53" spans="1:5" ht="21" x14ac:dyDescent="0.25">
      <c r="A53" s="2" t="str">
        <f>HYPERLINK("https://rth.dk/resources/bsgatlas/details.php?id=BSGatlas-internal_UTR-52","BSGatlas-internal_UTR-52")</f>
        <v>BSGatlas-internal_UTR-52</v>
      </c>
      <c r="B53" s="3">
        <v>119017</v>
      </c>
      <c r="C53" s="3">
        <v>119110</v>
      </c>
      <c r="D53" s="1" t="s">
        <v>9</v>
      </c>
      <c r="E53" s="1" t="s">
        <v>4377</v>
      </c>
    </row>
    <row r="54" spans="1:5" ht="21" x14ac:dyDescent="0.25">
      <c r="A54" s="2" t="str">
        <f>HYPERLINK("https://rth.dk/resources/bsgatlas/details.php?id=BSGatlas-internal_UTR-53","BSGatlas-internal_UTR-53")</f>
        <v>BSGatlas-internal_UTR-53</v>
      </c>
      <c r="B54" s="3">
        <v>119810</v>
      </c>
      <c r="C54" s="3">
        <v>119853</v>
      </c>
      <c r="D54" s="1" t="s">
        <v>9</v>
      </c>
      <c r="E54" s="1" t="s">
        <v>4377</v>
      </c>
    </row>
    <row r="55" spans="1:5" ht="21" x14ac:dyDescent="0.25">
      <c r="A55" s="2" t="str">
        <f>HYPERLINK("https://rth.dk/resources/bsgatlas/details.php?id=BSGatlas-internal_UTR-54","BSGatlas-internal_UTR-54")</f>
        <v>BSGatlas-internal_UTR-54</v>
      </c>
      <c r="B55" s="3">
        <v>119996</v>
      </c>
      <c r="C55" s="3">
        <v>120060</v>
      </c>
      <c r="D55" s="1" t="s">
        <v>9</v>
      </c>
      <c r="E55" s="1" t="s">
        <v>4377</v>
      </c>
    </row>
    <row r="56" spans="1:5" ht="21" x14ac:dyDescent="0.25">
      <c r="A56" s="2" t="str">
        <f>HYPERLINK("https://rth.dk/resources/bsgatlas/details.php?id=BSGatlas-internal_UTR-55","BSGatlas-internal_UTR-55")</f>
        <v>BSGatlas-internal_UTR-55</v>
      </c>
      <c r="B56" s="3">
        <v>120562</v>
      </c>
      <c r="C56" s="3">
        <v>120606</v>
      </c>
      <c r="D56" s="1" t="s">
        <v>9</v>
      </c>
      <c r="E56" s="1" t="s">
        <v>14709</v>
      </c>
    </row>
    <row r="57" spans="1:5" ht="21" x14ac:dyDescent="0.25">
      <c r="A57" s="2" t="str">
        <f>HYPERLINK("https://rth.dk/resources/bsgatlas/details.php?id=BSGatlas-internal_UTR-56","BSGatlas-internal_UTR-56")</f>
        <v>BSGatlas-internal_UTR-56</v>
      </c>
      <c r="B57" s="3">
        <v>125501</v>
      </c>
      <c r="C57" s="3">
        <v>125561</v>
      </c>
      <c r="D57" s="1" t="s">
        <v>9</v>
      </c>
      <c r="E57" s="1" t="s">
        <v>4373</v>
      </c>
    </row>
    <row r="58" spans="1:5" ht="21" x14ac:dyDescent="0.25">
      <c r="A58" s="2" t="str">
        <f>HYPERLINK("https://rth.dk/resources/bsgatlas/details.php?id=BSGatlas-internal_UTR-57","BSGatlas-internal_UTR-57")</f>
        <v>BSGatlas-internal_UTR-57</v>
      </c>
      <c r="B58" s="3">
        <v>129589</v>
      </c>
      <c r="C58" s="3">
        <v>129701</v>
      </c>
      <c r="D58" s="1" t="s">
        <v>9</v>
      </c>
      <c r="E58" s="1" t="s">
        <v>4377</v>
      </c>
    </row>
    <row r="59" spans="1:5" ht="21" x14ac:dyDescent="0.25">
      <c r="A59" s="2" t="str">
        <f>HYPERLINK("https://rth.dk/resources/bsgatlas/details.php?id=BSGatlas-internal_UTR-58","BSGatlas-internal_UTR-58")</f>
        <v>BSGatlas-internal_UTR-58</v>
      </c>
      <c r="B59" s="3">
        <v>130119</v>
      </c>
      <c r="C59" s="3">
        <v>130159</v>
      </c>
      <c r="D59" s="1" t="s">
        <v>9</v>
      </c>
      <c r="E59" s="1" t="s">
        <v>4377</v>
      </c>
    </row>
    <row r="60" spans="1:5" ht="21" x14ac:dyDescent="0.25">
      <c r="A60" s="2" t="str">
        <f>HYPERLINK("https://rth.dk/resources/bsgatlas/details.php?id=BSGatlas-internal_UTR-59","BSGatlas-internal_UTR-59")</f>
        <v>BSGatlas-internal_UTR-59</v>
      </c>
      <c r="B60" s="3">
        <v>130631</v>
      </c>
      <c r="C60" s="3">
        <v>130683</v>
      </c>
      <c r="D60" s="1" t="s">
        <v>9</v>
      </c>
      <c r="E60" s="1" t="s">
        <v>4377</v>
      </c>
    </row>
    <row r="61" spans="1:5" ht="21" x14ac:dyDescent="0.25">
      <c r="A61" s="2" t="str">
        <f>HYPERLINK("https://rth.dk/resources/bsgatlas/details.php?id=BSGatlas-internal_UTR-60","BSGatlas-internal_UTR-60")</f>
        <v>BSGatlas-internal_UTR-60</v>
      </c>
      <c r="B61" s="3">
        <v>132763</v>
      </c>
      <c r="C61" s="3">
        <v>132881</v>
      </c>
      <c r="D61" s="1" t="s">
        <v>9</v>
      </c>
      <c r="E61" s="1" t="s">
        <v>4377</v>
      </c>
    </row>
    <row r="62" spans="1:5" ht="21" x14ac:dyDescent="0.25">
      <c r="A62" s="2" t="str">
        <f>HYPERLINK("https://rth.dk/resources/bsgatlas/details.php?id=BSGatlas-internal_UTR-61","BSGatlas-internal_UTR-61")</f>
        <v>BSGatlas-internal_UTR-61</v>
      </c>
      <c r="B62" s="3">
        <v>135673</v>
      </c>
      <c r="C62" s="3">
        <v>135711</v>
      </c>
      <c r="D62" s="1" t="s">
        <v>9</v>
      </c>
      <c r="E62" s="1" t="s">
        <v>4377</v>
      </c>
    </row>
    <row r="63" spans="1:5" ht="21" x14ac:dyDescent="0.25">
      <c r="A63" s="2" t="str">
        <f>HYPERLINK("https://rth.dk/resources/bsgatlas/details.php?id=BSGatlas-internal_UTR-62","BSGatlas-internal_UTR-62")</f>
        <v>BSGatlas-internal_UTR-62</v>
      </c>
      <c r="B63" s="3">
        <v>136342</v>
      </c>
      <c r="C63" s="3">
        <v>136368</v>
      </c>
      <c r="D63" s="1" t="s">
        <v>9</v>
      </c>
      <c r="E63" s="1" t="s">
        <v>4377</v>
      </c>
    </row>
    <row r="64" spans="1:5" ht="21" x14ac:dyDescent="0.25">
      <c r="A64" s="2" t="str">
        <f>HYPERLINK("https://rth.dk/resources/bsgatlas/details.php?id=BSGatlas-internal_UTR-63","BSGatlas-internal_UTR-63")</f>
        <v>BSGatlas-internal_UTR-63</v>
      </c>
      <c r="B64" s="3">
        <v>137280</v>
      </c>
      <c r="C64" s="3">
        <v>137310</v>
      </c>
      <c r="D64" s="1" t="s">
        <v>9</v>
      </c>
      <c r="E64" s="1" t="s">
        <v>4377</v>
      </c>
    </row>
    <row r="65" spans="1:5" ht="21" x14ac:dyDescent="0.25">
      <c r="A65" s="2" t="str">
        <f>HYPERLINK("https://rth.dk/resources/bsgatlas/details.php?id=BSGatlas-internal_UTR-64","BSGatlas-internal_UTR-64")</f>
        <v>BSGatlas-internal_UTR-64</v>
      </c>
      <c r="B65" s="3">
        <v>138145</v>
      </c>
      <c r="C65" s="3">
        <v>138201</v>
      </c>
      <c r="D65" s="1" t="s">
        <v>9</v>
      </c>
      <c r="E65" s="1" t="s">
        <v>4377</v>
      </c>
    </row>
    <row r="66" spans="1:5" ht="21" x14ac:dyDescent="0.25">
      <c r="A66" s="2" t="str">
        <f>HYPERLINK("https://rth.dk/resources/bsgatlas/details.php?id=BSGatlas-internal_UTR-65","BSGatlas-internal_UTR-65")</f>
        <v>BSGatlas-internal_UTR-65</v>
      </c>
      <c r="B66" s="3">
        <v>138481</v>
      </c>
      <c r="C66" s="3">
        <v>138496</v>
      </c>
      <c r="D66" s="1" t="s">
        <v>9</v>
      </c>
      <c r="E66" s="1" t="s">
        <v>4377</v>
      </c>
    </row>
    <row r="67" spans="1:5" ht="21" x14ac:dyDescent="0.25">
      <c r="A67" s="2" t="str">
        <f>HYPERLINK("https://rth.dk/resources/bsgatlas/details.php?id=BSGatlas-internal_UTR-66","BSGatlas-internal_UTR-66")</f>
        <v>BSGatlas-internal_UTR-66</v>
      </c>
      <c r="B67" s="3">
        <v>140125</v>
      </c>
      <c r="C67" s="3">
        <v>140146</v>
      </c>
      <c r="D67" s="1" t="s">
        <v>9</v>
      </c>
      <c r="E67" s="1" t="s">
        <v>4377</v>
      </c>
    </row>
    <row r="68" spans="1:5" ht="21" x14ac:dyDescent="0.25">
      <c r="A68" s="2" t="str">
        <f>HYPERLINK("https://rth.dk/resources/bsgatlas/details.php?id=BSGatlas-internal_UTR-67","BSGatlas-internal_UTR-67")</f>
        <v>BSGatlas-internal_UTR-67</v>
      </c>
      <c r="B68" s="3">
        <v>140411</v>
      </c>
      <c r="C68" s="3">
        <v>140450</v>
      </c>
      <c r="D68" s="1" t="s">
        <v>9</v>
      </c>
      <c r="E68" s="1" t="s">
        <v>4377</v>
      </c>
    </row>
    <row r="69" spans="1:5" ht="21" x14ac:dyDescent="0.25">
      <c r="A69" s="2" t="str">
        <f>HYPERLINK("https://rth.dk/resources/bsgatlas/details.php?id=BSGatlas-internal_UTR-68","BSGatlas-internal_UTR-68")</f>
        <v>BSGatlas-internal_UTR-68</v>
      </c>
      <c r="B69" s="3">
        <v>140820</v>
      </c>
      <c r="C69" s="3">
        <v>140856</v>
      </c>
      <c r="D69" s="1" t="s">
        <v>9</v>
      </c>
      <c r="E69" s="1" t="s">
        <v>4377</v>
      </c>
    </row>
    <row r="70" spans="1:5" ht="21" x14ac:dyDescent="0.25">
      <c r="A70" s="2" t="str">
        <f>HYPERLINK("https://rth.dk/resources/bsgatlas/details.php?id=BSGatlas-internal_UTR-69","BSGatlas-internal_UTR-69")</f>
        <v>BSGatlas-internal_UTR-69</v>
      </c>
      <c r="B70" s="3">
        <v>141169</v>
      </c>
      <c r="C70" s="3">
        <v>141194</v>
      </c>
      <c r="D70" s="1" t="s">
        <v>9</v>
      </c>
      <c r="E70" s="1" t="s">
        <v>4377</v>
      </c>
    </row>
    <row r="71" spans="1:5" ht="21" x14ac:dyDescent="0.25">
      <c r="A71" s="2" t="str">
        <f>HYPERLINK("https://rth.dk/resources/bsgatlas/details.php?id=BSGatlas-internal_UTR-70","BSGatlas-internal_UTR-70")</f>
        <v>BSGatlas-internal_UTR-70</v>
      </c>
      <c r="B71" s="3">
        <v>141735</v>
      </c>
      <c r="C71" s="3">
        <v>141756</v>
      </c>
      <c r="D71" s="1" t="s">
        <v>9</v>
      </c>
      <c r="E71" s="1" t="s">
        <v>4377</v>
      </c>
    </row>
    <row r="72" spans="1:5" ht="21" x14ac:dyDescent="0.25">
      <c r="A72" s="2" t="str">
        <f>HYPERLINK("https://rth.dk/resources/bsgatlas/details.php?id=BSGatlas-internal_UTR-71","BSGatlas-internal_UTR-71")</f>
        <v>BSGatlas-internal_UTR-71</v>
      </c>
      <c r="B72" s="3">
        <v>141943</v>
      </c>
      <c r="C72" s="3">
        <v>141973</v>
      </c>
      <c r="D72" s="1" t="s">
        <v>9</v>
      </c>
      <c r="E72" s="1" t="s">
        <v>4377</v>
      </c>
    </row>
    <row r="73" spans="1:5" ht="21" x14ac:dyDescent="0.25">
      <c r="A73" s="2" t="str">
        <f>HYPERLINK("https://rth.dk/resources/bsgatlas/details.php?id=BSGatlas-internal_UTR-72","BSGatlas-internal_UTR-72")</f>
        <v>BSGatlas-internal_UTR-72</v>
      </c>
      <c r="B73" s="3">
        <v>142373</v>
      </c>
      <c r="C73" s="3">
        <v>142401</v>
      </c>
      <c r="D73" s="1" t="s">
        <v>9</v>
      </c>
      <c r="E73" s="1" t="s">
        <v>4377</v>
      </c>
    </row>
    <row r="74" spans="1:5" ht="21" x14ac:dyDescent="0.25">
      <c r="A74" s="2" t="str">
        <f>HYPERLINK("https://rth.dk/resources/bsgatlas/details.php?id=BSGatlas-internal_UTR-73","BSGatlas-internal_UTR-73")</f>
        <v>BSGatlas-internal_UTR-73</v>
      </c>
      <c r="B74" s="3">
        <v>142942</v>
      </c>
      <c r="C74" s="3">
        <v>142973</v>
      </c>
      <c r="D74" s="1" t="s">
        <v>9</v>
      </c>
      <c r="E74" s="1" t="s">
        <v>4377</v>
      </c>
    </row>
    <row r="75" spans="1:5" ht="21" x14ac:dyDescent="0.25">
      <c r="A75" s="2" t="str">
        <f>HYPERLINK("https://rth.dk/resources/bsgatlas/details.php?id=BSGatlas-internal_UTR-74","BSGatlas-internal_UTR-74")</f>
        <v>BSGatlas-internal_UTR-74</v>
      </c>
      <c r="B75" s="3">
        <v>143337</v>
      </c>
      <c r="C75" s="3">
        <v>143360</v>
      </c>
      <c r="D75" s="1" t="s">
        <v>9</v>
      </c>
      <c r="E75" s="1" t="s">
        <v>4377</v>
      </c>
    </row>
    <row r="76" spans="1:5" ht="21" x14ac:dyDescent="0.25">
      <c r="A76" s="2" t="str">
        <f>HYPERLINK("https://rth.dk/resources/bsgatlas/details.php?id=BSGatlas-internal_UTR-75","BSGatlas-internal_UTR-75")</f>
        <v>BSGatlas-internal_UTR-75</v>
      </c>
      <c r="B76" s="3">
        <v>144055</v>
      </c>
      <c r="C76" s="3">
        <v>144084</v>
      </c>
      <c r="D76" s="1" t="s">
        <v>9</v>
      </c>
      <c r="E76" s="1" t="s">
        <v>4377</v>
      </c>
    </row>
    <row r="77" spans="1:5" ht="21" x14ac:dyDescent="0.25">
      <c r="A77" s="2" t="str">
        <f>HYPERLINK("https://rth.dk/resources/bsgatlas/details.php?id=BSGatlas-internal_UTR-76","BSGatlas-internal_UTR-76")</f>
        <v>BSGatlas-internal_UTR-76</v>
      </c>
      <c r="B77" s="3">
        <v>145823</v>
      </c>
      <c r="C77" s="3">
        <v>145876</v>
      </c>
      <c r="D77" s="1" t="s">
        <v>9</v>
      </c>
      <c r="E77" s="1" t="s">
        <v>14710</v>
      </c>
    </row>
    <row r="78" spans="1:5" ht="21" x14ac:dyDescent="0.25">
      <c r="A78" s="2" t="str">
        <f>HYPERLINK("https://rth.dk/resources/bsgatlas/details.php?id=BSGatlas-internal_UTR-77","BSGatlas-internal_UTR-77")</f>
        <v>BSGatlas-internal_UTR-77</v>
      </c>
      <c r="B78" s="3">
        <v>147274</v>
      </c>
      <c r="C78" s="3">
        <v>147311</v>
      </c>
      <c r="D78" s="1" t="s">
        <v>9</v>
      </c>
      <c r="E78" s="1" t="s">
        <v>4377</v>
      </c>
    </row>
    <row r="79" spans="1:5" ht="21" x14ac:dyDescent="0.25">
      <c r="A79" s="2" t="str">
        <f>HYPERLINK("https://rth.dk/resources/bsgatlas/details.php?id=BSGatlas-internal_UTR-78","BSGatlas-internal_UTR-78")</f>
        <v>BSGatlas-internal_UTR-78</v>
      </c>
      <c r="B79" s="3">
        <v>147537</v>
      </c>
      <c r="C79" s="3">
        <v>147584</v>
      </c>
      <c r="D79" s="1" t="s">
        <v>9</v>
      </c>
      <c r="E79" s="1" t="s">
        <v>4377</v>
      </c>
    </row>
    <row r="80" spans="1:5" ht="21" x14ac:dyDescent="0.25">
      <c r="A80" s="2" t="str">
        <f>HYPERLINK("https://rth.dk/resources/bsgatlas/details.php?id=BSGatlas-internal_UTR-79","BSGatlas-internal_UTR-79")</f>
        <v>BSGatlas-internal_UTR-79</v>
      </c>
      <c r="B80" s="3">
        <v>147804</v>
      </c>
      <c r="C80" s="3">
        <v>147836</v>
      </c>
      <c r="D80" s="1" t="s">
        <v>9</v>
      </c>
      <c r="E80" s="1" t="s">
        <v>4377</v>
      </c>
    </row>
    <row r="81" spans="1:5" ht="21" x14ac:dyDescent="0.25">
      <c r="A81" s="2" t="str">
        <f>HYPERLINK("https://rth.dk/resources/bsgatlas/details.php?id=BSGatlas-internal_UTR-80","BSGatlas-internal_UTR-80")</f>
        <v>BSGatlas-internal_UTR-80</v>
      </c>
      <c r="B81" s="3">
        <v>147951</v>
      </c>
      <c r="C81" s="3">
        <v>147972</v>
      </c>
      <c r="D81" s="1" t="s">
        <v>9</v>
      </c>
      <c r="E81" s="1" t="s">
        <v>4377</v>
      </c>
    </row>
    <row r="82" spans="1:5" ht="21" x14ac:dyDescent="0.25">
      <c r="A82" s="2" t="str">
        <f>HYPERLINK("https://rth.dk/resources/bsgatlas/details.php?id=BSGatlas-internal_UTR-81","BSGatlas-internal_UTR-81")</f>
        <v>BSGatlas-internal_UTR-81</v>
      </c>
      <c r="B82" s="3">
        <v>148339</v>
      </c>
      <c r="C82" s="3">
        <v>148358</v>
      </c>
      <c r="D82" s="1" t="s">
        <v>9</v>
      </c>
      <c r="E82" s="1" t="s">
        <v>4377</v>
      </c>
    </row>
    <row r="83" spans="1:5" ht="21" x14ac:dyDescent="0.25">
      <c r="A83" s="2" t="str">
        <f>HYPERLINK("https://rth.dk/resources/bsgatlas/details.php?id=BSGatlas-internal_UTR-82","BSGatlas-internal_UTR-82")</f>
        <v>BSGatlas-internal_UTR-82</v>
      </c>
      <c r="B83" s="3">
        <v>148755</v>
      </c>
      <c r="C83" s="3">
        <v>148930</v>
      </c>
      <c r="D83" s="1" t="s">
        <v>9</v>
      </c>
      <c r="E83" s="1" t="s">
        <v>4377</v>
      </c>
    </row>
    <row r="84" spans="1:5" ht="21" x14ac:dyDescent="0.25">
      <c r="A84" s="2" t="str">
        <f>HYPERLINK("https://rth.dk/resources/bsgatlas/details.php?id=BSGatlas-internal_UTR-83","BSGatlas-internal_UTR-83")</f>
        <v>BSGatlas-internal_UTR-83</v>
      </c>
      <c r="B84" s="3">
        <v>149876</v>
      </c>
      <c r="C84" s="3">
        <v>149952</v>
      </c>
      <c r="D84" s="1" t="s">
        <v>9</v>
      </c>
      <c r="E84" s="1" t="s">
        <v>4377</v>
      </c>
    </row>
    <row r="85" spans="1:5" ht="21" x14ac:dyDescent="0.25">
      <c r="A85" s="2" t="str">
        <f>HYPERLINK("https://rth.dk/resources/bsgatlas/details.php?id=BSGatlas-internal_UTR-84","BSGatlas-internal_UTR-84")</f>
        <v>BSGatlas-internal_UTR-84</v>
      </c>
      <c r="B85" s="3">
        <v>153681</v>
      </c>
      <c r="C85" s="3">
        <v>153735</v>
      </c>
      <c r="D85" s="1" t="s">
        <v>9</v>
      </c>
      <c r="E85" s="1" t="s">
        <v>4377</v>
      </c>
    </row>
    <row r="86" spans="1:5" ht="21" x14ac:dyDescent="0.25">
      <c r="A86" s="2" t="str">
        <f>HYPERLINK("https://rth.dk/resources/bsgatlas/details.php?id=BSGatlas-internal_UTR-85","BSGatlas-internal_UTR-85")</f>
        <v>BSGatlas-internal_UTR-85</v>
      </c>
      <c r="B86" s="3">
        <v>153794</v>
      </c>
      <c r="C86" s="3">
        <v>153841</v>
      </c>
      <c r="D86" s="1" t="s">
        <v>9</v>
      </c>
      <c r="E86" s="1" t="s">
        <v>4377</v>
      </c>
    </row>
    <row r="87" spans="1:5" ht="21" x14ac:dyDescent="0.25">
      <c r="A87" s="2" t="str">
        <f>HYPERLINK("https://rth.dk/resources/bsgatlas/details.php?id=BSGatlas-internal_UTR-86","BSGatlas-internal_UTR-86")</f>
        <v>BSGatlas-internal_UTR-86</v>
      </c>
      <c r="B87" s="3">
        <v>154280</v>
      </c>
      <c r="C87" s="3">
        <v>154299</v>
      </c>
      <c r="D87" s="1" t="s">
        <v>9</v>
      </c>
      <c r="E87" s="1" t="s">
        <v>14705</v>
      </c>
    </row>
    <row r="88" spans="1:5" ht="21" x14ac:dyDescent="0.25">
      <c r="A88" s="2" t="str">
        <f>HYPERLINK("https://rth.dk/resources/bsgatlas/details.php?id=BSGatlas-internal_UTR-87","BSGatlas-internal_UTR-87")</f>
        <v>BSGatlas-internal_UTR-87</v>
      </c>
      <c r="B88" s="3">
        <v>156553</v>
      </c>
      <c r="C88" s="3">
        <v>156611</v>
      </c>
      <c r="D88" s="1" t="s">
        <v>9</v>
      </c>
      <c r="E88" s="1" t="s">
        <v>4386</v>
      </c>
    </row>
    <row r="89" spans="1:5" ht="21" x14ac:dyDescent="0.25">
      <c r="A89" s="2" t="str">
        <f>HYPERLINK("https://rth.dk/resources/bsgatlas/details.php?id=BSGatlas-internal_UTR-88","BSGatlas-internal_UTR-88")</f>
        <v>BSGatlas-internal_UTR-88</v>
      </c>
      <c r="B89" s="3">
        <v>182352</v>
      </c>
      <c r="C89" s="3">
        <v>182369</v>
      </c>
      <c r="D89" s="1" t="s">
        <v>13</v>
      </c>
      <c r="E89" s="1" t="s">
        <v>4547</v>
      </c>
    </row>
    <row r="90" spans="1:5" ht="21" x14ac:dyDescent="0.25">
      <c r="A90" s="2" t="str">
        <f>HYPERLINK("https://rth.dk/resources/bsgatlas/details.php?id=BSGatlas-internal_UTR-89","BSGatlas-internal_UTR-89")</f>
        <v>BSGatlas-internal_UTR-89</v>
      </c>
      <c r="B90" s="3">
        <v>188381</v>
      </c>
      <c r="C90" s="3">
        <v>188407</v>
      </c>
      <c r="D90" s="1" t="s">
        <v>13</v>
      </c>
      <c r="E90" s="1" t="s">
        <v>4373</v>
      </c>
    </row>
    <row r="91" spans="1:5" ht="21" x14ac:dyDescent="0.25">
      <c r="A91" s="2" t="str">
        <f>HYPERLINK("https://rth.dk/resources/bsgatlas/details.php?id=BSGatlas-internal_UTR-90","BSGatlas-internal_UTR-90")</f>
        <v>BSGatlas-internal_UTR-90</v>
      </c>
      <c r="B91" s="3">
        <v>189734</v>
      </c>
      <c r="C91" s="3">
        <v>189789</v>
      </c>
      <c r="D91" s="1" t="s">
        <v>13</v>
      </c>
      <c r="E91" s="1" t="s">
        <v>4373</v>
      </c>
    </row>
    <row r="92" spans="1:5" ht="21" x14ac:dyDescent="0.25">
      <c r="A92" s="2" t="str">
        <f>HYPERLINK("https://rth.dk/resources/bsgatlas/details.php?id=BSGatlas-internal_UTR-91","BSGatlas-internal_UTR-91")</f>
        <v>BSGatlas-internal_UTR-91</v>
      </c>
      <c r="B92" s="3">
        <v>191158</v>
      </c>
      <c r="C92" s="3">
        <v>191182</v>
      </c>
      <c r="D92" s="1" t="s">
        <v>13</v>
      </c>
      <c r="E92" s="1" t="s">
        <v>4373</v>
      </c>
    </row>
    <row r="93" spans="1:5" ht="21" x14ac:dyDescent="0.25">
      <c r="A93" s="2" t="str">
        <f>HYPERLINK("https://rth.dk/resources/bsgatlas/details.php?id=BSGatlas-internal_UTR-92","BSGatlas-internal_UTR-92")</f>
        <v>BSGatlas-internal_UTR-92</v>
      </c>
      <c r="B93" s="3">
        <v>192035</v>
      </c>
      <c r="C93" s="3">
        <v>192050</v>
      </c>
      <c r="D93" s="1" t="s">
        <v>13</v>
      </c>
      <c r="E93" s="1" t="s">
        <v>4373</v>
      </c>
    </row>
    <row r="94" spans="1:5" ht="21" x14ac:dyDescent="0.25">
      <c r="A94" s="2" t="str">
        <f>HYPERLINK("https://rth.dk/resources/bsgatlas/details.php?id=BSGatlas-internal_UTR-93","BSGatlas-internal_UTR-93")</f>
        <v>BSGatlas-internal_UTR-93</v>
      </c>
      <c r="B94" s="3">
        <v>194436</v>
      </c>
      <c r="C94" s="3">
        <v>194456</v>
      </c>
      <c r="D94" s="1" t="s">
        <v>9</v>
      </c>
      <c r="E94" s="1" t="s">
        <v>4377</v>
      </c>
    </row>
    <row r="95" spans="1:5" ht="21" x14ac:dyDescent="0.25">
      <c r="A95" s="2" t="str">
        <f>HYPERLINK("https://rth.dk/resources/bsgatlas/details.php?id=BSGatlas-internal_UTR-94","BSGatlas-internal_UTR-94")</f>
        <v>BSGatlas-internal_UTR-94</v>
      </c>
      <c r="B95" s="3">
        <v>198479</v>
      </c>
      <c r="C95" s="3">
        <v>198496</v>
      </c>
      <c r="D95" s="1" t="s">
        <v>9</v>
      </c>
      <c r="E95" s="1" t="s">
        <v>14707</v>
      </c>
    </row>
    <row r="96" spans="1:5" ht="21" x14ac:dyDescent="0.25">
      <c r="A96" s="2" t="str">
        <f>HYPERLINK("https://rth.dk/resources/bsgatlas/details.php?id=BSGatlas-internal_UTR-95","BSGatlas-internal_UTR-95")</f>
        <v>BSGatlas-internal_UTR-95</v>
      </c>
      <c r="B96" s="3">
        <v>199844</v>
      </c>
      <c r="C96" s="3">
        <v>200015</v>
      </c>
      <c r="D96" s="1" t="s">
        <v>9</v>
      </c>
      <c r="E96" s="1" t="s">
        <v>4373</v>
      </c>
    </row>
    <row r="97" spans="1:5" ht="21" x14ac:dyDescent="0.25">
      <c r="A97" s="2" t="str">
        <f>HYPERLINK("https://rth.dk/resources/bsgatlas/details.php?id=BSGatlas-internal_UTR-96","BSGatlas-internal_UTR-96")</f>
        <v>BSGatlas-internal_UTR-96</v>
      </c>
      <c r="B97" s="3">
        <v>200188</v>
      </c>
      <c r="C97" s="3">
        <v>200276</v>
      </c>
      <c r="D97" s="1" t="s">
        <v>9</v>
      </c>
      <c r="E97" s="1" t="s">
        <v>4373</v>
      </c>
    </row>
    <row r="98" spans="1:5" ht="21" x14ac:dyDescent="0.25">
      <c r="A98" s="2" t="str">
        <f>HYPERLINK("https://rth.dk/resources/bsgatlas/details.php?id=BSGatlas-internal_UTR-97","BSGatlas-internal_UTR-97")</f>
        <v>BSGatlas-internal_UTR-97</v>
      </c>
      <c r="B98" s="3">
        <v>209557</v>
      </c>
      <c r="C98" s="3">
        <v>209632</v>
      </c>
      <c r="D98" s="1" t="s">
        <v>9</v>
      </c>
      <c r="E98" s="1" t="s">
        <v>4377</v>
      </c>
    </row>
    <row r="99" spans="1:5" ht="21" x14ac:dyDescent="0.25">
      <c r="A99" s="2" t="str">
        <f>HYPERLINK("https://rth.dk/resources/bsgatlas/details.php?id=BSGatlas-internal_UTR-98","BSGatlas-internal_UTR-98")</f>
        <v>BSGatlas-internal_UTR-98</v>
      </c>
      <c r="B99" s="3">
        <v>210161</v>
      </c>
      <c r="C99" s="3">
        <v>210223</v>
      </c>
      <c r="D99" s="1" t="s">
        <v>9</v>
      </c>
      <c r="E99" s="1" t="s">
        <v>4377</v>
      </c>
    </row>
    <row r="100" spans="1:5" ht="21" x14ac:dyDescent="0.25">
      <c r="A100" s="2" t="str">
        <f>HYPERLINK("https://rth.dk/resources/bsgatlas/details.php?id=BSGatlas-internal_UTR-99","BSGatlas-internal_UTR-99")</f>
        <v>BSGatlas-internal_UTR-99</v>
      </c>
      <c r="B100" s="3">
        <v>210515</v>
      </c>
      <c r="C100" s="3">
        <v>210571</v>
      </c>
      <c r="D100" s="1" t="s">
        <v>9</v>
      </c>
      <c r="E100" s="1" t="s">
        <v>4377</v>
      </c>
    </row>
    <row r="101" spans="1:5" ht="21" x14ac:dyDescent="0.25">
      <c r="A101" s="2" t="str">
        <f>HYPERLINK("https://rth.dk/resources/bsgatlas/details.php?id=BSGatlas-internal_UTR-100","BSGatlas-internal_UTR-100")</f>
        <v>BSGatlas-internal_UTR-100</v>
      </c>
      <c r="B101" s="3">
        <v>214109</v>
      </c>
      <c r="C101" s="3">
        <v>214174</v>
      </c>
      <c r="D101" s="1" t="s">
        <v>9</v>
      </c>
      <c r="E101" s="1" t="s">
        <v>4382</v>
      </c>
    </row>
    <row r="102" spans="1:5" ht="21" x14ac:dyDescent="0.25">
      <c r="A102" s="2" t="str">
        <f>HYPERLINK("https://rth.dk/resources/bsgatlas/details.php?id=BSGatlas-internal_UTR-101","BSGatlas-internal_UTR-101")</f>
        <v>BSGatlas-internal_UTR-101</v>
      </c>
      <c r="B102" s="3">
        <v>216895</v>
      </c>
      <c r="C102" s="3">
        <v>216912</v>
      </c>
      <c r="D102" s="1" t="s">
        <v>9</v>
      </c>
      <c r="E102" s="1" t="s">
        <v>4382</v>
      </c>
    </row>
    <row r="103" spans="1:5" ht="21" x14ac:dyDescent="0.25">
      <c r="A103" s="2" t="str">
        <f>HYPERLINK("https://rth.dk/resources/bsgatlas/details.php?id=BSGatlas-internal_UTR-102","BSGatlas-internal_UTR-102")</f>
        <v>BSGatlas-internal_UTR-102</v>
      </c>
      <c r="B103" s="3">
        <v>217633</v>
      </c>
      <c r="C103" s="3">
        <v>217696</v>
      </c>
      <c r="D103" s="1" t="s">
        <v>9</v>
      </c>
      <c r="E103" s="1" t="s">
        <v>4382</v>
      </c>
    </row>
    <row r="104" spans="1:5" ht="21" x14ac:dyDescent="0.25">
      <c r="A104" s="2" t="str">
        <f>HYPERLINK("https://rth.dk/resources/bsgatlas/details.php?id=BSGatlas-internal_UTR-103","BSGatlas-internal_UTR-103")</f>
        <v>BSGatlas-internal_UTR-103</v>
      </c>
      <c r="B104" s="3">
        <v>219041</v>
      </c>
      <c r="C104" s="3">
        <v>219086</v>
      </c>
      <c r="D104" s="1" t="s">
        <v>9</v>
      </c>
      <c r="E104" s="1" t="s">
        <v>4382</v>
      </c>
    </row>
    <row r="105" spans="1:5" ht="21" x14ac:dyDescent="0.25">
      <c r="A105" s="2" t="str">
        <f>HYPERLINK("https://rth.dk/resources/bsgatlas/details.php?id=BSGatlas-internal_UTR-104","BSGatlas-internal_UTR-104")</f>
        <v>BSGatlas-internal_UTR-104</v>
      </c>
      <c r="B105" s="3">
        <v>228315</v>
      </c>
      <c r="C105" s="3">
        <v>228330</v>
      </c>
      <c r="D105" s="1" t="s">
        <v>9</v>
      </c>
      <c r="E105" s="1" t="s">
        <v>4386</v>
      </c>
    </row>
    <row r="106" spans="1:5" ht="21" x14ac:dyDescent="0.25">
      <c r="A106" s="2" t="str">
        <f>HYPERLINK("https://rth.dk/resources/bsgatlas/details.php?id=BSGatlas-internal_UTR-105","BSGatlas-internal_UTR-105")</f>
        <v>BSGatlas-internal_UTR-105</v>
      </c>
      <c r="B106" s="3">
        <v>233896</v>
      </c>
      <c r="C106" s="3">
        <v>233993</v>
      </c>
      <c r="D106" s="1" t="s">
        <v>13</v>
      </c>
      <c r="E106" s="1" t="s">
        <v>4373</v>
      </c>
    </row>
    <row r="107" spans="1:5" ht="21" x14ac:dyDescent="0.25">
      <c r="A107" s="2" t="str">
        <f>HYPERLINK("https://rth.dk/resources/bsgatlas/details.php?id=BSGatlas-internal_UTR-106","BSGatlas-internal_UTR-106")</f>
        <v>BSGatlas-internal_UTR-106</v>
      </c>
      <c r="B107" s="3">
        <v>235874</v>
      </c>
      <c r="C107" s="3">
        <v>235964</v>
      </c>
      <c r="D107" s="1" t="s">
        <v>9</v>
      </c>
      <c r="E107" s="1" t="s">
        <v>4373</v>
      </c>
    </row>
    <row r="108" spans="1:5" ht="21" x14ac:dyDescent="0.25">
      <c r="A108" s="2" t="str">
        <f>HYPERLINK("https://rth.dk/resources/bsgatlas/details.php?id=BSGatlas-internal_UTR-107","BSGatlas-internal_UTR-107")</f>
        <v>BSGatlas-internal_UTR-107</v>
      </c>
      <c r="B108" s="3">
        <v>238477</v>
      </c>
      <c r="C108" s="3">
        <v>238643</v>
      </c>
      <c r="D108" s="1" t="s">
        <v>13</v>
      </c>
      <c r="E108" s="1" t="s">
        <v>4373</v>
      </c>
    </row>
    <row r="109" spans="1:5" ht="21" x14ac:dyDescent="0.25">
      <c r="A109" s="2" t="str">
        <f>HYPERLINK("https://rth.dk/resources/bsgatlas/details.php?id=BSGatlas-internal_UTR-108","BSGatlas-internal_UTR-108")</f>
        <v>BSGatlas-internal_UTR-108</v>
      </c>
      <c r="B109" s="3">
        <v>239556</v>
      </c>
      <c r="C109" s="3">
        <v>239643</v>
      </c>
      <c r="D109" s="1" t="s">
        <v>13</v>
      </c>
      <c r="E109" s="1" t="s">
        <v>4373</v>
      </c>
    </row>
    <row r="110" spans="1:5" ht="21" x14ac:dyDescent="0.25">
      <c r="A110" s="2" t="str">
        <f>HYPERLINK("https://rth.dk/resources/bsgatlas/details.php?id=BSGatlas-internal_UTR-109","BSGatlas-internal_UTR-109")</f>
        <v>BSGatlas-internal_UTR-109</v>
      </c>
      <c r="B110" s="3">
        <v>247549</v>
      </c>
      <c r="C110" s="3">
        <v>247743</v>
      </c>
      <c r="D110" s="1" t="s">
        <v>9</v>
      </c>
      <c r="E110" s="1" t="s">
        <v>4373</v>
      </c>
    </row>
    <row r="111" spans="1:5" ht="21" x14ac:dyDescent="0.25">
      <c r="A111" s="2" t="str">
        <f>HYPERLINK("https://rth.dk/resources/bsgatlas/details.php?id=BSGatlas-internal_UTR-110","BSGatlas-internal_UTR-110")</f>
        <v>BSGatlas-internal_UTR-110</v>
      </c>
      <c r="B111" s="3">
        <v>251320</v>
      </c>
      <c r="C111" s="3">
        <v>251426</v>
      </c>
      <c r="D111" s="1" t="s">
        <v>9</v>
      </c>
      <c r="E111" s="1" t="s">
        <v>14709</v>
      </c>
    </row>
    <row r="112" spans="1:5" ht="21" x14ac:dyDescent="0.25">
      <c r="A112" s="2" t="str">
        <f>HYPERLINK("https://rth.dk/resources/bsgatlas/details.php?id=BSGatlas-internal_UTR-111","BSGatlas-internal_UTR-111")</f>
        <v>BSGatlas-internal_UTR-111</v>
      </c>
      <c r="B112" s="3">
        <v>252315</v>
      </c>
      <c r="C112" s="3">
        <v>252513</v>
      </c>
      <c r="D112" s="1" t="s">
        <v>9</v>
      </c>
      <c r="E112" s="1" t="s">
        <v>4377</v>
      </c>
    </row>
    <row r="113" spans="1:5" ht="21" x14ac:dyDescent="0.25">
      <c r="A113" s="2" t="str">
        <f>HYPERLINK("https://rth.dk/resources/bsgatlas/details.php?id=BSGatlas-internal_UTR-112","BSGatlas-internal_UTR-112")</f>
        <v>BSGatlas-internal_UTR-112</v>
      </c>
      <c r="B113" s="3">
        <v>256803</v>
      </c>
      <c r="C113" s="3">
        <v>256822</v>
      </c>
      <c r="D113" s="1" t="s">
        <v>13</v>
      </c>
      <c r="E113" s="1" t="s">
        <v>4386</v>
      </c>
    </row>
    <row r="114" spans="1:5" ht="21" x14ac:dyDescent="0.25">
      <c r="A114" s="2" t="str">
        <f>HYPERLINK("https://rth.dk/resources/bsgatlas/details.php?id=BSGatlas-internal_UTR-113","BSGatlas-internal_UTR-113")</f>
        <v>BSGatlas-internal_UTR-113</v>
      </c>
      <c r="B114" s="3">
        <v>258499</v>
      </c>
      <c r="C114" s="3">
        <v>258531</v>
      </c>
      <c r="D114" s="1" t="s">
        <v>9</v>
      </c>
      <c r="E114" s="1" t="s">
        <v>4547</v>
      </c>
    </row>
    <row r="115" spans="1:5" ht="21" x14ac:dyDescent="0.25">
      <c r="A115" s="2" t="str">
        <f>HYPERLINK("https://rth.dk/resources/bsgatlas/details.php?id=BSGatlas-internal_UTR-114","BSGatlas-internal_UTR-114")</f>
        <v>BSGatlas-internal_UTR-114</v>
      </c>
      <c r="B115" s="3">
        <v>261536</v>
      </c>
      <c r="C115" s="3">
        <v>261655</v>
      </c>
      <c r="D115" s="1" t="s">
        <v>13</v>
      </c>
      <c r="E115" s="1" t="s">
        <v>4377</v>
      </c>
    </row>
    <row r="116" spans="1:5" ht="21" x14ac:dyDescent="0.25">
      <c r="A116" s="2" t="str">
        <f>HYPERLINK("https://rth.dk/resources/bsgatlas/details.php?id=BSGatlas-internal_UTR-115","BSGatlas-internal_UTR-115")</f>
        <v>BSGatlas-internal_UTR-115</v>
      </c>
      <c r="B116" s="3">
        <v>264169</v>
      </c>
      <c r="C116" s="3">
        <v>264190</v>
      </c>
      <c r="D116" s="1" t="s">
        <v>13</v>
      </c>
      <c r="E116" s="1" t="s">
        <v>4373</v>
      </c>
    </row>
    <row r="117" spans="1:5" ht="21" x14ac:dyDescent="0.25">
      <c r="A117" s="2" t="str">
        <f>HYPERLINK("https://rth.dk/resources/bsgatlas/details.php?id=BSGatlas-internal_UTR-116","BSGatlas-internal_UTR-116")</f>
        <v>BSGatlas-internal_UTR-116</v>
      </c>
      <c r="B117" s="3">
        <v>268817</v>
      </c>
      <c r="C117" s="3">
        <v>268845</v>
      </c>
      <c r="D117" s="1" t="s">
        <v>9</v>
      </c>
      <c r="E117" s="1" t="s">
        <v>4377</v>
      </c>
    </row>
    <row r="118" spans="1:5" ht="21" x14ac:dyDescent="0.25">
      <c r="A118" s="2" t="str">
        <f>HYPERLINK("https://rth.dk/resources/bsgatlas/details.php?id=BSGatlas-internal_UTR-117","BSGatlas-internal_UTR-117")</f>
        <v>BSGatlas-internal_UTR-117</v>
      </c>
      <c r="B118" s="3">
        <v>270313</v>
      </c>
      <c r="C118" s="3">
        <v>270395</v>
      </c>
      <c r="D118" s="1" t="s">
        <v>9</v>
      </c>
      <c r="E118" s="1" t="s">
        <v>4377</v>
      </c>
    </row>
    <row r="119" spans="1:5" ht="21" x14ac:dyDescent="0.25">
      <c r="A119" s="2" t="str">
        <f>HYPERLINK("https://rth.dk/resources/bsgatlas/details.php?id=BSGatlas-internal_UTR-118","BSGatlas-internal_UTR-118")</f>
        <v>BSGatlas-internal_UTR-118</v>
      </c>
      <c r="B119" s="3">
        <v>271764</v>
      </c>
      <c r="C119" s="3">
        <v>271799</v>
      </c>
      <c r="D119" s="1" t="s">
        <v>9</v>
      </c>
      <c r="E119" s="1" t="s">
        <v>4377</v>
      </c>
    </row>
    <row r="120" spans="1:5" ht="21" x14ac:dyDescent="0.25">
      <c r="A120" s="2" t="str">
        <f>HYPERLINK("https://rth.dk/resources/bsgatlas/details.php?id=BSGatlas-internal_UTR-119","BSGatlas-internal_UTR-119")</f>
        <v>BSGatlas-internal_UTR-119</v>
      </c>
      <c r="B120" s="3">
        <v>273168</v>
      </c>
      <c r="C120" s="3">
        <v>273236</v>
      </c>
      <c r="D120" s="1" t="s">
        <v>9</v>
      </c>
      <c r="E120" s="1" t="s">
        <v>4377</v>
      </c>
    </row>
    <row r="121" spans="1:5" ht="21" x14ac:dyDescent="0.25">
      <c r="A121" s="2" t="str">
        <f>HYPERLINK("https://rth.dk/resources/bsgatlas/details.php?id=BSGatlas-internal_UTR-120","BSGatlas-internal_UTR-120")</f>
        <v>BSGatlas-internal_UTR-120</v>
      </c>
      <c r="B121" s="3">
        <v>273939</v>
      </c>
      <c r="C121" s="3">
        <v>274028</v>
      </c>
      <c r="D121" s="1" t="s">
        <v>9</v>
      </c>
      <c r="E121" s="1" t="s">
        <v>4377</v>
      </c>
    </row>
    <row r="122" spans="1:5" ht="21" x14ac:dyDescent="0.25">
      <c r="A122" s="2" t="str">
        <f>HYPERLINK("https://rth.dk/resources/bsgatlas/details.php?id=BSGatlas-internal_UTR-121","BSGatlas-internal_UTR-121")</f>
        <v>BSGatlas-internal_UTR-121</v>
      </c>
      <c r="B122" s="3">
        <v>275562</v>
      </c>
      <c r="C122" s="3">
        <v>275608</v>
      </c>
      <c r="D122" s="1" t="s">
        <v>9</v>
      </c>
      <c r="E122" s="1" t="s">
        <v>4377</v>
      </c>
    </row>
    <row r="123" spans="1:5" ht="21" x14ac:dyDescent="0.25">
      <c r="A123" s="2" t="str">
        <f>HYPERLINK("https://rth.dk/resources/bsgatlas/details.php?id=BSGatlas-internal_UTR-122","BSGatlas-internal_UTR-122")</f>
        <v>BSGatlas-internal_UTR-122</v>
      </c>
      <c r="B123" s="3">
        <v>275717</v>
      </c>
      <c r="C123" s="3">
        <v>275837</v>
      </c>
      <c r="D123" s="1" t="s">
        <v>9</v>
      </c>
      <c r="E123" s="1" t="s">
        <v>4377</v>
      </c>
    </row>
    <row r="124" spans="1:5" ht="21" x14ac:dyDescent="0.25">
      <c r="A124" s="2" t="str">
        <f>HYPERLINK("https://rth.dk/resources/bsgatlas/details.php?id=BSGatlas-internal_UTR-123","BSGatlas-internal_UTR-123")</f>
        <v>BSGatlas-internal_UTR-123</v>
      </c>
      <c r="B124" s="3">
        <v>277322</v>
      </c>
      <c r="C124" s="3">
        <v>277341</v>
      </c>
      <c r="D124" s="1" t="s">
        <v>9</v>
      </c>
      <c r="E124" s="1" t="s">
        <v>4373</v>
      </c>
    </row>
    <row r="125" spans="1:5" ht="21" x14ac:dyDescent="0.25">
      <c r="A125" s="2" t="str">
        <f>HYPERLINK("https://rth.dk/resources/bsgatlas/details.php?id=BSGatlas-internal_UTR-124","BSGatlas-internal_UTR-124")</f>
        <v>BSGatlas-internal_UTR-124</v>
      </c>
      <c r="B125" s="3">
        <v>279995</v>
      </c>
      <c r="C125" s="3">
        <v>280085</v>
      </c>
      <c r="D125" s="1" t="s">
        <v>9</v>
      </c>
      <c r="E125" s="1" t="s">
        <v>4377</v>
      </c>
    </row>
    <row r="126" spans="1:5" ht="21" x14ac:dyDescent="0.25">
      <c r="A126" s="2" t="str">
        <f>HYPERLINK("https://rth.dk/resources/bsgatlas/details.php?id=BSGatlas-internal_UTR-125","BSGatlas-internal_UTR-125")</f>
        <v>BSGatlas-internal_UTR-125</v>
      </c>
      <c r="B126" s="3">
        <v>281010</v>
      </c>
      <c r="C126" s="3">
        <v>281027</v>
      </c>
      <c r="D126" s="1" t="s">
        <v>9</v>
      </c>
      <c r="E126" s="1" t="s">
        <v>4377</v>
      </c>
    </row>
    <row r="127" spans="1:5" ht="21" x14ac:dyDescent="0.25">
      <c r="A127" s="2" t="str">
        <f>HYPERLINK("https://rth.dk/resources/bsgatlas/details.php?id=BSGatlas-internal_UTR-126","BSGatlas-internal_UTR-126")</f>
        <v>BSGatlas-internal_UTR-126</v>
      </c>
      <c r="B127" s="3">
        <v>285988</v>
      </c>
      <c r="C127" s="3">
        <v>286047</v>
      </c>
      <c r="D127" s="1" t="s">
        <v>9</v>
      </c>
      <c r="E127" s="1" t="s">
        <v>4373</v>
      </c>
    </row>
    <row r="128" spans="1:5" ht="21" x14ac:dyDescent="0.25">
      <c r="A128" s="2" t="str">
        <f>HYPERLINK("https://rth.dk/resources/bsgatlas/details.php?id=BSGatlas-internal_UTR-127","BSGatlas-internal_UTR-127")</f>
        <v>BSGatlas-internal_UTR-127</v>
      </c>
      <c r="B128" s="3">
        <v>290093</v>
      </c>
      <c r="C128" s="3">
        <v>290131</v>
      </c>
      <c r="D128" s="1" t="s">
        <v>13</v>
      </c>
      <c r="E128" s="1" t="s">
        <v>4373</v>
      </c>
    </row>
    <row r="129" spans="1:5" ht="21" x14ac:dyDescent="0.25">
      <c r="A129" s="2" t="str">
        <f>HYPERLINK("https://rth.dk/resources/bsgatlas/details.php?id=BSGatlas-internal_UTR-128","BSGatlas-internal_UTR-128")</f>
        <v>BSGatlas-internal_UTR-128</v>
      </c>
      <c r="B129" s="3">
        <v>306435</v>
      </c>
      <c r="C129" s="3">
        <v>306458</v>
      </c>
      <c r="D129" s="1" t="s">
        <v>9</v>
      </c>
      <c r="E129" s="1" t="s">
        <v>4547</v>
      </c>
    </row>
    <row r="130" spans="1:5" ht="21" x14ac:dyDescent="0.25">
      <c r="A130" s="2" t="str">
        <f>HYPERLINK("https://rth.dk/resources/bsgatlas/details.php?id=BSGatlas-internal_UTR-129","BSGatlas-internal_UTR-129")</f>
        <v>BSGatlas-internal_UTR-129</v>
      </c>
      <c r="B130" s="3">
        <v>309292</v>
      </c>
      <c r="C130" s="3">
        <v>309346</v>
      </c>
      <c r="D130" s="1" t="s">
        <v>9</v>
      </c>
      <c r="E130" s="1" t="s">
        <v>4386</v>
      </c>
    </row>
    <row r="131" spans="1:5" ht="21" x14ac:dyDescent="0.25">
      <c r="A131" s="2" t="str">
        <f>HYPERLINK("https://rth.dk/resources/bsgatlas/details.php?id=BSGatlas-internal_UTR-130","BSGatlas-internal_UTR-130")</f>
        <v>BSGatlas-internal_UTR-130</v>
      </c>
      <c r="B131" s="3">
        <v>312759</v>
      </c>
      <c r="C131" s="3">
        <v>312779</v>
      </c>
      <c r="D131" s="1" t="s">
        <v>9</v>
      </c>
      <c r="E131" s="1" t="s">
        <v>4382</v>
      </c>
    </row>
    <row r="132" spans="1:5" ht="21" x14ac:dyDescent="0.25">
      <c r="A132" s="2" t="str">
        <f>HYPERLINK("https://rth.dk/resources/bsgatlas/details.php?id=BSGatlas-internal_UTR-131","BSGatlas-internal_UTR-131")</f>
        <v>BSGatlas-internal_UTR-131</v>
      </c>
      <c r="B132" s="3">
        <v>313362</v>
      </c>
      <c r="C132" s="3">
        <v>313395</v>
      </c>
      <c r="D132" s="1" t="s">
        <v>9</v>
      </c>
      <c r="E132" s="1" t="s">
        <v>4382</v>
      </c>
    </row>
    <row r="133" spans="1:5" ht="21" x14ac:dyDescent="0.25">
      <c r="A133" s="2" t="str">
        <f>HYPERLINK("https://rth.dk/resources/bsgatlas/details.php?id=BSGatlas-internal_UTR-132","BSGatlas-internal_UTR-132")</f>
        <v>BSGatlas-internal_UTR-132</v>
      </c>
      <c r="B133" s="3">
        <v>313975</v>
      </c>
      <c r="C133" s="3">
        <v>314024</v>
      </c>
      <c r="D133" s="1" t="s">
        <v>9</v>
      </c>
      <c r="E133" s="1" t="s">
        <v>4382</v>
      </c>
    </row>
    <row r="134" spans="1:5" ht="21" x14ac:dyDescent="0.25">
      <c r="A134" s="2" t="str">
        <f>HYPERLINK("https://rth.dk/resources/bsgatlas/details.php?id=BSGatlas-internal_UTR-133","BSGatlas-internal_UTR-133")</f>
        <v>BSGatlas-internal_UTR-133</v>
      </c>
      <c r="B134" s="3">
        <v>314799</v>
      </c>
      <c r="C134" s="3">
        <v>314882</v>
      </c>
      <c r="D134" s="1" t="s">
        <v>9</v>
      </c>
      <c r="E134" s="1" t="s">
        <v>4382</v>
      </c>
    </row>
    <row r="135" spans="1:5" ht="21" x14ac:dyDescent="0.25">
      <c r="A135" s="2" t="str">
        <f>HYPERLINK("https://rth.dk/resources/bsgatlas/details.php?id=BSGatlas-internal_UTR-134","BSGatlas-internal_UTR-134")</f>
        <v>BSGatlas-internal_UTR-134</v>
      </c>
      <c r="B135" s="3">
        <v>327470</v>
      </c>
      <c r="C135" s="3">
        <v>327617</v>
      </c>
      <c r="D135" s="1" t="s">
        <v>9</v>
      </c>
      <c r="E135" s="1" t="s">
        <v>4386</v>
      </c>
    </row>
    <row r="136" spans="1:5" ht="21" x14ac:dyDescent="0.25">
      <c r="A136" s="2" t="str">
        <f>HYPERLINK("https://rth.dk/resources/bsgatlas/details.php?id=BSGatlas-internal_UTR-135","BSGatlas-internal_UTR-135")</f>
        <v>BSGatlas-internal_UTR-135</v>
      </c>
      <c r="B136" s="3">
        <v>330740</v>
      </c>
      <c r="C136" s="3">
        <v>330770</v>
      </c>
      <c r="D136" s="1" t="s">
        <v>9</v>
      </c>
      <c r="E136" s="1" t="s">
        <v>4373</v>
      </c>
    </row>
    <row r="137" spans="1:5" ht="21" x14ac:dyDescent="0.25">
      <c r="A137" s="2" t="str">
        <f>HYPERLINK("https://rth.dk/resources/bsgatlas/details.php?id=BSGatlas-internal_UTR-136","BSGatlas-internal_UTR-136")</f>
        <v>BSGatlas-internal_UTR-136</v>
      </c>
      <c r="B137" s="3">
        <v>334557</v>
      </c>
      <c r="C137" s="3">
        <v>334629</v>
      </c>
      <c r="D137" s="1" t="s">
        <v>9</v>
      </c>
      <c r="E137" s="1" t="s">
        <v>4386</v>
      </c>
    </row>
    <row r="138" spans="1:5" ht="21" x14ac:dyDescent="0.25">
      <c r="A138" s="2" t="str">
        <f>HYPERLINK("https://rth.dk/resources/bsgatlas/details.php?id=BSGatlas-internal_UTR-137","BSGatlas-internal_UTR-137")</f>
        <v>BSGatlas-internal_UTR-137</v>
      </c>
      <c r="B138" s="3">
        <v>335260</v>
      </c>
      <c r="C138" s="3">
        <v>335328</v>
      </c>
      <c r="D138" s="1" t="s">
        <v>9</v>
      </c>
      <c r="E138" s="1" t="s">
        <v>4386</v>
      </c>
    </row>
    <row r="139" spans="1:5" ht="21" x14ac:dyDescent="0.25">
      <c r="A139" s="2" t="str">
        <f>HYPERLINK("https://rth.dk/resources/bsgatlas/details.php?id=BSGatlas-internal_UTR-138","BSGatlas-internal_UTR-138")</f>
        <v>BSGatlas-internal_UTR-138</v>
      </c>
      <c r="B139" s="3">
        <v>342467</v>
      </c>
      <c r="C139" s="3">
        <v>342537</v>
      </c>
      <c r="D139" s="1" t="s">
        <v>9</v>
      </c>
      <c r="E139" s="1" t="s">
        <v>4377</v>
      </c>
    </row>
    <row r="140" spans="1:5" ht="21" x14ac:dyDescent="0.25">
      <c r="A140" s="2" t="str">
        <f>HYPERLINK("https://rth.dk/resources/bsgatlas/details.php?id=BSGatlas-internal_UTR-139","BSGatlas-internal_UTR-139")</f>
        <v>BSGatlas-internal_UTR-139</v>
      </c>
      <c r="B140" s="3">
        <v>343495</v>
      </c>
      <c r="C140" s="3">
        <v>343577</v>
      </c>
      <c r="D140" s="1" t="s">
        <v>9</v>
      </c>
      <c r="E140" s="1" t="s">
        <v>4377</v>
      </c>
    </row>
    <row r="141" spans="1:5" ht="21" x14ac:dyDescent="0.25">
      <c r="A141" s="2" t="str">
        <f>HYPERLINK("https://rth.dk/resources/bsgatlas/details.php?id=BSGatlas-internal_UTR-140","BSGatlas-internal_UTR-140")</f>
        <v>BSGatlas-internal_UTR-140</v>
      </c>
      <c r="B141" s="3">
        <v>345463</v>
      </c>
      <c r="C141" s="3">
        <v>345478</v>
      </c>
      <c r="D141" s="1" t="s">
        <v>9</v>
      </c>
      <c r="E141" s="1" t="s">
        <v>14709</v>
      </c>
    </row>
    <row r="142" spans="1:5" ht="21" x14ac:dyDescent="0.25">
      <c r="A142" s="2" t="str">
        <f>HYPERLINK("https://rth.dk/resources/bsgatlas/details.php?id=BSGatlas-internal_UTR-141","BSGatlas-internal_UTR-141")</f>
        <v>BSGatlas-internal_UTR-141</v>
      </c>
      <c r="B142" s="3">
        <v>347027</v>
      </c>
      <c r="C142" s="3">
        <v>347149</v>
      </c>
      <c r="D142" s="1" t="s">
        <v>9</v>
      </c>
      <c r="E142" s="1" t="s">
        <v>4377</v>
      </c>
    </row>
    <row r="143" spans="1:5" ht="21" x14ac:dyDescent="0.25">
      <c r="A143" s="2" t="str">
        <f>HYPERLINK("https://rth.dk/resources/bsgatlas/details.php?id=BSGatlas-internal_UTR-142","BSGatlas-internal_UTR-142")</f>
        <v>BSGatlas-internal_UTR-142</v>
      </c>
      <c r="B143" s="3">
        <v>351743</v>
      </c>
      <c r="C143" s="3">
        <v>351841</v>
      </c>
      <c r="D143" s="1" t="s">
        <v>13</v>
      </c>
      <c r="E143" s="1" t="s">
        <v>4397</v>
      </c>
    </row>
    <row r="144" spans="1:5" ht="21" x14ac:dyDescent="0.25">
      <c r="A144" s="2" t="str">
        <f>HYPERLINK("https://rth.dk/resources/bsgatlas/details.php?id=BSGatlas-internal_UTR-143","BSGatlas-internal_UTR-143")</f>
        <v>BSGatlas-internal_UTR-143</v>
      </c>
      <c r="B144" s="3">
        <v>355352</v>
      </c>
      <c r="C144" s="3">
        <v>355411</v>
      </c>
      <c r="D144" s="1" t="s">
        <v>13</v>
      </c>
      <c r="E144" s="1" t="s">
        <v>4373</v>
      </c>
    </row>
    <row r="145" spans="1:5" ht="21" x14ac:dyDescent="0.25">
      <c r="A145" s="2" t="str">
        <f>HYPERLINK("https://rth.dk/resources/bsgatlas/details.php?id=BSGatlas-internal_UTR-144","BSGatlas-internal_UTR-144")</f>
        <v>BSGatlas-internal_UTR-144</v>
      </c>
      <c r="B145" s="3">
        <v>355733</v>
      </c>
      <c r="C145" s="3">
        <v>355763</v>
      </c>
      <c r="D145" s="1" t="s">
        <v>13</v>
      </c>
      <c r="E145" s="1" t="s">
        <v>4373</v>
      </c>
    </row>
    <row r="146" spans="1:5" ht="21" x14ac:dyDescent="0.25">
      <c r="A146" s="2" t="str">
        <f>HYPERLINK("https://rth.dk/resources/bsgatlas/details.php?id=BSGatlas-internal_UTR-145","BSGatlas-internal_UTR-145")</f>
        <v>BSGatlas-internal_UTR-145</v>
      </c>
      <c r="B146" s="3">
        <v>358182</v>
      </c>
      <c r="C146" s="3">
        <v>358302</v>
      </c>
      <c r="D146" s="1" t="s">
        <v>13</v>
      </c>
      <c r="E146" s="1" t="s">
        <v>4382</v>
      </c>
    </row>
    <row r="147" spans="1:5" ht="21" x14ac:dyDescent="0.25">
      <c r="A147" s="2" t="str">
        <f>HYPERLINK("https://rth.dk/resources/bsgatlas/details.php?id=BSGatlas-internal_UTR-146","BSGatlas-internal_UTR-146")</f>
        <v>BSGatlas-internal_UTR-146</v>
      </c>
      <c r="B147" s="3">
        <v>365755</v>
      </c>
      <c r="C147" s="3">
        <v>365849</v>
      </c>
      <c r="D147" s="1" t="s">
        <v>9</v>
      </c>
      <c r="E147" s="1" t="s">
        <v>4373</v>
      </c>
    </row>
    <row r="148" spans="1:5" ht="21" x14ac:dyDescent="0.25">
      <c r="A148" s="2" t="str">
        <f>HYPERLINK("https://rth.dk/resources/bsgatlas/details.php?id=BSGatlas-internal_UTR-147","BSGatlas-internal_UTR-147")</f>
        <v>BSGatlas-internal_UTR-147</v>
      </c>
      <c r="B148" s="3">
        <v>366036</v>
      </c>
      <c r="C148" s="3">
        <v>366062</v>
      </c>
      <c r="D148" s="1" t="s">
        <v>9</v>
      </c>
      <c r="E148" s="1" t="s">
        <v>4373</v>
      </c>
    </row>
    <row r="149" spans="1:5" ht="21" x14ac:dyDescent="0.25">
      <c r="A149" s="2" t="str">
        <f>HYPERLINK("https://rth.dk/resources/bsgatlas/details.php?id=BSGatlas-internal_UTR-148","BSGatlas-internal_UTR-148")</f>
        <v>BSGatlas-internal_UTR-148</v>
      </c>
      <c r="B149" s="3">
        <v>372128</v>
      </c>
      <c r="C149" s="3">
        <v>372153</v>
      </c>
      <c r="D149" s="1" t="s">
        <v>13</v>
      </c>
      <c r="E149" s="1" t="s">
        <v>4382</v>
      </c>
    </row>
    <row r="150" spans="1:5" ht="21" x14ac:dyDescent="0.25">
      <c r="A150" s="2" t="str">
        <f>HYPERLINK("https://rth.dk/resources/bsgatlas/details.php?id=BSGatlas-internal_UTR-149","BSGatlas-internal_UTR-149")</f>
        <v>BSGatlas-internal_UTR-149</v>
      </c>
      <c r="B150" s="3">
        <v>398496</v>
      </c>
      <c r="C150" s="3">
        <v>398531</v>
      </c>
      <c r="D150" s="1" t="s">
        <v>9</v>
      </c>
      <c r="E150" s="1" t="s">
        <v>4373</v>
      </c>
    </row>
    <row r="151" spans="1:5" ht="21" x14ac:dyDescent="0.25">
      <c r="A151" s="2" t="str">
        <f>HYPERLINK("https://rth.dk/resources/bsgatlas/details.php?id=BSGatlas-internal_UTR-150","BSGatlas-internal_UTR-150")</f>
        <v>BSGatlas-internal_UTR-150</v>
      </c>
      <c r="B151" s="3">
        <v>402360</v>
      </c>
      <c r="C151" s="3">
        <v>402387</v>
      </c>
      <c r="D151" s="1" t="s">
        <v>9</v>
      </c>
      <c r="E151" s="1" t="s">
        <v>4373</v>
      </c>
    </row>
    <row r="152" spans="1:5" ht="21" x14ac:dyDescent="0.25">
      <c r="A152" s="2" t="str">
        <f>HYPERLINK("https://rth.dk/resources/bsgatlas/details.php?id=BSGatlas-internal_UTR-151","BSGatlas-internal_UTR-151")</f>
        <v>BSGatlas-internal_UTR-151</v>
      </c>
      <c r="B152" s="3">
        <v>405016</v>
      </c>
      <c r="C152" s="3">
        <v>405068</v>
      </c>
      <c r="D152" s="1" t="s">
        <v>13</v>
      </c>
      <c r="E152" s="1" t="s">
        <v>4377</v>
      </c>
    </row>
    <row r="153" spans="1:5" ht="21" x14ac:dyDescent="0.25">
      <c r="A153" s="2" t="str">
        <f>HYPERLINK("https://rth.dk/resources/bsgatlas/details.php?id=BSGatlas-internal_UTR-152","BSGatlas-internal_UTR-152")</f>
        <v>BSGatlas-internal_UTR-152</v>
      </c>
      <c r="B153" s="3">
        <v>414579</v>
      </c>
      <c r="C153" s="3">
        <v>414594</v>
      </c>
      <c r="D153" s="1" t="s">
        <v>9</v>
      </c>
      <c r="E153" s="1" t="s">
        <v>4386</v>
      </c>
    </row>
    <row r="154" spans="1:5" ht="21" x14ac:dyDescent="0.25">
      <c r="A154" s="2" t="str">
        <f>HYPERLINK("https://rth.dk/resources/bsgatlas/details.php?id=BSGatlas-internal_UTR-153","BSGatlas-internal_UTR-153")</f>
        <v>BSGatlas-internal_UTR-153</v>
      </c>
      <c r="B154" s="3">
        <v>422958</v>
      </c>
      <c r="C154" s="3">
        <v>422981</v>
      </c>
      <c r="D154" s="1" t="s">
        <v>9</v>
      </c>
      <c r="E154" s="1" t="s">
        <v>4377</v>
      </c>
    </row>
    <row r="155" spans="1:5" ht="21" x14ac:dyDescent="0.25">
      <c r="A155" s="2" t="str">
        <f>HYPERLINK("https://rth.dk/resources/bsgatlas/details.php?id=BSGatlas-internal_UTR-154","BSGatlas-internal_UTR-154")</f>
        <v>BSGatlas-internal_UTR-154</v>
      </c>
      <c r="B155" s="3">
        <v>430275</v>
      </c>
      <c r="C155" s="3">
        <v>430355</v>
      </c>
      <c r="D155" s="1" t="s">
        <v>13</v>
      </c>
      <c r="E155" s="1" t="s">
        <v>4373</v>
      </c>
    </row>
    <row r="156" spans="1:5" ht="21" x14ac:dyDescent="0.25">
      <c r="A156" s="2" t="str">
        <f>HYPERLINK("https://rth.dk/resources/bsgatlas/details.php?id=BSGatlas-internal_UTR-155","BSGatlas-internal_UTR-155")</f>
        <v>BSGatlas-internal_UTR-155</v>
      </c>
      <c r="B156" s="3">
        <v>435015</v>
      </c>
      <c r="C156" s="3">
        <v>435035</v>
      </c>
      <c r="D156" s="1" t="s">
        <v>9</v>
      </c>
      <c r="E156" s="1" t="s">
        <v>4382</v>
      </c>
    </row>
    <row r="157" spans="1:5" ht="21" x14ac:dyDescent="0.25">
      <c r="A157" s="2" t="str">
        <f>HYPERLINK("https://rth.dk/resources/bsgatlas/details.php?id=BSGatlas-internal_UTR-156","BSGatlas-internal_UTR-156")</f>
        <v>BSGatlas-internal_UTR-156</v>
      </c>
      <c r="B157" s="3">
        <v>437455</v>
      </c>
      <c r="C157" s="3">
        <v>437473</v>
      </c>
      <c r="D157" s="1" t="s">
        <v>13</v>
      </c>
      <c r="E157" s="1" t="s">
        <v>4386</v>
      </c>
    </row>
    <row r="158" spans="1:5" ht="21" x14ac:dyDescent="0.25">
      <c r="A158" s="2" t="str">
        <f>HYPERLINK("https://rth.dk/resources/bsgatlas/details.php?id=BSGatlas-internal_UTR-157","BSGatlas-internal_UTR-157")</f>
        <v>BSGatlas-internal_UTR-157</v>
      </c>
      <c r="B158" s="3">
        <v>439266</v>
      </c>
      <c r="C158" s="3">
        <v>439281</v>
      </c>
      <c r="D158" s="1" t="s">
        <v>13</v>
      </c>
      <c r="E158" s="1" t="s">
        <v>4373</v>
      </c>
    </row>
    <row r="159" spans="1:5" ht="21" x14ac:dyDescent="0.25">
      <c r="A159" s="2" t="str">
        <f>HYPERLINK("https://rth.dk/resources/bsgatlas/details.php?id=BSGatlas-internal_UTR-158","BSGatlas-internal_UTR-158")</f>
        <v>BSGatlas-internal_UTR-158</v>
      </c>
      <c r="B159" s="3">
        <v>442882</v>
      </c>
      <c r="C159" s="3">
        <v>442949</v>
      </c>
      <c r="D159" s="1" t="s">
        <v>9</v>
      </c>
      <c r="E159" s="1" t="s">
        <v>4382</v>
      </c>
    </row>
    <row r="160" spans="1:5" ht="21" x14ac:dyDescent="0.25">
      <c r="A160" s="2" t="str">
        <f>HYPERLINK("https://rth.dk/resources/bsgatlas/details.php?id=BSGatlas-internal_UTR-159","BSGatlas-internal_UTR-159")</f>
        <v>BSGatlas-internal_UTR-159</v>
      </c>
      <c r="B160" s="3">
        <v>445325</v>
      </c>
      <c r="C160" s="3">
        <v>445343</v>
      </c>
      <c r="D160" s="1" t="s">
        <v>9</v>
      </c>
      <c r="E160" s="1" t="s">
        <v>4373</v>
      </c>
    </row>
    <row r="161" spans="1:5" ht="21" x14ac:dyDescent="0.25">
      <c r="A161" s="2" t="str">
        <f>HYPERLINK("https://rth.dk/resources/bsgatlas/details.php?id=BSGatlas-internal_UTR-160","BSGatlas-internal_UTR-160")</f>
        <v>BSGatlas-internal_UTR-160</v>
      </c>
      <c r="B161" s="3">
        <v>448427</v>
      </c>
      <c r="C161" s="3">
        <v>448460</v>
      </c>
      <c r="D161" s="1" t="s">
        <v>13</v>
      </c>
      <c r="E161" s="1" t="s">
        <v>4386</v>
      </c>
    </row>
    <row r="162" spans="1:5" ht="21" x14ac:dyDescent="0.25">
      <c r="A162" s="2" t="str">
        <f>HYPERLINK("https://rth.dk/resources/bsgatlas/details.php?id=BSGatlas-internal_UTR-161","BSGatlas-internal_UTR-161")</f>
        <v>BSGatlas-internal_UTR-161</v>
      </c>
      <c r="B162" s="3">
        <v>451161</v>
      </c>
      <c r="C162" s="3">
        <v>451184</v>
      </c>
      <c r="D162" s="1" t="s">
        <v>9</v>
      </c>
      <c r="E162" s="1" t="s">
        <v>4373</v>
      </c>
    </row>
    <row r="163" spans="1:5" ht="21" x14ac:dyDescent="0.25">
      <c r="A163" s="2" t="str">
        <f>HYPERLINK("https://rth.dk/resources/bsgatlas/details.php?id=BSGatlas-internal_UTR-162","BSGatlas-internal_UTR-162")</f>
        <v>BSGatlas-internal_UTR-162</v>
      </c>
      <c r="B163" s="3">
        <v>459026</v>
      </c>
      <c r="C163" s="3">
        <v>459048</v>
      </c>
      <c r="D163" s="1" t="s">
        <v>9</v>
      </c>
      <c r="E163" s="1" t="s">
        <v>4373</v>
      </c>
    </row>
    <row r="164" spans="1:5" ht="21" x14ac:dyDescent="0.25">
      <c r="A164" s="2" t="str">
        <f>HYPERLINK("https://rth.dk/resources/bsgatlas/details.php?id=BSGatlas-internal_UTR-163","BSGatlas-internal_UTR-163")</f>
        <v>BSGatlas-internal_UTR-163</v>
      </c>
      <c r="B164" s="3">
        <v>459823</v>
      </c>
      <c r="C164" s="3">
        <v>459866</v>
      </c>
      <c r="D164" s="1" t="s">
        <v>9</v>
      </c>
      <c r="E164" s="1" t="s">
        <v>4373</v>
      </c>
    </row>
    <row r="165" spans="1:5" ht="21" x14ac:dyDescent="0.25">
      <c r="A165" s="2" t="str">
        <f>HYPERLINK("https://rth.dk/resources/bsgatlas/details.php?id=BSGatlas-internal_UTR-164","BSGatlas-internal_UTR-164")</f>
        <v>BSGatlas-internal_UTR-164</v>
      </c>
      <c r="B165" s="3">
        <v>462368</v>
      </c>
      <c r="C165" s="3">
        <v>462430</v>
      </c>
      <c r="D165" s="1" t="s">
        <v>9</v>
      </c>
      <c r="E165" s="1" t="s">
        <v>4373</v>
      </c>
    </row>
    <row r="166" spans="1:5" ht="21" x14ac:dyDescent="0.25">
      <c r="A166" s="2" t="str">
        <f>HYPERLINK("https://rth.dk/resources/bsgatlas/details.php?id=BSGatlas-internal_UTR-165","BSGatlas-internal_UTR-165")</f>
        <v>BSGatlas-internal_UTR-165</v>
      </c>
      <c r="B166" s="3">
        <v>465941</v>
      </c>
      <c r="C166" s="3">
        <v>466041</v>
      </c>
      <c r="D166" s="1" t="s">
        <v>9</v>
      </c>
      <c r="E166" s="1" t="s">
        <v>4397</v>
      </c>
    </row>
    <row r="167" spans="1:5" ht="21" x14ac:dyDescent="0.25">
      <c r="A167" s="2" t="str">
        <f>HYPERLINK("https://rth.dk/resources/bsgatlas/details.php?id=BSGatlas-internal_UTR-166","BSGatlas-internal_UTR-166")</f>
        <v>BSGatlas-internal_UTR-166</v>
      </c>
      <c r="B167" s="3">
        <v>473089</v>
      </c>
      <c r="C167" s="3">
        <v>473173</v>
      </c>
      <c r="D167" s="1" t="s">
        <v>9</v>
      </c>
      <c r="E167" s="1" t="s">
        <v>4386</v>
      </c>
    </row>
    <row r="168" spans="1:5" ht="21" x14ac:dyDescent="0.25">
      <c r="A168" s="2" t="str">
        <f>HYPERLINK("https://rth.dk/resources/bsgatlas/details.php?id=BSGatlas-internal_UTR-167","BSGatlas-internal_UTR-167")</f>
        <v>BSGatlas-internal_UTR-167</v>
      </c>
      <c r="B168" s="3">
        <v>473726</v>
      </c>
      <c r="C168" s="3">
        <v>473802</v>
      </c>
      <c r="D168" s="1" t="s">
        <v>9</v>
      </c>
      <c r="E168" s="1" t="s">
        <v>14708</v>
      </c>
    </row>
    <row r="169" spans="1:5" ht="21" x14ac:dyDescent="0.25">
      <c r="A169" s="2" t="str">
        <f>HYPERLINK("https://rth.dk/resources/bsgatlas/details.php?id=BSGatlas-internal_UTR-168","BSGatlas-internal_UTR-168")</f>
        <v>BSGatlas-internal_UTR-168</v>
      </c>
      <c r="B169" s="3">
        <v>476494</v>
      </c>
      <c r="C169" s="3">
        <v>476557</v>
      </c>
      <c r="D169" s="1" t="s">
        <v>9</v>
      </c>
      <c r="E169" s="1" t="s">
        <v>4373</v>
      </c>
    </row>
    <row r="170" spans="1:5" ht="21" x14ac:dyDescent="0.25">
      <c r="A170" s="2" t="str">
        <f>HYPERLINK("https://rth.dk/resources/bsgatlas/details.php?id=BSGatlas-internal_UTR-169","BSGatlas-internal_UTR-169")</f>
        <v>BSGatlas-internal_UTR-169</v>
      </c>
      <c r="B170" s="3">
        <v>492912</v>
      </c>
      <c r="C170" s="3">
        <v>492988</v>
      </c>
      <c r="D170" s="1" t="s">
        <v>13</v>
      </c>
      <c r="E170" s="1" t="s">
        <v>4373</v>
      </c>
    </row>
    <row r="171" spans="1:5" ht="21" x14ac:dyDescent="0.25">
      <c r="A171" s="2" t="str">
        <f>HYPERLINK("https://rth.dk/resources/bsgatlas/details.php?id=BSGatlas-internal_UTR-170","BSGatlas-internal_UTR-170")</f>
        <v>BSGatlas-internal_UTR-170</v>
      </c>
      <c r="B171" s="3">
        <v>496562</v>
      </c>
      <c r="C171" s="3">
        <v>496645</v>
      </c>
      <c r="D171" s="1" t="s">
        <v>13</v>
      </c>
      <c r="E171" s="1" t="s">
        <v>4373</v>
      </c>
    </row>
    <row r="172" spans="1:5" ht="21" x14ac:dyDescent="0.25">
      <c r="A172" s="2" t="str">
        <f>HYPERLINK("https://rth.dk/resources/bsgatlas/details.php?id=BSGatlas-internal_UTR-171","BSGatlas-internal_UTR-171")</f>
        <v>BSGatlas-internal_UTR-171</v>
      </c>
      <c r="B172" s="3">
        <v>500046</v>
      </c>
      <c r="C172" s="3">
        <v>500165</v>
      </c>
      <c r="D172" s="1" t="s">
        <v>9</v>
      </c>
      <c r="E172" s="1" t="s">
        <v>4386</v>
      </c>
    </row>
    <row r="173" spans="1:5" ht="21" x14ac:dyDescent="0.25">
      <c r="A173" s="2" t="str">
        <f>HYPERLINK("https://rth.dk/resources/bsgatlas/details.php?id=BSGatlas-internal_UTR-172","BSGatlas-internal_UTR-172")</f>
        <v>BSGatlas-internal_UTR-172</v>
      </c>
      <c r="B173" s="3">
        <v>509313</v>
      </c>
      <c r="C173" s="3">
        <v>509383</v>
      </c>
      <c r="D173" s="1" t="s">
        <v>9</v>
      </c>
      <c r="E173" s="1" t="s">
        <v>4377</v>
      </c>
    </row>
    <row r="174" spans="1:5" ht="21" x14ac:dyDescent="0.25">
      <c r="A174" s="2" t="str">
        <f>HYPERLINK("https://rth.dk/resources/bsgatlas/details.php?id=BSGatlas-internal_UTR-173","BSGatlas-internal_UTR-173")</f>
        <v>BSGatlas-internal_UTR-173</v>
      </c>
      <c r="B174" s="3">
        <v>516076</v>
      </c>
      <c r="C174" s="3">
        <v>516240</v>
      </c>
      <c r="D174" s="1" t="s">
        <v>9</v>
      </c>
      <c r="E174" s="1" t="s">
        <v>4397</v>
      </c>
    </row>
    <row r="175" spans="1:5" ht="21" x14ac:dyDescent="0.25">
      <c r="A175" s="2" t="str">
        <f>HYPERLINK("https://rth.dk/resources/bsgatlas/details.php?id=BSGatlas-internal_UTR-174","BSGatlas-internal_UTR-174")</f>
        <v>BSGatlas-internal_UTR-174</v>
      </c>
      <c r="B175" s="3">
        <v>518542</v>
      </c>
      <c r="C175" s="3">
        <v>518656</v>
      </c>
      <c r="D175" s="1" t="s">
        <v>9</v>
      </c>
      <c r="E175" s="1" t="s">
        <v>4386</v>
      </c>
    </row>
    <row r="176" spans="1:5" ht="21" x14ac:dyDescent="0.25">
      <c r="A176" s="2" t="str">
        <f>HYPERLINK("https://rth.dk/resources/bsgatlas/details.php?id=BSGatlas-internal_UTR-175","BSGatlas-internal_UTR-175")</f>
        <v>BSGatlas-internal_UTR-175</v>
      </c>
      <c r="B176" s="3">
        <v>522027</v>
      </c>
      <c r="C176" s="3">
        <v>522087</v>
      </c>
      <c r="D176" s="1" t="s">
        <v>9</v>
      </c>
      <c r="E176" s="1" t="s">
        <v>4386</v>
      </c>
    </row>
    <row r="177" spans="1:5" ht="21" x14ac:dyDescent="0.25">
      <c r="A177" s="2" t="str">
        <f>HYPERLINK("https://rth.dk/resources/bsgatlas/details.php?id=BSGatlas-internal_UTR-176","BSGatlas-internal_UTR-176")</f>
        <v>BSGatlas-internal_UTR-176</v>
      </c>
      <c r="B177" s="3">
        <v>532239</v>
      </c>
      <c r="C177" s="3">
        <v>532291</v>
      </c>
      <c r="D177" s="1" t="s">
        <v>9</v>
      </c>
      <c r="E177" s="1" t="s">
        <v>4373</v>
      </c>
    </row>
    <row r="178" spans="1:5" ht="21" x14ac:dyDescent="0.25">
      <c r="A178" s="2" t="str">
        <f>HYPERLINK("https://rth.dk/resources/bsgatlas/details.php?id=BSGatlas-internal_UTR-177","BSGatlas-internal_UTR-177")</f>
        <v>BSGatlas-internal_UTR-177</v>
      </c>
      <c r="B178" s="3">
        <v>532553</v>
      </c>
      <c r="C178" s="3">
        <v>532757</v>
      </c>
      <c r="D178" s="1" t="s">
        <v>9</v>
      </c>
      <c r="E178" s="1" t="s">
        <v>4373</v>
      </c>
    </row>
    <row r="179" spans="1:5" ht="21" x14ac:dyDescent="0.25">
      <c r="A179" s="2" t="str">
        <f>HYPERLINK("https://rth.dk/resources/bsgatlas/details.php?id=BSGatlas-internal_UTR-178","BSGatlas-internal_UTR-178")</f>
        <v>BSGatlas-internal_UTR-178</v>
      </c>
      <c r="B179" s="3">
        <v>532887</v>
      </c>
      <c r="C179" s="3">
        <v>532921</v>
      </c>
      <c r="D179" s="1" t="s">
        <v>9</v>
      </c>
      <c r="E179" s="1" t="s">
        <v>4373</v>
      </c>
    </row>
    <row r="180" spans="1:5" ht="21" x14ac:dyDescent="0.25">
      <c r="A180" s="2" t="str">
        <f>HYPERLINK("https://rth.dk/resources/bsgatlas/details.php?id=BSGatlas-internal_UTR-179","BSGatlas-internal_UTR-179")</f>
        <v>BSGatlas-internal_UTR-179</v>
      </c>
      <c r="B180" s="3">
        <v>533303</v>
      </c>
      <c r="C180" s="3">
        <v>533337</v>
      </c>
      <c r="D180" s="1" t="s">
        <v>9</v>
      </c>
      <c r="E180" s="1" t="s">
        <v>4373</v>
      </c>
    </row>
    <row r="181" spans="1:5" ht="21" x14ac:dyDescent="0.25">
      <c r="A181" s="2" t="str">
        <f>HYPERLINK("https://rth.dk/resources/bsgatlas/details.php?id=BSGatlas-internal_UTR-180","BSGatlas-internal_UTR-180")</f>
        <v>BSGatlas-internal_UTR-180</v>
      </c>
      <c r="B181" s="3">
        <v>535832</v>
      </c>
      <c r="C181" s="3">
        <v>535878</v>
      </c>
      <c r="D181" s="1" t="s">
        <v>9</v>
      </c>
      <c r="E181" s="1" t="s">
        <v>4373</v>
      </c>
    </row>
    <row r="182" spans="1:5" ht="21" x14ac:dyDescent="0.25">
      <c r="A182" s="2" t="str">
        <f>HYPERLINK("https://rth.dk/resources/bsgatlas/details.php?id=BSGatlas-internal_UTR-181","BSGatlas-internal_UTR-181")</f>
        <v>BSGatlas-internal_UTR-181</v>
      </c>
      <c r="B182" s="3">
        <v>535934</v>
      </c>
      <c r="C182" s="3">
        <v>536095</v>
      </c>
      <c r="D182" s="1" t="s">
        <v>9</v>
      </c>
      <c r="E182" s="1" t="s">
        <v>4373</v>
      </c>
    </row>
    <row r="183" spans="1:5" ht="21" x14ac:dyDescent="0.25">
      <c r="A183" s="2" t="str">
        <f>HYPERLINK("https://rth.dk/resources/bsgatlas/details.php?id=BSGatlas-internal_UTR-182","BSGatlas-internal_UTR-182")</f>
        <v>BSGatlas-internal_UTR-182</v>
      </c>
      <c r="B183" s="3">
        <v>536366</v>
      </c>
      <c r="C183" s="3">
        <v>536403</v>
      </c>
      <c r="D183" s="1" t="s">
        <v>9</v>
      </c>
      <c r="E183" s="1" t="s">
        <v>4373</v>
      </c>
    </row>
    <row r="184" spans="1:5" ht="21" x14ac:dyDescent="0.25">
      <c r="A184" s="2" t="str">
        <f>HYPERLINK("https://rth.dk/resources/bsgatlas/details.php?id=BSGatlas-internal_UTR-183","BSGatlas-internal_UTR-183")</f>
        <v>BSGatlas-internal_UTR-183</v>
      </c>
      <c r="B184" s="3">
        <v>536671</v>
      </c>
      <c r="C184" s="3">
        <v>536686</v>
      </c>
      <c r="D184" s="1" t="s">
        <v>9</v>
      </c>
      <c r="E184" s="1" t="s">
        <v>4373</v>
      </c>
    </row>
    <row r="185" spans="1:5" ht="21" x14ac:dyDescent="0.25">
      <c r="A185" s="2" t="str">
        <f>HYPERLINK("https://rth.dk/resources/bsgatlas/details.php?id=BSGatlas-internal_UTR-184","BSGatlas-internal_UTR-184")</f>
        <v>BSGatlas-internal_UTR-184</v>
      </c>
      <c r="B185" s="3">
        <v>541230</v>
      </c>
      <c r="C185" s="3">
        <v>541247</v>
      </c>
      <c r="D185" s="1" t="s">
        <v>9</v>
      </c>
      <c r="E185" s="1" t="s">
        <v>4373</v>
      </c>
    </row>
    <row r="186" spans="1:5" ht="21" x14ac:dyDescent="0.25">
      <c r="A186" s="2" t="str">
        <f>HYPERLINK("https://rth.dk/resources/bsgatlas/details.php?id=BSGatlas-internal_UTR-185","BSGatlas-internal_UTR-185")</f>
        <v>BSGatlas-internal_UTR-185</v>
      </c>
      <c r="B186" s="3">
        <v>545533</v>
      </c>
      <c r="C186" s="3">
        <v>545594</v>
      </c>
      <c r="D186" s="1" t="s">
        <v>9</v>
      </c>
      <c r="E186" s="1" t="s">
        <v>4373</v>
      </c>
    </row>
    <row r="187" spans="1:5" ht="21" x14ac:dyDescent="0.25">
      <c r="A187" s="2" t="str">
        <f>HYPERLINK("https://rth.dk/resources/bsgatlas/details.php?id=BSGatlas-internal_UTR-186","BSGatlas-internal_UTR-186")</f>
        <v>BSGatlas-internal_UTR-186</v>
      </c>
      <c r="B187" s="3">
        <v>561417</v>
      </c>
      <c r="C187" s="3">
        <v>561513</v>
      </c>
      <c r="D187" s="1" t="s">
        <v>13</v>
      </c>
      <c r="E187" s="1" t="s">
        <v>4373</v>
      </c>
    </row>
    <row r="188" spans="1:5" ht="21" x14ac:dyDescent="0.25">
      <c r="A188" s="2" t="str">
        <f>HYPERLINK("https://rth.dk/resources/bsgatlas/details.php?id=BSGatlas-internal_UTR-187","BSGatlas-internal_UTR-187")</f>
        <v>BSGatlas-internal_UTR-187</v>
      </c>
      <c r="B188" s="3">
        <v>574025</v>
      </c>
      <c r="C188" s="3">
        <v>574105</v>
      </c>
      <c r="D188" s="1" t="s">
        <v>13</v>
      </c>
      <c r="E188" s="1" t="s">
        <v>4377</v>
      </c>
    </row>
    <row r="189" spans="1:5" ht="21" x14ac:dyDescent="0.25">
      <c r="A189" s="2" t="str">
        <f>HYPERLINK("https://rth.dk/resources/bsgatlas/details.php?id=BSGatlas-internal_UTR-188","BSGatlas-internal_UTR-188")</f>
        <v>BSGatlas-internal_UTR-188</v>
      </c>
      <c r="B189" s="3">
        <v>578934</v>
      </c>
      <c r="C189" s="3">
        <v>579046</v>
      </c>
      <c r="D189" s="1" t="s">
        <v>9</v>
      </c>
      <c r="E189" s="1" t="s">
        <v>4373</v>
      </c>
    </row>
    <row r="190" spans="1:5" ht="21" x14ac:dyDescent="0.25">
      <c r="A190" s="2" t="str">
        <f>HYPERLINK("https://rth.dk/resources/bsgatlas/details.php?id=BSGatlas-internal_UTR-189","BSGatlas-internal_UTR-189")</f>
        <v>BSGatlas-internal_UTR-189</v>
      </c>
      <c r="B190" s="3">
        <v>581197</v>
      </c>
      <c r="C190" s="3">
        <v>581227</v>
      </c>
      <c r="D190" s="1" t="s">
        <v>9</v>
      </c>
      <c r="E190" s="1" t="s">
        <v>4386</v>
      </c>
    </row>
    <row r="191" spans="1:5" ht="21" x14ac:dyDescent="0.25">
      <c r="A191" s="2" t="str">
        <f>HYPERLINK("https://rth.dk/resources/bsgatlas/details.php?id=BSGatlas-internal_UTR-190","BSGatlas-internal_UTR-190")</f>
        <v>BSGatlas-internal_UTR-190</v>
      </c>
      <c r="B191" s="3">
        <v>598053</v>
      </c>
      <c r="C191" s="3">
        <v>598153</v>
      </c>
      <c r="D191" s="1" t="s">
        <v>9</v>
      </c>
      <c r="E191" s="1" t="s">
        <v>14711</v>
      </c>
    </row>
    <row r="192" spans="1:5" ht="21" x14ac:dyDescent="0.25">
      <c r="A192" s="2" t="str">
        <f>HYPERLINK("https://rth.dk/resources/bsgatlas/details.php?id=BSGatlas-internal_UTR-191","BSGatlas-internal_UTR-191")</f>
        <v>BSGatlas-internal_UTR-191</v>
      </c>
      <c r="B192" s="3">
        <v>603941</v>
      </c>
      <c r="C192" s="3">
        <v>604102</v>
      </c>
      <c r="D192" s="1" t="s">
        <v>9</v>
      </c>
      <c r="E192" s="1" t="s">
        <v>4373</v>
      </c>
    </row>
    <row r="193" spans="1:5" ht="21" x14ac:dyDescent="0.25">
      <c r="A193" s="2" t="str">
        <f>HYPERLINK("https://rth.dk/resources/bsgatlas/details.php?id=BSGatlas-internal_UTR-192","BSGatlas-internal_UTR-192")</f>
        <v>BSGatlas-internal_UTR-192</v>
      </c>
      <c r="B193" s="3">
        <v>620032</v>
      </c>
      <c r="C193" s="3">
        <v>620096</v>
      </c>
      <c r="D193" s="1" t="s">
        <v>13</v>
      </c>
      <c r="E193" s="1" t="s">
        <v>4377</v>
      </c>
    </row>
    <row r="194" spans="1:5" ht="21" x14ac:dyDescent="0.25">
      <c r="A194" s="2" t="str">
        <f>HYPERLINK("https://rth.dk/resources/bsgatlas/details.php?id=BSGatlas-internal_UTR-193","BSGatlas-internal_UTR-193")</f>
        <v>BSGatlas-internal_UTR-193</v>
      </c>
      <c r="B194" s="3">
        <v>622791</v>
      </c>
      <c r="C194" s="3">
        <v>622807</v>
      </c>
      <c r="D194" s="1" t="s">
        <v>13</v>
      </c>
      <c r="E194" s="1" t="s">
        <v>4373</v>
      </c>
    </row>
    <row r="195" spans="1:5" ht="21" x14ac:dyDescent="0.25">
      <c r="A195" s="2" t="str">
        <f>HYPERLINK("https://rth.dk/resources/bsgatlas/details.php?id=BSGatlas-internal_UTR-194","BSGatlas-internal_UTR-194")</f>
        <v>BSGatlas-internal_UTR-194</v>
      </c>
      <c r="B195" s="3">
        <v>627266</v>
      </c>
      <c r="C195" s="3">
        <v>627283</v>
      </c>
      <c r="D195" s="1" t="s">
        <v>9</v>
      </c>
      <c r="E195" s="1" t="s">
        <v>4373</v>
      </c>
    </row>
    <row r="196" spans="1:5" ht="21" x14ac:dyDescent="0.25">
      <c r="A196" s="2" t="str">
        <f>HYPERLINK("https://rth.dk/resources/bsgatlas/details.php?id=BSGatlas-internal_UTR-195","BSGatlas-internal_UTR-195")</f>
        <v>BSGatlas-internal_UTR-195</v>
      </c>
      <c r="B196" s="3">
        <v>628613</v>
      </c>
      <c r="C196" s="3">
        <v>628629</v>
      </c>
      <c r="D196" s="1" t="s">
        <v>9</v>
      </c>
      <c r="E196" s="1" t="s">
        <v>4373</v>
      </c>
    </row>
    <row r="197" spans="1:5" ht="21" x14ac:dyDescent="0.25">
      <c r="A197" s="2" t="str">
        <f>HYPERLINK("https://rth.dk/resources/bsgatlas/details.php?id=BSGatlas-internal_UTR-196","BSGatlas-internal_UTR-196")</f>
        <v>BSGatlas-internal_UTR-196</v>
      </c>
      <c r="B197" s="3">
        <v>630028</v>
      </c>
      <c r="C197" s="3">
        <v>630169</v>
      </c>
      <c r="D197" s="1" t="s">
        <v>9</v>
      </c>
      <c r="E197" s="1" t="s">
        <v>4373</v>
      </c>
    </row>
    <row r="198" spans="1:5" ht="21" x14ac:dyDescent="0.25">
      <c r="A198" s="2" t="str">
        <f>HYPERLINK("https://rth.dk/resources/bsgatlas/details.php?id=BSGatlas-internal_UTR-197","BSGatlas-internal_UTR-197")</f>
        <v>BSGatlas-internal_UTR-197</v>
      </c>
      <c r="B198" s="3">
        <v>630884</v>
      </c>
      <c r="C198" s="3">
        <v>630911</v>
      </c>
      <c r="D198" s="1" t="s">
        <v>9</v>
      </c>
      <c r="E198" s="1" t="s">
        <v>4373</v>
      </c>
    </row>
    <row r="199" spans="1:5" ht="21" x14ac:dyDescent="0.25">
      <c r="A199" s="2" t="str">
        <f>HYPERLINK("https://rth.dk/resources/bsgatlas/details.php?id=BSGatlas-internal_UTR-198","BSGatlas-internal_UTR-198")</f>
        <v>BSGatlas-internal_UTR-198</v>
      </c>
      <c r="B199" s="3">
        <v>632756</v>
      </c>
      <c r="C199" s="3">
        <v>632773</v>
      </c>
      <c r="D199" s="1" t="s">
        <v>9</v>
      </c>
      <c r="E199" s="1" t="s">
        <v>4373</v>
      </c>
    </row>
    <row r="200" spans="1:5" ht="21" x14ac:dyDescent="0.25">
      <c r="A200" s="2" t="str">
        <f>HYPERLINK("https://rth.dk/resources/bsgatlas/details.php?id=BSGatlas-internal_UTR-199","BSGatlas-internal_UTR-199")</f>
        <v>BSGatlas-internal_UTR-199</v>
      </c>
      <c r="B200" s="3">
        <v>636988</v>
      </c>
      <c r="C200" s="3">
        <v>637151</v>
      </c>
      <c r="D200" s="1" t="s">
        <v>9</v>
      </c>
      <c r="E200" s="1" t="s">
        <v>4373</v>
      </c>
    </row>
    <row r="201" spans="1:5" ht="21" x14ac:dyDescent="0.25">
      <c r="A201" s="2" t="str">
        <f>HYPERLINK("https://rth.dk/resources/bsgatlas/details.php?id=BSGatlas-internal_UTR-200","BSGatlas-internal_UTR-200")</f>
        <v>BSGatlas-internal_UTR-200</v>
      </c>
      <c r="B201" s="3">
        <v>640083</v>
      </c>
      <c r="C201" s="3">
        <v>640136</v>
      </c>
      <c r="D201" s="1" t="s">
        <v>9</v>
      </c>
      <c r="E201" s="1" t="s">
        <v>4373</v>
      </c>
    </row>
    <row r="202" spans="1:5" ht="21" x14ac:dyDescent="0.25">
      <c r="A202" s="2" t="str">
        <f>HYPERLINK("https://rth.dk/resources/bsgatlas/details.php?id=BSGatlas-internal_UTR-201","BSGatlas-internal_UTR-201")</f>
        <v>BSGatlas-internal_UTR-201</v>
      </c>
      <c r="B202" s="3">
        <v>647739</v>
      </c>
      <c r="C202" s="3">
        <v>647759</v>
      </c>
      <c r="D202" s="1" t="s">
        <v>9</v>
      </c>
      <c r="E202" s="1" t="s">
        <v>4386</v>
      </c>
    </row>
    <row r="203" spans="1:5" ht="21" x14ac:dyDescent="0.25">
      <c r="A203" s="2" t="str">
        <f>HYPERLINK("https://rth.dk/resources/bsgatlas/details.php?id=BSGatlas-internal_UTR-202","BSGatlas-internal_UTR-202")</f>
        <v>BSGatlas-internal_UTR-202</v>
      </c>
      <c r="B203" s="3">
        <v>650188</v>
      </c>
      <c r="C203" s="3">
        <v>650233</v>
      </c>
      <c r="D203" s="1" t="s">
        <v>9</v>
      </c>
      <c r="E203" s="1" t="s">
        <v>4397</v>
      </c>
    </row>
    <row r="204" spans="1:5" ht="21" x14ac:dyDescent="0.25">
      <c r="A204" s="2" t="str">
        <f>HYPERLINK("https://rth.dk/resources/bsgatlas/details.php?id=BSGatlas-internal_UTR-203","BSGatlas-internal_UTR-203")</f>
        <v>BSGatlas-internal_UTR-203</v>
      </c>
      <c r="B204" s="3">
        <v>656507</v>
      </c>
      <c r="C204" s="3">
        <v>656527</v>
      </c>
      <c r="D204" s="1" t="s">
        <v>9</v>
      </c>
      <c r="E204" s="1" t="s">
        <v>4382</v>
      </c>
    </row>
    <row r="205" spans="1:5" ht="21" x14ac:dyDescent="0.25">
      <c r="A205" s="2" t="str">
        <f>HYPERLINK("https://rth.dk/resources/bsgatlas/details.php?id=BSGatlas-internal_UTR-204","BSGatlas-internal_UTR-204")</f>
        <v>BSGatlas-internal_UTR-204</v>
      </c>
      <c r="B205" s="3">
        <v>660565</v>
      </c>
      <c r="C205" s="3">
        <v>660595</v>
      </c>
      <c r="D205" s="1" t="s">
        <v>9</v>
      </c>
      <c r="E205" s="1" t="s">
        <v>4377</v>
      </c>
    </row>
    <row r="206" spans="1:5" ht="21" x14ac:dyDescent="0.25">
      <c r="A206" s="2" t="str">
        <f>HYPERLINK("https://rth.dk/resources/bsgatlas/details.php?id=BSGatlas-internal_UTR-205","BSGatlas-internal_UTR-205")</f>
        <v>BSGatlas-internal_UTR-205</v>
      </c>
      <c r="B206" s="3">
        <v>668528</v>
      </c>
      <c r="C206" s="3">
        <v>668600</v>
      </c>
      <c r="D206" s="1" t="s">
        <v>9</v>
      </c>
      <c r="E206" s="1" t="s">
        <v>14710</v>
      </c>
    </row>
    <row r="207" spans="1:5" ht="21" x14ac:dyDescent="0.25">
      <c r="A207" s="2" t="str">
        <f>HYPERLINK("https://rth.dk/resources/bsgatlas/details.php?id=BSGatlas-internal_UTR-206","BSGatlas-internal_UTR-206")</f>
        <v>BSGatlas-internal_UTR-206</v>
      </c>
      <c r="B207" s="3">
        <v>669993</v>
      </c>
      <c r="C207" s="3">
        <v>670086</v>
      </c>
      <c r="D207" s="1" t="s">
        <v>9</v>
      </c>
      <c r="E207" s="1" t="s">
        <v>4377</v>
      </c>
    </row>
    <row r="208" spans="1:5" ht="21" x14ac:dyDescent="0.25">
      <c r="A208" s="2" t="str">
        <f>HYPERLINK("https://rth.dk/resources/bsgatlas/details.php?id=BSGatlas-internal_UTR-207","BSGatlas-internal_UTR-207")</f>
        <v>BSGatlas-internal_UTR-207</v>
      </c>
      <c r="B208" s="3">
        <v>671929</v>
      </c>
      <c r="C208" s="3">
        <v>671993</v>
      </c>
      <c r="D208" s="1" t="s">
        <v>9</v>
      </c>
      <c r="E208" s="1" t="s">
        <v>4386</v>
      </c>
    </row>
    <row r="209" spans="1:5" ht="21" x14ac:dyDescent="0.25">
      <c r="A209" s="2" t="str">
        <f>HYPERLINK("https://rth.dk/resources/bsgatlas/details.php?id=BSGatlas-internal_UTR-208","BSGatlas-internal_UTR-208")</f>
        <v>BSGatlas-internal_UTR-208</v>
      </c>
      <c r="B209" s="3">
        <v>673784</v>
      </c>
      <c r="C209" s="3">
        <v>673813</v>
      </c>
      <c r="D209" s="1" t="s">
        <v>9</v>
      </c>
      <c r="E209" s="1" t="s">
        <v>4386</v>
      </c>
    </row>
    <row r="210" spans="1:5" ht="21" x14ac:dyDescent="0.25">
      <c r="A210" s="2" t="str">
        <f>HYPERLINK("https://rth.dk/resources/bsgatlas/details.php?id=BSGatlas-internal_UTR-209","BSGatlas-internal_UTR-209")</f>
        <v>BSGatlas-internal_UTR-209</v>
      </c>
      <c r="B210" s="3">
        <v>679762</v>
      </c>
      <c r="C210" s="3">
        <v>679826</v>
      </c>
      <c r="D210" s="1" t="s">
        <v>9</v>
      </c>
      <c r="E210" s="1" t="s">
        <v>4377</v>
      </c>
    </row>
    <row r="211" spans="1:5" ht="21" x14ac:dyDescent="0.25">
      <c r="A211" s="2" t="str">
        <f>HYPERLINK("https://rth.dk/resources/bsgatlas/details.php?id=BSGatlas-internal_UTR-210","BSGatlas-internal_UTR-210")</f>
        <v>BSGatlas-internal_UTR-210</v>
      </c>
      <c r="B211" s="3">
        <v>681465</v>
      </c>
      <c r="C211" s="3">
        <v>681546</v>
      </c>
      <c r="D211" s="1" t="s">
        <v>13</v>
      </c>
      <c r="E211" s="1" t="s">
        <v>4386</v>
      </c>
    </row>
    <row r="212" spans="1:5" ht="21" x14ac:dyDescent="0.25">
      <c r="A212" s="2" t="str">
        <f>HYPERLINK("https://rth.dk/resources/bsgatlas/details.php?id=BSGatlas-internal_UTR-211","BSGatlas-internal_UTR-211")</f>
        <v>BSGatlas-internal_UTR-211</v>
      </c>
      <c r="B212" s="3">
        <v>701528</v>
      </c>
      <c r="C212" s="3">
        <v>701600</v>
      </c>
      <c r="D212" s="1" t="s">
        <v>9</v>
      </c>
      <c r="E212" s="1" t="s">
        <v>4377</v>
      </c>
    </row>
    <row r="213" spans="1:5" ht="21" x14ac:dyDescent="0.25">
      <c r="A213" s="2" t="str">
        <f>HYPERLINK("https://rth.dk/resources/bsgatlas/details.php?id=BSGatlas-internal_UTR-212","BSGatlas-internal_UTR-212")</f>
        <v>BSGatlas-internal_UTR-212</v>
      </c>
      <c r="B213" s="3">
        <v>706872</v>
      </c>
      <c r="C213" s="3">
        <v>706972</v>
      </c>
      <c r="D213" s="1" t="s">
        <v>9</v>
      </c>
      <c r="E213" s="1" t="s">
        <v>4377</v>
      </c>
    </row>
    <row r="214" spans="1:5" ht="21" x14ac:dyDescent="0.25">
      <c r="A214" s="2" t="str">
        <f>HYPERLINK("https://rth.dk/resources/bsgatlas/details.php?id=BSGatlas-internal_UTR-213","BSGatlas-internal_UTR-213")</f>
        <v>BSGatlas-internal_UTR-213</v>
      </c>
      <c r="B214" s="3">
        <v>715407</v>
      </c>
      <c r="C214" s="3">
        <v>715432</v>
      </c>
      <c r="D214" s="1" t="s">
        <v>9</v>
      </c>
      <c r="E214" s="1" t="s">
        <v>4386</v>
      </c>
    </row>
    <row r="215" spans="1:5" ht="21" x14ac:dyDescent="0.25">
      <c r="A215" s="2" t="str">
        <f>HYPERLINK("https://rth.dk/resources/bsgatlas/details.php?id=BSGatlas-internal_UTR-214","BSGatlas-internal_UTR-214")</f>
        <v>BSGatlas-internal_UTR-214</v>
      </c>
      <c r="B215" s="3">
        <v>719309</v>
      </c>
      <c r="C215" s="3">
        <v>719369</v>
      </c>
      <c r="D215" s="1" t="s">
        <v>9</v>
      </c>
      <c r="E215" s="1" t="s">
        <v>4397</v>
      </c>
    </row>
    <row r="216" spans="1:5" ht="21" x14ac:dyDescent="0.25">
      <c r="A216" s="2" t="str">
        <f>HYPERLINK("https://rth.dk/resources/bsgatlas/details.php?id=BSGatlas-internal_UTR-215","BSGatlas-internal_UTR-215")</f>
        <v>BSGatlas-internal_UTR-215</v>
      </c>
      <c r="B216" s="3">
        <v>721590</v>
      </c>
      <c r="C216" s="3">
        <v>721612</v>
      </c>
      <c r="D216" s="1" t="s">
        <v>9</v>
      </c>
      <c r="E216" s="1" t="s">
        <v>4397</v>
      </c>
    </row>
    <row r="217" spans="1:5" ht="21" x14ac:dyDescent="0.25">
      <c r="A217" s="2" t="str">
        <f>HYPERLINK("https://rth.dk/resources/bsgatlas/details.php?id=BSGatlas-internal_UTR-216","BSGatlas-internal_UTR-216")</f>
        <v>BSGatlas-internal_UTR-216</v>
      </c>
      <c r="B217" s="3">
        <v>737348</v>
      </c>
      <c r="C217" s="3">
        <v>737602</v>
      </c>
      <c r="D217" s="1" t="s">
        <v>9</v>
      </c>
      <c r="E217" s="1" t="s">
        <v>4377</v>
      </c>
    </row>
    <row r="218" spans="1:5" ht="21" x14ac:dyDescent="0.25">
      <c r="A218" s="2" t="str">
        <f>HYPERLINK("https://rth.dk/resources/bsgatlas/details.php?id=BSGatlas-internal_UTR-217","BSGatlas-internal_UTR-217")</f>
        <v>BSGatlas-internal_UTR-217</v>
      </c>
      <c r="B218" s="3">
        <v>738983</v>
      </c>
      <c r="C218" s="3">
        <v>739877</v>
      </c>
      <c r="D218" s="1" t="s">
        <v>9</v>
      </c>
      <c r="E218" s="1" t="s">
        <v>4377</v>
      </c>
    </row>
    <row r="219" spans="1:5" ht="21" x14ac:dyDescent="0.25">
      <c r="A219" s="2" t="str">
        <f>HYPERLINK("https://rth.dk/resources/bsgatlas/details.php?id=BSGatlas-internal_UTR-218","BSGatlas-internal_UTR-218")</f>
        <v>BSGatlas-internal_UTR-218</v>
      </c>
      <c r="B219" s="3">
        <v>740214</v>
      </c>
      <c r="C219" s="3">
        <v>740287</v>
      </c>
      <c r="D219" s="1" t="s">
        <v>9</v>
      </c>
      <c r="E219" s="1" t="s">
        <v>4377</v>
      </c>
    </row>
    <row r="220" spans="1:5" ht="21" x14ac:dyDescent="0.25">
      <c r="A220" s="2" t="str">
        <f>HYPERLINK("https://rth.dk/resources/bsgatlas/details.php?id=BSGatlas-internal_UTR-219","BSGatlas-internal_UTR-219")</f>
        <v>BSGatlas-internal_UTR-219</v>
      </c>
      <c r="B220" s="3">
        <v>744739</v>
      </c>
      <c r="C220" s="3">
        <v>744850</v>
      </c>
      <c r="D220" s="1" t="s">
        <v>9</v>
      </c>
      <c r="E220" s="1" t="s">
        <v>4377</v>
      </c>
    </row>
    <row r="221" spans="1:5" ht="21" x14ac:dyDescent="0.25">
      <c r="A221" s="2" t="str">
        <f>HYPERLINK("https://rth.dk/resources/bsgatlas/details.php?id=BSGatlas-internal_UTR-220","BSGatlas-internal_UTR-220")</f>
        <v>BSGatlas-internal_UTR-220</v>
      </c>
      <c r="B221" s="3">
        <v>747535</v>
      </c>
      <c r="C221" s="3">
        <v>747553</v>
      </c>
      <c r="D221" s="1" t="s">
        <v>13</v>
      </c>
      <c r="E221" s="1" t="s">
        <v>4377</v>
      </c>
    </row>
    <row r="222" spans="1:5" ht="21" x14ac:dyDescent="0.25">
      <c r="A222" s="2" t="str">
        <f>HYPERLINK("https://rth.dk/resources/bsgatlas/details.php?id=BSGatlas-internal_UTR-221","BSGatlas-internal_UTR-221")</f>
        <v>BSGatlas-internal_UTR-221</v>
      </c>
      <c r="B222" s="3">
        <v>756987</v>
      </c>
      <c r="C222" s="3">
        <v>757110</v>
      </c>
      <c r="D222" s="1" t="s">
        <v>9</v>
      </c>
      <c r="E222" s="1" t="s">
        <v>4377</v>
      </c>
    </row>
    <row r="223" spans="1:5" ht="21" x14ac:dyDescent="0.25">
      <c r="A223" s="2" t="str">
        <f>HYPERLINK("https://rth.dk/resources/bsgatlas/details.php?id=BSGatlas-internal_UTR-222","BSGatlas-internal_UTR-222")</f>
        <v>BSGatlas-internal_UTR-222</v>
      </c>
      <c r="B223" s="3">
        <v>757654</v>
      </c>
      <c r="C223" s="3">
        <v>757675</v>
      </c>
      <c r="D223" s="1" t="s">
        <v>9</v>
      </c>
      <c r="E223" s="1" t="s">
        <v>4377</v>
      </c>
    </row>
    <row r="224" spans="1:5" ht="21" x14ac:dyDescent="0.25">
      <c r="A224" s="2" t="str">
        <f>HYPERLINK("https://rth.dk/resources/bsgatlas/details.php?id=BSGatlas-internal_UTR-223","BSGatlas-internal_UTR-223")</f>
        <v>BSGatlas-internal_UTR-223</v>
      </c>
      <c r="B224" s="3">
        <v>770114</v>
      </c>
      <c r="C224" s="3">
        <v>770233</v>
      </c>
      <c r="D224" s="1" t="s">
        <v>9</v>
      </c>
      <c r="E224" s="1" t="s">
        <v>4386</v>
      </c>
    </row>
    <row r="225" spans="1:5" ht="21" x14ac:dyDescent="0.25">
      <c r="A225" s="2" t="str">
        <f>HYPERLINK("https://rth.dk/resources/bsgatlas/details.php?id=BSGatlas-internal_UTR-224","BSGatlas-internal_UTR-224")</f>
        <v>BSGatlas-internal_UTR-224</v>
      </c>
      <c r="B225" s="3">
        <v>772097</v>
      </c>
      <c r="C225" s="3">
        <v>772141</v>
      </c>
      <c r="D225" s="1" t="s">
        <v>9</v>
      </c>
      <c r="E225" s="1" t="s">
        <v>4386</v>
      </c>
    </row>
    <row r="226" spans="1:5" ht="21" x14ac:dyDescent="0.25">
      <c r="A226" s="2" t="str">
        <f>HYPERLINK("https://rth.dk/resources/bsgatlas/details.php?id=BSGatlas-internal_UTR-225","BSGatlas-internal_UTR-225")</f>
        <v>BSGatlas-internal_UTR-225</v>
      </c>
      <c r="B226" s="3">
        <v>773981</v>
      </c>
      <c r="C226" s="3">
        <v>774137</v>
      </c>
      <c r="D226" s="1" t="s">
        <v>9</v>
      </c>
      <c r="E226" s="1" t="s">
        <v>4386</v>
      </c>
    </row>
    <row r="227" spans="1:5" ht="21" x14ac:dyDescent="0.25">
      <c r="A227" s="2" t="str">
        <f>HYPERLINK("https://rth.dk/resources/bsgatlas/details.php?id=BSGatlas-internal_UTR-226","BSGatlas-internal_UTR-226")</f>
        <v>BSGatlas-internal_UTR-226</v>
      </c>
      <c r="B227" s="3">
        <v>784299</v>
      </c>
      <c r="C227" s="3">
        <v>784380</v>
      </c>
      <c r="D227" s="1" t="s">
        <v>9</v>
      </c>
      <c r="E227" s="1" t="s">
        <v>4397</v>
      </c>
    </row>
    <row r="228" spans="1:5" ht="21" x14ac:dyDescent="0.25">
      <c r="A228" s="2" t="str">
        <f>HYPERLINK("https://rth.dk/resources/bsgatlas/details.php?id=BSGatlas-internal_UTR-227","BSGatlas-internal_UTR-227")</f>
        <v>BSGatlas-internal_UTR-227</v>
      </c>
      <c r="B228" s="3">
        <v>787883</v>
      </c>
      <c r="C228" s="3">
        <v>787991</v>
      </c>
      <c r="D228" s="1" t="s">
        <v>9</v>
      </c>
      <c r="E228" s="1" t="s">
        <v>4386</v>
      </c>
    </row>
    <row r="229" spans="1:5" ht="21" x14ac:dyDescent="0.25">
      <c r="A229" s="2" t="str">
        <f>HYPERLINK("https://rth.dk/resources/bsgatlas/details.php?id=BSGatlas-internal_UTR-228","BSGatlas-internal_UTR-228")</f>
        <v>BSGatlas-internal_UTR-228</v>
      </c>
      <c r="B229" s="3">
        <v>800209</v>
      </c>
      <c r="C229" s="3">
        <v>800231</v>
      </c>
      <c r="D229" s="1" t="s">
        <v>9</v>
      </c>
      <c r="E229" s="1" t="s">
        <v>4373</v>
      </c>
    </row>
    <row r="230" spans="1:5" ht="21" x14ac:dyDescent="0.25">
      <c r="A230" s="2" t="str">
        <f>HYPERLINK("https://rth.dk/resources/bsgatlas/details.php?id=BSGatlas-internal_UTR-229","BSGatlas-internal_UTR-229")</f>
        <v>BSGatlas-internal_UTR-229</v>
      </c>
      <c r="B230" s="3">
        <v>801144</v>
      </c>
      <c r="C230" s="3">
        <v>801171</v>
      </c>
      <c r="D230" s="1" t="s">
        <v>9</v>
      </c>
      <c r="E230" s="1" t="s">
        <v>4373</v>
      </c>
    </row>
    <row r="231" spans="1:5" ht="21" x14ac:dyDescent="0.25">
      <c r="A231" s="2" t="str">
        <f>HYPERLINK("https://rth.dk/resources/bsgatlas/details.php?id=BSGatlas-internal_UTR-230","BSGatlas-internal_UTR-230")</f>
        <v>BSGatlas-internal_UTR-230</v>
      </c>
      <c r="B231" s="3">
        <v>805365</v>
      </c>
      <c r="C231" s="3">
        <v>805455</v>
      </c>
      <c r="D231" s="1" t="s">
        <v>13</v>
      </c>
      <c r="E231" s="1" t="s">
        <v>4397</v>
      </c>
    </row>
    <row r="232" spans="1:5" ht="21" x14ac:dyDescent="0.25">
      <c r="A232" s="2" t="str">
        <f>HYPERLINK("https://rth.dk/resources/bsgatlas/details.php?id=BSGatlas-internal_UTR-231","BSGatlas-internal_UTR-231")</f>
        <v>BSGatlas-internal_UTR-231</v>
      </c>
      <c r="B232" s="3">
        <v>812563</v>
      </c>
      <c r="C232" s="3">
        <v>812627</v>
      </c>
      <c r="D232" s="1" t="s">
        <v>9</v>
      </c>
      <c r="E232" s="1" t="s">
        <v>4386</v>
      </c>
    </row>
    <row r="233" spans="1:5" ht="21" x14ac:dyDescent="0.25">
      <c r="A233" s="2" t="str">
        <f>HYPERLINK("https://rth.dk/resources/bsgatlas/details.php?id=BSGatlas-internal_UTR-232","BSGatlas-internal_UTR-232")</f>
        <v>BSGatlas-internal_UTR-232</v>
      </c>
      <c r="B233" s="3">
        <v>818830</v>
      </c>
      <c r="C233" s="3">
        <v>819310</v>
      </c>
      <c r="D233" s="1" t="s">
        <v>13</v>
      </c>
      <c r="E233" s="1" t="s">
        <v>4373</v>
      </c>
    </row>
    <row r="234" spans="1:5" ht="21" x14ac:dyDescent="0.25">
      <c r="A234" s="2" t="str">
        <f>HYPERLINK("https://rth.dk/resources/bsgatlas/details.php?id=BSGatlas-internal_UTR-233","BSGatlas-internal_UTR-233")</f>
        <v>BSGatlas-internal_UTR-233</v>
      </c>
      <c r="B234" s="3">
        <v>825716</v>
      </c>
      <c r="C234" s="3">
        <v>825786</v>
      </c>
      <c r="D234" s="1" t="s">
        <v>13</v>
      </c>
      <c r="E234" s="1" t="s">
        <v>4377</v>
      </c>
    </row>
    <row r="235" spans="1:5" ht="21" x14ac:dyDescent="0.25">
      <c r="A235" s="2" t="str">
        <f>HYPERLINK("https://rth.dk/resources/bsgatlas/details.php?id=BSGatlas-internal_UTR-234","BSGatlas-internal_UTR-234")</f>
        <v>BSGatlas-internal_UTR-234</v>
      </c>
      <c r="B235" s="3">
        <v>826735</v>
      </c>
      <c r="C235" s="3">
        <v>826842</v>
      </c>
      <c r="D235" s="1" t="s">
        <v>13</v>
      </c>
      <c r="E235" s="1" t="s">
        <v>4386</v>
      </c>
    </row>
    <row r="236" spans="1:5" ht="21" x14ac:dyDescent="0.25">
      <c r="A236" s="2" t="str">
        <f>HYPERLINK("https://rth.dk/resources/bsgatlas/details.php?id=BSGatlas-internal_UTR-235","BSGatlas-internal_UTR-235")</f>
        <v>BSGatlas-internal_UTR-235</v>
      </c>
      <c r="B236" s="3">
        <v>827420</v>
      </c>
      <c r="C236" s="3">
        <v>827454</v>
      </c>
      <c r="D236" s="1" t="s">
        <v>9</v>
      </c>
      <c r="E236" s="1" t="s">
        <v>4373</v>
      </c>
    </row>
    <row r="237" spans="1:5" ht="21" x14ac:dyDescent="0.25">
      <c r="A237" s="2" t="str">
        <f>HYPERLINK("https://rth.dk/resources/bsgatlas/details.php?id=BSGatlas-internal_UTR-236","BSGatlas-internal_UTR-236")</f>
        <v>BSGatlas-internal_UTR-236</v>
      </c>
      <c r="B237" s="3">
        <v>835685</v>
      </c>
      <c r="C237" s="3">
        <v>835739</v>
      </c>
      <c r="D237" s="1" t="s">
        <v>9</v>
      </c>
      <c r="E237" s="1" t="s">
        <v>4373</v>
      </c>
    </row>
    <row r="238" spans="1:5" ht="21" x14ac:dyDescent="0.25">
      <c r="A238" s="2" t="str">
        <f>HYPERLINK("https://rth.dk/resources/bsgatlas/details.php?id=BSGatlas-internal_UTR-237","BSGatlas-internal_UTR-237")</f>
        <v>BSGatlas-internal_UTR-237</v>
      </c>
      <c r="B238" s="3">
        <v>837745</v>
      </c>
      <c r="C238" s="3">
        <v>838076</v>
      </c>
      <c r="D238" s="1" t="s">
        <v>9</v>
      </c>
      <c r="E238" s="1" t="s">
        <v>4397</v>
      </c>
    </row>
    <row r="239" spans="1:5" ht="21" x14ac:dyDescent="0.25">
      <c r="A239" s="2" t="str">
        <f>HYPERLINK("https://rth.dk/resources/bsgatlas/details.php?id=BSGatlas-internal_UTR-238","BSGatlas-internal_UTR-238")</f>
        <v>BSGatlas-internal_UTR-238</v>
      </c>
      <c r="B239" s="3">
        <v>839233</v>
      </c>
      <c r="C239" s="3">
        <v>839338</v>
      </c>
      <c r="D239" s="1" t="s">
        <v>13</v>
      </c>
      <c r="E239" s="1" t="s">
        <v>4386</v>
      </c>
    </row>
    <row r="240" spans="1:5" ht="21" x14ac:dyDescent="0.25">
      <c r="A240" s="2" t="str">
        <f>HYPERLINK("https://rth.dk/resources/bsgatlas/details.php?id=BSGatlas-internal_UTR-239","BSGatlas-internal_UTR-239")</f>
        <v>BSGatlas-internal_UTR-239</v>
      </c>
      <c r="B240" s="3">
        <v>839654</v>
      </c>
      <c r="C240" s="3">
        <v>839734</v>
      </c>
      <c r="D240" s="1" t="s">
        <v>13</v>
      </c>
      <c r="E240" s="1" t="s">
        <v>14712</v>
      </c>
    </row>
    <row r="241" spans="1:5" ht="21" x14ac:dyDescent="0.25">
      <c r="A241" s="2" t="str">
        <f>HYPERLINK("https://rth.dk/resources/bsgatlas/details.php?id=BSGatlas-internal_UTR-240","BSGatlas-internal_UTR-240")</f>
        <v>BSGatlas-internal_UTR-240</v>
      </c>
      <c r="B241" s="3">
        <v>844235</v>
      </c>
      <c r="C241" s="3">
        <v>844252</v>
      </c>
      <c r="D241" s="1" t="s">
        <v>9</v>
      </c>
      <c r="E241" s="1" t="s">
        <v>4377</v>
      </c>
    </row>
    <row r="242" spans="1:5" ht="21" x14ac:dyDescent="0.25">
      <c r="A242" s="2" t="str">
        <f>HYPERLINK("https://rth.dk/resources/bsgatlas/details.php?id=BSGatlas-internal_UTR-241","BSGatlas-internal_UTR-241")</f>
        <v>BSGatlas-internal_UTR-241</v>
      </c>
      <c r="B242" s="3">
        <v>844646</v>
      </c>
      <c r="C242" s="3">
        <v>844769</v>
      </c>
      <c r="D242" s="1" t="s">
        <v>9</v>
      </c>
      <c r="E242" s="1" t="s">
        <v>4377</v>
      </c>
    </row>
    <row r="243" spans="1:5" ht="21" x14ac:dyDescent="0.25">
      <c r="A243" s="2" t="str">
        <f>HYPERLINK("https://rth.dk/resources/bsgatlas/details.php?id=BSGatlas-internal_UTR-242","BSGatlas-internal_UTR-242")</f>
        <v>BSGatlas-internal_UTR-242</v>
      </c>
      <c r="B243" s="3">
        <v>847259</v>
      </c>
      <c r="C243" s="3">
        <v>847281</v>
      </c>
      <c r="D243" s="1" t="s">
        <v>13</v>
      </c>
      <c r="E243" s="1" t="s">
        <v>4382</v>
      </c>
    </row>
    <row r="244" spans="1:5" ht="21" x14ac:dyDescent="0.25">
      <c r="A244" s="2" t="str">
        <f>HYPERLINK("https://rth.dk/resources/bsgatlas/details.php?id=BSGatlas-internal_UTR-243","BSGatlas-internal_UTR-243")</f>
        <v>BSGatlas-internal_UTR-243</v>
      </c>
      <c r="B244" s="3">
        <v>851780</v>
      </c>
      <c r="C244" s="3">
        <v>851849</v>
      </c>
      <c r="D244" s="1" t="s">
        <v>9</v>
      </c>
      <c r="E244" s="1" t="s">
        <v>4377</v>
      </c>
    </row>
    <row r="245" spans="1:5" ht="21" x14ac:dyDescent="0.25">
      <c r="A245" s="2" t="str">
        <f>HYPERLINK("https://rth.dk/resources/bsgatlas/details.php?id=BSGatlas-internal_UTR-244","BSGatlas-internal_UTR-244")</f>
        <v>BSGatlas-internal_UTR-244</v>
      </c>
      <c r="B245" s="3">
        <v>853536</v>
      </c>
      <c r="C245" s="3">
        <v>853555</v>
      </c>
      <c r="D245" s="1" t="s">
        <v>9</v>
      </c>
      <c r="E245" s="1" t="s">
        <v>4377</v>
      </c>
    </row>
    <row r="246" spans="1:5" ht="21" x14ac:dyDescent="0.25">
      <c r="A246" s="2" t="str">
        <f>HYPERLINK("https://rth.dk/resources/bsgatlas/details.php?id=BSGatlas-internal_UTR-245","BSGatlas-internal_UTR-245")</f>
        <v>BSGatlas-internal_UTR-245</v>
      </c>
      <c r="B246" s="3">
        <v>861494</v>
      </c>
      <c r="C246" s="3">
        <v>861585</v>
      </c>
      <c r="D246" s="1" t="s">
        <v>13</v>
      </c>
      <c r="E246" s="1" t="s">
        <v>4377</v>
      </c>
    </row>
    <row r="247" spans="1:5" ht="21" x14ac:dyDescent="0.25">
      <c r="A247" s="2" t="str">
        <f>HYPERLINK("https://rth.dk/resources/bsgatlas/details.php?id=BSGatlas-internal_UTR-246","BSGatlas-internal_UTR-246")</f>
        <v>BSGatlas-internal_UTR-246</v>
      </c>
      <c r="B247" s="3">
        <v>862475</v>
      </c>
      <c r="C247" s="3">
        <v>862491</v>
      </c>
      <c r="D247" s="1" t="s">
        <v>9</v>
      </c>
      <c r="E247" s="1" t="s">
        <v>4386</v>
      </c>
    </row>
    <row r="248" spans="1:5" ht="21" x14ac:dyDescent="0.25">
      <c r="A248" s="2" t="str">
        <f>HYPERLINK("https://rth.dk/resources/bsgatlas/details.php?id=BSGatlas-internal_UTR-247","BSGatlas-internal_UTR-247")</f>
        <v>BSGatlas-internal_UTR-247</v>
      </c>
      <c r="B248" s="3">
        <v>862813</v>
      </c>
      <c r="C248" s="3">
        <v>862835</v>
      </c>
      <c r="D248" s="1" t="s">
        <v>9</v>
      </c>
      <c r="E248" s="1" t="s">
        <v>4386</v>
      </c>
    </row>
    <row r="249" spans="1:5" ht="21" x14ac:dyDescent="0.25">
      <c r="A249" s="2" t="str">
        <f>HYPERLINK("https://rth.dk/resources/bsgatlas/details.php?id=BSGatlas-internal_UTR-248","BSGatlas-internal_UTR-248")</f>
        <v>BSGatlas-internal_UTR-248</v>
      </c>
      <c r="B249" s="3">
        <v>866261</v>
      </c>
      <c r="C249" s="3">
        <v>866330</v>
      </c>
      <c r="D249" s="1" t="s">
        <v>9</v>
      </c>
      <c r="E249" s="1" t="s">
        <v>4386</v>
      </c>
    </row>
    <row r="250" spans="1:5" ht="21" x14ac:dyDescent="0.25">
      <c r="A250" s="2" t="str">
        <f>HYPERLINK("https://rth.dk/resources/bsgatlas/details.php?id=BSGatlas-internal_UTR-249","BSGatlas-internal_UTR-249")</f>
        <v>BSGatlas-internal_UTR-249</v>
      </c>
      <c r="B250" s="3">
        <v>873289</v>
      </c>
      <c r="C250" s="3">
        <v>873401</v>
      </c>
      <c r="D250" s="1" t="s">
        <v>9</v>
      </c>
      <c r="E250" s="1" t="s">
        <v>4373</v>
      </c>
    </row>
    <row r="251" spans="1:5" ht="21" x14ac:dyDescent="0.25">
      <c r="A251" s="2" t="str">
        <f>HYPERLINK("https://rth.dk/resources/bsgatlas/details.php?id=BSGatlas-internal_UTR-250","BSGatlas-internal_UTR-250")</f>
        <v>BSGatlas-internal_UTR-250</v>
      </c>
      <c r="B251" s="3">
        <v>878052</v>
      </c>
      <c r="C251" s="3">
        <v>878080</v>
      </c>
      <c r="D251" s="1" t="s">
        <v>9</v>
      </c>
      <c r="E251" s="1" t="s">
        <v>4377</v>
      </c>
    </row>
    <row r="252" spans="1:5" ht="21" x14ac:dyDescent="0.25">
      <c r="A252" s="2" t="str">
        <f>HYPERLINK("https://rth.dk/resources/bsgatlas/details.php?id=BSGatlas-internal_UTR-251","BSGatlas-internal_UTR-251")</f>
        <v>BSGatlas-internal_UTR-251</v>
      </c>
      <c r="B252" s="3">
        <v>882246</v>
      </c>
      <c r="C252" s="3">
        <v>882265</v>
      </c>
      <c r="D252" s="1" t="s">
        <v>9</v>
      </c>
      <c r="E252" s="1" t="s">
        <v>4377</v>
      </c>
    </row>
    <row r="253" spans="1:5" ht="21" x14ac:dyDescent="0.25">
      <c r="A253" s="2" t="str">
        <f>HYPERLINK("https://rth.dk/resources/bsgatlas/details.php?id=BSGatlas-internal_UTR-252","BSGatlas-internal_UTR-252")</f>
        <v>BSGatlas-internal_UTR-252</v>
      </c>
      <c r="B253" s="3">
        <v>885576</v>
      </c>
      <c r="C253" s="3">
        <v>885628</v>
      </c>
      <c r="D253" s="1" t="s">
        <v>9</v>
      </c>
      <c r="E253" s="1" t="s">
        <v>4373</v>
      </c>
    </row>
    <row r="254" spans="1:5" ht="21" x14ac:dyDescent="0.25">
      <c r="A254" s="2" t="str">
        <f>HYPERLINK("https://rth.dk/resources/bsgatlas/details.php?id=BSGatlas-internal_UTR-253","BSGatlas-internal_UTR-253")</f>
        <v>BSGatlas-internal_UTR-253</v>
      </c>
      <c r="B254" s="3">
        <v>886174</v>
      </c>
      <c r="C254" s="3">
        <v>886222</v>
      </c>
      <c r="D254" s="1" t="s">
        <v>13</v>
      </c>
      <c r="E254" s="1" t="s">
        <v>4373</v>
      </c>
    </row>
    <row r="255" spans="1:5" ht="21" x14ac:dyDescent="0.25">
      <c r="A255" s="2" t="str">
        <f>HYPERLINK("https://rth.dk/resources/bsgatlas/details.php?id=BSGatlas-internal_UTR-254","BSGatlas-internal_UTR-254")</f>
        <v>BSGatlas-internal_UTR-254</v>
      </c>
      <c r="B255" s="3">
        <v>886682</v>
      </c>
      <c r="C255" s="3">
        <v>886774</v>
      </c>
      <c r="D255" s="1" t="s">
        <v>13</v>
      </c>
      <c r="E255" s="1" t="s">
        <v>4373</v>
      </c>
    </row>
    <row r="256" spans="1:5" ht="21" x14ac:dyDescent="0.25">
      <c r="A256" s="2" t="str">
        <f>HYPERLINK("https://rth.dk/resources/bsgatlas/details.php?id=BSGatlas-internal_UTR-255","BSGatlas-internal_UTR-255")</f>
        <v>BSGatlas-internal_UTR-255</v>
      </c>
      <c r="B256" s="3">
        <v>887333</v>
      </c>
      <c r="C256" s="3">
        <v>887363</v>
      </c>
      <c r="D256" s="1" t="s">
        <v>13</v>
      </c>
      <c r="E256" s="1" t="s">
        <v>4373</v>
      </c>
    </row>
    <row r="257" spans="1:5" ht="21" x14ac:dyDescent="0.25">
      <c r="A257" s="2" t="str">
        <f>HYPERLINK("https://rth.dk/resources/bsgatlas/details.php?id=BSGatlas-internal_UTR-256","BSGatlas-internal_UTR-256")</f>
        <v>BSGatlas-internal_UTR-256</v>
      </c>
      <c r="B257" s="3">
        <v>891372</v>
      </c>
      <c r="C257" s="3">
        <v>891435</v>
      </c>
      <c r="D257" s="1" t="s">
        <v>9</v>
      </c>
      <c r="E257" s="1" t="s">
        <v>4382</v>
      </c>
    </row>
    <row r="258" spans="1:5" ht="21" x14ac:dyDescent="0.25">
      <c r="A258" s="2" t="str">
        <f>HYPERLINK("https://rth.dk/resources/bsgatlas/details.php?id=BSGatlas-internal_UTR-257","BSGatlas-internal_UTR-257")</f>
        <v>BSGatlas-internal_UTR-257</v>
      </c>
      <c r="B258" s="3">
        <v>897993</v>
      </c>
      <c r="C258" s="3">
        <v>898009</v>
      </c>
      <c r="D258" s="1" t="s">
        <v>9</v>
      </c>
      <c r="E258" s="1" t="s">
        <v>4386</v>
      </c>
    </row>
    <row r="259" spans="1:5" ht="21" x14ac:dyDescent="0.25">
      <c r="A259" s="2" t="str">
        <f>HYPERLINK("https://rth.dk/resources/bsgatlas/details.php?id=BSGatlas-internal_UTR-258","BSGatlas-internal_UTR-258")</f>
        <v>BSGatlas-internal_UTR-258</v>
      </c>
      <c r="B259" s="3">
        <v>901529</v>
      </c>
      <c r="C259" s="3">
        <v>901554</v>
      </c>
      <c r="D259" s="1" t="s">
        <v>9</v>
      </c>
      <c r="E259" s="1" t="s">
        <v>4373</v>
      </c>
    </row>
    <row r="260" spans="1:5" ht="21" x14ac:dyDescent="0.25">
      <c r="A260" s="2" t="str">
        <f>HYPERLINK("https://rth.dk/resources/bsgatlas/details.php?id=BSGatlas-internal_UTR-259","BSGatlas-internal_UTR-259")</f>
        <v>BSGatlas-internal_UTR-259</v>
      </c>
      <c r="B260" s="3">
        <v>923500</v>
      </c>
      <c r="C260" s="3">
        <v>923586</v>
      </c>
      <c r="D260" s="1" t="s">
        <v>9</v>
      </c>
      <c r="E260" s="1" t="s">
        <v>4377</v>
      </c>
    </row>
    <row r="261" spans="1:5" ht="21" x14ac:dyDescent="0.25">
      <c r="A261" s="2" t="str">
        <f>HYPERLINK("https://rth.dk/resources/bsgatlas/details.php?id=BSGatlas-internal_UTR-260","BSGatlas-internal_UTR-260")</f>
        <v>BSGatlas-internal_UTR-260</v>
      </c>
      <c r="B261" s="3">
        <v>924402</v>
      </c>
      <c r="C261" s="3">
        <v>924467</v>
      </c>
      <c r="D261" s="1" t="s">
        <v>13</v>
      </c>
      <c r="E261" s="1" t="s">
        <v>4373</v>
      </c>
    </row>
    <row r="262" spans="1:5" ht="21" x14ac:dyDescent="0.25">
      <c r="A262" s="2" t="str">
        <f>HYPERLINK("https://rth.dk/resources/bsgatlas/details.php?id=BSGatlas-internal_UTR-261","BSGatlas-internal_UTR-261")</f>
        <v>BSGatlas-internal_UTR-261</v>
      </c>
      <c r="B262" s="3">
        <v>924579</v>
      </c>
      <c r="C262" s="3">
        <v>924632</v>
      </c>
      <c r="D262" s="1" t="s">
        <v>13</v>
      </c>
      <c r="E262" s="1" t="s">
        <v>4373</v>
      </c>
    </row>
    <row r="263" spans="1:5" ht="21" x14ac:dyDescent="0.25">
      <c r="A263" s="2" t="str">
        <f>HYPERLINK("https://rth.dk/resources/bsgatlas/details.php?id=BSGatlas-internal_UTR-262","BSGatlas-internal_UTR-262")</f>
        <v>BSGatlas-internal_UTR-262</v>
      </c>
      <c r="B263" s="3">
        <v>929322</v>
      </c>
      <c r="C263" s="3">
        <v>929405</v>
      </c>
      <c r="D263" s="1" t="s">
        <v>9</v>
      </c>
      <c r="E263" s="1" t="s">
        <v>4377</v>
      </c>
    </row>
    <row r="264" spans="1:5" ht="21" x14ac:dyDescent="0.25">
      <c r="A264" s="2" t="str">
        <f>HYPERLINK("https://rth.dk/resources/bsgatlas/details.php?id=BSGatlas-internal_UTR-263","BSGatlas-internal_UTR-263")</f>
        <v>BSGatlas-internal_UTR-263</v>
      </c>
      <c r="B264" s="3">
        <v>931808</v>
      </c>
      <c r="C264" s="3">
        <v>931878</v>
      </c>
      <c r="D264" s="1" t="s">
        <v>9</v>
      </c>
      <c r="E264" s="1" t="s">
        <v>4377</v>
      </c>
    </row>
    <row r="265" spans="1:5" ht="21" x14ac:dyDescent="0.25">
      <c r="A265" s="2" t="str">
        <f>HYPERLINK("https://rth.dk/resources/bsgatlas/details.php?id=BSGatlas-internal_UTR-264","BSGatlas-internal_UTR-264")</f>
        <v>BSGatlas-internal_UTR-264</v>
      </c>
      <c r="B265" s="3">
        <v>936766</v>
      </c>
      <c r="C265" s="3">
        <v>937078</v>
      </c>
      <c r="D265" s="1" t="s">
        <v>9</v>
      </c>
      <c r="E265" s="1" t="s">
        <v>4547</v>
      </c>
    </row>
    <row r="266" spans="1:5" ht="21" x14ac:dyDescent="0.25">
      <c r="A266" s="2" t="str">
        <f>HYPERLINK("https://rth.dk/resources/bsgatlas/details.php?id=BSGatlas-internal_UTR-265","BSGatlas-internal_UTR-265")</f>
        <v>BSGatlas-internal_UTR-265</v>
      </c>
      <c r="B266" s="3">
        <v>937832</v>
      </c>
      <c r="C266" s="3">
        <v>937899</v>
      </c>
      <c r="D266" s="1" t="s">
        <v>9</v>
      </c>
      <c r="E266" s="1" t="s">
        <v>14713</v>
      </c>
    </row>
    <row r="267" spans="1:5" ht="21" x14ac:dyDescent="0.25">
      <c r="A267" s="2" t="str">
        <f>HYPERLINK("https://rth.dk/resources/bsgatlas/details.php?id=BSGatlas-internal_UTR-266","BSGatlas-internal_UTR-266")</f>
        <v>BSGatlas-internal_UTR-266</v>
      </c>
      <c r="B267" s="3">
        <v>939262</v>
      </c>
      <c r="C267" s="3">
        <v>939348</v>
      </c>
      <c r="D267" s="1" t="s">
        <v>9</v>
      </c>
      <c r="E267" s="1" t="s">
        <v>4377</v>
      </c>
    </row>
    <row r="268" spans="1:5" ht="21" x14ac:dyDescent="0.25">
      <c r="A268" s="2" t="str">
        <f>HYPERLINK("https://rth.dk/resources/bsgatlas/details.php?id=BSGatlas-internal_UTR-267","BSGatlas-internal_UTR-267")</f>
        <v>BSGatlas-internal_UTR-267</v>
      </c>
      <c r="B268" s="3">
        <v>944365</v>
      </c>
      <c r="C268" s="3">
        <v>944486</v>
      </c>
      <c r="D268" s="1" t="s">
        <v>9</v>
      </c>
      <c r="E268" s="1" t="s">
        <v>4373</v>
      </c>
    </row>
    <row r="269" spans="1:5" ht="21" x14ac:dyDescent="0.25">
      <c r="A269" s="2" t="str">
        <f>HYPERLINK("https://rth.dk/resources/bsgatlas/details.php?id=BSGatlas-internal_UTR-268","BSGatlas-internal_UTR-268")</f>
        <v>BSGatlas-internal_UTR-268</v>
      </c>
      <c r="B269" s="3">
        <v>946405</v>
      </c>
      <c r="C269" s="3">
        <v>946695</v>
      </c>
      <c r="D269" s="1" t="s">
        <v>9</v>
      </c>
      <c r="E269" s="1" t="s">
        <v>4373</v>
      </c>
    </row>
    <row r="270" spans="1:5" ht="21" x14ac:dyDescent="0.25">
      <c r="A270" s="2" t="str">
        <f>HYPERLINK("https://rth.dk/resources/bsgatlas/details.php?id=BSGatlas-internal_UTR-269","BSGatlas-internal_UTR-269")</f>
        <v>BSGatlas-internal_UTR-269</v>
      </c>
      <c r="B270" s="3">
        <v>948251</v>
      </c>
      <c r="C270" s="3">
        <v>948414</v>
      </c>
      <c r="D270" s="1" t="s">
        <v>9</v>
      </c>
      <c r="E270" s="1" t="s">
        <v>4373</v>
      </c>
    </row>
    <row r="271" spans="1:5" ht="21" x14ac:dyDescent="0.25">
      <c r="A271" s="2" t="str">
        <f>HYPERLINK("https://rth.dk/resources/bsgatlas/details.php?id=BSGatlas-internal_UTR-270","BSGatlas-internal_UTR-270")</f>
        <v>BSGatlas-internal_UTR-270</v>
      </c>
      <c r="B271" s="3">
        <v>951346</v>
      </c>
      <c r="C271" s="3">
        <v>951455</v>
      </c>
      <c r="D271" s="1" t="s">
        <v>9</v>
      </c>
      <c r="E271" s="1" t="s">
        <v>4373</v>
      </c>
    </row>
    <row r="272" spans="1:5" ht="21" x14ac:dyDescent="0.25">
      <c r="A272" s="2" t="str">
        <f>HYPERLINK("https://rth.dk/resources/bsgatlas/details.php?id=BSGatlas-internal_UTR-271","BSGatlas-internal_UTR-271")</f>
        <v>BSGatlas-internal_UTR-271</v>
      </c>
      <c r="B272" s="3">
        <v>951754</v>
      </c>
      <c r="C272" s="3">
        <v>951786</v>
      </c>
      <c r="D272" s="1" t="s">
        <v>9</v>
      </c>
      <c r="E272" s="1" t="s">
        <v>4386</v>
      </c>
    </row>
    <row r="273" spans="1:5" ht="21" x14ac:dyDescent="0.25">
      <c r="A273" s="2" t="str">
        <f>HYPERLINK("https://rth.dk/resources/bsgatlas/details.php?id=BSGatlas-internal_UTR-272","BSGatlas-internal_UTR-272")</f>
        <v>BSGatlas-internal_UTR-272</v>
      </c>
      <c r="B273" s="3">
        <v>952285</v>
      </c>
      <c r="C273" s="3">
        <v>952305</v>
      </c>
      <c r="D273" s="1" t="s">
        <v>9</v>
      </c>
      <c r="E273" s="1" t="s">
        <v>4386</v>
      </c>
    </row>
    <row r="274" spans="1:5" ht="21" x14ac:dyDescent="0.25">
      <c r="A274" s="2" t="str">
        <f>HYPERLINK("https://rth.dk/resources/bsgatlas/details.php?id=BSGatlas-internal_UTR-273","BSGatlas-internal_UTR-273")</f>
        <v>BSGatlas-internal_UTR-273</v>
      </c>
      <c r="B274" s="3">
        <v>952471</v>
      </c>
      <c r="C274" s="3">
        <v>952493</v>
      </c>
      <c r="D274" s="1" t="s">
        <v>9</v>
      </c>
      <c r="E274" s="1" t="s">
        <v>4386</v>
      </c>
    </row>
    <row r="275" spans="1:5" ht="21" x14ac:dyDescent="0.25">
      <c r="A275" s="2" t="str">
        <f>HYPERLINK("https://rth.dk/resources/bsgatlas/details.php?id=BSGatlas-internal_UTR-274","BSGatlas-internal_UTR-274")</f>
        <v>BSGatlas-internal_UTR-274</v>
      </c>
      <c r="B275" s="3">
        <v>952652</v>
      </c>
      <c r="C275" s="3">
        <v>952699</v>
      </c>
      <c r="D275" s="1" t="s">
        <v>9</v>
      </c>
      <c r="E275" s="1" t="s">
        <v>4386</v>
      </c>
    </row>
    <row r="276" spans="1:5" ht="21" x14ac:dyDescent="0.25">
      <c r="A276" s="2" t="str">
        <f>HYPERLINK("https://rth.dk/resources/bsgatlas/details.php?id=BSGatlas-internal_UTR-275","BSGatlas-internal_UTR-275")</f>
        <v>BSGatlas-internal_UTR-275</v>
      </c>
      <c r="B276" s="3">
        <v>952948</v>
      </c>
      <c r="C276" s="3">
        <v>953211</v>
      </c>
      <c r="D276" s="1" t="s">
        <v>9</v>
      </c>
      <c r="E276" s="1" t="s">
        <v>4386</v>
      </c>
    </row>
    <row r="277" spans="1:5" ht="21" x14ac:dyDescent="0.25">
      <c r="A277" s="2" t="str">
        <f>HYPERLINK("https://rth.dk/resources/bsgatlas/details.php?id=BSGatlas-internal_UTR-276","BSGatlas-internal_UTR-276")</f>
        <v>BSGatlas-internal_UTR-276</v>
      </c>
      <c r="B277" s="3">
        <v>962162</v>
      </c>
      <c r="C277" s="3">
        <v>962178</v>
      </c>
      <c r="D277" s="1" t="s">
        <v>9</v>
      </c>
      <c r="E277" s="1" t="s">
        <v>4397</v>
      </c>
    </row>
    <row r="278" spans="1:5" ht="21" x14ac:dyDescent="0.25">
      <c r="A278" s="2" t="str">
        <f>HYPERLINK("https://rth.dk/resources/bsgatlas/details.php?id=BSGatlas-internal_UTR-277","BSGatlas-internal_UTR-277")</f>
        <v>BSGatlas-internal_UTR-277</v>
      </c>
      <c r="B278" s="3">
        <v>964005</v>
      </c>
      <c r="C278" s="3">
        <v>964026</v>
      </c>
      <c r="D278" s="1" t="s">
        <v>9</v>
      </c>
      <c r="E278" s="1" t="s">
        <v>4397</v>
      </c>
    </row>
    <row r="279" spans="1:5" ht="21" x14ac:dyDescent="0.25">
      <c r="A279" s="2" t="str">
        <f>HYPERLINK("https://rth.dk/resources/bsgatlas/details.php?id=BSGatlas-internal_UTR-278","BSGatlas-internal_UTR-278")</f>
        <v>BSGatlas-internal_UTR-278</v>
      </c>
      <c r="B279" s="3">
        <v>965158</v>
      </c>
      <c r="C279" s="3">
        <v>965260</v>
      </c>
      <c r="D279" s="1" t="s">
        <v>9</v>
      </c>
      <c r="E279" s="1" t="s">
        <v>4397</v>
      </c>
    </row>
    <row r="280" spans="1:5" ht="21" x14ac:dyDescent="0.25">
      <c r="A280" s="2" t="str">
        <f>HYPERLINK("https://rth.dk/resources/bsgatlas/details.php?id=BSGatlas-internal_UTR-279","BSGatlas-internal_UTR-279")</f>
        <v>BSGatlas-internal_UTR-279</v>
      </c>
      <c r="B280" s="3">
        <v>970098</v>
      </c>
      <c r="C280" s="3">
        <v>970134</v>
      </c>
      <c r="D280" s="1" t="s">
        <v>9</v>
      </c>
      <c r="E280" s="1" t="s">
        <v>4377</v>
      </c>
    </row>
    <row r="281" spans="1:5" ht="21" x14ac:dyDescent="0.25">
      <c r="A281" s="2" t="str">
        <f>HYPERLINK("https://rth.dk/resources/bsgatlas/details.php?id=BSGatlas-internal_UTR-280","BSGatlas-internal_UTR-280")</f>
        <v>BSGatlas-internal_UTR-280</v>
      </c>
      <c r="B281" s="3">
        <v>977034</v>
      </c>
      <c r="C281" s="3">
        <v>977068</v>
      </c>
      <c r="D281" s="1" t="s">
        <v>9</v>
      </c>
      <c r="E281" s="1" t="s">
        <v>14711</v>
      </c>
    </row>
    <row r="282" spans="1:5" ht="21" x14ac:dyDescent="0.25">
      <c r="A282" s="2" t="str">
        <f>HYPERLINK("https://rth.dk/resources/bsgatlas/details.php?id=BSGatlas-internal_UTR-281","BSGatlas-internal_UTR-281")</f>
        <v>BSGatlas-internal_UTR-281</v>
      </c>
      <c r="B282" s="3">
        <v>977735</v>
      </c>
      <c r="C282" s="3">
        <v>977774</v>
      </c>
      <c r="D282" s="1" t="s">
        <v>9</v>
      </c>
      <c r="E282" s="1" t="s">
        <v>14711</v>
      </c>
    </row>
    <row r="283" spans="1:5" ht="21" x14ac:dyDescent="0.25">
      <c r="A283" s="2" t="str">
        <f>HYPERLINK("https://rth.dk/resources/bsgatlas/details.php?id=BSGatlas-internal_UTR-282","BSGatlas-internal_UTR-282")</f>
        <v>BSGatlas-internal_UTR-282</v>
      </c>
      <c r="B283" s="3">
        <v>979374</v>
      </c>
      <c r="C283" s="3">
        <v>979395</v>
      </c>
      <c r="D283" s="1" t="s">
        <v>9</v>
      </c>
      <c r="E283" s="1" t="s">
        <v>14711</v>
      </c>
    </row>
    <row r="284" spans="1:5" ht="21" x14ac:dyDescent="0.25">
      <c r="A284" s="2" t="str">
        <f>HYPERLINK("https://rth.dk/resources/bsgatlas/details.php?id=BSGatlas-internal_UTR-283","BSGatlas-internal_UTR-283")</f>
        <v>BSGatlas-internal_UTR-283</v>
      </c>
      <c r="B284" s="3">
        <v>982303</v>
      </c>
      <c r="C284" s="3">
        <v>982318</v>
      </c>
      <c r="D284" s="1" t="s">
        <v>9</v>
      </c>
      <c r="E284" s="1" t="s">
        <v>4386</v>
      </c>
    </row>
    <row r="285" spans="1:5" ht="21" x14ac:dyDescent="0.25">
      <c r="A285" s="2" t="str">
        <f>HYPERLINK("https://rth.dk/resources/bsgatlas/details.php?id=BSGatlas-internal_UTR-284","BSGatlas-internal_UTR-284")</f>
        <v>BSGatlas-internal_UTR-284</v>
      </c>
      <c r="B285" s="3">
        <v>1001717</v>
      </c>
      <c r="C285" s="3">
        <v>1001743</v>
      </c>
      <c r="D285" s="1" t="s">
        <v>9</v>
      </c>
      <c r="E285" s="1" t="s">
        <v>4373</v>
      </c>
    </row>
    <row r="286" spans="1:5" ht="21" x14ac:dyDescent="0.25">
      <c r="A286" s="2" t="str">
        <f>HYPERLINK("https://rth.dk/resources/bsgatlas/details.php?id=BSGatlas-internal_UTR-285","BSGatlas-internal_UTR-285")</f>
        <v>BSGatlas-internal_UTR-285</v>
      </c>
      <c r="B286" s="3">
        <v>1003326</v>
      </c>
      <c r="C286" s="3">
        <v>1003343</v>
      </c>
      <c r="D286" s="1" t="s">
        <v>9</v>
      </c>
      <c r="E286" s="1" t="s">
        <v>4386</v>
      </c>
    </row>
    <row r="287" spans="1:5" ht="21" x14ac:dyDescent="0.25">
      <c r="A287" s="2" t="str">
        <f>HYPERLINK("https://rth.dk/resources/bsgatlas/details.php?id=BSGatlas-internal_UTR-286","BSGatlas-internal_UTR-286")</f>
        <v>BSGatlas-internal_UTR-286</v>
      </c>
      <c r="B287" s="3">
        <v>1022158</v>
      </c>
      <c r="C287" s="3">
        <v>1022230</v>
      </c>
      <c r="D287" s="1" t="s">
        <v>9</v>
      </c>
      <c r="E287" s="1" t="s">
        <v>4373</v>
      </c>
    </row>
    <row r="288" spans="1:5" ht="21" x14ac:dyDescent="0.25">
      <c r="A288" s="2" t="str">
        <f>HYPERLINK("https://rth.dk/resources/bsgatlas/details.php?id=BSGatlas-internal_UTR-287","BSGatlas-internal_UTR-287")</f>
        <v>BSGatlas-internal_UTR-287</v>
      </c>
      <c r="B288" s="3">
        <v>1031261</v>
      </c>
      <c r="C288" s="3">
        <v>1031394</v>
      </c>
      <c r="D288" s="1" t="s">
        <v>9</v>
      </c>
      <c r="E288" s="1" t="s">
        <v>4373</v>
      </c>
    </row>
    <row r="289" spans="1:5" ht="21" x14ac:dyDescent="0.25">
      <c r="A289" s="2" t="str">
        <f>HYPERLINK("https://rth.dk/resources/bsgatlas/details.php?id=BSGatlas-internal_UTR-288","BSGatlas-internal_UTR-288")</f>
        <v>BSGatlas-internal_UTR-288</v>
      </c>
      <c r="B289" s="3">
        <v>1033398</v>
      </c>
      <c r="C289" s="3">
        <v>1033457</v>
      </c>
      <c r="D289" s="1" t="s">
        <v>13</v>
      </c>
      <c r="E289" s="1" t="s">
        <v>4377</v>
      </c>
    </row>
    <row r="290" spans="1:5" ht="21" x14ac:dyDescent="0.25">
      <c r="A290" s="2" t="str">
        <f>HYPERLINK("https://rth.dk/resources/bsgatlas/details.php?id=BSGatlas-internal_UTR-289","BSGatlas-internal_UTR-289")</f>
        <v>BSGatlas-internal_UTR-289</v>
      </c>
      <c r="B290" s="3">
        <v>1045199</v>
      </c>
      <c r="C290" s="3">
        <v>1045317</v>
      </c>
      <c r="D290" s="1" t="s">
        <v>9</v>
      </c>
      <c r="E290" s="1" t="s">
        <v>4373</v>
      </c>
    </row>
    <row r="291" spans="1:5" ht="21" x14ac:dyDescent="0.25">
      <c r="A291" s="2" t="str">
        <f>HYPERLINK("https://rth.dk/resources/bsgatlas/details.php?id=BSGatlas-internal_UTR-290","BSGatlas-internal_UTR-290")</f>
        <v>BSGatlas-internal_UTR-290</v>
      </c>
      <c r="B291" s="3">
        <v>1049763</v>
      </c>
      <c r="C291" s="3">
        <v>1049800</v>
      </c>
      <c r="D291" s="1" t="s">
        <v>13</v>
      </c>
      <c r="E291" s="1" t="s">
        <v>4377</v>
      </c>
    </row>
    <row r="292" spans="1:5" ht="21" x14ac:dyDescent="0.25">
      <c r="A292" s="2" t="str">
        <f>HYPERLINK("https://rth.dk/resources/bsgatlas/details.php?id=BSGatlas-internal_UTR-291","BSGatlas-internal_UTR-291")</f>
        <v>BSGatlas-internal_UTR-291</v>
      </c>
      <c r="B292" s="3">
        <v>1054654</v>
      </c>
      <c r="C292" s="3">
        <v>1054745</v>
      </c>
      <c r="D292" s="1" t="s">
        <v>9</v>
      </c>
      <c r="E292" s="1" t="s">
        <v>4386</v>
      </c>
    </row>
    <row r="293" spans="1:5" ht="21" x14ac:dyDescent="0.25">
      <c r="A293" s="2" t="str">
        <f>HYPERLINK("https://rth.dk/resources/bsgatlas/details.php?id=BSGatlas-internal_UTR-292","BSGatlas-internal_UTR-292")</f>
        <v>BSGatlas-internal_UTR-292</v>
      </c>
      <c r="B293" s="3">
        <v>1060925</v>
      </c>
      <c r="C293" s="3">
        <v>1060987</v>
      </c>
      <c r="D293" s="1" t="s">
        <v>13</v>
      </c>
      <c r="E293" s="1" t="s">
        <v>4373</v>
      </c>
    </row>
    <row r="294" spans="1:5" ht="21" x14ac:dyDescent="0.25">
      <c r="A294" s="2" t="str">
        <f>HYPERLINK("https://rth.dk/resources/bsgatlas/details.php?id=BSGatlas-internal_UTR-293","BSGatlas-internal_UTR-293")</f>
        <v>BSGatlas-internal_UTR-293</v>
      </c>
      <c r="B294" s="3">
        <v>1068969</v>
      </c>
      <c r="C294" s="3">
        <v>1069041</v>
      </c>
      <c r="D294" s="1" t="s">
        <v>9</v>
      </c>
      <c r="E294" s="1" t="s">
        <v>4373</v>
      </c>
    </row>
    <row r="295" spans="1:5" ht="21" x14ac:dyDescent="0.25">
      <c r="A295" s="2" t="str">
        <f>HYPERLINK("https://rth.dk/resources/bsgatlas/details.php?id=BSGatlas-internal_UTR-294","BSGatlas-internal_UTR-294")</f>
        <v>BSGatlas-internal_UTR-294</v>
      </c>
      <c r="B295" s="3">
        <v>1071489</v>
      </c>
      <c r="C295" s="3">
        <v>1071612</v>
      </c>
      <c r="D295" s="1" t="s">
        <v>9</v>
      </c>
      <c r="E295" s="1" t="s">
        <v>4373</v>
      </c>
    </row>
    <row r="296" spans="1:5" ht="21" x14ac:dyDescent="0.25">
      <c r="A296" s="2" t="str">
        <f>HYPERLINK("https://rth.dk/resources/bsgatlas/details.php?id=BSGatlas-internal_UTR-295","BSGatlas-internal_UTR-295")</f>
        <v>BSGatlas-internal_UTR-295</v>
      </c>
      <c r="B296" s="3">
        <v>1075165</v>
      </c>
      <c r="C296" s="3">
        <v>1075288</v>
      </c>
      <c r="D296" s="1" t="s">
        <v>13</v>
      </c>
      <c r="E296" s="1" t="s">
        <v>4373</v>
      </c>
    </row>
    <row r="297" spans="1:5" ht="21" x14ac:dyDescent="0.25">
      <c r="A297" s="2" t="str">
        <f>HYPERLINK("https://rth.dk/resources/bsgatlas/details.php?id=BSGatlas-internal_UTR-296","BSGatlas-internal_UTR-296")</f>
        <v>BSGatlas-internal_UTR-296</v>
      </c>
      <c r="B297" s="3">
        <v>1079403</v>
      </c>
      <c r="C297" s="3">
        <v>1079421</v>
      </c>
      <c r="D297" s="1" t="s">
        <v>9</v>
      </c>
      <c r="E297" s="1" t="s">
        <v>4377</v>
      </c>
    </row>
    <row r="298" spans="1:5" ht="21" x14ac:dyDescent="0.25">
      <c r="A298" s="2" t="str">
        <f>HYPERLINK("https://rth.dk/resources/bsgatlas/details.php?id=BSGatlas-internal_UTR-297","BSGatlas-internal_UTR-297")</f>
        <v>BSGatlas-internal_UTR-297</v>
      </c>
      <c r="B298" s="3">
        <v>1081341</v>
      </c>
      <c r="C298" s="3">
        <v>1081412</v>
      </c>
      <c r="D298" s="1" t="s">
        <v>13</v>
      </c>
      <c r="E298" s="1" t="s">
        <v>4373</v>
      </c>
    </row>
    <row r="299" spans="1:5" ht="21" x14ac:dyDescent="0.25">
      <c r="A299" s="2" t="str">
        <f>HYPERLINK("https://rth.dk/resources/bsgatlas/details.php?id=BSGatlas-internal_UTR-298","BSGatlas-internal_UTR-298")</f>
        <v>BSGatlas-internal_UTR-298</v>
      </c>
      <c r="B299" s="3">
        <v>1087179</v>
      </c>
      <c r="C299" s="3">
        <v>1087249</v>
      </c>
      <c r="D299" s="1" t="s">
        <v>9</v>
      </c>
      <c r="E299" s="1" t="s">
        <v>4386</v>
      </c>
    </row>
    <row r="300" spans="1:5" ht="21" x14ac:dyDescent="0.25">
      <c r="A300" s="2" t="str">
        <f>HYPERLINK("https://rth.dk/resources/bsgatlas/details.php?id=BSGatlas-internal_UTR-299","BSGatlas-internal_UTR-299")</f>
        <v>BSGatlas-internal_UTR-299</v>
      </c>
      <c r="B300" s="3">
        <v>1090331</v>
      </c>
      <c r="C300" s="3">
        <v>1090400</v>
      </c>
      <c r="D300" s="1" t="s">
        <v>9</v>
      </c>
      <c r="E300" s="1" t="s">
        <v>4373</v>
      </c>
    </row>
    <row r="301" spans="1:5" ht="21" x14ac:dyDescent="0.25">
      <c r="A301" s="2" t="str">
        <f>HYPERLINK("https://rth.dk/resources/bsgatlas/details.php?id=BSGatlas-internal_UTR-300","BSGatlas-internal_UTR-300")</f>
        <v>BSGatlas-internal_UTR-300</v>
      </c>
      <c r="B301" s="3">
        <v>1100155</v>
      </c>
      <c r="C301" s="3">
        <v>1100218</v>
      </c>
      <c r="D301" s="1" t="s">
        <v>9</v>
      </c>
      <c r="E301" s="1" t="s">
        <v>4373</v>
      </c>
    </row>
    <row r="302" spans="1:5" ht="21" x14ac:dyDescent="0.25">
      <c r="A302" s="2" t="str">
        <f>HYPERLINK("https://rth.dk/resources/bsgatlas/details.php?id=BSGatlas-internal_UTR-301","BSGatlas-internal_UTR-301")</f>
        <v>BSGatlas-internal_UTR-301</v>
      </c>
      <c r="B302" s="3">
        <v>1106453</v>
      </c>
      <c r="C302" s="3">
        <v>1106523</v>
      </c>
      <c r="D302" s="1" t="s">
        <v>9</v>
      </c>
      <c r="E302" s="1" t="s">
        <v>4373</v>
      </c>
    </row>
    <row r="303" spans="1:5" ht="21" x14ac:dyDescent="0.25">
      <c r="A303" s="2" t="str">
        <f>HYPERLINK("https://rth.dk/resources/bsgatlas/details.php?id=BSGatlas-internal_UTR-302","BSGatlas-internal_UTR-302")</f>
        <v>BSGatlas-internal_UTR-302</v>
      </c>
      <c r="B303" s="3">
        <v>1107517</v>
      </c>
      <c r="C303" s="3">
        <v>1107732</v>
      </c>
      <c r="D303" s="1" t="s">
        <v>9</v>
      </c>
      <c r="E303" s="1" t="s">
        <v>4373</v>
      </c>
    </row>
    <row r="304" spans="1:5" ht="21" x14ac:dyDescent="0.25">
      <c r="A304" s="2" t="str">
        <f>HYPERLINK("https://rth.dk/resources/bsgatlas/details.php?id=BSGatlas-internal_UTR-303","BSGatlas-internal_UTR-303")</f>
        <v>BSGatlas-internal_UTR-303</v>
      </c>
      <c r="B304" s="3">
        <v>1109318</v>
      </c>
      <c r="C304" s="3">
        <v>1109387</v>
      </c>
      <c r="D304" s="1" t="s">
        <v>13</v>
      </c>
      <c r="E304" s="1" t="s">
        <v>14708</v>
      </c>
    </row>
    <row r="305" spans="1:5" ht="21" x14ac:dyDescent="0.25">
      <c r="A305" s="2" t="str">
        <f>HYPERLINK("https://rth.dk/resources/bsgatlas/details.php?id=BSGatlas-internal_UTR-304","BSGatlas-internal_UTR-304")</f>
        <v>BSGatlas-internal_UTR-304</v>
      </c>
      <c r="B305" s="3">
        <v>1124362</v>
      </c>
      <c r="C305" s="3">
        <v>1124437</v>
      </c>
      <c r="D305" s="1" t="s">
        <v>9</v>
      </c>
      <c r="E305" s="1" t="s">
        <v>4373</v>
      </c>
    </row>
    <row r="306" spans="1:5" ht="21" x14ac:dyDescent="0.25">
      <c r="A306" s="2" t="str">
        <f>HYPERLINK("https://rth.dk/resources/bsgatlas/details.php?id=BSGatlas-internal_UTR-305","BSGatlas-internal_UTR-305")</f>
        <v>BSGatlas-internal_UTR-305</v>
      </c>
      <c r="B306" s="3">
        <v>1126329</v>
      </c>
      <c r="C306" s="3">
        <v>1126399</v>
      </c>
      <c r="D306" s="1" t="s">
        <v>13</v>
      </c>
      <c r="E306" s="1" t="s">
        <v>4373</v>
      </c>
    </row>
    <row r="307" spans="1:5" ht="21" x14ac:dyDescent="0.25">
      <c r="A307" s="2" t="str">
        <f>HYPERLINK("https://rth.dk/resources/bsgatlas/details.php?id=BSGatlas-internal_UTR-306","BSGatlas-internal_UTR-306")</f>
        <v>BSGatlas-internal_UTR-306</v>
      </c>
      <c r="B307" s="3">
        <v>1135582</v>
      </c>
      <c r="C307" s="3">
        <v>1135698</v>
      </c>
      <c r="D307" s="1" t="s">
        <v>13</v>
      </c>
      <c r="E307" s="1" t="s">
        <v>4377</v>
      </c>
    </row>
    <row r="308" spans="1:5" ht="21" x14ac:dyDescent="0.25">
      <c r="A308" s="2" t="str">
        <f>HYPERLINK("https://rth.dk/resources/bsgatlas/details.php?id=BSGatlas-internal_UTR-307","BSGatlas-internal_UTR-307")</f>
        <v>BSGatlas-internal_UTR-307</v>
      </c>
      <c r="B308" s="3">
        <v>1143506</v>
      </c>
      <c r="C308" s="3">
        <v>1143576</v>
      </c>
      <c r="D308" s="1" t="s">
        <v>9</v>
      </c>
      <c r="E308" s="1" t="s">
        <v>4386</v>
      </c>
    </row>
    <row r="309" spans="1:5" ht="21" x14ac:dyDescent="0.25">
      <c r="A309" s="2" t="str">
        <f>HYPERLINK("https://rth.dk/resources/bsgatlas/details.php?id=BSGatlas-internal_UTR-308","BSGatlas-internal_UTR-308")</f>
        <v>BSGatlas-internal_UTR-308</v>
      </c>
      <c r="B309" s="3">
        <v>1148713</v>
      </c>
      <c r="C309" s="3">
        <v>1148743</v>
      </c>
      <c r="D309" s="1" t="s">
        <v>13</v>
      </c>
      <c r="E309" s="1" t="s">
        <v>4377</v>
      </c>
    </row>
    <row r="310" spans="1:5" ht="21" x14ac:dyDescent="0.25">
      <c r="A310" s="2" t="str">
        <f>HYPERLINK("https://rth.dk/resources/bsgatlas/details.php?id=BSGatlas-internal_UTR-309","BSGatlas-internal_UTR-309")</f>
        <v>BSGatlas-internal_UTR-309</v>
      </c>
      <c r="B310" s="3">
        <v>1149936</v>
      </c>
      <c r="C310" s="3">
        <v>1149957</v>
      </c>
      <c r="D310" s="1" t="s">
        <v>13</v>
      </c>
      <c r="E310" s="1" t="s">
        <v>4377</v>
      </c>
    </row>
    <row r="311" spans="1:5" ht="21" x14ac:dyDescent="0.25">
      <c r="A311" s="2" t="str">
        <f>HYPERLINK("https://rth.dk/resources/bsgatlas/details.php?id=BSGatlas-internal_UTR-310","BSGatlas-internal_UTR-310")</f>
        <v>BSGatlas-internal_UTR-310</v>
      </c>
      <c r="B311" s="3">
        <v>1151021</v>
      </c>
      <c r="C311" s="3">
        <v>1151165</v>
      </c>
      <c r="D311" s="1" t="s">
        <v>13</v>
      </c>
      <c r="E311" s="1" t="s">
        <v>4373</v>
      </c>
    </row>
    <row r="312" spans="1:5" ht="21" x14ac:dyDescent="0.25">
      <c r="A312" s="2" t="str">
        <f>HYPERLINK("https://rth.dk/resources/bsgatlas/details.php?id=BSGatlas-internal_UTR-311","BSGatlas-internal_UTR-311")</f>
        <v>BSGatlas-internal_UTR-311</v>
      </c>
      <c r="B312" s="3">
        <v>1153150</v>
      </c>
      <c r="C312" s="3">
        <v>1153264</v>
      </c>
      <c r="D312" s="1" t="s">
        <v>9</v>
      </c>
      <c r="E312" s="1" t="s">
        <v>4386</v>
      </c>
    </row>
    <row r="313" spans="1:5" ht="21" x14ac:dyDescent="0.25">
      <c r="A313" s="2" t="str">
        <f>HYPERLINK("https://rth.dk/resources/bsgatlas/details.php?id=BSGatlas-internal_UTR-312","BSGatlas-internal_UTR-312")</f>
        <v>BSGatlas-internal_UTR-312</v>
      </c>
      <c r="B313" s="3">
        <v>1163131</v>
      </c>
      <c r="C313" s="3">
        <v>1163147</v>
      </c>
      <c r="D313" s="1" t="s">
        <v>9</v>
      </c>
      <c r="E313" s="1" t="s">
        <v>4386</v>
      </c>
    </row>
    <row r="314" spans="1:5" ht="21" x14ac:dyDescent="0.25">
      <c r="A314" s="2" t="str">
        <f>HYPERLINK("https://rth.dk/resources/bsgatlas/details.php?id=BSGatlas-internal_UTR-313","BSGatlas-internal_UTR-313")</f>
        <v>BSGatlas-internal_UTR-313</v>
      </c>
      <c r="B314" s="3">
        <v>1171643</v>
      </c>
      <c r="C314" s="3">
        <v>1171754</v>
      </c>
      <c r="D314" s="1" t="s">
        <v>13</v>
      </c>
      <c r="E314" s="1" t="s">
        <v>4377</v>
      </c>
    </row>
    <row r="315" spans="1:5" ht="21" x14ac:dyDescent="0.25">
      <c r="A315" s="2" t="str">
        <f>HYPERLINK("https://rth.dk/resources/bsgatlas/details.php?id=BSGatlas-internal_UTR-314","BSGatlas-internal_UTR-314")</f>
        <v>BSGatlas-internal_UTR-314</v>
      </c>
      <c r="B315" s="3">
        <v>1185589</v>
      </c>
      <c r="C315" s="3">
        <v>1185607</v>
      </c>
      <c r="D315" s="1" t="s">
        <v>9</v>
      </c>
      <c r="E315" s="1" t="s">
        <v>4377</v>
      </c>
    </row>
    <row r="316" spans="1:5" ht="21" x14ac:dyDescent="0.25">
      <c r="A316" s="2" t="str">
        <f>HYPERLINK("https://rth.dk/resources/bsgatlas/details.php?id=BSGatlas-internal_UTR-315","BSGatlas-internal_UTR-315")</f>
        <v>BSGatlas-internal_UTR-315</v>
      </c>
      <c r="B316" s="3">
        <v>1189532</v>
      </c>
      <c r="C316" s="3">
        <v>1189645</v>
      </c>
      <c r="D316" s="1" t="s">
        <v>9</v>
      </c>
      <c r="E316" s="1" t="s">
        <v>4397</v>
      </c>
    </row>
    <row r="317" spans="1:5" ht="21" x14ac:dyDescent="0.25">
      <c r="A317" s="2" t="str">
        <f>HYPERLINK("https://rth.dk/resources/bsgatlas/details.php?id=BSGatlas-internal_UTR-316","BSGatlas-internal_UTR-316")</f>
        <v>BSGatlas-internal_UTR-316</v>
      </c>
      <c r="B317" s="3">
        <v>1190234</v>
      </c>
      <c r="C317" s="3">
        <v>1190489</v>
      </c>
      <c r="D317" s="1" t="s">
        <v>13</v>
      </c>
      <c r="E317" s="1" t="s">
        <v>4377</v>
      </c>
    </row>
    <row r="318" spans="1:5" ht="21" x14ac:dyDescent="0.25">
      <c r="A318" s="2" t="str">
        <f>HYPERLINK("https://rth.dk/resources/bsgatlas/details.php?id=BSGatlas-internal_UTR-317","BSGatlas-internal_UTR-317")</f>
        <v>BSGatlas-internal_UTR-317</v>
      </c>
      <c r="B318" s="3">
        <v>1192191</v>
      </c>
      <c r="C318" s="3">
        <v>1192253</v>
      </c>
      <c r="D318" s="1" t="s">
        <v>9</v>
      </c>
      <c r="E318" s="1" t="s">
        <v>4397</v>
      </c>
    </row>
    <row r="319" spans="1:5" ht="21" x14ac:dyDescent="0.25">
      <c r="A319" s="2" t="str">
        <f>HYPERLINK("https://rth.dk/resources/bsgatlas/details.php?id=BSGatlas-internal_UTR-318","BSGatlas-internal_UTR-318")</f>
        <v>BSGatlas-internal_UTR-318</v>
      </c>
      <c r="B319" s="3">
        <v>1196072</v>
      </c>
      <c r="C319" s="3">
        <v>1196090</v>
      </c>
      <c r="D319" s="1" t="s">
        <v>9</v>
      </c>
      <c r="E319" s="1" t="s">
        <v>4373</v>
      </c>
    </row>
    <row r="320" spans="1:5" ht="21" x14ac:dyDescent="0.25">
      <c r="A320" s="2" t="str">
        <f>HYPERLINK("https://rth.dk/resources/bsgatlas/details.php?id=BSGatlas-internal_UTR-319","BSGatlas-internal_UTR-319")</f>
        <v>BSGatlas-internal_UTR-319</v>
      </c>
      <c r="B320" s="3">
        <v>1199257</v>
      </c>
      <c r="C320" s="3">
        <v>1199326</v>
      </c>
      <c r="D320" s="1" t="s">
        <v>9</v>
      </c>
      <c r="E320" s="1" t="s">
        <v>4373</v>
      </c>
    </row>
    <row r="321" spans="1:5" ht="21" x14ac:dyDescent="0.25">
      <c r="A321" s="2" t="str">
        <f>HYPERLINK("https://rth.dk/resources/bsgatlas/details.php?id=BSGatlas-internal_UTR-320","BSGatlas-internal_UTR-320")</f>
        <v>BSGatlas-internal_UTR-320</v>
      </c>
      <c r="B321" s="3">
        <v>1205900</v>
      </c>
      <c r="C321" s="3">
        <v>1205980</v>
      </c>
      <c r="D321" s="1" t="s">
        <v>9</v>
      </c>
      <c r="E321" s="1" t="s">
        <v>4373</v>
      </c>
    </row>
    <row r="322" spans="1:5" ht="21" x14ac:dyDescent="0.25">
      <c r="A322" s="2" t="str">
        <f>HYPERLINK("https://rth.dk/resources/bsgatlas/details.php?id=BSGatlas-internal_UTR-321","BSGatlas-internal_UTR-321")</f>
        <v>BSGatlas-internal_UTR-321</v>
      </c>
      <c r="B322" s="3">
        <v>1206539</v>
      </c>
      <c r="C322" s="3">
        <v>1206628</v>
      </c>
      <c r="D322" s="1" t="s">
        <v>9</v>
      </c>
      <c r="E322" s="1" t="s">
        <v>14707</v>
      </c>
    </row>
    <row r="323" spans="1:5" ht="21" x14ac:dyDescent="0.25">
      <c r="A323" s="2" t="str">
        <f>HYPERLINK("https://rth.dk/resources/bsgatlas/details.php?id=BSGatlas-internal_UTR-322","BSGatlas-internal_UTR-322")</f>
        <v>BSGatlas-internal_UTR-322</v>
      </c>
      <c r="B323" s="3">
        <v>1209161</v>
      </c>
      <c r="C323" s="3">
        <v>1209182</v>
      </c>
      <c r="D323" s="1" t="s">
        <v>9</v>
      </c>
      <c r="E323" s="1" t="s">
        <v>4377</v>
      </c>
    </row>
    <row r="324" spans="1:5" ht="21" x14ac:dyDescent="0.25">
      <c r="A324" s="2" t="str">
        <f>HYPERLINK("https://rth.dk/resources/bsgatlas/details.php?id=BSGatlas-internal_UTR-323","BSGatlas-internal_UTR-323")</f>
        <v>BSGatlas-internal_UTR-323</v>
      </c>
      <c r="B324" s="3">
        <v>1213450</v>
      </c>
      <c r="C324" s="3">
        <v>1213536</v>
      </c>
      <c r="D324" s="1" t="s">
        <v>9</v>
      </c>
      <c r="E324" s="1" t="s">
        <v>4386</v>
      </c>
    </row>
    <row r="325" spans="1:5" ht="21" x14ac:dyDescent="0.25">
      <c r="A325" s="2" t="str">
        <f>HYPERLINK("https://rth.dk/resources/bsgatlas/details.php?id=BSGatlas-internal_UTR-324","BSGatlas-internal_UTR-324")</f>
        <v>BSGatlas-internal_UTR-324</v>
      </c>
      <c r="B325" s="3">
        <v>1215168</v>
      </c>
      <c r="C325" s="3">
        <v>1215242</v>
      </c>
      <c r="D325" s="1" t="s">
        <v>9</v>
      </c>
      <c r="E325" s="1" t="s">
        <v>4386</v>
      </c>
    </row>
    <row r="326" spans="1:5" ht="21" x14ac:dyDescent="0.25">
      <c r="A326" s="2" t="str">
        <f>HYPERLINK("https://rth.dk/resources/bsgatlas/details.php?id=BSGatlas-internal_UTR-325","BSGatlas-internal_UTR-325")</f>
        <v>BSGatlas-internal_UTR-325</v>
      </c>
      <c r="B326" s="3">
        <v>1216194</v>
      </c>
      <c r="C326" s="3">
        <v>1216209</v>
      </c>
      <c r="D326" s="1" t="s">
        <v>9</v>
      </c>
      <c r="E326" s="1" t="s">
        <v>4386</v>
      </c>
    </row>
    <row r="327" spans="1:5" ht="21" x14ac:dyDescent="0.25">
      <c r="A327" s="2" t="str">
        <f>HYPERLINK("https://rth.dk/resources/bsgatlas/details.php?id=BSGatlas-internal_UTR-326","BSGatlas-internal_UTR-326")</f>
        <v>BSGatlas-internal_UTR-326</v>
      </c>
      <c r="B327" s="3">
        <v>1221487</v>
      </c>
      <c r="C327" s="3">
        <v>1221593</v>
      </c>
      <c r="D327" s="1" t="s">
        <v>9</v>
      </c>
      <c r="E327" s="1" t="s">
        <v>4386</v>
      </c>
    </row>
    <row r="328" spans="1:5" ht="21" x14ac:dyDescent="0.25">
      <c r="A328" s="2" t="str">
        <f>HYPERLINK("https://rth.dk/resources/bsgatlas/details.php?id=BSGatlas-internal_UTR-327","BSGatlas-internal_UTR-327")</f>
        <v>BSGatlas-internal_UTR-327</v>
      </c>
      <c r="B328" s="3">
        <v>1227517</v>
      </c>
      <c r="C328" s="3">
        <v>1227696</v>
      </c>
      <c r="D328" s="1" t="s">
        <v>9</v>
      </c>
      <c r="E328" s="1" t="s">
        <v>4386</v>
      </c>
    </row>
    <row r="329" spans="1:5" ht="21" x14ac:dyDescent="0.25">
      <c r="A329" s="2" t="str">
        <f>HYPERLINK("https://rth.dk/resources/bsgatlas/details.php?id=BSGatlas-internal_UTR-328","BSGatlas-internal_UTR-328")</f>
        <v>BSGatlas-internal_UTR-328</v>
      </c>
      <c r="B329" s="3">
        <v>1231037</v>
      </c>
      <c r="C329" s="3">
        <v>1231082</v>
      </c>
      <c r="D329" s="1" t="s">
        <v>9</v>
      </c>
      <c r="E329" s="1" t="s">
        <v>4373</v>
      </c>
    </row>
    <row r="330" spans="1:5" ht="21" x14ac:dyDescent="0.25">
      <c r="A330" s="2" t="str">
        <f>HYPERLINK("https://rth.dk/resources/bsgatlas/details.php?id=BSGatlas-internal_UTR-329","BSGatlas-internal_UTR-329")</f>
        <v>BSGatlas-internal_UTR-329</v>
      </c>
      <c r="B330" s="3">
        <v>1235709</v>
      </c>
      <c r="C330" s="3">
        <v>1235911</v>
      </c>
      <c r="D330" s="1" t="s">
        <v>13</v>
      </c>
      <c r="E330" s="1" t="s">
        <v>4386</v>
      </c>
    </row>
    <row r="331" spans="1:5" ht="21" x14ac:dyDescent="0.25">
      <c r="A331" s="2" t="str">
        <f>HYPERLINK("https://rth.dk/resources/bsgatlas/details.php?id=BSGatlas-internal_UTR-330","BSGatlas-internal_UTR-330")</f>
        <v>BSGatlas-internal_UTR-330</v>
      </c>
      <c r="B331" s="3">
        <v>1236978</v>
      </c>
      <c r="C331" s="3">
        <v>1237005</v>
      </c>
      <c r="D331" s="1" t="s">
        <v>9</v>
      </c>
      <c r="E331" s="1" t="s">
        <v>4377</v>
      </c>
    </row>
    <row r="332" spans="1:5" ht="21" x14ac:dyDescent="0.25">
      <c r="A332" s="2" t="str">
        <f>HYPERLINK("https://rth.dk/resources/bsgatlas/details.php?id=BSGatlas-internal_UTR-331","BSGatlas-internal_UTR-331")</f>
        <v>BSGatlas-internal_UTR-331</v>
      </c>
      <c r="B332" s="3">
        <v>1237642</v>
      </c>
      <c r="C332" s="3">
        <v>1237659</v>
      </c>
      <c r="D332" s="1" t="s">
        <v>9</v>
      </c>
      <c r="E332" s="1" t="s">
        <v>4377</v>
      </c>
    </row>
    <row r="333" spans="1:5" ht="21" x14ac:dyDescent="0.25">
      <c r="A333" s="2" t="str">
        <f>HYPERLINK("https://rth.dk/resources/bsgatlas/details.php?id=BSGatlas-internal_UTR-332","BSGatlas-internal_UTR-332")</f>
        <v>BSGatlas-internal_UTR-332</v>
      </c>
      <c r="B333" s="3">
        <v>1238461</v>
      </c>
      <c r="C333" s="3">
        <v>1238522</v>
      </c>
      <c r="D333" s="1" t="s">
        <v>9</v>
      </c>
      <c r="E333" s="1" t="s">
        <v>4377</v>
      </c>
    </row>
    <row r="334" spans="1:5" ht="21" x14ac:dyDescent="0.25">
      <c r="A334" s="2" t="str">
        <f>HYPERLINK("https://rth.dk/resources/bsgatlas/details.php?id=BSGatlas-internal_UTR-333","BSGatlas-internal_UTR-333")</f>
        <v>BSGatlas-internal_UTR-333</v>
      </c>
      <c r="B334" s="3">
        <v>1246819</v>
      </c>
      <c r="C334" s="3">
        <v>1246836</v>
      </c>
      <c r="D334" s="1" t="s">
        <v>9</v>
      </c>
      <c r="E334" s="1" t="s">
        <v>4373</v>
      </c>
    </row>
    <row r="335" spans="1:5" ht="21" x14ac:dyDescent="0.25">
      <c r="A335" s="2" t="str">
        <f>HYPERLINK("https://rth.dk/resources/bsgatlas/details.php?id=BSGatlas-internal_UTR-334","BSGatlas-internal_UTR-334")</f>
        <v>BSGatlas-internal_UTR-334</v>
      </c>
      <c r="B335" s="3">
        <v>1249889</v>
      </c>
      <c r="C335" s="3">
        <v>1250015</v>
      </c>
      <c r="D335" s="1" t="s">
        <v>13</v>
      </c>
      <c r="E335" s="1" t="s">
        <v>4373</v>
      </c>
    </row>
    <row r="336" spans="1:5" ht="21" x14ac:dyDescent="0.25">
      <c r="A336" s="2" t="str">
        <f>HYPERLINK("https://rth.dk/resources/bsgatlas/details.php?id=BSGatlas-internal_UTR-335","BSGatlas-internal_UTR-335")</f>
        <v>BSGatlas-internal_UTR-335</v>
      </c>
      <c r="B336" s="3">
        <v>1251175</v>
      </c>
      <c r="C336" s="3">
        <v>1251272</v>
      </c>
      <c r="D336" s="1" t="s">
        <v>13</v>
      </c>
      <c r="E336" s="1" t="s">
        <v>4397</v>
      </c>
    </row>
    <row r="337" spans="1:5" ht="21" x14ac:dyDescent="0.25">
      <c r="A337" s="2" t="str">
        <f>HYPERLINK("https://rth.dk/resources/bsgatlas/details.php?id=BSGatlas-internal_UTR-336","BSGatlas-internal_UTR-336")</f>
        <v>BSGatlas-internal_UTR-336</v>
      </c>
      <c r="B337" s="3">
        <v>1251591</v>
      </c>
      <c r="C337" s="3">
        <v>1251630</v>
      </c>
      <c r="D337" s="1" t="s">
        <v>13</v>
      </c>
      <c r="E337" s="1" t="s">
        <v>4397</v>
      </c>
    </row>
    <row r="338" spans="1:5" ht="21" x14ac:dyDescent="0.25">
      <c r="A338" s="2" t="str">
        <f>HYPERLINK("https://rth.dk/resources/bsgatlas/details.php?id=BSGatlas-internal_UTR-337","BSGatlas-internal_UTR-337")</f>
        <v>BSGatlas-internal_UTR-337</v>
      </c>
      <c r="B338" s="3">
        <v>1253074</v>
      </c>
      <c r="C338" s="3">
        <v>1253102</v>
      </c>
      <c r="D338" s="1" t="s">
        <v>9</v>
      </c>
      <c r="E338" s="1" t="s">
        <v>4373</v>
      </c>
    </row>
    <row r="339" spans="1:5" ht="21" x14ac:dyDescent="0.25">
      <c r="A339" s="2" t="str">
        <f>HYPERLINK("https://rth.dk/resources/bsgatlas/details.php?id=BSGatlas-internal_UTR-338","BSGatlas-internal_UTR-338")</f>
        <v>BSGatlas-internal_UTR-338</v>
      </c>
      <c r="B339" s="3">
        <v>1253253</v>
      </c>
      <c r="C339" s="3">
        <v>1253384</v>
      </c>
      <c r="D339" s="1" t="s">
        <v>9</v>
      </c>
      <c r="E339" s="1" t="s">
        <v>4373</v>
      </c>
    </row>
    <row r="340" spans="1:5" ht="21" x14ac:dyDescent="0.25">
      <c r="A340" s="2" t="str">
        <f>HYPERLINK("https://rth.dk/resources/bsgatlas/details.php?id=BSGatlas-internal_UTR-339","BSGatlas-internal_UTR-339")</f>
        <v>BSGatlas-internal_UTR-339</v>
      </c>
      <c r="B340" s="3">
        <v>1257378</v>
      </c>
      <c r="C340" s="3">
        <v>1257413</v>
      </c>
      <c r="D340" s="1" t="s">
        <v>13</v>
      </c>
      <c r="E340" s="1" t="s">
        <v>4397</v>
      </c>
    </row>
    <row r="341" spans="1:5" ht="21" x14ac:dyDescent="0.25">
      <c r="A341" s="2" t="str">
        <f>HYPERLINK("https://rth.dk/resources/bsgatlas/details.php?id=BSGatlas-internal_UTR-340","BSGatlas-internal_UTR-340")</f>
        <v>BSGatlas-internal_UTR-340</v>
      </c>
      <c r="B341" s="3">
        <v>1261357</v>
      </c>
      <c r="C341" s="3">
        <v>1261425</v>
      </c>
      <c r="D341" s="1" t="s">
        <v>13</v>
      </c>
      <c r="E341" s="1" t="s">
        <v>4373</v>
      </c>
    </row>
    <row r="342" spans="1:5" ht="21" x14ac:dyDescent="0.25">
      <c r="A342" s="2" t="str">
        <f>HYPERLINK("https://rth.dk/resources/bsgatlas/details.php?id=BSGatlas-internal_UTR-341","BSGatlas-internal_UTR-341")</f>
        <v>BSGatlas-internal_UTR-341</v>
      </c>
      <c r="B342" s="3">
        <v>1268593</v>
      </c>
      <c r="C342" s="3">
        <v>1268828</v>
      </c>
      <c r="D342" s="1" t="s">
        <v>9</v>
      </c>
      <c r="E342" s="1" t="s">
        <v>4373</v>
      </c>
    </row>
    <row r="343" spans="1:5" ht="21" x14ac:dyDescent="0.25">
      <c r="A343" s="2" t="str">
        <f>HYPERLINK("https://rth.dk/resources/bsgatlas/details.php?id=BSGatlas-internal_UTR-342","BSGatlas-internal_UTR-342")</f>
        <v>BSGatlas-internal_UTR-342</v>
      </c>
      <c r="B343" s="3">
        <v>1275640</v>
      </c>
      <c r="C343" s="3">
        <v>1275754</v>
      </c>
      <c r="D343" s="1" t="s">
        <v>9</v>
      </c>
      <c r="E343" s="1" t="s">
        <v>4373</v>
      </c>
    </row>
    <row r="344" spans="1:5" ht="21" x14ac:dyDescent="0.25">
      <c r="A344" s="2" t="str">
        <f>HYPERLINK("https://rth.dk/resources/bsgatlas/details.php?id=BSGatlas-internal_UTR-343","BSGatlas-internal_UTR-343")</f>
        <v>BSGatlas-internal_UTR-343</v>
      </c>
      <c r="B344" s="3">
        <v>1284770</v>
      </c>
      <c r="C344" s="3">
        <v>1284869</v>
      </c>
      <c r="D344" s="1" t="s">
        <v>13</v>
      </c>
      <c r="E344" s="1" t="s">
        <v>4377</v>
      </c>
    </row>
    <row r="345" spans="1:5" ht="21" x14ac:dyDescent="0.25">
      <c r="A345" s="2" t="str">
        <f>HYPERLINK("https://rth.dk/resources/bsgatlas/details.php?id=BSGatlas-internal_UTR-344","BSGatlas-internal_UTR-344")</f>
        <v>BSGatlas-internal_UTR-344</v>
      </c>
      <c r="B345" s="3">
        <v>1289940</v>
      </c>
      <c r="C345" s="3">
        <v>1290017</v>
      </c>
      <c r="D345" s="1" t="s">
        <v>9</v>
      </c>
      <c r="E345" s="1" t="s">
        <v>4386</v>
      </c>
    </row>
    <row r="346" spans="1:5" ht="21" x14ac:dyDescent="0.25">
      <c r="A346" s="2" t="str">
        <f>HYPERLINK("https://rth.dk/resources/bsgatlas/details.php?id=BSGatlas-internal_UTR-345","BSGatlas-internal_UTR-345")</f>
        <v>BSGatlas-internal_UTR-345</v>
      </c>
      <c r="B346" s="3">
        <v>1292535</v>
      </c>
      <c r="C346" s="3">
        <v>1292556</v>
      </c>
      <c r="D346" s="1" t="s">
        <v>9</v>
      </c>
      <c r="E346" s="1" t="s">
        <v>4386</v>
      </c>
    </row>
    <row r="347" spans="1:5" ht="21" x14ac:dyDescent="0.25">
      <c r="A347" s="2" t="str">
        <f>HYPERLINK("https://rth.dk/resources/bsgatlas/details.php?id=BSGatlas-internal_UTR-346","BSGatlas-internal_UTR-346")</f>
        <v>BSGatlas-internal_UTR-346</v>
      </c>
      <c r="B347" s="3">
        <v>1298224</v>
      </c>
      <c r="C347" s="3">
        <v>1298611</v>
      </c>
      <c r="D347" s="1" t="s">
        <v>9</v>
      </c>
      <c r="E347" s="1" t="s">
        <v>4377</v>
      </c>
    </row>
    <row r="348" spans="1:5" ht="21" x14ac:dyDescent="0.25">
      <c r="A348" s="2" t="str">
        <f>HYPERLINK("https://rth.dk/resources/bsgatlas/details.php?id=BSGatlas-internal_UTR-347","BSGatlas-internal_UTR-347")</f>
        <v>BSGatlas-internal_UTR-347</v>
      </c>
      <c r="B348" s="3">
        <v>1299035</v>
      </c>
      <c r="C348" s="3">
        <v>1299073</v>
      </c>
      <c r="D348" s="1" t="s">
        <v>9</v>
      </c>
      <c r="E348" s="1" t="s">
        <v>14710</v>
      </c>
    </row>
    <row r="349" spans="1:5" ht="21" x14ac:dyDescent="0.25">
      <c r="A349" s="2" t="str">
        <f>HYPERLINK("https://rth.dk/resources/bsgatlas/details.php?id=BSGatlas-internal_UTR-348","BSGatlas-internal_UTR-348")</f>
        <v>BSGatlas-internal_UTR-348</v>
      </c>
      <c r="B349" s="3">
        <v>1301872</v>
      </c>
      <c r="C349" s="3">
        <v>1301938</v>
      </c>
      <c r="D349" s="1" t="s">
        <v>9</v>
      </c>
      <c r="E349" s="1" t="s">
        <v>4547</v>
      </c>
    </row>
    <row r="350" spans="1:5" ht="21" x14ac:dyDescent="0.25">
      <c r="A350" s="2" t="str">
        <f>HYPERLINK("https://rth.dk/resources/bsgatlas/details.php?id=BSGatlas-internal_UTR-349","BSGatlas-internal_UTR-349")</f>
        <v>BSGatlas-internal_UTR-349</v>
      </c>
      <c r="B350" s="3">
        <v>1303319</v>
      </c>
      <c r="C350" s="3">
        <v>1303422</v>
      </c>
      <c r="D350" s="1" t="s">
        <v>9</v>
      </c>
      <c r="E350" s="1" t="s">
        <v>4547</v>
      </c>
    </row>
    <row r="351" spans="1:5" ht="21" x14ac:dyDescent="0.25">
      <c r="A351" s="2" t="str">
        <f>HYPERLINK("https://rth.dk/resources/bsgatlas/details.php?id=BSGatlas-internal_UTR-350","BSGatlas-internal_UTR-350")</f>
        <v>BSGatlas-internal_UTR-350</v>
      </c>
      <c r="B351" s="3">
        <v>1305462</v>
      </c>
      <c r="C351" s="3">
        <v>1305485</v>
      </c>
      <c r="D351" s="1" t="s">
        <v>9</v>
      </c>
      <c r="E351" s="1" t="s">
        <v>4397</v>
      </c>
    </row>
    <row r="352" spans="1:5" ht="21" x14ac:dyDescent="0.25">
      <c r="A352" s="2" t="str">
        <f>HYPERLINK("https://rth.dk/resources/bsgatlas/details.php?id=BSGatlas-internal_UTR-351","BSGatlas-internal_UTR-351")</f>
        <v>BSGatlas-internal_UTR-351</v>
      </c>
      <c r="B352" s="3">
        <v>1307399</v>
      </c>
      <c r="C352" s="3">
        <v>1307445</v>
      </c>
      <c r="D352" s="1" t="s">
        <v>9</v>
      </c>
      <c r="E352" s="1" t="s">
        <v>4397</v>
      </c>
    </row>
    <row r="353" spans="1:5" ht="21" x14ac:dyDescent="0.25">
      <c r="A353" s="2" t="str">
        <f>HYPERLINK("https://rth.dk/resources/bsgatlas/details.php?id=BSGatlas-internal_UTR-352","BSGatlas-internal_UTR-352")</f>
        <v>BSGatlas-internal_UTR-352</v>
      </c>
      <c r="B353" s="3">
        <v>1308715</v>
      </c>
      <c r="C353" s="3">
        <v>1308801</v>
      </c>
      <c r="D353" s="1" t="s">
        <v>9</v>
      </c>
      <c r="E353" s="1" t="s">
        <v>4397</v>
      </c>
    </row>
    <row r="354" spans="1:5" ht="21" x14ac:dyDescent="0.25">
      <c r="A354" s="2" t="str">
        <f>HYPERLINK("https://rth.dk/resources/bsgatlas/details.php?id=BSGatlas-internal_UTR-353","BSGatlas-internal_UTR-353")</f>
        <v>BSGatlas-internal_UTR-353</v>
      </c>
      <c r="B354" s="3">
        <v>1309804</v>
      </c>
      <c r="C354" s="3">
        <v>1309879</v>
      </c>
      <c r="D354" s="1" t="s">
        <v>9</v>
      </c>
      <c r="E354" s="1" t="s">
        <v>4397</v>
      </c>
    </row>
    <row r="355" spans="1:5" ht="21" x14ac:dyDescent="0.25">
      <c r="A355" s="2" t="str">
        <f>HYPERLINK("https://rth.dk/resources/bsgatlas/details.php?id=BSGatlas-internal_UTR-354","BSGatlas-internal_UTR-354")</f>
        <v>BSGatlas-internal_UTR-354</v>
      </c>
      <c r="B355" s="3">
        <v>1319614</v>
      </c>
      <c r="C355" s="3">
        <v>1319689</v>
      </c>
      <c r="D355" s="1" t="s">
        <v>9</v>
      </c>
      <c r="E355" s="1" t="s">
        <v>4377</v>
      </c>
    </row>
    <row r="356" spans="1:5" ht="21" x14ac:dyDescent="0.25">
      <c r="A356" s="2" t="str">
        <f>HYPERLINK("https://rth.dk/resources/bsgatlas/details.php?id=BSGatlas-internal_UTR-355","BSGatlas-internal_UTR-355")</f>
        <v>BSGatlas-internal_UTR-355</v>
      </c>
      <c r="B356" s="3">
        <v>1323718</v>
      </c>
      <c r="C356" s="3">
        <v>1323801</v>
      </c>
      <c r="D356" s="1" t="s">
        <v>9</v>
      </c>
      <c r="E356" s="1" t="s">
        <v>4397</v>
      </c>
    </row>
    <row r="357" spans="1:5" ht="21" x14ac:dyDescent="0.25">
      <c r="A357" s="2" t="str">
        <f>HYPERLINK("https://rth.dk/resources/bsgatlas/details.php?id=BSGatlas-internal_UTR-356","BSGatlas-internal_UTR-356")</f>
        <v>BSGatlas-internal_UTR-356</v>
      </c>
      <c r="B357" s="3">
        <v>1328683</v>
      </c>
      <c r="C357" s="3">
        <v>1328701</v>
      </c>
      <c r="D357" s="1" t="s">
        <v>9</v>
      </c>
      <c r="E357" s="1" t="s">
        <v>14708</v>
      </c>
    </row>
    <row r="358" spans="1:5" ht="21" x14ac:dyDescent="0.25">
      <c r="A358" s="2" t="str">
        <f>HYPERLINK("https://rth.dk/resources/bsgatlas/details.php?id=BSGatlas-internal_UTR-357","BSGatlas-internal_UTR-357")</f>
        <v>BSGatlas-internal_UTR-357</v>
      </c>
      <c r="B358" s="3">
        <v>1329530</v>
      </c>
      <c r="C358" s="3">
        <v>1329554</v>
      </c>
      <c r="D358" s="1" t="s">
        <v>9</v>
      </c>
      <c r="E358" s="1" t="s">
        <v>14708</v>
      </c>
    </row>
    <row r="359" spans="1:5" ht="21" x14ac:dyDescent="0.25">
      <c r="A359" s="2" t="str">
        <f>HYPERLINK("https://rth.dk/resources/bsgatlas/details.php?id=BSGatlas-internal_UTR-358","BSGatlas-internal_UTR-358")</f>
        <v>BSGatlas-internal_UTR-358</v>
      </c>
      <c r="B359" s="3">
        <v>1330491</v>
      </c>
      <c r="C359" s="3">
        <v>1330511</v>
      </c>
      <c r="D359" s="1" t="s">
        <v>9</v>
      </c>
      <c r="E359" s="1" t="s">
        <v>14708</v>
      </c>
    </row>
    <row r="360" spans="1:5" ht="21" x14ac:dyDescent="0.25">
      <c r="A360" s="2" t="str">
        <f>HYPERLINK("https://rth.dk/resources/bsgatlas/details.php?id=BSGatlas-internal_UTR-359","BSGatlas-internal_UTR-359")</f>
        <v>BSGatlas-internal_UTR-359</v>
      </c>
      <c r="B360" s="3">
        <v>1334248</v>
      </c>
      <c r="C360" s="3">
        <v>1334338</v>
      </c>
      <c r="D360" s="1" t="s">
        <v>9</v>
      </c>
      <c r="E360" s="1" t="s">
        <v>4386</v>
      </c>
    </row>
    <row r="361" spans="1:5" ht="21" x14ac:dyDescent="0.25">
      <c r="A361" s="2" t="str">
        <f>HYPERLINK("https://rth.dk/resources/bsgatlas/details.php?id=BSGatlas-internal_UTR-360","BSGatlas-internal_UTR-360")</f>
        <v>BSGatlas-internal_UTR-360</v>
      </c>
      <c r="B361" s="3">
        <v>1334786</v>
      </c>
      <c r="C361" s="3">
        <v>1334814</v>
      </c>
      <c r="D361" s="1" t="s">
        <v>9</v>
      </c>
      <c r="E361" s="1" t="s">
        <v>4386</v>
      </c>
    </row>
    <row r="362" spans="1:5" ht="21" x14ac:dyDescent="0.25">
      <c r="A362" s="2" t="str">
        <f>HYPERLINK("https://rth.dk/resources/bsgatlas/details.php?id=BSGatlas-internal_UTR-361","BSGatlas-internal_UTR-361")</f>
        <v>BSGatlas-internal_UTR-361</v>
      </c>
      <c r="B362" s="3">
        <v>1340876</v>
      </c>
      <c r="C362" s="3">
        <v>1340931</v>
      </c>
      <c r="D362" s="1" t="s">
        <v>9</v>
      </c>
      <c r="E362" s="1" t="s">
        <v>4386</v>
      </c>
    </row>
    <row r="363" spans="1:5" ht="21" x14ac:dyDescent="0.25">
      <c r="A363" s="2" t="str">
        <f>HYPERLINK("https://rth.dk/resources/bsgatlas/details.php?id=BSGatlas-internal_UTR-362","BSGatlas-internal_UTR-362")</f>
        <v>BSGatlas-internal_UTR-362</v>
      </c>
      <c r="B363" s="3">
        <v>1345796</v>
      </c>
      <c r="C363" s="3">
        <v>1345838</v>
      </c>
      <c r="D363" s="1" t="s">
        <v>9</v>
      </c>
      <c r="E363" s="1" t="s">
        <v>4386</v>
      </c>
    </row>
    <row r="364" spans="1:5" ht="21" x14ac:dyDescent="0.25">
      <c r="A364" s="2" t="str">
        <f>HYPERLINK("https://rth.dk/resources/bsgatlas/details.php?id=BSGatlas-internal_UTR-363","BSGatlas-internal_UTR-363")</f>
        <v>BSGatlas-internal_UTR-363</v>
      </c>
      <c r="B364" s="3">
        <v>1346679</v>
      </c>
      <c r="C364" s="3">
        <v>1346730</v>
      </c>
      <c r="D364" s="1" t="s">
        <v>9</v>
      </c>
      <c r="E364" s="1" t="s">
        <v>4386</v>
      </c>
    </row>
    <row r="365" spans="1:5" ht="21" x14ac:dyDescent="0.25">
      <c r="A365" s="2" t="str">
        <f>HYPERLINK("https://rth.dk/resources/bsgatlas/details.php?id=BSGatlas-internal_UTR-364","BSGatlas-internal_UTR-364")</f>
        <v>BSGatlas-internal_UTR-364</v>
      </c>
      <c r="B365" s="3">
        <v>1361226</v>
      </c>
      <c r="C365" s="3">
        <v>1361241</v>
      </c>
      <c r="D365" s="1" t="s">
        <v>9</v>
      </c>
      <c r="E365" s="1" t="s">
        <v>4397</v>
      </c>
    </row>
    <row r="366" spans="1:5" ht="21" x14ac:dyDescent="0.25">
      <c r="A366" s="2" t="str">
        <f>HYPERLINK("https://rth.dk/resources/bsgatlas/details.php?id=BSGatlas-internal_UTR-365","BSGatlas-internal_UTR-365")</f>
        <v>BSGatlas-internal_UTR-365</v>
      </c>
      <c r="B366" s="3">
        <v>1365801</v>
      </c>
      <c r="C366" s="3">
        <v>1365887</v>
      </c>
      <c r="D366" s="1" t="s">
        <v>9</v>
      </c>
      <c r="E366" s="1" t="s">
        <v>4397</v>
      </c>
    </row>
    <row r="367" spans="1:5" ht="21" x14ac:dyDescent="0.25">
      <c r="A367" s="2" t="str">
        <f>HYPERLINK("https://rth.dk/resources/bsgatlas/details.php?id=BSGatlas-internal_UTR-366","BSGatlas-internal_UTR-366")</f>
        <v>BSGatlas-internal_UTR-366</v>
      </c>
      <c r="B367" s="3">
        <v>1370926</v>
      </c>
      <c r="C367" s="3">
        <v>1371014</v>
      </c>
      <c r="D367" s="1" t="s">
        <v>13</v>
      </c>
      <c r="E367" s="1" t="s">
        <v>4386</v>
      </c>
    </row>
    <row r="368" spans="1:5" ht="21" x14ac:dyDescent="0.25">
      <c r="A368" s="2" t="str">
        <f>HYPERLINK("https://rth.dk/resources/bsgatlas/details.php?id=BSGatlas-internal_UTR-367","BSGatlas-internal_UTR-367")</f>
        <v>BSGatlas-internal_UTR-367</v>
      </c>
      <c r="B368" s="3">
        <v>1373992</v>
      </c>
      <c r="C368" s="3">
        <v>1374436</v>
      </c>
      <c r="D368" s="1" t="s">
        <v>9</v>
      </c>
      <c r="E368" s="1" t="s">
        <v>4373</v>
      </c>
    </row>
    <row r="369" spans="1:5" ht="21" x14ac:dyDescent="0.25">
      <c r="A369" s="2" t="str">
        <f>HYPERLINK("https://rth.dk/resources/bsgatlas/details.php?id=BSGatlas-internal_UTR-368","BSGatlas-internal_UTR-368")</f>
        <v>BSGatlas-internal_UTR-368</v>
      </c>
      <c r="B369" s="3">
        <v>1382431</v>
      </c>
      <c r="C369" s="3">
        <v>1382456</v>
      </c>
      <c r="D369" s="1" t="s">
        <v>9</v>
      </c>
      <c r="E369" s="1" t="s">
        <v>4373</v>
      </c>
    </row>
    <row r="370" spans="1:5" ht="21" x14ac:dyDescent="0.25">
      <c r="A370" s="2" t="str">
        <f>HYPERLINK("https://rth.dk/resources/bsgatlas/details.php?id=BSGatlas-internal_UTR-369","BSGatlas-internal_UTR-369")</f>
        <v>BSGatlas-internal_UTR-369</v>
      </c>
      <c r="B370" s="3">
        <v>1394685</v>
      </c>
      <c r="C370" s="3">
        <v>1394775</v>
      </c>
      <c r="D370" s="1" t="s">
        <v>9</v>
      </c>
      <c r="E370" s="1" t="s">
        <v>4377</v>
      </c>
    </row>
    <row r="371" spans="1:5" ht="21" x14ac:dyDescent="0.25">
      <c r="A371" s="2" t="str">
        <f>HYPERLINK("https://rth.dk/resources/bsgatlas/details.php?id=BSGatlas-internal_UTR-370","BSGatlas-internal_UTR-370")</f>
        <v>BSGatlas-internal_UTR-370</v>
      </c>
      <c r="B371" s="3">
        <v>1398094</v>
      </c>
      <c r="C371" s="3">
        <v>1398180</v>
      </c>
      <c r="D371" s="1" t="s">
        <v>9</v>
      </c>
      <c r="E371" s="1" t="s">
        <v>4373</v>
      </c>
    </row>
    <row r="372" spans="1:5" ht="21" x14ac:dyDescent="0.25">
      <c r="A372" s="2" t="str">
        <f>HYPERLINK("https://rth.dk/resources/bsgatlas/details.php?id=BSGatlas-internal_UTR-371","BSGatlas-internal_UTR-371")</f>
        <v>BSGatlas-internal_UTR-371</v>
      </c>
      <c r="B372" s="3">
        <v>1410578</v>
      </c>
      <c r="C372" s="3">
        <v>1410632</v>
      </c>
      <c r="D372" s="1" t="s">
        <v>9</v>
      </c>
      <c r="E372" s="1" t="s">
        <v>4386</v>
      </c>
    </row>
    <row r="373" spans="1:5" ht="21" x14ac:dyDescent="0.25">
      <c r="A373" s="2" t="str">
        <f>HYPERLINK("https://rth.dk/resources/bsgatlas/details.php?id=BSGatlas-internal_UTR-372","BSGatlas-internal_UTR-372")</f>
        <v>BSGatlas-internal_UTR-372</v>
      </c>
      <c r="B373" s="3">
        <v>1441274</v>
      </c>
      <c r="C373" s="3">
        <v>1441290</v>
      </c>
      <c r="D373" s="1" t="s">
        <v>9</v>
      </c>
      <c r="E373" s="1" t="s">
        <v>4386</v>
      </c>
    </row>
    <row r="374" spans="1:5" ht="21" x14ac:dyDescent="0.25">
      <c r="A374" s="2" t="str">
        <f>HYPERLINK("https://rth.dk/resources/bsgatlas/details.php?id=BSGatlas-internal_UTR-373","BSGatlas-internal_UTR-373")</f>
        <v>BSGatlas-internal_UTR-373</v>
      </c>
      <c r="B374" s="3">
        <v>1445542</v>
      </c>
      <c r="C374" s="3">
        <v>1445637</v>
      </c>
      <c r="D374" s="1" t="s">
        <v>9</v>
      </c>
      <c r="E374" s="1" t="s">
        <v>4386</v>
      </c>
    </row>
    <row r="375" spans="1:5" ht="21" x14ac:dyDescent="0.25">
      <c r="A375" s="2" t="str">
        <f>HYPERLINK("https://rth.dk/resources/bsgatlas/details.php?id=BSGatlas-internal_UTR-374","BSGatlas-internal_UTR-374")</f>
        <v>BSGatlas-internal_UTR-374</v>
      </c>
      <c r="B375" s="3">
        <v>1448208</v>
      </c>
      <c r="C375" s="3">
        <v>1448505</v>
      </c>
      <c r="D375" s="1" t="s">
        <v>9</v>
      </c>
      <c r="E375" s="1" t="s">
        <v>4377</v>
      </c>
    </row>
    <row r="376" spans="1:5" ht="21" x14ac:dyDescent="0.25">
      <c r="A376" s="2" t="str">
        <f>HYPERLINK("https://rth.dk/resources/bsgatlas/details.php?id=BSGatlas-internal_UTR-375","BSGatlas-internal_UTR-375")</f>
        <v>BSGatlas-internal_UTR-375</v>
      </c>
      <c r="B376" s="3">
        <v>1450588</v>
      </c>
      <c r="C376" s="3">
        <v>1450637</v>
      </c>
      <c r="D376" s="1" t="s">
        <v>9</v>
      </c>
      <c r="E376" s="1" t="s">
        <v>4386</v>
      </c>
    </row>
    <row r="377" spans="1:5" ht="21" x14ac:dyDescent="0.25">
      <c r="A377" s="2" t="str">
        <f>HYPERLINK("https://rth.dk/resources/bsgatlas/details.php?id=BSGatlas-internal_UTR-376","BSGatlas-internal_UTR-376")</f>
        <v>BSGatlas-internal_UTR-376</v>
      </c>
      <c r="B377" s="3">
        <v>1454783</v>
      </c>
      <c r="C377" s="3">
        <v>1455063</v>
      </c>
      <c r="D377" s="1" t="s">
        <v>9</v>
      </c>
      <c r="E377" s="1" t="s">
        <v>4373</v>
      </c>
    </row>
    <row r="378" spans="1:5" ht="21" x14ac:dyDescent="0.25">
      <c r="A378" s="2" t="str">
        <f>HYPERLINK("https://rth.dk/resources/bsgatlas/details.php?id=BSGatlas-internal_UTR-377","BSGatlas-internal_UTR-377")</f>
        <v>BSGatlas-internal_UTR-377</v>
      </c>
      <c r="B378" s="3">
        <v>1456030</v>
      </c>
      <c r="C378" s="3">
        <v>1456091</v>
      </c>
      <c r="D378" s="1" t="s">
        <v>9</v>
      </c>
      <c r="E378" s="1" t="s">
        <v>4373</v>
      </c>
    </row>
    <row r="379" spans="1:5" ht="21" x14ac:dyDescent="0.25">
      <c r="A379" s="2" t="str">
        <f>HYPERLINK("https://rth.dk/resources/bsgatlas/details.php?id=BSGatlas-internal_UTR-378","BSGatlas-internal_UTR-378")</f>
        <v>BSGatlas-internal_UTR-378</v>
      </c>
      <c r="B379" s="3">
        <v>1459287</v>
      </c>
      <c r="C379" s="3">
        <v>1459383</v>
      </c>
      <c r="D379" s="1" t="s">
        <v>9</v>
      </c>
      <c r="E379" s="1" t="s">
        <v>4373</v>
      </c>
    </row>
    <row r="380" spans="1:5" ht="21" x14ac:dyDescent="0.25">
      <c r="A380" s="2" t="str">
        <f>HYPERLINK("https://rth.dk/resources/bsgatlas/details.php?id=BSGatlas-internal_UTR-379","BSGatlas-internal_UTR-379")</f>
        <v>BSGatlas-internal_UTR-379</v>
      </c>
      <c r="B380" s="3">
        <v>1461693</v>
      </c>
      <c r="C380" s="3">
        <v>1461769</v>
      </c>
      <c r="D380" s="1" t="s">
        <v>9</v>
      </c>
      <c r="E380" s="1" t="s">
        <v>4397</v>
      </c>
    </row>
    <row r="381" spans="1:5" ht="21" x14ac:dyDescent="0.25">
      <c r="A381" s="2" t="str">
        <f>HYPERLINK("https://rth.dk/resources/bsgatlas/details.php?id=BSGatlas-internal_UTR-380","BSGatlas-internal_UTR-380")</f>
        <v>BSGatlas-internal_UTR-380</v>
      </c>
      <c r="B381" s="3">
        <v>1473039</v>
      </c>
      <c r="C381" s="3">
        <v>1473239</v>
      </c>
      <c r="D381" s="1" t="s">
        <v>13</v>
      </c>
      <c r="E381" s="1" t="s">
        <v>4373</v>
      </c>
    </row>
    <row r="382" spans="1:5" ht="21" x14ac:dyDescent="0.25">
      <c r="A382" s="2" t="str">
        <f>HYPERLINK("https://rth.dk/resources/bsgatlas/details.php?id=BSGatlas-internal_UTR-381","BSGatlas-internal_UTR-381")</f>
        <v>BSGatlas-internal_UTR-381</v>
      </c>
      <c r="B382" s="3">
        <v>1476443</v>
      </c>
      <c r="C382" s="3">
        <v>1476517</v>
      </c>
      <c r="D382" s="1" t="s">
        <v>13</v>
      </c>
      <c r="E382" s="1" t="s">
        <v>4373</v>
      </c>
    </row>
    <row r="383" spans="1:5" ht="21" x14ac:dyDescent="0.25">
      <c r="A383" s="2" t="str">
        <f>HYPERLINK("https://rth.dk/resources/bsgatlas/details.php?id=BSGatlas-internal_UTR-382","BSGatlas-internal_UTR-382")</f>
        <v>BSGatlas-internal_UTR-382</v>
      </c>
      <c r="B383" s="3">
        <v>1477013</v>
      </c>
      <c r="C383" s="3">
        <v>1477068</v>
      </c>
      <c r="D383" s="1" t="s">
        <v>13</v>
      </c>
      <c r="E383" s="1" t="s">
        <v>4373</v>
      </c>
    </row>
    <row r="384" spans="1:5" ht="21" x14ac:dyDescent="0.25">
      <c r="A384" s="2" t="str">
        <f>HYPERLINK("https://rth.dk/resources/bsgatlas/details.php?id=BSGatlas-internal_UTR-383","BSGatlas-internal_UTR-383")</f>
        <v>BSGatlas-internal_UTR-383</v>
      </c>
      <c r="B384" s="3">
        <v>1478837</v>
      </c>
      <c r="C384" s="3">
        <v>1479136</v>
      </c>
      <c r="D384" s="1" t="s">
        <v>9</v>
      </c>
      <c r="E384" s="1" t="s">
        <v>14714</v>
      </c>
    </row>
    <row r="385" spans="1:5" ht="21" x14ac:dyDescent="0.25">
      <c r="A385" s="2" t="str">
        <f>HYPERLINK("https://rth.dk/resources/bsgatlas/details.php?id=BSGatlas-internal_UTR-384","BSGatlas-internal_UTR-384")</f>
        <v>BSGatlas-internal_UTR-384</v>
      </c>
      <c r="B385" s="3">
        <v>1480868</v>
      </c>
      <c r="C385" s="3">
        <v>1480932</v>
      </c>
      <c r="D385" s="1" t="s">
        <v>9</v>
      </c>
      <c r="E385" s="1" t="s">
        <v>4397</v>
      </c>
    </row>
    <row r="386" spans="1:5" ht="21" x14ac:dyDescent="0.25">
      <c r="A386" s="2" t="str">
        <f>HYPERLINK("https://rth.dk/resources/bsgatlas/details.php?id=BSGatlas-internal_UTR-385","BSGatlas-internal_UTR-385")</f>
        <v>BSGatlas-internal_UTR-385</v>
      </c>
      <c r="B386" s="3">
        <v>1482096</v>
      </c>
      <c r="C386" s="3">
        <v>1482247</v>
      </c>
      <c r="D386" s="1" t="s">
        <v>9</v>
      </c>
      <c r="E386" s="1" t="s">
        <v>4386</v>
      </c>
    </row>
    <row r="387" spans="1:5" ht="21" x14ac:dyDescent="0.25">
      <c r="A387" s="2" t="str">
        <f>HYPERLINK("https://rth.dk/resources/bsgatlas/details.php?id=BSGatlas-internal_UTR-386","BSGatlas-internal_UTR-386")</f>
        <v>BSGatlas-internal_UTR-386</v>
      </c>
      <c r="B387" s="3">
        <v>1484357</v>
      </c>
      <c r="C387" s="3">
        <v>1484465</v>
      </c>
      <c r="D387" s="1" t="s">
        <v>9</v>
      </c>
      <c r="E387" s="1" t="s">
        <v>4547</v>
      </c>
    </row>
    <row r="388" spans="1:5" ht="21" x14ac:dyDescent="0.25">
      <c r="A388" s="2" t="str">
        <f>HYPERLINK("https://rth.dk/resources/bsgatlas/details.php?id=BSGatlas-internal_UTR-387","BSGatlas-internal_UTR-387")</f>
        <v>BSGatlas-internal_UTR-387</v>
      </c>
      <c r="B388" s="3">
        <v>1484985</v>
      </c>
      <c r="C388" s="3">
        <v>1485117</v>
      </c>
      <c r="D388" s="1" t="s">
        <v>9</v>
      </c>
      <c r="E388" s="1" t="s">
        <v>4547</v>
      </c>
    </row>
    <row r="389" spans="1:5" ht="21" x14ac:dyDescent="0.25">
      <c r="A389" s="2" t="str">
        <f>HYPERLINK("https://rth.dk/resources/bsgatlas/details.php?id=BSGatlas-internal_UTR-388","BSGatlas-internal_UTR-388")</f>
        <v>BSGatlas-internal_UTR-388</v>
      </c>
      <c r="B389" s="3">
        <v>1485316</v>
      </c>
      <c r="C389" s="3">
        <v>1485452</v>
      </c>
      <c r="D389" s="1" t="s">
        <v>9</v>
      </c>
      <c r="E389" s="1" t="s">
        <v>4547</v>
      </c>
    </row>
    <row r="390" spans="1:5" ht="21" x14ac:dyDescent="0.25">
      <c r="A390" s="2" t="str">
        <f>HYPERLINK("https://rth.dk/resources/bsgatlas/details.php?id=BSGatlas-internal_UTR-389","BSGatlas-internal_UTR-389")</f>
        <v>BSGatlas-internal_UTR-389</v>
      </c>
      <c r="B390" s="3">
        <v>1485897</v>
      </c>
      <c r="C390" s="3">
        <v>1486044</v>
      </c>
      <c r="D390" s="1" t="s">
        <v>9</v>
      </c>
      <c r="E390" s="1" t="s">
        <v>4547</v>
      </c>
    </row>
    <row r="391" spans="1:5" ht="21" x14ac:dyDescent="0.25">
      <c r="A391" s="2" t="str">
        <f>HYPERLINK("https://rth.dk/resources/bsgatlas/details.php?id=BSGatlas-internal_UTR-390","BSGatlas-internal_UTR-390")</f>
        <v>BSGatlas-internal_UTR-390</v>
      </c>
      <c r="B391" s="3">
        <v>1489684</v>
      </c>
      <c r="C391" s="3">
        <v>1489752</v>
      </c>
      <c r="D391" s="1" t="s">
        <v>9</v>
      </c>
      <c r="E391" s="1" t="s">
        <v>4386</v>
      </c>
    </row>
    <row r="392" spans="1:5" ht="21" x14ac:dyDescent="0.25">
      <c r="A392" s="2" t="str">
        <f>HYPERLINK("https://rth.dk/resources/bsgatlas/details.php?id=BSGatlas-internal_UTR-391","BSGatlas-internal_UTR-391")</f>
        <v>BSGatlas-internal_UTR-391</v>
      </c>
      <c r="B392" s="3">
        <v>1490878</v>
      </c>
      <c r="C392" s="3">
        <v>1490938</v>
      </c>
      <c r="D392" s="1" t="s">
        <v>9</v>
      </c>
      <c r="E392" s="1" t="s">
        <v>4386</v>
      </c>
    </row>
    <row r="393" spans="1:5" ht="21" x14ac:dyDescent="0.25">
      <c r="A393" s="2" t="str">
        <f>HYPERLINK("https://rth.dk/resources/bsgatlas/details.php?id=BSGatlas-internal_UTR-392","BSGatlas-internal_UTR-392")</f>
        <v>BSGatlas-internal_UTR-392</v>
      </c>
      <c r="B393" s="3">
        <v>1492804</v>
      </c>
      <c r="C393" s="3">
        <v>1492874</v>
      </c>
      <c r="D393" s="1" t="s">
        <v>9</v>
      </c>
      <c r="E393" s="1" t="s">
        <v>4386</v>
      </c>
    </row>
    <row r="394" spans="1:5" ht="21" x14ac:dyDescent="0.25">
      <c r="A394" s="2" t="str">
        <f>HYPERLINK("https://rth.dk/resources/bsgatlas/details.php?id=BSGatlas-internal_UTR-393","BSGatlas-internal_UTR-393")</f>
        <v>BSGatlas-internal_UTR-393</v>
      </c>
      <c r="B394" s="3">
        <v>1496105</v>
      </c>
      <c r="C394" s="3">
        <v>1496154</v>
      </c>
      <c r="D394" s="1" t="s">
        <v>9</v>
      </c>
      <c r="E394" s="1" t="s">
        <v>4386</v>
      </c>
    </row>
    <row r="395" spans="1:5" ht="21" x14ac:dyDescent="0.25">
      <c r="A395" s="2" t="str">
        <f>HYPERLINK("https://rth.dk/resources/bsgatlas/details.php?id=BSGatlas-internal_UTR-394","BSGatlas-internal_UTR-394")</f>
        <v>BSGatlas-internal_UTR-394</v>
      </c>
      <c r="B395" s="3">
        <v>1497175</v>
      </c>
      <c r="C395" s="3">
        <v>1497191</v>
      </c>
      <c r="D395" s="1" t="s">
        <v>9</v>
      </c>
      <c r="E395" s="1" t="s">
        <v>4386</v>
      </c>
    </row>
    <row r="396" spans="1:5" ht="21" x14ac:dyDescent="0.25">
      <c r="A396" s="2" t="str">
        <f>HYPERLINK("https://rth.dk/resources/bsgatlas/details.php?id=BSGatlas-internal_UTR-395","BSGatlas-internal_UTR-395")</f>
        <v>BSGatlas-internal_UTR-395</v>
      </c>
      <c r="B396" s="3">
        <v>1503473</v>
      </c>
      <c r="C396" s="3">
        <v>1503581</v>
      </c>
      <c r="D396" s="1" t="s">
        <v>9</v>
      </c>
      <c r="E396" s="1" t="s">
        <v>4386</v>
      </c>
    </row>
    <row r="397" spans="1:5" ht="21" x14ac:dyDescent="0.25">
      <c r="A397" s="2" t="str">
        <f>HYPERLINK("https://rth.dk/resources/bsgatlas/details.php?id=BSGatlas-internal_UTR-396","BSGatlas-internal_UTR-396")</f>
        <v>BSGatlas-internal_UTR-396</v>
      </c>
      <c r="B397" s="3">
        <v>1513996</v>
      </c>
      <c r="C397" s="3">
        <v>1514051</v>
      </c>
      <c r="D397" s="1" t="s">
        <v>9</v>
      </c>
      <c r="E397" s="1" t="s">
        <v>4397</v>
      </c>
    </row>
    <row r="398" spans="1:5" ht="21" x14ac:dyDescent="0.25">
      <c r="A398" s="2" t="str">
        <f>HYPERLINK("https://rth.dk/resources/bsgatlas/details.php?id=BSGatlas-internal_UTR-397","BSGatlas-internal_UTR-397")</f>
        <v>BSGatlas-internal_UTR-397</v>
      </c>
      <c r="B398" s="3">
        <v>1516474</v>
      </c>
      <c r="C398" s="3">
        <v>1516573</v>
      </c>
      <c r="D398" s="1" t="s">
        <v>13</v>
      </c>
      <c r="E398" s="1" t="s">
        <v>4377</v>
      </c>
    </row>
    <row r="399" spans="1:5" ht="21" x14ac:dyDescent="0.25">
      <c r="A399" s="2" t="str">
        <f>HYPERLINK("https://rth.dk/resources/bsgatlas/details.php?id=BSGatlas-internal_UTR-398","BSGatlas-internal_UTR-398")</f>
        <v>BSGatlas-internal_UTR-398</v>
      </c>
      <c r="B399" s="3">
        <v>1520469</v>
      </c>
      <c r="C399" s="3">
        <v>1520530</v>
      </c>
      <c r="D399" s="1" t="s">
        <v>9</v>
      </c>
      <c r="E399" s="1" t="s">
        <v>4373</v>
      </c>
    </row>
    <row r="400" spans="1:5" ht="21" x14ac:dyDescent="0.25">
      <c r="A400" s="2" t="str">
        <f>HYPERLINK("https://rth.dk/resources/bsgatlas/details.php?id=BSGatlas-internal_UTR-399","BSGatlas-internal_UTR-399")</f>
        <v>BSGatlas-internal_UTR-399</v>
      </c>
      <c r="B400" s="3">
        <v>1530423</v>
      </c>
      <c r="C400" s="3">
        <v>1530536</v>
      </c>
      <c r="D400" s="1" t="s">
        <v>9</v>
      </c>
      <c r="E400" s="1" t="s">
        <v>4386</v>
      </c>
    </row>
    <row r="401" spans="1:5" ht="21" x14ac:dyDescent="0.25">
      <c r="A401" s="2" t="str">
        <f>HYPERLINK("https://rth.dk/resources/bsgatlas/details.php?id=BSGatlas-internal_UTR-400","BSGatlas-internal_UTR-400")</f>
        <v>BSGatlas-internal_UTR-400</v>
      </c>
      <c r="B401" s="3">
        <v>1538239</v>
      </c>
      <c r="C401" s="3">
        <v>1538263</v>
      </c>
      <c r="D401" s="1" t="s">
        <v>9</v>
      </c>
      <c r="E401" s="1" t="s">
        <v>4373</v>
      </c>
    </row>
    <row r="402" spans="1:5" ht="21" x14ac:dyDescent="0.25">
      <c r="A402" s="2" t="str">
        <f>HYPERLINK("https://rth.dk/resources/bsgatlas/details.php?id=BSGatlas-internal_UTR-401","BSGatlas-internal_UTR-401")</f>
        <v>BSGatlas-internal_UTR-401</v>
      </c>
      <c r="B402" s="3">
        <v>1547960</v>
      </c>
      <c r="C402" s="3">
        <v>1548015</v>
      </c>
      <c r="D402" s="1" t="s">
        <v>9</v>
      </c>
      <c r="E402" s="1" t="s">
        <v>4377</v>
      </c>
    </row>
    <row r="403" spans="1:5" ht="21" x14ac:dyDescent="0.25">
      <c r="A403" s="2" t="str">
        <f>HYPERLINK("https://rth.dk/resources/bsgatlas/details.php?id=BSGatlas-internal_UTR-402","BSGatlas-internal_UTR-402")</f>
        <v>BSGatlas-internal_UTR-402</v>
      </c>
      <c r="B403" s="3">
        <v>1550794</v>
      </c>
      <c r="C403" s="3">
        <v>1551384</v>
      </c>
      <c r="D403" s="1" t="s">
        <v>9</v>
      </c>
      <c r="E403" s="1" t="s">
        <v>4373</v>
      </c>
    </row>
    <row r="404" spans="1:5" ht="21" x14ac:dyDescent="0.25">
      <c r="A404" s="2" t="str">
        <f>HYPERLINK("https://rth.dk/resources/bsgatlas/details.php?id=BSGatlas-internal_UTR-403","BSGatlas-internal_UTR-403")</f>
        <v>BSGatlas-internal_UTR-403</v>
      </c>
      <c r="B404" s="3">
        <v>1554111</v>
      </c>
      <c r="C404" s="3">
        <v>1554184</v>
      </c>
      <c r="D404" s="1" t="s">
        <v>9</v>
      </c>
      <c r="E404" s="1" t="s">
        <v>4386</v>
      </c>
    </row>
    <row r="405" spans="1:5" ht="21" x14ac:dyDescent="0.25">
      <c r="A405" s="2" t="str">
        <f>HYPERLINK("https://rth.dk/resources/bsgatlas/details.php?id=BSGatlas-internal_UTR-404","BSGatlas-internal_UTR-404")</f>
        <v>BSGatlas-internal_UTR-404</v>
      </c>
      <c r="B405" s="3">
        <v>1560227</v>
      </c>
      <c r="C405" s="3">
        <v>1560465</v>
      </c>
      <c r="D405" s="1" t="s">
        <v>9</v>
      </c>
      <c r="E405" s="1" t="s">
        <v>4684</v>
      </c>
    </row>
    <row r="406" spans="1:5" ht="21" x14ac:dyDescent="0.25">
      <c r="A406" s="2" t="str">
        <f>HYPERLINK("https://rth.dk/resources/bsgatlas/details.php?id=BSGatlas-internal_UTR-405","BSGatlas-internal_UTR-405")</f>
        <v>BSGatlas-internal_UTR-405</v>
      </c>
      <c r="B406" s="3">
        <v>1561537</v>
      </c>
      <c r="C406" s="3">
        <v>1561568</v>
      </c>
      <c r="D406" s="1" t="s">
        <v>9</v>
      </c>
      <c r="E406" s="1" t="s">
        <v>4684</v>
      </c>
    </row>
    <row r="407" spans="1:5" ht="21" x14ac:dyDescent="0.25">
      <c r="A407" s="2" t="str">
        <f>HYPERLINK("https://rth.dk/resources/bsgatlas/details.php?id=BSGatlas-internal_UTR-406","BSGatlas-internal_UTR-406")</f>
        <v>BSGatlas-internal_UTR-406</v>
      </c>
      <c r="B407" s="3">
        <v>1564396</v>
      </c>
      <c r="C407" s="3">
        <v>1564421</v>
      </c>
      <c r="D407" s="1" t="s">
        <v>9</v>
      </c>
      <c r="E407" s="1" t="s">
        <v>4684</v>
      </c>
    </row>
    <row r="408" spans="1:5" ht="21" x14ac:dyDescent="0.25">
      <c r="A408" s="2" t="str">
        <f>HYPERLINK("https://rth.dk/resources/bsgatlas/details.php?id=BSGatlas-internal_UTR-407","BSGatlas-internal_UTR-407")</f>
        <v>BSGatlas-internal_UTR-407</v>
      </c>
      <c r="B408" s="3">
        <v>1566296</v>
      </c>
      <c r="C408" s="3">
        <v>1566378</v>
      </c>
      <c r="D408" s="1" t="s">
        <v>9</v>
      </c>
      <c r="E408" s="1" t="s">
        <v>4373</v>
      </c>
    </row>
    <row r="409" spans="1:5" ht="21" x14ac:dyDescent="0.25">
      <c r="A409" s="2" t="str">
        <f>HYPERLINK("https://rth.dk/resources/bsgatlas/details.php?id=BSGatlas-internal_UTR-408","BSGatlas-internal_UTR-408")</f>
        <v>BSGatlas-internal_UTR-408</v>
      </c>
      <c r="B409" s="3">
        <v>1568870</v>
      </c>
      <c r="C409" s="3">
        <v>1568923</v>
      </c>
      <c r="D409" s="1" t="s">
        <v>9</v>
      </c>
      <c r="E409" s="1" t="s">
        <v>4377</v>
      </c>
    </row>
    <row r="410" spans="1:5" ht="21" x14ac:dyDescent="0.25">
      <c r="A410" s="2" t="str">
        <f>HYPERLINK("https://rth.dk/resources/bsgatlas/details.php?id=BSGatlas-internal_UTR-409","BSGatlas-internal_UTR-409")</f>
        <v>BSGatlas-internal_UTR-409</v>
      </c>
      <c r="B410" s="3">
        <v>1569320</v>
      </c>
      <c r="C410" s="3">
        <v>1569518</v>
      </c>
      <c r="D410" s="1" t="s">
        <v>9</v>
      </c>
      <c r="E410" s="1" t="s">
        <v>4377</v>
      </c>
    </row>
    <row r="411" spans="1:5" ht="21" x14ac:dyDescent="0.25">
      <c r="A411" s="2" t="str">
        <f>HYPERLINK("https://rth.dk/resources/bsgatlas/details.php?id=BSGatlas-internal_UTR-410","BSGatlas-internal_UTR-410")</f>
        <v>BSGatlas-internal_UTR-410</v>
      </c>
      <c r="B411" s="3">
        <v>1575783</v>
      </c>
      <c r="C411" s="3">
        <v>1575803</v>
      </c>
      <c r="D411" s="1" t="s">
        <v>9</v>
      </c>
      <c r="E411" s="1" t="s">
        <v>4684</v>
      </c>
    </row>
    <row r="412" spans="1:5" ht="21" x14ac:dyDescent="0.25">
      <c r="A412" s="2" t="str">
        <f>HYPERLINK("https://rth.dk/resources/bsgatlas/details.php?id=BSGatlas-internal_UTR-411","BSGatlas-internal_UTR-411")</f>
        <v>BSGatlas-internal_UTR-411</v>
      </c>
      <c r="B412" s="3">
        <v>1578306</v>
      </c>
      <c r="C412" s="3">
        <v>1578375</v>
      </c>
      <c r="D412" s="1" t="s">
        <v>9</v>
      </c>
      <c r="E412" s="1" t="s">
        <v>4397</v>
      </c>
    </row>
    <row r="413" spans="1:5" ht="21" x14ac:dyDescent="0.25">
      <c r="A413" s="2" t="str">
        <f>HYPERLINK("https://rth.dk/resources/bsgatlas/details.php?id=BSGatlas-internal_UTR-412","BSGatlas-internal_UTR-412")</f>
        <v>BSGatlas-internal_UTR-412</v>
      </c>
      <c r="B413" s="3">
        <v>1580553</v>
      </c>
      <c r="C413" s="3">
        <v>1580621</v>
      </c>
      <c r="D413" s="1" t="s">
        <v>9</v>
      </c>
      <c r="E413" s="1" t="s">
        <v>4397</v>
      </c>
    </row>
    <row r="414" spans="1:5" ht="21" x14ac:dyDescent="0.25">
      <c r="A414" s="2" t="str">
        <f>HYPERLINK("https://rth.dk/resources/bsgatlas/details.php?id=BSGatlas-internal_UTR-413","BSGatlas-internal_UTR-413")</f>
        <v>BSGatlas-internal_UTR-413</v>
      </c>
      <c r="B414" s="3">
        <v>1581558</v>
      </c>
      <c r="C414" s="3">
        <v>1581596</v>
      </c>
      <c r="D414" s="1" t="s">
        <v>9</v>
      </c>
      <c r="E414" s="1" t="s">
        <v>4397</v>
      </c>
    </row>
    <row r="415" spans="1:5" ht="21" x14ac:dyDescent="0.25">
      <c r="A415" s="2" t="str">
        <f>HYPERLINK("https://rth.dk/resources/bsgatlas/details.php?id=BSGatlas-internal_UTR-414","BSGatlas-internal_UTR-414")</f>
        <v>BSGatlas-internal_UTR-414</v>
      </c>
      <c r="B415" s="3">
        <v>1587815</v>
      </c>
      <c r="C415" s="3">
        <v>1587925</v>
      </c>
      <c r="D415" s="1" t="s">
        <v>9</v>
      </c>
      <c r="E415" s="1" t="s">
        <v>4377</v>
      </c>
    </row>
    <row r="416" spans="1:5" ht="21" x14ac:dyDescent="0.25">
      <c r="A416" s="2" t="str">
        <f>HYPERLINK("https://rth.dk/resources/bsgatlas/details.php?id=BSGatlas-internal_UTR-415","BSGatlas-internal_UTR-415")</f>
        <v>BSGatlas-internal_UTR-415</v>
      </c>
      <c r="B416" s="3">
        <v>1590257</v>
      </c>
      <c r="C416" s="3">
        <v>1590316</v>
      </c>
      <c r="D416" s="1" t="s">
        <v>9</v>
      </c>
      <c r="E416" s="1" t="s">
        <v>4377</v>
      </c>
    </row>
    <row r="417" spans="1:5" ht="21" x14ac:dyDescent="0.25">
      <c r="A417" s="2" t="str">
        <f>HYPERLINK("https://rth.dk/resources/bsgatlas/details.php?id=BSGatlas-internal_UTR-416","BSGatlas-internal_UTR-416")</f>
        <v>BSGatlas-internal_UTR-416</v>
      </c>
      <c r="B417" s="3">
        <v>1591418</v>
      </c>
      <c r="C417" s="3">
        <v>1591539</v>
      </c>
      <c r="D417" s="1" t="s">
        <v>9</v>
      </c>
      <c r="E417" s="1" t="s">
        <v>14705</v>
      </c>
    </row>
    <row r="418" spans="1:5" ht="21" x14ac:dyDescent="0.25">
      <c r="A418" s="2" t="str">
        <f>HYPERLINK("https://rth.dk/resources/bsgatlas/details.php?id=BSGatlas-internal_UTR-417","BSGatlas-internal_UTR-417")</f>
        <v>BSGatlas-internal_UTR-417</v>
      </c>
      <c r="B418" s="3">
        <v>1592632</v>
      </c>
      <c r="C418" s="3">
        <v>1592662</v>
      </c>
      <c r="D418" s="1" t="s">
        <v>9</v>
      </c>
      <c r="E418" s="1" t="s">
        <v>14705</v>
      </c>
    </row>
    <row r="419" spans="1:5" ht="21" x14ac:dyDescent="0.25">
      <c r="A419" s="2" t="str">
        <f>HYPERLINK("https://rth.dk/resources/bsgatlas/details.php?id=BSGatlas-internal_UTR-418","BSGatlas-internal_UTR-418")</f>
        <v>BSGatlas-internal_UTR-418</v>
      </c>
      <c r="B419" s="3">
        <v>1593575</v>
      </c>
      <c r="C419" s="3">
        <v>1593703</v>
      </c>
      <c r="D419" s="1" t="s">
        <v>9</v>
      </c>
      <c r="E419" s="1" t="s">
        <v>14705</v>
      </c>
    </row>
    <row r="420" spans="1:5" ht="21" x14ac:dyDescent="0.25">
      <c r="A420" s="2" t="str">
        <f>HYPERLINK("https://rth.dk/resources/bsgatlas/details.php?id=BSGatlas-internal_UTR-419","BSGatlas-internal_UTR-419")</f>
        <v>BSGatlas-internal_UTR-419</v>
      </c>
      <c r="B420" s="3">
        <v>1595188</v>
      </c>
      <c r="C420" s="3">
        <v>1595209</v>
      </c>
      <c r="D420" s="1" t="s">
        <v>9</v>
      </c>
      <c r="E420" s="1" t="s">
        <v>14705</v>
      </c>
    </row>
    <row r="421" spans="1:5" ht="21" x14ac:dyDescent="0.25">
      <c r="A421" s="2" t="str">
        <f>HYPERLINK("https://rth.dk/resources/bsgatlas/details.php?id=BSGatlas-internal_UTR-420","BSGatlas-internal_UTR-420")</f>
        <v>BSGatlas-internal_UTR-420</v>
      </c>
      <c r="B421" s="3">
        <v>1595918</v>
      </c>
      <c r="C421" s="3">
        <v>1595934</v>
      </c>
      <c r="D421" s="1" t="s">
        <v>9</v>
      </c>
      <c r="E421" s="1" t="s">
        <v>14705</v>
      </c>
    </row>
    <row r="422" spans="1:5" ht="21" x14ac:dyDescent="0.25">
      <c r="A422" s="2" t="str">
        <f>HYPERLINK("https://rth.dk/resources/bsgatlas/details.php?id=BSGatlas-internal_UTR-421","BSGatlas-internal_UTR-421")</f>
        <v>BSGatlas-internal_UTR-421</v>
      </c>
      <c r="B422" s="3">
        <v>1597797</v>
      </c>
      <c r="C422" s="3">
        <v>1597831</v>
      </c>
      <c r="D422" s="1" t="s">
        <v>9</v>
      </c>
      <c r="E422" s="1" t="s">
        <v>4373</v>
      </c>
    </row>
    <row r="423" spans="1:5" ht="21" x14ac:dyDescent="0.25">
      <c r="A423" s="2" t="str">
        <f>HYPERLINK("https://rth.dk/resources/bsgatlas/details.php?id=BSGatlas-internal_UTR-422","BSGatlas-internal_UTR-422")</f>
        <v>BSGatlas-internal_UTR-422</v>
      </c>
      <c r="B423" s="3">
        <v>1604709</v>
      </c>
      <c r="C423" s="3">
        <v>1604770</v>
      </c>
      <c r="D423" s="1" t="s">
        <v>9</v>
      </c>
      <c r="E423" s="1" t="s">
        <v>4373</v>
      </c>
    </row>
    <row r="424" spans="1:5" ht="21" x14ac:dyDescent="0.25">
      <c r="A424" s="2" t="str">
        <f>HYPERLINK("https://rth.dk/resources/bsgatlas/details.php?id=BSGatlas-internal_UTR-423","BSGatlas-internal_UTR-423")</f>
        <v>BSGatlas-internal_UTR-423</v>
      </c>
      <c r="B424" s="3">
        <v>1605491</v>
      </c>
      <c r="C424" s="3">
        <v>1605629</v>
      </c>
      <c r="D424" s="1" t="s">
        <v>9</v>
      </c>
      <c r="E424" s="1" t="s">
        <v>4373</v>
      </c>
    </row>
    <row r="425" spans="1:5" ht="21" x14ac:dyDescent="0.25">
      <c r="A425" s="2" t="str">
        <f>HYPERLINK("https://rth.dk/resources/bsgatlas/details.php?id=BSGatlas-internal_UTR-424","BSGatlas-internal_UTR-424")</f>
        <v>BSGatlas-internal_UTR-424</v>
      </c>
      <c r="B425" s="3">
        <v>1611594</v>
      </c>
      <c r="C425" s="3">
        <v>1611653</v>
      </c>
      <c r="D425" s="1" t="s">
        <v>9</v>
      </c>
      <c r="E425" s="1" t="s">
        <v>4373</v>
      </c>
    </row>
    <row r="426" spans="1:5" ht="21" x14ac:dyDescent="0.25">
      <c r="A426" s="2" t="str">
        <f>HYPERLINK("https://rth.dk/resources/bsgatlas/details.php?id=BSGatlas-internal_UTR-425","BSGatlas-internal_UTR-425")</f>
        <v>BSGatlas-internal_UTR-425</v>
      </c>
      <c r="B426" s="3">
        <v>1618122</v>
      </c>
      <c r="C426" s="3">
        <v>1618159</v>
      </c>
      <c r="D426" s="1" t="s">
        <v>9</v>
      </c>
      <c r="E426" s="1" t="s">
        <v>4377</v>
      </c>
    </row>
    <row r="427" spans="1:5" ht="21" x14ac:dyDescent="0.25">
      <c r="A427" s="2" t="str">
        <f>HYPERLINK("https://rth.dk/resources/bsgatlas/details.php?id=BSGatlas-internal_UTR-426","BSGatlas-internal_UTR-426")</f>
        <v>BSGatlas-internal_UTR-426</v>
      </c>
      <c r="B427" s="3">
        <v>1618278</v>
      </c>
      <c r="C427" s="3">
        <v>1618303</v>
      </c>
      <c r="D427" s="1" t="s">
        <v>9</v>
      </c>
      <c r="E427" s="1" t="s">
        <v>14710</v>
      </c>
    </row>
    <row r="428" spans="1:5" ht="21" x14ac:dyDescent="0.25">
      <c r="A428" s="2" t="str">
        <f>HYPERLINK("https://rth.dk/resources/bsgatlas/details.php?id=BSGatlas-internal_UTR-427","BSGatlas-internal_UTR-427")</f>
        <v>BSGatlas-internal_UTR-427</v>
      </c>
      <c r="B428" s="3">
        <v>1618972</v>
      </c>
      <c r="C428" s="3">
        <v>1619022</v>
      </c>
      <c r="D428" s="1" t="s">
        <v>9</v>
      </c>
      <c r="E428" s="1" t="s">
        <v>14712</v>
      </c>
    </row>
    <row r="429" spans="1:5" ht="21" x14ac:dyDescent="0.25">
      <c r="A429" s="2" t="str">
        <f>HYPERLINK("https://rth.dk/resources/bsgatlas/details.php?id=BSGatlas-internal_UTR-428","BSGatlas-internal_UTR-428")</f>
        <v>BSGatlas-internal_UTR-428</v>
      </c>
      <c r="B429" s="3">
        <v>1620446</v>
      </c>
      <c r="C429" s="3">
        <v>1620475</v>
      </c>
      <c r="D429" s="1" t="s">
        <v>9</v>
      </c>
      <c r="E429" s="1" t="s">
        <v>14712</v>
      </c>
    </row>
    <row r="430" spans="1:5" ht="21" x14ac:dyDescent="0.25">
      <c r="A430" s="2" t="str">
        <f>HYPERLINK("https://rth.dk/resources/bsgatlas/details.php?id=BSGatlas-internal_UTR-429","BSGatlas-internal_UTR-429")</f>
        <v>BSGatlas-internal_UTR-429</v>
      </c>
      <c r="B430" s="3">
        <v>1632160</v>
      </c>
      <c r="C430" s="3">
        <v>1632207</v>
      </c>
      <c r="D430" s="1" t="s">
        <v>9</v>
      </c>
      <c r="E430" s="1" t="s">
        <v>4397</v>
      </c>
    </row>
    <row r="431" spans="1:5" ht="21" x14ac:dyDescent="0.25">
      <c r="A431" s="2" t="str">
        <f>HYPERLINK("https://rth.dk/resources/bsgatlas/details.php?id=BSGatlas-internal_UTR-430","BSGatlas-internal_UTR-430")</f>
        <v>BSGatlas-internal_UTR-430</v>
      </c>
      <c r="B431" s="3">
        <v>1633963</v>
      </c>
      <c r="C431" s="3">
        <v>1634060</v>
      </c>
      <c r="D431" s="1" t="s">
        <v>9</v>
      </c>
      <c r="E431" s="1" t="s">
        <v>4397</v>
      </c>
    </row>
    <row r="432" spans="1:5" ht="21" x14ac:dyDescent="0.25">
      <c r="A432" s="2" t="str">
        <f>HYPERLINK("https://rth.dk/resources/bsgatlas/details.php?id=BSGatlas-internal_UTR-431","BSGatlas-internal_UTR-431")</f>
        <v>BSGatlas-internal_UTR-431</v>
      </c>
      <c r="B432" s="3">
        <v>1640638</v>
      </c>
      <c r="C432" s="3">
        <v>1640719</v>
      </c>
      <c r="D432" s="1" t="s">
        <v>9</v>
      </c>
      <c r="E432" s="1" t="s">
        <v>4373</v>
      </c>
    </row>
    <row r="433" spans="1:5" ht="21" x14ac:dyDescent="0.25">
      <c r="A433" s="2" t="str">
        <f>HYPERLINK("https://rth.dk/resources/bsgatlas/details.php?id=BSGatlas-internal_UTR-432","BSGatlas-internal_UTR-432")</f>
        <v>BSGatlas-internal_UTR-432</v>
      </c>
      <c r="B433" s="3">
        <v>1641596</v>
      </c>
      <c r="C433" s="3">
        <v>1641671</v>
      </c>
      <c r="D433" s="1" t="s">
        <v>9</v>
      </c>
      <c r="E433" s="1" t="s">
        <v>4373</v>
      </c>
    </row>
    <row r="434" spans="1:5" ht="21" x14ac:dyDescent="0.25">
      <c r="A434" s="2" t="str">
        <f>HYPERLINK("https://rth.dk/resources/bsgatlas/details.php?id=BSGatlas-internal_UTR-433","BSGatlas-internal_UTR-433")</f>
        <v>BSGatlas-internal_UTR-433</v>
      </c>
      <c r="B434" s="3">
        <v>1642771</v>
      </c>
      <c r="C434" s="3">
        <v>1642850</v>
      </c>
      <c r="D434" s="1" t="s">
        <v>9</v>
      </c>
      <c r="E434" s="1" t="s">
        <v>4547</v>
      </c>
    </row>
    <row r="435" spans="1:5" ht="21" x14ac:dyDescent="0.25">
      <c r="A435" s="2" t="str">
        <f>HYPERLINK("https://rth.dk/resources/bsgatlas/details.php?id=BSGatlas-internal_UTR-434","BSGatlas-internal_UTR-434")</f>
        <v>BSGatlas-internal_UTR-434</v>
      </c>
      <c r="B435" s="3">
        <v>1646486</v>
      </c>
      <c r="C435" s="3">
        <v>1646511</v>
      </c>
      <c r="D435" s="1" t="s">
        <v>9</v>
      </c>
      <c r="E435" s="1" t="s">
        <v>4547</v>
      </c>
    </row>
    <row r="436" spans="1:5" ht="21" x14ac:dyDescent="0.25">
      <c r="A436" s="2" t="str">
        <f>HYPERLINK("https://rth.dk/resources/bsgatlas/details.php?id=BSGatlas-internal_UTR-435","BSGatlas-internal_UTR-435")</f>
        <v>BSGatlas-internal_UTR-435</v>
      </c>
      <c r="B436" s="3">
        <v>1654658</v>
      </c>
      <c r="C436" s="3">
        <v>1654729</v>
      </c>
      <c r="D436" s="1" t="s">
        <v>9</v>
      </c>
      <c r="E436" s="1" t="s">
        <v>4373</v>
      </c>
    </row>
    <row r="437" spans="1:5" ht="21" x14ac:dyDescent="0.25">
      <c r="A437" s="2" t="str">
        <f>HYPERLINK("https://rth.dk/resources/bsgatlas/details.php?id=BSGatlas-internal_UTR-436","BSGatlas-internal_UTR-436")</f>
        <v>BSGatlas-internal_UTR-436</v>
      </c>
      <c r="B437" s="3">
        <v>1658905</v>
      </c>
      <c r="C437" s="3">
        <v>1658929</v>
      </c>
      <c r="D437" s="1" t="s">
        <v>9</v>
      </c>
      <c r="E437" s="1" t="s">
        <v>4386</v>
      </c>
    </row>
    <row r="438" spans="1:5" ht="21" x14ac:dyDescent="0.25">
      <c r="A438" s="2" t="str">
        <f>HYPERLINK("https://rth.dk/resources/bsgatlas/details.php?id=BSGatlas-internal_UTR-437","BSGatlas-internal_UTR-437")</f>
        <v>BSGatlas-internal_UTR-437</v>
      </c>
      <c r="B438" s="3">
        <v>1663549</v>
      </c>
      <c r="C438" s="3">
        <v>1663566</v>
      </c>
      <c r="D438" s="1" t="s">
        <v>9</v>
      </c>
      <c r="E438" s="1" t="s">
        <v>4397</v>
      </c>
    </row>
    <row r="439" spans="1:5" ht="21" x14ac:dyDescent="0.25">
      <c r="A439" s="2" t="str">
        <f>HYPERLINK("https://rth.dk/resources/bsgatlas/details.php?id=BSGatlas-internal_UTR-438","BSGatlas-internal_UTR-438")</f>
        <v>BSGatlas-internal_UTR-438</v>
      </c>
      <c r="B439" s="3">
        <v>1665254</v>
      </c>
      <c r="C439" s="3">
        <v>1665336</v>
      </c>
      <c r="D439" s="1" t="s">
        <v>9</v>
      </c>
      <c r="E439" s="1" t="s">
        <v>4397</v>
      </c>
    </row>
    <row r="440" spans="1:5" ht="21" x14ac:dyDescent="0.25">
      <c r="A440" s="2" t="str">
        <f>HYPERLINK("https://rth.dk/resources/bsgatlas/details.php?id=BSGatlas-internal_UTR-439","BSGatlas-internal_UTR-439")</f>
        <v>BSGatlas-internal_UTR-439</v>
      </c>
      <c r="B440" s="3">
        <v>1666460</v>
      </c>
      <c r="C440" s="3">
        <v>1666559</v>
      </c>
      <c r="D440" s="1" t="s">
        <v>9</v>
      </c>
      <c r="E440" s="1" t="s">
        <v>4386</v>
      </c>
    </row>
    <row r="441" spans="1:5" ht="21" x14ac:dyDescent="0.25">
      <c r="A441" s="2" t="str">
        <f>HYPERLINK("https://rth.dk/resources/bsgatlas/details.php?id=BSGatlas-internal_UTR-440","BSGatlas-internal_UTR-440")</f>
        <v>BSGatlas-internal_UTR-440</v>
      </c>
      <c r="B441" s="3">
        <v>1670121</v>
      </c>
      <c r="C441" s="3">
        <v>1670139</v>
      </c>
      <c r="D441" s="1" t="s">
        <v>9</v>
      </c>
      <c r="E441" s="1" t="s">
        <v>4386</v>
      </c>
    </row>
    <row r="442" spans="1:5" ht="21" x14ac:dyDescent="0.25">
      <c r="A442" s="2" t="str">
        <f>HYPERLINK("https://rth.dk/resources/bsgatlas/details.php?id=BSGatlas-internal_UTR-441","BSGatlas-internal_UTR-441")</f>
        <v>BSGatlas-internal_UTR-441</v>
      </c>
      <c r="B442" s="3">
        <v>1673515</v>
      </c>
      <c r="C442" s="3">
        <v>1673619</v>
      </c>
      <c r="D442" s="1" t="s">
        <v>9</v>
      </c>
      <c r="E442" s="1" t="s">
        <v>4377</v>
      </c>
    </row>
    <row r="443" spans="1:5" ht="21" x14ac:dyDescent="0.25">
      <c r="A443" s="2" t="str">
        <f>HYPERLINK("https://rth.dk/resources/bsgatlas/details.php?id=BSGatlas-internal_UTR-442","BSGatlas-internal_UTR-442")</f>
        <v>BSGatlas-internal_UTR-442</v>
      </c>
      <c r="B443" s="3">
        <v>1674138</v>
      </c>
      <c r="C443" s="3">
        <v>1674258</v>
      </c>
      <c r="D443" s="1" t="s">
        <v>9</v>
      </c>
      <c r="E443" s="1" t="s">
        <v>4377</v>
      </c>
    </row>
    <row r="444" spans="1:5" ht="21" x14ac:dyDescent="0.25">
      <c r="A444" s="2" t="str">
        <f>HYPERLINK("https://rth.dk/resources/bsgatlas/details.php?id=BSGatlas-internal_UTR-443","BSGatlas-internal_UTR-443")</f>
        <v>BSGatlas-internal_UTR-443</v>
      </c>
      <c r="B444" s="3">
        <v>1675903</v>
      </c>
      <c r="C444" s="3">
        <v>1675979</v>
      </c>
      <c r="D444" s="1" t="s">
        <v>9</v>
      </c>
      <c r="E444" s="1" t="s">
        <v>4377</v>
      </c>
    </row>
    <row r="445" spans="1:5" ht="21" x14ac:dyDescent="0.25">
      <c r="A445" s="2" t="str">
        <f>HYPERLINK("https://rth.dk/resources/bsgatlas/details.php?id=BSGatlas-internal_UTR-444","BSGatlas-internal_UTR-444")</f>
        <v>BSGatlas-internal_UTR-444</v>
      </c>
      <c r="B445" s="3">
        <v>1676023</v>
      </c>
      <c r="C445" s="3">
        <v>1676041</v>
      </c>
      <c r="D445" s="1" t="s">
        <v>9</v>
      </c>
      <c r="E445" s="1" t="s">
        <v>4377</v>
      </c>
    </row>
    <row r="446" spans="1:5" ht="21" x14ac:dyDescent="0.25">
      <c r="A446" s="2" t="str">
        <f>HYPERLINK("https://rth.dk/resources/bsgatlas/details.php?id=BSGatlas-internal_UTR-445","BSGatlas-internal_UTR-445")</f>
        <v>BSGatlas-internal_UTR-445</v>
      </c>
      <c r="B446" s="3">
        <v>1677381</v>
      </c>
      <c r="C446" s="3">
        <v>1677450</v>
      </c>
      <c r="D446" s="1" t="s">
        <v>9</v>
      </c>
      <c r="E446" s="1" t="s">
        <v>4377</v>
      </c>
    </row>
    <row r="447" spans="1:5" ht="21" x14ac:dyDescent="0.25">
      <c r="A447" s="2" t="str">
        <f>HYPERLINK("https://rth.dk/resources/bsgatlas/details.php?id=BSGatlas-internal_UTR-446","BSGatlas-internal_UTR-446")</f>
        <v>BSGatlas-internal_UTR-446</v>
      </c>
      <c r="B447" s="3">
        <v>1678219</v>
      </c>
      <c r="C447" s="3">
        <v>1678249</v>
      </c>
      <c r="D447" s="1" t="s">
        <v>9</v>
      </c>
      <c r="E447" s="1" t="s">
        <v>4377</v>
      </c>
    </row>
    <row r="448" spans="1:5" ht="21" x14ac:dyDescent="0.25">
      <c r="A448" s="2" t="str">
        <f>HYPERLINK("https://rth.dk/resources/bsgatlas/details.php?id=BSGatlas-internal_UTR-447","BSGatlas-internal_UTR-447")</f>
        <v>BSGatlas-internal_UTR-447</v>
      </c>
      <c r="B448" s="3">
        <v>1681589</v>
      </c>
      <c r="C448" s="3">
        <v>1681616</v>
      </c>
      <c r="D448" s="1" t="s">
        <v>9</v>
      </c>
      <c r="E448" s="1" t="s">
        <v>4386</v>
      </c>
    </row>
    <row r="449" spans="1:5" ht="21" x14ac:dyDescent="0.25">
      <c r="A449" s="2" t="str">
        <f>HYPERLINK("https://rth.dk/resources/bsgatlas/details.php?id=BSGatlas-internal_UTR-448","BSGatlas-internal_UTR-448")</f>
        <v>BSGatlas-internal_UTR-448</v>
      </c>
      <c r="B449" s="3">
        <v>1682520</v>
      </c>
      <c r="C449" s="3">
        <v>1682579</v>
      </c>
      <c r="D449" s="1" t="s">
        <v>9</v>
      </c>
      <c r="E449" s="1" t="s">
        <v>4386</v>
      </c>
    </row>
    <row r="450" spans="1:5" ht="21" x14ac:dyDescent="0.25">
      <c r="A450" s="2" t="str">
        <f>HYPERLINK("https://rth.dk/resources/bsgatlas/details.php?id=BSGatlas-internal_UTR-449","BSGatlas-internal_UTR-449")</f>
        <v>BSGatlas-internal_UTR-449</v>
      </c>
      <c r="B450" s="3">
        <v>1683474</v>
      </c>
      <c r="C450" s="3">
        <v>1683660</v>
      </c>
      <c r="D450" s="1" t="s">
        <v>9</v>
      </c>
      <c r="E450" s="1" t="s">
        <v>4386</v>
      </c>
    </row>
    <row r="451" spans="1:5" ht="21" x14ac:dyDescent="0.25">
      <c r="A451" s="2" t="str">
        <f>HYPERLINK("https://rth.dk/resources/bsgatlas/details.php?id=BSGatlas-internal_UTR-450","BSGatlas-internal_UTR-450")</f>
        <v>BSGatlas-internal_UTR-450</v>
      </c>
      <c r="B451" s="3">
        <v>1687120</v>
      </c>
      <c r="C451" s="3">
        <v>1687186</v>
      </c>
      <c r="D451" s="1" t="s">
        <v>9</v>
      </c>
      <c r="E451" s="1" t="s">
        <v>4547</v>
      </c>
    </row>
    <row r="452" spans="1:5" ht="21" x14ac:dyDescent="0.25">
      <c r="A452" s="2" t="str">
        <f>HYPERLINK("https://rth.dk/resources/bsgatlas/details.php?id=BSGatlas-internal_UTR-451","BSGatlas-internal_UTR-451")</f>
        <v>BSGatlas-internal_UTR-451</v>
      </c>
      <c r="B452" s="3">
        <v>1688660</v>
      </c>
      <c r="C452" s="3">
        <v>1688675</v>
      </c>
      <c r="D452" s="1" t="s">
        <v>9</v>
      </c>
      <c r="E452" s="1" t="s">
        <v>4397</v>
      </c>
    </row>
    <row r="453" spans="1:5" ht="21" x14ac:dyDescent="0.25">
      <c r="A453" s="2" t="str">
        <f>HYPERLINK("https://rth.dk/resources/bsgatlas/details.php?id=BSGatlas-internal_UTR-452","BSGatlas-internal_UTR-452")</f>
        <v>BSGatlas-internal_UTR-452</v>
      </c>
      <c r="B453" s="3">
        <v>1690080</v>
      </c>
      <c r="C453" s="3">
        <v>1690118</v>
      </c>
      <c r="D453" s="1" t="s">
        <v>9</v>
      </c>
      <c r="E453" s="1" t="s">
        <v>4397</v>
      </c>
    </row>
    <row r="454" spans="1:5" ht="21" x14ac:dyDescent="0.25">
      <c r="A454" s="2" t="str">
        <f>HYPERLINK("https://rth.dk/resources/bsgatlas/details.php?id=BSGatlas-internal_UTR-453","BSGatlas-internal_UTR-453")</f>
        <v>BSGatlas-internal_UTR-453</v>
      </c>
      <c r="B454" s="3">
        <v>1692451</v>
      </c>
      <c r="C454" s="3">
        <v>1692495</v>
      </c>
      <c r="D454" s="1" t="s">
        <v>9</v>
      </c>
      <c r="E454" s="1" t="s">
        <v>4397</v>
      </c>
    </row>
    <row r="455" spans="1:5" ht="21" x14ac:dyDescent="0.25">
      <c r="A455" s="2" t="str">
        <f>HYPERLINK("https://rth.dk/resources/bsgatlas/details.php?id=BSGatlas-internal_UTR-454","BSGatlas-internal_UTR-454")</f>
        <v>BSGatlas-internal_UTR-454</v>
      </c>
      <c r="B455" s="3">
        <v>1695136</v>
      </c>
      <c r="C455" s="3">
        <v>1695253</v>
      </c>
      <c r="D455" s="1" t="s">
        <v>9</v>
      </c>
      <c r="E455" s="1" t="s">
        <v>4397</v>
      </c>
    </row>
    <row r="456" spans="1:5" ht="21" x14ac:dyDescent="0.25">
      <c r="A456" s="2" t="str">
        <f>HYPERLINK("https://rth.dk/resources/bsgatlas/details.php?id=BSGatlas-internal_UTR-455","BSGatlas-internal_UTR-455")</f>
        <v>BSGatlas-internal_UTR-455</v>
      </c>
      <c r="B456" s="3">
        <v>1700161</v>
      </c>
      <c r="C456" s="3">
        <v>1700181</v>
      </c>
      <c r="D456" s="1" t="s">
        <v>9</v>
      </c>
      <c r="E456" s="1" t="s">
        <v>4397</v>
      </c>
    </row>
    <row r="457" spans="1:5" ht="21" x14ac:dyDescent="0.25">
      <c r="A457" s="2" t="str">
        <f>HYPERLINK("https://rth.dk/resources/bsgatlas/details.php?id=BSGatlas-internal_UTR-456","BSGatlas-internal_UTR-456")</f>
        <v>BSGatlas-internal_UTR-456</v>
      </c>
      <c r="B457" s="3">
        <v>1700977</v>
      </c>
      <c r="C457" s="3">
        <v>1701015</v>
      </c>
      <c r="D457" s="1" t="s">
        <v>9</v>
      </c>
      <c r="E457" s="1" t="s">
        <v>4397</v>
      </c>
    </row>
    <row r="458" spans="1:5" ht="21" x14ac:dyDescent="0.25">
      <c r="A458" s="2" t="str">
        <f>HYPERLINK("https://rth.dk/resources/bsgatlas/details.php?id=BSGatlas-internal_UTR-457","BSGatlas-internal_UTR-457")</f>
        <v>BSGatlas-internal_UTR-457</v>
      </c>
      <c r="B458" s="3">
        <v>1701651</v>
      </c>
      <c r="C458" s="3">
        <v>1701683</v>
      </c>
      <c r="D458" s="1" t="s">
        <v>9</v>
      </c>
      <c r="E458" s="1" t="s">
        <v>4397</v>
      </c>
    </row>
    <row r="459" spans="1:5" ht="21" x14ac:dyDescent="0.25">
      <c r="A459" s="2" t="str">
        <f>HYPERLINK("https://rth.dk/resources/bsgatlas/details.php?id=BSGatlas-internal_UTR-458","BSGatlas-internal_UTR-458")</f>
        <v>BSGatlas-internal_UTR-458</v>
      </c>
      <c r="B459" s="3">
        <v>1703809</v>
      </c>
      <c r="C459" s="3">
        <v>1703833</v>
      </c>
      <c r="D459" s="1" t="s">
        <v>9</v>
      </c>
      <c r="E459" s="1" t="s">
        <v>4397</v>
      </c>
    </row>
    <row r="460" spans="1:5" ht="21" x14ac:dyDescent="0.25">
      <c r="A460" s="2" t="str">
        <f>HYPERLINK("https://rth.dk/resources/bsgatlas/details.php?id=BSGatlas-internal_UTR-459","BSGatlas-internal_UTR-459")</f>
        <v>BSGatlas-internal_UTR-459</v>
      </c>
      <c r="B460" s="3">
        <v>1707682</v>
      </c>
      <c r="C460" s="3">
        <v>1707713</v>
      </c>
      <c r="D460" s="1" t="s">
        <v>9</v>
      </c>
      <c r="E460" s="1" t="s">
        <v>4397</v>
      </c>
    </row>
    <row r="461" spans="1:5" ht="21" x14ac:dyDescent="0.25">
      <c r="A461" s="2" t="str">
        <f>HYPERLINK("https://rth.dk/resources/bsgatlas/details.php?id=BSGatlas-internal_UTR-460","BSGatlas-internal_UTR-460")</f>
        <v>BSGatlas-internal_UTR-460</v>
      </c>
      <c r="B461" s="3">
        <v>1714834</v>
      </c>
      <c r="C461" s="3">
        <v>1714854</v>
      </c>
      <c r="D461" s="1" t="s">
        <v>9</v>
      </c>
      <c r="E461" s="1" t="s">
        <v>4397</v>
      </c>
    </row>
    <row r="462" spans="1:5" ht="21" x14ac:dyDescent="0.25">
      <c r="A462" s="2" t="str">
        <f>HYPERLINK("https://rth.dk/resources/bsgatlas/details.php?id=BSGatlas-internal_UTR-461","BSGatlas-internal_UTR-461")</f>
        <v>BSGatlas-internal_UTR-461</v>
      </c>
      <c r="B462" s="3">
        <v>1715326</v>
      </c>
      <c r="C462" s="3">
        <v>1715343</v>
      </c>
      <c r="D462" s="1" t="s">
        <v>9</v>
      </c>
      <c r="E462" s="1" t="s">
        <v>4397</v>
      </c>
    </row>
    <row r="463" spans="1:5" ht="21" x14ac:dyDescent="0.25">
      <c r="A463" s="2" t="str">
        <f>HYPERLINK("https://rth.dk/resources/bsgatlas/details.php?id=BSGatlas-internal_UTR-462","BSGatlas-internal_UTR-462")</f>
        <v>BSGatlas-internal_UTR-462</v>
      </c>
      <c r="B463" s="3">
        <v>1716471</v>
      </c>
      <c r="C463" s="3">
        <v>1716492</v>
      </c>
      <c r="D463" s="1" t="s">
        <v>9</v>
      </c>
      <c r="E463" s="1" t="s">
        <v>4397</v>
      </c>
    </row>
    <row r="464" spans="1:5" ht="21" x14ac:dyDescent="0.25">
      <c r="A464" s="2" t="str">
        <f>HYPERLINK("https://rth.dk/resources/bsgatlas/details.php?id=BSGatlas-internal_UTR-463","BSGatlas-internal_UTR-463")</f>
        <v>BSGatlas-internal_UTR-463</v>
      </c>
      <c r="B464" s="3">
        <v>1717258</v>
      </c>
      <c r="C464" s="3">
        <v>1717285</v>
      </c>
      <c r="D464" s="1" t="s">
        <v>9</v>
      </c>
      <c r="E464" s="1" t="s">
        <v>4397</v>
      </c>
    </row>
    <row r="465" spans="1:5" ht="21" x14ac:dyDescent="0.25">
      <c r="A465" s="2" t="str">
        <f>HYPERLINK("https://rth.dk/resources/bsgatlas/details.php?id=BSGatlas-internal_UTR-464","BSGatlas-internal_UTR-464")</f>
        <v>BSGatlas-internal_UTR-464</v>
      </c>
      <c r="B465" s="3">
        <v>1718674</v>
      </c>
      <c r="C465" s="3">
        <v>1718774</v>
      </c>
      <c r="D465" s="1" t="s">
        <v>9</v>
      </c>
      <c r="E465" s="1" t="s">
        <v>4373</v>
      </c>
    </row>
    <row r="466" spans="1:5" ht="21" x14ac:dyDescent="0.25">
      <c r="A466" s="2" t="str">
        <f>HYPERLINK("https://rth.dk/resources/bsgatlas/details.php?id=BSGatlas-internal_UTR-465","BSGatlas-internal_UTR-465")</f>
        <v>BSGatlas-internal_UTR-465</v>
      </c>
      <c r="B466" s="3">
        <v>1719657</v>
      </c>
      <c r="C466" s="3">
        <v>1719801</v>
      </c>
      <c r="D466" s="1" t="s">
        <v>9</v>
      </c>
      <c r="E466" s="1" t="s">
        <v>4373</v>
      </c>
    </row>
    <row r="467" spans="1:5" ht="21" x14ac:dyDescent="0.25">
      <c r="A467" s="2" t="str">
        <f>HYPERLINK("https://rth.dk/resources/bsgatlas/details.php?id=BSGatlas-internal_UTR-466","BSGatlas-internal_UTR-466")</f>
        <v>BSGatlas-internal_UTR-466</v>
      </c>
      <c r="B467" s="3">
        <v>1722810</v>
      </c>
      <c r="C467" s="3">
        <v>1722870</v>
      </c>
      <c r="D467" s="1" t="s">
        <v>9</v>
      </c>
      <c r="E467" s="1" t="s">
        <v>4386</v>
      </c>
    </row>
    <row r="468" spans="1:5" ht="21" x14ac:dyDescent="0.25">
      <c r="A468" s="2" t="str">
        <f>HYPERLINK("https://rth.dk/resources/bsgatlas/details.php?id=BSGatlas-internal_UTR-467","BSGatlas-internal_UTR-467")</f>
        <v>BSGatlas-internal_UTR-467</v>
      </c>
      <c r="B468" s="3">
        <v>1725298</v>
      </c>
      <c r="C468" s="3">
        <v>1725329</v>
      </c>
      <c r="D468" s="1" t="s">
        <v>9</v>
      </c>
      <c r="E468" s="1" t="s">
        <v>14708</v>
      </c>
    </row>
    <row r="469" spans="1:5" ht="21" x14ac:dyDescent="0.25">
      <c r="A469" s="2" t="str">
        <f>HYPERLINK("https://rth.dk/resources/bsgatlas/details.php?id=BSGatlas-internal_UTR-468","BSGatlas-internal_UTR-468")</f>
        <v>BSGatlas-internal_UTR-468</v>
      </c>
      <c r="B469" s="3">
        <v>1727025</v>
      </c>
      <c r="C469" s="3">
        <v>1727132</v>
      </c>
      <c r="D469" s="1" t="s">
        <v>9</v>
      </c>
      <c r="E469" s="1" t="s">
        <v>14708</v>
      </c>
    </row>
    <row r="470" spans="1:5" ht="21" x14ac:dyDescent="0.25">
      <c r="A470" s="2" t="str">
        <f>HYPERLINK("https://rth.dk/resources/bsgatlas/details.php?id=BSGatlas-internal_UTR-469","BSGatlas-internal_UTR-469")</f>
        <v>BSGatlas-internal_UTR-469</v>
      </c>
      <c r="B470" s="3">
        <v>1732247</v>
      </c>
      <c r="C470" s="3">
        <v>1732280</v>
      </c>
      <c r="D470" s="1" t="s">
        <v>9</v>
      </c>
      <c r="E470" s="1" t="s">
        <v>4382</v>
      </c>
    </row>
    <row r="471" spans="1:5" ht="21" x14ac:dyDescent="0.25">
      <c r="A471" s="2" t="str">
        <f>HYPERLINK("https://rth.dk/resources/bsgatlas/details.php?id=BSGatlas-internal_UTR-470","BSGatlas-internal_UTR-470")</f>
        <v>BSGatlas-internal_UTR-470</v>
      </c>
      <c r="B471" s="3">
        <v>1733990</v>
      </c>
      <c r="C471" s="3">
        <v>1734008</v>
      </c>
      <c r="D471" s="1" t="s">
        <v>9</v>
      </c>
      <c r="E471" s="1" t="s">
        <v>4382</v>
      </c>
    </row>
    <row r="472" spans="1:5" ht="21" x14ac:dyDescent="0.25">
      <c r="A472" s="2" t="str">
        <f>HYPERLINK("https://rth.dk/resources/bsgatlas/details.php?id=BSGatlas-internal_UTR-471","BSGatlas-internal_UTR-471")</f>
        <v>BSGatlas-internal_UTR-471</v>
      </c>
      <c r="B472" s="3">
        <v>1736435</v>
      </c>
      <c r="C472" s="3">
        <v>1736450</v>
      </c>
      <c r="D472" s="1" t="s">
        <v>9</v>
      </c>
      <c r="E472" s="1" t="s">
        <v>4382</v>
      </c>
    </row>
    <row r="473" spans="1:5" ht="21" x14ac:dyDescent="0.25">
      <c r="A473" s="2" t="str">
        <f>HYPERLINK("https://rth.dk/resources/bsgatlas/details.php?id=BSGatlas-internal_UTR-472","BSGatlas-internal_UTR-472")</f>
        <v>BSGatlas-internal_UTR-472</v>
      </c>
      <c r="B473" s="3">
        <v>1738785</v>
      </c>
      <c r="C473" s="3">
        <v>1738940</v>
      </c>
      <c r="D473" s="1" t="s">
        <v>9</v>
      </c>
      <c r="E473" s="1" t="s">
        <v>4377</v>
      </c>
    </row>
    <row r="474" spans="1:5" ht="21" x14ac:dyDescent="0.25">
      <c r="A474" s="2" t="str">
        <f>HYPERLINK("https://rth.dk/resources/bsgatlas/details.php?id=BSGatlas-internal_UTR-473","BSGatlas-internal_UTR-473")</f>
        <v>BSGatlas-internal_UTR-473</v>
      </c>
      <c r="B474" s="3">
        <v>1745866</v>
      </c>
      <c r="C474" s="3">
        <v>1745990</v>
      </c>
      <c r="D474" s="1" t="s">
        <v>9</v>
      </c>
      <c r="E474" s="1" t="s">
        <v>4386</v>
      </c>
    </row>
    <row r="475" spans="1:5" ht="21" x14ac:dyDescent="0.25">
      <c r="A475" s="2" t="str">
        <f>HYPERLINK("https://rth.dk/resources/bsgatlas/details.php?id=BSGatlas-internal_UTR-474","BSGatlas-internal_UTR-474")</f>
        <v>BSGatlas-internal_UTR-474</v>
      </c>
      <c r="B475" s="3">
        <v>1747032</v>
      </c>
      <c r="C475" s="3">
        <v>1747122</v>
      </c>
      <c r="D475" s="1" t="s">
        <v>9</v>
      </c>
      <c r="E475" s="1" t="s">
        <v>14712</v>
      </c>
    </row>
    <row r="476" spans="1:5" ht="21" x14ac:dyDescent="0.25">
      <c r="A476" s="2" t="str">
        <f>HYPERLINK("https://rth.dk/resources/bsgatlas/details.php?id=BSGatlas-internal_UTR-475","BSGatlas-internal_UTR-475")</f>
        <v>BSGatlas-internal_UTR-475</v>
      </c>
      <c r="B476" s="3">
        <v>1748338</v>
      </c>
      <c r="C476" s="3">
        <v>1748367</v>
      </c>
      <c r="D476" s="1" t="s">
        <v>9</v>
      </c>
      <c r="E476" s="1" t="s">
        <v>14712</v>
      </c>
    </row>
    <row r="477" spans="1:5" ht="21" x14ac:dyDescent="0.25">
      <c r="A477" s="2" t="str">
        <f>HYPERLINK("https://rth.dk/resources/bsgatlas/details.php?id=BSGatlas-internal_UTR-476","BSGatlas-internal_UTR-476")</f>
        <v>BSGatlas-internal_UTR-476</v>
      </c>
      <c r="B477" s="3">
        <v>1754642</v>
      </c>
      <c r="C477" s="3">
        <v>1754784</v>
      </c>
      <c r="D477" s="1" t="s">
        <v>9</v>
      </c>
      <c r="E477" s="1" t="s">
        <v>4386</v>
      </c>
    </row>
    <row r="478" spans="1:5" ht="21" x14ac:dyDescent="0.25">
      <c r="A478" s="2" t="str">
        <f>HYPERLINK("https://rth.dk/resources/bsgatlas/details.php?id=BSGatlas-internal_UTR-477","BSGatlas-internal_UTR-477")</f>
        <v>BSGatlas-internal_UTR-477</v>
      </c>
      <c r="B478" s="3">
        <v>1756858</v>
      </c>
      <c r="C478" s="3">
        <v>1757036</v>
      </c>
      <c r="D478" s="1" t="s">
        <v>9</v>
      </c>
      <c r="E478" s="1" t="s">
        <v>4386</v>
      </c>
    </row>
    <row r="479" spans="1:5" ht="21" x14ac:dyDescent="0.25">
      <c r="A479" s="2" t="str">
        <f>HYPERLINK("https://rth.dk/resources/bsgatlas/details.php?id=BSGatlas-internal_UTR-478","BSGatlas-internal_UTR-478")</f>
        <v>BSGatlas-internal_UTR-478</v>
      </c>
      <c r="B479" s="3">
        <v>1761641</v>
      </c>
      <c r="C479" s="3">
        <v>1761706</v>
      </c>
      <c r="D479" s="1" t="s">
        <v>9</v>
      </c>
      <c r="E479" s="1" t="s">
        <v>4373</v>
      </c>
    </row>
    <row r="480" spans="1:5" ht="21" x14ac:dyDescent="0.25">
      <c r="A480" s="2" t="str">
        <f>HYPERLINK("https://rth.dk/resources/bsgatlas/details.php?id=BSGatlas-internal_UTR-479","BSGatlas-internal_UTR-479")</f>
        <v>BSGatlas-internal_UTR-479</v>
      </c>
      <c r="B480" s="3">
        <v>1762574</v>
      </c>
      <c r="C480" s="3">
        <v>1762622</v>
      </c>
      <c r="D480" s="1" t="s">
        <v>9</v>
      </c>
      <c r="E480" s="1" t="s">
        <v>4373</v>
      </c>
    </row>
    <row r="481" spans="1:5" ht="21" x14ac:dyDescent="0.25">
      <c r="A481" s="2" t="str">
        <f>HYPERLINK("https://rth.dk/resources/bsgatlas/details.php?id=BSGatlas-internal_UTR-480","BSGatlas-internal_UTR-480")</f>
        <v>BSGatlas-internal_UTR-480</v>
      </c>
      <c r="B481" s="3">
        <v>1768873</v>
      </c>
      <c r="C481" s="3">
        <v>1768940</v>
      </c>
      <c r="D481" s="1" t="s">
        <v>9</v>
      </c>
      <c r="E481" s="1" t="s">
        <v>4377</v>
      </c>
    </row>
    <row r="482" spans="1:5" ht="21" x14ac:dyDescent="0.25">
      <c r="A482" s="2" t="str">
        <f>HYPERLINK("https://rth.dk/resources/bsgatlas/details.php?id=BSGatlas-internal_UTR-481","BSGatlas-internal_UTR-481")</f>
        <v>BSGatlas-internal_UTR-481</v>
      </c>
      <c r="B482" s="3">
        <v>1783391</v>
      </c>
      <c r="C482" s="3">
        <v>1783499</v>
      </c>
      <c r="D482" s="1" t="s">
        <v>9</v>
      </c>
      <c r="E482" s="1" t="s">
        <v>4377</v>
      </c>
    </row>
    <row r="483" spans="1:5" ht="21" x14ac:dyDescent="0.25">
      <c r="A483" s="2" t="str">
        <f>HYPERLINK("https://rth.dk/resources/bsgatlas/details.php?id=BSGatlas-internal_UTR-482","BSGatlas-internal_UTR-482")</f>
        <v>BSGatlas-internal_UTR-482</v>
      </c>
      <c r="B483" s="3">
        <v>1784630</v>
      </c>
      <c r="C483" s="3">
        <v>1785132</v>
      </c>
      <c r="D483" s="1" t="s">
        <v>9</v>
      </c>
      <c r="E483" s="1" t="s">
        <v>14710</v>
      </c>
    </row>
    <row r="484" spans="1:5" ht="21" x14ac:dyDescent="0.25">
      <c r="A484" s="2" t="str">
        <f>HYPERLINK("https://rth.dk/resources/bsgatlas/details.php?id=BSGatlas-internal_UTR-483","BSGatlas-internal_UTR-483")</f>
        <v>BSGatlas-internal_UTR-483</v>
      </c>
      <c r="B484" s="3">
        <v>1788408</v>
      </c>
      <c r="C484" s="3">
        <v>1788468</v>
      </c>
      <c r="D484" s="1" t="s">
        <v>9</v>
      </c>
      <c r="E484" s="1" t="s">
        <v>14710</v>
      </c>
    </row>
    <row r="485" spans="1:5" ht="21" x14ac:dyDescent="0.25">
      <c r="A485" s="2" t="str">
        <f>HYPERLINK("https://rth.dk/resources/bsgatlas/details.php?id=BSGatlas-internal_UTR-484","BSGatlas-internal_UTR-484")</f>
        <v>BSGatlas-internal_UTR-484</v>
      </c>
      <c r="B485" s="3">
        <v>1791973</v>
      </c>
      <c r="C485" s="3">
        <v>1792011</v>
      </c>
      <c r="D485" s="1" t="s">
        <v>9</v>
      </c>
      <c r="E485" s="1" t="s">
        <v>14710</v>
      </c>
    </row>
    <row r="486" spans="1:5" ht="21" x14ac:dyDescent="0.25">
      <c r="A486" s="2" t="str">
        <f>HYPERLINK("https://rth.dk/resources/bsgatlas/details.php?id=BSGatlas-internal_UTR-485","BSGatlas-internal_UTR-485")</f>
        <v>BSGatlas-internal_UTR-485</v>
      </c>
      <c r="B486" s="3">
        <v>1792762</v>
      </c>
      <c r="C486" s="3">
        <v>1792805</v>
      </c>
      <c r="D486" s="1" t="s">
        <v>9</v>
      </c>
      <c r="E486" s="1" t="s">
        <v>14710</v>
      </c>
    </row>
    <row r="487" spans="1:5" ht="21" x14ac:dyDescent="0.25">
      <c r="A487" s="2" t="str">
        <f>HYPERLINK("https://rth.dk/resources/bsgatlas/details.php?id=BSGatlas-internal_UTR-486","BSGatlas-internal_UTR-486")</f>
        <v>BSGatlas-internal_UTR-486</v>
      </c>
      <c r="B487" s="3">
        <v>1834342</v>
      </c>
      <c r="C487" s="3">
        <v>1834408</v>
      </c>
      <c r="D487" s="1" t="s">
        <v>9</v>
      </c>
      <c r="E487" s="1" t="s">
        <v>14710</v>
      </c>
    </row>
    <row r="488" spans="1:5" ht="21" x14ac:dyDescent="0.25">
      <c r="A488" s="2" t="str">
        <f>HYPERLINK("https://rth.dk/resources/bsgatlas/details.php?id=BSGatlas-internal_UTR-487","BSGatlas-internal_UTR-487")</f>
        <v>BSGatlas-internal_UTR-487</v>
      </c>
      <c r="B488" s="3">
        <v>1860371</v>
      </c>
      <c r="C488" s="3">
        <v>1860448</v>
      </c>
      <c r="D488" s="1" t="s">
        <v>13</v>
      </c>
      <c r="E488" s="1" t="s">
        <v>4386</v>
      </c>
    </row>
    <row r="489" spans="1:5" ht="21" x14ac:dyDescent="0.25">
      <c r="A489" s="2" t="str">
        <f>HYPERLINK("https://rth.dk/resources/bsgatlas/details.php?id=BSGatlas-internal_UTR-488","BSGatlas-internal_UTR-488")</f>
        <v>BSGatlas-internal_UTR-488</v>
      </c>
      <c r="B489" s="3">
        <v>1864156</v>
      </c>
      <c r="C489" s="3">
        <v>1864224</v>
      </c>
      <c r="D489" s="1" t="s">
        <v>9</v>
      </c>
      <c r="E489" s="1" t="s">
        <v>4397</v>
      </c>
    </row>
    <row r="490" spans="1:5" ht="21" x14ac:dyDescent="0.25">
      <c r="A490" s="2" t="str">
        <f>HYPERLINK("https://rth.dk/resources/bsgatlas/details.php?id=BSGatlas-internal_UTR-489","BSGatlas-internal_UTR-489")</f>
        <v>BSGatlas-internal_UTR-489</v>
      </c>
      <c r="B490" s="3">
        <v>1866290</v>
      </c>
      <c r="C490" s="3">
        <v>1866388</v>
      </c>
      <c r="D490" s="1" t="s">
        <v>9</v>
      </c>
      <c r="E490" s="1" t="s">
        <v>4386</v>
      </c>
    </row>
    <row r="491" spans="1:5" ht="21" x14ac:dyDescent="0.25">
      <c r="A491" s="2" t="str">
        <f>HYPERLINK("https://rth.dk/resources/bsgatlas/details.php?id=BSGatlas-internal_UTR-490","BSGatlas-internal_UTR-490")</f>
        <v>BSGatlas-internal_UTR-490</v>
      </c>
      <c r="B491" s="3">
        <v>1867334</v>
      </c>
      <c r="C491" s="3">
        <v>1867372</v>
      </c>
      <c r="D491" s="1" t="s">
        <v>9</v>
      </c>
      <c r="E491" s="1" t="s">
        <v>14708</v>
      </c>
    </row>
    <row r="492" spans="1:5" ht="21" x14ac:dyDescent="0.25">
      <c r="A492" s="2" t="str">
        <f>HYPERLINK("https://rth.dk/resources/bsgatlas/details.php?id=BSGatlas-internal_UTR-491","BSGatlas-internal_UTR-491")</f>
        <v>BSGatlas-internal_UTR-491</v>
      </c>
      <c r="B492" s="3">
        <v>1868375</v>
      </c>
      <c r="C492" s="3">
        <v>1868403</v>
      </c>
      <c r="D492" s="1" t="s">
        <v>9</v>
      </c>
      <c r="E492" s="1" t="s">
        <v>4377</v>
      </c>
    </row>
    <row r="493" spans="1:5" ht="21" x14ac:dyDescent="0.25">
      <c r="A493" s="2" t="str">
        <f>HYPERLINK("https://rth.dk/resources/bsgatlas/details.php?id=BSGatlas-internal_UTR-492","BSGatlas-internal_UTR-492")</f>
        <v>BSGatlas-internal_UTR-492</v>
      </c>
      <c r="B493" s="3">
        <v>1868462</v>
      </c>
      <c r="C493" s="3">
        <v>1868616</v>
      </c>
      <c r="D493" s="1" t="s">
        <v>9</v>
      </c>
      <c r="E493" s="1" t="s">
        <v>4377</v>
      </c>
    </row>
    <row r="494" spans="1:5" ht="21" x14ac:dyDescent="0.25">
      <c r="A494" s="2" t="str">
        <f>HYPERLINK("https://rth.dk/resources/bsgatlas/details.php?id=BSGatlas-internal_UTR-493","BSGatlas-internal_UTR-493")</f>
        <v>BSGatlas-internal_UTR-493</v>
      </c>
      <c r="B494" s="3">
        <v>1871072</v>
      </c>
      <c r="C494" s="3">
        <v>1871088</v>
      </c>
      <c r="D494" s="1" t="s">
        <v>9</v>
      </c>
      <c r="E494" s="1" t="s">
        <v>14715</v>
      </c>
    </row>
    <row r="495" spans="1:5" ht="21" x14ac:dyDescent="0.25">
      <c r="A495" s="2" t="str">
        <f>HYPERLINK("https://rth.dk/resources/bsgatlas/details.php?id=BSGatlas-internal_UTR-494","BSGatlas-internal_UTR-494")</f>
        <v>BSGatlas-internal_UTR-494</v>
      </c>
      <c r="B495" s="3">
        <v>1872079</v>
      </c>
      <c r="C495" s="3">
        <v>1872127</v>
      </c>
      <c r="D495" s="1" t="s">
        <v>9</v>
      </c>
      <c r="E495" s="1" t="s">
        <v>14715</v>
      </c>
    </row>
    <row r="496" spans="1:5" ht="21" x14ac:dyDescent="0.25">
      <c r="A496" s="2" t="str">
        <f>HYPERLINK("https://rth.dk/resources/bsgatlas/details.php?id=BSGatlas-internal_UTR-495","BSGatlas-internal_UTR-495")</f>
        <v>BSGatlas-internal_UTR-495</v>
      </c>
      <c r="B496" s="3">
        <v>1876567</v>
      </c>
      <c r="C496" s="3">
        <v>1876583</v>
      </c>
      <c r="D496" s="1" t="s">
        <v>9</v>
      </c>
      <c r="E496" s="1" t="s">
        <v>4386</v>
      </c>
    </row>
    <row r="497" spans="1:5" ht="21" x14ac:dyDescent="0.25">
      <c r="A497" s="2" t="str">
        <f>HYPERLINK("https://rth.dk/resources/bsgatlas/details.php?id=BSGatlas-internal_UTR-496","BSGatlas-internal_UTR-496")</f>
        <v>BSGatlas-internal_UTR-496</v>
      </c>
      <c r="B497" s="3">
        <v>1877850</v>
      </c>
      <c r="C497" s="3">
        <v>1877958</v>
      </c>
      <c r="D497" s="1" t="s">
        <v>9</v>
      </c>
      <c r="E497" s="1" t="s">
        <v>4386</v>
      </c>
    </row>
    <row r="498" spans="1:5" ht="21" x14ac:dyDescent="0.25">
      <c r="A498" s="2" t="str">
        <f>HYPERLINK("https://rth.dk/resources/bsgatlas/details.php?id=BSGatlas-internal_UTR-497","BSGatlas-internal_UTR-497")</f>
        <v>BSGatlas-internal_UTR-497</v>
      </c>
      <c r="B498" s="3">
        <v>1878367</v>
      </c>
      <c r="C498" s="3">
        <v>1878424</v>
      </c>
      <c r="D498" s="1" t="s">
        <v>9</v>
      </c>
      <c r="E498" s="1" t="s">
        <v>4386</v>
      </c>
    </row>
    <row r="499" spans="1:5" ht="21" x14ac:dyDescent="0.25">
      <c r="A499" s="2" t="str">
        <f>HYPERLINK("https://rth.dk/resources/bsgatlas/details.php?id=BSGatlas-internal_UTR-498","BSGatlas-internal_UTR-498")</f>
        <v>BSGatlas-internal_UTR-498</v>
      </c>
      <c r="B499" s="3">
        <v>1881971</v>
      </c>
      <c r="C499" s="3">
        <v>1882039</v>
      </c>
      <c r="D499" s="1" t="s">
        <v>9</v>
      </c>
      <c r="E499" s="1" t="s">
        <v>4373</v>
      </c>
    </row>
    <row r="500" spans="1:5" ht="21" x14ac:dyDescent="0.25">
      <c r="A500" s="2" t="str">
        <f>HYPERLINK("https://rth.dk/resources/bsgatlas/details.php?id=BSGatlas-internal_UTR-499","BSGatlas-internal_UTR-499")</f>
        <v>BSGatlas-internal_UTR-499</v>
      </c>
      <c r="B500" s="3">
        <v>1888744</v>
      </c>
      <c r="C500" s="3">
        <v>1888773</v>
      </c>
      <c r="D500" s="1" t="s">
        <v>9</v>
      </c>
      <c r="E500" s="1" t="s">
        <v>4373</v>
      </c>
    </row>
    <row r="501" spans="1:5" ht="21" x14ac:dyDescent="0.25">
      <c r="A501" s="2" t="str">
        <f>HYPERLINK("https://rth.dk/resources/bsgatlas/details.php?id=BSGatlas-internal_UTR-500","BSGatlas-internal_UTR-500")</f>
        <v>BSGatlas-internal_UTR-500</v>
      </c>
      <c r="B501" s="3">
        <v>1893246</v>
      </c>
      <c r="C501" s="3">
        <v>1893395</v>
      </c>
      <c r="D501" s="1" t="s">
        <v>9</v>
      </c>
      <c r="E501" s="1" t="s">
        <v>4386</v>
      </c>
    </row>
    <row r="502" spans="1:5" ht="21" x14ac:dyDescent="0.25">
      <c r="A502" s="2" t="str">
        <f>HYPERLINK("https://rth.dk/resources/bsgatlas/details.php?id=BSGatlas-internal_UTR-501","BSGatlas-internal_UTR-501")</f>
        <v>BSGatlas-internal_UTR-501</v>
      </c>
      <c r="B502" s="3">
        <v>1906208</v>
      </c>
      <c r="C502" s="3">
        <v>1907012</v>
      </c>
      <c r="D502" s="1" t="s">
        <v>9</v>
      </c>
      <c r="E502" s="1" t="s">
        <v>4386</v>
      </c>
    </row>
    <row r="503" spans="1:5" ht="21" x14ac:dyDescent="0.25">
      <c r="A503" s="2" t="str">
        <f>HYPERLINK("https://rth.dk/resources/bsgatlas/details.php?id=BSGatlas-internal_UTR-502","BSGatlas-internal_UTR-502")</f>
        <v>BSGatlas-internal_UTR-502</v>
      </c>
      <c r="B503" s="3">
        <v>1909057</v>
      </c>
      <c r="C503" s="3">
        <v>1909085</v>
      </c>
      <c r="D503" s="1" t="s">
        <v>9</v>
      </c>
      <c r="E503" s="1" t="s">
        <v>4386</v>
      </c>
    </row>
    <row r="504" spans="1:5" ht="21" x14ac:dyDescent="0.25">
      <c r="A504" s="2" t="str">
        <f>HYPERLINK("https://rth.dk/resources/bsgatlas/details.php?id=BSGatlas-internal_UTR-503","BSGatlas-internal_UTR-503")</f>
        <v>BSGatlas-internal_UTR-503</v>
      </c>
      <c r="B504" s="3">
        <v>1914594</v>
      </c>
      <c r="C504" s="3">
        <v>1914629</v>
      </c>
      <c r="D504" s="1" t="s">
        <v>9</v>
      </c>
      <c r="E504" s="1" t="s">
        <v>4386</v>
      </c>
    </row>
    <row r="505" spans="1:5" ht="21" x14ac:dyDescent="0.25">
      <c r="A505" s="2" t="str">
        <f>HYPERLINK("https://rth.dk/resources/bsgatlas/details.php?id=BSGatlas-internal_UTR-504","BSGatlas-internal_UTR-504")</f>
        <v>BSGatlas-internal_UTR-504</v>
      </c>
      <c r="B505" s="3">
        <v>1918724</v>
      </c>
      <c r="C505" s="3">
        <v>1918741</v>
      </c>
      <c r="D505" s="1" t="s">
        <v>9</v>
      </c>
      <c r="E505" s="1" t="s">
        <v>4373</v>
      </c>
    </row>
    <row r="506" spans="1:5" ht="21" x14ac:dyDescent="0.25">
      <c r="A506" s="2" t="str">
        <f>HYPERLINK("https://rth.dk/resources/bsgatlas/details.php?id=BSGatlas-internal_UTR-505","BSGatlas-internal_UTR-505")</f>
        <v>BSGatlas-internal_UTR-505</v>
      </c>
      <c r="B506" s="3">
        <v>1919396</v>
      </c>
      <c r="C506" s="3">
        <v>1919458</v>
      </c>
      <c r="D506" s="1" t="s">
        <v>9</v>
      </c>
      <c r="E506" s="1" t="s">
        <v>4373</v>
      </c>
    </row>
    <row r="507" spans="1:5" ht="21" x14ac:dyDescent="0.25">
      <c r="A507" s="2" t="str">
        <f>HYPERLINK("https://rth.dk/resources/bsgatlas/details.php?id=BSGatlas-internal_UTR-506","BSGatlas-internal_UTR-506")</f>
        <v>BSGatlas-internal_UTR-506</v>
      </c>
      <c r="B507" s="3">
        <v>1922464</v>
      </c>
      <c r="C507" s="3">
        <v>1922548</v>
      </c>
      <c r="D507" s="1" t="s">
        <v>9</v>
      </c>
      <c r="E507" s="1" t="s">
        <v>4373</v>
      </c>
    </row>
    <row r="508" spans="1:5" ht="21" x14ac:dyDescent="0.25">
      <c r="A508" s="2" t="str">
        <f>HYPERLINK("https://rth.dk/resources/bsgatlas/details.php?id=BSGatlas-internal_UTR-507","BSGatlas-internal_UTR-507")</f>
        <v>BSGatlas-internal_UTR-507</v>
      </c>
      <c r="B508" s="3">
        <v>1923942</v>
      </c>
      <c r="C508" s="3">
        <v>1924029</v>
      </c>
      <c r="D508" s="1" t="s">
        <v>9</v>
      </c>
      <c r="E508" s="1" t="s">
        <v>4373</v>
      </c>
    </row>
    <row r="509" spans="1:5" ht="21" x14ac:dyDescent="0.25">
      <c r="A509" s="2" t="str">
        <f>HYPERLINK("https://rth.dk/resources/bsgatlas/details.php?id=BSGatlas-internal_UTR-508","BSGatlas-internal_UTR-508")</f>
        <v>BSGatlas-internal_UTR-508</v>
      </c>
      <c r="B509" s="3">
        <v>1924393</v>
      </c>
      <c r="C509" s="3">
        <v>1924470</v>
      </c>
      <c r="D509" s="1" t="s">
        <v>9</v>
      </c>
      <c r="E509" s="1" t="s">
        <v>4373</v>
      </c>
    </row>
    <row r="510" spans="1:5" ht="21" x14ac:dyDescent="0.25">
      <c r="A510" s="2" t="str">
        <f>HYPERLINK("https://rth.dk/resources/bsgatlas/details.php?id=BSGatlas-internal_UTR-509","BSGatlas-internal_UTR-509")</f>
        <v>BSGatlas-internal_UTR-509</v>
      </c>
      <c r="B510" s="3">
        <v>1926275</v>
      </c>
      <c r="C510" s="3">
        <v>1926305</v>
      </c>
      <c r="D510" s="1" t="s">
        <v>13</v>
      </c>
      <c r="E510" s="1" t="s">
        <v>4373</v>
      </c>
    </row>
    <row r="511" spans="1:5" ht="21" x14ac:dyDescent="0.25">
      <c r="A511" s="2" t="str">
        <f>HYPERLINK("https://rth.dk/resources/bsgatlas/details.php?id=BSGatlas-internal_UTR-510","BSGatlas-internal_UTR-510")</f>
        <v>BSGatlas-internal_UTR-510</v>
      </c>
      <c r="B511" s="3">
        <v>1929410</v>
      </c>
      <c r="C511" s="3">
        <v>1929480</v>
      </c>
      <c r="D511" s="1" t="s">
        <v>9</v>
      </c>
      <c r="E511" s="1" t="s">
        <v>4397</v>
      </c>
    </row>
    <row r="512" spans="1:5" ht="21" x14ac:dyDescent="0.25">
      <c r="A512" s="2" t="str">
        <f>HYPERLINK("https://rth.dk/resources/bsgatlas/details.php?id=BSGatlas-internal_UTR-511","BSGatlas-internal_UTR-511")</f>
        <v>BSGatlas-internal_UTR-511</v>
      </c>
      <c r="B512" s="3">
        <v>1930411</v>
      </c>
      <c r="C512" s="3">
        <v>1930446</v>
      </c>
      <c r="D512" s="1" t="s">
        <v>9</v>
      </c>
      <c r="E512" s="1" t="s">
        <v>4397</v>
      </c>
    </row>
    <row r="513" spans="1:5" ht="21" x14ac:dyDescent="0.25">
      <c r="A513" s="2" t="str">
        <f>HYPERLINK("https://rth.dk/resources/bsgatlas/details.php?id=BSGatlas-internal_UTR-512","BSGatlas-internal_UTR-512")</f>
        <v>BSGatlas-internal_UTR-512</v>
      </c>
      <c r="B513" s="3">
        <v>1931833</v>
      </c>
      <c r="C513" s="3">
        <v>1931919</v>
      </c>
      <c r="D513" s="1" t="s">
        <v>13</v>
      </c>
      <c r="E513" s="1" t="s">
        <v>4373</v>
      </c>
    </row>
    <row r="514" spans="1:5" ht="21" x14ac:dyDescent="0.25">
      <c r="A514" s="2" t="str">
        <f>HYPERLINK("https://rth.dk/resources/bsgatlas/details.php?id=BSGatlas-internal_UTR-513","BSGatlas-internal_UTR-513")</f>
        <v>BSGatlas-internal_UTR-513</v>
      </c>
      <c r="B514" s="3">
        <v>1943983</v>
      </c>
      <c r="C514" s="3">
        <v>1944112</v>
      </c>
      <c r="D514" s="1" t="s">
        <v>13</v>
      </c>
      <c r="E514" s="1" t="s">
        <v>4397</v>
      </c>
    </row>
    <row r="515" spans="1:5" ht="21" x14ac:dyDescent="0.25">
      <c r="A515" s="2" t="str">
        <f>HYPERLINK("https://rth.dk/resources/bsgatlas/details.php?id=BSGatlas-internal_UTR-514","BSGatlas-internal_UTR-514")</f>
        <v>BSGatlas-internal_UTR-514</v>
      </c>
      <c r="B515" s="3">
        <v>1947596</v>
      </c>
      <c r="C515" s="3">
        <v>1947667</v>
      </c>
      <c r="D515" s="1" t="s">
        <v>9</v>
      </c>
      <c r="E515" s="1" t="s">
        <v>4386</v>
      </c>
    </row>
    <row r="516" spans="1:5" ht="21" x14ac:dyDescent="0.25">
      <c r="A516" s="2" t="str">
        <f>HYPERLINK("https://rth.dk/resources/bsgatlas/details.php?id=BSGatlas-internal_UTR-515","BSGatlas-internal_UTR-515")</f>
        <v>BSGatlas-internal_UTR-515</v>
      </c>
      <c r="B516" s="3">
        <v>1952011</v>
      </c>
      <c r="C516" s="3">
        <v>1952030</v>
      </c>
      <c r="D516" s="1" t="s">
        <v>13</v>
      </c>
      <c r="E516" s="1" t="s">
        <v>4377</v>
      </c>
    </row>
    <row r="517" spans="1:5" ht="21" x14ac:dyDescent="0.25">
      <c r="A517" s="2" t="str">
        <f>HYPERLINK("https://rth.dk/resources/bsgatlas/details.php?id=BSGatlas-internal_UTR-516","BSGatlas-internal_UTR-516")</f>
        <v>BSGatlas-internal_UTR-516</v>
      </c>
      <c r="B517" s="3">
        <v>1956175</v>
      </c>
      <c r="C517" s="3">
        <v>1956217</v>
      </c>
      <c r="D517" s="1" t="s">
        <v>13</v>
      </c>
      <c r="E517" s="1" t="s">
        <v>4377</v>
      </c>
    </row>
    <row r="518" spans="1:5" ht="21" x14ac:dyDescent="0.25">
      <c r="A518" s="2" t="str">
        <f>HYPERLINK("https://rth.dk/resources/bsgatlas/details.php?id=BSGatlas-internal_UTR-517","BSGatlas-internal_UTR-517")</f>
        <v>BSGatlas-internal_UTR-517</v>
      </c>
      <c r="B518" s="3">
        <v>1974857</v>
      </c>
      <c r="C518" s="3">
        <v>1974880</v>
      </c>
      <c r="D518" s="1" t="s">
        <v>13</v>
      </c>
      <c r="E518" s="1" t="s">
        <v>4397</v>
      </c>
    </row>
    <row r="519" spans="1:5" ht="21" x14ac:dyDescent="0.25">
      <c r="A519" s="2" t="str">
        <f>HYPERLINK("https://rth.dk/resources/bsgatlas/details.php?id=BSGatlas-internal_UTR-518","BSGatlas-internal_UTR-518")</f>
        <v>BSGatlas-internal_UTR-518</v>
      </c>
      <c r="B519" s="3">
        <v>1982549</v>
      </c>
      <c r="C519" s="3">
        <v>1982564</v>
      </c>
      <c r="D519" s="1" t="s">
        <v>13</v>
      </c>
      <c r="E519" s="1" t="s">
        <v>4397</v>
      </c>
    </row>
    <row r="520" spans="1:5" ht="21" x14ac:dyDescent="0.25">
      <c r="A520" s="2" t="str">
        <f>HYPERLINK("https://rth.dk/resources/bsgatlas/details.php?id=BSGatlas-internal_UTR-519","BSGatlas-internal_UTR-519")</f>
        <v>BSGatlas-internal_UTR-519</v>
      </c>
      <c r="B520" s="3">
        <v>1990248</v>
      </c>
      <c r="C520" s="3">
        <v>1990271</v>
      </c>
      <c r="D520" s="1" t="s">
        <v>13</v>
      </c>
      <c r="E520" s="1" t="s">
        <v>4397</v>
      </c>
    </row>
    <row r="521" spans="1:5" ht="21" x14ac:dyDescent="0.25">
      <c r="A521" s="2" t="str">
        <f>HYPERLINK("https://rth.dk/resources/bsgatlas/details.php?id=BSGatlas-internal_UTR-520","BSGatlas-internal_UTR-520")</f>
        <v>BSGatlas-internal_UTR-520</v>
      </c>
      <c r="B521" s="3">
        <v>1999816</v>
      </c>
      <c r="C521" s="3">
        <v>1999848</v>
      </c>
      <c r="D521" s="1" t="s">
        <v>13</v>
      </c>
      <c r="E521" s="1" t="s">
        <v>4377</v>
      </c>
    </row>
    <row r="522" spans="1:5" ht="21" x14ac:dyDescent="0.25">
      <c r="A522" s="2" t="str">
        <f>HYPERLINK("https://rth.dk/resources/bsgatlas/details.php?id=BSGatlas-internal_UTR-521","BSGatlas-internal_UTR-521")</f>
        <v>BSGatlas-internal_UTR-521</v>
      </c>
      <c r="B522" s="3">
        <v>2010054</v>
      </c>
      <c r="C522" s="3">
        <v>2010069</v>
      </c>
      <c r="D522" s="1" t="s">
        <v>13</v>
      </c>
      <c r="E522" s="1" t="s">
        <v>4386</v>
      </c>
    </row>
    <row r="523" spans="1:5" ht="21" x14ac:dyDescent="0.25">
      <c r="A523" s="2" t="str">
        <f>HYPERLINK("https://rth.dk/resources/bsgatlas/details.php?id=BSGatlas-internal_UTR-522","BSGatlas-internal_UTR-522")</f>
        <v>BSGatlas-internal_UTR-522</v>
      </c>
      <c r="B523" s="3">
        <v>2019727</v>
      </c>
      <c r="C523" s="3">
        <v>2019796</v>
      </c>
      <c r="D523" s="1" t="s">
        <v>9</v>
      </c>
      <c r="E523" s="1" t="s">
        <v>4373</v>
      </c>
    </row>
    <row r="524" spans="1:5" ht="21" x14ac:dyDescent="0.25">
      <c r="A524" s="2" t="str">
        <f>HYPERLINK("https://rth.dk/resources/bsgatlas/details.php?id=BSGatlas-internal_UTR-523","BSGatlas-internal_UTR-523")</f>
        <v>BSGatlas-internal_UTR-523</v>
      </c>
      <c r="B524" s="3">
        <v>2020568</v>
      </c>
      <c r="C524" s="3">
        <v>2020610</v>
      </c>
      <c r="D524" s="1" t="s">
        <v>9</v>
      </c>
      <c r="E524" s="1" t="s">
        <v>4373</v>
      </c>
    </row>
    <row r="525" spans="1:5" ht="21" x14ac:dyDescent="0.25">
      <c r="A525" s="2" t="str">
        <f>HYPERLINK("https://rth.dk/resources/bsgatlas/details.php?id=BSGatlas-internal_UTR-524","BSGatlas-internal_UTR-524")</f>
        <v>BSGatlas-internal_UTR-524</v>
      </c>
      <c r="B525" s="3">
        <v>2022468</v>
      </c>
      <c r="C525" s="3">
        <v>2022560</v>
      </c>
      <c r="D525" s="1" t="s">
        <v>13</v>
      </c>
      <c r="E525" s="1" t="s">
        <v>4377</v>
      </c>
    </row>
    <row r="526" spans="1:5" ht="21" x14ac:dyDescent="0.25">
      <c r="A526" s="2" t="str">
        <f>HYPERLINK("https://rth.dk/resources/bsgatlas/details.php?id=BSGatlas-internal_UTR-525","BSGatlas-internal_UTR-525")</f>
        <v>BSGatlas-internal_UTR-525</v>
      </c>
      <c r="B526" s="3">
        <v>2024025</v>
      </c>
      <c r="C526" s="3">
        <v>2024041</v>
      </c>
      <c r="D526" s="1" t="s">
        <v>13</v>
      </c>
      <c r="E526" s="1" t="s">
        <v>4377</v>
      </c>
    </row>
    <row r="527" spans="1:5" ht="21" x14ac:dyDescent="0.25">
      <c r="A527" s="2" t="str">
        <f>HYPERLINK("https://rth.dk/resources/bsgatlas/details.php?id=BSGatlas-internal_UTR-526","BSGatlas-internal_UTR-526")</f>
        <v>BSGatlas-internal_UTR-526</v>
      </c>
      <c r="B527" s="3">
        <v>2027443</v>
      </c>
      <c r="C527" s="3">
        <v>2027508</v>
      </c>
      <c r="D527" s="1" t="s">
        <v>9</v>
      </c>
      <c r="E527" s="1" t="s">
        <v>4397</v>
      </c>
    </row>
    <row r="528" spans="1:5" ht="21" x14ac:dyDescent="0.25">
      <c r="A528" s="2" t="str">
        <f>HYPERLINK("https://rth.dk/resources/bsgatlas/details.php?id=BSGatlas-internal_UTR-527","BSGatlas-internal_UTR-527")</f>
        <v>BSGatlas-internal_UTR-527</v>
      </c>
      <c r="B528" s="3">
        <v>2041228</v>
      </c>
      <c r="C528" s="3">
        <v>2041329</v>
      </c>
      <c r="D528" s="1" t="s">
        <v>13</v>
      </c>
      <c r="E528" s="1" t="s">
        <v>4373</v>
      </c>
    </row>
    <row r="529" spans="1:5" ht="21" x14ac:dyDescent="0.25">
      <c r="A529" s="2" t="str">
        <f>HYPERLINK("https://rth.dk/resources/bsgatlas/details.php?id=BSGatlas-internal_UTR-528","BSGatlas-internal_UTR-528")</f>
        <v>BSGatlas-internal_UTR-528</v>
      </c>
      <c r="B529" s="3">
        <v>2041828</v>
      </c>
      <c r="C529" s="3">
        <v>2041927</v>
      </c>
      <c r="D529" s="1" t="s">
        <v>13</v>
      </c>
      <c r="E529" s="1" t="s">
        <v>4373</v>
      </c>
    </row>
    <row r="530" spans="1:5" ht="21" x14ac:dyDescent="0.25">
      <c r="A530" s="2" t="str">
        <f>HYPERLINK("https://rth.dk/resources/bsgatlas/details.php?id=BSGatlas-internal_UTR-529","BSGatlas-internal_UTR-529")</f>
        <v>BSGatlas-internal_UTR-529</v>
      </c>
      <c r="B530" s="3">
        <v>2043933</v>
      </c>
      <c r="C530" s="3">
        <v>2044037</v>
      </c>
      <c r="D530" s="1" t="s">
        <v>9</v>
      </c>
      <c r="E530" s="1" t="s">
        <v>4377</v>
      </c>
    </row>
    <row r="531" spans="1:5" ht="21" x14ac:dyDescent="0.25">
      <c r="A531" s="2" t="str">
        <f>HYPERLINK("https://rth.dk/resources/bsgatlas/details.php?id=BSGatlas-internal_UTR-530","BSGatlas-internal_UTR-530")</f>
        <v>BSGatlas-internal_UTR-530</v>
      </c>
      <c r="B531" s="3">
        <v>2044833</v>
      </c>
      <c r="C531" s="3">
        <v>2045928</v>
      </c>
      <c r="D531" s="1" t="s">
        <v>9</v>
      </c>
      <c r="E531" s="1" t="s">
        <v>4377</v>
      </c>
    </row>
    <row r="532" spans="1:5" ht="21" x14ac:dyDescent="0.25">
      <c r="A532" s="2" t="str">
        <f>HYPERLINK("https://rth.dk/resources/bsgatlas/details.php?id=BSGatlas-internal_UTR-531","BSGatlas-internal_UTR-531")</f>
        <v>BSGatlas-internal_UTR-531</v>
      </c>
      <c r="B532" s="3">
        <v>2064164</v>
      </c>
      <c r="C532" s="3">
        <v>2064199</v>
      </c>
      <c r="D532" s="1" t="s">
        <v>13</v>
      </c>
      <c r="E532" s="1" t="s">
        <v>4386</v>
      </c>
    </row>
    <row r="533" spans="1:5" ht="21" x14ac:dyDescent="0.25">
      <c r="A533" s="2" t="str">
        <f>HYPERLINK("https://rth.dk/resources/bsgatlas/details.php?id=BSGatlas-internal_UTR-532","BSGatlas-internal_UTR-532")</f>
        <v>BSGatlas-internal_UTR-532</v>
      </c>
      <c r="B533" s="3">
        <v>2069030</v>
      </c>
      <c r="C533" s="3">
        <v>2069074</v>
      </c>
      <c r="D533" s="1" t="s">
        <v>13</v>
      </c>
      <c r="E533" s="1" t="s">
        <v>4386</v>
      </c>
    </row>
    <row r="534" spans="1:5" ht="21" x14ac:dyDescent="0.25">
      <c r="A534" s="2" t="str">
        <f>HYPERLINK("https://rth.dk/resources/bsgatlas/details.php?id=BSGatlas-internal_UTR-533","BSGatlas-internal_UTR-533")</f>
        <v>BSGatlas-internal_UTR-533</v>
      </c>
      <c r="B534" s="3">
        <v>2069169</v>
      </c>
      <c r="C534" s="3">
        <v>2069261</v>
      </c>
      <c r="D534" s="1" t="s">
        <v>13</v>
      </c>
      <c r="E534" s="1" t="s">
        <v>4386</v>
      </c>
    </row>
    <row r="535" spans="1:5" ht="21" x14ac:dyDescent="0.25">
      <c r="A535" s="2" t="str">
        <f>HYPERLINK("https://rth.dk/resources/bsgatlas/details.php?id=BSGatlas-internal_UTR-534","BSGatlas-internal_UTR-534")</f>
        <v>BSGatlas-internal_UTR-534</v>
      </c>
      <c r="B535" s="3">
        <v>2075780</v>
      </c>
      <c r="C535" s="3">
        <v>2076205</v>
      </c>
      <c r="D535" s="1" t="s">
        <v>9</v>
      </c>
      <c r="E535" s="1" t="s">
        <v>4373</v>
      </c>
    </row>
    <row r="536" spans="1:5" ht="21" x14ac:dyDescent="0.25">
      <c r="A536" s="2" t="str">
        <f>HYPERLINK("https://rth.dk/resources/bsgatlas/details.php?id=BSGatlas-internal_UTR-535","BSGatlas-internal_UTR-535")</f>
        <v>BSGatlas-internal_UTR-535</v>
      </c>
      <c r="B536" s="3">
        <v>2079547</v>
      </c>
      <c r="C536" s="3">
        <v>2079610</v>
      </c>
      <c r="D536" s="1" t="s">
        <v>13</v>
      </c>
      <c r="E536" s="1" t="s">
        <v>4373</v>
      </c>
    </row>
    <row r="537" spans="1:5" ht="21" x14ac:dyDescent="0.25">
      <c r="A537" s="2" t="str">
        <f>HYPERLINK("https://rth.dk/resources/bsgatlas/details.php?id=BSGatlas-internal_UTR-536","BSGatlas-internal_UTR-536")</f>
        <v>BSGatlas-internal_UTR-536</v>
      </c>
      <c r="B537" s="3">
        <v>2081095</v>
      </c>
      <c r="C537" s="3">
        <v>2081171</v>
      </c>
      <c r="D537" s="1" t="s">
        <v>13</v>
      </c>
      <c r="E537" s="1" t="s">
        <v>4373</v>
      </c>
    </row>
    <row r="538" spans="1:5" ht="21" x14ac:dyDescent="0.25">
      <c r="A538" s="2" t="str">
        <f>HYPERLINK("https://rth.dk/resources/bsgatlas/details.php?id=BSGatlas-internal_UTR-537","BSGatlas-internal_UTR-537")</f>
        <v>BSGatlas-internal_UTR-537</v>
      </c>
      <c r="B538" s="3">
        <v>2088194</v>
      </c>
      <c r="C538" s="3">
        <v>2088256</v>
      </c>
      <c r="D538" s="1" t="s">
        <v>9</v>
      </c>
      <c r="E538" s="1" t="s">
        <v>4386</v>
      </c>
    </row>
    <row r="539" spans="1:5" ht="21" x14ac:dyDescent="0.25">
      <c r="A539" s="2" t="str">
        <f>HYPERLINK("https://rth.dk/resources/bsgatlas/details.php?id=BSGatlas-internal_UTR-538","BSGatlas-internal_UTR-538")</f>
        <v>BSGatlas-internal_UTR-538</v>
      </c>
      <c r="B539" s="3">
        <v>2091687</v>
      </c>
      <c r="C539" s="3">
        <v>2091704</v>
      </c>
      <c r="D539" s="1" t="s">
        <v>9</v>
      </c>
      <c r="E539" s="1" t="s">
        <v>4382</v>
      </c>
    </row>
    <row r="540" spans="1:5" ht="21" x14ac:dyDescent="0.25">
      <c r="A540" s="2" t="str">
        <f>HYPERLINK("https://rth.dk/resources/bsgatlas/details.php?id=BSGatlas-internal_UTR-539","BSGatlas-internal_UTR-539")</f>
        <v>BSGatlas-internal_UTR-539</v>
      </c>
      <c r="B540" s="3">
        <v>2093763</v>
      </c>
      <c r="C540" s="3">
        <v>2094009</v>
      </c>
      <c r="D540" s="1" t="s">
        <v>13</v>
      </c>
      <c r="E540" s="1" t="s">
        <v>4386</v>
      </c>
    </row>
    <row r="541" spans="1:5" ht="21" x14ac:dyDescent="0.25">
      <c r="A541" s="2" t="str">
        <f>HYPERLINK("https://rth.dk/resources/bsgatlas/details.php?id=BSGatlas-internal_UTR-540","BSGatlas-internal_UTR-540")</f>
        <v>BSGatlas-internal_UTR-540</v>
      </c>
      <c r="B541" s="3">
        <v>2095786</v>
      </c>
      <c r="C541" s="3">
        <v>2095908</v>
      </c>
      <c r="D541" s="1" t="s">
        <v>13</v>
      </c>
      <c r="E541" s="1" t="s">
        <v>4386</v>
      </c>
    </row>
    <row r="542" spans="1:5" ht="21" x14ac:dyDescent="0.25">
      <c r="A542" s="2" t="str">
        <f>HYPERLINK("https://rth.dk/resources/bsgatlas/details.php?id=BSGatlas-internal_UTR-541","BSGatlas-internal_UTR-541")</f>
        <v>BSGatlas-internal_UTR-541</v>
      </c>
      <c r="B542" s="3">
        <v>2096114</v>
      </c>
      <c r="C542" s="3">
        <v>2096349</v>
      </c>
      <c r="D542" s="1" t="s">
        <v>13</v>
      </c>
      <c r="E542" s="1" t="s">
        <v>4386</v>
      </c>
    </row>
    <row r="543" spans="1:5" ht="21" x14ac:dyDescent="0.25">
      <c r="A543" s="2" t="str">
        <f>HYPERLINK("https://rth.dk/resources/bsgatlas/details.php?id=BSGatlas-internal_UTR-542","BSGatlas-internal_UTR-542")</f>
        <v>BSGatlas-internal_UTR-542</v>
      </c>
      <c r="B543" s="3">
        <v>2098330</v>
      </c>
      <c r="C543" s="3">
        <v>2098858</v>
      </c>
      <c r="D543" s="1" t="s">
        <v>9</v>
      </c>
      <c r="E543" s="1" t="s">
        <v>4377</v>
      </c>
    </row>
    <row r="544" spans="1:5" ht="21" x14ac:dyDescent="0.25">
      <c r="A544" s="2" t="str">
        <f>HYPERLINK("https://rth.dk/resources/bsgatlas/details.php?id=BSGatlas-internal_UTR-543","BSGatlas-internal_UTR-543")</f>
        <v>BSGatlas-internal_UTR-543</v>
      </c>
      <c r="B544" s="3">
        <v>2115333</v>
      </c>
      <c r="C544" s="3">
        <v>2115424</v>
      </c>
      <c r="D544" s="1" t="s">
        <v>13</v>
      </c>
      <c r="E544" s="1" t="s">
        <v>4386</v>
      </c>
    </row>
    <row r="545" spans="1:5" ht="21" x14ac:dyDescent="0.25">
      <c r="A545" s="2" t="str">
        <f>HYPERLINK("https://rth.dk/resources/bsgatlas/details.php?id=BSGatlas-internal_UTR-544","BSGatlas-internal_UTR-544")</f>
        <v>BSGatlas-internal_UTR-544</v>
      </c>
      <c r="B545" s="3">
        <v>2122307</v>
      </c>
      <c r="C545" s="3">
        <v>2122324</v>
      </c>
      <c r="D545" s="1" t="s">
        <v>13</v>
      </c>
      <c r="E545" s="1" t="s">
        <v>4386</v>
      </c>
    </row>
    <row r="546" spans="1:5" ht="21" x14ac:dyDescent="0.25">
      <c r="A546" s="2" t="str">
        <f>HYPERLINK("https://rth.dk/resources/bsgatlas/details.php?id=BSGatlas-internal_UTR-545","BSGatlas-internal_UTR-545")</f>
        <v>BSGatlas-internal_UTR-545</v>
      </c>
      <c r="B546" s="3">
        <v>2122951</v>
      </c>
      <c r="C546" s="3">
        <v>2123025</v>
      </c>
      <c r="D546" s="1" t="s">
        <v>13</v>
      </c>
      <c r="E546" s="1" t="s">
        <v>4386</v>
      </c>
    </row>
    <row r="547" spans="1:5" ht="21" x14ac:dyDescent="0.25">
      <c r="A547" s="2" t="str">
        <f>HYPERLINK("https://rth.dk/resources/bsgatlas/details.php?id=BSGatlas-internal_UTR-546","BSGatlas-internal_UTR-546")</f>
        <v>BSGatlas-internal_UTR-546</v>
      </c>
      <c r="B547" s="3">
        <v>2124766</v>
      </c>
      <c r="C547" s="3">
        <v>2124849</v>
      </c>
      <c r="D547" s="1" t="s">
        <v>13</v>
      </c>
      <c r="E547" s="1" t="s">
        <v>4373</v>
      </c>
    </row>
    <row r="548" spans="1:5" ht="21" x14ac:dyDescent="0.25">
      <c r="A548" s="2" t="str">
        <f>HYPERLINK("https://rth.dk/resources/bsgatlas/details.php?id=BSGatlas-internal_UTR-547","BSGatlas-internal_UTR-547")</f>
        <v>BSGatlas-internal_UTR-547</v>
      </c>
      <c r="B548" s="3">
        <v>2134157</v>
      </c>
      <c r="C548" s="3">
        <v>2134243</v>
      </c>
      <c r="D548" s="1" t="s">
        <v>9</v>
      </c>
      <c r="E548" s="1" t="s">
        <v>4373</v>
      </c>
    </row>
    <row r="549" spans="1:5" ht="21" x14ac:dyDescent="0.25">
      <c r="A549" s="2" t="str">
        <f>HYPERLINK("https://rth.dk/resources/bsgatlas/details.php?id=BSGatlas-internal_UTR-548","BSGatlas-internal_UTR-548")</f>
        <v>BSGatlas-internal_UTR-548</v>
      </c>
      <c r="B549" s="3">
        <v>2135388</v>
      </c>
      <c r="C549" s="3">
        <v>2135469</v>
      </c>
      <c r="D549" s="1" t="s">
        <v>13</v>
      </c>
      <c r="E549" s="1" t="s">
        <v>4397</v>
      </c>
    </row>
    <row r="550" spans="1:5" ht="21" x14ac:dyDescent="0.25">
      <c r="A550" s="2" t="str">
        <f>HYPERLINK("https://rth.dk/resources/bsgatlas/details.php?id=BSGatlas-internal_UTR-549","BSGatlas-internal_UTR-549")</f>
        <v>BSGatlas-internal_UTR-549</v>
      </c>
      <c r="B550" s="3">
        <v>2137779</v>
      </c>
      <c r="C550" s="3">
        <v>2138036</v>
      </c>
      <c r="D550" s="1" t="s">
        <v>13</v>
      </c>
      <c r="E550" s="1" t="s">
        <v>4373</v>
      </c>
    </row>
    <row r="551" spans="1:5" ht="21" x14ac:dyDescent="0.25">
      <c r="A551" s="2" t="str">
        <f>HYPERLINK("https://rth.dk/resources/bsgatlas/details.php?id=BSGatlas-internal_UTR-550","BSGatlas-internal_UTR-550")</f>
        <v>BSGatlas-internal_UTR-550</v>
      </c>
      <c r="B551" s="3">
        <v>2139093</v>
      </c>
      <c r="C551" s="3">
        <v>2139178</v>
      </c>
      <c r="D551" s="1" t="s">
        <v>13</v>
      </c>
      <c r="E551" s="1" t="s">
        <v>4386</v>
      </c>
    </row>
    <row r="552" spans="1:5" ht="21" x14ac:dyDescent="0.25">
      <c r="A552" s="2" t="str">
        <f>HYPERLINK("https://rth.dk/resources/bsgatlas/details.php?id=BSGatlas-internal_UTR-551","BSGatlas-internal_UTR-551")</f>
        <v>BSGatlas-internal_UTR-551</v>
      </c>
      <c r="B552" s="3">
        <v>2140870</v>
      </c>
      <c r="C552" s="3">
        <v>2140897</v>
      </c>
      <c r="D552" s="1" t="s">
        <v>13</v>
      </c>
      <c r="E552" s="1" t="s">
        <v>4386</v>
      </c>
    </row>
    <row r="553" spans="1:5" ht="21" x14ac:dyDescent="0.25">
      <c r="A553" s="2" t="str">
        <f>HYPERLINK("https://rth.dk/resources/bsgatlas/details.php?id=BSGatlas-internal_UTR-552","BSGatlas-internal_UTR-552")</f>
        <v>BSGatlas-internal_UTR-552</v>
      </c>
      <c r="B553" s="3">
        <v>2146793</v>
      </c>
      <c r="C553" s="3">
        <v>2146820</v>
      </c>
      <c r="D553" s="1" t="s">
        <v>13</v>
      </c>
      <c r="E553" s="1" t="s">
        <v>4373</v>
      </c>
    </row>
    <row r="554" spans="1:5" ht="21" x14ac:dyDescent="0.25">
      <c r="A554" s="2" t="str">
        <f>HYPERLINK("https://rth.dk/resources/bsgatlas/details.php?id=BSGatlas-internal_UTR-553","BSGatlas-internal_UTR-553")</f>
        <v>BSGatlas-internal_UTR-553</v>
      </c>
      <c r="B554" s="3">
        <v>2148102</v>
      </c>
      <c r="C554" s="3">
        <v>2148165</v>
      </c>
      <c r="D554" s="1" t="s">
        <v>13</v>
      </c>
      <c r="E554" s="1" t="s">
        <v>4373</v>
      </c>
    </row>
    <row r="555" spans="1:5" ht="21" x14ac:dyDescent="0.25">
      <c r="A555" s="2" t="str">
        <f>HYPERLINK("https://rth.dk/resources/bsgatlas/details.php?id=BSGatlas-internal_UTR-554","BSGatlas-internal_UTR-554")</f>
        <v>BSGatlas-internal_UTR-554</v>
      </c>
      <c r="B555" s="3">
        <v>2152853</v>
      </c>
      <c r="C555" s="3">
        <v>2153170</v>
      </c>
      <c r="D555" s="1" t="s">
        <v>13</v>
      </c>
      <c r="E555" s="1" t="s">
        <v>4386</v>
      </c>
    </row>
    <row r="556" spans="1:5" ht="21" x14ac:dyDescent="0.25">
      <c r="A556" s="2" t="str">
        <f>HYPERLINK("https://rth.dk/resources/bsgatlas/details.php?id=BSGatlas-internal_UTR-555","BSGatlas-internal_UTR-555")</f>
        <v>BSGatlas-internal_UTR-555</v>
      </c>
      <c r="B556" s="3">
        <v>2153357</v>
      </c>
      <c r="C556" s="3">
        <v>2153439</v>
      </c>
      <c r="D556" s="1" t="s">
        <v>13</v>
      </c>
      <c r="E556" s="1" t="s">
        <v>4386</v>
      </c>
    </row>
    <row r="557" spans="1:5" ht="21" x14ac:dyDescent="0.25">
      <c r="A557" s="2" t="str">
        <f>HYPERLINK("https://rth.dk/resources/bsgatlas/details.php?id=BSGatlas-internal_UTR-556","BSGatlas-internal_UTR-556")</f>
        <v>BSGatlas-internal_UTR-556</v>
      </c>
      <c r="B557" s="3">
        <v>2153653</v>
      </c>
      <c r="C557" s="3">
        <v>2153717</v>
      </c>
      <c r="D557" s="1" t="s">
        <v>13</v>
      </c>
      <c r="E557" s="1" t="s">
        <v>4386</v>
      </c>
    </row>
    <row r="558" spans="1:5" ht="21" x14ac:dyDescent="0.25">
      <c r="A558" s="2" t="str">
        <f>HYPERLINK("https://rth.dk/resources/bsgatlas/details.php?id=BSGatlas-internal_UTR-557","BSGatlas-internal_UTR-557")</f>
        <v>BSGatlas-internal_UTR-557</v>
      </c>
      <c r="B558" s="3">
        <v>2154674</v>
      </c>
      <c r="C558" s="3">
        <v>2154704</v>
      </c>
      <c r="D558" s="1" t="s">
        <v>13</v>
      </c>
      <c r="E558" s="1" t="s">
        <v>4386</v>
      </c>
    </row>
    <row r="559" spans="1:5" ht="21" x14ac:dyDescent="0.25">
      <c r="A559" s="2" t="str">
        <f>HYPERLINK("https://rth.dk/resources/bsgatlas/details.php?id=BSGatlas-internal_UTR-558","BSGatlas-internal_UTR-558")</f>
        <v>BSGatlas-internal_UTR-558</v>
      </c>
      <c r="B559" s="3">
        <v>2154852</v>
      </c>
      <c r="C559" s="3">
        <v>2154886</v>
      </c>
      <c r="D559" s="1" t="s">
        <v>13</v>
      </c>
      <c r="E559" s="1" t="s">
        <v>4386</v>
      </c>
    </row>
    <row r="560" spans="1:5" ht="21" x14ac:dyDescent="0.25">
      <c r="A560" s="2" t="str">
        <f>HYPERLINK("https://rth.dk/resources/bsgatlas/details.php?id=BSGatlas-internal_UTR-559","BSGatlas-internal_UTR-559")</f>
        <v>BSGatlas-internal_UTR-559</v>
      </c>
      <c r="B560" s="3">
        <v>2155019</v>
      </c>
      <c r="C560" s="3">
        <v>2155057</v>
      </c>
      <c r="D560" s="1" t="s">
        <v>13</v>
      </c>
      <c r="E560" s="1" t="s">
        <v>4386</v>
      </c>
    </row>
    <row r="561" spans="1:5" ht="21" x14ac:dyDescent="0.25">
      <c r="A561" s="2" t="str">
        <f>HYPERLINK("https://rth.dk/resources/bsgatlas/details.php?id=BSGatlas-internal_UTR-560","BSGatlas-internal_UTR-560")</f>
        <v>BSGatlas-internal_UTR-560</v>
      </c>
      <c r="B561" s="3">
        <v>2155250</v>
      </c>
      <c r="C561" s="3">
        <v>2155292</v>
      </c>
      <c r="D561" s="1" t="s">
        <v>13</v>
      </c>
      <c r="E561" s="1" t="s">
        <v>4386</v>
      </c>
    </row>
    <row r="562" spans="1:5" ht="21" x14ac:dyDescent="0.25">
      <c r="A562" s="2" t="str">
        <f>HYPERLINK("https://rth.dk/resources/bsgatlas/details.php?id=BSGatlas-internal_UTR-561","BSGatlas-internal_UTR-561")</f>
        <v>BSGatlas-internal_UTR-561</v>
      </c>
      <c r="B562" s="3">
        <v>2156121</v>
      </c>
      <c r="C562" s="3">
        <v>2156756</v>
      </c>
      <c r="D562" s="1" t="s">
        <v>13</v>
      </c>
      <c r="E562" s="1" t="s">
        <v>4386</v>
      </c>
    </row>
    <row r="563" spans="1:5" ht="21" x14ac:dyDescent="0.25">
      <c r="A563" s="2" t="str">
        <f>HYPERLINK("https://rth.dk/resources/bsgatlas/details.php?id=BSGatlas-internal_UTR-562","BSGatlas-internal_UTR-562")</f>
        <v>BSGatlas-internal_UTR-562</v>
      </c>
      <c r="B563" s="3">
        <v>2187757</v>
      </c>
      <c r="C563" s="3">
        <v>2187818</v>
      </c>
      <c r="D563" s="1" t="s">
        <v>13</v>
      </c>
      <c r="E563" s="1" t="s">
        <v>4373</v>
      </c>
    </row>
    <row r="564" spans="1:5" ht="21" x14ac:dyDescent="0.25">
      <c r="A564" s="2" t="str">
        <f>HYPERLINK("https://rth.dk/resources/bsgatlas/details.php?id=BSGatlas-internal_UTR-563","BSGatlas-internal_UTR-563")</f>
        <v>BSGatlas-internal_UTR-563</v>
      </c>
      <c r="B564" s="3">
        <v>2205170</v>
      </c>
      <c r="C564" s="3">
        <v>2205192</v>
      </c>
      <c r="D564" s="1" t="s">
        <v>13</v>
      </c>
      <c r="E564" s="1" t="s">
        <v>14710</v>
      </c>
    </row>
    <row r="565" spans="1:5" ht="21" x14ac:dyDescent="0.25">
      <c r="A565" s="2" t="str">
        <f>HYPERLINK("https://rth.dk/resources/bsgatlas/details.php?id=BSGatlas-internal_UTR-564","BSGatlas-internal_UTR-564")</f>
        <v>BSGatlas-internal_UTR-564</v>
      </c>
      <c r="B565" s="3">
        <v>2206576</v>
      </c>
      <c r="C565" s="3">
        <v>2206681</v>
      </c>
      <c r="D565" s="1" t="s">
        <v>13</v>
      </c>
      <c r="E565" s="1" t="s">
        <v>4377</v>
      </c>
    </row>
    <row r="566" spans="1:5" ht="21" x14ac:dyDescent="0.25">
      <c r="A566" s="2" t="str">
        <f>HYPERLINK("https://rth.dk/resources/bsgatlas/details.php?id=BSGatlas-internal_UTR-565","BSGatlas-internal_UTR-565")</f>
        <v>BSGatlas-internal_UTR-565</v>
      </c>
      <c r="B566" s="3">
        <v>2207961</v>
      </c>
      <c r="C566" s="3">
        <v>2208007</v>
      </c>
      <c r="D566" s="1" t="s">
        <v>13</v>
      </c>
      <c r="E566" s="1" t="s">
        <v>4377</v>
      </c>
    </row>
    <row r="567" spans="1:5" ht="21" x14ac:dyDescent="0.25">
      <c r="A567" s="2" t="str">
        <f>HYPERLINK("https://rth.dk/resources/bsgatlas/details.php?id=BSGatlas-internal_UTR-566","BSGatlas-internal_UTR-566")</f>
        <v>BSGatlas-internal_UTR-566</v>
      </c>
      <c r="B567" s="3">
        <v>2219200</v>
      </c>
      <c r="C567" s="3">
        <v>2219280</v>
      </c>
      <c r="D567" s="1" t="s">
        <v>13</v>
      </c>
      <c r="E567" s="1" t="s">
        <v>4386</v>
      </c>
    </row>
    <row r="568" spans="1:5" ht="21" x14ac:dyDescent="0.25">
      <c r="A568" s="2" t="str">
        <f>HYPERLINK("https://rth.dk/resources/bsgatlas/details.php?id=BSGatlas-internal_UTR-567","BSGatlas-internal_UTR-567")</f>
        <v>BSGatlas-internal_UTR-567</v>
      </c>
      <c r="B568" s="3">
        <v>2219470</v>
      </c>
      <c r="C568" s="3">
        <v>2219513</v>
      </c>
      <c r="D568" s="1" t="s">
        <v>13</v>
      </c>
      <c r="E568" s="1" t="s">
        <v>4386</v>
      </c>
    </row>
    <row r="569" spans="1:5" ht="21" x14ac:dyDescent="0.25">
      <c r="A569" s="2" t="str">
        <f>HYPERLINK("https://rth.dk/resources/bsgatlas/details.php?id=BSGatlas-internal_UTR-568","BSGatlas-internal_UTR-568")</f>
        <v>BSGatlas-internal_UTR-568</v>
      </c>
      <c r="B569" s="3">
        <v>2219766</v>
      </c>
      <c r="C569" s="3">
        <v>2219783</v>
      </c>
      <c r="D569" s="1" t="s">
        <v>13</v>
      </c>
      <c r="E569" s="1" t="s">
        <v>4386</v>
      </c>
    </row>
    <row r="570" spans="1:5" ht="21" x14ac:dyDescent="0.25">
      <c r="A570" s="2" t="str">
        <f>HYPERLINK("https://rth.dk/resources/bsgatlas/details.php?id=BSGatlas-internal_UTR-569","BSGatlas-internal_UTR-569")</f>
        <v>BSGatlas-internal_UTR-569</v>
      </c>
      <c r="B570" s="3">
        <v>2220947</v>
      </c>
      <c r="C570" s="3">
        <v>2221060</v>
      </c>
      <c r="D570" s="1" t="s">
        <v>13</v>
      </c>
      <c r="E570" s="1" t="s">
        <v>4373</v>
      </c>
    </row>
    <row r="571" spans="1:5" ht="21" x14ac:dyDescent="0.25">
      <c r="A571" s="2" t="str">
        <f>HYPERLINK("https://rth.dk/resources/bsgatlas/details.php?id=BSGatlas-internal_UTR-570","BSGatlas-internal_UTR-570")</f>
        <v>BSGatlas-internal_UTR-570</v>
      </c>
      <c r="B571" s="3">
        <v>2222535</v>
      </c>
      <c r="C571" s="3">
        <v>2222573</v>
      </c>
      <c r="D571" s="1" t="s">
        <v>9</v>
      </c>
      <c r="E571" s="1" t="s">
        <v>4386</v>
      </c>
    </row>
    <row r="572" spans="1:5" ht="21" x14ac:dyDescent="0.25">
      <c r="A572" s="2" t="str">
        <f>HYPERLINK("https://rth.dk/resources/bsgatlas/details.php?id=BSGatlas-internal_UTR-571","BSGatlas-internal_UTR-571")</f>
        <v>BSGatlas-internal_UTR-571</v>
      </c>
      <c r="B572" s="3">
        <v>2225094</v>
      </c>
      <c r="C572" s="3">
        <v>2225336</v>
      </c>
      <c r="D572" s="1" t="s">
        <v>9</v>
      </c>
      <c r="E572" s="1" t="s">
        <v>4386</v>
      </c>
    </row>
    <row r="573" spans="1:5" ht="21" x14ac:dyDescent="0.25">
      <c r="A573" s="2" t="str">
        <f>HYPERLINK("https://rth.dk/resources/bsgatlas/details.php?id=BSGatlas-internal_UTR-572","BSGatlas-internal_UTR-572")</f>
        <v>BSGatlas-internal_UTR-572</v>
      </c>
      <c r="B573" s="3">
        <v>2227489</v>
      </c>
      <c r="C573" s="3">
        <v>2227504</v>
      </c>
      <c r="D573" s="1" t="s">
        <v>9</v>
      </c>
      <c r="E573" s="1" t="s">
        <v>4377</v>
      </c>
    </row>
    <row r="574" spans="1:5" ht="21" x14ac:dyDescent="0.25">
      <c r="A574" s="2" t="str">
        <f>HYPERLINK("https://rth.dk/resources/bsgatlas/details.php?id=BSGatlas-internal_UTR-573","BSGatlas-internal_UTR-573")</f>
        <v>BSGatlas-internal_UTR-573</v>
      </c>
      <c r="B574" s="3">
        <v>2228723</v>
      </c>
      <c r="C574" s="3">
        <v>2229384</v>
      </c>
      <c r="D574" s="1" t="s">
        <v>9</v>
      </c>
      <c r="E574" s="1" t="s">
        <v>4377</v>
      </c>
    </row>
    <row r="575" spans="1:5" ht="21" x14ac:dyDescent="0.25">
      <c r="A575" s="2" t="str">
        <f>HYPERLINK("https://rth.dk/resources/bsgatlas/details.php?id=BSGatlas-internal_UTR-574","BSGatlas-internal_UTR-574")</f>
        <v>BSGatlas-internal_UTR-574</v>
      </c>
      <c r="B575" s="3">
        <v>2269464</v>
      </c>
      <c r="C575" s="3">
        <v>2269520</v>
      </c>
      <c r="D575" s="1" t="s">
        <v>13</v>
      </c>
      <c r="E575" s="1" t="s">
        <v>4397</v>
      </c>
    </row>
    <row r="576" spans="1:5" ht="21" x14ac:dyDescent="0.25">
      <c r="A576" s="2" t="str">
        <f>HYPERLINK("https://rth.dk/resources/bsgatlas/details.php?id=BSGatlas-internal_UTR-575","BSGatlas-internal_UTR-575")</f>
        <v>BSGatlas-internal_UTR-575</v>
      </c>
      <c r="B576" s="3">
        <v>2274523</v>
      </c>
      <c r="C576" s="3">
        <v>2274557</v>
      </c>
      <c r="D576" s="1" t="s">
        <v>13</v>
      </c>
      <c r="E576" s="1" t="s">
        <v>4386</v>
      </c>
    </row>
    <row r="577" spans="1:5" ht="21" x14ac:dyDescent="0.25">
      <c r="A577" s="2" t="str">
        <f>HYPERLINK("https://rth.dk/resources/bsgatlas/details.php?id=BSGatlas-internal_UTR-576","BSGatlas-internal_UTR-576")</f>
        <v>BSGatlas-internal_UTR-576</v>
      </c>
      <c r="B577" s="3">
        <v>2275137</v>
      </c>
      <c r="C577" s="3">
        <v>2275199</v>
      </c>
      <c r="D577" s="1" t="s">
        <v>13</v>
      </c>
      <c r="E577" s="1" t="s">
        <v>4386</v>
      </c>
    </row>
    <row r="578" spans="1:5" ht="21" x14ac:dyDescent="0.25">
      <c r="A578" s="2" t="str">
        <f>HYPERLINK("https://rth.dk/resources/bsgatlas/details.php?id=BSGatlas-internal_UTR-577","BSGatlas-internal_UTR-577")</f>
        <v>BSGatlas-internal_UTR-577</v>
      </c>
      <c r="B578" s="3">
        <v>2286409</v>
      </c>
      <c r="C578" s="3">
        <v>2286447</v>
      </c>
      <c r="D578" s="1" t="s">
        <v>9</v>
      </c>
      <c r="E578" s="1" t="s">
        <v>4377</v>
      </c>
    </row>
    <row r="579" spans="1:5" ht="21" x14ac:dyDescent="0.25">
      <c r="A579" s="2" t="str">
        <f>HYPERLINK("https://rth.dk/resources/bsgatlas/details.php?id=BSGatlas-internal_UTR-578","BSGatlas-internal_UTR-578")</f>
        <v>BSGatlas-internal_UTR-578</v>
      </c>
      <c r="B579" s="3">
        <v>2291626</v>
      </c>
      <c r="C579" s="3">
        <v>2291702</v>
      </c>
      <c r="D579" s="1" t="s">
        <v>13</v>
      </c>
      <c r="E579" s="1" t="s">
        <v>7186</v>
      </c>
    </row>
    <row r="580" spans="1:5" ht="21" x14ac:dyDescent="0.25">
      <c r="A580" s="2" t="str">
        <f>HYPERLINK("https://rth.dk/resources/bsgatlas/details.php?id=BSGatlas-internal_UTR-579","BSGatlas-internal_UTR-579")</f>
        <v>BSGatlas-internal_UTR-579</v>
      </c>
      <c r="B580" s="3">
        <v>2292684</v>
      </c>
      <c r="C580" s="3">
        <v>2292768</v>
      </c>
      <c r="D580" s="1" t="s">
        <v>13</v>
      </c>
      <c r="E580" s="1" t="s">
        <v>4397</v>
      </c>
    </row>
    <row r="581" spans="1:5" ht="21" x14ac:dyDescent="0.25">
      <c r="A581" s="2" t="str">
        <f>HYPERLINK("https://rth.dk/resources/bsgatlas/details.php?id=BSGatlas-internal_UTR-580","BSGatlas-internal_UTR-580")</f>
        <v>BSGatlas-internal_UTR-580</v>
      </c>
      <c r="B581" s="3">
        <v>2295282</v>
      </c>
      <c r="C581" s="3">
        <v>2295301</v>
      </c>
      <c r="D581" s="1" t="s">
        <v>9</v>
      </c>
      <c r="E581" s="1" t="s">
        <v>4382</v>
      </c>
    </row>
    <row r="582" spans="1:5" ht="21" x14ac:dyDescent="0.25">
      <c r="A582" s="2" t="str">
        <f>HYPERLINK("https://rth.dk/resources/bsgatlas/details.php?id=BSGatlas-internal_UTR-581","BSGatlas-internal_UTR-581")</f>
        <v>BSGatlas-internal_UTR-581</v>
      </c>
      <c r="B582" s="3">
        <v>2297901</v>
      </c>
      <c r="C582" s="3">
        <v>2297983</v>
      </c>
      <c r="D582" s="1" t="s">
        <v>13</v>
      </c>
      <c r="E582" s="1" t="s">
        <v>4377</v>
      </c>
    </row>
    <row r="583" spans="1:5" ht="21" x14ac:dyDescent="0.25">
      <c r="A583" s="2" t="str">
        <f>HYPERLINK("https://rth.dk/resources/bsgatlas/details.php?id=BSGatlas-internal_UTR-582","BSGatlas-internal_UTR-582")</f>
        <v>BSGatlas-internal_UTR-582</v>
      </c>
      <c r="B583" s="3">
        <v>2298518</v>
      </c>
      <c r="C583" s="3">
        <v>2298534</v>
      </c>
      <c r="D583" s="1" t="s">
        <v>13</v>
      </c>
      <c r="E583" s="1" t="s">
        <v>4377</v>
      </c>
    </row>
    <row r="584" spans="1:5" ht="21" x14ac:dyDescent="0.25">
      <c r="A584" s="2" t="str">
        <f>HYPERLINK("https://rth.dk/resources/bsgatlas/details.php?id=BSGatlas-internal_UTR-583","BSGatlas-internal_UTR-583")</f>
        <v>BSGatlas-internal_UTR-583</v>
      </c>
      <c r="B584" s="3">
        <v>2300180</v>
      </c>
      <c r="C584" s="3">
        <v>2300220</v>
      </c>
      <c r="D584" s="1" t="s">
        <v>13</v>
      </c>
      <c r="E584" s="1" t="s">
        <v>4386</v>
      </c>
    </row>
    <row r="585" spans="1:5" ht="21" x14ac:dyDescent="0.25">
      <c r="A585" s="2" t="str">
        <f>HYPERLINK("https://rth.dk/resources/bsgatlas/details.php?id=BSGatlas-internal_UTR-584","BSGatlas-internal_UTR-584")</f>
        <v>BSGatlas-internal_UTR-584</v>
      </c>
      <c r="B585" s="3">
        <v>2303861</v>
      </c>
      <c r="C585" s="3">
        <v>2303919</v>
      </c>
      <c r="D585" s="1" t="s">
        <v>13</v>
      </c>
      <c r="E585" s="1" t="s">
        <v>4386</v>
      </c>
    </row>
    <row r="586" spans="1:5" ht="21" x14ac:dyDescent="0.25">
      <c r="A586" s="2" t="str">
        <f>HYPERLINK("https://rth.dk/resources/bsgatlas/details.php?id=BSGatlas-internal_UTR-585","BSGatlas-internal_UTR-585")</f>
        <v>BSGatlas-internal_UTR-585</v>
      </c>
      <c r="B586" s="3">
        <v>2306284</v>
      </c>
      <c r="C586" s="3">
        <v>2306513</v>
      </c>
      <c r="D586" s="1" t="s">
        <v>9</v>
      </c>
      <c r="E586" s="1" t="s">
        <v>4382</v>
      </c>
    </row>
    <row r="587" spans="1:5" ht="21" x14ac:dyDescent="0.25">
      <c r="A587" s="2" t="str">
        <f>HYPERLINK("https://rth.dk/resources/bsgatlas/details.php?id=BSGatlas-internal_UTR-586","BSGatlas-internal_UTR-586")</f>
        <v>BSGatlas-internal_UTR-586</v>
      </c>
      <c r="B587" s="3">
        <v>2312133</v>
      </c>
      <c r="C587" s="3">
        <v>2312206</v>
      </c>
      <c r="D587" s="1" t="s">
        <v>13</v>
      </c>
      <c r="E587" s="1" t="s">
        <v>4373</v>
      </c>
    </row>
    <row r="588" spans="1:5" ht="21" x14ac:dyDescent="0.25">
      <c r="A588" s="2" t="str">
        <f>HYPERLINK("https://rth.dk/resources/bsgatlas/details.php?id=BSGatlas-internal_UTR-587","BSGatlas-internal_UTR-587")</f>
        <v>BSGatlas-internal_UTR-587</v>
      </c>
      <c r="B588" s="3">
        <v>2312465</v>
      </c>
      <c r="C588" s="3">
        <v>2312528</v>
      </c>
      <c r="D588" s="1" t="s">
        <v>13</v>
      </c>
      <c r="E588" s="1" t="s">
        <v>4373</v>
      </c>
    </row>
    <row r="589" spans="1:5" ht="21" x14ac:dyDescent="0.25">
      <c r="A589" s="2" t="str">
        <f>HYPERLINK("https://rth.dk/resources/bsgatlas/details.php?id=BSGatlas-internal_UTR-588","BSGatlas-internal_UTR-588")</f>
        <v>BSGatlas-internal_UTR-588</v>
      </c>
      <c r="B589" s="3">
        <v>2322965</v>
      </c>
      <c r="C589" s="3">
        <v>2323008</v>
      </c>
      <c r="D589" s="1" t="s">
        <v>13</v>
      </c>
      <c r="E589" s="1" t="s">
        <v>4382</v>
      </c>
    </row>
    <row r="590" spans="1:5" ht="21" x14ac:dyDescent="0.25">
      <c r="A590" s="2" t="str">
        <f>HYPERLINK("https://rth.dk/resources/bsgatlas/details.php?id=BSGatlas-internal_UTR-589","BSGatlas-internal_UTR-589")</f>
        <v>BSGatlas-internal_UTR-589</v>
      </c>
      <c r="B590" s="3">
        <v>2324576</v>
      </c>
      <c r="C590" s="3">
        <v>2324612</v>
      </c>
      <c r="D590" s="1" t="s">
        <v>13</v>
      </c>
      <c r="E590" s="1" t="s">
        <v>4382</v>
      </c>
    </row>
    <row r="591" spans="1:5" ht="21" x14ac:dyDescent="0.25">
      <c r="A591" s="2" t="str">
        <f>HYPERLINK("https://rth.dk/resources/bsgatlas/details.php?id=BSGatlas-internal_UTR-590","BSGatlas-internal_UTR-590")</f>
        <v>BSGatlas-internal_UTR-590</v>
      </c>
      <c r="B591" s="3">
        <v>2331233</v>
      </c>
      <c r="C591" s="3">
        <v>2331319</v>
      </c>
      <c r="D591" s="1" t="s">
        <v>13</v>
      </c>
      <c r="E591" s="1" t="s">
        <v>4373</v>
      </c>
    </row>
    <row r="592" spans="1:5" ht="21" x14ac:dyDescent="0.25">
      <c r="A592" s="2" t="str">
        <f>HYPERLINK("https://rth.dk/resources/bsgatlas/details.php?id=BSGatlas-internal_UTR-591","BSGatlas-internal_UTR-591")</f>
        <v>BSGatlas-internal_UTR-591</v>
      </c>
      <c r="B592" s="3">
        <v>2331721</v>
      </c>
      <c r="C592" s="3">
        <v>2331778</v>
      </c>
      <c r="D592" s="1" t="s">
        <v>13</v>
      </c>
      <c r="E592" s="1" t="s">
        <v>4373</v>
      </c>
    </row>
    <row r="593" spans="1:5" ht="21" x14ac:dyDescent="0.25">
      <c r="A593" s="2" t="str">
        <f>HYPERLINK("https://rth.dk/resources/bsgatlas/details.php?id=BSGatlas-internal_UTR-592","BSGatlas-internal_UTR-592")</f>
        <v>BSGatlas-internal_UTR-592</v>
      </c>
      <c r="B593" s="3">
        <v>2333012</v>
      </c>
      <c r="C593" s="3">
        <v>2333094</v>
      </c>
      <c r="D593" s="1" t="s">
        <v>13</v>
      </c>
      <c r="E593" s="1" t="s">
        <v>4386</v>
      </c>
    </row>
    <row r="594" spans="1:5" ht="21" x14ac:dyDescent="0.25">
      <c r="A594" s="2" t="str">
        <f>HYPERLINK("https://rth.dk/resources/bsgatlas/details.php?id=BSGatlas-internal_UTR-593","BSGatlas-internal_UTR-593")</f>
        <v>BSGatlas-internal_UTR-593</v>
      </c>
      <c r="B594" s="3">
        <v>2333224</v>
      </c>
      <c r="C594" s="3">
        <v>2333323</v>
      </c>
      <c r="D594" s="1" t="s">
        <v>13</v>
      </c>
      <c r="E594" s="1" t="s">
        <v>4386</v>
      </c>
    </row>
    <row r="595" spans="1:5" ht="21" x14ac:dyDescent="0.25">
      <c r="A595" s="2" t="str">
        <f>HYPERLINK("https://rth.dk/resources/bsgatlas/details.php?id=BSGatlas-internal_UTR-594","BSGatlas-internal_UTR-594")</f>
        <v>BSGatlas-internal_UTR-594</v>
      </c>
      <c r="B595" s="3">
        <v>2339181</v>
      </c>
      <c r="C595" s="3">
        <v>2339225</v>
      </c>
      <c r="D595" s="1" t="s">
        <v>13</v>
      </c>
      <c r="E595" s="1" t="s">
        <v>4373</v>
      </c>
    </row>
    <row r="596" spans="1:5" ht="21" x14ac:dyDescent="0.25">
      <c r="A596" s="2" t="str">
        <f>HYPERLINK("https://rth.dk/resources/bsgatlas/details.php?id=BSGatlas-internal_UTR-595","BSGatlas-internal_UTR-595")</f>
        <v>BSGatlas-internal_UTR-595</v>
      </c>
      <c r="B596" s="3">
        <v>2341423</v>
      </c>
      <c r="C596" s="3">
        <v>2341443</v>
      </c>
      <c r="D596" s="1" t="s">
        <v>9</v>
      </c>
      <c r="E596" s="1" t="s">
        <v>4386</v>
      </c>
    </row>
    <row r="597" spans="1:5" ht="21" x14ac:dyDescent="0.25">
      <c r="A597" s="2" t="str">
        <f>HYPERLINK("https://rth.dk/resources/bsgatlas/details.php?id=BSGatlas-internal_UTR-596","BSGatlas-internal_UTR-596")</f>
        <v>BSGatlas-internal_UTR-596</v>
      </c>
      <c r="B597" s="3">
        <v>2345415</v>
      </c>
      <c r="C597" s="3">
        <v>2345432</v>
      </c>
      <c r="D597" s="1" t="s">
        <v>13</v>
      </c>
      <c r="E597" s="1" t="s">
        <v>4373</v>
      </c>
    </row>
    <row r="598" spans="1:5" ht="21" x14ac:dyDescent="0.25">
      <c r="A598" s="2" t="str">
        <f>HYPERLINK("https://rth.dk/resources/bsgatlas/details.php?id=BSGatlas-internal_UTR-597","BSGatlas-internal_UTR-597")</f>
        <v>BSGatlas-internal_UTR-597</v>
      </c>
      <c r="B598" s="3">
        <v>2346132</v>
      </c>
      <c r="C598" s="3">
        <v>2346223</v>
      </c>
      <c r="D598" s="1" t="s">
        <v>13</v>
      </c>
      <c r="E598" s="1" t="s">
        <v>4373</v>
      </c>
    </row>
    <row r="599" spans="1:5" ht="21" x14ac:dyDescent="0.25">
      <c r="A599" s="2" t="str">
        <f>HYPERLINK("https://rth.dk/resources/bsgatlas/details.php?id=BSGatlas-internal_UTR-598","BSGatlas-internal_UTR-598")</f>
        <v>BSGatlas-internal_UTR-598</v>
      </c>
      <c r="B599" s="3">
        <v>2348842</v>
      </c>
      <c r="C599" s="3">
        <v>2348863</v>
      </c>
      <c r="D599" s="1" t="s">
        <v>13</v>
      </c>
      <c r="E599" s="1" t="s">
        <v>4373</v>
      </c>
    </row>
    <row r="600" spans="1:5" ht="21" x14ac:dyDescent="0.25">
      <c r="A600" s="2" t="str">
        <f>HYPERLINK("https://rth.dk/resources/bsgatlas/details.php?id=BSGatlas-internal_UTR-599","BSGatlas-internal_UTR-599")</f>
        <v>BSGatlas-internal_UTR-599</v>
      </c>
      <c r="B600" s="3">
        <v>2363879</v>
      </c>
      <c r="C600" s="3">
        <v>2363912</v>
      </c>
      <c r="D600" s="1" t="s">
        <v>13</v>
      </c>
      <c r="E600" s="1" t="s">
        <v>4382</v>
      </c>
    </row>
    <row r="601" spans="1:5" ht="21" x14ac:dyDescent="0.25">
      <c r="A601" s="2" t="str">
        <f>HYPERLINK("https://rth.dk/resources/bsgatlas/details.php?id=BSGatlas-internal_UTR-600","BSGatlas-internal_UTR-600")</f>
        <v>BSGatlas-internal_UTR-600</v>
      </c>
      <c r="B601" s="3">
        <v>2366276</v>
      </c>
      <c r="C601" s="3">
        <v>2366346</v>
      </c>
      <c r="D601" s="1" t="s">
        <v>13</v>
      </c>
      <c r="E601" s="1" t="s">
        <v>4386</v>
      </c>
    </row>
    <row r="602" spans="1:5" ht="21" x14ac:dyDescent="0.25">
      <c r="A602" s="2" t="str">
        <f>HYPERLINK("https://rth.dk/resources/bsgatlas/details.php?id=BSGatlas-internal_UTR-601","BSGatlas-internal_UTR-601")</f>
        <v>BSGatlas-internal_UTR-601</v>
      </c>
      <c r="B602" s="3">
        <v>2370367</v>
      </c>
      <c r="C602" s="3">
        <v>2370414</v>
      </c>
      <c r="D602" s="1" t="s">
        <v>13</v>
      </c>
      <c r="E602" s="1" t="s">
        <v>14712</v>
      </c>
    </row>
    <row r="603" spans="1:5" ht="21" x14ac:dyDescent="0.25">
      <c r="A603" s="2" t="str">
        <f>HYPERLINK("https://rth.dk/resources/bsgatlas/details.php?id=BSGatlas-internal_UTR-602","BSGatlas-internal_UTR-602")</f>
        <v>BSGatlas-internal_UTR-602</v>
      </c>
      <c r="B603" s="3">
        <v>2380273</v>
      </c>
      <c r="C603" s="3">
        <v>2380346</v>
      </c>
      <c r="D603" s="1" t="s">
        <v>13</v>
      </c>
      <c r="E603" s="1" t="s">
        <v>4377</v>
      </c>
    </row>
    <row r="604" spans="1:5" ht="21" x14ac:dyDescent="0.25">
      <c r="A604" s="2" t="str">
        <f>HYPERLINK("https://rth.dk/resources/bsgatlas/details.php?id=BSGatlas-internal_UTR-603","BSGatlas-internal_UTR-603")</f>
        <v>BSGatlas-internal_UTR-603</v>
      </c>
      <c r="B604" s="3">
        <v>2381804</v>
      </c>
      <c r="C604" s="3">
        <v>2381918</v>
      </c>
      <c r="D604" s="1" t="s">
        <v>13</v>
      </c>
      <c r="E604" s="1" t="s">
        <v>4373</v>
      </c>
    </row>
    <row r="605" spans="1:5" ht="21" x14ac:dyDescent="0.25">
      <c r="A605" s="2" t="str">
        <f>HYPERLINK("https://rth.dk/resources/bsgatlas/details.php?id=BSGatlas-internal_UTR-604","BSGatlas-internal_UTR-604")</f>
        <v>BSGatlas-internal_UTR-604</v>
      </c>
      <c r="B605" s="3">
        <v>2384762</v>
      </c>
      <c r="C605" s="3">
        <v>2384782</v>
      </c>
      <c r="D605" s="1" t="s">
        <v>13</v>
      </c>
      <c r="E605" s="1" t="s">
        <v>4386</v>
      </c>
    </row>
    <row r="606" spans="1:5" ht="21" x14ac:dyDescent="0.25">
      <c r="A606" s="2" t="str">
        <f>HYPERLINK("https://rth.dk/resources/bsgatlas/details.php?id=BSGatlas-internal_UTR-605","BSGatlas-internal_UTR-605")</f>
        <v>BSGatlas-internal_UTR-605</v>
      </c>
      <c r="B606" s="3">
        <v>2388589</v>
      </c>
      <c r="C606" s="3">
        <v>2388609</v>
      </c>
      <c r="D606" s="1" t="s">
        <v>13</v>
      </c>
      <c r="E606" s="1" t="s">
        <v>4386</v>
      </c>
    </row>
    <row r="607" spans="1:5" ht="21" x14ac:dyDescent="0.25">
      <c r="A607" s="2" t="str">
        <f>HYPERLINK("https://rth.dk/resources/bsgatlas/details.php?id=BSGatlas-internal_UTR-606","BSGatlas-internal_UTR-606")</f>
        <v>BSGatlas-internal_UTR-606</v>
      </c>
      <c r="B607" s="3">
        <v>2390189</v>
      </c>
      <c r="C607" s="3">
        <v>2390205</v>
      </c>
      <c r="D607" s="1" t="s">
        <v>13</v>
      </c>
      <c r="E607" s="1" t="s">
        <v>14708</v>
      </c>
    </row>
    <row r="608" spans="1:5" ht="21" x14ac:dyDescent="0.25">
      <c r="A608" s="2" t="str">
        <f>HYPERLINK("https://rth.dk/resources/bsgatlas/details.php?id=BSGatlas-internal_UTR-607","BSGatlas-internal_UTR-607")</f>
        <v>BSGatlas-internal_UTR-607</v>
      </c>
      <c r="B608" s="3">
        <v>2391517</v>
      </c>
      <c r="C608" s="3">
        <v>2391669</v>
      </c>
      <c r="D608" s="1" t="s">
        <v>13</v>
      </c>
      <c r="E608" s="1" t="s">
        <v>4386</v>
      </c>
    </row>
    <row r="609" spans="1:5" ht="21" x14ac:dyDescent="0.25">
      <c r="A609" s="2" t="str">
        <f>HYPERLINK("https://rth.dk/resources/bsgatlas/details.php?id=BSGatlas-internal_UTR-608","BSGatlas-internal_UTR-608")</f>
        <v>BSGatlas-internal_UTR-608</v>
      </c>
      <c r="B609" s="3">
        <v>2395813</v>
      </c>
      <c r="C609" s="3">
        <v>2396044</v>
      </c>
      <c r="D609" s="1" t="s">
        <v>13</v>
      </c>
      <c r="E609" s="1" t="s">
        <v>14711</v>
      </c>
    </row>
    <row r="610" spans="1:5" ht="21" x14ac:dyDescent="0.25">
      <c r="A610" s="2" t="str">
        <f>HYPERLINK("https://rth.dk/resources/bsgatlas/details.php?id=BSGatlas-internal_UTR-609","BSGatlas-internal_UTR-609")</f>
        <v>BSGatlas-internal_UTR-609</v>
      </c>
      <c r="B610" s="3">
        <v>2396720</v>
      </c>
      <c r="C610" s="3">
        <v>2396797</v>
      </c>
      <c r="D610" s="1" t="s">
        <v>13</v>
      </c>
      <c r="E610" s="1" t="s">
        <v>4386</v>
      </c>
    </row>
    <row r="611" spans="1:5" ht="21" x14ac:dyDescent="0.25">
      <c r="A611" s="2" t="str">
        <f>HYPERLINK("https://rth.dk/resources/bsgatlas/details.php?id=BSGatlas-internal_UTR-610","BSGatlas-internal_UTR-610")</f>
        <v>BSGatlas-internal_UTR-610</v>
      </c>
      <c r="B611" s="3">
        <v>2396975</v>
      </c>
      <c r="C611" s="3">
        <v>2397018</v>
      </c>
      <c r="D611" s="1" t="s">
        <v>13</v>
      </c>
      <c r="E611" s="1" t="s">
        <v>4386</v>
      </c>
    </row>
    <row r="612" spans="1:5" ht="21" x14ac:dyDescent="0.25">
      <c r="A612" s="2" t="str">
        <f>HYPERLINK("https://rth.dk/resources/bsgatlas/details.php?id=BSGatlas-internal_UTR-611","BSGatlas-internal_UTR-611")</f>
        <v>BSGatlas-internal_UTR-611</v>
      </c>
      <c r="B612" s="3">
        <v>2399118</v>
      </c>
      <c r="C612" s="3">
        <v>2399151</v>
      </c>
      <c r="D612" s="1" t="s">
        <v>13</v>
      </c>
      <c r="E612" s="1" t="s">
        <v>4386</v>
      </c>
    </row>
    <row r="613" spans="1:5" ht="21" x14ac:dyDescent="0.25">
      <c r="A613" s="2" t="str">
        <f>HYPERLINK("https://rth.dk/resources/bsgatlas/details.php?id=BSGatlas-internal_UTR-612","BSGatlas-internal_UTR-612")</f>
        <v>BSGatlas-internal_UTR-612</v>
      </c>
      <c r="B613" s="3">
        <v>2417904</v>
      </c>
      <c r="C613" s="3">
        <v>2417983</v>
      </c>
      <c r="D613" s="1" t="s">
        <v>13</v>
      </c>
      <c r="E613" s="1" t="s">
        <v>4386</v>
      </c>
    </row>
    <row r="614" spans="1:5" ht="21" x14ac:dyDescent="0.25">
      <c r="A614" s="2" t="str">
        <f>HYPERLINK("https://rth.dk/resources/bsgatlas/details.php?id=BSGatlas-internal_UTR-613","BSGatlas-internal_UTR-613")</f>
        <v>BSGatlas-internal_UTR-613</v>
      </c>
      <c r="B614" s="3">
        <v>2419160</v>
      </c>
      <c r="C614" s="3">
        <v>2419178</v>
      </c>
      <c r="D614" s="1" t="s">
        <v>13</v>
      </c>
      <c r="E614" s="1" t="s">
        <v>4386</v>
      </c>
    </row>
    <row r="615" spans="1:5" ht="21" x14ac:dyDescent="0.25">
      <c r="A615" s="2" t="str">
        <f>HYPERLINK("https://rth.dk/resources/bsgatlas/details.php?id=BSGatlas-internal_UTR-614","BSGatlas-internal_UTR-614")</f>
        <v>BSGatlas-internal_UTR-614</v>
      </c>
      <c r="B615" s="3">
        <v>2421344</v>
      </c>
      <c r="C615" s="3">
        <v>2421437</v>
      </c>
      <c r="D615" s="1" t="s">
        <v>13</v>
      </c>
      <c r="E615" s="1" t="s">
        <v>4386</v>
      </c>
    </row>
    <row r="616" spans="1:5" ht="21" x14ac:dyDescent="0.25">
      <c r="A616" s="2" t="str">
        <f>HYPERLINK("https://rth.dk/resources/bsgatlas/details.php?id=BSGatlas-internal_UTR-615","BSGatlas-internal_UTR-615")</f>
        <v>BSGatlas-internal_UTR-615</v>
      </c>
      <c r="B616" s="3">
        <v>2425194</v>
      </c>
      <c r="C616" s="3">
        <v>2425247</v>
      </c>
      <c r="D616" s="1" t="s">
        <v>13</v>
      </c>
      <c r="E616" s="1" t="s">
        <v>4377</v>
      </c>
    </row>
    <row r="617" spans="1:5" ht="21" x14ac:dyDescent="0.25">
      <c r="A617" s="2" t="str">
        <f>HYPERLINK("https://rth.dk/resources/bsgatlas/details.php?id=BSGatlas-internal_UTR-616","BSGatlas-internal_UTR-616")</f>
        <v>BSGatlas-internal_UTR-616</v>
      </c>
      <c r="B617" s="3">
        <v>2427780</v>
      </c>
      <c r="C617" s="3">
        <v>2427891</v>
      </c>
      <c r="D617" s="1" t="s">
        <v>13</v>
      </c>
      <c r="E617" s="1" t="s">
        <v>4377</v>
      </c>
    </row>
    <row r="618" spans="1:5" ht="21" x14ac:dyDescent="0.25">
      <c r="A618" s="2" t="str">
        <f>HYPERLINK("https://rth.dk/resources/bsgatlas/details.php?id=BSGatlas-internal_UTR-617","BSGatlas-internal_UTR-617")</f>
        <v>BSGatlas-internal_UTR-617</v>
      </c>
      <c r="B618" s="3">
        <v>2428357</v>
      </c>
      <c r="C618" s="3">
        <v>2428388</v>
      </c>
      <c r="D618" s="1" t="s">
        <v>13</v>
      </c>
      <c r="E618" s="1" t="s">
        <v>4377</v>
      </c>
    </row>
    <row r="619" spans="1:5" ht="21" x14ac:dyDescent="0.25">
      <c r="A619" s="2" t="str">
        <f>HYPERLINK("https://rth.dk/resources/bsgatlas/details.php?id=BSGatlas-internal_UTR-618","BSGatlas-internal_UTR-618")</f>
        <v>BSGatlas-internal_UTR-618</v>
      </c>
      <c r="B619" s="3">
        <v>2432871</v>
      </c>
      <c r="C619" s="3">
        <v>2433315</v>
      </c>
      <c r="D619" s="1" t="s">
        <v>13</v>
      </c>
      <c r="E619" s="1" t="s">
        <v>4373</v>
      </c>
    </row>
    <row r="620" spans="1:5" ht="21" x14ac:dyDescent="0.25">
      <c r="A620" s="2" t="str">
        <f>HYPERLINK("https://rth.dk/resources/bsgatlas/details.php?id=BSGatlas-internal_UTR-619","BSGatlas-internal_UTR-619")</f>
        <v>BSGatlas-internal_UTR-619</v>
      </c>
      <c r="B620" s="3">
        <v>2438267</v>
      </c>
      <c r="C620" s="3">
        <v>2438371</v>
      </c>
      <c r="D620" s="1" t="s">
        <v>13</v>
      </c>
      <c r="E620" s="1" t="s">
        <v>4386</v>
      </c>
    </row>
    <row r="621" spans="1:5" ht="21" x14ac:dyDescent="0.25">
      <c r="A621" s="2" t="str">
        <f>HYPERLINK("https://rth.dk/resources/bsgatlas/details.php?id=BSGatlas-internal_UTR-620","BSGatlas-internal_UTR-620")</f>
        <v>BSGatlas-internal_UTR-620</v>
      </c>
      <c r="B621" s="3">
        <v>2444999</v>
      </c>
      <c r="C621" s="3">
        <v>2445093</v>
      </c>
      <c r="D621" s="1" t="s">
        <v>13</v>
      </c>
      <c r="E621" s="1" t="s">
        <v>4373</v>
      </c>
    </row>
    <row r="622" spans="1:5" ht="21" x14ac:dyDescent="0.25">
      <c r="A622" s="2" t="str">
        <f>HYPERLINK("https://rth.dk/resources/bsgatlas/details.php?id=BSGatlas-internal_UTR-621","BSGatlas-internal_UTR-621")</f>
        <v>BSGatlas-internal_UTR-621</v>
      </c>
      <c r="B622" s="3">
        <v>2452783</v>
      </c>
      <c r="C622" s="3">
        <v>2452799</v>
      </c>
      <c r="D622" s="1" t="s">
        <v>13</v>
      </c>
      <c r="E622" s="1" t="s">
        <v>4397</v>
      </c>
    </row>
    <row r="623" spans="1:5" ht="21" x14ac:dyDescent="0.25">
      <c r="A623" s="2" t="str">
        <f>HYPERLINK("https://rth.dk/resources/bsgatlas/details.php?id=BSGatlas-internal_UTR-622","BSGatlas-internal_UTR-622")</f>
        <v>BSGatlas-internal_UTR-622</v>
      </c>
      <c r="B623" s="3">
        <v>2454207</v>
      </c>
      <c r="C623" s="3">
        <v>2454346</v>
      </c>
      <c r="D623" s="1" t="s">
        <v>13</v>
      </c>
      <c r="E623" s="1" t="s">
        <v>4397</v>
      </c>
    </row>
    <row r="624" spans="1:5" ht="21" x14ac:dyDescent="0.25">
      <c r="A624" s="2" t="str">
        <f>HYPERLINK("https://rth.dk/resources/bsgatlas/details.php?id=BSGatlas-internal_UTR-623","BSGatlas-internal_UTR-623")</f>
        <v>BSGatlas-internal_UTR-623</v>
      </c>
      <c r="B624" s="3">
        <v>2455775</v>
      </c>
      <c r="C624" s="3">
        <v>2455818</v>
      </c>
      <c r="D624" s="1" t="s">
        <v>13</v>
      </c>
      <c r="E624" s="1" t="s">
        <v>14706</v>
      </c>
    </row>
    <row r="625" spans="1:5" ht="21" x14ac:dyDescent="0.25">
      <c r="A625" s="2" t="str">
        <f>HYPERLINK("https://rth.dk/resources/bsgatlas/details.php?id=BSGatlas-internal_UTR-624","BSGatlas-internal_UTR-624")</f>
        <v>BSGatlas-internal_UTR-624</v>
      </c>
      <c r="B625" s="3">
        <v>2459264</v>
      </c>
      <c r="C625" s="3">
        <v>2459325</v>
      </c>
      <c r="D625" s="1" t="s">
        <v>9</v>
      </c>
      <c r="E625" s="1" t="s">
        <v>4377</v>
      </c>
    </row>
    <row r="626" spans="1:5" ht="21" x14ac:dyDescent="0.25">
      <c r="A626" s="2" t="str">
        <f>HYPERLINK("https://rth.dk/resources/bsgatlas/details.php?id=BSGatlas-internal_UTR-625","BSGatlas-internal_UTR-625")</f>
        <v>BSGatlas-internal_UTR-625</v>
      </c>
      <c r="B626" s="3">
        <v>2464042</v>
      </c>
      <c r="C626" s="3">
        <v>2464226</v>
      </c>
      <c r="D626" s="1" t="s">
        <v>13</v>
      </c>
      <c r="E626" s="1" t="s">
        <v>4377</v>
      </c>
    </row>
    <row r="627" spans="1:5" ht="21" x14ac:dyDescent="0.25">
      <c r="A627" s="2" t="str">
        <f>HYPERLINK("https://rth.dk/resources/bsgatlas/details.php?id=BSGatlas-internal_UTR-626","BSGatlas-internal_UTR-626")</f>
        <v>BSGatlas-internal_UTR-626</v>
      </c>
      <c r="B627" s="3">
        <v>2469509</v>
      </c>
      <c r="C627" s="3">
        <v>2469579</v>
      </c>
      <c r="D627" s="1" t="s">
        <v>13</v>
      </c>
      <c r="E627" s="1" t="s">
        <v>4382</v>
      </c>
    </row>
    <row r="628" spans="1:5" ht="21" x14ac:dyDescent="0.25">
      <c r="A628" s="2" t="str">
        <f>HYPERLINK("https://rth.dk/resources/bsgatlas/details.php?id=BSGatlas-internal_UTR-627","BSGatlas-internal_UTR-627")</f>
        <v>BSGatlas-internal_UTR-627</v>
      </c>
      <c r="B628" s="3">
        <v>2470927</v>
      </c>
      <c r="C628" s="3">
        <v>2471001</v>
      </c>
      <c r="D628" s="1" t="s">
        <v>13</v>
      </c>
      <c r="E628" s="1" t="s">
        <v>4382</v>
      </c>
    </row>
    <row r="629" spans="1:5" ht="21" x14ac:dyDescent="0.25">
      <c r="A629" s="2" t="str">
        <f>HYPERLINK("https://rth.dk/resources/bsgatlas/details.php?id=BSGatlas-internal_UTR-628","BSGatlas-internal_UTR-628")</f>
        <v>BSGatlas-internal_UTR-628</v>
      </c>
      <c r="B629" s="3">
        <v>2477926</v>
      </c>
      <c r="C629" s="3">
        <v>2478005</v>
      </c>
      <c r="D629" s="1" t="s">
        <v>13</v>
      </c>
      <c r="E629" s="1" t="s">
        <v>4377</v>
      </c>
    </row>
    <row r="630" spans="1:5" ht="21" x14ac:dyDescent="0.25">
      <c r="A630" s="2" t="str">
        <f>HYPERLINK("https://rth.dk/resources/bsgatlas/details.php?id=BSGatlas-internal_UTR-629","BSGatlas-internal_UTR-629")</f>
        <v>BSGatlas-internal_UTR-629</v>
      </c>
      <c r="B630" s="3">
        <v>2482160</v>
      </c>
      <c r="C630" s="3">
        <v>2482268</v>
      </c>
      <c r="D630" s="1" t="s">
        <v>13</v>
      </c>
      <c r="E630" s="1" t="s">
        <v>4373</v>
      </c>
    </row>
    <row r="631" spans="1:5" ht="21" x14ac:dyDescent="0.25">
      <c r="A631" s="2" t="str">
        <f>HYPERLINK("https://rth.dk/resources/bsgatlas/details.php?id=BSGatlas-internal_UTR-630","BSGatlas-internal_UTR-630")</f>
        <v>BSGatlas-internal_UTR-630</v>
      </c>
      <c r="B631" s="3">
        <v>2483874</v>
      </c>
      <c r="C631" s="3">
        <v>2483903</v>
      </c>
      <c r="D631" s="1" t="s">
        <v>9</v>
      </c>
      <c r="E631" s="1" t="s">
        <v>4373</v>
      </c>
    </row>
    <row r="632" spans="1:5" ht="21" x14ac:dyDescent="0.25">
      <c r="A632" s="2" t="str">
        <f>HYPERLINK("https://rth.dk/resources/bsgatlas/details.php?id=BSGatlas-internal_UTR-631","BSGatlas-internal_UTR-631")</f>
        <v>BSGatlas-internal_UTR-631</v>
      </c>
      <c r="B632" s="3">
        <v>2488752</v>
      </c>
      <c r="C632" s="3">
        <v>2488952</v>
      </c>
      <c r="D632" s="1" t="s">
        <v>13</v>
      </c>
      <c r="E632" s="1" t="s">
        <v>4377</v>
      </c>
    </row>
    <row r="633" spans="1:5" ht="21" x14ac:dyDescent="0.25">
      <c r="A633" s="2" t="str">
        <f>HYPERLINK("https://rth.dk/resources/bsgatlas/details.php?id=BSGatlas-internal_UTR-632","BSGatlas-internal_UTR-632")</f>
        <v>BSGatlas-internal_UTR-632</v>
      </c>
      <c r="B633" s="3">
        <v>2491949</v>
      </c>
      <c r="C633" s="3">
        <v>2492028</v>
      </c>
      <c r="D633" s="1" t="s">
        <v>13</v>
      </c>
      <c r="E633" s="1" t="s">
        <v>4373</v>
      </c>
    </row>
    <row r="634" spans="1:5" ht="21" x14ac:dyDescent="0.25">
      <c r="A634" s="2" t="str">
        <f>HYPERLINK("https://rth.dk/resources/bsgatlas/details.php?id=BSGatlas-internal_UTR-633","BSGatlas-internal_UTR-633")</f>
        <v>BSGatlas-internal_UTR-633</v>
      </c>
      <c r="B634" s="3">
        <v>2494556</v>
      </c>
      <c r="C634" s="3">
        <v>2494655</v>
      </c>
      <c r="D634" s="1" t="s">
        <v>9</v>
      </c>
      <c r="E634" s="1" t="s">
        <v>4373</v>
      </c>
    </row>
    <row r="635" spans="1:5" ht="21" x14ac:dyDescent="0.25">
      <c r="A635" s="2" t="str">
        <f>HYPERLINK("https://rth.dk/resources/bsgatlas/details.php?id=BSGatlas-internal_UTR-634","BSGatlas-internal_UTR-634")</f>
        <v>BSGatlas-internal_UTR-634</v>
      </c>
      <c r="B635" s="3">
        <v>2495826</v>
      </c>
      <c r="C635" s="3">
        <v>2495897</v>
      </c>
      <c r="D635" s="1" t="s">
        <v>9</v>
      </c>
      <c r="E635" s="1" t="s">
        <v>4373</v>
      </c>
    </row>
    <row r="636" spans="1:5" ht="21" x14ac:dyDescent="0.25">
      <c r="A636" s="2" t="str">
        <f>HYPERLINK("https://rth.dk/resources/bsgatlas/details.php?id=BSGatlas-internal_UTR-635","BSGatlas-internal_UTR-635")</f>
        <v>BSGatlas-internal_UTR-635</v>
      </c>
      <c r="B636" s="3">
        <v>2498071</v>
      </c>
      <c r="C636" s="3">
        <v>2498092</v>
      </c>
      <c r="D636" s="1" t="s">
        <v>13</v>
      </c>
      <c r="E636" s="1" t="s">
        <v>4377</v>
      </c>
    </row>
    <row r="637" spans="1:5" ht="21" x14ac:dyDescent="0.25">
      <c r="A637" s="2" t="str">
        <f>HYPERLINK("https://rth.dk/resources/bsgatlas/details.php?id=BSGatlas-internal_UTR-636","BSGatlas-internal_UTR-636")</f>
        <v>BSGatlas-internal_UTR-636</v>
      </c>
      <c r="B637" s="3">
        <v>2500083</v>
      </c>
      <c r="C637" s="3">
        <v>2500103</v>
      </c>
      <c r="D637" s="1" t="s">
        <v>13</v>
      </c>
      <c r="E637" s="1" t="s">
        <v>4377</v>
      </c>
    </row>
    <row r="638" spans="1:5" ht="21" x14ac:dyDescent="0.25">
      <c r="A638" s="2" t="str">
        <f>HYPERLINK("https://rth.dk/resources/bsgatlas/details.php?id=BSGatlas-internal_UTR-637","BSGatlas-internal_UTR-637")</f>
        <v>BSGatlas-internal_UTR-637</v>
      </c>
      <c r="B638" s="3">
        <v>2501529</v>
      </c>
      <c r="C638" s="3">
        <v>2501548</v>
      </c>
      <c r="D638" s="1" t="s">
        <v>13</v>
      </c>
      <c r="E638" s="1" t="s">
        <v>4377</v>
      </c>
    </row>
    <row r="639" spans="1:5" ht="21" x14ac:dyDescent="0.25">
      <c r="A639" s="2" t="str">
        <f>HYPERLINK("https://rth.dk/resources/bsgatlas/details.php?id=BSGatlas-internal_UTR-638","BSGatlas-internal_UTR-638")</f>
        <v>BSGatlas-internal_UTR-638</v>
      </c>
      <c r="B639" s="3">
        <v>2502641</v>
      </c>
      <c r="C639" s="3">
        <v>2502658</v>
      </c>
      <c r="D639" s="1" t="s">
        <v>13</v>
      </c>
      <c r="E639" s="1" t="s">
        <v>4377</v>
      </c>
    </row>
    <row r="640" spans="1:5" ht="21" x14ac:dyDescent="0.25">
      <c r="A640" s="2" t="str">
        <f>HYPERLINK("https://rth.dk/resources/bsgatlas/details.php?id=BSGatlas-internal_UTR-639","BSGatlas-internal_UTR-639")</f>
        <v>BSGatlas-internal_UTR-639</v>
      </c>
      <c r="B640" s="3">
        <v>2508204</v>
      </c>
      <c r="C640" s="3">
        <v>2508220</v>
      </c>
      <c r="D640" s="1" t="s">
        <v>13</v>
      </c>
      <c r="E640" s="1" t="s">
        <v>4377</v>
      </c>
    </row>
    <row r="641" spans="1:5" ht="21" x14ac:dyDescent="0.25">
      <c r="A641" s="2" t="str">
        <f>HYPERLINK("https://rth.dk/resources/bsgatlas/details.php?id=BSGatlas-internal_UTR-640","BSGatlas-internal_UTR-640")</f>
        <v>BSGatlas-internal_UTR-640</v>
      </c>
      <c r="B641" s="3">
        <v>2510773</v>
      </c>
      <c r="C641" s="3">
        <v>2510805</v>
      </c>
      <c r="D641" s="1" t="s">
        <v>13</v>
      </c>
      <c r="E641" s="1" t="s">
        <v>4377</v>
      </c>
    </row>
    <row r="642" spans="1:5" ht="21" x14ac:dyDescent="0.25">
      <c r="A642" s="2" t="str">
        <f>HYPERLINK("https://rth.dk/resources/bsgatlas/details.php?id=BSGatlas-internal_UTR-641","BSGatlas-internal_UTR-641")</f>
        <v>BSGatlas-internal_UTR-641</v>
      </c>
      <c r="B642" s="3">
        <v>2511946</v>
      </c>
      <c r="C642" s="3">
        <v>2511972</v>
      </c>
      <c r="D642" s="1" t="s">
        <v>13</v>
      </c>
      <c r="E642" s="1" t="s">
        <v>4377</v>
      </c>
    </row>
    <row r="643" spans="1:5" ht="21" x14ac:dyDescent="0.25">
      <c r="A643" s="2" t="str">
        <f>HYPERLINK("https://rth.dk/resources/bsgatlas/details.php?id=BSGatlas-internal_UTR-642","BSGatlas-internal_UTR-642")</f>
        <v>BSGatlas-internal_UTR-642</v>
      </c>
      <c r="B643" s="3">
        <v>2512837</v>
      </c>
      <c r="C643" s="3">
        <v>2512860</v>
      </c>
      <c r="D643" s="1" t="s">
        <v>13</v>
      </c>
      <c r="E643" s="1" t="s">
        <v>4377</v>
      </c>
    </row>
    <row r="644" spans="1:5" ht="21" x14ac:dyDescent="0.25">
      <c r="A644" s="2" t="str">
        <f>HYPERLINK("https://rth.dk/resources/bsgatlas/details.php?id=BSGatlas-internal_UTR-643","BSGatlas-internal_UTR-643")</f>
        <v>BSGatlas-internal_UTR-643</v>
      </c>
      <c r="B644" s="3">
        <v>2514901</v>
      </c>
      <c r="C644" s="3">
        <v>2514978</v>
      </c>
      <c r="D644" s="1" t="s">
        <v>13</v>
      </c>
      <c r="E644" s="1" t="s">
        <v>4373</v>
      </c>
    </row>
    <row r="645" spans="1:5" ht="21" x14ac:dyDescent="0.25">
      <c r="A645" s="2" t="str">
        <f>HYPERLINK("https://rth.dk/resources/bsgatlas/details.php?id=BSGatlas-internal_UTR-644","BSGatlas-internal_UTR-644")</f>
        <v>BSGatlas-internal_UTR-644</v>
      </c>
      <c r="B645" s="3">
        <v>2522288</v>
      </c>
      <c r="C645" s="3">
        <v>2522323</v>
      </c>
      <c r="D645" s="1" t="s">
        <v>13</v>
      </c>
      <c r="E645" s="1" t="s">
        <v>14705</v>
      </c>
    </row>
    <row r="646" spans="1:5" ht="21" x14ac:dyDescent="0.25">
      <c r="A646" s="2" t="str">
        <f>HYPERLINK("https://rth.dk/resources/bsgatlas/details.php?id=BSGatlas-internal_UTR-645","BSGatlas-internal_UTR-645")</f>
        <v>BSGatlas-internal_UTR-645</v>
      </c>
      <c r="B646" s="3">
        <v>2522774</v>
      </c>
      <c r="C646" s="3">
        <v>2522870</v>
      </c>
      <c r="D646" s="1" t="s">
        <v>13</v>
      </c>
      <c r="E646" s="1" t="s">
        <v>4377</v>
      </c>
    </row>
    <row r="647" spans="1:5" ht="21" x14ac:dyDescent="0.25">
      <c r="A647" s="2" t="str">
        <f>HYPERLINK("https://rth.dk/resources/bsgatlas/details.php?id=BSGatlas-internal_UTR-646","BSGatlas-internal_UTR-646")</f>
        <v>BSGatlas-internal_UTR-646</v>
      </c>
      <c r="B647" s="3">
        <v>2530334</v>
      </c>
      <c r="C647" s="3">
        <v>2530353</v>
      </c>
      <c r="D647" s="1" t="s">
        <v>13</v>
      </c>
      <c r="E647" s="1" t="s">
        <v>4386</v>
      </c>
    </row>
    <row r="648" spans="1:5" ht="21" x14ac:dyDescent="0.25">
      <c r="A648" s="2" t="str">
        <f>HYPERLINK("https://rth.dk/resources/bsgatlas/details.php?id=BSGatlas-internal_UTR-647","BSGatlas-internal_UTR-647")</f>
        <v>BSGatlas-internal_UTR-647</v>
      </c>
      <c r="B648" s="3">
        <v>2535526</v>
      </c>
      <c r="C648" s="3">
        <v>2535543</v>
      </c>
      <c r="D648" s="1" t="s">
        <v>13</v>
      </c>
      <c r="E648" s="1" t="s">
        <v>14708</v>
      </c>
    </row>
    <row r="649" spans="1:5" ht="21" x14ac:dyDescent="0.25">
      <c r="A649" s="2" t="str">
        <f>HYPERLINK("https://rth.dk/resources/bsgatlas/details.php?id=BSGatlas-internal_UTR-648","BSGatlas-internal_UTR-648")</f>
        <v>BSGatlas-internal_UTR-648</v>
      </c>
      <c r="B649" s="3">
        <v>2536159</v>
      </c>
      <c r="C649" s="3">
        <v>2536180</v>
      </c>
      <c r="D649" s="1" t="s">
        <v>13</v>
      </c>
      <c r="E649" s="1" t="s">
        <v>14708</v>
      </c>
    </row>
    <row r="650" spans="1:5" ht="21" x14ac:dyDescent="0.25">
      <c r="A650" s="2" t="str">
        <f>HYPERLINK("https://rth.dk/resources/bsgatlas/details.php?id=BSGatlas-internal_UTR-649","BSGatlas-internal_UTR-649")</f>
        <v>BSGatlas-internal_UTR-649</v>
      </c>
      <c r="B650" s="3">
        <v>2537614</v>
      </c>
      <c r="C650" s="3">
        <v>2537688</v>
      </c>
      <c r="D650" s="1" t="s">
        <v>13</v>
      </c>
      <c r="E650" s="1" t="s">
        <v>4386</v>
      </c>
    </row>
    <row r="651" spans="1:5" ht="21" x14ac:dyDescent="0.25">
      <c r="A651" s="2" t="str">
        <f>HYPERLINK("https://rth.dk/resources/bsgatlas/details.php?id=BSGatlas-internal_UTR-650","BSGatlas-internal_UTR-650")</f>
        <v>BSGatlas-internal_UTR-650</v>
      </c>
      <c r="B651" s="3">
        <v>2538673</v>
      </c>
      <c r="C651" s="3">
        <v>2538696</v>
      </c>
      <c r="D651" s="1" t="s">
        <v>13</v>
      </c>
      <c r="E651" s="1" t="s">
        <v>14706</v>
      </c>
    </row>
    <row r="652" spans="1:5" ht="21" x14ac:dyDescent="0.25">
      <c r="A652" s="2" t="str">
        <f>HYPERLINK("https://rth.dk/resources/bsgatlas/details.php?id=BSGatlas-internal_UTR-651","BSGatlas-internal_UTR-651")</f>
        <v>BSGatlas-internal_UTR-651</v>
      </c>
      <c r="B652" s="3">
        <v>2540202</v>
      </c>
      <c r="C652" s="3">
        <v>2540287</v>
      </c>
      <c r="D652" s="1" t="s">
        <v>13</v>
      </c>
      <c r="E652" s="1" t="s">
        <v>4397</v>
      </c>
    </row>
    <row r="653" spans="1:5" ht="21" x14ac:dyDescent="0.25">
      <c r="A653" s="2" t="str">
        <f>HYPERLINK("https://rth.dk/resources/bsgatlas/details.php?id=BSGatlas-internal_UTR-652","BSGatlas-internal_UTR-652")</f>
        <v>BSGatlas-internal_UTR-652</v>
      </c>
      <c r="B653" s="3">
        <v>2542008</v>
      </c>
      <c r="C653" s="3">
        <v>2542046</v>
      </c>
      <c r="D653" s="1" t="s">
        <v>9</v>
      </c>
      <c r="E653" s="1" t="s">
        <v>4377</v>
      </c>
    </row>
    <row r="654" spans="1:5" ht="21" x14ac:dyDescent="0.25">
      <c r="A654" s="2" t="str">
        <f>HYPERLINK("https://rth.dk/resources/bsgatlas/details.php?id=BSGatlas-internal_UTR-653","BSGatlas-internal_UTR-653")</f>
        <v>BSGatlas-internal_UTR-653</v>
      </c>
      <c r="B654" s="3">
        <v>2543869</v>
      </c>
      <c r="C654" s="3">
        <v>2543967</v>
      </c>
      <c r="D654" s="1" t="s">
        <v>13</v>
      </c>
      <c r="E654" s="1" t="s">
        <v>4386</v>
      </c>
    </row>
    <row r="655" spans="1:5" ht="21" x14ac:dyDescent="0.25">
      <c r="A655" s="2" t="str">
        <f>HYPERLINK("https://rth.dk/resources/bsgatlas/details.php?id=BSGatlas-internal_UTR-654","BSGatlas-internal_UTR-654")</f>
        <v>BSGatlas-internal_UTR-654</v>
      </c>
      <c r="B655" s="3">
        <v>2548216</v>
      </c>
      <c r="C655" s="3">
        <v>2548244</v>
      </c>
      <c r="D655" s="1" t="s">
        <v>13</v>
      </c>
      <c r="E655" s="1" t="s">
        <v>4386</v>
      </c>
    </row>
    <row r="656" spans="1:5" ht="21" x14ac:dyDescent="0.25">
      <c r="A656" s="2" t="str">
        <f>HYPERLINK("https://rth.dk/resources/bsgatlas/details.php?id=BSGatlas-internal_UTR-655","BSGatlas-internal_UTR-655")</f>
        <v>BSGatlas-internal_UTR-655</v>
      </c>
      <c r="B656" s="3">
        <v>2551449</v>
      </c>
      <c r="C656" s="3">
        <v>2551468</v>
      </c>
      <c r="D656" s="1" t="s">
        <v>9</v>
      </c>
      <c r="E656" s="1" t="s">
        <v>4373</v>
      </c>
    </row>
    <row r="657" spans="1:5" ht="21" x14ac:dyDescent="0.25">
      <c r="A657" s="2" t="str">
        <f>HYPERLINK("https://rth.dk/resources/bsgatlas/details.php?id=BSGatlas-internal_UTR-656","BSGatlas-internal_UTR-656")</f>
        <v>BSGatlas-internal_UTR-656</v>
      </c>
      <c r="B657" s="3">
        <v>2552620</v>
      </c>
      <c r="C657" s="3">
        <v>2552652</v>
      </c>
      <c r="D657" s="1" t="s">
        <v>9</v>
      </c>
      <c r="E657" s="1" t="s">
        <v>4373</v>
      </c>
    </row>
    <row r="658" spans="1:5" ht="21" x14ac:dyDescent="0.25">
      <c r="A658" s="2" t="str">
        <f>HYPERLINK("https://rth.dk/resources/bsgatlas/details.php?id=BSGatlas-internal_UTR-657","BSGatlas-internal_UTR-657")</f>
        <v>BSGatlas-internal_UTR-657</v>
      </c>
      <c r="B658" s="3">
        <v>2553867</v>
      </c>
      <c r="C658" s="3">
        <v>2553929</v>
      </c>
      <c r="D658" s="1" t="s">
        <v>13</v>
      </c>
      <c r="E658" s="1" t="s">
        <v>4386</v>
      </c>
    </row>
    <row r="659" spans="1:5" ht="21" x14ac:dyDescent="0.25">
      <c r="A659" s="2" t="str">
        <f>HYPERLINK("https://rth.dk/resources/bsgatlas/details.php?id=BSGatlas-internal_UTR-658","BSGatlas-internal_UTR-658")</f>
        <v>BSGatlas-internal_UTR-658</v>
      </c>
      <c r="B659" s="3">
        <v>2556067</v>
      </c>
      <c r="C659" s="3">
        <v>2556136</v>
      </c>
      <c r="D659" s="1" t="s">
        <v>13</v>
      </c>
      <c r="E659" s="1" t="s">
        <v>4386</v>
      </c>
    </row>
    <row r="660" spans="1:5" ht="21" x14ac:dyDescent="0.25">
      <c r="A660" s="2" t="str">
        <f>HYPERLINK("https://rth.dk/resources/bsgatlas/details.php?id=BSGatlas-internal_UTR-659","BSGatlas-internal_UTR-659")</f>
        <v>BSGatlas-internal_UTR-659</v>
      </c>
      <c r="B660" s="3">
        <v>2556896</v>
      </c>
      <c r="C660" s="3">
        <v>2556920</v>
      </c>
      <c r="D660" s="1" t="s">
        <v>13</v>
      </c>
      <c r="E660" s="1" t="s">
        <v>4386</v>
      </c>
    </row>
    <row r="661" spans="1:5" ht="21" x14ac:dyDescent="0.25">
      <c r="A661" s="2" t="str">
        <f>HYPERLINK("https://rth.dk/resources/bsgatlas/details.php?id=BSGatlas-internal_UTR-660","BSGatlas-internal_UTR-660")</f>
        <v>BSGatlas-internal_UTR-660</v>
      </c>
      <c r="B661" s="3">
        <v>2558955</v>
      </c>
      <c r="C661" s="3">
        <v>2559006</v>
      </c>
      <c r="D661" s="1" t="s">
        <v>13</v>
      </c>
      <c r="E661" s="1" t="s">
        <v>4386</v>
      </c>
    </row>
    <row r="662" spans="1:5" ht="21" x14ac:dyDescent="0.25">
      <c r="A662" s="2" t="str">
        <f>HYPERLINK("https://rth.dk/resources/bsgatlas/details.php?id=BSGatlas-internal_UTR-661","BSGatlas-internal_UTR-661")</f>
        <v>BSGatlas-internal_UTR-661</v>
      </c>
      <c r="B662" s="3">
        <v>2567299</v>
      </c>
      <c r="C662" s="3">
        <v>2567359</v>
      </c>
      <c r="D662" s="1" t="s">
        <v>13</v>
      </c>
      <c r="E662" s="1" t="s">
        <v>4386</v>
      </c>
    </row>
    <row r="663" spans="1:5" ht="21" x14ac:dyDescent="0.25">
      <c r="A663" s="2" t="str">
        <f>HYPERLINK("https://rth.dk/resources/bsgatlas/details.php?id=BSGatlas-internal_UTR-662","BSGatlas-internal_UTR-662")</f>
        <v>BSGatlas-internal_UTR-662</v>
      </c>
      <c r="B663" s="3">
        <v>2570490</v>
      </c>
      <c r="C663" s="3">
        <v>2570605</v>
      </c>
      <c r="D663" s="1" t="s">
        <v>13</v>
      </c>
      <c r="E663" s="1" t="s">
        <v>4386</v>
      </c>
    </row>
    <row r="664" spans="1:5" ht="21" x14ac:dyDescent="0.25">
      <c r="A664" s="2" t="str">
        <f>HYPERLINK("https://rth.dk/resources/bsgatlas/details.php?id=BSGatlas-internal_UTR-663","BSGatlas-internal_UTR-663")</f>
        <v>BSGatlas-internal_UTR-663</v>
      </c>
      <c r="B664" s="3">
        <v>2571798</v>
      </c>
      <c r="C664" s="3">
        <v>2571906</v>
      </c>
      <c r="D664" s="1" t="s">
        <v>13</v>
      </c>
      <c r="E664" s="1" t="s">
        <v>4386</v>
      </c>
    </row>
    <row r="665" spans="1:5" ht="21" x14ac:dyDescent="0.25">
      <c r="A665" s="2" t="str">
        <f>HYPERLINK("https://rth.dk/resources/bsgatlas/details.php?id=BSGatlas-internal_UTR-664","BSGatlas-internal_UTR-664")</f>
        <v>BSGatlas-internal_UTR-664</v>
      </c>
      <c r="B665" s="3">
        <v>2573431</v>
      </c>
      <c r="C665" s="3">
        <v>2573519</v>
      </c>
      <c r="D665" s="1" t="s">
        <v>13</v>
      </c>
      <c r="E665" s="1" t="s">
        <v>4386</v>
      </c>
    </row>
    <row r="666" spans="1:5" ht="21" x14ac:dyDescent="0.25">
      <c r="A666" s="2" t="str">
        <f>HYPERLINK("https://rth.dk/resources/bsgatlas/details.php?id=BSGatlas-internal_UTR-665","BSGatlas-internal_UTR-665")</f>
        <v>BSGatlas-internal_UTR-665</v>
      </c>
      <c r="B666" s="3">
        <v>2574558</v>
      </c>
      <c r="C666" s="3">
        <v>2574640</v>
      </c>
      <c r="D666" s="1" t="s">
        <v>13</v>
      </c>
      <c r="E666" s="1" t="s">
        <v>4377</v>
      </c>
    </row>
    <row r="667" spans="1:5" ht="21" x14ac:dyDescent="0.25">
      <c r="A667" s="2" t="str">
        <f>HYPERLINK("https://rth.dk/resources/bsgatlas/details.php?id=BSGatlas-internal_UTR-666","BSGatlas-internal_UTR-666")</f>
        <v>BSGatlas-internal_UTR-666</v>
      </c>
      <c r="B667" s="3">
        <v>2578813</v>
      </c>
      <c r="C667" s="3">
        <v>2578832</v>
      </c>
      <c r="D667" s="1" t="s">
        <v>13</v>
      </c>
      <c r="E667" s="1" t="s">
        <v>4386</v>
      </c>
    </row>
    <row r="668" spans="1:5" ht="21" x14ac:dyDescent="0.25">
      <c r="A668" s="2" t="str">
        <f>HYPERLINK("https://rth.dk/resources/bsgatlas/details.php?id=BSGatlas-internal_UTR-667","BSGatlas-internal_UTR-667")</f>
        <v>BSGatlas-internal_UTR-667</v>
      </c>
      <c r="B668" s="3">
        <v>2580647</v>
      </c>
      <c r="C668" s="3">
        <v>2580714</v>
      </c>
      <c r="D668" s="1" t="s">
        <v>13</v>
      </c>
      <c r="E668" s="1" t="s">
        <v>4386</v>
      </c>
    </row>
    <row r="669" spans="1:5" ht="21" x14ac:dyDescent="0.25">
      <c r="A669" s="2" t="str">
        <f>HYPERLINK("https://rth.dk/resources/bsgatlas/details.php?id=BSGatlas-internal_UTR-668","BSGatlas-internal_UTR-668")</f>
        <v>BSGatlas-internal_UTR-668</v>
      </c>
      <c r="B669" s="3">
        <v>2586043</v>
      </c>
      <c r="C669" s="3">
        <v>2586220</v>
      </c>
      <c r="D669" s="1" t="s">
        <v>13</v>
      </c>
      <c r="E669" s="1" t="s">
        <v>4386</v>
      </c>
    </row>
    <row r="670" spans="1:5" ht="21" x14ac:dyDescent="0.25">
      <c r="A670" s="2" t="str">
        <f>HYPERLINK("https://rth.dk/resources/bsgatlas/details.php?id=BSGatlas-internal_UTR-669","BSGatlas-internal_UTR-669")</f>
        <v>BSGatlas-internal_UTR-669</v>
      </c>
      <c r="B670" s="3">
        <v>2589001</v>
      </c>
      <c r="C670" s="3">
        <v>2589122</v>
      </c>
      <c r="D670" s="1" t="s">
        <v>9</v>
      </c>
      <c r="E670" s="1" t="s">
        <v>4373</v>
      </c>
    </row>
    <row r="671" spans="1:5" ht="21" x14ac:dyDescent="0.25">
      <c r="A671" s="2" t="str">
        <f>HYPERLINK("https://rth.dk/resources/bsgatlas/details.php?id=BSGatlas-internal_UTR-670","BSGatlas-internal_UTR-670")</f>
        <v>BSGatlas-internal_UTR-670</v>
      </c>
      <c r="B671" s="3">
        <v>2591866</v>
      </c>
      <c r="C671" s="3">
        <v>2592002</v>
      </c>
      <c r="D671" s="1" t="s">
        <v>13</v>
      </c>
      <c r="E671" s="1" t="s">
        <v>4373</v>
      </c>
    </row>
    <row r="672" spans="1:5" ht="21" x14ac:dyDescent="0.25">
      <c r="A672" s="2" t="str">
        <f>HYPERLINK("https://rth.dk/resources/bsgatlas/details.php?id=BSGatlas-internal_UTR-671","BSGatlas-internal_UTR-671")</f>
        <v>BSGatlas-internal_UTR-671</v>
      </c>
      <c r="B672" s="3">
        <v>2592885</v>
      </c>
      <c r="C672" s="3">
        <v>2593280</v>
      </c>
      <c r="D672" s="1" t="s">
        <v>13</v>
      </c>
      <c r="E672" s="1" t="s">
        <v>4377</v>
      </c>
    </row>
    <row r="673" spans="1:5" ht="21" x14ac:dyDescent="0.25">
      <c r="A673" s="2" t="str">
        <f>HYPERLINK("https://rth.dk/resources/bsgatlas/details.php?id=BSGatlas-internal_UTR-672","BSGatlas-internal_UTR-672")</f>
        <v>BSGatlas-internal_UTR-672</v>
      </c>
      <c r="B673" s="3">
        <v>2596413</v>
      </c>
      <c r="C673" s="3">
        <v>2596534</v>
      </c>
      <c r="D673" s="1" t="s">
        <v>9</v>
      </c>
      <c r="E673" s="1" t="s">
        <v>4377</v>
      </c>
    </row>
    <row r="674" spans="1:5" ht="21" x14ac:dyDescent="0.25">
      <c r="A674" s="2" t="str">
        <f>HYPERLINK("https://rth.dk/resources/bsgatlas/details.php?id=BSGatlas-internal_UTR-673","BSGatlas-internal_UTR-673")</f>
        <v>BSGatlas-internal_UTR-673</v>
      </c>
      <c r="B674" s="3">
        <v>2601330</v>
      </c>
      <c r="C674" s="3">
        <v>2601527</v>
      </c>
      <c r="D674" s="1" t="s">
        <v>13</v>
      </c>
      <c r="E674" s="1" t="s">
        <v>4386</v>
      </c>
    </row>
    <row r="675" spans="1:5" ht="21" x14ac:dyDescent="0.25">
      <c r="A675" s="2" t="str">
        <f>HYPERLINK("https://rth.dk/resources/bsgatlas/details.php?id=BSGatlas-internal_UTR-674","BSGatlas-internal_UTR-674")</f>
        <v>BSGatlas-internal_UTR-674</v>
      </c>
      <c r="B675" s="3">
        <v>2603340</v>
      </c>
      <c r="C675" s="3">
        <v>2603372</v>
      </c>
      <c r="D675" s="1" t="s">
        <v>13</v>
      </c>
      <c r="E675" s="1" t="s">
        <v>4386</v>
      </c>
    </row>
    <row r="676" spans="1:5" ht="21" x14ac:dyDescent="0.25">
      <c r="A676" s="2" t="str">
        <f>HYPERLINK("https://rth.dk/resources/bsgatlas/details.php?id=BSGatlas-internal_UTR-675","BSGatlas-internal_UTR-675")</f>
        <v>BSGatlas-internal_UTR-675</v>
      </c>
      <c r="B676" s="3">
        <v>2604934</v>
      </c>
      <c r="C676" s="3">
        <v>2604958</v>
      </c>
      <c r="D676" s="1" t="s">
        <v>13</v>
      </c>
      <c r="E676" s="1" t="s">
        <v>4373</v>
      </c>
    </row>
    <row r="677" spans="1:5" ht="21" x14ac:dyDescent="0.25">
      <c r="A677" s="2" t="str">
        <f>HYPERLINK("https://rth.dk/resources/bsgatlas/details.php?id=BSGatlas-internal_UTR-676","BSGatlas-internal_UTR-676")</f>
        <v>BSGatlas-internal_UTR-676</v>
      </c>
      <c r="B677" s="3">
        <v>2609714</v>
      </c>
      <c r="C677" s="3">
        <v>2609749</v>
      </c>
      <c r="D677" s="1" t="s">
        <v>13</v>
      </c>
      <c r="E677" s="1" t="s">
        <v>4397</v>
      </c>
    </row>
    <row r="678" spans="1:5" ht="21" x14ac:dyDescent="0.25">
      <c r="A678" s="2" t="str">
        <f>HYPERLINK("https://rth.dk/resources/bsgatlas/details.php?id=BSGatlas-internal_UTR-677","BSGatlas-internal_UTR-677")</f>
        <v>BSGatlas-internal_UTR-677</v>
      </c>
      <c r="B678" s="3">
        <v>2609894</v>
      </c>
      <c r="C678" s="3">
        <v>2610040</v>
      </c>
      <c r="D678" s="1" t="s">
        <v>13</v>
      </c>
      <c r="E678" s="1" t="s">
        <v>4397</v>
      </c>
    </row>
    <row r="679" spans="1:5" ht="21" x14ac:dyDescent="0.25">
      <c r="A679" s="2" t="str">
        <f>HYPERLINK("https://rth.dk/resources/bsgatlas/details.php?id=BSGatlas-internal_UTR-678","BSGatlas-internal_UTR-678")</f>
        <v>BSGatlas-internal_UTR-678</v>
      </c>
      <c r="B679" s="3">
        <v>2616649</v>
      </c>
      <c r="C679" s="3">
        <v>2616666</v>
      </c>
      <c r="D679" s="1" t="s">
        <v>13</v>
      </c>
      <c r="E679" s="1" t="s">
        <v>4377</v>
      </c>
    </row>
    <row r="680" spans="1:5" ht="21" x14ac:dyDescent="0.25">
      <c r="A680" s="2" t="str">
        <f>HYPERLINK("https://rth.dk/resources/bsgatlas/details.php?id=BSGatlas-internal_UTR-679","BSGatlas-internal_UTR-679")</f>
        <v>BSGatlas-internal_UTR-679</v>
      </c>
      <c r="B680" s="3">
        <v>2617425</v>
      </c>
      <c r="C680" s="3">
        <v>2617448</v>
      </c>
      <c r="D680" s="1" t="s">
        <v>13</v>
      </c>
      <c r="E680" s="1" t="s">
        <v>4373</v>
      </c>
    </row>
    <row r="681" spans="1:5" ht="21" x14ac:dyDescent="0.25">
      <c r="A681" s="2" t="str">
        <f>HYPERLINK("https://rth.dk/resources/bsgatlas/details.php?id=BSGatlas-internal_UTR-680","BSGatlas-internal_UTR-680")</f>
        <v>BSGatlas-internal_UTR-680</v>
      </c>
      <c r="B681" s="3">
        <v>2618445</v>
      </c>
      <c r="C681" s="3">
        <v>2618465</v>
      </c>
      <c r="D681" s="1" t="s">
        <v>13</v>
      </c>
      <c r="E681" s="1" t="s">
        <v>4373</v>
      </c>
    </row>
    <row r="682" spans="1:5" ht="21" x14ac:dyDescent="0.25">
      <c r="A682" s="2" t="str">
        <f>HYPERLINK("https://rth.dk/resources/bsgatlas/details.php?id=BSGatlas-internal_UTR-681","BSGatlas-internal_UTR-681")</f>
        <v>BSGatlas-internal_UTR-681</v>
      </c>
      <c r="B682" s="3">
        <v>2623803</v>
      </c>
      <c r="C682" s="3">
        <v>2623824</v>
      </c>
      <c r="D682" s="1" t="s">
        <v>13</v>
      </c>
      <c r="E682" s="1" t="s">
        <v>14713</v>
      </c>
    </row>
    <row r="683" spans="1:5" ht="21" x14ac:dyDescent="0.25">
      <c r="A683" s="2" t="str">
        <f>HYPERLINK("https://rth.dk/resources/bsgatlas/details.php?id=BSGatlas-internal_UTR-682","BSGatlas-internal_UTR-682")</f>
        <v>BSGatlas-internal_UTR-682</v>
      </c>
      <c r="B683" s="3">
        <v>2624761</v>
      </c>
      <c r="C683" s="3">
        <v>2624784</v>
      </c>
      <c r="D683" s="1" t="s">
        <v>13</v>
      </c>
      <c r="E683" s="1" t="s">
        <v>14713</v>
      </c>
    </row>
    <row r="684" spans="1:5" ht="21" x14ac:dyDescent="0.25">
      <c r="A684" s="2" t="str">
        <f>HYPERLINK("https://rth.dk/resources/bsgatlas/details.php?id=BSGatlas-internal_UTR-683","BSGatlas-internal_UTR-683")</f>
        <v>BSGatlas-internal_UTR-683</v>
      </c>
      <c r="B684" s="3">
        <v>2625913</v>
      </c>
      <c r="C684" s="3">
        <v>2626111</v>
      </c>
      <c r="D684" s="1" t="s">
        <v>13</v>
      </c>
      <c r="E684" s="1" t="s">
        <v>14713</v>
      </c>
    </row>
    <row r="685" spans="1:5" ht="21" x14ac:dyDescent="0.25">
      <c r="A685" s="2" t="str">
        <f>HYPERLINK("https://rth.dk/resources/bsgatlas/details.php?id=BSGatlas-internal_UTR-684","BSGatlas-internal_UTR-684")</f>
        <v>BSGatlas-internal_UTR-684</v>
      </c>
      <c r="B685" s="3">
        <v>2627948</v>
      </c>
      <c r="C685" s="3">
        <v>2627970</v>
      </c>
      <c r="D685" s="1" t="s">
        <v>13</v>
      </c>
      <c r="E685" s="1" t="s">
        <v>14713</v>
      </c>
    </row>
    <row r="686" spans="1:5" ht="21" x14ac:dyDescent="0.25">
      <c r="A686" s="2" t="str">
        <f>HYPERLINK("https://rth.dk/resources/bsgatlas/details.php?id=BSGatlas-internal_UTR-685","BSGatlas-internal_UTR-685")</f>
        <v>BSGatlas-internal_UTR-685</v>
      </c>
      <c r="B686" s="3">
        <v>2628535</v>
      </c>
      <c r="C686" s="3">
        <v>2628605</v>
      </c>
      <c r="D686" s="1" t="s">
        <v>13</v>
      </c>
      <c r="E686" s="1" t="s">
        <v>14713</v>
      </c>
    </row>
    <row r="687" spans="1:5" ht="21" x14ac:dyDescent="0.25">
      <c r="A687" s="2" t="str">
        <f>HYPERLINK("https://rth.dk/resources/bsgatlas/details.php?id=BSGatlas-internal_UTR-686","BSGatlas-internal_UTR-686")</f>
        <v>BSGatlas-internal_UTR-686</v>
      </c>
      <c r="B687" s="3">
        <v>2629638</v>
      </c>
      <c r="C687" s="3">
        <v>2629717</v>
      </c>
      <c r="D687" s="1" t="s">
        <v>13</v>
      </c>
      <c r="E687" s="1" t="s">
        <v>4547</v>
      </c>
    </row>
    <row r="688" spans="1:5" ht="21" x14ac:dyDescent="0.25">
      <c r="A688" s="2" t="str">
        <f>HYPERLINK("https://rth.dk/resources/bsgatlas/details.php?id=BSGatlas-internal_UTR-687","BSGatlas-internal_UTR-687")</f>
        <v>BSGatlas-internal_UTR-687</v>
      </c>
      <c r="B688" s="3">
        <v>2630858</v>
      </c>
      <c r="C688" s="3">
        <v>2630909</v>
      </c>
      <c r="D688" s="1" t="s">
        <v>13</v>
      </c>
      <c r="E688" s="1" t="s">
        <v>4547</v>
      </c>
    </row>
    <row r="689" spans="1:5" ht="21" x14ac:dyDescent="0.25">
      <c r="A689" s="2" t="str">
        <f>HYPERLINK("https://rth.dk/resources/bsgatlas/details.php?id=BSGatlas-internal_UTR-688","BSGatlas-internal_UTR-688")</f>
        <v>BSGatlas-internal_UTR-688</v>
      </c>
      <c r="B689" s="3">
        <v>2633221</v>
      </c>
      <c r="C689" s="3">
        <v>2633236</v>
      </c>
      <c r="D689" s="1" t="s">
        <v>13</v>
      </c>
      <c r="E689" s="1" t="s">
        <v>4547</v>
      </c>
    </row>
    <row r="690" spans="1:5" ht="21" x14ac:dyDescent="0.25">
      <c r="A690" s="2" t="str">
        <f>HYPERLINK("https://rth.dk/resources/bsgatlas/details.php?id=BSGatlas-internal_UTR-689","BSGatlas-internal_UTR-689")</f>
        <v>BSGatlas-internal_UTR-689</v>
      </c>
      <c r="B690" s="3">
        <v>2634443</v>
      </c>
      <c r="C690" s="3">
        <v>2634504</v>
      </c>
      <c r="D690" s="1" t="s">
        <v>13</v>
      </c>
      <c r="E690" s="1" t="s">
        <v>4377</v>
      </c>
    </row>
    <row r="691" spans="1:5" ht="21" x14ac:dyDescent="0.25">
      <c r="A691" s="2" t="str">
        <f>HYPERLINK("https://rth.dk/resources/bsgatlas/details.php?id=BSGatlas-internal_UTR-690","BSGatlas-internal_UTR-690")</f>
        <v>BSGatlas-internal_UTR-690</v>
      </c>
      <c r="B691" s="3">
        <v>2640447</v>
      </c>
      <c r="C691" s="3">
        <v>2640512</v>
      </c>
      <c r="D691" s="1" t="s">
        <v>13</v>
      </c>
      <c r="E691" s="1" t="s">
        <v>4373</v>
      </c>
    </row>
    <row r="692" spans="1:5" ht="21" x14ac:dyDescent="0.25">
      <c r="A692" s="2" t="str">
        <f>HYPERLINK("https://rth.dk/resources/bsgatlas/details.php?id=BSGatlas-internal_UTR-691","BSGatlas-internal_UTR-691")</f>
        <v>BSGatlas-internal_UTR-691</v>
      </c>
      <c r="B692" s="3">
        <v>2643198</v>
      </c>
      <c r="C692" s="3">
        <v>2643214</v>
      </c>
      <c r="D692" s="1" t="s">
        <v>13</v>
      </c>
      <c r="E692" s="1" t="s">
        <v>4386</v>
      </c>
    </row>
    <row r="693" spans="1:5" ht="21" x14ac:dyDescent="0.25">
      <c r="A693" s="2" t="str">
        <f>HYPERLINK("https://rth.dk/resources/bsgatlas/details.php?id=BSGatlas-internal_UTR-692","BSGatlas-internal_UTR-692")</f>
        <v>BSGatlas-internal_UTR-692</v>
      </c>
      <c r="B693" s="3">
        <v>2645473</v>
      </c>
      <c r="C693" s="3">
        <v>2645489</v>
      </c>
      <c r="D693" s="1" t="s">
        <v>13</v>
      </c>
      <c r="E693" s="1" t="s">
        <v>4386</v>
      </c>
    </row>
    <row r="694" spans="1:5" ht="21" x14ac:dyDescent="0.25">
      <c r="A694" s="2" t="str">
        <f>HYPERLINK("https://rth.dk/resources/bsgatlas/details.php?id=BSGatlas-internal_UTR-693","BSGatlas-internal_UTR-693")</f>
        <v>BSGatlas-internal_UTR-693</v>
      </c>
      <c r="B694" s="3">
        <v>2656794</v>
      </c>
      <c r="C694" s="3">
        <v>2656815</v>
      </c>
      <c r="D694" s="1" t="s">
        <v>13</v>
      </c>
      <c r="E694" s="1" t="s">
        <v>4386</v>
      </c>
    </row>
    <row r="695" spans="1:5" ht="21" x14ac:dyDescent="0.25">
      <c r="A695" s="2" t="str">
        <f>HYPERLINK("https://rth.dk/resources/bsgatlas/details.php?id=BSGatlas-internal_UTR-694","BSGatlas-internal_UTR-694")</f>
        <v>BSGatlas-internal_UTR-694</v>
      </c>
      <c r="B695" s="3">
        <v>2657257</v>
      </c>
      <c r="C695" s="3">
        <v>2657316</v>
      </c>
      <c r="D695" s="1" t="s">
        <v>13</v>
      </c>
      <c r="E695" s="1" t="s">
        <v>4386</v>
      </c>
    </row>
    <row r="696" spans="1:5" ht="21" x14ac:dyDescent="0.25">
      <c r="A696" s="2" t="str">
        <f>HYPERLINK("https://rth.dk/resources/bsgatlas/details.php?id=BSGatlas-internal_UTR-695","BSGatlas-internal_UTR-695")</f>
        <v>BSGatlas-internal_UTR-695</v>
      </c>
      <c r="B696" s="3">
        <v>2678566</v>
      </c>
      <c r="C696" s="3">
        <v>2678875</v>
      </c>
      <c r="D696" s="1" t="s">
        <v>13</v>
      </c>
      <c r="E696" s="1" t="s">
        <v>4397</v>
      </c>
    </row>
    <row r="697" spans="1:5" ht="21" x14ac:dyDescent="0.25">
      <c r="A697" s="2" t="str">
        <f>HYPERLINK("https://rth.dk/resources/bsgatlas/details.php?id=BSGatlas-internal_UTR-696","BSGatlas-internal_UTR-696")</f>
        <v>BSGatlas-internal_UTR-696</v>
      </c>
      <c r="B697" s="3">
        <v>2693362</v>
      </c>
      <c r="C697" s="3">
        <v>2693456</v>
      </c>
      <c r="D697" s="1" t="s">
        <v>13</v>
      </c>
      <c r="E697" s="1" t="s">
        <v>4377</v>
      </c>
    </row>
    <row r="698" spans="1:5" ht="21" x14ac:dyDescent="0.25">
      <c r="A698" s="2" t="str">
        <f>HYPERLINK("https://rth.dk/resources/bsgatlas/details.php?id=BSGatlas-internal_UTR-697","BSGatlas-internal_UTR-697")</f>
        <v>BSGatlas-internal_UTR-697</v>
      </c>
      <c r="B698" s="3">
        <v>2695098</v>
      </c>
      <c r="C698" s="3">
        <v>2695172</v>
      </c>
      <c r="D698" s="1" t="s">
        <v>13</v>
      </c>
      <c r="E698" s="1" t="s">
        <v>4377</v>
      </c>
    </row>
    <row r="699" spans="1:5" ht="21" x14ac:dyDescent="0.25">
      <c r="A699" s="2" t="str">
        <f>HYPERLINK("https://rth.dk/resources/bsgatlas/details.php?id=BSGatlas-internal_UTR-698","BSGatlas-internal_UTR-698")</f>
        <v>BSGatlas-internal_UTR-698</v>
      </c>
      <c r="B699" s="3">
        <v>2696990</v>
      </c>
      <c r="C699" s="3">
        <v>2697094</v>
      </c>
      <c r="D699" s="1" t="s">
        <v>13</v>
      </c>
      <c r="E699" s="1" t="s">
        <v>4377</v>
      </c>
    </row>
    <row r="700" spans="1:5" ht="21" x14ac:dyDescent="0.25">
      <c r="A700" s="2" t="str">
        <f>HYPERLINK("https://rth.dk/resources/bsgatlas/details.php?id=BSGatlas-internal_UTR-699","BSGatlas-internal_UTR-699")</f>
        <v>BSGatlas-internal_UTR-699</v>
      </c>
      <c r="B700" s="3">
        <v>2698243</v>
      </c>
      <c r="C700" s="3">
        <v>2698315</v>
      </c>
      <c r="D700" s="1" t="s">
        <v>13</v>
      </c>
      <c r="E700" s="1" t="s">
        <v>4377</v>
      </c>
    </row>
    <row r="701" spans="1:5" ht="21" x14ac:dyDescent="0.25">
      <c r="A701" s="2" t="str">
        <f>HYPERLINK("https://rth.dk/resources/bsgatlas/details.php?id=BSGatlas-internal_UTR-700","BSGatlas-internal_UTR-700")</f>
        <v>BSGatlas-internal_UTR-700</v>
      </c>
      <c r="B701" s="3">
        <v>2698457</v>
      </c>
      <c r="C701" s="3">
        <v>2698485</v>
      </c>
      <c r="D701" s="1" t="s">
        <v>13</v>
      </c>
      <c r="E701" s="1" t="s">
        <v>4377</v>
      </c>
    </row>
    <row r="702" spans="1:5" ht="21" x14ac:dyDescent="0.25">
      <c r="A702" s="2" t="str">
        <f>HYPERLINK("https://rth.dk/resources/bsgatlas/details.php?id=BSGatlas-internal_UTR-701","BSGatlas-internal_UTR-701")</f>
        <v>BSGatlas-internal_UTR-701</v>
      </c>
      <c r="B702" s="3">
        <v>2703105</v>
      </c>
      <c r="C702" s="3">
        <v>2703149</v>
      </c>
      <c r="D702" s="1" t="s">
        <v>13</v>
      </c>
      <c r="E702" s="1" t="s">
        <v>4373</v>
      </c>
    </row>
    <row r="703" spans="1:5" ht="21" x14ac:dyDescent="0.25">
      <c r="A703" s="2" t="str">
        <f>HYPERLINK("https://rth.dk/resources/bsgatlas/details.php?id=BSGatlas-internal_UTR-702","BSGatlas-internal_UTR-702")</f>
        <v>BSGatlas-internal_UTR-702</v>
      </c>
      <c r="B703" s="3">
        <v>2706783</v>
      </c>
      <c r="C703" s="3">
        <v>2707126</v>
      </c>
      <c r="D703" s="1" t="s">
        <v>9</v>
      </c>
      <c r="E703" s="1" t="s">
        <v>4547</v>
      </c>
    </row>
    <row r="704" spans="1:5" ht="21" x14ac:dyDescent="0.25">
      <c r="A704" s="2" t="str">
        <f>HYPERLINK("https://rth.dk/resources/bsgatlas/details.php?id=BSGatlas-internal_UTR-703","BSGatlas-internal_UTR-703")</f>
        <v>BSGatlas-internal_UTR-703</v>
      </c>
      <c r="B704" s="3">
        <v>2708700</v>
      </c>
      <c r="C704" s="3">
        <v>2708942</v>
      </c>
      <c r="D704" s="1" t="s">
        <v>13</v>
      </c>
      <c r="E704" s="1" t="s">
        <v>4397</v>
      </c>
    </row>
    <row r="705" spans="1:5" ht="21" x14ac:dyDescent="0.25">
      <c r="A705" s="2" t="str">
        <f>HYPERLINK("https://rth.dk/resources/bsgatlas/details.php?id=BSGatlas-internal_UTR-704","BSGatlas-internal_UTR-704")</f>
        <v>BSGatlas-internal_UTR-704</v>
      </c>
      <c r="B705" s="3">
        <v>2709420</v>
      </c>
      <c r="C705" s="3">
        <v>2710001</v>
      </c>
      <c r="D705" s="1" t="s">
        <v>13</v>
      </c>
      <c r="E705" s="1" t="s">
        <v>4373</v>
      </c>
    </row>
    <row r="706" spans="1:5" ht="21" x14ac:dyDescent="0.25">
      <c r="A706" s="2" t="str">
        <f>HYPERLINK("https://rth.dk/resources/bsgatlas/details.php?id=BSGatlas-internal_UTR-705","BSGatlas-internal_UTR-705")</f>
        <v>BSGatlas-internal_UTR-705</v>
      </c>
      <c r="B706" s="3">
        <v>2710788</v>
      </c>
      <c r="C706" s="3">
        <v>2710847</v>
      </c>
      <c r="D706" s="1" t="s">
        <v>13</v>
      </c>
      <c r="E706" s="1" t="s">
        <v>4373</v>
      </c>
    </row>
    <row r="707" spans="1:5" ht="21" x14ac:dyDescent="0.25">
      <c r="A707" s="2" t="str">
        <f>HYPERLINK("https://rth.dk/resources/bsgatlas/details.php?id=BSGatlas-internal_UTR-706","BSGatlas-internal_UTR-706")</f>
        <v>BSGatlas-internal_UTR-706</v>
      </c>
      <c r="B707" s="3">
        <v>2711076</v>
      </c>
      <c r="C707" s="3">
        <v>2711108</v>
      </c>
      <c r="D707" s="1" t="s">
        <v>13</v>
      </c>
      <c r="E707" s="1" t="s">
        <v>4373</v>
      </c>
    </row>
    <row r="708" spans="1:5" ht="21" x14ac:dyDescent="0.25">
      <c r="A708" s="2" t="str">
        <f>HYPERLINK("https://rth.dk/resources/bsgatlas/details.php?id=BSGatlas-internal_UTR-707","BSGatlas-internal_UTR-707")</f>
        <v>BSGatlas-internal_UTR-707</v>
      </c>
      <c r="B708" s="3">
        <v>2712243</v>
      </c>
      <c r="C708" s="3">
        <v>2712576</v>
      </c>
      <c r="D708" s="1" t="s">
        <v>13</v>
      </c>
      <c r="E708" s="1" t="s">
        <v>4373</v>
      </c>
    </row>
    <row r="709" spans="1:5" ht="21" x14ac:dyDescent="0.25">
      <c r="A709" s="2" t="str">
        <f>HYPERLINK("https://rth.dk/resources/bsgatlas/details.php?id=BSGatlas-internal_UTR-708","BSGatlas-internal_UTR-708")</f>
        <v>BSGatlas-internal_UTR-708</v>
      </c>
      <c r="B709" s="3">
        <v>2713135</v>
      </c>
      <c r="C709" s="3">
        <v>2713319</v>
      </c>
      <c r="D709" s="1" t="s">
        <v>13</v>
      </c>
      <c r="E709" s="1" t="s">
        <v>4373</v>
      </c>
    </row>
    <row r="710" spans="1:5" ht="21" x14ac:dyDescent="0.25">
      <c r="A710" s="2" t="str">
        <f>HYPERLINK("https://rth.dk/resources/bsgatlas/details.php?id=BSGatlas-internal_UTR-709","BSGatlas-internal_UTR-709")</f>
        <v>BSGatlas-internal_UTR-709</v>
      </c>
      <c r="B710" s="3">
        <v>2713803</v>
      </c>
      <c r="C710" s="3">
        <v>2713948</v>
      </c>
      <c r="D710" s="1" t="s">
        <v>13</v>
      </c>
      <c r="E710" s="1" t="s">
        <v>4373</v>
      </c>
    </row>
    <row r="711" spans="1:5" ht="21" x14ac:dyDescent="0.25">
      <c r="A711" s="2" t="str">
        <f>HYPERLINK("https://rth.dk/resources/bsgatlas/details.php?id=BSGatlas-internal_UTR-710","BSGatlas-internal_UTR-710")</f>
        <v>BSGatlas-internal_UTR-710</v>
      </c>
      <c r="B711" s="3">
        <v>2714141</v>
      </c>
      <c r="C711" s="3">
        <v>2714230</v>
      </c>
      <c r="D711" s="1" t="s">
        <v>13</v>
      </c>
      <c r="E711" s="1" t="s">
        <v>4373</v>
      </c>
    </row>
    <row r="712" spans="1:5" ht="21" x14ac:dyDescent="0.25">
      <c r="A712" s="2" t="str">
        <f>HYPERLINK("https://rth.dk/resources/bsgatlas/details.php?id=BSGatlas-internal_UTR-711","BSGatlas-internal_UTR-711")</f>
        <v>BSGatlas-internal_UTR-711</v>
      </c>
      <c r="B712" s="3">
        <v>2714806</v>
      </c>
      <c r="C712" s="3">
        <v>2714932</v>
      </c>
      <c r="D712" s="1" t="s">
        <v>13</v>
      </c>
      <c r="E712" s="1" t="s">
        <v>4547</v>
      </c>
    </row>
    <row r="713" spans="1:5" ht="21" x14ac:dyDescent="0.25">
      <c r="A713" s="2" t="str">
        <f>HYPERLINK("https://rth.dk/resources/bsgatlas/details.php?id=BSGatlas-internal_UTR-712","BSGatlas-internal_UTR-712")</f>
        <v>BSGatlas-internal_UTR-712</v>
      </c>
      <c r="B713" s="3">
        <v>2718176</v>
      </c>
      <c r="C713" s="3">
        <v>2718343</v>
      </c>
      <c r="D713" s="1" t="s">
        <v>9</v>
      </c>
      <c r="E713" s="1" t="s">
        <v>4547</v>
      </c>
    </row>
    <row r="714" spans="1:5" ht="21" x14ac:dyDescent="0.25">
      <c r="A714" s="2" t="str">
        <f>HYPERLINK("https://rth.dk/resources/bsgatlas/details.php?id=BSGatlas-internal_UTR-713","BSGatlas-internal_UTR-713")</f>
        <v>BSGatlas-internal_UTR-713</v>
      </c>
      <c r="B714" s="3">
        <v>2720670</v>
      </c>
      <c r="C714" s="3">
        <v>2720686</v>
      </c>
      <c r="D714" s="1" t="s">
        <v>13</v>
      </c>
      <c r="E714" s="1" t="s">
        <v>4373</v>
      </c>
    </row>
    <row r="715" spans="1:5" ht="21" x14ac:dyDescent="0.25">
      <c r="A715" s="2" t="str">
        <f>HYPERLINK("https://rth.dk/resources/bsgatlas/details.php?id=BSGatlas-internal_UTR-714","BSGatlas-internal_UTR-714")</f>
        <v>BSGatlas-internal_UTR-714</v>
      </c>
      <c r="B715" s="3">
        <v>2723805</v>
      </c>
      <c r="C715" s="3">
        <v>2723891</v>
      </c>
      <c r="D715" s="1" t="s">
        <v>13</v>
      </c>
      <c r="E715" s="1" t="s">
        <v>4377</v>
      </c>
    </row>
    <row r="716" spans="1:5" ht="21" x14ac:dyDescent="0.25">
      <c r="A716" s="2" t="str">
        <f>HYPERLINK("https://rth.dk/resources/bsgatlas/details.php?id=BSGatlas-internal_UTR-715","BSGatlas-internal_UTR-715")</f>
        <v>BSGatlas-internal_UTR-715</v>
      </c>
      <c r="B716" s="3">
        <v>2728483</v>
      </c>
      <c r="C716" s="3">
        <v>2728646</v>
      </c>
      <c r="D716" s="1" t="s">
        <v>13</v>
      </c>
      <c r="E716" s="1" t="s">
        <v>4386</v>
      </c>
    </row>
    <row r="717" spans="1:5" ht="21" x14ac:dyDescent="0.25">
      <c r="A717" s="2" t="str">
        <f>HYPERLINK("https://rth.dk/resources/bsgatlas/details.php?id=BSGatlas-internal_UTR-716","BSGatlas-internal_UTR-716")</f>
        <v>BSGatlas-internal_UTR-716</v>
      </c>
      <c r="B717" s="3">
        <v>2735457</v>
      </c>
      <c r="C717" s="3">
        <v>2735681</v>
      </c>
      <c r="D717" s="1" t="s">
        <v>13</v>
      </c>
      <c r="E717" s="1" t="s">
        <v>4386</v>
      </c>
    </row>
    <row r="718" spans="1:5" ht="21" x14ac:dyDescent="0.25">
      <c r="A718" s="2" t="str">
        <f>HYPERLINK("https://rth.dk/resources/bsgatlas/details.php?id=BSGatlas-internal_UTR-717","BSGatlas-internal_UTR-717")</f>
        <v>BSGatlas-internal_UTR-717</v>
      </c>
      <c r="B718" s="3">
        <v>2745480</v>
      </c>
      <c r="C718" s="3">
        <v>2745593</v>
      </c>
      <c r="D718" s="1" t="s">
        <v>13</v>
      </c>
      <c r="E718" s="1" t="s">
        <v>4397</v>
      </c>
    </row>
    <row r="719" spans="1:5" ht="21" x14ac:dyDescent="0.25">
      <c r="A719" s="2" t="str">
        <f>HYPERLINK("https://rth.dk/resources/bsgatlas/details.php?id=BSGatlas-internal_UTR-718","BSGatlas-internal_UTR-718")</f>
        <v>BSGatlas-internal_UTR-718</v>
      </c>
      <c r="B719" s="3">
        <v>2751240</v>
      </c>
      <c r="C719" s="3">
        <v>2751291</v>
      </c>
      <c r="D719" s="1" t="s">
        <v>13</v>
      </c>
      <c r="E719" s="1" t="s">
        <v>4386</v>
      </c>
    </row>
    <row r="720" spans="1:5" ht="21" x14ac:dyDescent="0.25">
      <c r="A720" s="2" t="str">
        <f>HYPERLINK("https://rth.dk/resources/bsgatlas/details.php?id=BSGatlas-internal_UTR-719","BSGatlas-internal_UTR-719")</f>
        <v>BSGatlas-internal_UTR-719</v>
      </c>
      <c r="B720" s="3">
        <v>2753048</v>
      </c>
      <c r="C720" s="3">
        <v>2753064</v>
      </c>
      <c r="D720" s="1" t="s">
        <v>9</v>
      </c>
      <c r="E720" s="1" t="s">
        <v>4397</v>
      </c>
    </row>
    <row r="721" spans="1:5" ht="21" x14ac:dyDescent="0.25">
      <c r="A721" s="2" t="str">
        <f>HYPERLINK("https://rth.dk/resources/bsgatlas/details.php?id=BSGatlas-internal_UTR-720","BSGatlas-internal_UTR-720")</f>
        <v>BSGatlas-internal_UTR-720</v>
      </c>
      <c r="B721" s="3">
        <v>2753434</v>
      </c>
      <c r="C721" s="3">
        <v>2753451</v>
      </c>
      <c r="D721" s="1" t="s">
        <v>9</v>
      </c>
      <c r="E721" s="1" t="s">
        <v>4397</v>
      </c>
    </row>
    <row r="722" spans="1:5" ht="21" x14ac:dyDescent="0.25">
      <c r="A722" s="2" t="str">
        <f>HYPERLINK("https://rth.dk/resources/bsgatlas/details.php?id=BSGatlas-internal_UTR-721","BSGatlas-internal_UTR-721")</f>
        <v>BSGatlas-internal_UTR-721</v>
      </c>
      <c r="B722" s="3">
        <v>2754589</v>
      </c>
      <c r="C722" s="3">
        <v>2754606</v>
      </c>
      <c r="D722" s="1" t="s">
        <v>9</v>
      </c>
      <c r="E722" s="1" t="s">
        <v>4397</v>
      </c>
    </row>
    <row r="723" spans="1:5" ht="21" x14ac:dyDescent="0.25">
      <c r="A723" s="2" t="str">
        <f>HYPERLINK("https://rth.dk/resources/bsgatlas/details.php?id=BSGatlas-internal_UTR-722","BSGatlas-internal_UTR-722")</f>
        <v>BSGatlas-internal_UTR-722</v>
      </c>
      <c r="B723" s="3">
        <v>2756182</v>
      </c>
      <c r="C723" s="3">
        <v>2756311</v>
      </c>
      <c r="D723" s="1" t="s">
        <v>9</v>
      </c>
      <c r="E723" s="1" t="s">
        <v>4397</v>
      </c>
    </row>
    <row r="724" spans="1:5" ht="21" x14ac:dyDescent="0.25">
      <c r="A724" s="2" t="str">
        <f>HYPERLINK("https://rth.dk/resources/bsgatlas/details.php?id=BSGatlas-internal_UTR-723","BSGatlas-internal_UTR-723")</f>
        <v>BSGatlas-internal_UTR-723</v>
      </c>
      <c r="B724" s="3">
        <v>2757362</v>
      </c>
      <c r="C724" s="3">
        <v>2757491</v>
      </c>
      <c r="D724" s="1" t="s">
        <v>9</v>
      </c>
      <c r="E724" s="1" t="s">
        <v>4397</v>
      </c>
    </row>
    <row r="725" spans="1:5" ht="21" x14ac:dyDescent="0.25">
      <c r="A725" s="2" t="str">
        <f>HYPERLINK("https://rth.dk/resources/bsgatlas/details.php?id=BSGatlas-internal_UTR-724","BSGatlas-internal_UTR-724")</f>
        <v>BSGatlas-internal_UTR-724</v>
      </c>
      <c r="B725" s="3">
        <v>2760153</v>
      </c>
      <c r="C725" s="3">
        <v>2760232</v>
      </c>
      <c r="D725" s="1" t="s">
        <v>13</v>
      </c>
      <c r="E725" s="1" t="s">
        <v>4397</v>
      </c>
    </row>
    <row r="726" spans="1:5" ht="21" x14ac:dyDescent="0.25">
      <c r="A726" s="2" t="str">
        <f>HYPERLINK("https://rth.dk/resources/bsgatlas/details.php?id=BSGatlas-internal_UTR-725","BSGatlas-internal_UTR-725")</f>
        <v>BSGatlas-internal_UTR-725</v>
      </c>
      <c r="B726" s="3">
        <v>2761061</v>
      </c>
      <c r="C726" s="3">
        <v>2761080</v>
      </c>
      <c r="D726" s="1" t="s">
        <v>13</v>
      </c>
      <c r="E726" s="1" t="s">
        <v>4397</v>
      </c>
    </row>
    <row r="727" spans="1:5" ht="21" x14ac:dyDescent="0.25">
      <c r="A727" s="2" t="str">
        <f>HYPERLINK("https://rth.dk/resources/bsgatlas/details.php?id=BSGatlas-internal_UTR-726","BSGatlas-internal_UTR-726")</f>
        <v>BSGatlas-internal_UTR-726</v>
      </c>
      <c r="B727" s="3">
        <v>2761891</v>
      </c>
      <c r="C727" s="3">
        <v>2761906</v>
      </c>
      <c r="D727" s="1" t="s">
        <v>13</v>
      </c>
      <c r="E727" s="1" t="s">
        <v>4397</v>
      </c>
    </row>
    <row r="728" spans="1:5" ht="21" x14ac:dyDescent="0.25">
      <c r="A728" s="2" t="str">
        <f>HYPERLINK("https://rth.dk/resources/bsgatlas/details.php?id=BSGatlas-internal_UTR-727","BSGatlas-internal_UTR-727")</f>
        <v>BSGatlas-internal_UTR-727</v>
      </c>
      <c r="B728" s="3">
        <v>2771208</v>
      </c>
      <c r="C728" s="3">
        <v>2771317</v>
      </c>
      <c r="D728" s="1" t="s">
        <v>9</v>
      </c>
      <c r="E728" s="1" t="s">
        <v>4386</v>
      </c>
    </row>
    <row r="729" spans="1:5" ht="21" x14ac:dyDescent="0.25">
      <c r="A729" s="2" t="str">
        <f>HYPERLINK("https://rth.dk/resources/bsgatlas/details.php?id=BSGatlas-internal_UTR-728","BSGatlas-internal_UTR-728")</f>
        <v>BSGatlas-internal_UTR-728</v>
      </c>
      <c r="B729" s="3">
        <v>2773223</v>
      </c>
      <c r="C729" s="3">
        <v>2773355</v>
      </c>
      <c r="D729" s="1" t="s">
        <v>9</v>
      </c>
      <c r="E729" s="1" t="s">
        <v>4386</v>
      </c>
    </row>
    <row r="730" spans="1:5" ht="21" x14ac:dyDescent="0.25">
      <c r="A730" s="2" t="str">
        <f>HYPERLINK("https://rth.dk/resources/bsgatlas/details.php?id=BSGatlas-internal_UTR-729","BSGatlas-internal_UTR-729")</f>
        <v>BSGatlas-internal_UTR-729</v>
      </c>
      <c r="B730" s="3">
        <v>2777655</v>
      </c>
      <c r="C730" s="3">
        <v>2777876</v>
      </c>
      <c r="D730" s="1" t="s">
        <v>13</v>
      </c>
      <c r="E730" s="1" t="s">
        <v>4386</v>
      </c>
    </row>
    <row r="731" spans="1:5" ht="21" x14ac:dyDescent="0.25">
      <c r="A731" s="2" t="str">
        <f>HYPERLINK("https://rth.dk/resources/bsgatlas/details.php?id=BSGatlas-internal_UTR-730","BSGatlas-internal_UTR-730")</f>
        <v>BSGatlas-internal_UTR-730</v>
      </c>
      <c r="B731" s="3">
        <v>2784152</v>
      </c>
      <c r="C731" s="3">
        <v>2784169</v>
      </c>
      <c r="D731" s="1" t="s">
        <v>9</v>
      </c>
      <c r="E731" s="1" t="s">
        <v>4373</v>
      </c>
    </row>
    <row r="732" spans="1:5" ht="21" x14ac:dyDescent="0.25">
      <c r="A732" s="2" t="str">
        <f>HYPERLINK("https://rth.dk/resources/bsgatlas/details.php?id=BSGatlas-internal_UTR-731","BSGatlas-internal_UTR-731")</f>
        <v>BSGatlas-internal_UTR-731</v>
      </c>
      <c r="B732" s="3">
        <v>2784919</v>
      </c>
      <c r="C732" s="3">
        <v>2785000</v>
      </c>
      <c r="D732" s="1" t="s">
        <v>13</v>
      </c>
      <c r="E732" s="1" t="s">
        <v>4377</v>
      </c>
    </row>
    <row r="733" spans="1:5" ht="21" x14ac:dyDescent="0.25">
      <c r="A733" s="2" t="str">
        <f>HYPERLINK("https://rth.dk/resources/bsgatlas/details.php?id=BSGatlas-internal_UTR-732","BSGatlas-internal_UTR-732")</f>
        <v>BSGatlas-internal_UTR-732</v>
      </c>
      <c r="B733" s="3">
        <v>2787066</v>
      </c>
      <c r="C733" s="3">
        <v>2787129</v>
      </c>
      <c r="D733" s="1" t="s">
        <v>13</v>
      </c>
      <c r="E733" s="1" t="s">
        <v>4377</v>
      </c>
    </row>
    <row r="734" spans="1:5" ht="21" x14ac:dyDescent="0.25">
      <c r="A734" s="2" t="str">
        <f>HYPERLINK("https://rth.dk/resources/bsgatlas/details.php?id=BSGatlas-internal_UTR-733","BSGatlas-internal_UTR-733")</f>
        <v>BSGatlas-internal_UTR-733</v>
      </c>
      <c r="B734" s="3">
        <v>2787826</v>
      </c>
      <c r="C734" s="3">
        <v>2787845</v>
      </c>
      <c r="D734" s="1" t="s">
        <v>13</v>
      </c>
      <c r="E734" s="1" t="s">
        <v>4377</v>
      </c>
    </row>
    <row r="735" spans="1:5" ht="21" x14ac:dyDescent="0.25">
      <c r="A735" s="2" t="str">
        <f>HYPERLINK("https://rth.dk/resources/bsgatlas/details.php?id=BSGatlas-internal_UTR-734","BSGatlas-internal_UTR-734")</f>
        <v>BSGatlas-internal_UTR-734</v>
      </c>
      <c r="B735" s="3">
        <v>2789622</v>
      </c>
      <c r="C735" s="3">
        <v>2789685</v>
      </c>
      <c r="D735" s="1" t="s">
        <v>13</v>
      </c>
      <c r="E735" s="1" t="s">
        <v>4373</v>
      </c>
    </row>
    <row r="736" spans="1:5" ht="21" x14ac:dyDescent="0.25">
      <c r="A736" s="2" t="str">
        <f>HYPERLINK("https://rth.dk/resources/bsgatlas/details.php?id=BSGatlas-internal_UTR-735","BSGatlas-internal_UTR-735")</f>
        <v>BSGatlas-internal_UTR-735</v>
      </c>
      <c r="B736" s="3">
        <v>2791968</v>
      </c>
      <c r="C736" s="3">
        <v>2792217</v>
      </c>
      <c r="D736" s="1" t="s">
        <v>13</v>
      </c>
      <c r="E736" s="1" t="s">
        <v>4386</v>
      </c>
    </row>
    <row r="737" spans="1:5" ht="21" x14ac:dyDescent="0.25">
      <c r="A737" s="2" t="str">
        <f>HYPERLINK("https://rth.dk/resources/bsgatlas/details.php?id=BSGatlas-internal_UTR-736","BSGatlas-internal_UTR-736")</f>
        <v>BSGatlas-internal_UTR-736</v>
      </c>
      <c r="B737" s="3">
        <v>2794129</v>
      </c>
      <c r="C737" s="3">
        <v>2794146</v>
      </c>
      <c r="D737" s="1" t="s">
        <v>13</v>
      </c>
      <c r="E737" s="1" t="s">
        <v>4386</v>
      </c>
    </row>
    <row r="738" spans="1:5" ht="21" x14ac:dyDescent="0.25">
      <c r="A738" s="2" t="str">
        <f>HYPERLINK("https://rth.dk/resources/bsgatlas/details.php?id=BSGatlas-internal_UTR-737","BSGatlas-internal_UTR-737")</f>
        <v>BSGatlas-internal_UTR-737</v>
      </c>
      <c r="B738" s="3">
        <v>2797382</v>
      </c>
      <c r="C738" s="3">
        <v>2797398</v>
      </c>
      <c r="D738" s="1" t="s">
        <v>13</v>
      </c>
      <c r="E738" s="1" t="s">
        <v>4382</v>
      </c>
    </row>
    <row r="739" spans="1:5" ht="21" x14ac:dyDescent="0.25">
      <c r="A739" s="2" t="str">
        <f>HYPERLINK("https://rth.dk/resources/bsgatlas/details.php?id=BSGatlas-internal_UTR-738","BSGatlas-internal_UTR-738")</f>
        <v>BSGatlas-internal_UTR-738</v>
      </c>
      <c r="B739" s="3">
        <v>2798090</v>
      </c>
      <c r="C739" s="3">
        <v>2798173</v>
      </c>
      <c r="D739" s="1" t="s">
        <v>13</v>
      </c>
      <c r="E739" s="1" t="s">
        <v>4547</v>
      </c>
    </row>
    <row r="740" spans="1:5" ht="21" x14ac:dyDescent="0.25">
      <c r="A740" s="2" t="str">
        <f>HYPERLINK("https://rth.dk/resources/bsgatlas/details.php?id=BSGatlas-internal_UTR-739","BSGatlas-internal_UTR-739")</f>
        <v>BSGatlas-internal_UTR-739</v>
      </c>
      <c r="B740" s="3">
        <v>2803087</v>
      </c>
      <c r="C740" s="3">
        <v>2803107</v>
      </c>
      <c r="D740" s="1" t="s">
        <v>9</v>
      </c>
      <c r="E740" s="1" t="s">
        <v>4377</v>
      </c>
    </row>
    <row r="741" spans="1:5" ht="21" x14ac:dyDescent="0.25">
      <c r="A741" s="2" t="str">
        <f>HYPERLINK("https://rth.dk/resources/bsgatlas/details.php?id=BSGatlas-internal_UTR-740","BSGatlas-internal_UTR-740")</f>
        <v>BSGatlas-internal_UTR-740</v>
      </c>
      <c r="B741" s="3">
        <v>2803930</v>
      </c>
      <c r="C741" s="3">
        <v>2803989</v>
      </c>
      <c r="D741" s="1" t="s">
        <v>9</v>
      </c>
      <c r="E741" s="1" t="s">
        <v>4377</v>
      </c>
    </row>
    <row r="742" spans="1:5" ht="21" x14ac:dyDescent="0.25">
      <c r="A742" s="2" t="str">
        <f>HYPERLINK("https://rth.dk/resources/bsgatlas/details.php?id=BSGatlas-internal_UTR-741","BSGatlas-internal_UTR-741")</f>
        <v>BSGatlas-internal_UTR-741</v>
      </c>
      <c r="B742" s="3">
        <v>2804641</v>
      </c>
      <c r="C742" s="3">
        <v>2804656</v>
      </c>
      <c r="D742" s="1" t="s">
        <v>9</v>
      </c>
      <c r="E742" s="1" t="s">
        <v>4377</v>
      </c>
    </row>
    <row r="743" spans="1:5" ht="21" x14ac:dyDescent="0.25">
      <c r="A743" s="2" t="str">
        <f>HYPERLINK("https://rth.dk/resources/bsgatlas/details.php?id=BSGatlas-internal_UTR-742","BSGatlas-internal_UTR-742")</f>
        <v>BSGatlas-internal_UTR-742</v>
      </c>
      <c r="B743" s="3">
        <v>2805480</v>
      </c>
      <c r="C743" s="3">
        <v>2805500</v>
      </c>
      <c r="D743" s="1" t="s">
        <v>13</v>
      </c>
      <c r="E743" s="1" t="s">
        <v>4373</v>
      </c>
    </row>
    <row r="744" spans="1:5" ht="21" x14ac:dyDescent="0.25">
      <c r="A744" s="2" t="str">
        <f>HYPERLINK("https://rth.dk/resources/bsgatlas/details.php?id=BSGatlas-internal_UTR-743","BSGatlas-internal_UTR-743")</f>
        <v>BSGatlas-internal_UTR-743</v>
      </c>
      <c r="B744" s="3">
        <v>2808683</v>
      </c>
      <c r="C744" s="3">
        <v>2808706</v>
      </c>
      <c r="D744" s="1" t="s">
        <v>13</v>
      </c>
      <c r="E744" s="1" t="s">
        <v>4377</v>
      </c>
    </row>
    <row r="745" spans="1:5" ht="21" x14ac:dyDescent="0.25">
      <c r="A745" s="2" t="str">
        <f>HYPERLINK("https://rth.dk/resources/bsgatlas/details.php?id=BSGatlas-internal_UTR-744","BSGatlas-internal_UTR-744")</f>
        <v>BSGatlas-internal_UTR-744</v>
      </c>
      <c r="B745" s="3">
        <v>2809328</v>
      </c>
      <c r="C745" s="3">
        <v>2809412</v>
      </c>
      <c r="D745" s="1" t="s">
        <v>13</v>
      </c>
      <c r="E745" s="1" t="s">
        <v>4377</v>
      </c>
    </row>
    <row r="746" spans="1:5" ht="21" x14ac:dyDescent="0.25">
      <c r="A746" s="2" t="str">
        <f>HYPERLINK("https://rth.dk/resources/bsgatlas/details.php?id=BSGatlas-internal_UTR-745","BSGatlas-internal_UTR-745")</f>
        <v>BSGatlas-internal_UTR-745</v>
      </c>
      <c r="B746" s="3">
        <v>2810529</v>
      </c>
      <c r="C746" s="3">
        <v>2810558</v>
      </c>
      <c r="D746" s="1" t="s">
        <v>13</v>
      </c>
      <c r="E746" s="1" t="s">
        <v>4377</v>
      </c>
    </row>
    <row r="747" spans="1:5" ht="21" x14ac:dyDescent="0.25">
      <c r="A747" s="2" t="str">
        <f>HYPERLINK("https://rth.dk/resources/bsgatlas/details.php?id=BSGatlas-internal_UTR-746","BSGatlas-internal_UTR-746")</f>
        <v>BSGatlas-internal_UTR-746</v>
      </c>
      <c r="B747" s="3">
        <v>2811699</v>
      </c>
      <c r="C747" s="3">
        <v>2811716</v>
      </c>
      <c r="D747" s="1" t="s">
        <v>13</v>
      </c>
      <c r="E747" s="1" t="s">
        <v>4377</v>
      </c>
    </row>
    <row r="748" spans="1:5" ht="21" x14ac:dyDescent="0.25">
      <c r="A748" s="2" t="str">
        <f>HYPERLINK("https://rth.dk/resources/bsgatlas/details.php?id=BSGatlas-internal_UTR-747","BSGatlas-internal_UTR-747")</f>
        <v>BSGatlas-internal_UTR-747</v>
      </c>
      <c r="B748" s="3">
        <v>2814408</v>
      </c>
      <c r="C748" s="3">
        <v>2814488</v>
      </c>
      <c r="D748" s="1" t="s">
        <v>13</v>
      </c>
      <c r="E748" s="1" t="s">
        <v>4377</v>
      </c>
    </row>
    <row r="749" spans="1:5" ht="21" x14ac:dyDescent="0.25">
      <c r="A749" s="2" t="str">
        <f>HYPERLINK("https://rth.dk/resources/bsgatlas/details.php?id=BSGatlas-internal_UTR-748","BSGatlas-internal_UTR-748")</f>
        <v>BSGatlas-internal_UTR-748</v>
      </c>
      <c r="B749" s="3">
        <v>2820476</v>
      </c>
      <c r="C749" s="3">
        <v>2820528</v>
      </c>
      <c r="D749" s="1" t="s">
        <v>13</v>
      </c>
      <c r="E749" s="1" t="s">
        <v>4377</v>
      </c>
    </row>
    <row r="750" spans="1:5" ht="21" x14ac:dyDescent="0.25">
      <c r="A750" s="2" t="str">
        <f>HYPERLINK("https://rth.dk/resources/bsgatlas/details.php?id=BSGatlas-internal_UTR-749","BSGatlas-internal_UTR-749")</f>
        <v>BSGatlas-internal_UTR-749</v>
      </c>
      <c r="B750" s="3">
        <v>2826170</v>
      </c>
      <c r="C750" s="3">
        <v>2826244</v>
      </c>
      <c r="D750" s="1" t="s">
        <v>13</v>
      </c>
      <c r="E750" s="1" t="s">
        <v>4386</v>
      </c>
    </row>
    <row r="751" spans="1:5" ht="21" x14ac:dyDescent="0.25">
      <c r="A751" s="2" t="str">
        <f>HYPERLINK("https://rth.dk/resources/bsgatlas/details.php?id=BSGatlas-internal_UTR-750","BSGatlas-internal_UTR-750")</f>
        <v>BSGatlas-internal_UTR-750</v>
      </c>
      <c r="B751" s="3">
        <v>2829114</v>
      </c>
      <c r="C751" s="3">
        <v>2829151</v>
      </c>
      <c r="D751" s="1" t="s">
        <v>13</v>
      </c>
      <c r="E751" s="1" t="s">
        <v>4377</v>
      </c>
    </row>
    <row r="752" spans="1:5" ht="21" x14ac:dyDescent="0.25">
      <c r="A752" s="2" t="str">
        <f>HYPERLINK("https://rth.dk/resources/bsgatlas/details.php?id=BSGatlas-internal_UTR-751","BSGatlas-internal_UTR-751")</f>
        <v>BSGatlas-internal_UTR-751</v>
      </c>
      <c r="B752" s="3">
        <v>2831121</v>
      </c>
      <c r="C752" s="3">
        <v>2831914</v>
      </c>
      <c r="D752" s="1" t="s">
        <v>9</v>
      </c>
      <c r="E752" s="1" t="s">
        <v>4377</v>
      </c>
    </row>
    <row r="753" spans="1:5" ht="21" x14ac:dyDescent="0.25">
      <c r="A753" s="2" t="str">
        <f>HYPERLINK("https://rth.dk/resources/bsgatlas/details.php?id=BSGatlas-internal_UTR-752","BSGatlas-internal_UTR-752")</f>
        <v>BSGatlas-internal_UTR-752</v>
      </c>
      <c r="B753" s="3">
        <v>2832691</v>
      </c>
      <c r="C753" s="3">
        <v>2832726</v>
      </c>
      <c r="D753" s="1" t="s">
        <v>13</v>
      </c>
      <c r="E753" s="1" t="s">
        <v>4547</v>
      </c>
    </row>
    <row r="754" spans="1:5" ht="21" x14ac:dyDescent="0.25">
      <c r="A754" s="2" t="str">
        <f>HYPERLINK("https://rth.dk/resources/bsgatlas/details.php?id=BSGatlas-internal_UTR-753","BSGatlas-internal_UTR-753")</f>
        <v>BSGatlas-internal_UTR-753</v>
      </c>
      <c r="B754" s="3">
        <v>2833873</v>
      </c>
      <c r="C754" s="3">
        <v>2833898</v>
      </c>
      <c r="D754" s="1" t="s">
        <v>13</v>
      </c>
      <c r="E754" s="1" t="s">
        <v>4547</v>
      </c>
    </row>
    <row r="755" spans="1:5" ht="21" x14ac:dyDescent="0.25">
      <c r="A755" s="2" t="str">
        <f>HYPERLINK("https://rth.dk/resources/bsgatlas/details.php?id=BSGatlas-internal_UTR-754","BSGatlas-internal_UTR-754")</f>
        <v>BSGatlas-internal_UTR-754</v>
      </c>
      <c r="B755" s="3">
        <v>2834928</v>
      </c>
      <c r="C755" s="3">
        <v>2834956</v>
      </c>
      <c r="D755" s="1" t="s">
        <v>13</v>
      </c>
      <c r="E755" s="1" t="s">
        <v>4547</v>
      </c>
    </row>
    <row r="756" spans="1:5" ht="21" x14ac:dyDescent="0.25">
      <c r="A756" s="2" t="str">
        <f>HYPERLINK("https://rth.dk/resources/bsgatlas/details.php?id=BSGatlas-internal_UTR-755","BSGatlas-internal_UTR-755")</f>
        <v>BSGatlas-internal_UTR-755</v>
      </c>
      <c r="B756" s="3">
        <v>2837422</v>
      </c>
      <c r="C756" s="3">
        <v>2837468</v>
      </c>
      <c r="D756" s="1" t="s">
        <v>13</v>
      </c>
      <c r="E756" s="1" t="s">
        <v>4547</v>
      </c>
    </row>
    <row r="757" spans="1:5" ht="21" x14ac:dyDescent="0.25">
      <c r="A757" s="2" t="str">
        <f>HYPERLINK("https://rth.dk/resources/bsgatlas/details.php?id=BSGatlas-internal_UTR-756","BSGatlas-internal_UTR-756")</f>
        <v>BSGatlas-internal_UTR-756</v>
      </c>
      <c r="B757" s="3">
        <v>2844528</v>
      </c>
      <c r="C757" s="3">
        <v>2844674</v>
      </c>
      <c r="D757" s="1" t="s">
        <v>13</v>
      </c>
      <c r="E757" s="1" t="s">
        <v>4386</v>
      </c>
    </row>
    <row r="758" spans="1:5" ht="21" x14ac:dyDescent="0.25">
      <c r="A758" s="2" t="str">
        <f>HYPERLINK("https://rth.dk/resources/bsgatlas/details.php?id=BSGatlas-internal_UTR-757","BSGatlas-internal_UTR-757")</f>
        <v>BSGatlas-internal_UTR-757</v>
      </c>
      <c r="B758" s="3">
        <v>2852141</v>
      </c>
      <c r="C758" s="3">
        <v>2852156</v>
      </c>
      <c r="D758" s="1" t="s">
        <v>13</v>
      </c>
      <c r="E758" s="1" t="s">
        <v>14712</v>
      </c>
    </row>
    <row r="759" spans="1:5" ht="21" x14ac:dyDescent="0.25">
      <c r="A759" s="2" t="str">
        <f>HYPERLINK("https://rth.dk/resources/bsgatlas/details.php?id=BSGatlas-internal_UTR-758","BSGatlas-internal_UTR-758")</f>
        <v>BSGatlas-internal_UTR-758</v>
      </c>
      <c r="B759" s="3">
        <v>2852601</v>
      </c>
      <c r="C759" s="3">
        <v>2852660</v>
      </c>
      <c r="D759" s="1" t="s">
        <v>13</v>
      </c>
      <c r="E759" s="1" t="s">
        <v>4386</v>
      </c>
    </row>
    <row r="760" spans="1:5" ht="21" x14ac:dyDescent="0.25">
      <c r="A760" s="2" t="str">
        <f>HYPERLINK("https://rth.dk/resources/bsgatlas/details.php?id=BSGatlas-internal_UTR-759","BSGatlas-internal_UTR-759")</f>
        <v>BSGatlas-internal_UTR-759</v>
      </c>
      <c r="B760" s="3">
        <v>2853948</v>
      </c>
      <c r="C760" s="3">
        <v>2853980</v>
      </c>
      <c r="D760" s="1" t="s">
        <v>13</v>
      </c>
      <c r="E760" s="1" t="s">
        <v>14712</v>
      </c>
    </row>
    <row r="761" spans="1:5" ht="21" x14ac:dyDescent="0.25">
      <c r="A761" s="2" t="str">
        <f>HYPERLINK("https://rth.dk/resources/bsgatlas/details.php?id=BSGatlas-internal_UTR-760","BSGatlas-internal_UTR-760")</f>
        <v>BSGatlas-internal_UTR-760</v>
      </c>
      <c r="B761" s="3">
        <v>2855916</v>
      </c>
      <c r="C761" s="3">
        <v>2855972</v>
      </c>
      <c r="D761" s="1" t="s">
        <v>13</v>
      </c>
      <c r="E761" s="1" t="s">
        <v>4377</v>
      </c>
    </row>
    <row r="762" spans="1:5" ht="21" x14ac:dyDescent="0.25">
      <c r="A762" s="2" t="str">
        <f>HYPERLINK("https://rth.dk/resources/bsgatlas/details.php?id=BSGatlas-internal_UTR-761","BSGatlas-internal_UTR-761")</f>
        <v>BSGatlas-internal_UTR-761</v>
      </c>
      <c r="B762" s="3">
        <v>2859265</v>
      </c>
      <c r="C762" s="3">
        <v>2859316</v>
      </c>
      <c r="D762" s="1" t="s">
        <v>13</v>
      </c>
      <c r="E762" s="1" t="s">
        <v>14710</v>
      </c>
    </row>
    <row r="763" spans="1:5" ht="21" x14ac:dyDescent="0.25">
      <c r="A763" s="2" t="str">
        <f>HYPERLINK("https://rth.dk/resources/bsgatlas/details.php?id=BSGatlas-internal_UTR-762","BSGatlas-internal_UTR-762")</f>
        <v>BSGatlas-internal_UTR-762</v>
      </c>
      <c r="B763" s="3">
        <v>2860705</v>
      </c>
      <c r="C763" s="3">
        <v>2860734</v>
      </c>
      <c r="D763" s="1" t="s">
        <v>13</v>
      </c>
      <c r="E763" s="1" t="s">
        <v>14710</v>
      </c>
    </row>
    <row r="764" spans="1:5" ht="21" x14ac:dyDescent="0.25">
      <c r="A764" s="2" t="str">
        <f>HYPERLINK("https://rth.dk/resources/bsgatlas/details.php?id=BSGatlas-internal_UTR-763","BSGatlas-internal_UTR-763")</f>
        <v>BSGatlas-internal_UTR-763</v>
      </c>
      <c r="B764" s="3">
        <v>2861749</v>
      </c>
      <c r="C764" s="3">
        <v>2861839</v>
      </c>
      <c r="D764" s="1" t="s">
        <v>13</v>
      </c>
      <c r="E764" s="1" t="s">
        <v>4377</v>
      </c>
    </row>
    <row r="765" spans="1:5" ht="21" x14ac:dyDescent="0.25">
      <c r="A765" s="2" t="str">
        <f>HYPERLINK("https://rth.dk/resources/bsgatlas/details.php?id=BSGatlas-internal_UTR-764","BSGatlas-internal_UTR-764")</f>
        <v>BSGatlas-internal_UTR-764</v>
      </c>
      <c r="B765" s="3">
        <v>2862536</v>
      </c>
      <c r="C765" s="3">
        <v>2862571</v>
      </c>
      <c r="D765" s="1" t="s">
        <v>13</v>
      </c>
      <c r="E765" s="1" t="s">
        <v>4377</v>
      </c>
    </row>
    <row r="766" spans="1:5" ht="21" x14ac:dyDescent="0.25">
      <c r="A766" s="2" t="str">
        <f>HYPERLINK("https://rth.dk/resources/bsgatlas/details.php?id=BSGatlas-internal_UTR-765","BSGatlas-internal_UTR-765")</f>
        <v>BSGatlas-internal_UTR-765</v>
      </c>
      <c r="B766" s="3">
        <v>2866605</v>
      </c>
      <c r="C766" s="3">
        <v>2866663</v>
      </c>
      <c r="D766" s="1" t="s">
        <v>13</v>
      </c>
      <c r="E766" s="1" t="s">
        <v>4386</v>
      </c>
    </row>
    <row r="767" spans="1:5" ht="21" x14ac:dyDescent="0.25">
      <c r="A767" s="2" t="str">
        <f>HYPERLINK("https://rth.dk/resources/bsgatlas/details.php?id=BSGatlas-internal_UTR-766","BSGatlas-internal_UTR-766")</f>
        <v>BSGatlas-internal_UTR-766</v>
      </c>
      <c r="B767" s="3">
        <v>2870990</v>
      </c>
      <c r="C767" s="3">
        <v>2871021</v>
      </c>
      <c r="D767" s="1" t="s">
        <v>13</v>
      </c>
      <c r="E767" s="1" t="s">
        <v>4377</v>
      </c>
    </row>
    <row r="768" spans="1:5" ht="21" x14ac:dyDescent="0.25">
      <c r="A768" s="2" t="str">
        <f>HYPERLINK("https://rth.dk/resources/bsgatlas/details.php?id=BSGatlas-internal_UTR-767","BSGatlas-internal_UTR-767")</f>
        <v>BSGatlas-internal_UTR-767</v>
      </c>
      <c r="B768" s="3">
        <v>2874173</v>
      </c>
      <c r="C768" s="3">
        <v>2874201</v>
      </c>
      <c r="D768" s="1" t="s">
        <v>13</v>
      </c>
      <c r="E768" s="1" t="s">
        <v>4386</v>
      </c>
    </row>
    <row r="769" spans="1:5" ht="21" x14ac:dyDescent="0.25">
      <c r="A769" s="2" t="str">
        <f>HYPERLINK("https://rth.dk/resources/bsgatlas/details.php?id=BSGatlas-internal_UTR-768","BSGatlas-internal_UTR-768")</f>
        <v>BSGatlas-internal_UTR-768</v>
      </c>
      <c r="B769" s="3">
        <v>2876896</v>
      </c>
      <c r="C769" s="3">
        <v>2876927</v>
      </c>
      <c r="D769" s="1" t="s">
        <v>13</v>
      </c>
      <c r="E769" s="1" t="s">
        <v>4386</v>
      </c>
    </row>
    <row r="770" spans="1:5" ht="21" x14ac:dyDescent="0.25">
      <c r="A770" s="2" t="str">
        <f>HYPERLINK("https://rth.dk/resources/bsgatlas/details.php?id=BSGatlas-internal_UTR-769","BSGatlas-internal_UTR-769")</f>
        <v>BSGatlas-internal_UTR-769</v>
      </c>
      <c r="B770" s="3">
        <v>2890971</v>
      </c>
      <c r="C770" s="3">
        <v>2891019</v>
      </c>
      <c r="D770" s="1" t="s">
        <v>13</v>
      </c>
      <c r="E770" s="1" t="s">
        <v>4377</v>
      </c>
    </row>
    <row r="771" spans="1:5" ht="21" x14ac:dyDescent="0.25">
      <c r="A771" s="2" t="str">
        <f>HYPERLINK("https://rth.dk/resources/bsgatlas/details.php?id=BSGatlas-internal_UTR-770","BSGatlas-internal_UTR-770")</f>
        <v>BSGatlas-internal_UTR-770</v>
      </c>
      <c r="B771" s="3">
        <v>2892118</v>
      </c>
      <c r="C771" s="3">
        <v>2892137</v>
      </c>
      <c r="D771" s="1" t="s">
        <v>13</v>
      </c>
      <c r="E771" s="1" t="s">
        <v>4377</v>
      </c>
    </row>
    <row r="772" spans="1:5" ht="21" x14ac:dyDescent="0.25">
      <c r="A772" s="2" t="str">
        <f>HYPERLINK("https://rth.dk/resources/bsgatlas/details.php?id=BSGatlas-internal_UTR-771","BSGatlas-internal_UTR-771")</f>
        <v>BSGatlas-internal_UTR-771</v>
      </c>
      <c r="B772" s="3">
        <v>2894710</v>
      </c>
      <c r="C772" s="3">
        <v>2894732</v>
      </c>
      <c r="D772" s="1" t="s">
        <v>13</v>
      </c>
      <c r="E772" s="1" t="s">
        <v>4377</v>
      </c>
    </row>
    <row r="773" spans="1:5" ht="21" x14ac:dyDescent="0.25">
      <c r="A773" s="2" t="str">
        <f>HYPERLINK("https://rth.dk/resources/bsgatlas/details.php?id=BSGatlas-internal_UTR-772","BSGatlas-internal_UTR-772")</f>
        <v>BSGatlas-internal_UTR-772</v>
      </c>
      <c r="B773" s="3">
        <v>2908096</v>
      </c>
      <c r="C773" s="3">
        <v>2908128</v>
      </c>
      <c r="D773" s="1" t="s">
        <v>13</v>
      </c>
      <c r="E773" s="1" t="s">
        <v>4373</v>
      </c>
    </row>
    <row r="774" spans="1:5" ht="21" x14ac:dyDescent="0.25">
      <c r="A774" s="2" t="str">
        <f>HYPERLINK("https://rth.dk/resources/bsgatlas/details.php?id=BSGatlas-internal_UTR-773","BSGatlas-internal_UTR-773")</f>
        <v>BSGatlas-internal_UTR-773</v>
      </c>
      <c r="B774" s="3">
        <v>2916343</v>
      </c>
      <c r="C774" s="3">
        <v>2916377</v>
      </c>
      <c r="D774" s="1" t="s">
        <v>13</v>
      </c>
      <c r="E774" s="1" t="s">
        <v>14712</v>
      </c>
    </row>
    <row r="775" spans="1:5" ht="21" x14ac:dyDescent="0.25">
      <c r="A775" s="2" t="str">
        <f>HYPERLINK("https://rth.dk/resources/bsgatlas/details.php?id=BSGatlas-internal_UTR-774","BSGatlas-internal_UTR-774")</f>
        <v>BSGatlas-internal_UTR-774</v>
      </c>
      <c r="B775" s="3">
        <v>2918542</v>
      </c>
      <c r="C775" s="3">
        <v>2918645</v>
      </c>
      <c r="D775" s="1" t="s">
        <v>13</v>
      </c>
      <c r="E775" s="1" t="s">
        <v>4386</v>
      </c>
    </row>
    <row r="776" spans="1:5" ht="21" x14ac:dyDescent="0.25">
      <c r="A776" s="2" t="str">
        <f>HYPERLINK("https://rth.dk/resources/bsgatlas/details.php?id=BSGatlas-internal_UTR-775","BSGatlas-internal_UTR-775")</f>
        <v>BSGatlas-internal_UTR-775</v>
      </c>
      <c r="B776" s="3">
        <v>2923294</v>
      </c>
      <c r="C776" s="3">
        <v>2923313</v>
      </c>
      <c r="D776" s="1" t="s">
        <v>13</v>
      </c>
      <c r="E776" s="1" t="s">
        <v>4386</v>
      </c>
    </row>
    <row r="777" spans="1:5" ht="21" x14ac:dyDescent="0.25">
      <c r="A777" s="2" t="str">
        <f>HYPERLINK("https://rth.dk/resources/bsgatlas/details.php?id=BSGatlas-internal_UTR-776","BSGatlas-internal_UTR-776")</f>
        <v>BSGatlas-internal_UTR-776</v>
      </c>
      <c r="B777" s="3">
        <v>2925027</v>
      </c>
      <c r="C777" s="3">
        <v>2925099</v>
      </c>
      <c r="D777" s="1" t="s">
        <v>13</v>
      </c>
      <c r="E777" s="1" t="s">
        <v>4386</v>
      </c>
    </row>
    <row r="778" spans="1:5" ht="21" x14ac:dyDescent="0.25">
      <c r="A778" s="2" t="str">
        <f>HYPERLINK("https://rth.dk/resources/bsgatlas/details.php?id=BSGatlas-internal_UTR-777","BSGatlas-internal_UTR-777")</f>
        <v>BSGatlas-internal_UTR-777</v>
      </c>
      <c r="B778" s="3">
        <v>2936210</v>
      </c>
      <c r="C778" s="3">
        <v>2936268</v>
      </c>
      <c r="D778" s="1" t="s">
        <v>13</v>
      </c>
      <c r="E778" s="1" t="s">
        <v>4373</v>
      </c>
    </row>
    <row r="779" spans="1:5" ht="21" x14ac:dyDescent="0.25">
      <c r="A779" s="2" t="str">
        <f>HYPERLINK("https://rth.dk/resources/bsgatlas/details.php?id=BSGatlas-internal_UTR-778","BSGatlas-internal_UTR-778")</f>
        <v>BSGatlas-internal_UTR-778</v>
      </c>
      <c r="B779" s="3">
        <v>2939833</v>
      </c>
      <c r="C779" s="3">
        <v>2939850</v>
      </c>
      <c r="D779" s="1" t="s">
        <v>13</v>
      </c>
      <c r="E779" s="1" t="s">
        <v>4386</v>
      </c>
    </row>
    <row r="780" spans="1:5" ht="21" x14ac:dyDescent="0.25">
      <c r="A780" s="2" t="str">
        <f>HYPERLINK("https://rth.dk/resources/bsgatlas/details.php?id=BSGatlas-internal_UTR-779","BSGatlas-internal_UTR-779")</f>
        <v>BSGatlas-internal_UTR-779</v>
      </c>
      <c r="B780" s="3">
        <v>2941639</v>
      </c>
      <c r="C780" s="3">
        <v>2941673</v>
      </c>
      <c r="D780" s="1" t="s">
        <v>13</v>
      </c>
      <c r="E780" s="1" t="s">
        <v>4386</v>
      </c>
    </row>
    <row r="781" spans="1:5" ht="21" x14ac:dyDescent="0.25">
      <c r="A781" s="2" t="str">
        <f>HYPERLINK("https://rth.dk/resources/bsgatlas/details.php?id=BSGatlas-internal_UTR-780","BSGatlas-internal_UTR-780")</f>
        <v>BSGatlas-internal_UTR-780</v>
      </c>
      <c r="B781" s="3">
        <v>2942976</v>
      </c>
      <c r="C781" s="3">
        <v>2943005</v>
      </c>
      <c r="D781" s="1" t="s">
        <v>13</v>
      </c>
      <c r="E781" s="1" t="s">
        <v>4386</v>
      </c>
    </row>
    <row r="782" spans="1:5" ht="21" x14ac:dyDescent="0.25">
      <c r="A782" s="2" t="str">
        <f>HYPERLINK("https://rth.dk/resources/bsgatlas/details.php?id=BSGatlas-internal_UTR-781","BSGatlas-internal_UTR-781")</f>
        <v>BSGatlas-internal_UTR-781</v>
      </c>
      <c r="B782" s="3">
        <v>2945673</v>
      </c>
      <c r="C782" s="3">
        <v>2945688</v>
      </c>
      <c r="D782" s="1" t="s">
        <v>13</v>
      </c>
      <c r="E782" s="1" t="s">
        <v>4386</v>
      </c>
    </row>
    <row r="783" spans="1:5" ht="21" x14ac:dyDescent="0.25">
      <c r="A783" s="2" t="str">
        <f>HYPERLINK("https://rth.dk/resources/bsgatlas/details.php?id=BSGatlas-internal_UTR-782","BSGatlas-internal_UTR-782")</f>
        <v>BSGatlas-internal_UTR-782</v>
      </c>
      <c r="B783" s="3">
        <v>2952168</v>
      </c>
      <c r="C783" s="3">
        <v>2952223</v>
      </c>
      <c r="D783" s="1" t="s">
        <v>13</v>
      </c>
      <c r="E783" s="1" t="s">
        <v>4382</v>
      </c>
    </row>
    <row r="784" spans="1:5" ht="21" x14ac:dyDescent="0.25">
      <c r="A784" s="2" t="str">
        <f>HYPERLINK("https://rth.dk/resources/bsgatlas/details.php?id=BSGatlas-internal_UTR-783","BSGatlas-internal_UTR-783")</f>
        <v>BSGatlas-internal_UTR-783</v>
      </c>
      <c r="B784" s="3">
        <v>2952584</v>
      </c>
      <c r="C784" s="3">
        <v>2952614</v>
      </c>
      <c r="D784" s="1" t="s">
        <v>13</v>
      </c>
      <c r="E784" s="1" t="s">
        <v>4373</v>
      </c>
    </row>
    <row r="785" spans="1:5" ht="21" x14ac:dyDescent="0.25">
      <c r="A785" s="2" t="str">
        <f>HYPERLINK("https://rth.dk/resources/bsgatlas/details.php?id=BSGatlas-internal_UTR-784","BSGatlas-internal_UTR-784")</f>
        <v>BSGatlas-internal_UTR-784</v>
      </c>
      <c r="B785" s="3">
        <v>2955188</v>
      </c>
      <c r="C785" s="3">
        <v>2955208</v>
      </c>
      <c r="D785" s="1" t="s">
        <v>13</v>
      </c>
      <c r="E785" s="1" t="s">
        <v>4386</v>
      </c>
    </row>
    <row r="786" spans="1:5" ht="21" x14ac:dyDescent="0.25">
      <c r="A786" s="2" t="str">
        <f>HYPERLINK("https://rth.dk/resources/bsgatlas/details.php?id=BSGatlas-internal_UTR-785","BSGatlas-internal_UTR-785")</f>
        <v>BSGatlas-internal_UTR-785</v>
      </c>
      <c r="B786" s="3">
        <v>2961189</v>
      </c>
      <c r="C786" s="3">
        <v>2961231</v>
      </c>
      <c r="D786" s="1" t="s">
        <v>13</v>
      </c>
      <c r="E786" s="1" t="s">
        <v>4386</v>
      </c>
    </row>
    <row r="787" spans="1:5" ht="21" x14ac:dyDescent="0.25">
      <c r="A787" s="2" t="str">
        <f>HYPERLINK("https://rth.dk/resources/bsgatlas/details.php?id=BSGatlas-internal_UTR-786","BSGatlas-internal_UTR-786")</f>
        <v>BSGatlas-internal_UTR-786</v>
      </c>
      <c r="B787" s="3">
        <v>2961480</v>
      </c>
      <c r="C787" s="3">
        <v>2961585</v>
      </c>
      <c r="D787" s="1" t="s">
        <v>13</v>
      </c>
      <c r="E787" s="1" t="s">
        <v>4386</v>
      </c>
    </row>
    <row r="788" spans="1:5" ht="21" x14ac:dyDescent="0.25">
      <c r="A788" s="2" t="str">
        <f>HYPERLINK("https://rth.dk/resources/bsgatlas/details.php?id=BSGatlas-internal_UTR-787","BSGatlas-internal_UTR-787")</f>
        <v>BSGatlas-internal_UTR-787</v>
      </c>
      <c r="B788" s="3">
        <v>2962432</v>
      </c>
      <c r="C788" s="3">
        <v>2962509</v>
      </c>
      <c r="D788" s="1" t="s">
        <v>13</v>
      </c>
      <c r="E788" s="1" t="s">
        <v>4386</v>
      </c>
    </row>
    <row r="789" spans="1:5" ht="21" x14ac:dyDescent="0.25">
      <c r="A789" s="2" t="str">
        <f>HYPERLINK("https://rth.dk/resources/bsgatlas/details.php?id=BSGatlas-internal_UTR-788","BSGatlas-internal_UTR-788")</f>
        <v>BSGatlas-internal_UTR-788</v>
      </c>
      <c r="B789" s="3">
        <v>2963152</v>
      </c>
      <c r="C789" s="3">
        <v>2963184</v>
      </c>
      <c r="D789" s="1" t="s">
        <v>13</v>
      </c>
      <c r="E789" s="1" t="s">
        <v>4386</v>
      </c>
    </row>
    <row r="790" spans="1:5" ht="21" x14ac:dyDescent="0.25">
      <c r="A790" s="2" t="str">
        <f>HYPERLINK("https://rth.dk/resources/bsgatlas/details.php?id=BSGatlas-internal_UTR-789","BSGatlas-internal_UTR-789")</f>
        <v>BSGatlas-internal_UTR-789</v>
      </c>
      <c r="B790" s="3">
        <v>2964121</v>
      </c>
      <c r="C790" s="3">
        <v>2964147</v>
      </c>
      <c r="D790" s="1" t="s">
        <v>13</v>
      </c>
      <c r="E790" s="1" t="s">
        <v>4386</v>
      </c>
    </row>
    <row r="791" spans="1:5" ht="21" x14ac:dyDescent="0.25">
      <c r="A791" s="2" t="str">
        <f>HYPERLINK("https://rth.dk/resources/bsgatlas/details.php?id=BSGatlas-internal_UTR-790","BSGatlas-internal_UTR-790")</f>
        <v>BSGatlas-internal_UTR-790</v>
      </c>
      <c r="B791" s="3">
        <v>2966794</v>
      </c>
      <c r="C791" s="3">
        <v>2967031</v>
      </c>
      <c r="D791" s="1" t="s">
        <v>13</v>
      </c>
      <c r="E791" s="1" t="s">
        <v>4386</v>
      </c>
    </row>
    <row r="792" spans="1:5" ht="21" x14ac:dyDescent="0.25">
      <c r="A792" s="2" t="str">
        <f>HYPERLINK("https://rth.dk/resources/bsgatlas/details.php?id=BSGatlas-internal_UTR-791","BSGatlas-internal_UTR-791")</f>
        <v>BSGatlas-internal_UTR-791</v>
      </c>
      <c r="B792" s="3">
        <v>2970015</v>
      </c>
      <c r="C792" s="3">
        <v>2970037</v>
      </c>
      <c r="D792" s="1" t="s">
        <v>9</v>
      </c>
      <c r="E792" s="1" t="s">
        <v>4386</v>
      </c>
    </row>
    <row r="793" spans="1:5" ht="21" x14ac:dyDescent="0.25">
      <c r="A793" s="2" t="str">
        <f>HYPERLINK("https://rth.dk/resources/bsgatlas/details.php?id=BSGatlas-internal_UTR-792","BSGatlas-internal_UTR-792")</f>
        <v>BSGatlas-internal_UTR-792</v>
      </c>
      <c r="B793" s="3">
        <v>2972164</v>
      </c>
      <c r="C793" s="3">
        <v>2972328</v>
      </c>
      <c r="D793" s="1" t="s">
        <v>13</v>
      </c>
      <c r="E793" s="1" t="s">
        <v>4377</v>
      </c>
    </row>
    <row r="794" spans="1:5" ht="21" x14ac:dyDescent="0.25">
      <c r="A794" s="2" t="str">
        <f>HYPERLINK("https://rth.dk/resources/bsgatlas/details.php?id=BSGatlas-internal_UTR-793","BSGatlas-internal_UTR-793")</f>
        <v>BSGatlas-internal_UTR-793</v>
      </c>
      <c r="B794" s="3">
        <v>2973160</v>
      </c>
      <c r="C794" s="3">
        <v>2973181</v>
      </c>
      <c r="D794" s="1" t="s">
        <v>13</v>
      </c>
      <c r="E794" s="1" t="s">
        <v>4377</v>
      </c>
    </row>
    <row r="795" spans="1:5" ht="21" x14ac:dyDescent="0.25">
      <c r="A795" s="2" t="str">
        <f>HYPERLINK("https://rth.dk/resources/bsgatlas/details.php?id=BSGatlas-internal_UTR-794","BSGatlas-internal_UTR-794")</f>
        <v>BSGatlas-internal_UTR-794</v>
      </c>
      <c r="B795" s="3">
        <v>2979673</v>
      </c>
      <c r="C795" s="3">
        <v>2979715</v>
      </c>
      <c r="D795" s="1" t="s">
        <v>13</v>
      </c>
      <c r="E795" s="1" t="s">
        <v>4373</v>
      </c>
    </row>
    <row r="796" spans="1:5" ht="21" x14ac:dyDescent="0.25">
      <c r="A796" s="2" t="str">
        <f>HYPERLINK("https://rth.dk/resources/bsgatlas/details.php?id=BSGatlas-internal_UTR-795","BSGatlas-internal_UTR-795")</f>
        <v>BSGatlas-internal_UTR-795</v>
      </c>
      <c r="B796" s="3">
        <v>2980988</v>
      </c>
      <c r="C796" s="3">
        <v>2981150</v>
      </c>
      <c r="D796" s="1" t="s">
        <v>13</v>
      </c>
      <c r="E796" s="1" t="s">
        <v>4373</v>
      </c>
    </row>
    <row r="797" spans="1:5" ht="21" x14ac:dyDescent="0.25">
      <c r="A797" s="2" t="str">
        <f>HYPERLINK("https://rth.dk/resources/bsgatlas/details.php?id=BSGatlas-internal_UTR-796","BSGatlas-internal_UTR-796")</f>
        <v>BSGatlas-internal_UTR-796</v>
      </c>
      <c r="B797" s="3">
        <v>2984696</v>
      </c>
      <c r="C797" s="3">
        <v>2984787</v>
      </c>
      <c r="D797" s="1" t="s">
        <v>13</v>
      </c>
      <c r="E797" s="1" t="s">
        <v>4386</v>
      </c>
    </row>
    <row r="798" spans="1:5" ht="21" x14ac:dyDescent="0.25">
      <c r="A798" s="2" t="str">
        <f>HYPERLINK("https://rth.dk/resources/bsgatlas/details.php?id=BSGatlas-internal_UTR-797","BSGatlas-internal_UTR-797")</f>
        <v>BSGatlas-internal_UTR-797</v>
      </c>
      <c r="B798" s="3">
        <v>2986546</v>
      </c>
      <c r="C798" s="3">
        <v>2986587</v>
      </c>
      <c r="D798" s="1" t="s">
        <v>13</v>
      </c>
      <c r="E798" s="1" t="s">
        <v>4386</v>
      </c>
    </row>
    <row r="799" spans="1:5" ht="21" x14ac:dyDescent="0.25">
      <c r="A799" s="2" t="str">
        <f>HYPERLINK("https://rth.dk/resources/bsgatlas/details.php?id=BSGatlas-internal_UTR-798","BSGatlas-internal_UTR-798")</f>
        <v>BSGatlas-internal_UTR-798</v>
      </c>
      <c r="B799" s="3">
        <v>2991133</v>
      </c>
      <c r="C799" s="3">
        <v>2991182</v>
      </c>
      <c r="D799" s="1" t="s">
        <v>13</v>
      </c>
      <c r="E799" s="1" t="s">
        <v>4386</v>
      </c>
    </row>
    <row r="800" spans="1:5" ht="21" x14ac:dyDescent="0.25">
      <c r="A800" s="2" t="str">
        <f>HYPERLINK("https://rth.dk/resources/bsgatlas/details.php?id=BSGatlas-internal_UTR-799","BSGatlas-internal_UTR-799")</f>
        <v>BSGatlas-internal_UTR-799</v>
      </c>
      <c r="B800" s="3">
        <v>2991240</v>
      </c>
      <c r="C800" s="3">
        <v>2991268</v>
      </c>
      <c r="D800" s="1" t="s">
        <v>13</v>
      </c>
      <c r="E800" s="1" t="s">
        <v>4386</v>
      </c>
    </row>
    <row r="801" spans="1:5" ht="21" x14ac:dyDescent="0.25">
      <c r="A801" s="2" t="str">
        <f>HYPERLINK("https://rth.dk/resources/bsgatlas/details.php?id=BSGatlas-internal_UTR-800","BSGatlas-internal_UTR-800")</f>
        <v>BSGatlas-internal_UTR-800</v>
      </c>
      <c r="B801" s="3">
        <v>2999699</v>
      </c>
      <c r="C801" s="3">
        <v>2999716</v>
      </c>
      <c r="D801" s="1" t="s">
        <v>13</v>
      </c>
      <c r="E801" s="1" t="s">
        <v>4373</v>
      </c>
    </row>
    <row r="802" spans="1:5" ht="21" x14ac:dyDescent="0.25">
      <c r="A802" s="2" t="str">
        <f>HYPERLINK("https://rth.dk/resources/bsgatlas/details.php?id=BSGatlas-internal_UTR-801","BSGatlas-internal_UTR-801")</f>
        <v>BSGatlas-internal_UTR-801</v>
      </c>
      <c r="B802" s="3">
        <v>3000968</v>
      </c>
      <c r="C802" s="3">
        <v>3000984</v>
      </c>
      <c r="D802" s="1" t="s">
        <v>13</v>
      </c>
      <c r="E802" s="1" t="s">
        <v>4373</v>
      </c>
    </row>
    <row r="803" spans="1:5" ht="21" x14ac:dyDescent="0.25">
      <c r="A803" s="2" t="str">
        <f>HYPERLINK("https://rth.dk/resources/bsgatlas/details.php?id=BSGatlas-internal_UTR-802","BSGatlas-internal_UTR-802")</f>
        <v>BSGatlas-internal_UTR-802</v>
      </c>
      <c r="B803" s="3">
        <v>3001678</v>
      </c>
      <c r="C803" s="3">
        <v>3001723</v>
      </c>
      <c r="D803" s="1" t="s">
        <v>13</v>
      </c>
      <c r="E803" s="1" t="s">
        <v>4373</v>
      </c>
    </row>
    <row r="804" spans="1:5" ht="21" x14ac:dyDescent="0.25">
      <c r="A804" s="2" t="str">
        <f>HYPERLINK("https://rth.dk/resources/bsgatlas/details.php?id=BSGatlas-internal_UTR-803","BSGatlas-internal_UTR-803")</f>
        <v>BSGatlas-internal_UTR-803</v>
      </c>
      <c r="B804" s="3">
        <v>3005830</v>
      </c>
      <c r="C804" s="3">
        <v>3005858</v>
      </c>
      <c r="D804" s="1" t="s">
        <v>13</v>
      </c>
      <c r="E804" s="1" t="s">
        <v>4373</v>
      </c>
    </row>
    <row r="805" spans="1:5" ht="21" x14ac:dyDescent="0.25">
      <c r="A805" s="2" t="str">
        <f>HYPERLINK("https://rth.dk/resources/bsgatlas/details.php?id=BSGatlas-internal_UTR-804","BSGatlas-internal_UTR-804")</f>
        <v>BSGatlas-internal_UTR-804</v>
      </c>
      <c r="B805" s="3">
        <v>3006579</v>
      </c>
      <c r="C805" s="3">
        <v>3006599</v>
      </c>
      <c r="D805" s="1" t="s">
        <v>13</v>
      </c>
      <c r="E805" s="1" t="s">
        <v>4373</v>
      </c>
    </row>
    <row r="806" spans="1:5" ht="21" x14ac:dyDescent="0.25">
      <c r="A806" s="2" t="str">
        <f>HYPERLINK("https://rth.dk/resources/bsgatlas/details.php?id=BSGatlas-internal_UTR-805","BSGatlas-internal_UTR-805")</f>
        <v>BSGatlas-internal_UTR-805</v>
      </c>
      <c r="B806" s="3">
        <v>3010599</v>
      </c>
      <c r="C806" s="3">
        <v>3010660</v>
      </c>
      <c r="D806" s="1" t="s">
        <v>13</v>
      </c>
      <c r="E806" s="1" t="s">
        <v>4373</v>
      </c>
    </row>
    <row r="807" spans="1:5" ht="21" x14ac:dyDescent="0.25">
      <c r="A807" s="2" t="str">
        <f>HYPERLINK("https://rth.dk/resources/bsgatlas/details.php?id=BSGatlas-internal_UTR-806","BSGatlas-internal_UTR-806")</f>
        <v>BSGatlas-internal_UTR-806</v>
      </c>
      <c r="B807" s="3">
        <v>3017636</v>
      </c>
      <c r="C807" s="3">
        <v>3017695</v>
      </c>
      <c r="D807" s="1" t="s">
        <v>13</v>
      </c>
      <c r="E807" s="1" t="s">
        <v>4397</v>
      </c>
    </row>
    <row r="808" spans="1:5" ht="21" x14ac:dyDescent="0.25">
      <c r="A808" s="2" t="str">
        <f>HYPERLINK("https://rth.dk/resources/bsgatlas/details.php?id=BSGatlas-internal_UTR-807","BSGatlas-internal_UTR-807")</f>
        <v>BSGatlas-internal_UTR-807</v>
      </c>
      <c r="B808" s="3">
        <v>3023658</v>
      </c>
      <c r="C808" s="3">
        <v>3023676</v>
      </c>
      <c r="D808" s="1" t="s">
        <v>13</v>
      </c>
      <c r="E808" s="1" t="s">
        <v>4377</v>
      </c>
    </row>
    <row r="809" spans="1:5" ht="21" x14ac:dyDescent="0.25">
      <c r="A809" s="2" t="str">
        <f>HYPERLINK("https://rth.dk/resources/bsgatlas/details.php?id=BSGatlas-internal_UTR-808","BSGatlas-internal_UTR-808")</f>
        <v>BSGatlas-internal_UTR-808</v>
      </c>
      <c r="B809" s="3">
        <v>3025655</v>
      </c>
      <c r="C809" s="3">
        <v>3025747</v>
      </c>
      <c r="D809" s="1" t="s">
        <v>13</v>
      </c>
      <c r="E809" s="1" t="s">
        <v>4386</v>
      </c>
    </row>
    <row r="810" spans="1:5" ht="21" x14ac:dyDescent="0.25">
      <c r="A810" s="2" t="str">
        <f>HYPERLINK("https://rth.dk/resources/bsgatlas/details.php?id=BSGatlas-internal_UTR-809","BSGatlas-internal_UTR-809")</f>
        <v>BSGatlas-internal_UTR-809</v>
      </c>
      <c r="B810" s="3">
        <v>3032421</v>
      </c>
      <c r="C810" s="3">
        <v>3033166</v>
      </c>
      <c r="D810" s="1" t="s">
        <v>9</v>
      </c>
      <c r="E810" s="1" t="s">
        <v>4397</v>
      </c>
    </row>
    <row r="811" spans="1:5" ht="21" x14ac:dyDescent="0.25">
      <c r="A811" s="2" t="str">
        <f>HYPERLINK("https://rth.dk/resources/bsgatlas/details.php?id=BSGatlas-internal_UTR-810","BSGatlas-internal_UTR-810")</f>
        <v>BSGatlas-internal_UTR-810</v>
      </c>
      <c r="B811" s="3">
        <v>3037872</v>
      </c>
      <c r="C811" s="3">
        <v>3037894</v>
      </c>
      <c r="D811" s="1" t="s">
        <v>13</v>
      </c>
      <c r="E811" s="1" t="s">
        <v>4386</v>
      </c>
    </row>
    <row r="812" spans="1:5" ht="21" x14ac:dyDescent="0.25">
      <c r="A812" s="2" t="str">
        <f>HYPERLINK("https://rth.dk/resources/bsgatlas/details.php?id=BSGatlas-internal_UTR-811","BSGatlas-internal_UTR-811")</f>
        <v>BSGatlas-internal_UTR-811</v>
      </c>
      <c r="B812" s="3">
        <v>3040725</v>
      </c>
      <c r="C812" s="3">
        <v>3040750</v>
      </c>
      <c r="D812" s="1" t="s">
        <v>9</v>
      </c>
      <c r="E812" s="1" t="s">
        <v>4397</v>
      </c>
    </row>
    <row r="813" spans="1:5" ht="21" x14ac:dyDescent="0.25">
      <c r="A813" s="2" t="str">
        <f>HYPERLINK("https://rth.dk/resources/bsgatlas/details.php?id=BSGatlas-internal_UTR-812","BSGatlas-internal_UTR-812")</f>
        <v>BSGatlas-internal_UTR-812</v>
      </c>
      <c r="B813" s="3">
        <v>3044103</v>
      </c>
      <c r="C813" s="3">
        <v>3044164</v>
      </c>
      <c r="D813" s="1" t="s">
        <v>13</v>
      </c>
      <c r="E813" s="1" t="s">
        <v>4397</v>
      </c>
    </row>
    <row r="814" spans="1:5" ht="21" x14ac:dyDescent="0.25">
      <c r="A814" s="2" t="str">
        <f>HYPERLINK("https://rth.dk/resources/bsgatlas/details.php?id=BSGatlas-internal_UTR-813","BSGatlas-internal_UTR-813")</f>
        <v>BSGatlas-internal_UTR-813</v>
      </c>
      <c r="B814" s="3">
        <v>3047084</v>
      </c>
      <c r="C814" s="3">
        <v>3047106</v>
      </c>
      <c r="D814" s="1" t="s">
        <v>13</v>
      </c>
      <c r="E814" s="1" t="s">
        <v>4373</v>
      </c>
    </row>
    <row r="815" spans="1:5" ht="21" x14ac:dyDescent="0.25">
      <c r="A815" s="2" t="str">
        <f>HYPERLINK("https://rth.dk/resources/bsgatlas/details.php?id=BSGatlas-internal_UTR-814","BSGatlas-internal_UTR-814")</f>
        <v>BSGatlas-internal_UTR-814</v>
      </c>
      <c r="B815" s="3">
        <v>3047563</v>
      </c>
      <c r="C815" s="3">
        <v>3047592</v>
      </c>
      <c r="D815" s="1" t="s">
        <v>13</v>
      </c>
      <c r="E815" s="1" t="s">
        <v>4373</v>
      </c>
    </row>
    <row r="816" spans="1:5" ht="21" x14ac:dyDescent="0.25">
      <c r="A816" s="2" t="str">
        <f>HYPERLINK("https://rth.dk/resources/bsgatlas/details.php?id=BSGatlas-internal_UTR-815","BSGatlas-internal_UTR-815")</f>
        <v>BSGatlas-internal_UTR-815</v>
      </c>
      <c r="B816" s="3">
        <v>3049476</v>
      </c>
      <c r="C816" s="3">
        <v>3049724</v>
      </c>
      <c r="D816" s="1" t="s">
        <v>13</v>
      </c>
      <c r="E816" s="1" t="s">
        <v>4386</v>
      </c>
    </row>
    <row r="817" spans="1:5" ht="21" x14ac:dyDescent="0.25">
      <c r="A817" s="2" t="str">
        <f>HYPERLINK("https://rth.dk/resources/bsgatlas/details.php?id=BSGatlas-internal_UTR-816","BSGatlas-internal_UTR-816")</f>
        <v>BSGatlas-internal_UTR-816</v>
      </c>
      <c r="B817" s="3">
        <v>3058550</v>
      </c>
      <c r="C817" s="3">
        <v>3058630</v>
      </c>
      <c r="D817" s="1" t="s">
        <v>13</v>
      </c>
      <c r="E817" s="1" t="s">
        <v>4377</v>
      </c>
    </row>
    <row r="818" spans="1:5" ht="21" x14ac:dyDescent="0.25">
      <c r="A818" s="2" t="str">
        <f>HYPERLINK("https://rth.dk/resources/bsgatlas/details.php?id=BSGatlas-internal_UTR-817","BSGatlas-internal_UTR-817")</f>
        <v>BSGatlas-internal_UTR-817</v>
      </c>
      <c r="B818" s="3">
        <v>3063808</v>
      </c>
      <c r="C818" s="3">
        <v>3063832</v>
      </c>
      <c r="D818" s="1" t="s">
        <v>13</v>
      </c>
      <c r="E818" s="1" t="s">
        <v>4377</v>
      </c>
    </row>
    <row r="819" spans="1:5" ht="21" x14ac:dyDescent="0.25">
      <c r="A819" s="2" t="str">
        <f>HYPERLINK("https://rth.dk/resources/bsgatlas/details.php?id=BSGatlas-internal_UTR-818","BSGatlas-internal_UTR-818")</f>
        <v>BSGatlas-internal_UTR-818</v>
      </c>
      <c r="B819" s="3">
        <v>3064763</v>
      </c>
      <c r="C819" s="3">
        <v>3064810</v>
      </c>
      <c r="D819" s="1" t="s">
        <v>13</v>
      </c>
      <c r="E819" s="1" t="s">
        <v>4377</v>
      </c>
    </row>
    <row r="820" spans="1:5" ht="21" x14ac:dyDescent="0.25">
      <c r="A820" s="2" t="str">
        <f>HYPERLINK("https://rth.dk/resources/bsgatlas/details.php?id=BSGatlas-internal_UTR-819","BSGatlas-internal_UTR-819")</f>
        <v>BSGatlas-internal_UTR-819</v>
      </c>
      <c r="B820" s="3">
        <v>3065726</v>
      </c>
      <c r="C820" s="3">
        <v>3065750</v>
      </c>
      <c r="D820" s="1" t="s">
        <v>13</v>
      </c>
      <c r="E820" s="1" t="s">
        <v>4377</v>
      </c>
    </row>
    <row r="821" spans="1:5" ht="21" x14ac:dyDescent="0.25">
      <c r="A821" s="2" t="str">
        <f>HYPERLINK("https://rth.dk/resources/bsgatlas/details.php?id=BSGatlas-internal_UTR-820","BSGatlas-internal_UTR-820")</f>
        <v>BSGatlas-internal_UTR-820</v>
      </c>
      <c r="B821" s="3">
        <v>3073463</v>
      </c>
      <c r="C821" s="3">
        <v>3073530</v>
      </c>
      <c r="D821" s="1" t="s">
        <v>13</v>
      </c>
      <c r="E821" s="1" t="s">
        <v>4397</v>
      </c>
    </row>
    <row r="822" spans="1:5" ht="21" x14ac:dyDescent="0.25">
      <c r="A822" s="2" t="str">
        <f>HYPERLINK("https://rth.dk/resources/bsgatlas/details.php?id=BSGatlas-internal_UTR-821","BSGatlas-internal_UTR-821")</f>
        <v>BSGatlas-internal_UTR-821</v>
      </c>
      <c r="B822" s="3">
        <v>3076630</v>
      </c>
      <c r="C822" s="3">
        <v>3076817</v>
      </c>
      <c r="D822" s="1" t="s">
        <v>9</v>
      </c>
      <c r="E822" s="1" t="s">
        <v>4373</v>
      </c>
    </row>
    <row r="823" spans="1:5" ht="21" x14ac:dyDescent="0.25">
      <c r="A823" s="2" t="str">
        <f>HYPERLINK("https://rth.dk/resources/bsgatlas/details.php?id=BSGatlas-internal_UTR-822","BSGatlas-internal_UTR-822")</f>
        <v>BSGatlas-internal_UTR-822</v>
      </c>
      <c r="B823" s="3">
        <v>3078576</v>
      </c>
      <c r="C823" s="3">
        <v>3078642</v>
      </c>
      <c r="D823" s="1" t="s">
        <v>13</v>
      </c>
      <c r="E823" s="1" t="s">
        <v>4386</v>
      </c>
    </row>
    <row r="824" spans="1:5" ht="21" x14ac:dyDescent="0.25">
      <c r="A824" s="2" t="str">
        <f>HYPERLINK("https://rth.dk/resources/bsgatlas/details.php?id=BSGatlas-internal_UTR-823","BSGatlas-internal_UTR-823")</f>
        <v>BSGatlas-internal_UTR-823</v>
      </c>
      <c r="B824" s="3">
        <v>3079312</v>
      </c>
      <c r="C824" s="3">
        <v>3079332</v>
      </c>
      <c r="D824" s="1" t="s">
        <v>13</v>
      </c>
      <c r="E824" s="1" t="s">
        <v>4386</v>
      </c>
    </row>
    <row r="825" spans="1:5" ht="21" x14ac:dyDescent="0.25">
      <c r="A825" s="2" t="str">
        <f>HYPERLINK("https://rth.dk/resources/bsgatlas/details.php?id=BSGatlas-internal_UTR-824","BSGatlas-internal_UTR-824")</f>
        <v>BSGatlas-internal_UTR-824</v>
      </c>
      <c r="B825" s="3">
        <v>3087297</v>
      </c>
      <c r="C825" s="3">
        <v>3087320</v>
      </c>
      <c r="D825" s="1" t="s">
        <v>13</v>
      </c>
      <c r="E825" s="1" t="s">
        <v>4386</v>
      </c>
    </row>
    <row r="826" spans="1:5" ht="21" x14ac:dyDescent="0.25">
      <c r="A826" s="2" t="str">
        <f>HYPERLINK("https://rth.dk/resources/bsgatlas/details.php?id=BSGatlas-internal_UTR-825","BSGatlas-internal_UTR-825")</f>
        <v>BSGatlas-internal_UTR-825</v>
      </c>
      <c r="B826" s="3">
        <v>3089150</v>
      </c>
      <c r="C826" s="3">
        <v>3089225</v>
      </c>
      <c r="D826" s="1" t="s">
        <v>13</v>
      </c>
      <c r="E826" s="1" t="s">
        <v>7186</v>
      </c>
    </row>
    <row r="827" spans="1:5" ht="21" x14ac:dyDescent="0.25">
      <c r="A827" s="2" t="str">
        <f>HYPERLINK("https://rth.dk/resources/bsgatlas/details.php?id=BSGatlas-internal_UTR-826","BSGatlas-internal_UTR-826")</f>
        <v>BSGatlas-internal_UTR-826</v>
      </c>
      <c r="B827" s="3">
        <v>3090414</v>
      </c>
      <c r="C827" s="3">
        <v>3090481</v>
      </c>
      <c r="D827" s="1" t="s">
        <v>13</v>
      </c>
      <c r="E827" s="1" t="s">
        <v>7186</v>
      </c>
    </row>
    <row r="828" spans="1:5" ht="21" x14ac:dyDescent="0.25">
      <c r="A828" s="2" t="str">
        <f>HYPERLINK("https://rth.dk/resources/bsgatlas/details.php?id=BSGatlas-internal_UTR-827","BSGatlas-internal_UTR-827")</f>
        <v>BSGatlas-internal_UTR-827</v>
      </c>
      <c r="B828" s="3">
        <v>3097817</v>
      </c>
      <c r="C828" s="3">
        <v>3097849</v>
      </c>
      <c r="D828" s="1" t="s">
        <v>9</v>
      </c>
      <c r="E828" s="1" t="s">
        <v>4386</v>
      </c>
    </row>
    <row r="829" spans="1:5" ht="21" x14ac:dyDescent="0.25">
      <c r="A829" s="2" t="str">
        <f>HYPERLINK("https://rth.dk/resources/bsgatlas/details.php?id=BSGatlas-internal_UTR-828","BSGatlas-internal_UTR-828")</f>
        <v>BSGatlas-internal_UTR-828</v>
      </c>
      <c r="B829" s="3">
        <v>3100862</v>
      </c>
      <c r="C829" s="3">
        <v>3100880</v>
      </c>
      <c r="D829" s="1" t="s">
        <v>9</v>
      </c>
      <c r="E829" s="1" t="s">
        <v>4386</v>
      </c>
    </row>
    <row r="830" spans="1:5" ht="21" x14ac:dyDescent="0.25">
      <c r="A830" s="2" t="str">
        <f>HYPERLINK("https://rth.dk/resources/bsgatlas/details.php?id=BSGatlas-internal_UTR-829","BSGatlas-internal_UTR-829")</f>
        <v>BSGatlas-internal_UTR-829</v>
      </c>
      <c r="B830" s="3">
        <v>3116967</v>
      </c>
      <c r="C830" s="3">
        <v>3116995</v>
      </c>
      <c r="D830" s="1" t="s">
        <v>13</v>
      </c>
      <c r="E830" s="1" t="s">
        <v>14712</v>
      </c>
    </row>
    <row r="831" spans="1:5" ht="21" x14ac:dyDescent="0.25">
      <c r="A831" s="2" t="str">
        <f>HYPERLINK("https://rth.dk/resources/bsgatlas/details.php?id=BSGatlas-internal_UTR-830","BSGatlas-internal_UTR-830")</f>
        <v>BSGatlas-internal_UTR-830</v>
      </c>
      <c r="B831" s="3">
        <v>3119240</v>
      </c>
      <c r="C831" s="3">
        <v>3119272</v>
      </c>
      <c r="D831" s="1" t="s">
        <v>13</v>
      </c>
      <c r="E831" s="1" t="s">
        <v>4386</v>
      </c>
    </row>
    <row r="832" spans="1:5" ht="21" x14ac:dyDescent="0.25">
      <c r="A832" s="2" t="str">
        <f>HYPERLINK("https://rth.dk/resources/bsgatlas/details.php?id=BSGatlas-internal_UTR-831","BSGatlas-internal_UTR-831")</f>
        <v>BSGatlas-internal_UTR-831</v>
      </c>
      <c r="B832" s="3">
        <v>3122642</v>
      </c>
      <c r="C832" s="3">
        <v>3122661</v>
      </c>
      <c r="D832" s="1" t="s">
        <v>13</v>
      </c>
      <c r="E832" s="1" t="s">
        <v>4386</v>
      </c>
    </row>
    <row r="833" spans="1:5" ht="21" x14ac:dyDescent="0.25">
      <c r="A833" s="2" t="str">
        <f>HYPERLINK("https://rth.dk/resources/bsgatlas/details.php?id=BSGatlas-internal_UTR-832","BSGatlas-internal_UTR-832")</f>
        <v>BSGatlas-internal_UTR-832</v>
      </c>
      <c r="B833" s="3">
        <v>3125642</v>
      </c>
      <c r="C833" s="3">
        <v>3125776</v>
      </c>
      <c r="D833" s="1" t="s">
        <v>13</v>
      </c>
      <c r="E833" s="1" t="s">
        <v>4377</v>
      </c>
    </row>
    <row r="834" spans="1:5" ht="21" x14ac:dyDescent="0.25">
      <c r="A834" s="2" t="str">
        <f>HYPERLINK("https://rth.dk/resources/bsgatlas/details.php?id=BSGatlas-internal_UTR-833","BSGatlas-internal_UTR-833")</f>
        <v>BSGatlas-internal_UTR-833</v>
      </c>
      <c r="B834" s="3">
        <v>3136676</v>
      </c>
      <c r="C834" s="3">
        <v>3136937</v>
      </c>
      <c r="D834" s="1" t="s">
        <v>13</v>
      </c>
      <c r="E834" s="1" t="s">
        <v>4373</v>
      </c>
    </row>
    <row r="835" spans="1:5" ht="21" x14ac:dyDescent="0.25">
      <c r="A835" s="2" t="str">
        <f>HYPERLINK("https://rth.dk/resources/bsgatlas/details.php?id=BSGatlas-internal_UTR-834","BSGatlas-internal_UTR-834")</f>
        <v>BSGatlas-internal_UTR-834</v>
      </c>
      <c r="B835" s="3">
        <v>3137969</v>
      </c>
      <c r="C835" s="3">
        <v>3138320</v>
      </c>
      <c r="D835" s="1" t="s">
        <v>13</v>
      </c>
      <c r="E835" s="1" t="s">
        <v>4386</v>
      </c>
    </row>
    <row r="836" spans="1:5" ht="21" x14ac:dyDescent="0.25">
      <c r="A836" s="2" t="str">
        <f>HYPERLINK("https://rth.dk/resources/bsgatlas/details.php?id=BSGatlas-internal_UTR-835","BSGatlas-internal_UTR-835")</f>
        <v>BSGatlas-internal_UTR-835</v>
      </c>
      <c r="B836" s="3">
        <v>3140763</v>
      </c>
      <c r="C836" s="3">
        <v>3140805</v>
      </c>
      <c r="D836" s="1" t="s">
        <v>9</v>
      </c>
      <c r="E836" s="1" t="s">
        <v>4377</v>
      </c>
    </row>
    <row r="837" spans="1:5" ht="21" x14ac:dyDescent="0.25">
      <c r="A837" s="2" t="str">
        <f>HYPERLINK("https://rth.dk/resources/bsgatlas/details.php?id=BSGatlas-internal_UTR-836","BSGatlas-internal_UTR-836")</f>
        <v>BSGatlas-internal_UTR-836</v>
      </c>
      <c r="B837" s="3">
        <v>3141847</v>
      </c>
      <c r="C837" s="3">
        <v>3141899</v>
      </c>
      <c r="D837" s="1" t="s">
        <v>9</v>
      </c>
      <c r="E837" s="1" t="s">
        <v>4377</v>
      </c>
    </row>
    <row r="838" spans="1:5" ht="21" x14ac:dyDescent="0.25">
      <c r="A838" s="2" t="str">
        <f>HYPERLINK("https://rth.dk/resources/bsgatlas/details.php?id=BSGatlas-internal_UTR-837","BSGatlas-internal_UTR-837")</f>
        <v>BSGatlas-internal_UTR-837</v>
      </c>
      <c r="B838" s="3">
        <v>3145020</v>
      </c>
      <c r="C838" s="3">
        <v>3145037</v>
      </c>
      <c r="D838" s="1" t="s">
        <v>13</v>
      </c>
      <c r="E838" s="1" t="s">
        <v>4373</v>
      </c>
    </row>
    <row r="839" spans="1:5" ht="21" x14ac:dyDescent="0.25">
      <c r="A839" s="2" t="str">
        <f>HYPERLINK("https://rth.dk/resources/bsgatlas/details.php?id=BSGatlas-internal_UTR-838","BSGatlas-internal_UTR-838")</f>
        <v>BSGatlas-internal_UTR-838</v>
      </c>
      <c r="B839" s="3">
        <v>3148811</v>
      </c>
      <c r="C839" s="3">
        <v>3148900</v>
      </c>
      <c r="D839" s="1" t="s">
        <v>13</v>
      </c>
      <c r="E839" s="1" t="s">
        <v>14705</v>
      </c>
    </row>
    <row r="840" spans="1:5" ht="21" x14ac:dyDescent="0.25">
      <c r="A840" s="2" t="str">
        <f>HYPERLINK("https://rth.dk/resources/bsgatlas/details.php?id=BSGatlas-internal_UTR-839","BSGatlas-internal_UTR-839")</f>
        <v>BSGatlas-internal_UTR-839</v>
      </c>
      <c r="B840" s="3">
        <v>3149717</v>
      </c>
      <c r="C840" s="3">
        <v>3149750</v>
      </c>
      <c r="D840" s="1" t="s">
        <v>13</v>
      </c>
      <c r="E840" s="1" t="s">
        <v>4377</v>
      </c>
    </row>
    <row r="841" spans="1:5" ht="21" x14ac:dyDescent="0.25">
      <c r="A841" s="2" t="str">
        <f>HYPERLINK("https://rth.dk/resources/bsgatlas/details.php?id=BSGatlas-internal_UTR-840","BSGatlas-internal_UTR-840")</f>
        <v>BSGatlas-internal_UTR-840</v>
      </c>
      <c r="B841" s="3">
        <v>3168601</v>
      </c>
      <c r="C841" s="3">
        <v>3168623</v>
      </c>
      <c r="D841" s="1" t="s">
        <v>13</v>
      </c>
      <c r="E841" s="1" t="s">
        <v>4382</v>
      </c>
    </row>
    <row r="842" spans="1:5" ht="21" x14ac:dyDescent="0.25">
      <c r="A842" s="2" t="str">
        <f>HYPERLINK("https://rth.dk/resources/bsgatlas/details.php?id=BSGatlas-internal_UTR-841","BSGatlas-internal_UTR-841")</f>
        <v>BSGatlas-internal_UTR-841</v>
      </c>
      <c r="B842" s="3">
        <v>3171951</v>
      </c>
      <c r="C842" s="3">
        <v>3171975</v>
      </c>
      <c r="D842" s="1" t="s">
        <v>13</v>
      </c>
      <c r="E842" s="1" t="s">
        <v>4397</v>
      </c>
    </row>
    <row r="843" spans="1:5" ht="21" x14ac:dyDescent="0.25">
      <c r="A843" s="2" t="str">
        <f>HYPERLINK("https://rth.dk/resources/bsgatlas/details.php?id=BSGatlas-internal_UTR-842","BSGatlas-internal_UTR-842")</f>
        <v>BSGatlas-internal_UTR-842</v>
      </c>
      <c r="B843" s="3">
        <v>3172407</v>
      </c>
      <c r="C843" s="3">
        <v>3172423</v>
      </c>
      <c r="D843" s="1" t="s">
        <v>13</v>
      </c>
      <c r="E843" s="1" t="s">
        <v>4397</v>
      </c>
    </row>
    <row r="844" spans="1:5" ht="21" x14ac:dyDescent="0.25">
      <c r="A844" s="2" t="str">
        <f>HYPERLINK("https://rth.dk/resources/bsgatlas/details.php?id=BSGatlas-internal_UTR-843","BSGatlas-internal_UTR-843")</f>
        <v>BSGatlas-internal_UTR-843</v>
      </c>
      <c r="B844" s="3">
        <v>3172677</v>
      </c>
      <c r="C844" s="3">
        <v>3172693</v>
      </c>
      <c r="D844" s="1" t="s">
        <v>13</v>
      </c>
      <c r="E844" s="1" t="s">
        <v>4397</v>
      </c>
    </row>
    <row r="845" spans="1:5" ht="21" x14ac:dyDescent="0.25">
      <c r="A845" s="2" t="str">
        <f>HYPERLINK("https://rth.dk/resources/bsgatlas/details.php?id=BSGatlas-internal_UTR-844","BSGatlas-internal_UTR-844")</f>
        <v>BSGatlas-internal_UTR-844</v>
      </c>
      <c r="B845" s="3">
        <v>3172949</v>
      </c>
      <c r="C845" s="3">
        <v>3172966</v>
      </c>
      <c r="D845" s="1" t="s">
        <v>13</v>
      </c>
      <c r="E845" s="1" t="s">
        <v>4397</v>
      </c>
    </row>
    <row r="846" spans="1:5" ht="21" x14ac:dyDescent="0.25">
      <c r="A846" s="2" t="str">
        <f>HYPERLINK("https://rth.dk/resources/bsgatlas/details.php?id=BSGatlas-internal_UTR-845","BSGatlas-internal_UTR-845")</f>
        <v>BSGatlas-internal_UTR-845</v>
      </c>
      <c r="B846" s="3">
        <v>3173577</v>
      </c>
      <c r="C846" s="3">
        <v>3173613</v>
      </c>
      <c r="D846" s="1" t="s">
        <v>13</v>
      </c>
      <c r="E846" s="1" t="s">
        <v>4397</v>
      </c>
    </row>
    <row r="847" spans="1:5" ht="21" x14ac:dyDescent="0.25">
      <c r="A847" s="2" t="str">
        <f>HYPERLINK("https://rth.dk/resources/bsgatlas/details.php?id=BSGatlas-internal_UTR-846","BSGatlas-internal_UTR-846")</f>
        <v>BSGatlas-internal_UTR-846</v>
      </c>
      <c r="B847" s="3">
        <v>3173690</v>
      </c>
      <c r="C847" s="3">
        <v>3173721</v>
      </c>
      <c r="D847" s="1" t="s">
        <v>13</v>
      </c>
      <c r="E847" s="1" t="s">
        <v>4397</v>
      </c>
    </row>
    <row r="848" spans="1:5" ht="21" x14ac:dyDescent="0.25">
      <c r="A848" s="2" t="str">
        <f>HYPERLINK("https://rth.dk/resources/bsgatlas/details.php?id=BSGatlas-internal_UTR-847","BSGatlas-internal_UTR-847")</f>
        <v>BSGatlas-internal_UTR-847</v>
      </c>
      <c r="B848" s="3">
        <v>3173798</v>
      </c>
      <c r="C848" s="3">
        <v>3173817</v>
      </c>
      <c r="D848" s="1" t="s">
        <v>13</v>
      </c>
      <c r="E848" s="1" t="s">
        <v>4397</v>
      </c>
    </row>
    <row r="849" spans="1:5" ht="21" x14ac:dyDescent="0.25">
      <c r="A849" s="2" t="str">
        <f>HYPERLINK("https://rth.dk/resources/bsgatlas/details.php?id=BSGatlas-internal_UTR-848","BSGatlas-internal_UTR-848")</f>
        <v>BSGatlas-internal_UTR-848</v>
      </c>
      <c r="B849" s="3">
        <v>3173936</v>
      </c>
      <c r="C849" s="3">
        <v>3173983</v>
      </c>
      <c r="D849" s="1" t="s">
        <v>13</v>
      </c>
      <c r="E849" s="1" t="s">
        <v>4397</v>
      </c>
    </row>
    <row r="850" spans="1:5" ht="21" x14ac:dyDescent="0.25">
      <c r="A850" s="2" t="str">
        <f>HYPERLINK("https://rth.dk/resources/bsgatlas/details.php?id=BSGatlas-internal_UTR-849","BSGatlas-internal_UTR-849")</f>
        <v>BSGatlas-internal_UTR-849</v>
      </c>
      <c r="B850" s="3">
        <v>3176919</v>
      </c>
      <c r="C850" s="3">
        <v>3177085</v>
      </c>
      <c r="D850" s="1" t="s">
        <v>13</v>
      </c>
      <c r="E850" s="1" t="s">
        <v>4397</v>
      </c>
    </row>
    <row r="851" spans="1:5" ht="21" x14ac:dyDescent="0.25">
      <c r="A851" s="2" t="str">
        <f>HYPERLINK("https://rth.dk/resources/bsgatlas/details.php?id=BSGatlas-internal_UTR-850","BSGatlas-internal_UTR-850")</f>
        <v>BSGatlas-internal_UTR-850</v>
      </c>
      <c r="B851" s="3">
        <v>3180448</v>
      </c>
      <c r="C851" s="3">
        <v>3180464</v>
      </c>
      <c r="D851" s="1" t="s">
        <v>13</v>
      </c>
      <c r="E851" s="1" t="s">
        <v>4373</v>
      </c>
    </row>
    <row r="852" spans="1:5" ht="21" x14ac:dyDescent="0.25">
      <c r="A852" s="2" t="str">
        <f>HYPERLINK("https://rth.dk/resources/bsgatlas/details.php?id=BSGatlas-internal_UTR-851","BSGatlas-internal_UTR-851")</f>
        <v>BSGatlas-internal_UTR-851</v>
      </c>
      <c r="B852" s="3">
        <v>3181995</v>
      </c>
      <c r="C852" s="3">
        <v>3182014</v>
      </c>
      <c r="D852" s="1" t="s">
        <v>13</v>
      </c>
      <c r="E852" s="1" t="s">
        <v>4373</v>
      </c>
    </row>
    <row r="853" spans="1:5" ht="21" x14ac:dyDescent="0.25">
      <c r="A853" s="2" t="str">
        <f>HYPERLINK("https://rth.dk/resources/bsgatlas/details.php?id=BSGatlas-internal_UTR-852","BSGatlas-internal_UTR-852")</f>
        <v>BSGatlas-internal_UTR-852</v>
      </c>
      <c r="B853" s="3">
        <v>3185076</v>
      </c>
      <c r="C853" s="3">
        <v>3185091</v>
      </c>
      <c r="D853" s="1" t="s">
        <v>13</v>
      </c>
      <c r="E853" s="1" t="s">
        <v>7186</v>
      </c>
    </row>
    <row r="854" spans="1:5" ht="21" x14ac:dyDescent="0.25">
      <c r="A854" s="2" t="str">
        <f>HYPERLINK("https://rth.dk/resources/bsgatlas/details.php?id=BSGatlas-internal_UTR-853","BSGatlas-internal_UTR-853")</f>
        <v>BSGatlas-internal_UTR-853</v>
      </c>
      <c r="B854" s="3">
        <v>3190726</v>
      </c>
      <c r="C854" s="3">
        <v>3190833</v>
      </c>
      <c r="D854" s="1" t="s">
        <v>13</v>
      </c>
      <c r="E854" s="1" t="s">
        <v>4373</v>
      </c>
    </row>
    <row r="855" spans="1:5" ht="21" x14ac:dyDescent="0.25">
      <c r="A855" s="2" t="str">
        <f>HYPERLINK("https://rth.dk/resources/bsgatlas/details.php?id=BSGatlas-internal_UTR-854","BSGatlas-internal_UTR-854")</f>
        <v>BSGatlas-internal_UTR-854</v>
      </c>
      <c r="B855" s="3">
        <v>3195466</v>
      </c>
      <c r="C855" s="3">
        <v>3195557</v>
      </c>
      <c r="D855" s="1" t="s">
        <v>13</v>
      </c>
      <c r="E855" s="1" t="s">
        <v>4373</v>
      </c>
    </row>
    <row r="856" spans="1:5" ht="21" x14ac:dyDescent="0.25">
      <c r="A856" s="2" t="str">
        <f>HYPERLINK("https://rth.dk/resources/bsgatlas/details.php?id=BSGatlas-internal_UTR-855","BSGatlas-internal_UTR-855")</f>
        <v>BSGatlas-internal_UTR-855</v>
      </c>
      <c r="B856" s="3">
        <v>3199208</v>
      </c>
      <c r="C856" s="3">
        <v>3199232</v>
      </c>
      <c r="D856" s="1" t="s">
        <v>13</v>
      </c>
      <c r="E856" s="1" t="s">
        <v>4386</v>
      </c>
    </row>
    <row r="857" spans="1:5" ht="21" x14ac:dyDescent="0.25">
      <c r="A857" s="2" t="str">
        <f>HYPERLINK("https://rth.dk/resources/bsgatlas/details.php?id=BSGatlas-internal_UTR-856","BSGatlas-internal_UTR-856")</f>
        <v>BSGatlas-internal_UTR-856</v>
      </c>
      <c r="B857" s="3">
        <v>3199548</v>
      </c>
      <c r="C857" s="3">
        <v>3199564</v>
      </c>
      <c r="D857" s="1" t="s">
        <v>13</v>
      </c>
      <c r="E857" s="1" t="s">
        <v>4386</v>
      </c>
    </row>
    <row r="858" spans="1:5" ht="21" x14ac:dyDescent="0.25">
      <c r="A858" s="2" t="str">
        <f>HYPERLINK("https://rth.dk/resources/bsgatlas/details.php?id=BSGatlas-internal_UTR-857","BSGatlas-internal_UTR-857")</f>
        <v>BSGatlas-internal_UTR-857</v>
      </c>
      <c r="B858" s="3">
        <v>3201804</v>
      </c>
      <c r="C858" s="3">
        <v>3201859</v>
      </c>
      <c r="D858" s="1" t="s">
        <v>13</v>
      </c>
      <c r="E858" s="1" t="s">
        <v>4386</v>
      </c>
    </row>
    <row r="859" spans="1:5" ht="21" x14ac:dyDescent="0.25">
      <c r="A859" s="2" t="str">
        <f>HYPERLINK("https://rth.dk/resources/bsgatlas/details.php?id=BSGatlas-internal_UTR-858","BSGatlas-internal_UTR-858")</f>
        <v>BSGatlas-internal_UTR-858</v>
      </c>
      <c r="B859" s="3">
        <v>3208155</v>
      </c>
      <c r="C859" s="3">
        <v>3208279</v>
      </c>
      <c r="D859" s="1" t="s">
        <v>13</v>
      </c>
      <c r="E859" s="1" t="s">
        <v>4373</v>
      </c>
    </row>
    <row r="860" spans="1:5" ht="21" x14ac:dyDescent="0.25">
      <c r="A860" s="2" t="str">
        <f>HYPERLINK("https://rth.dk/resources/bsgatlas/details.php?id=BSGatlas-internal_UTR-859","BSGatlas-internal_UTR-859")</f>
        <v>BSGatlas-internal_UTR-859</v>
      </c>
      <c r="B860" s="3">
        <v>3213597</v>
      </c>
      <c r="C860" s="3">
        <v>3213853</v>
      </c>
      <c r="D860" s="1" t="s">
        <v>13</v>
      </c>
      <c r="E860" s="1" t="s">
        <v>4373</v>
      </c>
    </row>
    <row r="861" spans="1:5" ht="21" x14ac:dyDescent="0.25">
      <c r="A861" s="2" t="str">
        <f>HYPERLINK("https://rth.dk/resources/bsgatlas/details.php?id=BSGatlas-internal_UTR-860","BSGatlas-internal_UTR-860")</f>
        <v>BSGatlas-internal_UTR-860</v>
      </c>
      <c r="B861" s="3">
        <v>3218174</v>
      </c>
      <c r="C861" s="3">
        <v>3218214</v>
      </c>
      <c r="D861" s="1" t="s">
        <v>13</v>
      </c>
      <c r="E861" s="1" t="s">
        <v>4377</v>
      </c>
    </row>
    <row r="862" spans="1:5" ht="21" x14ac:dyDescent="0.25">
      <c r="A862" s="2" t="str">
        <f>HYPERLINK("https://rth.dk/resources/bsgatlas/details.php?id=BSGatlas-internal_UTR-861","BSGatlas-internal_UTR-861")</f>
        <v>BSGatlas-internal_UTR-861</v>
      </c>
      <c r="B862" s="3">
        <v>3220242</v>
      </c>
      <c r="C862" s="3">
        <v>3220300</v>
      </c>
      <c r="D862" s="1" t="s">
        <v>13</v>
      </c>
      <c r="E862" s="1" t="s">
        <v>4386</v>
      </c>
    </row>
    <row r="863" spans="1:5" ht="21" x14ac:dyDescent="0.25">
      <c r="A863" s="2" t="str">
        <f>HYPERLINK("https://rth.dk/resources/bsgatlas/details.php?id=BSGatlas-internal_UTR-862","BSGatlas-internal_UTR-862")</f>
        <v>BSGatlas-internal_UTR-862</v>
      </c>
      <c r="B863" s="3">
        <v>3220673</v>
      </c>
      <c r="C863" s="3">
        <v>3220730</v>
      </c>
      <c r="D863" s="1" t="s">
        <v>13</v>
      </c>
      <c r="E863" s="1" t="s">
        <v>4386</v>
      </c>
    </row>
    <row r="864" spans="1:5" ht="21" x14ac:dyDescent="0.25">
      <c r="A864" s="2" t="str">
        <f>HYPERLINK("https://rth.dk/resources/bsgatlas/details.php?id=BSGatlas-internal_UTR-863","BSGatlas-internal_UTR-863")</f>
        <v>BSGatlas-internal_UTR-863</v>
      </c>
      <c r="B864" s="3">
        <v>3231354</v>
      </c>
      <c r="C864" s="3">
        <v>3231398</v>
      </c>
      <c r="D864" s="1" t="s">
        <v>9</v>
      </c>
      <c r="E864" s="1" t="s">
        <v>4373</v>
      </c>
    </row>
    <row r="865" spans="1:5" ht="21" x14ac:dyDescent="0.25">
      <c r="A865" s="2" t="str">
        <f>HYPERLINK("https://rth.dk/resources/bsgatlas/details.php?id=BSGatlas-internal_UTR-864","BSGatlas-internal_UTR-864")</f>
        <v>BSGatlas-internal_UTR-864</v>
      </c>
      <c r="B865" s="3">
        <v>3235786</v>
      </c>
      <c r="C865" s="3">
        <v>3235805</v>
      </c>
      <c r="D865" s="1" t="s">
        <v>9</v>
      </c>
      <c r="E865" s="1" t="s">
        <v>4386</v>
      </c>
    </row>
    <row r="866" spans="1:5" ht="21" x14ac:dyDescent="0.25">
      <c r="A866" s="2" t="str">
        <f>HYPERLINK("https://rth.dk/resources/bsgatlas/details.php?id=BSGatlas-internal_UTR-865","BSGatlas-internal_UTR-865")</f>
        <v>BSGatlas-internal_UTR-865</v>
      </c>
      <c r="B866" s="3">
        <v>3241010</v>
      </c>
      <c r="C866" s="3">
        <v>3241084</v>
      </c>
      <c r="D866" s="1" t="s">
        <v>9</v>
      </c>
      <c r="E866" s="1" t="s">
        <v>4386</v>
      </c>
    </row>
    <row r="867" spans="1:5" ht="21" x14ac:dyDescent="0.25">
      <c r="A867" s="2" t="str">
        <f>HYPERLINK("https://rth.dk/resources/bsgatlas/details.php?id=BSGatlas-internal_UTR-866","BSGatlas-internal_UTR-866")</f>
        <v>BSGatlas-internal_UTR-866</v>
      </c>
      <c r="B867" s="3">
        <v>3252786</v>
      </c>
      <c r="C867" s="3">
        <v>3252803</v>
      </c>
      <c r="D867" s="1" t="s">
        <v>13</v>
      </c>
      <c r="E867" s="1" t="s">
        <v>14712</v>
      </c>
    </row>
    <row r="868" spans="1:5" ht="21" x14ac:dyDescent="0.25">
      <c r="A868" s="2" t="str">
        <f>HYPERLINK("https://rth.dk/resources/bsgatlas/details.php?id=BSGatlas-internal_UTR-867","BSGatlas-internal_UTR-867")</f>
        <v>BSGatlas-internal_UTR-867</v>
      </c>
      <c r="B868" s="3">
        <v>3253449</v>
      </c>
      <c r="C868" s="3">
        <v>3253528</v>
      </c>
      <c r="D868" s="1" t="s">
        <v>13</v>
      </c>
      <c r="E868" s="1" t="s">
        <v>4386</v>
      </c>
    </row>
    <row r="869" spans="1:5" ht="21" x14ac:dyDescent="0.25">
      <c r="A869" s="2" t="str">
        <f>HYPERLINK("https://rth.dk/resources/bsgatlas/details.php?id=BSGatlas-internal_UTR-868","BSGatlas-internal_UTR-868")</f>
        <v>BSGatlas-internal_UTR-868</v>
      </c>
      <c r="B869" s="3">
        <v>3261443</v>
      </c>
      <c r="C869" s="3">
        <v>3261538</v>
      </c>
      <c r="D869" s="1" t="s">
        <v>13</v>
      </c>
      <c r="E869" s="1" t="s">
        <v>4377</v>
      </c>
    </row>
    <row r="870" spans="1:5" ht="21" x14ac:dyDescent="0.25">
      <c r="A870" s="2" t="str">
        <f>HYPERLINK("https://rth.dk/resources/bsgatlas/details.php?id=BSGatlas-internal_UTR-869","BSGatlas-internal_UTR-869")</f>
        <v>BSGatlas-internal_UTR-869</v>
      </c>
      <c r="B870" s="3">
        <v>3261938</v>
      </c>
      <c r="C870" s="3">
        <v>3262008</v>
      </c>
      <c r="D870" s="1" t="s">
        <v>13</v>
      </c>
      <c r="E870" s="1" t="s">
        <v>4377</v>
      </c>
    </row>
    <row r="871" spans="1:5" ht="21" x14ac:dyDescent="0.25">
      <c r="A871" s="2" t="str">
        <f>HYPERLINK("https://rth.dk/resources/bsgatlas/details.php?id=BSGatlas-internal_UTR-870","BSGatlas-internal_UTR-870")</f>
        <v>BSGatlas-internal_UTR-870</v>
      </c>
      <c r="B871" s="3">
        <v>3266138</v>
      </c>
      <c r="C871" s="3">
        <v>3266199</v>
      </c>
      <c r="D871" s="1" t="s">
        <v>13</v>
      </c>
      <c r="E871" s="1" t="s">
        <v>4377</v>
      </c>
    </row>
    <row r="872" spans="1:5" ht="21" x14ac:dyDescent="0.25">
      <c r="A872" s="2" t="str">
        <f>HYPERLINK("https://rth.dk/resources/bsgatlas/details.php?id=BSGatlas-internal_UTR-871","BSGatlas-internal_UTR-871")</f>
        <v>BSGatlas-internal_UTR-871</v>
      </c>
      <c r="B872" s="3">
        <v>3266656</v>
      </c>
      <c r="C872" s="3">
        <v>3266686</v>
      </c>
      <c r="D872" s="1" t="s">
        <v>13</v>
      </c>
      <c r="E872" s="1" t="s">
        <v>14710</v>
      </c>
    </row>
    <row r="873" spans="1:5" ht="21" x14ac:dyDescent="0.25">
      <c r="A873" s="2" t="str">
        <f>HYPERLINK("https://rth.dk/resources/bsgatlas/details.php?id=BSGatlas-internal_UTR-872","BSGatlas-internal_UTR-872")</f>
        <v>BSGatlas-internal_UTR-872</v>
      </c>
      <c r="B873" s="3">
        <v>3274402</v>
      </c>
      <c r="C873" s="3">
        <v>3274461</v>
      </c>
      <c r="D873" s="1" t="s">
        <v>13</v>
      </c>
      <c r="E873" s="1" t="s">
        <v>14710</v>
      </c>
    </row>
    <row r="874" spans="1:5" ht="21" x14ac:dyDescent="0.25">
      <c r="A874" s="2" t="str">
        <f>HYPERLINK("https://rth.dk/resources/bsgatlas/details.php?id=BSGatlas-internal_UTR-873","BSGatlas-internal_UTR-873")</f>
        <v>BSGatlas-internal_UTR-873</v>
      </c>
      <c r="B874" s="3">
        <v>3276072</v>
      </c>
      <c r="C874" s="3">
        <v>3276140</v>
      </c>
      <c r="D874" s="1" t="s">
        <v>13</v>
      </c>
      <c r="E874" s="1" t="s">
        <v>14710</v>
      </c>
    </row>
    <row r="875" spans="1:5" ht="21" x14ac:dyDescent="0.25">
      <c r="A875" s="2" t="str">
        <f>HYPERLINK("https://rth.dk/resources/bsgatlas/details.php?id=BSGatlas-internal_UTR-874","BSGatlas-internal_UTR-874")</f>
        <v>BSGatlas-internal_UTR-874</v>
      </c>
      <c r="B875" s="3">
        <v>3279462</v>
      </c>
      <c r="C875" s="3">
        <v>3279572</v>
      </c>
      <c r="D875" s="1" t="s">
        <v>9</v>
      </c>
      <c r="E875" s="1" t="s">
        <v>4373</v>
      </c>
    </row>
    <row r="876" spans="1:5" ht="21" x14ac:dyDescent="0.25">
      <c r="A876" s="2" t="str">
        <f>HYPERLINK("https://rth.dk/resources/bsgatlas/details.php?id=BSGatlas-internal_UTR-875","BSGatlas-internal_UTR-875")</f>
        <v>BSGatlas-internal_UTR-875</v>
      </c>
      <c r="B876" s="3">
        <v>3287656</v>
      </c>
      <c r="C876" s="3">
        <v>3287674</v>
      </c>
      <c r="D876" s="1" t="s">
        <v>13</v>
      </c>
      <c r="E876" s="1" t="s">
        <v>4373</v>
      </c>
    </row>
    <row r="877" spans="1:5" ht="21" x14ac:dyDescent="0.25">
      <c r="A877" s="2" t="str">
        <f>HYPERLINK("https://rth.dk/resources/bsgatlas/details.php?id=BSGatlas-internal_UTR-876","BSGatlas-internal_UTR-876")</f>
        <v>BSGatlas-internal_UTR-876</v>
      </c>
      <c r="B877" s="3">
        <v>3288614</v>
      </c>
      <c r="C877" s="3">
        <v>3288640</v>
      </c>
      <c r="D877" s="1" t="s">
        <v>13</v>
      </c>
      <c r="E877" s="1" t="s">
        <v>4373</v>
      </c>
    </row>
    <row r="878" spans="1:5" ht="21" x14ac:dyDescent="0.25">
      <c r="A878" s="2" t="str">
        <f>HYPERLINK("https://rth.dk/resources/bsgatlas/details.php?id=BSGatlas-internal_UTR-877","BSGatlas-internal_UTR-877")</f>
        <v>BSGatlas-internal_UTR-877</v>
      </c>
      <c r="B878" s="3">
        <v>3290261</v>
      </c>
      <c r="C878" s="3">
        <v>3290288</v>
      </c>
      <c r="D878" s="1" t="s">
        <v>13</v>
      </c>
      <c r="E878" s="1" t="s">
        <v>4373</v>
      </c>
    </row>
    <row r="879" spans="1:5" ht="21" x14ac:dyDescent="0.25">
      <c r="A879" s="2" t="str">
        <f>HYPERLINK("https://rth.dk/resources/bsgatlas/details.php?id=BSGatlas-internal_UTR-878","BSGatlas-internal_UTR-878")</f>
        <v>BSGatlas-internal_UTR-878</v>
      </c>
      <c r="B879" s="3">
        <v>3291486</v>
      </c>
      <c r="C879" s="3">
        <v>3291510</v>
      </c>
      <c r="D879" s="1" t="s">
        <v>13</v>
      </c>
      <c r="E879" s="1" t="s">
        <v>4373</v>
      </c>
    </row>
    <row r="880" spans="1:5" ht="21" x14ac:dyDescent="0.25">
      <c r="A880" s="2" t="str">
        <f>HYPERLINK("https://rth.dk/resources/bsgatlas/details.php?id=BSGatlas-internal_UTR-879","BSGatlas-internal_UTR-879")</f>
        <v>BSGatlas-internal_UTR-879</v>
      </c>
      <c r="B880" s="3">
        <v>3299665</v>
      </c>
      <c r="C880" s="3">
        <v>3299717</v>
      </c>
      <c r="D880" s="1" t="s">
        <v>13</v>
      </c>
      <c r="E880" s="1" t="s">
        <v>4373</v>
      </c>
    </row>
    <row r="881" spans="1:5" ht="21" x14ac:dyDescent="0.25">
      <c r="A881" s="2" t="str">
        <f>HYPERLINK("https://rth.dk/resources/bsgatlas/details.php?id=BSGatlas-internal_UTR-880","BSGatlas-internal_UTR-880")</f>
        <v>BSGatlas-internal_UTR-880</v>
      </c>
      <c r="B881" s="3">
        <v>3304720</v>
      </c>
      <c r="C881" s="3">
        <v>3304742</v>
      </c>
      <c r="D881" s="1" t="s">
        <v>13</v>
      </c>
      <c r="E881" s="1" t="s">
        <v>4386</v>
      </c>
    </row>
    <row r="882" spans="1:5" ht="21" x14ac:dyDescent="0.25">
      <c r="A882" s="2" t="str">
        <f>HYPERLINK("https://rth.dk/resources/bsgatlas/details.php?id=BSGatlas-internal_UTR-881","BSGatlas-internal_UTR-881")</f>
        <v>BSGatlas-internal_UTR-881</v>
      </c>
      <c r="B882" s="3">
        <v>3305962</v>
      </c>
      <c r="C882" s="3">
        <v>3306039</v>
      </c>
      <c r="D882" s="1" t="s">
        <v>13</v>
      </c>
      <c r="E882" s="1" t="s">
        <v>4386</v>
      </c>
    </row>
    <row r="883" spans="1:5" ht="21" x14ac:dyDescent="0.25">
      <c r="A883" s="2" t="str">
        <f>HYPERLINK("https://rth.dk/resources/bsgatlas/details.php?id=BSGatlas-internal_UTR-882","BSGatlas-internal_UTR-882")</f>
        <v>BSGatlas-internal_UTR-882</v>
      </c>
      <c r="B883" s="3">
        <v>3316130</v>
      </c>
      <c r="C883" s="3">
        <v>3316329</v>
      </c>
      <c r="D883" s="1" t="s">
        <v>13</v>
      </c>
      <c r="E883" s="1" t="s">
        <v>4377</v>
      </c>
    </row>
    <row r="884" spans="1:5" ht="21" x14ac:dyDescent="0.25">
      <c r="A884" s="2" t="str">
        <f>HYPERLINK("https://rth.dk/resources/bsgatlas/details.php?id=BSGatlas-internal_UTR-883","BSGatlas-internal_UTR-883")</f>
        <v>BSGatlas-internal_UTR-883</v>
      </c>
      <c r="B884" s="3">
        <v>3318800</v>
      </c>
      <c r="C884" s="3">
        <v>3318827</v>
      </c>
      <c r="D884" s="1" t="s">
        <v>13</v>
      </c>
      <c r="E884" s="1" t="s">
        <v>4386</v>
      </c>
    </row>
    <row r="885" spans="1:5" ht="21" x14ac:dyDescent="0.25">
      <c r="A885" s="2" t="str">
        <f>HYPERLINK("https://rth.dk/resources/bsgatlas/details.php?id=BSGatlas-internal_UTR-884","BSGatlas-internal_UTR-884")</f>
        <v>BSGatlas-internal_UTR-884</v>
      </c>
      <c r="B885" s="3">
        <v>3319263</v>
      </c>
      <c r="C885" s="3">
        <v>3319285</v>
      </c>
      <c r="D885" s="1" t="s">
        <v>13</v>
      </c>
      <c r="E885" s="1" t="s">
        <v>4386</v>
      </c>
    </row>
    <row r="886" spans="1:5" ht="21" x14ac:dyDescent="0.25">
      <c r="A886" s="2" t="str">
        <f>HYPERLINK("https://rth.dk/resources/bsgatlas/details.php?id=BSGatlas-internal_UTR-885","BSGatlas-internal_UTR-885")</f>
        <v>BSGatlas-internal_UTR-885</v>
      </c>
      <c r="B886" s="3">
        <v>3323606</v>
      </c>
      <c r="C886" s="3">
        <v>3323669</v>
      </c>
      <c r="D886" s="1" t="s">
        <v>13</v>
      </c>
      <c r="E886" s="1" t="s">
        <v>4373</v>
      </c>
    </row>
    <row r="887" spans="1:5" ht="21" x14ac:dyDescent="0.25">
      <c r="A887" s="2" t="str">
        <f>HYPERLINK("https://rth.dk/resources/bsgatlas/details.php?id=BSGatlas-internal_UTR-886","BSGatlas-internal_UTR-886")</f>
        <v>BSGatlas-internal_UTR-886</v>
      </c>
      <c r="B887" s="3">
        <v>3325059</v>
      </c>
      <c r="C887" s="3">
        <v>3325077</v>
      </c>
      <c r="D887" s="1" t="s">
        <v>13</v>
      </c>
      <c r="E887" s="1" t="s">
        <v>4373</v>
      </c>
    </row>
    <row r="888" spans="1:5" ht="21" x14ac:dyDescent="0.25">
      <c r="A888" s="2" t="str">
        <f>HYPERLINK("https://rth.dk/resources/bsgatlas/details.php?id=BSGatlas-internal_UTR-887","BSGatlas-internal_UTR-887")</f>
        <v>BSGatlas-internal_UTR-887</v>
      </c>
      <c r="B888" s="3">
        <v>3325900</v>
      </c>
      <c r="C888" s="3">
        <v>3325916</v>
      </c>
      <c r="D888" s="1" t="s">
        <v>13</v>
      </c>
      <c r="E888" s="1" t="s">
        <v>4373</v>
      </c>
    </row>
    <row r="889" spans="1:5" ht="21" x14ac:dyDescent="0.25">
      <c r="A889" s="2" t="str">
        <f>HYPERLINK("https://rth.dk/resources/bsgatlas/details.php?id=BSGatlas-internal_UTR-888","BSGatlas-internal_UTR-888")</f>
        <v>BSGatlas-internal_UTR-888</v>
      </c>
      <c r="B889" s="3">
        <v>3326766</v>
      </c>
      <c r="C889" s="3">
        <v>3326802</v>
      </c>
      <c r="D889" s="1" t="s">
        <v>13</v>
      </c>
      <c r="E889" s="1" t="s">
        <v>4373</v>
      </c>
    </row>
    <row r="890" spans="1:5" ht="21" x14ac:dyDescent="0.25">
      <c r="A890" s="2" t="str">
        <f>HYPERLINK("https://rth.dk/resources/bsgatlas/details.php?id=BSGatlas-internal_UTR-889","BSGatlas-internal_UTR-889")</f>
        <v>BSGatlas-internal_UTR-889</v>
      </c>
      <c r="B890" s="3">
        <v>3330358</v>
      </c>
      <c r="C890" s="3">
        <v>3330501</v>
      </c>
      <c r="D890" s="1" t="s">
        <v>9</v>
      </c>
      <c r="E890" s="1" t="s">
        <v>4547</v>
      </c>
    </row>
    <row r="891" spans="1:5" ht="21" x14ac:dyDescent="0.25">
      <c r="A891" s="2" t="str">
        <f>HYPERLINK("https://rth.dk/resources/bsgatlas/details.php?id=BSGatlas-internal_UTR-890","BSGatlas-internal_UTR-890")</f>
        <v>BSGatlas-internal_UTR-890</v>
      </c>
      <c r="B891" s="3">
        <v>3342417</v>
      </c>
      <c r="C891" s="3">
        <v>3342432</v>
      </c>
      <c r="D891" s="1" t="s">
        <v>13</v>
      </c>
      <c r="E891" s="1" t="s">
        <v>4397</v>
      </c>
    </row>
    <row r="892" spans="1:5" ht="21" x14ac:dyDescent="0.25">
      <c r="A892" s="2" t="str">
        <f>HYPERLINK("https://rth.dk/resources/bsgatlas/details.php?id=BSGatlas-internal_UTR-891","BSGatlas-internal_UTR-891")</f>
        <v>BSGatlas-internal_UTR-891</v>
      </c>
      <c r="B892" s="3">
        <v>3346117</v>
      </c>
      <c r="C892" s="3">
        <v>3347050</v>
      </c>
      <c r="D892" s="1" t="s">
        <v>13</v>
      </c>
      <c r="E892" s="1" t="s">
        <v>4377</v>
      </c>
    </row>
    <row r="893" spans="1:5" ht="21" x14ac:dyDescent="0.25">
      <c r="A893" s="2" t="str">
        <f>HYPERLINK("https://rth.dk/resources/bsgatlas/details.php?id=BSGatlas-internal_UTR-892","BSGatlas-internal_UTR-892")</f>
        <v>BSGatlas-internal_UTR-892</v>
      </c>
      <c r="B893" s="3">
        <v>3349704</v>
      </c>
      <c r="C893" s="3">
        <v>3349760</v>
      </c>
      <c r="D893" s="1" t="s">
        <v>13</v>
      </c>
      <c r="E893" s="1" t="s">
        <v>4377</v>
      </c>
    </row>
    <row r="894" spans="1:5" ht="21" x14ac:dyDescent="0.25">
      <c r="A894" s="2" t="str">
        <f>HYPERLINK("https://rth.dk/resources/bsgatlas/details.php?id=BSGatlas-internal_UTR-893","BSGatlas-internal_UTR-893")</f>
        <v>BSGatlas-internal_UTR-893</v>
      </c>
      <c r="B894" s="3">
        <v>3351030</v>
      </c>
      <c r="C894" s="3">
        <v>3351109</v>
      </c>
      <c r="D894" s="1" t="s">
        <v>13</v>
      </c>
      <c r="E894" s="1" t="s">
        <v>4377</v>
      </c>
    </row>
    <row r="895" spans="1:5" ht="21" x14ac:dyDescent="0.25">
      <c r="A895" s="2" t="str">
        <f>HYPERLINK("https://rth.dk/resources/bsgatlas/details.php?id=BSGatlas-internal_UTR-894","BSGatlas-internal_UTR-894")</f>
        <v>BSGatlas-internal_UTR-894</v>
      </c>
      <c r="B895" s="3">
        <v>3352097</v>
      </c>
      <c r="C895" s="3">
        <v>3352311</v>
      </c>
      <c r="D895" s="1" t="s">
        <v>13</v>
      </c>
      <c r="E895" s="1" t="s">
        <v>4377</v>
      </c>
    </row>
    <row r="896" spans="1:5" ht="21" x14ac:dyDescent="0.25">
      <c r="A896" s="2" t="str">
        <f>HYPERLINK("https://rth.dk/resources/bsgatlas/details.php?id=BSGatlas-internal_UTR-895","BSGatlas-internal_UTR-895")</f>
        <v>BSGatlas-internal_UTR-895</v>
      </c>
      <c r="B896" s="3">
        <v>3352687</v>
      </c>
      <c r="C896" s="3">
        <v>3352788</v>
      </c>
      <c r="D896" s="1" t="s">
        <v>13</v>
      </c>
      <c r="E896" s="1" t="s">
        <v>14710</v>
      </c>
    </row>
    <row r="897" spans="1:5" ht="21" x14ac:dyDescent="0.25">
      <c r="A897" s="2" t="str">
        <f>HYPERLINK("https://rth.dk/resources/bsgatlas/details.php?id=BSGatlas-internal_UTR-896","BSGatlas-internal_UTR-896")</f>
        <v>BSGatlas-internal_UTR-896</v>
      </c>
      <c r="B897" s="3">
        <v>3354935</v>
      </c>
      <c r="C897" s="3">
        <v>3355044</v>
      </c>
      <c r="D897" s="1" t="s">
        <v>13</v>
      </c>
      <c r="E897" s="1" t="s">
        <v>4386</v>
      </c>
    </row>
    <row r="898" spans="1:5" ht="21" x14ac:dyDescent="0.25">
      <c r="A898" s="2" t="str">
        <f>HYPERLINK("https://rth.dk/resources/bsgatlas/details.php?id=BSGatlas-internal_UTR-897","BSGatlas-internal_UTR-897")</f>
        <v>BSGatlas-internal_UTR-897</v>
      </c>
      <c r="B898" s="3">
        <v>3356991</v>
      </c>
      <c r="C898" s="3">
        <v>3357010</v>
      </c>
      <c r="D898" s="1" t="s">
        <v>13</v>
      </c>
      <c r="E898" s="1" t="s">
        <v>4377</v>
      </c>
    </row>
    <row r="899" spans="1:5" ht="21" x14ac:dyDescent="0.25">
      <c r="A899" s="2" t="str">
        <f>HYPERLINK("https://rth.dk/resources/bsgatlas/details.php?id=BSGatlas-internal_UTR-898","BSGatlas-internal_UTR-898")</f>
        <v>BSGatlas-internal_UTR-898</v>
      </c>
      <c r="B899" s="3">
        <v>3359978</v>
      </c>
      <c r="C899" s="3">
        <v>3359994</v>
      </c>
      <c r="D899" s="1" t="s">
        <v>13</v>
      </c>
      <c r="E899" s="1" t="s">
        <v>4377</v>
      </c>
    </row>
    <row r="900" spans="1:5" ht="21" x14ac:dyDescent="0.25">
      <c r="A900" s="2" t="str">
        <f>HYPERLINK("https://rth.dk/resources/bsgatlas/details.php?id=BSGatlas-internal_UTR-899","BSGatlas-internal_UTR-899")</f>
        <v>BSGatlas-internal_UTR-899</v>
      </c>
      <c r="B900" s="3">
        <v>3361112</v>
      </c>
      <c r="C900" s="3">
        <v>3361304</v>
      </c>
      <c r="D900" s="1" t="s">
        <v>13</v>
      </c>
      <c r="E900" s="1" t="s">
        <v>4386</v>
      </c>
    </row>
    <row r="901" spans="1:5" ht="21" x14ac:dyDescent="0.25">
      <c r="A901" s="2" t="str">
        <f>HYPERLINK("https://rth.dk/resources/bsgatlas/details.php?id=BSGatlas-internal_UTR-900","BSGatlas-internal_UTR-900")</f>
        <v>BSGatlas-internal_UTR-900</v>
      </c>
      <c r="B901" s="3">
        <v>3364963</v>
      </c>
      <c r="C901" s="3">
        <v>3365068</v>
      </c>
      <c r="D901" s="1" t="s">
        <v>13</v>
      </c>
      <c r="E901" s="1" t="s">
        <v>4397</v>
      </c>
    </row>
    <row r="902" spans="1:5" ht="21" x14ac:dyDescent="0.25">
      <c r="A902" s="2" t="str">
        <f>HYPERLINK("https://rth.dk/resources/bsgatlas/details.php?id=BSGatlas-internal_UTR-901","BSGatlas-internal_UTR-901")</f>
        <v>BSGatlas-internal_UTR-901</v>
      </c>
      <c r="B902" s="3">
        <v>3366068</v>
      </c>
      <c r="C902" s="3">
        <v>3366122</v>
      </c>
      <c r="D902" s="1" t="s">
        <v>13</v>
      </c>
      <c r="E902" s="1" t="s">
        <v>14707</v>
      </c>
    </row>
    <row r="903" spans="1:5" ht="21" x14ac:dyDescent="0.25">
      <c r="A903" s="2" t="str">
        <f>HYPERLINK("https://rth.dk/resources/bsgatlas/details.php?id=BSGatlas-internal_UTR-902","BSGatlas-internal_UTR-902")</f>
        <v>BSGatlas-internal_UTR-902</v>
      </c>
      <c r="B903" s="3">
        <v>3366507</v>
      </c>
      <c r="C903" s="3">
        <v>3366572</v>
      </c>
      <c r="D903" s="1" t="s">
        <v>13</v>
      </c>
      <c r="E903" s="1" t="s">
        <v>4373</v>
      </c>
    </row>
    <row r="904" spans="1:5" ht="21" x14ac:dyDescent="0.25">
      <c r="A904" s="2" t="str">
        <f>HYPERLINK("https://rth.dk/resources/bsgatlas/details.php?id=BSGatlas-internal_UTR-903","BSGatlas-internal_UTR-903")</f>
        <v>BSGatlas-internal_UTR-903</v>
      </c>
      <c r="B904" s="3">
        <v>3372395</v>
      </c>
      <c r="C904" s="3">
        <v>3372739</v>
      </c>
      <c r="D904" s="1" t="s">
        <v>13</v>
      </c>
      <c r="E904" s="1" t="s">
        <v>4397</v>
      </c>
    </row>
    <row r="905" spans="1:5" ht="21" x14ac:dyDescent="0.25">
      <c r="A905" s="2" t="str">
        <f>HYPERLINK("https://rth.dk/resources/bsgatlas/details.php?id=BSGatlas-internal_UTR-904","BSGatlas-internal_UTR-904")</f>
        <v>BSGatlas-internal_UTR-904</v>
      </c>
      <c r="B905" s="3">
        <v>3377001</v>
      </c>
      <c r="C905" s="3">
        <v>3377018</v>
      </c>
      <c r="D905" s="1" t="s">
        <v>13</v>
      </c>
      <c r="E905" s="1" t="s">
        <v>4377</v>
      </c>
    </row>
    <row r="906" spans="1:5" ht="21" x14ac:dyDescent="0.25">
      <c r="A906" s="2" t="str">
        <f>HYPERLINK("https://rth.dk/resources/bsgatlas/details.php?id=BSGatlas-internal_UTR-905","BSGatlas-internal_UTR-905")</f>
        <v>BSGatlas-internal_UTR-905</v>
      </c>
      <c r="B906" s="3">
        <v>3377409</v>
      </c>
      <c r="C906" s="3">
        <v>3377429</v>
      </c>
      <c r="D906" s="1" t="s">
        <v>13</v>
      </c>
      <c r="E906" s="1" t="s">
        <v>4377</v>
      </c>
    </row>
    <row r="907" spans="1:5" ht="21" x14ac:dyDescent="0.25">
      <c r="A907" s="2" t="str">
        <f>HYPERLINK("https://rth.dk/resources/bsgatlas/details.php?id=BSGatlas-internal_UTR-906","BSGatlas-internal_UTR-906")</f>
        <v>BSGatlas-internal_UTR-906</v>
      </c>
      <c r="B907" s="3">
        <v>3379088</v>
      </c>
      <c r="C907" s="3">
        <v>3379111</v>
      </c>
      <c r="D907" s="1" t="s">
        <v>13</v>
      </c>
      <c r="E907" s="1" t="s">
        <v>4377</v>
      </c>
    </row>
    <row r="908" spans="1:5" ht="21" x14ac:dyDescent="0.25">
      <c r="A908" s="2" t="str">
        <f>HYPERLINK("https://rth.dk/resources/bsgatlas/details.php?id=BSGatlas-internal_UTR-907","BSGatlas-internal_UTR-907")</f>
        <v>BSGatlas-internal_UTR-907</v>
      </c>
      <c r="B908" s="3">
        <v>3383476</v>
      </c>
      <c r="C908" s="3">
        <v>3383564</v>
      </c>
      <c r="D908" s="1" t="s">
        <v>9</v>
      </c>
      <c r="E908" s="1" t="s">
        <v>4373</v>
      </c>
    </row>
    <row r="909" spans="1:5" ht="21" x14ac:dyDescent="0.25">
      <c r="A909" s="2" t="str">
        <f>HYPERLINK("https://rth.dk/resources/bsgatlas/details.php?id=BSGatlas-internal_UTR-908","BSGatlas-internal_UTR-908")</f>
        <v>BSGatlas-internal_UTR-908</v>
      </c>
      <c r="B909" s="3">
        <v>3390413</v>
      </c>
      <c r="C909" s="3">
        <v>3390478</v>
      </c>
      <c r="D909" s="1" t="s">
        <v>13</v>
      </c>
      <c r="E909" s="1" t="s">
        <v>4386</v>
      </c>
    </row>
    <row r="910" spans="1:5" ht="21" x14ac:dyDescent="0.25">
      <c r="A910" s="2" t="str">
        <f>HYPERLINK("https://rth.dk/resources/bsgatlas/details.php?id=BSGatlas-internal_UTR-909","BSGatlas-internal_UTR-909")</f>
        <v>BSGatlas-internal_UTR-909</v>
      </c>
      <c r="B910" s="3">
        <v>3396840</v>
      </c>
      <c r="C910" s="3">
        <v>3396872</v>
      </c>
      <c r="D910" s="1" t="s">
        <v>13</v>
      </c>
      <c r="E910" s="1" t="s">
        <v>4373</v>
      </c>
    </row>
    <row r="911" spans="1:5" ht="21" x14ac:dyDescent="0.25">
      <c r="A911" s="2" t="str">
        <f>HYPERLINK("https://rth.dk/resources/bsgatlas/details.php?id=BSGatlas-internal_UTR-910","BSGatlas-internal_UTR-910")</f>
        <v>BSGatlas-internal_UTR-910</v>
      </c>
      <c r="B911" s="3">
        <v>3397746</v>
      </c>
      <c r="C911" s="3">
        <v>3397845</v>
      </c>
      <c r="D911" s="1" t="s">
        <v>13</v>
      </c>
      <c r="E911" s="1" t="s">
        <v>4373</v>
      </c>
    </row>
    <row r="912" spans="1:5" ht="21" x14ac:dyDescent="0.25">
      <c r="A912" s="2" t="str">
        <f>HYPERLINK("https://rth.dk/resources/bsgatlas/details.php?id=BSGatlas-internal_UTR-911","BSGatlas-internal_UTR-911")</f>
        <v>BSGatlas-internal_UTR-911</v>
      </c>
      <c r="B912" s="3">
        <v>3398524</v>
      </c>
      <c r="C912" s="3">
        <v>3398549</v>
      </c>
      <c r="D912" s="1" t="s">
        <v>13</v>
      </c>
      <c r="E912" s="1" t="s">
        <v>4373</v>
      </c>
    </row>
    <row r="913" spans="1:5" ht="21" x14ac:dyDescent="0.25">
      <c r="A913" s="2" t="str">
        <f>HYPERLINK("https://rth.dk/resources/bsgatlas/details.php?id=BSGatlas-internal_UTR-912","BSGatlas-internal_UTR-912")</f>
        <v>BSGatlas-internal_UTR-912</v>
      </c>
      <c r="B913" s="3">
        <v>3401119</v>
      </c>
      <c r="C913" s="3">
        <v>3401140</v>
      </c>
      <c r="D913" s="1" t="s">
        <v>13</v>
      </c>
      <c r="E913" s="1" t="s">
        <v>4377</v>
      </c>
    </row>
    <row r="914" spans="1:5" ht="21" x14ac:dyDescent="0.25">
      <c r="A914" s="2" t="str">
        <f>HYPERLINK("https://rth.dk/resources/bsgatlas/details.php?id=BSGatlas-internal_UTR-913","BSGatlas-internal_UTR-913")</f>
        <v>BSGatlas-internal_UTR-913</v>
      </c>
      <c r="B914" s="3">
        <v>3406543</v>
      </c>
      <c r="C914" s="3">
        <v>3406613</v>
      </c>
      <c r="D914" s="1" t="s">
        <v>13</v>
      </c>
      <c r="E914" s="1" t="s">
        <v>4382</v>
      </c>
    </row>
    <row r="915" spans="1:5" ht="21" x14ac:dyDescent="0.25">
      <c r="A915" s="2" t="str">
        <f>HYPERLINK("https://rth.dk/resources/bsgatlas/details.php?id=BSGatlas-internal_UTR-914","BSGatlas-internal_UTR-914")</f>
        <v>BSGatlas-internal_UTR-914</v>
      </c>
      <c r="B915" s="3">
        <v>3409067</v>
      </c>
      <c r="C915" s="3">
        <v>3409218</v>
      </c>
      <c r="D915" s="1" t="s">
        <v>13</v>
      </c>
      <c r="E915" s="1" t="s">
        <v>4373</v>
      </c>
    </row>
    <row r="916" spans="1:5" ht="21" x14ac:dyDescent="0.25">
      <c r="A916" s="2" t="str">
        <f>HYPERLINK("https://rth.dk/resources/bsgatlas/details.php?id=BSGatlas-internal_UTR-915","BSGatlas-internal_UTR-915")</f>
        <v>BSGatlas-internal_UTR-915</v>
      </c>
      <c r="B916" s="3">
        <v>3411624</v>
      </c>
      <c r="C916" s="3">
        <v>3411683</v>
      </c>
      <c r="D916" s="1" t="s">
        <v>9</v>
      </c>
      <c r="E916" s="1" t="s">
        <v>4377</v>
      </c>
    </row>
    <row r="917" spans="1:5" ht="21" x14ac:dyDescent="0.25">
      <c r="A917" s="2" t="str">
        <f>HYPERLINK("https://rth.dk/resources/bsgatlas/details.php?id=BSGatlas-internal_UTR-916","BSGatlas-internal_UTR-916")</f>
        <v>BSGatlas-internal_UTR-916</v>
      </c>
      <c r="B917" s="3">
        <v>3432314</v>
      </c>
      <c r="C917" s="3">
        <v>3432338</v>
      </c>
      <c r="D917" s="1" t="s">
        <v>13</v>
      </c>
      <c r="E917" s="1" t="s">
        <v>4377</v>
      </c>
    </row>
    <row r="918" spans="1:5" ht="21" x14ac:dyDescent="0.25">
      <c r="A918" s="2" t="str">
        <f>HYPERLINK("https://rth.dk/resources/bsgatlas/details.php?id=BSGatlas-internal_UTR-917","BSGatlas-internal_UTR-917")</f>
        <v>BSGatlas-internal_UTR-917</v>
      </c>
      <c r="B918" s="3">
        <v>3443530</v>
      </c>
      <c r="C918" s="3">
        <v>3443612</v>
      </c>
      <c r="D918" s="1" t="s">
        <v>13</v>
      </c>
      <c r="E918" s="1" t="s">
        <v>4397</v>
      </c>
    </row>
    <row r="919" spans="1:5" ht="21" x14ac:dyDescent="0.25">
      <c r="A919" s="2" t="str">
        <f>HYPERLINK("https://rth.dk/resources/bsgatlas/details.php?id=BSGatlas-internal_UTR-918","BSGatlas-internal_UTR-918")</f>
        <v>BSGatlas-internal_UTR-918</v>
      </c>
      <c r="B919" s="3">
        <v>3443823</v>
      </c>
      <c r="C919" s="3">
        <v>3443895</v>
      </c>
      <c r="D919" s="1" t="s">
        <v>13</v>
      </c>
      <c r="E919" s="1" t="s">
        <v>4397</v>
      </c>
    </row>
    <row r="920" spans="1:5" ht="21" x14ac:dyDescent="0.25">
      <c r="A920" s="2" t="str">
        <f>HYPERLINK("https://rth.dk/resources/bsgatlas/details.php?id=BSGatlas-internal_UTR-919","BSGatlas-internal_UTR-919")</f>
        <v>BSGatlas-internal_UTR-919</v>
      </c>
      <c r="B920" s="3">
        <v>3451072</v>
      </c>
      <c r="C920" s="3">
        <v>3451247</v>
      </c>
      <c r="D920" s="1" t="s">
        <v>13</v>
      </c>
      <c r="E920" s="1" t="s">
        <v>14705</v>
      </c>
    </row>
    <row r="921" spans="1:5" ht="21" x14ac:dyDescent="0.25">
      <c r="A921" s="2" t="str">
        <f>HYPERLINK("https://rth.dk/resources/bsgatlas/details.php?id=BSGatlas-internal_UTR-920","BSGatlas-internal_UTR-920")</f>
        <v>BSGatlas-internal_UTR-920</v>
      </c>
      <c r="B921" s="3">
        <v>3451719</v>
      </c>
      <c r="C921" s="3">
        <v>3451862</v>
      </c>
      <c r="D921" s="1" t="s">
        <v>13</v>
      </c>
      <c r="E921" s="1" t="s">
        <v>14705</v>
      </c>
    </row>
    <row r="922" spans="1:5" ht="21" x14ac:dyDescent="0.25">
      <c r="A922" s="2" t="str">
        <f>HYPERLINK("https://rth.dk/resources/bsgatlas/details.php?id=BSGatlas-internal_UTR-921","BSGatlas-internal_UTR-921")</f>
        <v>BSGatlas-internal_UTR-921</v>
      </c>
      <c r="B922" s="3">
        <v>3454203</v>
      </c>
      <c r="C922" s="3">
        <v>3454220</v>
      </c>
      <c r="D922" s="1" t="s">
        <v>13</v>
      </c>
      <c r="E922" s="1" t="s">
        <v>14705</v>
      </c>
    </row>
    <row r="923" spans="1:5" ht="21" x14ac:dyDescent="0.25">
      <c r="A923" s="2" t="str">
        <f>HYPERLINK("https://rth.dk/resources/bsgatlas/details.php?id=BSGatlas-internal_UTR-922","BSGatlas-internal_UTR-922")</f>
        <v>BSGatlas-internal_UTR-922</v>
      </c>
      <c r="B923" s="3">
        <v>3454962</v>
      </c>
      <c r="C923" s="3">
        <v>3455092</v>
      </c>
      <c r="D923" s="1" t="s">
        <v>13</v>
      </c>
      <c r="E923" s="1" t="s">
        <v>4377</v>
      </c>
    </row>
    <row r="924" spans="1:5" ht="21" x14ac:dyDescent="0.25">
      <c r="A924" s="2" t="str">
        <f>HYPERLINK("https://rth.dk/resources/bsgatlas/details.php?id=BSGatlas-internal_UTR-923","BSGatlas-internal_UTR-923")</f>
        <v>BSGatlas-internal_UTR-923</v>
      </c>
      <c r="B924" s="3">
        <v>3460487</v>
      </c>
      <c r="C924" s="3">
        <v>3460502</v>
      </c>
      <c r="D924" s="1" t="s">
        <v>13</v>
      </c>
      <c r="E924" s="1" t="s">
        <v>4397</v>
      </c>
    </row>
    <row r="925" spans="1:5" ht="21" x14ac:dyDescent="0.25">
      <c r="A925" s="2" t="str">
        <f>HYPERLINK("https://rth.dk/resources/bsgatlas/details.php?id=BSGatlas-internal_UTR-924","BSGatlas-internal_UTR-924")</f>
        <v>BSGatlas-internal_UTR-924</v>
      </c>
      <c r="B925" s="3">
        <v>3462089</v>
      </c>
      <c r="C925" s="3">
        <v>3462104</v>
      </c>
      <c r="D925" s="1" t="s">
        <v>13</v>
      </c>
      <c r="E925" s="1" t="s">
        <v>4397</v>
      </c>
    </row>
    <row r="926" spans="1:5" ht="21" x14ac:dyDescent="0.25">
      <c r="A926" s="2" t="str">
        <f>HYPERLINK("https://rth.dk/resources/bsgatlas/details.php?id=BSGatlas-internal_UTR-925","BSGatlas-internal_UTR-925")</f>
        <v>BSGatlas-internal_UTR-925</v>
      </c>
      <c r="B926" s="3">
        <v>3465734</v>
      </c>
      <c r="C926" s="3">
        <v>3465775</v>
      </c>
      <c r="D926" s="1" t="s">
        <v>9</v>
      </c>
      <c r="E926" s="1" t="s">
        <v>4386</v>
      </c>
    </row>
    <row r="927" spans="1:5" ht="21" x14ac:dyDescent="0.25">
      <c r="A927" s="2" t="str">
        <f>HYPERLINK("https://rth.dk/resources/bsgatlas/details.php?id=BSGatlas-internal_UTR-926","BSGatlas-internal_UTR-926")</f>
        <v>BSGatlas-internal_UTR-926</v>
      </c>
      <c r="B927" s="3">
        <v>3468236</v>
      </c>
      <c r="C927" s="3">
        <v>3468252</v>
      </c>
      <c r="D927" s="1" t="s">
        <v>13</v>
      </c>
      <c r="E927" s="1" t="s">
        <v>4373</v>
      </c>
    </row>
    <row r="928" spans="1:5" ht="21" x14ac:dyDescent="0.25">
      <c r="A928" s="2" t="str">
        <f>HYPERLINK("https://rth.dk/resources/bsgatlas/details.php?id=BSGatlas-internal_UTR-927","BSGatlas-internal_UTR-927")</f>
        <v>BSGatlas-internal_UTR-927</v>
      </c>
      <c r="B928" s="3">
        <v>3469165</v>
      </c>
      <c r="C928" s="3">
        <v>3469183</v>
      </c>
      <c r="D928" s="1" t="s">
        <v>13</v>
      </c>
      <c r="E928" s="1" t="s">
        <v>4373</v>
      </c>
    </row>
    <row r="929" spans="1:5" ht="21" x14ac:dyDescent="0.25">
      <c r="A929" s="2" t="str">
        <f>HYPERLINK("https://rth.dk/resources/bsgatlas/details.php?id=BSGatlas-internal_UTR-928","BSGatlas-internal_UTR-928")</f>
        <v>BSGatlas-internal_UTR-928</v>
      </c>
      <c r="B929" s="3">
        <v>3469838</v>
      </c>
      <c r="C929" s="3">
        <v>3469859</v>
      </c>
      <c r="D929" s="1" t="s">
        <v>13</v>
      </c>
      <c r="E929" s="1" t="s">
        <v>4373</v>
      </c>
    </row>
    <row r="930" spans="1:5" ht="21" x14ac:dyDescent="0.25">
      <c r="A930" s="2" t="str">
        <f>HYPERLINK("https://rth.dk/resources/bsgatlas/details.php?id=BSGatlas-internal_UTR-929","BSGatlas-internal_UTR-929")</f>
        <v>BSGatlas-internal_UTR-929</v>
      </c>
      <c r="B930" s="3">
        <v>3477848</v>
      </c>
      <c r="C930" s="3">
        <v>3477876</v>
      </c>
      <c r="D930" s="1" t="s">
        <v>13</v>
      </c>
      <c r="E930" s="1" t="s">
        <v>4377</v>
      </c>
    </row>
    <row r="931" spans="1:5" ht="21" x14ac:dyDescent="0.25">
      <c r="A931" s="2" t="str">
        <f>HYPERLINK("https://rth.dk/resources/bsgatlas/details.php?id=BSGatlas-internal_UTR-930","BSGatlas-internal_UTR-930")</f>
        <v>BSGatlas-internal_UTR-930</v>
      </c>
      <c r="B931" s="3">
        <v>3480167</v>
      </c>
      <c r="C931" s="3">
        <v>3480196</v>
      </c>
      <c r="D931" s="1" t="s">
        <v>13</v>
      </c>
      <c r="E931" s="1" t="s">
        <v>4377</v>
      </c>
    </row>
    <row r="932" spans="1:5" ht="21" x14ac:dyDescent="0.25">
      <c r="A932" s="2" t="str">
        <f>HYPERLINK("https://rth.dk/resources/bsgatlas/details.php?id=BSGatlas-internal_UTR-931","BSGatlas-internal_UTR-931")</f>
        <v>BSGatlas-internal_UTR-931</v>
      </c>
      <c r="B932" s="3">
        <v>3481382</v>
      </c>
      <c r="C932" s="3">
        <v>3481697</v>
      </c>
      <c r="D932" s="1" t="s">
        <v>13</v>
      </c>
      <c r="E932" s="1" t="s">
        <v>4377</v>
      </c>
    </row>
    <row r="933" spans="1:5" ht="21" x14ac:dyDescent="0.25">
      <c r="A933" s="2" t="str">
        <f>HYPERLINK("https://rth.dk/resources/bsgatlas/details.php?id=BSGatlas-internal_UTR-932","BSGatlas-internal_UTR-932")</f>
        <v>BSGatlas-internal_UTR-932</v>
      </c>
      <c r="B933" s="3">
        <v>3482706</v>
      </c>
      <c r="C933" s="3">
        <v>3482751</v>
      </c>
      <c r="D933" s="1" t="s">
        <v>13</v>
      </c>
      <c r="E933" s="1" t="s">
        <v>4377</v>
      </c>
    </row>
    <row r="934" spans="1:5" ht="21" x14ac:dyDescent="0.25">
      <c r="A934" s="2" t="str">
        <f>HYPERLINK("https://rth.dk/resources/bsgatlas/details.php?id=BSGatlas-internal_UTR-933","BSGatlas-internal_UTR-933")</f>
        <v>BSGatlas-internal_UTR-933</v>
      </c>
      <c r="B934" s="3">
        <v>3494959</v>
      </c>
      <c r="C934" s="3">
        <v>3494984</v>
      </c>
      <c r="D934" s="1" t="s">
        <v>13</v>
      </c>
      <c r="E934" s="1" t="s">
        <v>4377</v>
      </c>
    </row>
    <row r="935" spans="1:5" ht="21" x14ac:dyDescent="0.25">
      <c r="A935" s="2" t="str">
        <f>HYPERLINK("https://rth.dk/resources/bsgatlas/details.php?id=BSGatlas-internal_UTR-934","BSGatlas-internal_UTR-934")</f>
        <v>BSGatlas-internal_UTR-934</v>
      </c>
      <c r="B935" s="3">
        <v>3500351</v>
      </c>
      <c r="C935" s="3">
        <v>3500385</v>
      </c>
      <c r="D935" s="1" t="s">
        <v>9</v>
      </c>
      <c r="E935" s="1" t="s">
        <v>4377</v>
      </c>
    </row>
    <row r="936" spans="1:5" ht="21" x14ac:dyDescent="0.25">
      <c r="A936" s="2" t="str">
        <f>HYPERLINK("https://rth.dk/resources/bsgatlas/details.php?id=BSGatlas-internal_UTR-935","BSGatlas-internal_UTR-935")</f>
        <v>BSGatlas-internal_UTR-935</v>
      </c>
      <c r="B936" s="3">
        <v>3502941</v>
      </c>
      <c r="C936" s="3">
        <v>3503019</v>
      </c>
      <c r="D936" s="1" t="s">
        <v>13</v>
      </c>
      <c r="E936" s="1" t="s">
        <v>4377</v>
      </c>
    </row>
    <row r="937" spans="1:5" ht="21" x14ac:dyDescent="0.25">
      <c r="A937" s="2" t="str">
        <f>HYPERLINK("https://rth.dk/resources/bsgatlas/details.php?id=BSGatlas-internal_UTR-936","BSGatlas-internal_UTR-936")</f>
        <v>BSGatlas-internal_UTR-936</v>
      </c>
      <c r="B937" s="3">
        <v>3505084</v>
      </c>
      <c r="C937" s="3">
        <v>3505101</v>
      </c>
      <c r="D937" s="1" t="s">
        <v>13</v>
      </c>
      <c r="E937" s="1" t="s">
        <v>4377</v>
      </c>
    </row>
    <row r="938" spans="1:5" ht="21" x14ac:dyDescent="0.25">
      <c r="A938" s="2" t="str">
        <f>HYPERLINK("https://rth.dk/resources/bsgatlas/details.php?id=BSGatlas-internal_UTR-937","BSGatlas-internal_UTR-937")</f>
        <v>BSGatlas-internal_UTR-937</v>
      </c>
      <c r="B938" s="3">
        <v>3507214</v>
      </c>
      <c r="C938" s="3">
        <v>3507252</v>
      </c>
      <c r="D938" s="1" t="s">
        <v>13</v>
      </c>
      <c r="E938" s="1" t="s">
        <v>4377</v>
      </c>
    </row>
    <row r="939" spans="1:5" ht="21" x14ac:dyDescent="0.25">
      <c r="A939" s="2" t="str">
        <f>HYPERLINK("https://rth.dk/resources/bsgatlas/details.php?id=BSGatlas-internal_UTR-938","BSGatlas-internal_UTR-938")</f>
        <v>BSGatlas-internal_UTR-938</v>
      </c>
      <c r="B939" s="3">
        <v>3522146</v>
      </c>
      <c r="C939" s="3">
        <v>3522169</v>
      </c>
      <c r="D939" s="1" t="s">
        <v>13</v>
      </c>
      <c r="E939" s="1" t="s">
        <v>4397</v>
      </c>
    </row>
    <row r="940" spans="1:5" ht="21" x14ac:dyDescent="0.25">
      <c r="A940" s="2" t="str">
        <f>HYPERLINK("https://rth.dk/resources/bsgatlas/details.php?id=BSGatlas-internal_UTR-939","BSGatlas-internal_UTR-939")</f>
        <v>BSGatlas-internal_UTR-939</v>
      </c>
      <c r="B940" s="3">
        <v>3528204</v>
      </c>
      <c r="C940" s="3">
        <v>3528334</v>
      </c>
      <c r="D940" s="1" t="s">
        <v>13</v>
      </c>
      <c r="E940" s="1" t="s">
        <v>4397</v>
      </c>
    </row>
    <row r="941" spans="1:5" ht="21" x14ac:dyDescent="0.25">
      <c r="A941" s="2" t="str">
        <f>HYPERLINK("https://rth.dk/resources/bsgatlas/details.php?id=BSGatlas-internal_UTR-940","BSGatlas-internal_UTR-940")</f>
        <v>BSGatlas-internal_UTR-940</v>
      </c>
      <c r="B941" s="3">
        <v>3530560</v>
      </c>
      <c r="C941" s="3">
        <v>3530634</v>
      </c>
      <c r="D941" s="1" t="s">
        <v>9</v>
      </c>
      <c r="E941" s="1" t="s">
        <v>4386</v>
      </c>
    </row>
    <row r="942" spans="1:5" ht="21" x14ac:dyDescent="0.25">
      <c r="A942" s="2" t="str">
        <f>HYPERLINK("https://rth.dk/resources/bsgatlas/details.php?id=BSGatlas-internal_UTR-941","BSGatlas-internal_UTR-941")</f>
        <v>BSGatlas-internal_UTR-941</v>
      </c>
      <c r="B942" s="3">
        <v>3532811</v>
      </c>
      <c r="C942" s="3">
        <v>3532832</v>
      </c>
      <c r="D942" s="1" t="s">
        <v>13</v>
      </c>
      <c r="E942" s="1" t="s">
        <v>4397</v>
      </c>
    </row>
    <row r="943" spans="1:5" ht="21" x14ac:dyDescent="0.25">
      <c r="A943" s="2" t="str">
        <f>HYPERLINK("https://rth.dk/resources/bsgatlas/details.php?id=BSGatlas-internal_UTR-942","BSGatlas-internal_UTR-942")</f>
        <v>BSGatlas-internal_UTR-942</v>
      </c>
      <c r="B943" s="3">
        <v>3533145</v>
      </c>
      <c r="C943" s="3">
        <v>3533195</v>
      </c>
      <c r="D943" s="1" t="s">
        <v>13</v>
      </c>
      <c r="E943" s="1" t="s">
        <v>4397</v>
      </c>
    </row>
    <row r="944" spans="1:5" ht="21" x14ac:dyDescent="0.25">
      <c r="A944" s="2" t="str">
        <f>HYPERLINK("https://rth.dk/resources/bsgatlas/details.php?id=BSGatlas-internal_UTR-943","BSGatlas-internal_UTR-943")</f>
        <v>BSGatlas-internal_UTR-943</v>
      </c>
      <c r="B944" s="3">
        <v>3537434</v>
      </c>
      <c r="C944" s="3">
        <v>3537506</v>
      </c>
      <c r="D944" s="1" t="s">
        <v>9</v>
      </c>
      <c r="E944" s="1" t="s">
        <v>4386</v>
      </c>
    </row>
    <row r="945" spans="1:5" ht="21" x14ac:dyDescent="0.25">
      <c r="A945" s="2" t="str">
        <f>HYPERLINK("https://rth.dk/resources/bsgatlas/details.php?id=BSGatlas-internal_UTR-944","BSGatlas-internal_UTR-944")</f>
        <v>BSGatlas-internal_UTR-944</v>
      </c>
      <c r="B945" s="3">
        <v>3539058</v>
      </c>
      <c r="C945" s="3">
        <v>3539164</v>
      </c>
      <c r="D945" s="1" t="s">
        <v>9</v>
      </c>
      <c r="E945" s="1" t="s">
        <v>4386</v>
      </c>
    </row>
    <row r="946" spans="1:5" ht="21" x14ac:dyDescent="0.25">
      <c r="A946" s="2" t="str">
        <f>HYPERLINK("https://rth.dk/resources/bsgatlas/details.php?id=BSGatlas-internal_UTR-945","BSGatlas-internal_UTR-945")</f>
        <v>BSGatlas-internal_UTR-945</v>
      </c>
      <c r="B946" s="3">
        <v>3541407</v>
      </c>
      <c r="C946" s="3">
        <v>3541487</v>
      </c>
      <c r="D946" s="1" t="s">
        <v>9</v>
      </c>
      <c r="E946" s="1" t="s">
        <v>4377</v>
      </c>
    </row>
    <row r="947" spans="1:5" ht="21" x14ac:dyDescent="0.25">
      <c r="A947" s="2" t="str">
        <f>HYPERLINK("https://rth.dk/resources/bsgatlas/details.php?id=BSGatlas-internal_UTR-946","BSGatlas-internal_UTR-946")</f>
        <v>BSGatlas-internal_UTR-946</v>
      </c>
      <c r="B947" s="3">
        <v>3554514</v>
      </c>
      <c r="C947" s="3">
        <v>3554552</v>
      </c>
      <c r="D947" s="1" t="s">
        <v>13</v>
      </c>
      <c r="E947" s="1" t="s">
        <v>4377</v>
      </c>
    </row>
    <row r="948" spans="1:5" ht="21" x14ac:dyDescent="0.25">
      <c r="A948" s="2" t="str">
        <f>HYPERLINK("https://rth.dk/resources/bsgatlas/details.php?id=BSGatlas-internal_UTR-947","BSGatlas-internal_UTR-947")</f>
        <v>BSGatlas-internal_UTR-947</v>
      </c>
      <c r="B948" s="3">
        <v>3555807</v>
      </c>
      <c r="C948" s="3">
        <v>3555901</v>
      </c>
      <c r="D948" s="1" t="s">
        <v>13</v>
      </c>
      <c r="E948" s="1" t="s">
        <v>4377</v>
      </c>
    </row>
    <row r="949" spans="1:5" ht="21" x14ac:dyDescent="0.25">
      <c r="A949" s="2" t="str">
        <f>HYPERLINK("https://rth.dk/resources/bsgatlas/details.php?id=BSGatlas-internal_UTR-948","BSGatlas-internal_UTR-948")</f>
        <v>BSGatlas-internal_UTR-948</v>
      </c>
      <c r="B949" s="3">
        <v>3557672</v>
      </c>
      <c r="C949" s="3">
        <v>3557783</v>
      </c>
      <c r="D949" s="1" t="s">
        <v>13</v>
      </c>
      <c r="E949" s="1" t="s">
        <v>4377</v>
      </c>
    </row>
    <row r="950" spans="1:5" ht="21" x14ac:dyDescent="0.25">
      <c r="A950" s="2" t="str">
        <f>HYPERLINK("https://rth.dk/resources/bsgatlas/details.php?id=BSGatlas-internal_UTR-949","BSGatlas-internal_UTR-949")</f>
        <v>BSGatlas-internal_UTR-949</v>
      </c>
      <c r="B950" s="3">
        <v>3561572</v>
      </c>
      <c r="C950" s="3">
        <v>3561589</v>
      </c>
      <c r="D950" s="1" t="s">
        <v>13</v>
      </c>
      <c r="E950" s="1" t="s">
        <v>4386</v>
      </c>
    </row>
    <row r="951" spans="1:5" ht="21" x14ac:dyDescent="0.25">
      <c r="A951" s="2" t="str">
        <f>HYPERLINK("https://rth.dk/resources/bsgatlas/details.php?id=BSGatlas-internal_UTR-950","BSGatlas-internal_UTR-950")</f>
        <v>BSGatlas-internal_UTR-950</v>
      </c>
      <c r="B951" s="3">
        <v>3566276</v>
      </c>
      <c r="C951" s="3">
        <v>3566357</v>
      </c>
      <c r="D951" s="1" t="s">
        <v>13</v>
      </c>
      <c r="E951" s="1" t="s">
        <v>4377</v>
      </c>
    </row>
    <row r="952" spans="1:5" ht="21" x14ac:dyDescent="0.25">
      <c r="A952" s="2" t="str">
        <f>HYPERLINK("https://rth.dk/resources/bsgatlas/details.php?id=BSGatlas-internal_UTR-951","BSGatlas-internal_UTR-951")</f>
        <v>BSGatlas-internal_UTR-951</v>
      </c>
      <c r="B952" s="3">
        <v>3569550</v>
      </c>
      <c r="C952" s="3">
        <v>3569572</v>
      </c>
      <c r="D952" s="1" t="s">
        <v>13</v>
      </c>
      <c r="E952" s="1" t="s">
        <v>4386</v>
      </c>
    </row>
    <row r="953" spans="1:5" ht="21" x14ac:dyDescent="0.25">
      <c r="A953" s="2" t="str">
        <f>HYPERLINK("https://rth.dk/resources/bsgatlas/details.php?id=BSGatlas-internal_UTR-952","BSGatlas-internal_UTR-952")</f>
        <v>BSGatlas-internal_UTR-952</v>
      </c>
      <c r="B953" s="3">
        <v>3570524</v>
      </c>
      <c r="C953" s="3">
        <v>3570545</v>
      </c>
      <c r="D953" s="1" t="s">
        <v>13</v>
      </c>
      <c r="E953" s="1" t="s">
        <v>4386</v>
      </c>
    </row>
    <row r="954" spans="1:5" ht="21" x14ac:dyDescent="0.25">
      <c r="A954" s="2" t="str">
        <f>HYPERLINK("https://rth.dk/resources/bsgatlas/details.php?id=BSGatlas-internal_UTR-953","BSGatlas-internal_UTR-953")</f>
        <v>BSGatlas-internal_UTR-953</v>
      </c>
      <c r="B954" s="3">
        <v>3572389</v>
      </c>
      <c r="C954" s="3">
        <v>3572412</v>
      </c>
      <c r="D954" s="1" t="s">
        <v>13</v>
      </c>
      <c r="E954" s="1" t="s">
        <v>4386</v>
      </c>
    </row>
    <row r="955" spans="1:5" ht="21" x14ac:dyDescent="0.25">
      <c r="A955" s="2" t="str">
        <f>HYPERLINK("https://rth.dk/resources/bsgatlas/details.php?id=BSGatlas-internal_UTR-954","BSGatlas-internal_UTR-954")</f>
        <v>BSGatlas-internal_UTR-954</v>
      </c>
      <c r="B955" s="3">
        <v>3577620</v>
      </c>
      <c r="C955" s="3">
        <v>3577744</v>
      </c>
      <c r="D955" s="1" t="s">
        <v>13</v>
      </c>
      <c r="E955" s="1" t="s">
        <v>4377</v>
      </c>
    </row>
    <row r="956" spans="1:5" ht="21" x14ac:dyDescent="0.25">
      <c r="A956" s="2" t="str">
        <f>HYPERLINK("https://rth.dk/resources/bsgatlas/details.php?id=BSGatlas-internal_UTR-955","BSGatlas-internal_UTR-955")</f>
        <v>BSGatlas-internal_UTR-955</v>
      </c>
      <c r="B956" s="3">
        <v>3590364</v>
      </c>
      <c r="C956" s="3">
        <v>3590602</v>
      </c>
      <c r="D956" s="1" t="s">
        <v>9</v>
      </c>
      <c r="E956" s="1" t="s">
        <v>4386</v>
      </c>
    </row>
    <row r="957" spans="1:5" ht="21" x14ac:dyDescent="0.25">
      <c r="A957" s="2" t="str">
        <f>HYPERLINK("https://rth.dk/resources/bsgatlas/details.php?id=BSGatlas-internal_UTR-956","BSGatlas-internal_UTR-956")</f>
        <v>BSGatlas-internal_UTR-956</v>
      </c>
      <c r="B957" s="3">
        <v>3593396</v>
      </c>
      <c r="C957" s="3">
        <v>3593418</v>
      </c>
      <c r="D957" s="1" t="s">
        <v>13</v>
      </c>
      <c r="E957" s="1" t="s">
        <v>4377</v>
      </c>
    </row>
    <row r="958" spans="1:5" ht="21" x14ac:dyDescent="0.25">
      <c r="A958" s="2" t="str">
        <f>HYPERLINK("https://rth.dk/resources/bsgatlas/details.php?id=BSGatlas-internal_UTR-957","BSGatlas-internal_UTR-957")</f>
        <v>BSGatlas-internal_UTR-957</v>
      </c>
      <c r="B958" s="3">
        <v>3597272</v>
      </c>
      <c r="C958" s="3">
        <v>3597288</v>
      </c>
      <c r="D958" s="1" t="s">
        <v>9</v>
      </c>
      <c r="E958" s="1" t="s">
        <v>4386</v>
      </c>
    </row>
    <row r="959" spans="1:5" ht="21" x14ac:dyDescent="0.25">
      <c r="A959" s="2" t="str">
        <f>HYPERLINK("https://rth.dk/resources/bsgatlas/details.php?id=BSGatlas-internal_UTR-958","BSGatlas-internal_UTR-958")</f>
        <v>BSGatlas-internal_UTR-958</v>
      </c>
      <c r="B959" s="3">
        <v>3605503</v>
      </c>
      <c r="C959" s="3">
        <v>3605522</v>
      </c>
      <c r="D959" s="1" t="s">
        <v>9</v>
      </c>
      <c r="E959" s="1" t="s">
        <v>4386</v>
      </c>
    </row>
    <row r="960" spans="1:5" ht="21" x14ac:dyDescent="0.25">
      <c r="A960" s="2" t="str">
        <f>HYPERLINK("https://rth.dk/resources/bsgatlas/details.php?id=BSGatlas-internal_UTR-959","BSGatlas-internal_UTR-959")</f>
        <v>BSGatlas-internal_UTR-959</v>
      </c>
      <c r="B960" s="3">
        <v>3608423</v>
      </c>
      <c r="C960" s="3">
        <v>3608446</v>
      </c>
      <c r="D960" s="1" t="s">
        <v>13</v>
      </c>
      <c r="E960" s="1" t="s">
        <v>4386</v>
      </c>
    </row>
    <row r="961" spans="1:5" ht="21" x14ac:dyDescent="0.25">
      <c r="A961" s="2" t="str">
        <f>HYPERLINK("https://rth.dk/resources/bsgatlas/details.php?id=BSGatlas-internal_UTR-960","BSGatlas-internal_UTR-960")</f>
        <v>BSGatlas-internal_UTR-960</v>
      </c>
      <c r="B961" s="3">
        <v>3618289</v>
      </c>
      <c r="C961" s="3">
        <v>3618363</v>
      </c>
      <c r="D961" s="1" t="s">
        <v>9</v>
      </c>
      <c r="E961" s="1" t="s">
        <v>4397</v>
      </c>
    </row>
    <row r="962" spans="1:5" ht="21" x14ac:dyDescent="0.25">
      <c r="A962" s="2" t="str">
        <f>HYPERLINK("https://rth.dk/resources/bsgatlas/details.php?id=BSGatlas-internal_UTR-961","BSGatlas-internal_UTR-961")</f>
        <v>BSGatlas-internal_UTR-961</v>
      </c>
      <c r="B962" s="3">
        <v>3618934</v>
      </c>
      <c r="C962" s="3">
        <v>3618963</v>
      </c>
      <c r="D962" s="1" t="s">
        <v>9</v>
      </c>
      <c r="E962" s="1" t="s">
        <v>4397</v>
      </c>
    </row>
    <row r="963" spans="1:5" ht="21" x14ac:dyDescent="0.25">
      <c r="A963" s="2" t="str">
        <f>HYPERLINK("https://rth.dk/resources/bsgatlas/details.php?id=BSGatlas-internal_UTR-962","BSGatlas-internal_UTR-962")</f>
        <v>BSGatlas-internal_UTR-962</v>
      </c>
      <c r="B963" s="3">
        <v>3621540</v>
      </c>
      <c r="C963" s="3">
        <v>3621617</v>
      </c>
      <c r="D963" s="1" t="s">
        <v>13</v>
      </c>
      <c r="E963" s="1" t="s">
        <v>4377</v>
      </c>
    </row>
    <row r="964" spans="1:5" ht="21" x14ac:dyDescent="0.25">
      <c r="A964" s="2" t="str">
        <f>HYPERLINK("https://rth.dk/resources/bsgatlas/details.php?id=BSGatlas-internal_UTR-963","BSGatlas-internal_UTR-963")</f>
        <v>BSGatlas-internal_UTR-963</v>
      </c>
      <c r="B964" s="3">
        <v>3626080</v>
      </c>
      <c r="C964" s="3">
        <v>3626127</v>
      </c>
      <c r="D964" s="1" t="s">
        <v>13</v>
      </c>
      <c r="E964" s="1" t="s">
        <v>4386</v>
      </c>
    </row>
    <row r="965" spans="1:5" ht="21" x14ac:dyDescent="0.25">
      <c r="A965" s="2" t="str">
        <f>HYPERLINK("https://rth.dk/resources/bsgatlas/details.php?id=BSGatlas-internal_UTR-964","BSGatlas-internal_UTR-964")</f>
        <v>BSGatlas-internal_UTR-964</v>
      </c>
      <c r="B965" s="3">
        <v>3628241</v>
      </c>
      <c r="C965" s="3">
        <v>3628309</v>
      </c>
      <c r="D965" s="1" t="s">
        <v>13</v>
      </c>
      <c r="E965" s="1" t="s">
        <v>4386</v>
      </c>
    </row>
    <row r="966" spans="1:5" ht="21" x14ac:dyDescent="0.25">
      <c r="A966" s="2" t="str">
        <f>HYPERLINK("https://rth.dk/resources/bsgatlas/details.php?id=BSGatlas-internal_UTR-965","BSGatlas-internal_UTR-965")</f>
        <v>BSGatlas-internal_UTR-965</v>
      </c>
      <c r="B966" s="3">
        <v>3631573</v>
      </c>
      <c r="C966" s="3">
        <v>3631678</v>
      </c>
      <c r="D966" s="1" t="s">
        <v>13</v>
      </c>
      <c r="E966" s="1" t="s">
        <v>4386</v>
      </c>
    </row>
    <row r="967" spans="1:5" ht="21" x14ac:dyDescent="0.25">
      <c r="A967" s="2" t="str">
        <f>HYPERLINK("https://rth.dk/resources/bsgatlas/details.php?id=BSGatlas-internal_UTR-966","BSGatlas-internal_UTR-966")</f>
        <v>BSGatlas-internal_UTR-966</v>
      </c>
      <c r="B967" s="3">
        <v>3632890</v>
      </c>
      <c r="C967" s="3">
        <v>3632910</v>
      </c>
      <c r="D967" s="1" t="s">
        <v>13</v>
      </c>
      <c r="E967" s="1" t="s">
        <v>14711</v>
      </c>
    </row>
    <row r="968" spans="1:5" ht="21" x14ac:dyDescent="0.25">
      <c r="A968" s="2" t="str">
        <f>HYPERLINK("https://rth.dk/resources/bsgatlas/details.php?id=BSGatlas-internal_UTR-967","BSGatlas-internal_UTR-967")</f>
        <v>BSGatlas-internal_UTR-967</v>
      </c>
      <c r="B968" s="3">
        <v>3634408</v>
      </c>
      <c r="C968" s="3">
        <v>3634424</v>
      </c>
      <c r="D968" s="1" t="s">
        <v>13</v>
      </c>
      <c r="E968" s="1" t="s">
        <v>14711</v>
      </c>
    </row>
    <row r="969" spans="1:5" ht="21" x14ac:dyDescent="0.25">
      <c r="A969" s="2" t="str">
        <f>HYPERLINK("https://rth.dk/resources/bsgatlas/details.php?id=BSGatlas-internal_UTR-968","BSGatlas-internal_UTR-968")</f>
        <v>BSGatlas-internal_UTR-968</v>
      </c>
      <c r="B969" s="3">
        <v>3636696</v>
      </c>
      <c r="C969" s="3">
        <v>3636715</v>
      </c>
      <c r="D969" s="1" t="s">
        <v>13</v>
      </c>
      <c r="E969" s="1" t="s">
        <v>4386</v>
      </c>
    </row>
    <row r="970" spans="1:5" ht="21" x14ac:dyDescent="0.25">
      <c r="A970" s="2" t="str">
        <f>HYPERLINK("https://rth.dk/resources/bsgatlas/details.php?id=BSGatlas-internal_UTR-969","BSGatlas-internal_UTR-969")</f>
        <v>BSGatlas-internal_UTR-969</v>
      </c>
      <c r="B970" s="3">
        <v>3637292</v>
      </c>
      <c r="C970" s="3">
        <v>3637337</v>
      </c>
      <c r="D970" s="1" t="s">
        <v>13</v>
      </c>
      <c r="E970" s="1" t="s">
        <v>4386</v>
      </c>
    </row>
    <row r="971" spans="1:5" ht="21" x14ac:dyDescent="0.25">
      <c r="A971" s="2" t="str">
        <f>HYPERLINK("https://rth.dk/resources/bsgatlas/details.php?id=BSGatlas-internal_UTR-970","BSGatlas-internal_UTR-970")</f>
        <v>BSGatlas-internal_UTR-970</v>
      </c>
      <c r="B971" s="3">
        <v>3639769</v>
      </c>
      <c r="C971" s="3">
        <v>3639786</v>
      </c>
      <c r="D971" s="1" t="s">
        <v>13</v>
      </c>
      <c r="E971" s="1" t="s">
        <v>14708</v>
      </c>
    </row>
    <row r="972" spans="1:5" ht="21" x14ac:dyDescent="0.25">
      <c r="A972" s="2" t="str">
        <f>HYPERLINK("https://rth.dk/resources/bsgatlas/details.php?id=BSGatlas-internal_UTR-971","BSGatlas-internal_UTR-971")</f>
        <v>BSGatlas-internal_UTR-971</v>
      </c>
      <c r="B972" s="3">
        <v>3640552</v>
      </c>
      <c r="C972" s="3">
        <v>3640631</v>
      </c>
      <c r="D972" s="1" t="s">
        <v>13</v>
      </c>
      <c r="E972" s="1" t="s">
        <v>14708</v>
      </c>
    </row>
    <row r="973" spans="1:5" ht="21" x14ac:dyDescent="0.25">
      <c r="A973" s="2" t="str">
        <f>HYPERLINK("https://rth.dk/resources/bsgatlas/details.php?id=BSGatlas-internal_UTR-972","BSGatlas-internal_UTR-972")</f>
        <v>BSGatlas-internal_UTR-972</v>
      </c>
      <c r="B973" s="3">
        <v>3641052</v>
      </c>
      <c r="C973" s="3">
        <v>3641124</v>
      </c>
      <c r="D973" s="1" t="s">
        <v>13</v>
      </c>
      <c r="E973" s="1" t="s">
        <v>14708</v>
      </c>
    </row>
    <row r="974" spans="1:5" ht="21" x14ac:dyDescent="0.25">
      <c r="A974" s="2" t="str">
        <f>HYPERLINK("https://rth.dk/resources/bsgatlas/details.php?id=BSGatlas-internal_UTR-973","BSGatlas-internal_UTR-973")</f>
        <v>BSGatlas-internal_UTR-973</v>
      </c>
      <c r="B974" s="3">
        <v>3642108</v>
      </c>
      <c r="C974" s="3">
        <v>3642166</v>
      </c>
      <c r="D974" s="1" t="s">
        <v>13</v>
      </c>
      <c r="E974" s="1" t="s">
        <v>14708</v>
      </c>
    </row>
    <row r="975" spans="1:5" ht="21" x14ac:dyDescent="0.25">
      <c r="A975" s="2" t="str">
        <f>HYPERLINK("https://rth.dk/resources/bsgatlas/details.php?id=BSGatlas-internal_UTR-974","BSGatlas-internal_UTR-974")</f>
        <v>BSGatlas-internal_UTR-974</v>
      </c>
      <c r="B975" s="3">
        <v>3645297</v>
      </c>
      <c r="C975" s="3">
        <v>3645378</v>
      </c>
      <c r="D975" s="1" t="s">
        <v>13</v>
      </c>
      <c r="E975" s="1" t="s">
        <v>4386</v>
      </c>
    </row>
    <row r="976" spans="1:5" ht="21" x14ac:dyDescent="0.25">
      <c r="A976" s="2" t="str">
        <f>HYPERLINK("https://rth.dk/resources/bsgatlas/details.php?id=BSGatlas-internal_UTR-975","BSGatlas-internal_UTR-975")</f>
        <v>BSGatlas-internal_UTR-975</v>
      </c>
      <c r="B976" s="3">
        <v>3651069</v>
      </c>
      <c r="C976" s="3">
        <v>3651096</v>
      </c>
      <c r="D976" s="1" t="s">
        <v>13</v>
      </c>
      <c r="E976" s="1" t="s">
        <v>14708</v>
      </c>
    </row>
    <row r="977" spans="1:5" ht="21" x14ac:dyDescent="0.25">
      <c r="A977" s="2" t="str">
        <f>HYPERLINK("https://rth.dk/resources/bsgatlas/details.php?id=BSGatlas-internal_UTR-976","BSGatlas-internal_UTR-976")</f>
        <v>BSGatlas-internal_UTR-976</v>
      </c>
      <c r="B977" s="3">
        <v>3651856</v>
      </c>
      <c r="C977" s="3">
        <v>3651878</v>
      </c>
      <c r="D977" s="1" t="s">
        <v>13</v>
      </c>
      <c r="E977" s="1" t="s">
        <v>14708</v>
      </c>
    </row>
    <row r="978" spans="1:5" ht="21" x14ac:dyDescent="0.25">
      <c r="A978" s="2" t="str">
        <f>HYPERLINK("https://rth.dk/resources/bsgatlas/details.php?id=BSGatlas-internal_UTR-977","BSGatlas-internal_UTR-977")</f>
        <v>BSGatlas-internal_UTR-977</v>
      </c>
      <c r="B978" s="3">
        <v>3652560</v>
      </c>
      <c r="C978" s="3">
        <v>3652587</v>
      </c>
      <c r="D978" s="1" t="s">
        <v>13</v>
      </c>
      <c r="E978" s="1" t="s">
        <v>14708</v>
      </c>
    </row>
    <row r="979" spans="1:5" ht="21" x14ac:dyDescent="0.25">
      <c r="A979" s="2" t="str">
        <f>HYPERLINK("https://rth.dk/resources/bsgatlas/details.php?id=BSGatlas-internal_UTR-978","BSGatlas-internal_UTR-978")</f>
        <v>BSGatlas-internal_UTR-978</v>
      </c>
      <c r="B979" s="3">
        <v>3654055</v>
      </c>
      <c r="C979" s="3">
        <v>3654138</v>
      </c>
      <c r="D979" s="1" t="s">
        <v>13</v>
      </c>
      <c r="E979" s="1" t="s">
        <v>14708</v>
      </c>
    </row>
    <row r="980" spans="1:5" ht="21" x14ac:dyDescent="0.25">
      <c r="A980" s="2" t="str">
        <f>HYPERLINK("https://rth.dk/resources/bsgatlas/details.php?id=BSGatlas-internal_UTR-979","BSGatlas-internal_UTR-979")</f>
        <v>BSGatlas-internal_UTR-979</v>
      </c>
      <c r="B980" s="3">
        <v>3655525</v>
      </c>
      <c r="C980" s="3">
        <v>3655585</v>
      </c>
      <c r="D980" s="1" t="s">
        <v>13</v>
      </c>
      <c r="E980" s="1" t="s">
        <v>14708</v>
      </c>
    </row>
    <row r="981" spans="1:5" ht="21" x14ac:dyDescent="0.25">
      <c r="A981" s="2" t="str">
        <f>HYPERLINK("https://rth.dk/resources/bsgatlas/details.php?id=BSGatlas-internal_UTR-980","BSGatlas-internal_UTR-980")</f>
        <v>BSGatlas-internal_UTR-980</v>
      </c>
      <c r="B981" s="3">
        <v>3658204</v>
      </c>
      <c r="C981" s="3">
        <v>3658258</v>
      </c>
      <c r="D981" s="1" t="s">
        <v>13</v>
      </c>
      <c r="E981" s="1" t="s">
        <v>4386</v>
      </c>
    </row>
    <row r="982" spans="1:5" ht="21" x14ac:dyDescent="0.25">
      <c r="A982" s="2" t="str">
        <f>HYPERLINK("https://rth.dk/resources/bsgatlas/details.php?id=BSGatlas-internal_UTR-981","BSGatlas-internal_UTR-981")</f>
        <v>BSGatlas-internal_UTR-981</v>
      </c>
      <c r="B982" s="3">
        <v>3660610</v>
      </c>
      <c r="C982" s="3">
        <v>3660647</v>
      </c>
      <c r="D982" s="1" t="s">
        <v>13</v>
      </c>
      <c r="E982" s="1" t="s">
        <v>4377</v>
      </c>
    </row>
    <row r="983" spans="1:5" ht="21" x14ac:dyDescent="0.25">
      <c r="A983" s="2" t="str">
        <f>HYPERLINK("https://rth.dk/resources/bsgatlas/details.php?id=BSGatlas-internal_UTR-982","BSGatlas-internal_UTR-982")</f>
        <v>BSGatlas-internal_UTR-982</v>
      </c>
      <c r="B983" s="3">
        <v>3662766</v>
      </c>
      <c r="C983" s="3">
        <v>3662788</v>
      </c>
      <c r="D983" s="1" t="s">
        <v>13</v>
      </c>
      <c r="E983" s="1" t="s">
        <v>4377</v>
      </c>
    </row>
    <row r="984" spans="1:5" ht="21" x14ac:dyDescent="0.25">
      <c r="A984" s="2" t="str">
        <f>HYPERLINK("https://rth.dk/resources/bsgatlas/details.php?id=BSGatlas-internal_UTR-983","BSGatlas-internal_UTR-983")</f>
        <v>BSGatlas-internal_UTR-983</v>
      </c>
      <c r="B984" s="3">
        <v>3669912</v>
      </c>
      <c r="C984" s="3">
        <v>3670034</v>
      </c>
      <c r="D984" s="1" t="s">
        <v>13</v>
      </c>
      <c r="E984" s="1" t="s">
        <v>4386</v>
      </c>
    </row>
    <row r="985" spans="1:5" ht="21" x14ac:dyDescent="0.25">
      <c r="A985" s="2" t="str">
        <f>HYPERLINK("https://rth.dk/resources/bsgatlas/details.php?id=BSGatlas-internal_UTR-984","BSGatlas-internal_UTR-984")</f>
        <v>BSGatlas-internal_UTR-984</v>
      </c>
      <c r="B985" s="3">
        <v>3675148</v>
      </c>
      <c r="C985" s="3">
        <v>3675166</v>
      </c>
      <c r="D985" s="1" t="s">
        <v>13</v>
      </c>
      <c r="E985" s="1" t="s">
        <v>4386</v>
      </c>
    </row>
    <row r="986" spans="1:5" ht="21" x14ac:dyDescent="0.25">
      <c r="A986" s="2" t="str">
        <f>HYPERLINK("https://rth.dk/resources/bsgatlas/details.php?id=BSGatlas-internal_UTR-985","BSGatlas-internal_UTR-985")</f>
        <v>BSGatlas-internal_UTR-985</v>
      </c>
      <c r="B986" s="3">
        <v>3675995</v>
      </c>
      <c r="C986" s="3">
        <v>3676158</v>
      </c>
      <c r="D986" s="1" t="s">
        <v>13</v>
      </c>
      <c r="E986" s="1" t="s">
        <v>4386</v>
      </c>
    </row>
    <row r="987" spans="1:5" ht="21" x14ac:dyDescent="0.25">
      <c r="A987" s="2" t="str">
        <f>HYPERLINK("https://rth.dk/resources/bsgatlas/details.php?id=BSGatlas-internal_UTR-986","BSGatlas-internal_UTR-986")</f>
        <v>BSGatlas-internal_UTR-986</v>
      </c>
      <c r="B987" s="3">
        <v>3680421</v>
      </c>
      <c r="C987" s="3">
        <v>3680580</v>
      </c>
      <c r="D987" s="1" t="s">
        <v>13</v>
      </c>
      <c r="E987" s="1" t="s">
        <v>4386</v>
      </c>
    </row>
    <row r="988" spans="1:5" ht="21" x14ac:dyDescent="0.25">
      <c r="A988" s="2" t="str">
        <f>HYPERLINK("https://rth.dk/resources/bsgatlas/details.php?id=BSGatlas-internal_UTR-987","BSGatlas-internal_UTR-987")</f>
        <v>BSGatlas-internal_UTR-987</v>
      </c>
      <c r="B988" s="3">
        <v>3682141</v>
      </c>
      <c r="C988" s="3">
        <v>3682172</v>
      </c>
      <c r="D988" s="1" t="s">
        <v>9</v>
      </c>
      <c r="E988" s="1" t="s">
        <v>4377</v>
      </c>
    </row>
    <row r="989" spans="1:5" ht="21" x14ac:dyDescent="0.25">
      <c r="A989" s="2" t="str">
        <f>HYPERLINK("https://rth.dk/resources/bsgatlas/details.php?id=BSGatlas-internal_UTR-988","BSGatlas-internal_UTR-988")</f>
        <v>BSGatlas-internal_UTR-988</v>
      </c>
      <c r="B989" s="3">
        <v>3695208</v>
      </c>
      <c r="C989" s="3">
        <v>3695362</v>
      </c>
      <c r="D989" s="1" t="s">
        <v>9</v>
      </c>
      <c r="E989" s="1" t="s">
        <v>4373</v>
      </c>
    </row>
    <row r="990" spans="1:5" ht="21" x14ac:dyDescent="0.25">
      <c r="A990" s="2" t="str">
        <f>HYPERLINK("https://rth.dk/resources/bsgatlas/details.php?id=BSGatlas-internal_UTR-989","BSGatlas-internal_UTR-989")</f>
        <v>BSGatlas-internal_UTR-989</v>
      </c>
      <c r="B990" s="3">
        <v>3698964</v>
      </c>
      <c r="C990" s="3">
        <v>3698981</v>
      </c>
      <c r="D990" s="1" t="s">
        <v>13</v>
      </c>
      <c r="E990" s="1" t="s">
        <v>4377</v>
      </c>
    </row>
    <row r="991" spans="1:5" ht="21" x14ac:dyDescent="0.25">
      <c r="A991" s="2" t="str">
        <f>HYPERLINK("https://rth.dk/resources/bsgatlas/details.php?id=BSGatlas-internal_UTR-990","BSGatlas-internal_UTR-990")</f>
        <v>BSGatlas-internal_UTR-990</v>
      </c>
      <c r="B991" s="3">
        <v>3709567</v>
      </c>
      <c r="C991" s="3">
        <v>3709627</v>
      </c>
      <c r="D991" s="1" t="s">
        <v>13</v>
      </c>
      <c r="E991" s="1" t="s">
        <v>4377</v>
      </c>
    </row>
    <row r="992" spans="1:5" ht="21" x14ac:dyDescent="0.25">
      <c r="A992" s="2" t="str">
        <f>HYPERLINK("https://rth.dk/resources/bsgatlas/details.php?id=BSGatlas-internal_UTR-991","BSGatlas-internal_UTR-991")</f>
        <v>BSGatlas-internal_UTR-991</v>
      </c>
      <c r="B992" s="3">
        <v>3712407</v>
      </c>
      <c r="C992" s="3">
        <v>3712616</v>
      </c>
      <c r="D992" s="1" t="s">
        <v>9</v>
      </c>
      <c r="E992" s="1" t="s">
        <v>4373</v>
      </c>
    </row>
    <row r="993" spans="1:5" ht="21" x14ac:dyDescent="0.25">
      <c r="A993" s="2" t="str">
        <f>HYPERLINK("https://rth.dk/resources/bsgatlas/details.php?id=BSGatlas-internal_UTR-992","BSGatlas-internal_UTR-992")</f>
        <v>BSGatlas-internal_UTR-992</v>
      </c>
      <c r="B993" s="3">
        <v>3714680</v>
      </c>
      <c r="C993" s="3">
        <v>3714738</v>
      </c>
      <c r="D993" s="1" t="s">
        <v>13</v>
      </c>
      <c r="E993" s="1" t="s">
        <v>14708</v>
      </c>
    </row>
    <row r="994" spans="1:5" ht="21" x14ac:dyDescent="0.25">
      <c r="A994" s="2" t="str">
        <f>HYPERLINK("https://rth.dk/resources/bsgatlas/details.php?id=BSGatlas-internal_UTR-993","BSGatlas-internal_UTR-993")</f>
        <v>BSGatlas-internal_UTR-993</v>
      </c>
      <c r="B994" s="3">
        <v>3715882</v>
      </c>
      <c r="C994" s="3">
        <v>3716008</v>
      </c>
      <c r="D994" s="1" t="s">
        <v>13</v>
      </c>
      <c r="E994" s="1" t="s">
        <v>4386</v>
      </c>
    </row>
    <row r="995" spans="1:5" ht="21" x14ac:dyDescent="0.25">
      <c r="A995" s="2" t="str">
        <f>HYPERLINK("https://rth.dk/resources/bsgatlas/details.php?id=BSGatlas-internal_UTR-994","BSGatlas-internal_UTR-994")</f>
        <v>BSGatlas-internal_UTR-994</v>
      </c>
      <c r="B995" s="3">
        <v>3727409</v>
      </c>
      <c r="C995" s="3">
        <v>3727426</v>
      </c>
      <c r="D995" s="1" t="s">
        <v>13</v>
      </c>
      <c r="E995" s="1" t="s">
        <v>4373</v>
      </c>
    </row>
    <row r="996" spans="1:5" ht="21" x14ac:dyDescent="0.25">
      <c r="A996" s="2" t="str">
        <f>HYPERLINK("https://rth.dk/resources/bsgatlas/details.php?id=BSGatlas-internal_UTR-995","BSGatlas-internal_UTR-995")</f>
        <v>BSGatlas-internal_UTR-995</v>
      </c>
      <c r="B996" s="3">
        <v>3730811</v>
      </c>
      <c r="C996" s="3">
        <v>3731004</v>
      </c>
      <c r="D996" s="1" t="s">
        <v>13</v>
      </c>
      <c r="E996" s="1" t="s">
        <v>4373</v>
      </c>
    </row>
    <row r="997" spans="1:5" ht="21" x14ac:dyDescent="0.25">
      <c r="A997" s="2" t="str">
        <f>HYPERLINK("https://rth.dk/resources/bsgatlas/details.php?id=BSGatlas-internal_UTR-996","BSGatlas-internal_UTR-996")</f>
        <v>BSGatlas-internal_UTR-996</v>
      </c>
      <c r="B997" s="3">
        <v>3731770</v>
      </c>
      <c r="C997" s="3">
        <v>3731821</v>
      </c>
      <c r="D997" s="1" t="s">
        <v>13</v>
      </c>
      <c r="E997" s="1" t="s">
        <v>4373</v>
      </c>
    </row>
    <row r="998" spans="1:5" ht="21" x14ac:dyDescent="0.25">
      <c r="A998" s="2" t="str">
        <f>HYPERLINK("https://rth.dk/resources/bsgatlas/details.php?id=BSGatlas-internal_UTR-997","BSGatlas-internal_UTR-997")</f>
        <v>BSGatlas-internal_UTR-997</v>
      </c>
      <c r="B998" s="3">
        <v>3739983</v>
      </c>
      <c r="C998" s="3">
        <v>3740205</v>
      </c>
      <c r="D998" s="1" t="s">
        <v>13</v>
      </c>
      <c r="E998" s="1" t="s">
        <v>4397</v>
      </c>
    </row>
    <row r="999" spans="1:5" ht="21" x14ac:dyDescent="0.25">
      <c r="A999" s="2" t="str">
        <f>HYPERLINK("https://rth.dk/resources/bsgatlas/details.php?id=BSGatlas-internal_UTR-998","BSGatlas-internal_UTR-998")</f>
        <v>BSGatlas-internal_UTR-998</v>
      </c>
      <c r="B999" s="3">
        <v>3740548</v>
      </c>
      <c r="C999" s="3">
        <v>3740623</v>
      </c>
      <c r="D999" s="1" t="s">
        <v>13</v>
      </c>
      <c r="E999" s="1" t="s">
        <v>4386</v>
      </c>
    </row>
    <row r="1000" spans="1:5" ht="21" x14ac:dyDescent="0.25">
      <c r="A1000" s="2" t="str">
        <f>HYPERLINK("https://rth.dk/resources/bsgatlas/details.php?id=BSGatlas-internal_UTR-999","BSGatlas-internal_UTR-999")</f>
        <v>BSGatlas-internal_UTR-999</v>
      </c>
      <c r="B1000" s="3">
        <v>3743660</v>
      </c>
      <c r="C1000" s="3">
        <v>3743731</v>
      </c>
      <c r="D1000" s="1" t="s">
        <v>13</v>
      </c>
      <c r="E1000" s="1" t="s">
        <v>4377</v>
      </c>
    </row>
    <row r="1001" spans="1:5" ht="21" x14ac:dyDescent="0.25">
      <c r="A1001" s="2" t="str">
        <f>HYPERLINK("https://rth.dk/resources/bsgatlas/details.php?id=BSGatlas-internal_UTR-1000","BSGatlas-internal_UTR-1000")</f>
        <v>BSGatlas-internal_UTR-1000</v>
      </c>
      <c r="B1001" s="3">
        <v>3746246</v>
      </c>
      <c r="C1001" s="3">
        <v>3746278</v>
      </c>
      <c r="D1001" s="1" t="s">
        <v>13</v>
      </c>
      <c r="E1001" s="1" t="s">
        <v>14710</v>
      </c>
    </row>
    <row r="1002" spans="1:5" ht="21" x14ac:dyDescent="0.25">
      <c r="A1002" s="2" t="str">
        <f>HYPERLINK("https://rth.dk/resources/bsgatlas/details.php?id=BSGatlas-internal_UTR-1001","BSGatlas-internal_UTR-1001")</f>
        <v>BSGatlas-internal_UTR-1001</v>
      </c>
      <c r="B1002" s="3">
        <v>3747092</v>
      </c>
      <c r="C1002" s="3">
        <v>3747253</v>
      </c>
      <c r="D1002" s="1" t="s">
        <v>13</v>
      </c>
      <c r="E1002" s="1" t="s">
        <v>4377</v>
      </c>
    </row>
    <row r="1003" spans="1:5" ht="21" x14ac:dyDescent="0.25">
      <c r="A1003" s="2" t="str">
        <f>HYPERLINK("https://rth.dk/resources/bsgatlas/details.php?id=BSGatlas-internal_UTR-1002","BSGatlas-internal_UTR-1002")</f>
        <v>BSGatlas-internal_UTR-1002</v>
      </c>
      <c r="B1003" s="3">
        <v>3748256</v>
      </c>
      <c r="C1003" s="3">
        <v>3748420</v>
      </c>
      <c r="D1003" s="1" t="s">
        <v>13</v>
      </c>
      <c r="E1003" s="1" t="s">
        <v>14705</v>
      </c>
    </row>
    <row r="1004" spans="1:5" ht="21" x14ac:dyDescent="0.25">
      <c r="A1004" s="2" t="str">
        <f>HYPERLINK("https://rth.dk/resources/bsgatlas/details.php?id=BSGatlas-internal_UTR-1003","BSGatlas-internal_UTR-1003")</f>
        <v>BSGatlas-internal_UTR-1003</v>
      </c>
      <c r="B1004" s="3">
        <v>3755861</v>
      </c>
      <c r="C1004" s="3">
        <v>3755966</v>
      </c>
      <c r="D1004" s="1" t="s">
        <v>13</v>
      </c>
      <c r="E1004" s="1" t="s">
        <v>4377</v>
      </c>
    </row>
    <row r="1005" spans="1:5" ht="21" x14ac:dyDescent="0.25">
      <c r="A1005" s="2" t="str">
        <f>HYPERLINK("https://rth.dk/resources/bsgatlas/details.php?id=BSGatlas-internal_UTR-1004","BSGatlas-internal_UTR-1004")</f>
        <v>BSGatlas-internal_UTR-1004</v>
      </c>
      <c r="B1005" s="3">
        <v>3766111</v>
      </c>
      <c r="C1005" s="3">
        <v>3766177</v>
      </c>
      <c r="D1005" s="1" t="s">
        <v>13</v>
      </c>
      <c r="E1005" s="1" t="s">
        <v>4386</v>
      </c>
    </row>
    <row r="1006" spans="1:5" ht="21" x14ac:dyDescent="0.25">
      <c r="A1006" s="2" t="str">
        <f>HYPERLINK("https://rth.dk/resources/bsgatlas/details.php?id=BSGatlas-internal_UTR-1005","BSGatlas-internal_UTR-1005")</f>
        <v>BSGatlas-internal_UTR-1005</v>
      </c>
      <c r="B1006" s="3">
        <v>3769109</v>
      </c>
      <c r="C1006" s="3">
        <v>3769288</v>
      </c>
      <c r="D1006" s="1" t="s">
        <v>13</v>
      </c>
      <c r="E1006" s="1" t="s">
        <v>4386</v>
      </c>
    </row>
    <row r="1007" spans="1:5" ht="21" x14ac:dyDescent="0.25">
      <c r="A1007" s="2" t="str">
        <f>HYPERLINK("https://rth.dk/resources/bsgatlas/details.php?id=BSGatlas-internal_UTR-1006","BSGatlas-internal_UTR-1006")</f>
        <v>BSGatlas-internal_UTR-1006</v>
      </c>
      <c r="B1007" s="3">
        <v>3769454</v>
      </c>
      <c r="C1007" s="3">
        <v>3769625</v>
      </c>
      <c r="D1007" s="1" t="s">
        <v>13</v>
      </c>
      <c r="E1007" s="1" t="s">
        <v>4386</v>
      </c>
    </row>
    <row r="1008" spans="1:5" ht="21" x14ac:dyDescent="0.25">
      <c r="A1008" s="2" t="str">
        <f>HYPERLINK("https://rth.dk/resources/bsgatlas/details.php?id=BSGatlas-internal_UTR-1007","BSGatlas-internal_UTR-1007")</f>
        <v>BSGatlas-internal_UTR-1007</v>
      </c>
      <c r="B1008" s="3">
        <v>3770293</v>
      </c>
      <c r="C1008" s="3">
        <v>3770364</v>
      </c>
      <c r="D1008" s="1" t="s">
        <v>13</v>
      </c>
      <c r="E1008" s="1" t="s">
        <v>4377</v>
      </c>
    </row>
    <row r="1009" spans="1:5" ht="21" x14ac:dyDescent="0.25">
      <c r="A1009" s="2" t="str">
        <f>HYPERLINK("https://rth.dk/resources/bsgatlas/details.php?id=BSGatlas-internal_UTR-1008","BSGatlas-internal_UTR-1008")</f>
        <v>BSGatlas-internal_UTR-1008</v>
      </c>
      <c r="B1009" s="3">
        <v>3779260</v>
      </c>
      <c r="C1009" s="3">
        <v>3779292</v>
      </c>
      <c r="D1009" s="1" t="s">
        <v>13</v>
      </c>
      <c r="E1009" s="1" t="s">
        <v>4373</v>
      </c>
    </row>
    <row r="1010" spans="1:5" ht="21" x14ac:dyDescent="0.25">
      <c r="A1010" s="2" t="str">
        <f>HYPERLINK("https://rth.dk/resources/bsgatlas/details.php?id=BSGatlas-internal_UTR-1009","BSGatlas-internal_UTR-1009")</f>
        <v>BSGatlas-internal_UTR-1009</v>
      </c>
      <c r="B1010" s="3">
        <v>3780034</v>
      </c>
      <c r="C1010" s="3">
        <v>3780161</v>
      </c>
      <c r="D1010" s="1" t="s">
        <v>13</v>
      </c>
      <c r="E1010" s="1" t="s">
        <v>4373</v>
      </c>
    </row>
    <row r="1011" spans="1:5" ht="21" x14ac:dyDescent="0.25">
      <c r="A1011" s="2" t="str">
        <f>HYPERLINK("https://rth.dk/resources/bsgatlas/details.php?id=BSGatlas-internal_UTR-1010","BSGatlas-internal_UTR-1010")</f>
        <v>BSGatlas-internal_UTR-1010</v>
      </c>
      <c r="B1011" s="3">
        <v>3781468</v>
      </c>
      <c r="C1011" s="3">
        <v>3781490</v>
      </c>
      <c r="D1011" s="1" t="s">
        <v>13</v>
      </c>
      <c r="E1011" s="1" t="s">
        <v>4373</v>
      </c>
    </row>
    <row r="1012" spans="1:5" ht="21" x14ac:dyDescent="0.25">
      <c r="A1012" s="2" t="str">
        <f>HYPERLINK("https://rth.dk/resources/bsgatlas/details.php?id=BSGatlas-internal_UTR-1011","BSGatlas-internal_UTR-1011")</f>
        <v>BSGatlas-internal_UTR-1011</v>
      </c>
      <c r="B1012" s="3">
        <v>3782913</v>
      </c>
      <c r="C1012" s="3">
        <v>3782937</v>
      </c>
      <c r="D1012" s="1" t="s">
        <v>13</v>
      </c>
      <c r="E1012" s="1" t="s">
        <v>4373</v>
      </c>
    </row>
    <row r="1013" spans="1:5" ht="21" x14ac:dyDescent="0.25">
      <c r="A1013" s="2" t="str">
        <f>HYPERLINK("https://rth.dk/resources/bsgatlas/details.php?id=BSGatlas-internal_UTR-1012","BSGatlas-internal_UTR-1012")</f>
        <v>BSGatlas-internal_UTR-1012</v>
      </c>
      <c r="B1013" s="3">
        <v>3783802</v>
      </c>
      <c r="C1013" s="3">
        <v>3783877</v>
      </c>
      <c r="D1013" s="1" t="s">
        <v>13</v>
      </c>
      <c r="E1013" s="1" t="s">
        <v>4373</v>
      </c>
    </row>
    <row r="1014" spans="1:5" ht="21" x14ac:dyDescent="0.25">
      <c r="A1014" s="2" t="str">
        <f>HYPERLINK("https://rth.dk/resources/bsgatlas/details.php?id=BSGatlas-internal_UTR-1013","BSGatlas-internal_UTR-1013")</f>
        <v>BSGatlas-internal_UTR-1013</v>
      </c>
      <c r="B1014" s="3">
        <v>3785387</v>
      </c>
      <c r="C1014" s="3">
        <v>3785402</v>
      </c>
      <c r="D1014" s="1" t="s">
        <v>13</v>
      </c>
      <c r="E1014" s="1" t="s">
        <v>4373</v>
      </c>
    </row>
    <row r="1015" spans="1:5" ht="21" x14ac:dyDescent="0.25">
      <c r="A1015" s="2" t="str">
        <f>HYPERLINK("https://rth.dk/resources/bsgatlas/details.php?id=BSGatlas-internal_UTR-1014","BSGatlas-internal_UTR-1014")</f>
        <v>BSGatlas-internal_UTR-1014</v>
      </c>
      <c r="B1015" s="3">
        <v>3786458</v>
      </c>
      <c r="C1015" s="3">
        <v>3786619</v>
      </c>
      <c r="D1015" s="1" t="s">
        <v>13</v>
      </c>
      <c r="E1015" s="1" t="s">
        <v>4373</v>
      </c>
    </row>
    <row r="1016" spans="1:5" ht="21" x14ac:dyDescent="0.25">
      <c r="A1016" s="2" t="str">
        <f>HYPERLINK("https://rth.dk/resources/bsgatlas/details.php?id=BSGatlas-internal_UTR-1015","BSGatlas-internal_UTR-1015")</f>
        <v>BSGatlas-internal_UTR-1015</v>
      </c>
      <c r="B1016" s="3">
        <v>3786833</v>
      </c>
      <c r="C1016" s="3">
        <v>3786877</v>
      </c>
      <c r="D1016" s="1" t="s">
        <v>13</v>
      </c>
      <c r="E1016" s="1" t="s">
        <v>4373</v>
      </c>
    </row>
    <row r="1017" spans="1:5" ht="21" x14ac:dyDescent="0.25">
      <c r="A1017" s="2" t="str">
        <f>HYPERLINK("https://rth.dk/resources/bsgatlas/details.php?id=BSGatlas-internal_UTR-1016","BSGatlas-internal_UTR-1016")</f>
        <v>BSGatlas-internal_UTR-1016</v>
      </c>
      <c r="B1017" s="3">
        <v>3791649</v>
      </c>
      <c r="C1017" s="3">
        <v>3791804</v>
      </c>
      <c r="D1017" s="1" t="s">
        <v>13</v>
      </c>
      <c r="E1017" s="1" t="s">
        <v>14707</v>
      </c>
    </row>
    <row r="1018" spans="1:5" ht="21" x14ac:dyDescent="0.25">
      <c r="A1018" s="2" t="str">
        <f>HYPERLINK("https://rth.dk/resources/bsgatlas/details.php?id=BSGatlas-internal_UTR-1017","BSGatlas-internal_UTR-1017")</f>
        <v>BSGatlas-internal_UTR-1017</v>
      </c>
      <c r="B1018" s="3">
        <v>3792258</v>
      </c>
      <c r="C1018" s="3">
        <v>3792332</v>
      </c>
      <c r="D1018" s="1" t="s">
        <v>13</v>
      </c>
      <c r="E1018" s="1" t="s">
        <v>4373</v>
      </c>
    </row>
    <row r="1019" spans="1:5" ht="21" x14ac:dyDescent="0.25">
      <c r="A1019" s="2" t="str">
        <f>HYPERLINK("https://rth.dk/resources/bsgatlas/details.php?id=BSGatlas-internal_UTR-1018","BSGatlas-internal_UTR-1018")</f>
        <v>BSGatlas-internal_UTR-1018</v>
      </c>
      <c r="B1019" s="3">
        <v>3798668</v>
      </c>
      <c r="C1019" s="3">
        <v>3798788</v>
      </c>
      <c r="D1019" s="1" t="s">
        <v>9</v>
      </c>
      <c r="E1019" s="1" t="s">
        <v>4386</v>
      </c>
    </row>
    <row r="1020" spans="1:5" ht="21" x14ac:dyDescent="0.25">
      <c r="A1020" s="2" t="str">
        <f>HYPERLINK("https://rth.dk/resources/bsgatlas/details.php?id=BSGatlas-internal_UTR-1019","BSGatlas-internal_UTR-1019")</f>
        <v>BSGatlas-internal_UTR-1019</v>
      </c>
      <c r="B1020" s="3">
        <v>3800337</v>
      </c>
      <c r="C1020" s="3">
        <v>3800417</v>
      </c>
      <c r="D1020" s="1" t="s">
        <v>13</v>
      </c>
      <c r="E1020" s="1" t="s">
        <v>4386</v>
      </c>
    </row>
    <row r="1021" spans="1:5" ht="21" x14ac:dyDescent="0.25">
      <c r="A1021" s="2" t="str">
        <f>HYPERLINK("https://rth.dk/resources/bsgatlas/details.php?id=BSGatlas-internal_UTR-1020","BSGatlas-internal_UTR-1020")</f>
        <v>BSGatlas-internal_UTR-1020</v>
      </c>
      <c r="B1021" s="3">
        <v>3803282</v>
      </c>
      <c r="C1021" s="3">
        <v>3803399</v>
      </c>
      <c r="D1021" s="1" t="s">
        <v>13</v>
      </c>
      <c r="E1021" s="1" t="s">
        <v>4373</v>
      </c>
    </row>
    <row r="1022" spans="1:5" ht="21" x14ac:dyDescent="0.25">
      <c r="A1022" s="2" t="str">
        <f>HYPERLINK("https://rth.dk/resources/bsgatlas/details.php?id=BSGatlas-internal_UTR-1021","BSGatlas-internal_UTR-1021")</f>
        <v>BSGatlas-internal_UTR-1021</v>
      </c>
      <c r="B1022" s="3">
        <v>3806056</v>
      </c>
      <c r="C1022" s="3">
        <v>3806085</v>
      </c>
      <c r="D1022" s="1" t="s">
        <v>13</v>
      </c>
      <c r="E1022" s="1" t="s">
        <v>4373</v>
      </c>
    </row>
    <row r="1023" spans="1:5" ht="21" x14ac:dyDescent="0.25">
      <c r="A1023" s="2" t="str">
        <f>HYPERLINK("https://rth.dk/resources/bsgatlas/details.php?id=BSGatlas-internal_UTR-1022","BSGatlas-internal_UTR-1022")</f>
        <v>BSGatlas-internal_UTR-1022</v>
      </c>
      <c r="B1023" s="3">
        <v>3808393</v>
      </c>
      <c r="C1023" s="3">
        <v>3808511</v>
      </c>
      <c r="D1023" s="1" t="s">
        <v>13</v>
      </c>
      <c r="E1023" s="1" t="s">
        <v>4373</v>
      </c>
    </row>
    <row r="1024" spans="1:5" ht="21" x14ac:dyDescent="0.25">
      <c r="A1024" s="2" t="str">
        <f>HYPERLINK("https://rth.dk/resources/bsgatlas/details.php?id=BSGatlas-internal_UTR-1023","BSGatlas-internal_UTR-1023")</f>
        <v>BSGatlas-internal_UTR-1023</v>
      </c>
      <c r="B1024" s="3">
        <v>3812301</v>
      </c>
      <c r="C1024" s="3">
        <v>3812401</v>
      </c>
      <c r="D1024" s="1" t="s">
        <v>13</v>
      </c>
      <c r="E1024" s="1" t="s">
        <v>4377</v>
      </c>
    </row>
    <row r="1025" spans="1:5" ht="21" x14ac:dyDescent="0.25">
      <c r="A1025" s="2" t="str">
        <f>HYPERLINK("https://rth.dk/resources/bsgatlas/details.php?id=BSGatlas-internal_UTR-1024","BSGatlas-internal_UTR-1024")</f>
        <v>BSGatlas-internal_UTR-1024</v>
      </c>
      <c r="B1025" s="3">
        <v>3812480</v>
      </c>
      <c r="C1025" s="3">
        <v>3812541</v>
      </c>
      <c r="D1025" s="1" t="s">
        <v>13</v>
      </c>
      <c r="E1025" s="1" t="s">
        <v>4377</v>
      </c>
    </row>
    <row r="1026" spans="1:5" ht="21" x14ac:dyDescent="0.25">
      <c r="A1026" s="2" t="str">
        <f>HYPERLINK("https://rth.dk/resources/bsgatlas/details.php?id=BSGatlas-internal_UTR-1025","BSGatlas-internal_UTR-1025")</f>
        <v>BSGatlas-internal_UTR-1025</v>
      </c>
      <c r="B1026" s="3">
        <v>3813064</v>
      </c>
      <c r="C1026" s="3">
        <v>3813245</v>
      </c>
      <c r="D1026" s="1" t="s">
        <v>13</v>
      </c>
      <c r="E1026" s="1" t="s">
        <v>4386</v>
      </c>
    </row>
    <row r="1027" spans="1:5" ht="21" x14ac:dyDescent="0.25">
      <c r="A1027" s="2" t="str">
        <f>HYPERLINK("https://rth.dk/resources/bsgatlas/details.php?id=BSGatlas-internal_UTR-1026","BSGatlas-internal_UTR-1026")</f>
        <v>BSGatlas-internal_UTR-1026</v>
      </c>
      <c r="B1027" s="3">
        <v>3821482</v>
      </c>
      <c r="C1027" s="3">
        <v>3821569</v>
      </c>
      <c r="D1027" s="1" t="s">
        <v>13</v>
      </c>
      <c r="E1027" s="1" t="s">
        <v>4382</v>
      </c>
    </row>
    <row r="1028" spans="1:5" ht="21" x14ac:dyDescent="0.25">
      <c r="A1028" s="2" t="str">
        <f>HYPERLINK("https://rth.dk/resources/bsgatlas/details.php?id=BSGatlas-internal_UTR-1027","BSGatlas-internal_UTR-1027")</f>
        <v>BSGatlas-internal_UTR-1027</v>
      </c>
      <c r="B1028" s="3">
        <v>3824781</v>
      </c>
      <c r="C1028" s="3">
        <v>3824805</v>
      </c>
      <c r="D1028" s="1" t="s">
        <v>13</v>
      </c>
      <c r="E1028" s="1" t="s">
        <v>4373</v>
      </c>
    </row>
    <row r="1029" spans="1:5" ht="21" x14ac:dyDescent="0.25">
      <c r="A1029" s="2" t="str">
        <f>HYPERLINK("https://rth.dk/resources/bsgatlas/details.php?id=BSGatlas-internal_UTR-1028","BSGatlas-internal_UTR-1028")</f>
        <v>BSGatlas-internal_UTR-1028</v>
      </c>
      <c r="B1029" s="3">
        <v>3832229</v>
      </c>
      <c r="C1029" s="3">
        <v>3832326</v>
      </c>
      <c r="D1029" s="1" t="s">
        <v>13</v>
      </c>
      <c r="E1029" s="1" t="s">
        <v>4373</v>
      </c>
    </row>
    <row r="1030" spans="1:5" ht="21" x14ac:dyDescent="0.25">
      <c r="A1030" s="2" t="str">
        <f>HYPERLINK("https://rth.dk/resources/bsgatlas/details.php?id=BSGatlas-internal_UTR-1029","BSGatlas-internal_UTR-1029")</f>
        <v>BSGatlas-internal_UTR-1029</v>
      </c>
      <c r="B1030" s="3">
        <v>3836299</v>
      </c>
      <c r="C1030" s="3">
        <v>3836322</v>
      </c>
      <c r="D1030" s="1" t="s">
        <v>9</v>
      </c>
      <c r="E1030" s="1" t="s">
        <v>4386</v>
      </c>
    </row>
    <row r="1031" spans="1:5" ht="21" x14ac:dyDescent="0.25">
      <c r="A1031" s="2" t="str">
        <f>HYPERLINK("https://rth.dk/resources/bsgatlas/details.php?id=BSGatlas-internal_UTR-1030","BSGatlas-internal_UTR-1030")</f>
        <v>BSGatlas-internal_UTR-1030</v>
      </c>
      <c r="B1031" s="3">
        <v>3844378</v>
      </c>
      <c r="C1031" s="3">
        <v>3844415</v>
      </c>
      <c r="D1031" s="1" t="s">
        <v>13</v>
      </c>
      <c r="E1031" s="1" t="s">
        <v>4382</v>
      </c>
    </row>
    <row r="1032" spans="1:5" ht="21" x14ac:dyDescent="0.25">
      <c r="A1032" s="2" t="str">
        <f>HYPERLINK("https://rth.dk/resources/bsgatlas/details.php?id=BSGatlas-internal_UTR-1031","BSGatlas-internal_UTR-1031")</f>
        <v>BSGatlas-internal_UTR-1031</v>
      </c>
      <c r="B1032" s="3">
        <v>3848726</v>
      </c>
      <c r="C1032" s="3">
        <v>3848785</v>
      </c>
      <c r="D1032" s="1" t="s">
        <v>13</v>
      </c>
      <c r="E1032" s="1" t="s">
        <v>4377</v>
      </c>
    </row>
    <row r="1033" spans="1:5" ht="21" x14ac:dyDescent="0.25">
      <c r="A1033" s="2" t="str">
        <f>HYPERLINK("https://rth.dk/resources/bsgatlas/details.php?id=BSGatlas-internal_UTR-1032","BSGatlas-internal_UTR-1032")</f>
        <v>BSGatlas-internal_UTR-1032</v>
      </c>
      <c r="B1033" s="3">
        <v>3854137</v>
      </c>
      <c r="C1033" s="3">
        <v>3854255</v>
      </c>
      <c r="D1033" s="1" t="s">
        <v>13</v>
      </c>
      <c r="E1033" s="1" t="s">
        <v>4386</v>
      </c>
    </row>
    <row r="1034" spans="1:5" ht="21" x14ac:dyDescent="0.25">
      <c r="A1034" s="2" t="str">
        <f>HYPERLINK("https://rth.dk/resources/bsgatlas/details.php?id=BSGatlas-internal_UTR-1033","BSGatlas-internal_UTR-1033")</f>
        <v>BSGatlas-internal_UTR-1033</v>
      </c>
      <c r="B1034" s="3">
        <v>3859500</v>
      </c>
      <c r="C1034" s="3">
        <v>3859534</v>
      </c>
      <c r="D1034" s="1" t="s">
        <v>13</v>
      </c>
      <c r="E1034" s="1" t="s">
        <v>4373</v>
      </c>
    </row>
    <row r="1035" spans="1:5" ht="21" x14ac:dyDescent="0.25">
      <c r="A1035" s="2" t="str">
        <f>HYPERLINK("https://rth.dk/resources/bsgatlas/details.php?id=BSGatlas-internal_UTR-1034","BSGatlas-internal_UTR-1034")</f>
        <v>BSGatlas-internal_UTR-1034</v>
      </c>
      <c r="B1035" s="3">
        <v>3860837</v>
      </c>
      <c r="C1035" s="3">
        <v>3860997</v>
      </c>
      <c r="D1035" s="1" t="s">
        <v>13</v>
      </c>
      <c r="E1035" s="1" t="s">
        <v>4373</v>
      </c>
    </row>
    <row r="1036" spans="1:5" ht="21" x14ac:dyDescent="0.25">
      <c r="A1036" s="2" t="str">
        <f>HYPERLINK("https://rth.dk/resources/bsgatlas/details.php?id=BSGatlas-internal_UTR-1035","BSGatlas-internal_UTR-1035")</f>
        <v>BSGatlas-internal_UTR-1035</v>
      </c>
      <c r="B1036" s="3">
        <v>3872087</v>
      </c>
      <c r="C1036" s="3">
        <v>3872104</v>
      </c>
      <c r="D1036" s="1" t="s">
        <v>13</v>
      </c>
      <c r="E1036" s="1" t="s">
        <v>4373</v>
      </c>
    </row>
    <row r="1037" spans="1:5" ht="21" x14ac:dyDescent="0.25">
      <c r="A1037" s="2" t="str">
        <f>HYPERLINK("https://rth.dk/resources/bsgatlas/details.php?id=BSGatlas-internal_UTR-1036","BSGatlas-internal_UTR-1036")</f>
        <v>BSGatlas-internal_UTR-1036</v>
      </c>
      <c r="B1037" s="3">
        <v>3878893</v>
      </c>
      <c r="C1037" s="3">
        <v>3878965</v>
      </c>
      <c r="D1037" s="1" t="s">
        <v>13</v>
      </c>
      <c r="E1037" s="1" t="s">
        <v>4386</v>
      </c>
    </row>
    <row r="1038" spans="1:5" ht="21" x14ac:dyDescent="0.25">
      <c r="A1038" s="2" t="str">
        <f>HYPERLINK("https://rth.dk/resources/bsgatlas/details.php?id=BSGatlas-internal_UTR-1037","BSGatlas-internal_UTR-1037")</f>
        <v>BSGatlas-internal_UTR-1037</v>
      </c>
      <c r="B1038" s="3">
        <v>3885980</v>
      </c>
      <c r="C1038" s="3">
        <v>3886003</v>
      </c>
      <c r="D1038" s="1" t="s">
        <v>13</v>
      </c>
      <c r="E1038" s="1" t="s">
        <v>4373</v>
      </c>
    </row>
    <row r="1039" spans="1:5" ht="21" x14ac:dyDescent="0.25">
      <c r="A1039" s="2" t="str">
        <f>HYPERLINK("https://rth.dk/resources/bsgatlas/details.php?id=BSGatlas-internal_UTR-1038","BSGatlas-internal_UTR-1038")</f>
        <v>BSGatlas-internal_UTR-1038</v>
      </c>
      <c r="B1039" s="3">
        <v>3890902</v>
      </c>
      <c r="C1039" s="3">
        <v>3890921</v>
      </c>
      <c r="D1039" s="1" t="s">
        <v>13</v>
      </c>
      <c r="E1039" s="1" t="s">
        <v>4373</v>
      </c>
    </row>
    <row r="1040" spans="1:5" ht="21" x14ac:dyDescent="0.25">
      <c r="A1040" s="2" t="str">
        <f>HYPERLINK("https://rth.dk/resources/bsgatlas/details.php?id=BSGatlas-internal_UTR-1039","BSGatlas-internal_UTR-1039")</f>
        <v>BSGatlas-internal_UTR-1039</v>
      </c>
      <c r="B1040" s="3">
        <v>3894402</v>
      </c>
      <c r="C1040" s="3">
        <v>3894462</v>
      </c>
      <c r="D1040" s="1" t="s">
        <v>13</v>
      </c>
      <c r="E1040" s="1" t="s">
        <v>4386</v>
      </c>
    </row>
    <row r="1041" spans="1:5" ht="21" x14ac:dyDescent="0.25">
      <c r="A1041" s="2" t="str">
        <f>HYPERLINK("https://rth.dk/resources/bsgatlas/details.php?id=BSGatlas-internal_UTR-1040","BSGatlas-internal_UTR-1040")</f>
        <v>BSGatlas-internal_UTR-1040</v>
      </c>
      <c r="B1041" s="3">
        <v>3895786</v>
      </c>
      <c r="C1041" s="3">
        <v>3895804</v>
      </c>
      <c r="D1041" s="1" t="s">
        <v>13</v>
      </c>
      <c r="E1041" s="1" t="s">
        <v>4386</v>
      </c>
    </row>
    <row r="1042" spans="1:5" ht="21" x14ac:dyDescent="0.25">
      <c r="A1042" s="2" t="str">
        <f>HYPERLINK("https://rth.dk/resources/bsgatlas/details.php?id=BSGatlas-internal_UTR-1041","BSGatlas-internal_UTR-1041")</f>
        <v>BSGatlas-internal_UTR-1041</v>
      </c>
      <c r="B1042" s="3">
        <v>3902117</v>
      </c>
      <c r="C1042" s="3">
        <v>3902209</v>
      </c>
      <c r="D1042" s="1" t="s">
        <v>13</v>
      </c>
      <c r="E1042" s="1" t="s">
        <v>4373</v>
      </c>
    </row>
    <row r="1043" spans="1:5" ht="21" x14ac:dyDescent="0.25">
      <c r="A1043" s="2" t="str">
        <f>HYPERLINK("https://rth.dk/resources/bsgatlas/details.php?id=BSGatlas-internal_UTR-1042","BSGatlas-internal_UTR-1042")</f>
        <v>BSGatlas-internal_UTR-1042</v>
      </c>
      <c r="B1043" s="3">
        <v>3906973</v>
      </c>
      <c r="C1043" s="3">
        <v>3907011</v>
      </c>
      <c r="D1043" s="1" t="s">
        <v>13</v>
      </c>
      <c r="E1043" s="1" t="s">
        <v>4373</v>
      </c>
    </row>
    <row r="1044" spans="1:5" ht="21" x14ac:dyDescent="0.25">
      <c r="A1044" s="2" t="str">
        <f>HYPERLINK("https://rth.dk/resources/bsgatlas/details.php?id=BSGatlas-internal_UTR-1043","BSGatlas-internal_UTR-1043")</f>
        <v>BSGatlas-internal_UTR-1043</v>
      </c>
      <c r="B1044" s="3">
        <v>3911304</v>
      </c>
      <c r="C1044" s="3">
        <v>3911476</v>
      </c>
      <c r="D1044" s="1" t="s">
        <v>13</v>
      </c>
      <c r="E1044" s="1" t="s">
        <v>4373</v>
      </c>
    </row>
    <row r="1045" spans="1:5" ht="21" x14ac:dyDescent="0.25">
      <c r="A1045" s="2" t="str">
        <f>HYPERLINK("https://rth.dk/resources/bsgatlas/details.php?id=BSGatlas-internal_UTR-1044","BSGatlas-internal_UTR-1044")</f>
        <v>BSGatlas-internal_UTR-1044</v>
      </c>
      <c r="B1045" s="3">
        <v>3917269</v>
      </c>
      <c r="C1045" s="3">
        <v>3917295</v>
      </c>
      <c r="D1045" s="1" t="s">
        <v>13</v>
      </c>
      <c r="E1045" s="1" t="s">
        <v>4377</v>
      </c>
    </row>
    <row r="1046" spans="1:5" ht="21" x14ac:dyDescent="0.25">
      <c r="A1046" s="2" t="str">
        <f>HYPERLINK("https://rth.dk/resources/bsgatlas/details.php?id=BSGatlas-internal_UTR-1045","BSGatlas-internal_UTR-1045")</f>
        <v>BSGatlas-internal_UTR-1045</v>
      </c>
      <c r="B1046" s="3">
        <v>3921811</v>
      </c>
      <c r="C1046" s="3">
        <v>3921890</v>
      </c>
      <c r="D1046" s="1" t="s">
        <v>13</v>
      </c>
      <c r="E1046" s="1" t="s">
        <v>4377</v>
      </c>
    </row>
    <row r="1047" spans="1:5" ht="21" x14ac:dyDescent="0.25">
      <c r="A1047" s="2" t="str">
        <f>HYPERLINK("https://rth.dk/resources/bsgatlas/details.php?id=BSGatlas-internal_UTR-1046","BSGatlas-internal_UTR-1046")</f>
        <v>BSGatlas-internal_UTR-1046</v>
      </c>
      <c r="B1047" s="3">
        <v>3922275</v>
      </c>
      <c r="C1047" s="3">
        <v>3922291</v>
      </c>
      <c r="D1047" s="1" t="s">
        <v>13</v>
      </c>
      <c r="E1047" s="1" t="s">
        <v>4377</v>
      </c>
    </row>
    <row r="1048" spans="1:5" ht="21" x14ac:dyDescent="0.25">
      <c r="A1048" s="2" t="str">
        <f>HYPERLINK("https://rth.dk/resources/bsgatlas/details.php?id=BSGatlas-internal_UTR-1047","BSGatlas-internal_UTR-1047")</f>
        <v>BSGatlas-internal_UTR-1047</v>
      </c>
      <c r="B1048" s="3">
        <v>3926400</v>
      </c>
      <c r="C1048" s="3">
        <v>3926681</v>
      </c>
      <c r="D1048" s="1" t="s">
        <v>13</v>
      </c>
      <c r="E1048" s="1" t="s">
        <v>4382</v>
      </c>
    </row>
    <row r="1049" spans="1:5" ht="21" x14ac:dyDescent="0.25">
      <c r="A1049" s="2" t="str">
        <f>HYPERLINK("https://rth.dk/resources/bsgatlas/details.php?id=BSGatlas-internal_UTR-1048","BSGatlas-internal_UTR-1048")</f>
        <v>BSGatlas-internal_UTR-1048</v>
      </c>
      <c r="B1049" s="3">
        <v>3927933</v>
      </c>
      <c r="C1049" s="3">
        <v>3927950</v>
      </c>
      <c r="D1049" s="1" t="s">
        <v>13</v>
      </c>
      <c r="E1049" s="1" t="s">
        <v>4386</v>
      </c>
    </row>
    <row r="1050" spans="1:5" ht="21" x14ac:dyDescent="0.25">
      <c r="A1050" s="2" t="str">
        <f>HYPERLINK("https://rth.dk/resources/bsgatlas/details.php?id=BSGatlas-internal_UTR-1049","BSGatlas-internal_UTR-1049")</f>
        <v>BSGatlas-internal_UTR-1049</v>
      </c>
      <c r="B1050" s="3">
        <v>3935558</v>
      </c>
      <c r="C1050" s="3">
        <v>3935590</v>
      </c>
      <c r="D1050" s="1" t="s">
        <v>9</v>
      </c>
      <c r="E1050" s="1" t="s">
        <v>4373</v>
      </c>
    </row>
    <row r="1051" spans="1:5" ht="21" x14ac:dyDescent="0.25">
      <c r="A1051" s="2" t="str">
        <f>HYPERLINK("https://rth.dk/resources/bsgatlas/details.php?id=BSGatlas-internal_UTR-1050","BSGatlas-internal_UTR-1050")</f>
        <v>BSGatlas-internal_UTR-1050</v>
      </c>
      <c r="B1051" s="3">
        <v>3938231</v>
      </c>
      <c r="C1051" s="3">
        <v>3938306</v>
      </c>
      <c r="D1051" s="1" t="s">
        <v>13</v>
      </c>
      <c r="E1051" s="1" t="s">
        <v>4382</v>
      </c>
    </row>
    <row r="1052" spans="1:5" ht="21" x14ac:dyDescent="0.25">
      <c r="A1052" s="2" t="str">
        <f>HYPERLINK("https://rth.dk/resources/bsgatlas/details.php?id=BSGatlas-internal_UTR-1051","BSGatlas-internal_UTR-1051")</f>
        <v>BSGatlas-internal_UTR-1051</v>
      </c>
      <c r="B1052" s="3">
        <v>3943614</v>
      </c>
      <c r="C1052" s="3">
        <v>3943666</v>
      </c>
      <c r="D1052" s="1" t="s">
        <v>9</v>
      </c>
      <c r="E1052" s="1" t="s">
        <v>4373</v>
      </c>
    </row>
    <row r="1053" spans="1:5" ht="21" x14ac:dyDescent="0.25">
      <c r="A1053" s="2" t="str">
        <f>HYPERLINK("https://rth.dk/resources/bsgatlas/details.php?id=BSGatlas-internal_UTR-1052","BSGatlas-internal_UTR-1052")</f>
        <v>BSGatlas-internal_UTR-1052</v>
      </c>
      <c r="B1053" s="3">
        <v>3947117</v>
      </c>
      <c r="C1053" s="3">
        <v>3947157</v>
      </c>
      <c r="D1053" s="1" t="s">
        <v>9</v>
      </c>
      <c r="E1053" s="1" t="s">
        <v>4377</v>
      </c>
    </row>
    <row r="1054" spans="1:5" ht="21" x14ac:dyDescent="0.25">
      <c r="A1054" s="2" t="str">
        <f>HYPERLINK("https://rth.dk/resources/bsgatlas/details.php?id=BSGatlas-internal_UTR-1053","BSGatlas-internal_UTR-1053")</f>
        <v>BSGatlas-internal_UTR-1053</v>
      </c>
      <c r="B1054" s="3">
        <v>3952258</v>
      </c>
      <c r="C1054" s="3">
        <v>3952274</v>
      </c>
      <c r="D1054" s="1" t="s">
        <v>9</v>
      </c>
      <c r="E1054" s="1" t="s">
        <v>4373</v>
      </c>
    </row>
    <row r="1055" spans="1:5" ht="21" x14ac:dyDescent="0.25">
      <c r="A1055" s="2" t="str">
        <f>HYPERLINK("https://rth.dk/resources/bsgatlas/details.php?id=BSGatlas-internal_UTR-1054","BSGatlas-internal_UTR-1054")</f>
        <v>BSGatlas-internal_UTR-1054</v>
      </c>
      <c r="B1055" s="3">
        <v>3954971</v>
      </c>
      <c r="C1055" s="3">
        <v>3954986</v>
      </c>
      <c r="D1055" s="1" t="s">
        <v>9</v>
      </c>
      <c r="E1055" s="1" t="s">
        <v>4373</v>
      </c>
    </row>
    <row r="1056" spans="1:5" ht="21" x14ac:dyDescent="0.25">
      <c r="A1056" s="2" t="str">
        <f>HYPERLINK("https://rth.dk/resources/bsgatlas/details.php?id=BSGatlas-internal_UTR-1055","BSGatlas-internal_UTR-1055")</f>
        <v>BSGatlas-internal_UTR-1055</v>
      </c>
      <c r="B1056" s="3">
        <v>3956402</v>
      </c>
      <c r="C1056" s="3">
        <v>3956491</v>
      </c>
      <c r="D1056" s="1" t="s">
        <v>9</v>
      </c>
      <c r="E1056" s="1" t="s">
        <v>4373</v>
      </c>
    </row>
    <row r="1057" spans="1:5" ht="21" x14ac:dyDescent="0.25">
      <c r="A1057" s="2" t="str">
        <f>HYPERLINK("https://rth.dk/resources/bsgatlas/details.php?id=BSGatlas-internal_UTR-1056","BSGatlas-internal_UTR-1056")</f>
        <v>BSGatlas-internal_UTR-1056</v>
      </c>
      <c r="B1057" s="3">
        <v>3960174</v>
      </c>
      <c r="C1057" s="3">
        <v>3960191</v>
      </c>
      <c r="D1057" s="1" t="s">
        <v>13</v>
      </c>
      <c r="E1057" s="1" t="s">
        <v>4382</v>
      </c>
    </row>
    <row r="1058" spans="1:5" ht="21" x14ac:dyDescent="0.25">
      <c r="A1058" s="2" t="str">
        <f>HYPERLINK("https://rth.dk/resources/bsgatlas/details.php?id=BSGatlas-internal_UTR-1057","BSGatlas-internal_UTR-1057")</f>
        <v>BSGatlas-internal_UTR-1057</v>
      </c>
      <c r="B1058" s="3">
        <v>3964250</v>
      </c>
      <c r="C1058" s="3">
        <v>3964277</v>
      </c>
      <c r="D1058" s="1" t="s">
        <v>13</v>
      </c>
      <c r="E1058" s="1" t="s">
        <v>4373</v>
      </c>
    </row>
    <row r="1059" spans="1:5" ht="21" x14ac:dyDescent="0.25">
      <c r="A1059" s="2" t="str">
        <f>HYPERLINK("https://rth.dk/resources/bsgatlas/details.php?id=BSGatlas-internal_UTR-1058","BSGatlas-internal_UTR-1058")</f>
        <v>BSGatlas-internal_UTR-1058</v>
      </c>
      <c r="B1059" s="3">
        <v>3985231</v>
      </c>
      <c r="C1059" s="3">
        <v>3985350</v>
      </c>
      <c r="D1059" s="1" t="s">
        <v>13</v>
      </c>
      <c r="E1059" s="1" t="s">
        <v>4373</v>
      </c>
    </row>
    <row r="1060" spans="1:5" ht="21" x14ac:dyDescent="0.25">
      <c r="A1060" s="2" t="str">
        <f>HYPERLINK("https://rth.dk/resources/bsgatlas/details.php?id=BSGatlas-internal_UTR-1059","BSGatlas-internal_UTR-1059")</f>
        <v>BSGatlas-internal_UTR-1059</v>
      </c>
      <c r="B1060" s="3">
        <v>3990968</v>
      </c>
      <c r="C1060" s="3">
        <v>3991081</v>
      </c>
      <c r="D1060" s="1" t="s">
        <v>13</v>
      </c>
      <c r="E1060" s="1" t="s">
        <v>4386</v>
      </c>
    </row>
    <row r="1061" spans="1:5" ht="21" x14ac:dyDescent="0.25">
      <c r="A1061" s="2" t="str">
        <f>HYPERLINK("https://rth.dk/resources/bsgatlas/details.php?id=BSGatlas-internal_UTR-1060","BSGatlas-internal_UTR-1060")</f>
        <v>BSGatlas-internal_UTR-1060</v>
      </c>
      <c r="B1061" s="3">
        <v>3997093</v>
      </c>
      <c r="C1061" s="3">
        <v>3997220</v>
      </c>
      <c r="D1061" s="1" t="s">
        <v>9</v>
      </c>
      <c r="E1061" s="1" t="s">
        <v>4377</v>
      </c>
    </row>
    <row r="1062" spans="1:5" ht="21" x14ac:dyDescent="0.25">
      <c r="A1062" s="2" t="str">
        <f>HYPERLINK("https://rth.dk/resources/bsgatlas/details.php?id=BSGatlas-internal_UTR-1061","BSGatlas-internal_UTR-1061")</f>
        <v>BSGatlas-internal_UTR-1061</v>
      </c>
      <c r="B1062" s="3">
        <v>4001313</v>
      </c>
      <c r="C1062" s="3">
        <v>4001328</v>
      </c>
      <c r="D1062" s="1" t="s">
        <v>13</v>
      </c>
      <c r="E1062" s="1" t="s">
        <v>4386</v>
      </c>
    </row>
    <row r="1063" spans="1:5" ht="21" x14ac:dyDescent="0.25">
      <c r="A1063" s="2" t="str">
        <f>HYPERLINK("https://rth.dk/resources/bsgatlas/details.php?id=BSGatlas-internal_UTR-1062","BSGatlas-internal_UTR-1062")</f>
        <v>BSGatlas-internal_UTR-1062</v>
      </c>
      <c r="B1063" s="3">
        <v>4002693</v>
      </c>
      <c r="C1063" s="3">
        <v>4002715</v>
      </c>
      <c r="D1063" s="1" t="s">
        <v>13</v>
      </c>
      <c r="E1063" s="1" t="s">
        <v>4386</v>
      </c>
    </row>
    <row r="1064" spans="1:5" ht="21" x14ac:dyDescent="0.25">
      <c r="A1064" s="2" t="str">
        <f>HYPERLINK("https://rth.dk/resources/bsgatlas/details.php?id=BSGatlas-internal_UTR-1063","BSGatlas-internal_UTR-1063")</f>
        <v>BSGatlas-internal_UTR-1063</v>
      </c>
      <c r="B1064" s="3">
        <v>4008094</v>
      </c>
      <c r="C1064" s="3">
        <v>4008142</v>
      </c>
      <c r="D1064" s="1" t="s">
        <v>13</v>
      </c>
      <c r="E1064" s="1" t="s">
        <v>4397</v>
      </c>
    </row>
    <row r="1065" spans="1:5" ht="21" x14ac:dyDescent="0.25">
      <c r="A1065" s="2" t="str">
        <f>HYPERLINK("https://rth.dk/resources/bsgatlas/details.php?id=BSGatlas-internal_UTR-1064","BSGatlas-internal_UTR-1064")</f>
        <v>BSGatlas-internal_UTR-1064</v>
      </c>
      <c r="B1065" s="3">
        <v>4012571</v>
      </c>
      <c r="C1065" s="3">
        <v>4012865</v>
      </c>
      <c r="D1065" s="1" t="s">
        <v>13</v>
      </c>
      <c r="E1065" s="1" t="s">
        <v>4373</v>
      </c>
    </row>
    <row r="1066" spans="1:5" ht="21" x14ac:dyDescent="0.25">
      <c r="A1066" s="2" t="str">
        <f>HYPERLINK("https://rth.dk/resources/bsgatlas/details.php?id=BSGatlas-internal_UTR-1065","BSGatlas-internal_UTR-1065")</f>
        <v>BSGatlas-internal_UTR-1065</v>
      </c>
      <c r="B1066" s="3">
        <v>4013700</v>
      </c>
      <c r="C1066" s="3">
        <v>4013794</v>
      </c>
      <c r="D1066" s="1" t="s">
        <v>13</v>
      </c>
      <c r="E1066" s="1" t="s">
        <v>4373</v>
      </c>
    </row>
    <row r="1067" spans="1:5" ht="21" x14ac:dyDescent="0.25">
      <c r="A1067" s="2" t="str">
        <f>HYPERLINK("https://rth.dk/resources/bsgatlas/details.php?id=BSGatlas-internal_UTR-1066","BSGatlas-internal_UTR-1066")</f>
        <v>BSGatlas-internal_UTR-1066</v>
      </c>
      <c r="B1067" s="3">
        <v>4017427</v>
      </c>
      <c r="C1067" s="3">
        <v>4017507</v>
      </c>
      <c r="D1067" s="1" t="s">
        <v>13</v>
      </c>
      <c r="E1067" s="1" t="s">
        <v>4386</v>
      </c>
    </row>
    <row r="1068" spans="1:5" ht="21" x14ac:dyDescent="0.25">
      <c r="A1068" s="2" t="str">
        <f>HYPERLINK("https://rth.dk/resources/bsgatlas/details.php?id=BSGatlas-internal_UTR-1067","BSGatlas-internal_UTR-1067")</f>
        <v>BSGatlas-internal_UTR-1067</v>
      </c>
      <c r="B1068" s="3">
        <v>4023483</v>
      </c>
      <c r="C1068" s="3">
        <v>4023543</v>
      </c>
      <c r="D1068" s="1" t="s">
        <v>13</v>
      </c>
      <c r="E1068" s="1" t="s">
        <v>4373</v>
      </c>
    </row>
    <row r="1069" spans="1:5" ht="21" x14ac:dyDescent="0.25">
      <c r="A1069" s="2" t="str">
        <f>HYPERLINK("https://rth.dk/resources/bsgatlas/details.php?id=BSGatlas-internal_UTR-1068","BSGatlas-internal_UTR-1068")</f>
        <v>BSGatlas-internal_UTR-1068</v>
      </c>
      <c r="B1069" s="3">
        <v>4032244</v>
      </c>
      <c r="C1069" s="3">
        <v>4032345</v>
      </c>
      <c r="D1069" s="1" t="s">
        <v>13</v>
      </c>
      <c r="E1069" s="1" t="s">
        <v>4386</v>
      </c>
    </row>
    <row r="1070" spans="1:5" ht="21" x14ac:dyDescent="0.25">
      <c r="A1070" s="2" t="str">
        <f>HYPERLINK("https://rth.dk/resources/bsgatlas/details.php?id=BSGatlas-internal_UTR-1069","BSGatlas-internal_UTR-1069")</f>
        <v>BSGatlas-internal_UTR-1069</v>
      </c>
      <c r="B1070" s="3">
        <v>4033756</v>
      </c>
      <c r="C1070" s="3">
        <v>4033777</v>
      </c>
      <c r="D1070" s="1" t="s">
        <v>13</v>
      </c>
      <c r="E1070" s="1" t="s">
        <v>4386</v>
      </c>
    </row>
    <row r="1071" spans="1:5" ht="21" x14ac:dyDescent="0.25">
      <c r="A1071" s="2" t="str">
        <f>HYPERLINK("https://rth.dk/resources/bsgatlas/details.php?id=BSGatlas-internal_UTR-1070","BSGatlas-internal_UTR-1070")</f>
        <v>BSGatlas-internal_UTR-1070</v>
      </c>
      <c r="B1071" s="3">
        <v>4036299</v>
      </c>
      <c r="C1071" s="3">
        <v>4036343</v>
      </c>
      <c r="D1071" s="1" t="s">
        <v>13</v>
      </c>
      <c r="E1071" s="1" t="s">
        <v>14706</v>
      </c>
    </row>
    <row r="1072" spans="1:5" ht="21" x14ac:dyDescent="0.25">
      <c r="A1072" s="2" t="str">
        <f>HYPERLINK("https://rth.dk/resources/bsgatlas/details.php?id=BSGatlas-internal_UTR-1071","BSGatlas-internal_UTR-1071")</f>
        <v>BSGatlas-internal_UTR-1071</v>
      </c>
      <c r="B1072" s="3">
        <v>4038494</v>
      </c>
      <c r="C1072" s="3">
        <v>4038512</v>
      </c>
      <c r="D1072" s="1" t="s">
        <v>13</v>
      </c>
      <c r="E1072" s="1" t="s">
        <v>4397</v>
      </c>
    </row>
    <row r="1073" spans="1:5" ht="21" x14ac:dyDescent="0.25">
      <c r="A1073" s="2" t="str">
        <f>HYPERLINK("https://rth.dk/resources/bsgatlas/details.php?id=BSGatlas-internal_UTR-1072","BSGatlas-internal_UTR-1072")</f>
        <v>BSGatlas-internal_UTR-1072</v>
      </c>
      <c r="B1073" s="3">
        <v>4041939</v>
      </c>
      <c r="C1073" s="3">
        <v>4042050</v>
      </c>
      <c r="D1073" s="1" t="s">
        <v>9</v>
      </c>
      <c r="E1073" s="1" t="s">
        <v>4377</v>
      </c>
    </row>
    <row r="1074" spans="1:5" ht="21" x14ac:dyDescent="0.25">
      <c r="A1074" s="2" t="str">
        <f>HYPERLINK("https://rth.dk/resources/bsgatlas/details.php?id=BSGatlas-internal_UTR-1073","BSGatlas-internal_UTR-1073")</f>
        <v>BSGatlas-internal_UTR-1073</v>
      </c>
      <c r="B1074" s="3">
        <v>4047463</v>
      </c>
      <c r="C1074" s="3">
        <v>4047537</v>
      </c>
      <c r="D1074" s="1" t="s">
        <v>9</v>
      </c>
      <c r="E1074" s="1" t="s">
        <v>4377</v>
      </c>
    </row>
    <row r="1075" spans="1:5" ht="21" x14ac:dyDescent="0.25">
      <c r="A1075" s="2" t="str">
        <f>HYPERLINK("https://rth.dk/resources/bsgatlas/details.php?id=BSGatlas-internal_UTR-1074","BSGatlas-internal_UTR-1074")</f>
        <v>BSGatlas-internal_UTR-1074</v>
      </c>
      <c r="B1075" s="3">
        <v>4050311</v>
      </c>
      <c r="C1075" s="3">
        <v>4050339</v>
      </c>
      <c r="D1075" s="1" t="s">
        <v>13</v>
      </c>
      <c r="E1075" s="1" t="s">
        <v>4397</v>
      </c>
    </row>
    <row r="1076" spans="1:5" ht="21" x14ac:dyDescent="0.25">
      <c r="A1076" s="2" t="str">
        <f>HYPERLINK("https://rth.dk/resources/bsgatlas/details.php?id=BSGatlas-internal_UTR-1075","BSGatlas-internal_UTR-1075")</f>
        <v>BSGatlas-internal_UTR-1075</v>
      </c>
      <c r="B1076" s="3">
        <v>4051522</v>
      </c>
      <c r="C1076" s="3">
        <v>4051601</v>
      </c>
      <c r="D1076" s="1" t="s">
        <v>13</v>
      </c>
      <c r="E1076" s="1" t="s">
        <v>4397</v>
      </c>
    </row>
    <row r="1077" spans="1:5" ht="21" x14ac:dyDescent="0.25">
      <c r="A1077" s="2" t="str">
        <f>HYPERLINK("https://rth.dk/resources/bsgatlas/details.php?id=BSGatlas-internal_UTR-1076","BSGatlas-internal_UTR-1076")</f>
        <v>BSGatlas-internal_UTR-1076</v>
      </c>
      <c r="B1077" s="3">
        <v>4052274</v>
      </c>
      <c r="C1077" s="3">
        <v>4052378</v>
      </c>
      <c r="D1077" s="1" t="s">
        <v>13</v>
      </c>
      <c r="E1077" s="1" t="s">
        <v>4547</v>
      </c>
    </row>
    <row r="1078" spans="1:5" ht="21" x14ac:dyDescent="0.25">
      <c r="A1078" s="2" t="str">
        <f>HYPERLINK("https://rth.dk/resources/bsgatlas/details.php?id=BSGatlas-internal_UTR-1077","BSGatlas-internal_UTR-1077")</f>
        <v>BSGatlas-internal_UTR-1077</v>
      </c>
      <c r="B1078" s="3">
        <v>4054282</v>
      </c>
      <c r="C1078" s="3">
        <v>4054353</v>
      </c>
      <c r="D1078" s="1" t="s">
        <v>13</v>
      </c>
      <c r="E1078" s="1" t="s">
        <v>4386</v>
      </c>
    </row>
    <row r="1079" spans="1:5" ht="21" x14ac:dyDescent="0.25">
      <c r="A1079" s="2" t="str">
        <f>HYPERLINK("https://rth.dk/resources/bsgatlas/details.php?id=BSGatlas-internal_UTR-1078","BSGatlas-internal_UTR-1078")</f>
        <v>BSGatlas-internal_UTR-1078</v>
      </c>
      <c r="B1079" s="3">
        <v>4058013</v>
      </c>
      <c r="C1079" s="3">
        <v>4058028</v>
      </c>
      <c r="D1079" s="1" t="s">
        <v>13</v>
      </c>
      <c r="E1079" s="1" t="s">
        <v>4382</v>
      </c>
    </row>
    <row r="1080" spans="1:5" ht="21" x14ac:dyDescent="0.25">
      <c r="A1080" s="2" t="str">
        <f>HYPERLINK("https://rth.dk/resources/bsgatlas/details.php?id=BSGatlas-internal_UTR-1079","BSGatlas-internal_UTR-1079")</f>
        <v>BSGatlas-internal_UTR-1079</v>
      </c>
      <c r="B1080" s="3">
        <v>4059466</v>
      </c>
      <c r="C1080" s="3">
        <v>4059487</v>
      </c>
      <c r="D1080" s="1" t="s">
        <v>13</v>
      </c>
      <c r="E1080" s="1" t="s">
        <v>4382</v>
      </c>
    </row>
    <row r="1081" spans="1:5" ht="21" x14ac:dyDescent="0.25">
      <c r="A1081" s="2" t="str">
        <f>HYPERLINK("https://rth.dk/resources/bsgatlas/details.php?id=BSGatlas-internal_UTR-1080","BSGatlas-internal_UTR-1080")</f>
        <v>BSGatlas-internal_UTR-1080</v>
      </c>
      <c r="B1081" s="3">
        <v>4060283</v>
      </c>
      <c r="C1081" s="3">
        <v>4060306</v>
      </c>
      <c r="D1081" s="1" t="s">
        <v>13</v>
      </c>
      <c r="E1081" s="1" t="s">
        <v>4382</v>
      </c>
    </row>
    <row r="1082" spans="1:5" ht="21" x14ac:dyDescent="0.25">
      <c r="A1082" s="2" t="str">
        <f>HYPERLINK("https://rth.dk/resources/bsgatlas/details.php?id=BSGatlas-internal_UTR-1081","BSGatlas-internal_UTR-1081")</f>
        <v>BSGatlas-internal_UTR-1081</v>
      </c>
      <c r="B1082" s="3">
        <v>4064497</v>
      </c>
      <c r="C1082" s="3">
        <v>4064535</v>
      </c>
      <c r="D1082" s="1" t="s">
        <v>13</v>
      </c>
      <c r="E1082" s="1" t="s">
        <v>4386</v>
      </c>
    </row>
    <row r="1083" spans="1:5" ht="21" x14ac:dyDescent="0.25">
      <c r="A1083" s="2" t="str">
        <f>HYPERLINK("https://rth.dk/resources/bsgatlas/details.php?id=BSGatlas-internal_UTR-1082","BSGatlas-internal_UTR-1082")</f>
        <v>BSGatlas-internal_UTR-1082</v>
      </c>
      <c r="B1083" s="3">
        <v>4073954</v>
      </c>
      <c r="C1083" s="3">
        <v>4073973</v>
      </c>
      <c r="D1083" s="1" t="s">
        <v>13</v>
      </c>
      <c r="E1083" s="1" t="s">
        <v>4386</v>
      </c>
    </row>
    <row r="1084" spans="1:5" ht="21" x14ac:dyDescent="0.25">
      <c r="A1084" s="2" t="str">
        <f>HYPERLINK("https://rth.dk/resources/bsgatlas/details.php?id=BSGatlas-internal_UTR-1083","BSGatlas-internal_UTR-1083")</f>
        <v>BSGatlas-internal_UTR-1083</v>
      </c>
      <c r="B1084" s="3">
        <v>4074811</v>
      </c>
      <c r="C1084" s="3">
        <v>4074895</v>
      </c>
      <c r="D1084" s="1" t="s">
        <v>13</v>
      </c>
      <c r="E1084" s="1" t="s">
        <v>4386</v>
      </c>
    </row>
    <row r="1085" spans="1:5" ht="21" x14ac:dyDescent="0.25">
      <c r="A1085" s="2" t="str">
        <f>HYPERLINK("https://rth.dk/resources/bsgatlas/details.php?id=BSGatlas-internal_UTR-1084","BSGatlas-internal_UTR-1084")</f>
        <v>BSGatlas-internal_UTR-1084</v>
      </c>
      <c r="B1085" s="3">
        <v>4075766</v>
      </c>
      <c r="C1085" s="3">
        <v>4075784</v>
      </c>
      <c r="D1085" s="1" t="s">
        <v>13</v>
      </c>
      <c r="E1085" s="1" t="s">
        <v>4386</v>
      </c>
    </row>
    <row r="1086" spans="1:5" ht="21" x14ac:dyDescent="0.25">
      <c r="A1086" s="2" t="str">
        <f>HYPERLINK("https://rth.dk/resources/bsgatlas/details.php?id=BSGatlas-internal_UTR-1085","BSGatlas-internal_UTR-1085")</f>
        <v>BSGatlas-internal_UTR-1085</v>
      </c>
      <c r="B1086" s="3">
        <v>4076820</v>
      </c>
      <c r="C1086" s="3">
        <v>4076841</v>
      </c>
      <c r="D1086" s="1" t="s">
        <v>13</v>
      </c>
      <c r="E1086" s="1" t="s">
        <v>4386</v>
      </c>
    </row>
    <row r="1087" spans="1:5" ht="21" x14ac:dyDescent="0.25">
      <c r="A1087" s="2" t="str">
        <f>HYPERLINK("https://rth.dk/resources/bsgatlas/details.php?id=BSGatlas-internal_UTR-1086","BSGatlas-internal_UTR-1086")</f>
        <v>BSGatlas-internal_UTR-1086</v>
      </c>
      <c r="B1087" s="3">
        <v>4079067</v>
      </c>
      <c r="C1087" s="3">
        <v>4079082</v>
      </c>
      <c r="D1087" s="1" t="s">
        <v>13</v>
      </c>
      <c r="E1087" s="1" t="s">
        <v>4386</v>
      </c>
    </row>
    <row r="1088" spans="1:5" ht="21" x14ac:dyDescent="0.25">
      <c r="A1088" s="2" t="str">
        <f>HYPERLINK("https://rth.dk/resources/bsgatlas/details.php?id=BSGatlas-internal_UTR-1087","BSGatlas-internal_UTR-1087")</f>
        <v>BSGatlas-internal_UTR-1087</v>
      </c>
      <c r="B1088" s="3">
        <v>4080997</v>
      </c>
      <c r="C1088" s="3">
        <v>4081028</v>
      </c>
      <c r="D1088" s="1" t="s">
        <v>13</v>
      </c>
      <c r="E1088" s="1" t="s">
        <v>4386</v>
      </c>
    </row>
    <row r="1089" spans="1:5" ht="21" x14ac:dyDescent="0.25">
      <c r="A1089" s="2" t="str">
        <f>HYPERLINK("https://rth.dk/resources/bsgatlas/details.php?id=BSGatlas-internal_UTR-1088","BSGatlas-internal_UTR-1088")</f>
        <v>BSGatlas-internal_UTR-1088</v>
      </c>
      <c r="B1089" s="3">
        <v>4082007</v>
      </c>
      <c r="C1089" s="3">
        <v>4082029</v>
      </c>
      <c r="D1089" s="1" t="s">
        <v>13</v>
      </c>
      <c r="E1089" s="1" t="s">
        <v>4386</v>
      </c>
    </row>
    <row r="1090" spans="1:5" ht="21" x14ac:dyDescent="0.25">
      <c r="A1090" s="2" t="str">
        <f>HYPERLINK("https://rth.dk/resources/bsgatlas/details.php?id=BSGatlas-internal_UTR-1089","BSGatlas-internal_UTR-1089")</f>
        <v>BSGatlas-internal_UTR-1089</v>
      </c>
      <c r="B1090" s="3">
        <v>4082846</v>
      </c>
      <c r="C1090" s="3">
        <v>4082919</v>
      </c>
      <c r="D1090" s="1" t="s">
        <v>13</v>
      </c>
      <c r="E1090" s="1" t="s">
        <v>4386</v>
      </c>
    </row>
    <row r="1091" spans="1:5" ht="21" x14ac:dyDescent="0.25">
      <c r="A1091" s="2" t="str">
        <f>HYPERLINK("https://rth.dk/resources/bsgatlas/details.php?id=BSGatlas-internal_UTR-1090","BSGatlas-internal_UTR-1090")</f>
        <v>BSGatlas-internal_UTR-1090</v>
      </c>
      <c r="B1091" s="3">
        <v>4085555</v>
      </c>
      <c r="C1091" s="3">
        <v>4085607</v>
      </c>
      <c r="D1091" s="1" t="s">
        <v>9</v>
      </c>
      <c r="E1091" s="1" t="s">
        <v>4377</v>
      </c>
    </row>
    <row r="1092" spans="1:5" ht="21" x14ac:dyDescent="0.25">
      <c r="A1092" s="2" t="str">
        <f>HYPERLINK("https://rth.dk/resources/bsgatlas/details.php?id=BSGatlas-internal_UTR-1091","BSGatlas-internal_UTR-1091")</f>
        <v>BSGatlas-internal_UTR-1091</v>
      </c>
      <c r="B1092" s="3">
        <v>4095836</v>
      </c>
      <c r="C1092" s="3">
        <v>4095914</v>
      </c>
      <c r="D1092" s="1" t="s">
        <v>13</v>
      </c>
      <c r="E1092" s="1" t="s">
        <v>4373</v>
      </c>
    </row>
    <row r="1093" spans="1:5" ht="21" x14ac:dyDescent="0.25">
      <c r="A1093" s="2" t="str">
        <f>HYPERLINK("https://rth.dk/resources/bsgatlas/details.php?id=BSGatlas-internal_UTR-1092","BSGatlas-internal_UTR-1092")</f>
        <v>BSGatlas-internal_UTR-1092</v>
      </c>
      <c r="B1093" s="3">
        <v>4098906</v>
      </c>
      <c r="C1093" s="3">
        <v>4098925</v>
      </c>
      <c r="D1093" s="1" t="s">
        <v>9</v>
      </c>
      <c r="E1093" s="1" t="s">
        <v>4373</v>
      </c>
    </row>
    <row r="1094" spans="1:5" ht="21" x14ac:dyDescent="0.25">
      <c r="A1094" s="2" t="str">
        <f>HYPERLINK("https://rth.dk/resources/bsgatlas/details.php?id=BSGatlas-internal_UTR-1093","BSGatlas-internal_UTR-1093")</f>
        <v>BSGatlas-internal_UTR-1093</v>
      </c>
      <c r="B1094" s="3">
        <v>4103662</v>
      </c>
      <c r="C1094" s="3">
        <v>4103761</v>
      </c>
      <c r="D1094" s="1" t="s">
        <v>13</v>
      </c>
      <c r="E1094" s="1" t="s">
        <v>4373</v>
      </c>
    </row>
    <row r="1095" spans="1:5" ht="21" x14ac:dyDescent="0.25">
      <c r="A1095" s="2" t="str">
        <f>HYPERLINK("https://rth.dk/resources/bsgatlas/details.php?id=BSGatlas-internal_UTR-1094","BSGatlas-internal_UTR-1094")</f>
        <v>BSGatlas-internal_UTR-1094</v>
      </c>
      <c r="B1095" s="3">
        <v>4106138</v>
      </c>
      <c r="C1095" s="3">
        <v>4106244</v>
      </c>
      <c r="D1095" s="1" t="s">
        <v>13</v>
      </c>
      <c r="E1095" s="1" t="s">
        <v>7186</v>
      </c>
    </row>
    <row r="1096" spans="1:5" ht="21" x14ac:dyDescent="0.25">
      <c r="A1096" s="2" t="str">
        <f>HYPERLINK("https://rth.dk/resources/bsgatlas/details.php?id=BSGatlas-internal_UTR-1095","BSGatlas-internal_UTR-1095")</f>
        <v>BSGatlas-internal_UTR-1095</v>
      </c>
      <c r="B1096" s="3">
        <v>4111981</v>
      </c>
      <c r="C1096" s="3">
        <v>4112072</v>
      </c>
      <c r="D1096" s="1" t="s">
        <v>13</v>
      </c>
      <c r="E1096" s="1" t="s">
        <v>4397</v>
      </c>
    </row>
    <row r="1097" spans="1:5" ht="21" x14ac:dyDescent="0.25">
      <c r="A1097" s="2" t="str">
        <f>HYPERLINK("https://rth.dk/resources/bsgatlas/details.php?id=BSGatlas-internal_UTR-1096","BSGatlas-internal_UTR-1096")</f>
        <v>BSGatlas-internal_UTR-1096</v>
      </c>
      <c r="B1097" s="3">
        <v>4115683</v>
      </c>
      <c r="C1097" s="3">
        <v>4115710</v>
      </c>
      <c r="D1097" s="1" t="s">
        <v>9</v>
      </c>
      <c r="E1097" s="1" t="s">
        <v>4373</v>
      </c>
    </row>
    <row r="1098" spans="1:5" ht="21" x14ac:dyDescent="0.25">
      <c r="A1098" s="2" t="str">
        <f>HYPERLINK("https://rth.dk/resources/bsgatlas/details.php?id=BSGatlas-internal_UTR-1097","BSGatlas-internal_UTR-1097")</f>
        <v>BSGatlas-internal_UTR-1097</v>
      </c>
      <c r="B1098" s="3">
        <v>4117058</v>
      </c>
      <c r="C1098" s="3">
        <v>4117079</v>
      </c>
      <c r="D1098" s="1" t="s">
        <v>9</v>
      </c>
      <c r="E1098" s="1" t="s">
        <v>4373</v>
      </c>
    </row>
    <row r="1099" spans="1:5" ht="21" x14ac:dyDescent="0.25">
      <c r="A1099" s="2" t="str">
        <f>HYPERLINK("https://rth.dk/resources/bsgatlas/details.php?id=BSGatlas-internal_UTR-1098","BSGatlas-internal_UTR-1098")</f>
        <v>BSGatlas-internal_UTR-1098</v>
      </c>
      <c r="B1099" s="3">
        <v>4123904</v>
      </c>
      <c r="C1099" s="3">
        <v>4123930</v>
      </c>
      <c r="D1099" s="1" t="s">
        <v>9</v>
      </c>
      <c r="E1099" s="1" t="s">
        <v>4373</v>
      </c>
    </row>
    <row r="1100" spans="1:5" ht="21" x14ac:dyDescent="0.25">
      <c r="A1100" s="2" t="str">
        <f>HYPERLINK("https://rth.dk/resources/bsgatlas/details.php?id=BSGatlas-internal_UTR-1099","BSGatlas-internal_UTR-1099")</f>
        <v>BSGatlas-internal_UTR-1099</v>
      </c>
      <c r="B1100" s="3">
        <v>4124943</v>
      </c>
      <c r="C1100" s="3">
        <v>4124962</v>
      </c>
      <c r="D1100" s="1" t="s">
        <v>13</v>
      </c>
      <c r="E1100" s="1" t="s">
        <v>4386</v>
      </c>
    </row>
    <row r="1101" spans="1:5" ht="21" x14ac:dyDescent="0.25">
      <c r="A1101" s="2" t="str">
        <f>HYPERLINK("https://rth.dk/resources/bsgatlas/details.php?id=BSGatlas-internal_UTR-1100","BSGatlas-internal_UTR-1100")</f>
        <v>BSGatlas-internal_UTR-1100</v>
      </c>
      <c r="B1101" s="3">
        <v>4125593</v>
      </c>
      <c r="C1101" s="3">
        <v>4125741</v>
      </c>
      <c r="D1101" s="1" t="s">
        <v>13</v>
      </c>
      <c r="E1101" s="1" t="s">
        <v>4386</v>
      </c>
    </row>
    <row r="1102" spans="1:5" ht="21" x14ac:dyDescent="0.25">
      <c r="A1102" s="2" t="str">
        <f>HYPERLINK("https://rth.dk/resources/bsgatlas/details.php?id=BSGatlas-internal_UTR-1101","BSGatlas-internal_UTR-1101")</f>
        <v>BSGatlas-internal_UTR-1101</v>
      </c>
      <c r="B1102" s="3">
        <v>4127441</v>
      </c>
      <c r="C1102" s="3">
        <v>4127497</v>
      </c>
      <c r="D1102" s="1" t="s">
        <v>13</v>
      </c>
      <c r="E1102" s="1" t="s">
        <v>4386</v>
      </c>
    </row>
    <row r="1103" spans="1:5" ht="21" x14ac:dyDescent="0.25">
      <c r="A1103" s="2" t="str">
        <f>HYPERLINK("https://rth.dk/resources/bsgatlas/details.php?id=BSGatlas-internal_UTR-1102","BSGatlas-internal_UTR-1102")</f>
        <v>BSGatlas-internal_UTR-1102</v>
      </c>
      <c r="B1103" s="3">
        <v>4134175</v>
      </c>
      <c r="C1103" s="3">
        <v>4134435</v>
      </c>
      <c r="D1103" s="1" t="s">
        <v>13</v>
      </c>
      <c r="E1103" s="1" t="s">
        <v>4386</v>
      </c>
    </row>
    <row r="1104" spans="1:5" ht="21" x14ac:dyDescent="0.25">
      <c r="A1104" s="2" t="str">
        <f>HYPERLINK("https://rth.dk/resources/bsgatlas/details.php?id=BSGatlas-internal_UTR-1103","BSGatlas-internal_UTR-1103")</f>
        <v>BSGatlas-internal_UTR-1103</v>
      </c>
      <c r="B1104" s="3">
        <v>4134916</v>
      </c>
      <c r="C1104" s="3">
        <v>4134995</v>
      </c>
      <c r="D1104" s="1" t="s">
        <v>13</v>
      </c>
      <c r="E1104" s="1" t="s">
        <v>4386</v>
      </c>
    </row>
    <row r="1105" spans="1:5" ht="21" x14ac:dyDescent="0.25">
      <c r="A1105" s="2" t="str">
        <f>HYPERLINK("https://rth.dk/resources/bsgatlas/details.php?id=BSGatlas-internal_UTR-1104","BSGatlas-internal_UTR-1104")</f>
        <v>BSGatlas-internal_UTR-1104</v>
      </c>
      <c r="B1105" s="3">
        <v>4142602</v>
      </c>
      <c r="C1105" s="3">
        <v>4142674</v>
      </c>
      <c r="D1105" s="1" t="s">
        <v>13</v>
      </c>
      <c r="E1105" s="1" t="s">
        <v>4377</v>
      </c>
    </row>
    <row r="1106" spans="1:5" ht="21" x14ac:dyDescent="0.25">
      <c r="A1106" s="2" t="str">
        <f>HYPERLINK("https://rth.dk/resources/bsgatlas/details.php?id=BSGatlas-internal_UTR-1105","BSGatlas-internal_UTR-1105")</f>
        <v>BSGatlas-internal_UTR-1105</v>
      </c>
      <c r="B1106" s="3">
        <v>4144079</v>
      </c>
      <c r="C1106" s="3">
        <v>4144300</v>
      </c>
      <c r="D1106" s="1" t="s">
        <v>13</v>
      </c>
      <c r="E1106" s="1" t="s">
        <v>4377</v>
      </c>
    </row>
    <row r="1107" spans="1:5" ht="21" x14ac:dyDescent="0.25">
      <c r="A1107" s="2" t="str">
        <f>HYPERLINK("https://rth.dk/resources/bsgatlas/details.php?id=BSGatlas-internal_UTR-1106","BSGatlas-internal_UTR-1106")</f>
        <v>BSGatlas-internal_UTR-1106</v>
      </c>
      <c r="B1107" s="3">
        <v>4148770</v>
      </c>
      <c r="C1107" s="3">
        <v>4148850</v>
      </c>
      <c r="D1107" s="1" t="s">
        <v>13</v>
      </c>
      <c r="E1107" s="1" t="s">
        <v>4386</v>
      </c>
    </row>
    <row r="1108" spans="1:5" ht="21" x14ac:dyDescent="0.25">
      <c r="A1108" s="2" t="str">
        <f>HYPERLINK("https://rth.dk/resources/bsgatlas/details.php?id=BSGatlas-internal_UTR-1107","BSGatlas-internal_UTR-1107")</f>
        <v>BSGatlas-internal_UTR-1107</v>
      </c>
      <c r="B1108" s="3">
        <v>4149646</v>
      </c>
      <c r="C1108" s="3">
        <v>4149666</v>
      </c>
      <c r="D1108" s="1" t="s">
        <v>13</v>
      </c>
      <c r="E1108" s="1" t="s">
        <v>4386</v>
      </c>
    </row>
    <row r="1109" spans="1:5" ht="21" x14ac:dyDescent="0.25">
      <c r="A1109" s="2" t="str">
        <f>HYPERLINK("https://rth.dk/resources/bsgatlas/details.php?id=BSGatlas-internal_UTR-1108","BSGatlas-internal_UTR-1108")</f>
        <v>BSGatlas-internal_UTR-1108</v>
      </c>
      <c r="B1109" s="3">
        <v>4156726</v>
      </c>
      <c r="C1109" s="3">
        <v>4156930</v>
      </c>
      <c r="D1109" s="1" t="s">
        <v>13</v>
      </c>
      <c r="E1109" s="1" t="s">
        <v>4377</v>
      </c>
    </row>
    <row r="1110" spans="1:5" ht="21" x14ac:dyDescent="0.25">
      <c r="A1110" s="2" t="str">
        <f>HYPERLINK("https://rth.dk/resources/bsgatlas/details.php?id=BSGatlas-internal_UTR-1109","BSGatlas-internal_UTR-1109")</f>
        <v>BSGatlas-internal_UTR-1109</v>
      </c>
      <c r="B1110" s="3">
        <v>4159718</v>
      </c>
      <c r="C1110" s="3">
        <v>4159789</v>
      </c>
      <c r="D1110" s="1" t="s">
        <v>9</v>
      </c>
      <c r="E1110" s="1" t="s">
        <v>4373</v>
      </c>
    </row>
    <row r="1111" spans="1:5" ht="21" x14ac:dyDescent="0.25">
      <c r="A1111" s="2" t="str">
        <f>HYPERLINK("https://rth.dk/resources/bsgatlas/details.php?id=BSGatlas-internal_UTR-1110","BSGatlas-internal_UTR-1110")</f>
        <v>BSGatlas-internal_UTR-1110</v>
      </c>
      <c r="B1111" s="3">
        <v>4160999</v>
      </c>
      <c r="C1111" s="3">
        <v>4161102</v>
      </c>
      <c r="D1111" s="1" t="s">
        <v>9</v>
      </c>
      <c r="E1111" s="1" t="s">
        <v>4382</v>
      </c>
    </row>
    <row r="1112" spans="1:5" ht="21" x14ac:dyDescent="0.25">
      <c r="A1112" s="2" t="str">
        <f>HYPERLINK("https://rth.dk/resources/bsgatlas/details.php?id=BSGatlas-internal_UTR-1111","BSGatlas-internal_UTR-1111")</f>
        <v>BSGatlas-internal_UTR-1111</v>
      </c>
      <c r="B1112" s="3">
        <v>4165623</v>
      </c>
      <c r="C1112" s="3">
        <v>4165658</v>
      </c>
      <c r="D1112" s="1" t="s">
        <v>13</v>
      </c>
      <c r="E1112" s="1" t="s">
        <v>4373</v>
      </c>
    </row>
    <row r="1113" spans="1:5" ht="21" x14ac:dyDescent="0.25">
      <c r="A1113" s="2" t="str">
        <f>HYPERLINK("https://rth.dk/resources/bsgatlas/details.php?id=BSGatlas-internal_UTR-1112","BSGatlas-internal_UTR-1112")</f>
        <v>BSGatlas-internal_UTR-1112</v>
      </c>
      <c r="B1113" s="3">
        <v>4173552</v>
      </c>
      <c r="C1113" s="3">
        <v>4173664</v>
      </c>
      <c r="D1113" s="1" t="s">
        <v>9</v>
      </c>
      <c r="E1113" s="1" t="s">
        <v>4386</v>
      </c>
    </row>
    <row r="1114" spans="1:5" ht="21" x14ac:dyDescent="0.25">
      <c r="A1114" s="2" t="str">
        <f>HYPERLINK("https://rth.dk/resources/bsgatlas/details.php?id=BSGatlas-internal_UTR-1113","BSGatlas-internal_UTR-1113")</f>
        <v>BSGatlas-internal_UTR-1113</v>
      </c>
      <c r="B1114" s="3">
        <v>4177689</v>
      </c>
      <c r="C1114" s="3">
        <v>4177755</v>
      </c>
      <c r="D1114" s="1" t="s">
        <v>13</v>
      </c>
      <c r="E1114" s="1" t="s">
        <v>4377</v>
      </c>
    </row>
    <row r="1115" spans="1:5" ht="21" x14ac:dyDescent="0.25">
      <c r="A1115" s="2" t="str">
        <f>HYPERLINK("https://rth.dk/resources/bsgatlas/details.php?id=BSGatlas-internal_UTR-1114","BSGatlas-internal_UTR-1114")</f>
        <v>BSGatlas-internal_UTR-1114</v>
      </c>
      <c r="B1115" s="3">
        <v>4181900</v>
      </c>
      <c r="C1115" s="3">
        <v>4181981</v>
      </c>
      <c r="D1115" s="1" t="s">
        <v>9</v>
      </c>
      <c r="E1115" s="1" t="s">
        <v>4377</v>
      </c>
    </row>
    <row r="1116" spans="1:5" ht="21" x14ac:dyDescent="0.25">
      <c r="A1116" s="2" t="str">
        <f>HYPERLINK("https://rth.dk/resources/bsgatlas/details.php?id=BSGatlas-internal_UTR-1115","BSGatlas-internal_UTR-1115")</f>
        <v>BSGatlas-internal_UTR-1115</v>
      </c>
      <c r="B1116" s="3">
        <v>4189058</v>
      </c>
      <c r="C1116" s="3">
        <v>4189090</v>
      </c>
      <c r="D1116" s="1" t="s">
        <v>13</v>
      </c>
      <c r="E1116" s="1" t="s">
        <v>4377</v>
      </c>
    </row>
    <row r="1117" spans="1:5" ht="21" x14ac:dyDescent="0.25">
      <c r="A1117" s="2" t="str">
        <f>HYPERLINK("https://rth.dk/resources/bsgatlas/details.php?id=BSGatlas-internal_UTR-1116","BSGatlas-internal_UTR-1116")</f>
        <v>BSGatlas-internal_UTR-1116</v>
      </c>
      <c r="B1117" s="3">
        <v>4191127</v>
      </c>
      <c r="C1117" s="3">
        <v>4191197</v>
      </c>
      <c r="D1117" s="1" t="s">
        <v>9</v>
      </c>
      <c r="E1117" s="1" t="s">
        <v>4377</v>
      </c>
    </row>
    <row r="1118" spans="1:5" ht="21" x14ac:dyDescent="0.25">
      <c r="A1118" s="2" t="str">
        <f>HYPERLINK("https://rth.dk/resources/bsgatlas/details.php?id=BSGatlas-internal_UTR-1117","BSGatlas-internal_UTR-1117")</f>
        <v>BSGatlas-internal_UTR-1117</v>
      </c>
      <c r="B1118" s="3">
        <v>4197722</v>
      </c>
      <c r="C1118" s="3">
        <v>4197779</v>
      </c>
      <c r="D1118" s="1" t="s">
        <v>13</v>
      </c>
      <c r="E1118" s="1" t="s">
        <v>4397</v>
      </c>
    </row>
    <row r="1119" spans="1:5" ht="21" x14ac:dyDescent="0.25">
      <c r="A1119" s="2" t="str">
        <f>HYPERLINK("https://rth.dk/resources/bsgatlas/details.php?id=BSGatlas-internal_UTR-1118","BSGatlas-internal_UTR-1118")</f>
        <v>BSGatlas-internal_UTR-1118</v>
      </c>
      <c r="B1119" s="3">
        <v>4198843</v>
      </c>
      <c r="C1119" s="3">
        <v>4198885</v>
      </c>
      <c r="D1119" s="1" t="s">
        <v>13</v>
      </c>
      <c r="E1119" s="1" t="s">
        <v>14705</v>
      </c>
    </row>
    <row r="1120" spans="1:5" ht="21" x14ac:dyDescent="0.25">
      <c r="A1120" s="2" t="str">
        <f>HYPERLINK("https://rth.dk/resources/bsgatlas/details.php?id=BSGatlas-internal_UTR-1119","BSGatlas-internal_UTR-1119")</f>
        <v>BSGatlas-internal_UTR-1119</v>
      </c>
      <c r="B1120" s="3">
        <v>4199405</v>
      </c>
      <c r="C1120" s="3">
        <v>4199444</v>
      </c>
      <c r="D1120" s="1" t="s">
        <v>13</v>
      </c>
      <c r="E1120" s="1" t="s">
        <v>14705</v>
      </c>
    </row>
    <row r="1121" spans="1:5" ht="21" x14ac:dyDescent="0.25">
      <c r="A1121" s="2" t="str">
        <f>HYPERLINK("https://rth.dk/resources/bsgatlas/details.php?id=BSGatlas-internal_UTR-1120","BSGatlas-internal_UTR-1120")</f>
        <v>BSGatlas-internal_UTR-1120</v>
      </c>
      <c r="B1121" s="3">
        <v>4199733</v>
      </c>
      <c r="C1121" s="3">
        <v>4199842</v>
      </c>
      <c r="D1121" s="1" t="s">
        <v>13</v>
      </c>
      <c r="E1121" s="1" t="s">
        <v>14705</v>
      </c>
    </row>
    <row r="1122" spans="1:5" ht="21" x14ac:dyDescent="0.25">
      <c r="A1122" s="2" t="str">
        <f>HYPERLINK("https://rth.dk/resources/bsgatlas/details.php?id=BSGatlas-internal_UTR-1121","BSGatlas-internal_UTR-1121")</f>
        <v>BSGatlas-internal_UTR-1121</v>
      </c>
      <c r="B1122" s="3">
        <v>4200944</v>
      </c>
      <c r="C1122" s="3">
        <v>4201069</v>
      </c>
      <c r="D1122" s="1" t="s">
        <v>13</v>
      </c>
      <c r="E1122" s="1" t="s">
        <v>4377</v>
      </c>
    </row>
    <row r="1123" spans="1:5" ht="21" x14ac:dyDescent="0.25">
      <c r="A1123" s="2" t="str">
        <f>HYPERLINK("https://rth.dk/resources/bsgatlas/details.php?id=BSGatlas-internal_UTR-1122","BSGatlas-internal_UTR-1122")</f>
        <v>BSGatlas-internal_UTR-1122</v>
      </c>
      <c r="B1123" s="3">
        <v>4203074</v>
      </c>
      <c r="C1123" s="3">
        <v>4203123</v>
      </c>
      <c r="D1123" s="1" t="s">
        <v>13</v>
      </c>
      <c r="E1123" s="1" t="s">
        <v>4377</v>
      </c>
    </row>
    <row r="1124" spans="1:5" ht="21" x14ac:dyDescent="0.25">
      <c r="A1124" s="2" t="str">
        <f>HYPERLINK("https://rth.dk/resources/bsgatlas/details.php?id=BSGatlas-internal_UTR-1123","BSGatlas-internal_UTR-1123")</f>
        <v>BSGatlas-internal_UTR-1123</v>
      </c>
      <c r="B1124" s="3">
        <v>4208749</v>
      </c>
      <c r="C1124" s="3">
        <v>4208869</v>
      </c>
      <c r="D1124" s="1" t="s">
        <v>13</v>
      </c>
      <c r="E1124" s="1" t="s">
        <v>4373</v>
      </c>
    </row>
    <row r="1125" spans="1:5" ht="21" x14ac:dyDescent="0.25">
      <c r="A1125" s="2" t="str">
        <f>HYPERLINK("https://rth.dk/resources/bsgatlas/details.php?id=BSGatlas-internal_UTR-1124","BSGatlas-internal_UTR-1124")</f>
        <v>BSGatlas-internal_UTR-1124</v>
      </c>
      <c r="B1125" s="3">
        <v>4211490</v>
      </c>
      <c r="C1125" s="3">
        <v>4211509</v>
      </c>
      <c r="D1125" s="1" t="s">
        <v>13</v>
      </c>
      <c r="E1125" s="1" t="s">
        <v>4373</v>
      </c>
    </row>
    <row r="1126" spans="1:5" ht="21" x14ac:dyDescent="0.25">
      <c r="A1126" s="2" t="str">
        <f>HYPERLINK("https://rth.dk/resources/bsgatlas/details.php?id=BSGatlas-internal_UTR-1125","BSGatlas-internal_UTR-1125")</f>
        <v>BSGatlas-internal_UTR-1125</v>
      </c>
      <c r="B1126" s="3">
        <v>4214609</v>
      </c>
      <c r="C1126" s="3">
        <v>4214752</v>
      </c>
      <c r="D1126" s="1" t="s">
        <v>13</v>
      </c>
      <c r="E1126" s="1" t="s">
        <v>4377</v>
      </c>
    </row>
    <row r="1127" spans="1:5" ht="21" x14ac:dyDescent="0.25">
      <c r="A1127" s="2" t="str">
        <f>HYPERLINK("https://rth.dk/resources/bsgatlas/details.php?id=BSGatlas-internal_UTR-1126","BSGatlas-internal_UTR-1126")</f>
        <v>BSGatlas-internal_UTR-1126</v>
      </c>
      <c r="B1127" s="3">
        <v>4215104</v>
      </c>
      <c r="C1127" s="3">
        <v>4215254</v>
      </c>
      <c r="D1127" s="1" t="s">
        <v>13</v>
      </c>
      <c r="E1127" s="1" t="s">
        <v>4377</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61101-BA77-2545-9EDA-C916D12333F5}">
  <dimension ref="A1:G3398"/>
  <sheetViews>
    <sheetView workbookViewId="0">
      <selection activeCell="F7" sqref="F7"/>
    </sheetView>
  </sheetViews>
  <sheetFormatPr baseColWidth="10" defaultRowHeight="16" x14ac:dyDescent="0.2"/>
  <cols>
    <col min="1" max="1" width="21.6640625" bestFit="1" customWidth="1"/>
    <col min="2" max="2" width="13" style="4" bestFit="1" customWidth="1"/>
    <col min="3" max="3" width="11" bestFit="1" customWidth="1"/>
    <col min="4" max="4" width="21.33203125" bestFit="1" customWidth="1"/>
    <col min="5" max="5" width="10.1640625" bestFit="1" customWidth="1"/>
    <col min="6" max="6" width="133" style="7" bestFit="1" customWidth="1"/>
    <col min="7" max="7" width="69.33203125" bestFit="1" customWidth="1"/>
  </cols>
  <sheetData>
    <row r="1" spans="1:7" ht="21" x14ac:dyDescent="0.25">
      <c r="A1" s="1" t="s">
        <v>11403</v>
      </c>
      <c r="B1" s="3" t="s">
        <v>14716</v>
      </c>
      <c r="C1" s="1" t="s">
        <v>6</v>
      </c>
      <c r="D1" s="1" t="s">
        <v>14717</v>
      </c>
      <c r="E1" s="1" t="s">
        <v>14718</v>
      </c>
      <c r="F1" s="6" t="s">
        <v>14719</v>
      </c>
      <c r="G1" s="1" t="s">
        <v>11405</v>
      </c>
    </row>
    <row r="2" spans="1:7" ht="21" x14ac:dyDescent="0.25">
      <c r="A2" s="2" t="str">
        <f>HYPERLINK("https://rth.dk/resources/bsgatlas/details.php?id=BSGatlas-TSS-1","BSGatlas-TSS-1")</f>
        <v>BSGatlas-TSS-1</v>
      </c>
      <c r="B2" s="3">
        <v>1</v>
      </c>
      <c r="C2" s="1" t="s">
        <v>9</v>
      </c>
      <c r="D2" s="1">
        <v>33</v>
      </c>
      <c r="E2" s="1" t="s">
        <v>14720</v>
      </c>
      <c r="F2" s="6"/>
      <c r="G2" s="1" t="s">
        <v>14721</v>
      </c>
    </row>
    <row r="3" spans="1:7" ht="21" x14ac:dyDescent="0.25">
      <c r="A3" s="2" t="str">
        <f>HYPERLINK("https://rth.dk/resources/bsgatlas/details.php?id=BSGatlas-TSS-2","BSGatlas-TSS-2")</f>
        <v>BSGatlas-TSS-2</v>
      </c>
      <c r="B3" s="3">
        <v>157</v>
      </c>
      <c r="C3" s="1" t="s">
        <v>9</v>
      </c>
      <c r="D3" s="1">
        <v>0</v>
      </c>
      <c r="E3" s="1" t="s">
        <v>14722</v>
      </c>
      <c r="F3" s="6" t="s">
        <v>14723</v>
      </c>
      <c r="G3" s="1" t="s">
        <v>14724</v>
      </c>
    </row>
    <row r="4" spans="1:7" ht="21" x14ac:dyDescent="0.25">
      <c r="A4" s="2" t="str">
        <f>HYPERLINK("https://rth.dk/resources/bsgatlas/details.php?id=BSGatlas-TSS-3","BSGatlas-TSS-3")</f>
        <v>BSGatlas-TSS-3</v>
      </c>
      <c r="B4" s="3">
        <v>297</v>
      </c>
      <c r="C4" s="1" t="s">
        <v>13</v>
      </c>
      <c r="D4" s="1">
        <v>22</v>
      </c>
      <c r="E4" s="1" t="s">
        <v>14725</v>
      </c>
      <c r="F4" s="6"/>
      <c r="G4" s="1" t="s">
        <v>14726</v>
      </c>
    </row>
    <row r="5" spans="1:7" ht="21" x14ac:dyDescent="0.25">
      <c r="A5" s="2" t="str">
        <f>HYPERLINK("https://rth.dk/resources/bsgatlas/details.php?id=BSGatlas-TSS-4","BSGatlas-TSS-4")</f>
        <v>BSGatlas-TSS-4</v>
      </c>
      <c r="B5" s="3">
        <v>1066</v>
      </c>
      <c r="C5" s="1" t="s">
        <v>13</v>
      </c>
      <c r="D5" s="1">
        <v>22</v>
      </c>
      <c r="E5" s="1" t="s">
        <v>14727</v>
      </c>
      <c r="F5" s="6"/>
      <c r="G5" s="1" t="s">
        <v>14726</v>
      </c>
    </row>
    <row r="6" spans="1:7" ht="21" x14ac:dyDescent="0.25">
      <c r="A6" s="2" t="str">
        <f>HYPERLINK("https://rth.dk/resources/bsgatlas/details.php?id=BSGatlas-TSS-5","BSGatlas-TSS-5")</f>
        <v>BSGatlas-TSS-5</v>
      </c>
      <c r="B6" s="3">
        <v>3180</v>
      </c>
      <c r="C6" s="1" t="s">
        <v>9</v>
      </c>
      <c r="D6" s="1">
        <v>0</v>
      </c>
      <c r="E6" s="1" t="s">
        <v>14722</v>
      </c>
      <c r="F6" s="6" t="s">
        <v>14728</v>
      </c>
      <c r="G6" s="1" t="s">
        <v>14729</v>
      </c>
    </row>
    <row r="7" spans="1:7" ht="21" x14ac:dyDescent="0.25">
      <c r="A7" s="2" t="str">
        <f>HYPERLINK("https://rth.dk/resources/bsgatlas/details.php?id=BSGatlas-TSS-6","BSGatlas-TSS-6")</f>
        <v>BSGatlas-TSS-6</v>
      </c>
      <c r="B7" s="3">
        <v>3650</v>
      </c>
      <c r="C7" s="1" t="s">
        <v>9</v>
      </c>
      <c r="D7" s="1">
        <v>0</v>
      </c>
      <c r="E7" s="1" t="s">
        <v>14722</v>
      </c>
      <c r="F7" s="6">
        <v>2987848</v>
      </c>
      <c r="G7" s="1" t="s">
        <v>14730</v>
      </c>
    </row>
    <row r="8" spans="1:7" ht="21" x14ac:dyDescent="0.25">
      <c r="A8" s="2" t="str">
        <f>HYPERLINK("https://rth.dk/resources/bsgatlas/details.php?id=BSGatlas-TSS-7","BSGatlas-TSS-7")</f>
        <v>BSGatlas-TSS-7</v>
      </c>
      <c r="B8" s="3">
        <v>6414</v>
      </c>
      <c r="C8" s="1" t="s">
        <v>13</v>
      </c>
      <c r="D8" s="1">
        <v>22</v>
      </c>
      <c r="E8" s="1" t="s">
        <v>14727</v>
      </c>
      <c r="F8" s="6"/>
      <c r="G8" s="1" t="s">
        <v>14726</v>
      </c>
    </row>
    <row r="9" spans="1:7" ht="21" x14ac:dyDescent="0.25">
      <c r="A9" s="2" t="str">
        <f>HYPERLINK("https://rth.dk/resources/bsgatlas/details.php?id=BSGatlas-TSS-8","BSGatlas-TSS-8")</f>
        <v>BSGatlas-TSS-8</v>
      </c>
      <c r="B9" s="3">
        <v>6916</v>
      </c>
      <c r="C9" s="1" t="s">
        <v>9</v>
      </c>
      <c r="D9" s="1">
        <v>0</v>
      </c>
      <c r="E9" s="1" t="s">
        <v>14722</v>
      </c>
      <c r="F9" s="6" t="s">
        <v>14728</v>
      </c>
      <c r="G9" s="1" t="s">
        <v>4382</v>
      </c>
    </row>
    <row r="10" spans="1:7" ht="21" x14ac:dyDescent="0.25">
      <c r="A10" s="2" t="str">
        <f>HYPERLINK("https://rth.dk/resources/bsgatlas/details.php?id=BSGatlas-TSS-9","BSGatlas-TSS-9")</f>
        <v>BSGatlas-TSS-9</v>
      </c>
      <c r="B10" s="3">
        <v>9374</v>
      </c>
      <c r="C10" s="1" t="s">
        <v>9</v>
      </c>
      <c r="D10" s="1">
        <v>22</v>
      </c>
      <c r="E10" s="1" t="s">
        <v>14722</v>
      </c>
      <c r="F10" s="6"/>
      <c r="G10" s="1" t="s">
        <v>14726</v>
      </c>
    </row>
    <row r="11" spans="1:7" ht="21" x14ac:dyDescent="0.25">
      <c r="A11" s="2" t="str">
        <f>HYPERLINK("https://rth.dk/resources/bsgatlas/details.php?id=BSGatlas-TSS-10","BSGatlas-TSS-10")</f>
        <v>BSGatlas-TSS-10</v>
      </c>
      <c r="B11" s="3">
        <v>9540</v>
      </c>
      <c r="C11" s="1" t="s">
        <v>9</v>
      </c>
      <c r="D11" s="1">
        <v>0</v>
      </c>
      <c r="E11" s="1" t="s">
        <v>14722</v>
      </c>
      <c r="F11" s="6" t="s">
        <v>14731</v>
      </c>
      <c r="G11" s="1" t="s">
        <v>14724</v>
      </c>
    </row>
    <row r="12" spans="1:7" ht="21" x14ac:dyDescent="0.25">
      <c r="A12" s="2" t="str">
        <f>HYPERLINK("https://rth.dk/resources/bsgatlas/details.php?id=BSGatlas-TSS-11","BSGatlas-TSS-11")</f>
        <v>BSGatlas-TSS-11</v>
      </c>
      <c r="B12" s="3">
        <v>9637</v>
      </c>
      <c r="C12" s="1" t="s">
        <v>9</v>
      </c>
      <c r="D12" s="1">
        <v>0</v>
      </c>
      <c r="E12" s="1" t="s">
        <v>14722</v>
      </c>
      <c r="F12" s="6" t="s">
        <v>14731</v>
      </c>
      <c r="G12" s="1" t="s">
        <v>14729</v>
      </c>
    </row>
    <row r="13" spans="1:7" ht="21" x14ac:dyDescent="0.25">
      <c r="A13" s="2" t="str">
        <f>HYPERLINK("https://rth.dk/resources/bsgatlas/details.php?id=BSGatlas-TSS-12","BSGatlas-TSS-12")</f>
        <v>BSGatlas-TSS-12</v>
      </c>
      <c r="B13" s="3">
        <v>15870</v>
      </c>
      <c r="C13" s="1" t="s">
        <v>9</v>
      </c>
      <c r="D13" s="1">
        <v>22</v>
      </c>
      <c r="E13" s="1" t="s">
        <v>14722</v>
      </c>
      <c r="F13" s="6"/>
      <c r="G13" s="1" t="s">
        <v>14726</v>
      </c>
    </row>
    <row r="14" spans="1:7" ht="21" x14ac:dyDescent="0.25">
      <c r="A14" s="2" t="str">
        <f>HYPERLINK("https://rth.dk/resources/bsgatlas/details.php?id=BSGatlas-TSS-13","BSGatlas-TSS-13")</f>
        <v>BSGatlas-TSS-13</v>
      </c>
      <c r="B14" s="3">
        <v>15875</v>
      </c>
      <c r="C14" s="1" t="s">
        <v>13</v>
      </c>
      <c r="D14" s="1">
        <v>22</v>
      </c>
      <c r="E14" s="1" t="s">
        <v>14732</v>
      </c>
      <c r="F14" s="6"/>
      <c r="G14" s="1" t="s">
        <v>14726</v>
      </c>
    </row>
    <row r="15" spans="1:7" ht="21" x14ac:dyDescent="0.25">
      <c r="A15" s="2" t="str">
        <f>HYPERLINK("https://rth.dk/resources/bsgatlas/details.php?id=BSGatlas-TSS-14","BSGatlas-TSS-14")</f>
        <v>BSGatlas-TSS-14</v>
      </c>
      <c r="B15" s="3">
        <v>15985</v>
      </c>
      <c r="C15" s="1" t="s">
        <v>13</v>
      </c>
      <c r="D15" s="1">
        <v>22</v>
      </c>
      <c r="E15" s="1" t="s">
        <v>14720</v>
      </c>
      <c r="F15" s="6"/>
      <c r="G15" s="1" t="s">
        <v>14726</v>
      </c>
    </row>
    <row r="16" spans="1:7" ht="21" x14ac:dyDescent="0.25">
      <c r="A16" s="2" t="str">
        <f>HYPERLINK("https://rth.dk/resources/bsgatlas/details.php?id=BSGatlas-TSS-15","BSGatlas-TSS-15")</f>
        <v>BSGatlas-TSS-15</v>
      </c>
      <c r="B16" s="3">
        <v>17453</v>
      </c>
      <c r="C16" s="1" t="s">
        <v>9</v>
      </c>
      <c r="D16" s="1">
        <v>22</v>
      </c>
      <c r="E16" s="1" t="s">
        <v>14722</v>
      </c>
      <c r="F16" s="6"/>
      <c r="G16" s="1" t="s">
        <v>14733</v>
      </c>
    </row>
    <row r="17" spans="1:7" ht="21" x14ac:dyDescent="0.25">
      <c r="A17" s="2" t="str">
        <f>HYPERLINK("https://rth.dk/resources/bsgatlas/details.php?id=BSGatlas-TSS-16","BSGatlas-TSS-16")</f>
        <v>BSGatlas-TSS-16</v>
      </c>
      <c r="B17" s="3">
        <v>17833</v>
      </c>
      <c r="C17" s="1" t="s">
        <v>13</v>
      </c>
      <c r="D17" s="1">
        <v>22</v>
      </c>
      <c r="E17" s="1" t="s">
        <v>14734</v>
      </c>
      <c r="F17" s="6"/>
      <c r="G17" s="1" t="s">
        <v>14726</v>
      </c>
    </row>
    <row r="18" spans="1:7" ht="21" x14ac:dyDescent="0.25">
      <c r="A18" s="2" t="str">
        <f>HYPERLINK("https://rth.dk/resources/bsgatlas/details.php?id=BSGatlas-TSS-17","BSGatlas-TSS-17")</f>
        <v>BSGatlas-TSS-17</v>
      </c>
      <c r="B18" s="3">
        <v>18976</v>
      </c>
      <c r="C18" s="1" t="s">
        <v>9</v>
      </c>
      <c r="D18" s="1">
        <v>22</v>
      </c>
      <c r="E18" s="1" t="s">
        <v>14722</v>
      </c>
      <c r="F18" s="6"/>
      <c r="G18" s="1" t="s">
        <v>14733</v>
      </c>
    </row>
    <row r="19" spans="1:7" ht="21" x14ac:dyDescent="0.25">
      <c r="A19" s="2" t="str">
        <f>HYPERLINK("https://rth.dk/resources/bsgatlas/details.php?id=BSGatlas-TSS-18","BSGatlas-TSS-18")</f>
        <v>BSGatlas-TSS-18</v>
      </c>
      <c r="B19" s="3">
        <v>19923</v>
      </c>
      <c r="C19" s="1" t="s">
        <v>13</v>
      </c>
      <c r="D19" s="1">
        <v>22</v>
      </c>
      <c r="E19" s="1" t="s">
        <v>14727</v>
      </c>
      <c r="F19" s="6"/>
      <c r="G19" s="1" t="s">
        <v>14726</v>
      </c>
    </row>
    <row r="20" spans="1:7" ht="21" x14ac:dyDescent="0.25">
      <c r="A20" s="2" t="str">
        <f>HYPERLINK("https://rth.dk/resources/bsgatlas/details.php?id=BSGatlas-TSS-19","BSGatlas-TSS-19")</f>
        <v>BSGatlas-TSS-19</v>
      </c>
      <c r="B20" s="3">
        <v>22268</v>
      </c>
      <c r="C20" s="1" t="s">
        <v>9</v>
      </c>
      <c r="D20" s="1">
        <v>22</v>
      </c>
      <c r="E20" s="1" t="s">
        <v>14722</v>
      </c>
      <c r="F20" s="6"/>
      <c r="G20" s="1" t="s">
        <v>14726</v>
      </c>
    </row>
    <row r="21" spans="1:7" ht="21" x14ac:dyDescent="0.25">
      <c r="A21" s="2" t="str">
        <f>HYPERLINK("https://rth.dk/resources/bsgatlas/details.php?id=BSGatlas-TSS-20","BSGatlas-TSS-20")</f>
        <v>BSGatlas-TSS-20</v>
      </c>
      <c r="B21" s="3">
        <v>22531</v>
      </c>
      <c r="C21" s="1" t="s">
        <v>9</v>
      </c>
      <c r="D21" s="1">
        <v>22</v>
      </c>
      <c r="E21" s="1" t="s">
        <v>14720</v>
      </c>
      <c r="F21" s="6"/>
      <c r="G21" s="1" t="s">
        <v>14726</v>
      </c>
    </row>
    <row r="22" spans="1:7" ht="21" x14ac:dyDescent="0.25">
      <c r="A22" s="2" t="str">
        <f>HYPERLINK("https://rth.dk/resources/bsgatlas/details.php?id=BSGatlas-TSS-21","BSGatlas-TSS-21")</f>
        <v>BSGatlas-TSS-21</v>
      </c>
      <c r="B22" s="3">
        <v>23828</v>
      </c>
      <c r="C22" s="1" t="s">
        <v>13</v>
      </c>
      <c r="D22" s="1">
        <v>22</v>
      </c>
      <c r="E22" s="1" t="s">
        <v>14722</v>
      </c>
      <c r="F22" s="6"/>
      <c r="G22" s="1" t="s">
        <v>14726</v>
      </c>
    </row>
    <row r="23" spans="1:7" ht="21" x14ac:dyDescent="0.25">
      <c r="A23" s="2" t="str">
        <f>HYPERLINK("https://rth.dk/resources/bsgatlas/details.php?id=BSGatlas-TSS-22","BSGatlas-TSS-22")</f>
        <v>BSGatlas-TSS-22</v>
      </c>
      <c r="B23" s="3">
        <v>25184</v>
      </c>
      <c r="C23" s="1" t="s">
        <v>13</v>
      </c>
      <c r="D23" s="1">
        <v>0</v>
      </c>
      <c r="E23" s="1" t="s">
        <v>14735</v>
      </c>
      <c r="F23" s="6" t="s">
        <v>14736</v>
      </c>
      <c r="G23" s="1" t="s">
        <v>14729</v>
      </c>
    </row>
    <row r="24" spans="1:7" ht="21" x14ac:dyDescent="0.25">
      <c r="A24" s="2" t="str">
        <f>HYPERLINK("https://rth.dk/resources/bsgatlas/details.php?id=BSGatlas-TSS-23","BSGatlas-TSS-23")</f>
        <v>BSGatlas-TSS-23</v>
      </c>
      <c r="B24" s="3">
        <v>25657</v>
      </c>
      <c r="C24" s="1" t="s">
        <v>9</v>
      </c>
      <c r="D24" s="1">
        <v>22</v>
      </c>
      <c r="E24" s="1" t="s">
        <v>14722</v>
      </c>
      <c r="F24" s="6"/>
      <c r="G24" s="1" t="s">
        <v>14733</v>
      </c>
    </row>
    <row r="25" spans="1:7" ht="21" x14ac:dyDescent="0.25">
      <c r="A25" s="2" t="str">
        <f>HYPERLINK("https://rth.dk/resources/bsgatlas/details.php?id=BSGatlas-TSS-24","BSGatlas-TSS-24")</f>
        <v>BSGatlas-TSS-24</v>
      </c>
      <c r="B25" s="3">
        <v>25810</v>
      </c>
      <c r="C25" s="1" t="s">
        <v>13</v>
      </c>
      <c r="D25" s="1">
        <v>22</v>
      </c>
      <c r="E25" s="1" t="s">
        <v>14734</v>
      </c>
      <c r="F25" s="6"/>
      <c r="G25" s="1" t="s">
        <v>14726</v>
      </c>
    </row>
    <row r="26" spans="1:7" ht="21" x14ac:dyDescent="0.25">
      <c r="A26" s="2" t="str">
        <f>HYPERLINK("https://rth.dk/resources/bsgatlas/details.php?id=BSGatlas-TSS-25","BSGatlas-TSS-25")</f>
        <v>BSGatlas-TSS-25</v>
      </c>
      <c r="B26" s="3">
        <v>26379</v>
      </c>
      <c r="C26" s="1" t="s">
        <v>9</v>
      </c>
      <c r="D26" s="1">
        <v>0</v>
      </c>
      <c r="E26" s="1" t="s">
        <v>14722</v>
      </c>
      <c r="F26" s="6">
        <v>2468993</v>
      </c>
      <c r="G26" s="1" t="s">
        <v>14737</v>
      </c>
    </row>
    <row r="27" spans="1:7" ht="21" x14ac:dyDescent="0.25">
      <c r="A27" s="2" t="str">
        <f>HYPERLINK("https://rth.dk/resources/bsgatlas/details.php?id=BSGatlas-TSS-26","BSGatlas-TSS-26")</f>
        <v>BSGatlas-TSS-26</v>
      </c>
      <c r="B27" s="3">
        <v>26779</v>
      </c>
      <c r="C27" s="1" t="s">
        <v>9</v>
      </c>
      <c r="D27" s="1">
        <v>22</v>
      </c>
      <c r="E27" s="1" t="s">
        <v>14722</v>
      </c>
      <c r="F27" s="6"/>
      <c r="G27" s="1" t="s">
        <v>14726</v>
      </c>
    </row>
    <row r="28" spans="1:7" ht="21" x14ac:dyDescent="0.25">
      <c r="A28" s="2" t="str">
        <f>HYPERLINK("https://rth.dk/resources/bsgatlas/details.php?id=BSGatlas-TSS-27","BSGatlas-TSS-27")</f>
        <v>BSGatlas-TSS-27</v>
      </c>
      <c r="B28" s="3">
        <v>28383</v>
      </c>
      <c r="C28" s="1" t="s">
        <v>9</v>
      </c>
      <c r="D28" s="1">
        <v>22</v>
      </c>
      <c r="E28" s="1" t="s">
        <v>14722</v>
      </c>
      <c r="F28" s="6"/>
      <c r="G28" s="1" t="s">
        <v>14726</v>
      </c>
    </row>
    <row r="29" spans="1:7" ht="21" x14ac:dyDescent="0.25">
      <c r="A29" s="2" t="str">
        <f>HYPERLINK("https://rth.dk/resources/bsgatlas/details.php?id=BSGatlas-TSS-28","BSGatlas-TSS-28")</f>
        <v>BSGatlas-TSS-28</v>
      </c>
      <c r="B29" s="3">
        <v>29744</v>
      </c>
      <c r="C29" s="1" t="s">
        <v>9</v>
      </c>
      <c r="D29" s="1">
        <v>0</v>
      </c>
      <c r="E29" s="1" t="s">
        <v>14735</v>
      </c>
      <c r="F29" s="6" t="s">
        <v>14738</v>
      </c>
      <c r="G29" s="1" t="s">
        <v>14729</v>
      </c>
    </row>
    <row r="30" spans="1:7" ht="21" x14ac:dyDescent="0.25">
      <c r="A30" s="2" t="str">
        <f>HYPERLINK("https://rth.dk/resources/bsgatlas/details.php?id=BSGatlas-TSS-29","BSGatlas-TSS-29")</f>
        <v>BSGatlas-TSS-29</v>
      </c>
      <c r="B30" s="3">
        <v>30085</v>
      </c>
      <c r="C30" s="1" t="s">
        <v>9</v>
      </c>
      <c r="D30" s="1">
        <v>0</v>
      </c>
      <c r="E30" s="1" t="s">
        <v>14722</v>
      </c>
      <c r="F30" s="6" t="s">
        <v>14731</v>
      </c>
      <c r="G30" s="1" t="s">
        <v>14724</v>
      </c>
    </row>
    <row r="31" spans="1:7" ht="21" x14ac:dyDescent="0.25">
      <c r="A31" s="2" t="str">
        <f>HYPERLINK("https://rth.dk/resources/bsgatlas/details.php?id=BSGatlas-TSS-30","BSGatlas-TSS-30")</f>
        <v>BSGatlas-TSS-30</v>
      </c>
      <c r="B31" s="3">
        <v>30168</v>
      </c>
      <c r="C31" s="1" t="s">
        <v>9</v>
      </c>
      <c r="D31" s="1">
        <v>0</v>
      </c>
      <c r="E31" s="1" t="s">
        <v>14722</v>
      </c>
      <c r="F31" s="6" t="s">
        <v>14731</v>
      </c>
      <c r="G31" s="1" t="s">
        <v>4382</v>
      </c>
    </row>
    <row r="32" spans="1:7" ht="21" x14ac:dyDescent="0.25">
      <c r="A32" s="2" t="str">
        <f>HYPERLINK("https://rth.dk/resources/bsgatlas/details.php?id=BSGatlas-TSS-31","BSGatlas-TSS-31")</f>
        <v>BSGatlas-TSS-31</v>
      </c>
      <c r="B32" s="3">
        <v>35460</v>
      </c>
      <c r="C32" s="1" t="s">
        <v>9</v>
      </c>
      <c r="D32" s="1">
        <v>22</v>
      </c>
      <c r="E32" s="1" t="s">
        <v>14725</v>
      </c>
      <c r="F32" s="6"/>
      <c r="G32" s="1" t="s">
        <v>14726</v>
      </c>
    </row>
    <row r="33" spans="1:7" ht="21" x14ac:dyDescent="0.25">
      <c r="A33" s="2" t="str">
        <f>HYPERLINK("https://rth.dk/resources/bsgatlas/details.php?id=BSGatlas-TSS-32","BSGatlas-TSS-32")</f>
        <v>BSGatlas-TSS-32</v>
      </c>
      <c r="B33" s="3">
        <v>35797</v>
      </c>
      <c r="C33" s="1" t="s">
        <v>9</v>
      </c>
      <c r="D33" s="1">
        <v>22</v>
      </c>
      <c r="E33" s="1" t="s">
        <v>14739</v>
      </c>
      <c r="F33" s="6"/>
      <c r="G33" s="1" t="s">
        <v>14726</v>
      </c>
    </row>
    <row r="34" spans="1:7" ht="21" x14ac:dyDescent="0.25">
      <c r="A34" s="2" t="str">
        <f>HYPERLINK("https://rth.dk/resources/bsgatlas/details.php?id=BSGatlas-TSS-33","BSGatlas-TSS-33")</f>
        <v>BSGatlas-TSS-33</v>
      </c>
      <c r="B34" s="3">
        <v>39112</v>
      </c>
      <c r="C34" s="1" t="s">
        <v>9</v>
      </c>
      <c r="D34" s="1">
        <v>22</v>
      </c>
      <c r="E34" s="1" t="s">
        <v>14734</v>
      </c>
      <c r="F34" s="6"/>
      <c r="G34" s="1" t="s">
        <v>14726</v>
      </c>
    </row>
    <row r="35" spans="1:7" ht="21" x14ac:dyDescent="0.25">
      <c r="A35" s="2" t="str">
        <f>HYPERLINK("https://rth.dk/resources/bsgatlas/details.php?id=BSGatlas-TSS-34","BSGatlas-TSS-34")</f>
        <v>BSGatlas-TSS-34</v>
      </c>
      <c r="B35" s="3">
        <v>39823</v>
      </c>
      <c r="C35" s="1" t="s">
        <v>9</v>
      </c>
      <c r="D35" s="1">
        <v>22</v>
      </c>
      <c r="E35" s="1" t="s">
        <v>14722</v>
      </c>
      <c r="F35" s="6"/>
      <c r="G35" s="1" t="s">
        <v>14726</v>
      </c>
    </row>
    <row r="36" spans="1:7" ht="21" x14ac:dyDescent="0.25">
      <c r="A36" s="2" t="str">
        <f>HYPERLINK("https://rth.dk/resources/bsgatlas/details.php?id=BSGatlas-TSS-35","BSGatlas-TSS-35")</f>
        <v>BSGatlas-TSS-35</v>
      </c>
      <c r="B36" s="3">
        <v>45207</v>
      </c>
      <c r="C36" s="1" t="s">
        <v>13</v>
      </c>
      <c r="D36" s="1">
        <v>0</v>
      </c>
      <c r="E36" s="1" t="s">
        <v>14722</v>
      </c>
      <c r="F36" s="6" t="s">
        <v>14740</v>
      </c>
      <c r="G36" s="1" t="s">
        <v>14729</v>
      </c>
    </row>
    <row r="37" spans="1:7" ht="21" x14ac:dyDescent="0.25">
      <c r="A37" s="2" t="str">
        <f>HYPERLINK("https://rth.dk/resources/bsgatlas/details.php?id=BSGatlas-TSS-36","BSGatlas-TSS-36")</f>
        <v>BSGatlas-TSS-36</v>
      </c>
      <c r="B37" s="3">
        <v>45221</v>
      </c>
      <c r="C37" s="1" t="s">
        <v>13</v>
      </c>
      <c r="D37" s="1">
        <v>0</v>
      </c>
      <c r="E37" s="1" t="s">
        <v>14722</v>
      </c>
      <c r="F37" s="6" t="s">
        <v>14740</v>
      </c>
      <c r="G37" s="1" t="s">
        <v>14729</v>
      </c>
    </row>
    <row r="38" spans="1:7" ht="21" x14ac:dyDescent="0.25">
      <c r="A38" s="2" t="str">
        <f>HYPERLINK("https://rth.dk/resources/bsgatlas/details.php?id=BSGatlas-TSS-37","BSGatlas-TSS-37")</f>
        <v>BSGatlas-TSS-37</v>
      </c>
      <c r="B38" s="3">
        <v>45399</v>
      </c>
      <c r="C38" s="1" t="s">
        <v>13</v>
      </c>
      <c r="D38" s="1">
        <v>22</v>
      </c>
      <c r="E38" s="1" t="s">
        <v>14722</v>
      </c>
      <c r="F38" s="6"/>
      <c r="G38" s="1" t="s">
        <v>14733</v>
      </c>
    </row>
    <row r="39" spans="1:7" ht="21" x14ac:dyDescent="0.25">
      <c r="A39" s="2" t="str">
        <f>HYPERLINK("https://rth.dk/resources/bsgatlas/details.php?id=BSGatlas-TSS-38","BSGatlas-TSS-38")</f>
        <v>BSGatlas-TSS-38</v>
      </c>
      <c r="B39" s="3">
        <v>45524</v>
      </c>
      <c r="C39" s="1" t="s">
        <v>9</v>
      </c>
      <c r="D39" s="1">
        <v>22</v>
      </c>
      <c r="E39" s="1" t="s">
        <v>14722</v>
      </c>
      <c r="F39" s="6"/>
      <c r="G39" s="1" t="s">
        <v>14733</v>
      </c>
    </row>
    <row r="40" spans="1:7" ht="21" x14ac:dyDescent="0.25">
      <c r="A40" s="2" t="str">
        <f>HYPERLINK("https://rth.dk/resources/bsgatlas/details.php?id=BSGatlas-TSS-39","BSGatlas-TSS-39")</f>
        <v>BSGatlas-TSS-39</v>
      </c>
      <c r="B40" s="3">
        <v>46389</v>
      </c>
      <c r="C40" s="1" t="s">
        <v>13</v>
      </c>
      <c r="D40" s="1">
        <v>22</v>
      </c>
      <c r="E40" s="1" t="s">
        <v>14722</v>
      </c>
      <c r="F40" s="6"/>
      <c r="G40" s="1" t="s">
        <v>14726</v>
      </c>
    </row>
    <row r="41" spans="1:7" ht="21" x14ac:dyDescent="0.25">
      <c r="A41" s="2" t="str">
        <f>HYPERLINK("https://rth.dk/resources/bsgatlas/details.php?id=BSGatlas-TSS-40","BSGatlas-TSS-40")</f>
        <v>BSGatlas-TSS-40</v>
      </c>
      <c r="B41" s="3">
        <v>48556</v>
      </c>
      <c r="C41" s="1" t="s">
        <v>9</v>
      </c>
      <c r="D41" s="1">
        <v>22</v>
      </c>
      <c r="E41" s="1" t="s">
        <v>14727</v>
      </c>
      <c r="F41" s="6"/>
      <c r="G41" s="1" t="s">
        <v>14726</v>
      </c>
    </row>
    <row r="42" spans="1:7" ht="21" x14ac:dyDescent="0.25">
      <c r="A42" s="2" t="str">
        <f>HYPERLINK("https://rth.dk/resources/bsgatlas/details.php?id=BSGatlas-TSS-41","BSGatlas-TSS-41")</f>
        <v>BSGatlas-TSS-41</v>
      </c>
      <c r="B42" s="3">
        <v>48616</v>
      </c>
      <c r="C42" s="1" t="s">
        <v>9</v>
      </c>
      <c r="D42" s="1">
        <v>22</v>
      </c>
      <c r="E42" s="1" t="s">
        <v>14722</v>
      </c>
      <c r="F42" s="6"/>
      <c r="G42" s="1" t="s">
        <v>14726</v>
      </c>
    </row>
    <row r="43" spans="1:7" ht="21" x14ac:dyDescent="0.25">
      <c r="A43" s="2" t="str">
        <f>HYPERLINK("https://rth.dk/resources/bsgatlas/details.php?id=BSGatlas-TSS-42","BSGatlas-TSS-42")</f>
        <v>BSGatlas-TSS-42</v>
      </c>
      <c r="B43" s="3">
        <v>48667</v>
      </c>
      <c r="C43" s="1" t="s">
        <v>9</v>
      </c>
      <c r="D43" s="1">
        <v>22</v>
      </c>
      <c r="E43" s="1" t="s">
        <v>14722</v>
      </c>
      <c r="F43" s="6"/>
      <c r="G43" s="1" t="s">
        <v>14726</v>
      </c>
    </row>
    <row r="44" spans="1:7" ht="21" x14ac:dyDescent="0.25">
      <c r="A44" s="2" t="str">
        <f>HYPERLINK("https://rth.dk/resources/bsgatlas/details.php?id=BSGatlas-TSS-43","BSGatlas-TSS-43")</f>
        <v>BSGatlas-TSS-43</v>
      </c>
      <c r="B44" s="3">
        <v>49987</v>
      </c>
      <c r="C44" s="1" t="s">
        <v>9</v>
      </c>
      <c r="D44" s="1">
        <v>22</v>
      </c>
      <c r="E44" s="1" t="s">
        <v>14722</v>
      </c>
      <c r="F44" s="6"/>
      <c r="G44" s="1" t="s">
        <v>14733</v>
      </c>
    </row>
    <row r="45" spans="1:7" ht="21" x14ac:dyDescent="0.25">
      <c r="A45" s="2" t="str">
        <f>HYPERLINK("https://rth.dk/resources/bsgatlas/details.php?id=BSGatlas-TSS-44","BSGatlas-TSS-44")</f>
        <v>BSGatlas-TSS-44</v>
      </c>
      <c r="B45" s="3">
        <v>50027</v>
      </c>
      <c r="C45" s="1" t="s">
        <v>13</v>
      </c>
      <c r="D45" s="1">
        <v>22</v>
      </c>
      <c r="E45" s="1" t="s">
        <v>14739</v>
      </c>
      <c r="F45" s="6"/>
      <c r="G45" s="1" t="s">
        <v>14726</v>
      </c>
    </row>
    <row r="46" spans="1:7" ht="21" x14ac:dyDescent="0.25">
      <c r="A46" s="2" t="str">
        <f>HYPERLINK("https://rth.dk/resources/bsgatlas/details.php?id=BSGatlas-TSS-45","BSGatlas-TSS-45")</f>
        <v>BSGatlas-TSS-45</v>
      </c>
      <c r="B46" s="3">
        <v>50097</v>
      </c>
      <c r="C46" s="1" t="s">
        <v>9</v>
      </c>
      <c r="D46" s="1">
        <v>22</v>
      </c>
      <c r="E46" s="1" t="s">
        <v>14720</v>
      </c>
      <c r="F46" s="6"/>
      <c r="G46" s="1" t="s">
        <v>14726</v>
      </c>
    </row>
    <row r="47" spans="1:7" ht="21" x14ac:dyDescent="0.25">
      <c r="A47" s="2" t="str">
        <f>HYPERLINK("https://rth.dk/resources/bsgatlas/details.php?id=BSGatlas-TSS-46","BSGatlas-TSS-46")</f>
        <v>BSGatlas-TSS-46</v>
      </c>
      <c r="B47" s="3">
        <v>51571</v>
      </c>
      <c r="C47" s="1" t="s">
        <v>9</v>
      </c>
      <c r="D47" s="1">
        <v>0</v>
      </c>
      <c r="E47" s="1" t="s">
        <v>14725</v>
      </c>
      <c r="F47" s="6" t="s">
        <v>14741</v>
      </c>
      <c r="G47" s="1" t="s">
        <v>14724</v>
      </c>
    </row>
    <row r="48" spans="1:7" ht="21" x14ac:dyDescent="0.25">
      <c r="A48" s="2" t="str">
        <f>HYPERLINK("https://rth.dk/resources/bsgatlas/details.php?id=BSGatlas-TSS-47","BSGatlas-TSS-47")</f>
        <v>BSGatlas-TSS-47</v>
      </c>
      <c r="B48" s="3">
        <v>52649</v>
      </c>
      <c r="C48" s="1" t="s">
        <v>9</v>
      </c>
      <c r="D48" s="1">
        <v>33</v>
      </c>
      <c r="E48" s="1" t="s">
        <v>14720</v>
      </c>
      <c r="F48" s="6"/>
      <c r="G48" s="1" t="s">
        <v>14721</v>
      </c>
    </row>
    <row r="49" spans="1:7" ht="21" x14ac:dyDescent="0.25">
      <c r="A49" s="2" t="str">
        <f>HYPERLINK("https://rth.dk/resources/bsgatlas/details.php?id=BSGatlas-TSS-48","BSGatlas-TSS-48")</f>
        <v>BSGatlas-TSS-48</v>
      </c>
      <c r="B49" s="3">
        <v>52721</v>
      </c>
      <c r="C49" s="1" t="s">
        <v>9</v>
      </c>
      <c r="D49" s="1">
        <v>22</v>
      </c>
      <c r="E49" s="1" t="s">
        <v>14722</v>
      </c>
      <c r="F49" s="6"/>
      <c r="G49" s="1" t="s">
        <v>14726</v>
      </c>
    </row>
    <row r="50" spans="1:7" ht="21" x14ac:dyDescent="0.25">
      <c r="A50" s="2" t="str">
        <f>HYPERLINK("https://rth.dk/resources/bsgatlas/details.php?id=BSGatlas-TSS-49","BSGatlas-TSS-49")</f>
        <v>BSGatlas-TSS-49</v>
      </c>
      <c r="B50" s="3">
        <v>52747</v>
      </c>
      <c r="C50" s="1" t="s">
        <v>13</v>
      </c>
      <c r="D50" s="1">
        <v>22</v>
      </c>
      <c r="E50" s="1" t="s">
        <v>14720</v>
      </c>
      <c r="F50" s="6"/>
      <c r="G50" s="1" t="s">
        <v>14726</v>
      </c>
    </row>
    <row r="51" spans="1:7" ht="21" x14ac:dyDescent="0.25">
      <c r="A51" s="2" t="str">
        <f>HYPERLINK("https://rth.dk/resources/bsgatlas/details.php?id=BSGatlas-TSS-50","BSGatlas-TSS-50")</f>
        <v>BSGatlas-TSS-50</v>
      </c>
      <c r="B51" s="3">
        <v>52748</v>
      </c>
      <c r="C51" s="1" t="s">
        <v>9</v>
      </c>
      <c r="D51" s="1">
        <v>0</v>
      </c>
      <c r="E51" s="1" t="s">
        <v>14722</v>
      </c>
      <c r="F51" s="6" t="s">
        <v>14742</v>
      </c>
      <c r="G51" s="1" t="s">
        <v>4684</v>
      </c>
    </row>
    <row r="52" spans="1:7" ht="21" x14ac:dyDescent="0.25">
      <c r="A52" s="2" t="str">
        <f>HYPERLINK("https://rth.dk/resources/bsgatlas/details.php?id=BSGatlas-TSS-51","BSGatlas-TSS-51")</f>
        <v>BSGatlas-TSS-51</v>
      </c>
      <c r="B52" s="3">
        <v>53122</v>
      </c>
      <c r="C52" s="1" t="s">
        <v>9</v>
      </c>
      <c r="D52" s="1">
        <v>0</v>
      </c>
      <c r="E52" s="1" t="s">
        <v>14743</v>
      </c>
      <c r="F52" s="6" t="s">
        <v>14744</v>
      </c>
      <c r="G52" s="1" t="s">
        <v>14724</v>
      </c>
    </row>
    <row r="53" spans="1:7" ht="21" x14ac:dyDescent="0.25">
      <c r="A53" s="2" t="str">
        <f>HYPERLINK("https://rth.dk/resources/bsgatlas/details.php?id=BSGatlas-TSS-52","BSGatlas-TSS-52")</f>
        <v>BSGatlas-TSS-52</v>
      </c>
      <c r="B53" s="3">
        <v>53469</v>
      </c>
      <c r="C53" s="1" t="s">
        <v>9</v>
      </c>
      <c r="D53" s="1">
        <v>22</v>
      </c>
      <c r="E53" s="1" t="s">
        <v>14722</v>
      </c>
      <c r="F53" s="6"/>
      <c r="G53" s="1" t="s">
        <v>14726</v>
      </c>
    </row>
    <row r="54" spans="1:7" ht="21" x14ac:dyDescent="0.25">
      <c r="A54" s="2" t="str">
        <f>HYPERLINK("https://rth.dk/resources/bsgatlas/details.php?id=BSGatlas-TSS-53","BSGatlas-TSS-53")</f>
        <v>BSGatlas-TSS-53</v>
      </c>
      <c r="B54" s="3">
        <v>55718</v>
      </c>
      <c r="C54" s="1" t="s">
        <v>13</v>
      </c>
      <c r="D54" s="1">
        <v>22</v>
      </c>
      <c r="E54" s="1" t="s">
        <v>14727</v>
      </c>
      <c r="F54" s="6"/>
      <c r="G54" s="1" t="s">
        <v>14726</v>
      </c>
    </row>
    <row r="55" spans="1:7" ht="21" x14ac:dyDescent="0.25">
      <c r="A55" s="2" t="str">
        <f>HYPERLINK("https://rth.dk/resources/bsgatlas/details.php?id=BSGatlas-TSS-54","BSGatlas-TSS-54")</f>
        <v>BSGatlas-TSS-54</v>
      </c>
      <c r="B55" s="3">
        <v>55830</v>
      </c>
      <c r="C55" s="1" t="s">
        <v>9</v>
      </c>
      <c r="D55" s="1">
        <v>0</v>
      </c>
      <c r="E55" s="1" t="s">
        <v>14745</v>
      </c>
      <c r="F55" s="6" t="s">
        <v>14746</v>
      </c>
      <c r="G55" s="1" t="s">
        <v>14747</v>
      </c>
    </row>
    <row r="56" spans="1:7" ht="21" x14ac:dyDescent="0.25">
      <c r="A56" s="2" t="str">
        <f>HYPERLINK("https://rth.dk/resources/bsgatlas/details.php?id=BSGatlas-TSS-55","BSGatlas-TSS-55")</f>
        <v>BSGatlas-TSS-55</v>
      </c>
      <c r="B56" s="3">
        <v>55831</v>
      </c>
      <c r="C56" s="1" t="s">
        <v>9</v>
      </c>
      <c r="D56" s="1">
        <v>0</v>
      </c>
      <c r="E56" s="1" t="s">
        <v>14745</v>
      </c>
      <c r="F56" s="6" t="s">
        <v>14748</v>
      </c>
      <c r="G56" s="1" t="s">
        <v>14730</v>
      </c>
    </row>
    <row r="57" spans="1:7" ht="21" x14ac:dyDescent="0.25">
      <c r="A57" s="2" t="str">
        <f>HYPERLINK("https://rth.dk/resources/bsgatlas/details.php?id=BSGatlas-TSS-56","BSGatlas-TSS-56")</f>
        <v>BSGatlas-TSS-56</v>
      </c>
      <c r="B57" s="3">
        <v>56324</v>
      </c>
      <c r="C57" s="1" t="s">
        <v>9</v>
      </c>
      <c r="D57" s="1">
        <v>0</v>
      </c>
      <c r="E57" s="1" t="s">
        <v>14722</v>
      </c>
      <c r="F57" s="6" t="s">
        <v>14749</v>
      </c>
      <c r="G57" s="1" t="s">
        <v>14729</v>
      </c>
    </row>
    <row r="58" spans="1:7" ht="21" x14ac:dyDescent="0.25">
      <c r="A58" s="2" t="str">
        <f>HYPERLINK("https://rth.dk/resources/bsgatlas/details.php?id=BSGatlas-TSS-57","BSGatlas-TSS-57")</f>
        <v>BSGatlas-TSS-57</v>
      </c>
      <c r="B58" s="3">
        <v>58748</v>
      </c>
      <c r="C58" s="1" t="s">
        <v>9</v>
      </c>
      <c r="D58" s="1">
        <v>0</v>
      </c>
      <c r="E58" s="1" t="s">
        <v>14734</v>
      </c>
      <c r="F58" s="6" t="s">
        <v>14750</v>
      </c>
      <c r="G58" s="1" t="s">
        <v>14730</v>
      </c>
    </row>
    <row r="59" spans="1:7" ht="21" x14ac:dyDescent="0.25">
      <c r="A59" s="2" t="str">
        <f>HYPERLINK("https://rth.dk/resources/bsgatlas/details.php?id=BSGatlas-TSS-58","BSGatlas-TSS-58")</f>
        <v>BSGatlas-TSS-58</v>
      </c>
      <c r="B59" s="3">
        <v>59689</v>
      </c>
      <c r="C59" s="1" t="s">
        <v>9</v>
      </c>
      <c r="D59" s="1">
        <v>22</v>
      </c>
      <c r="E59" s="1" t="s">
        <v>14720</v>
      </c>
      <c r="F59" s="6"/>
      <c r="G59" s="1" t="s">
        <v>14726</v>
      </c>
    </row>
    <row r="60" spans="1:7" ht="21" x14ac:dyDescent="0.25">
      <c r="A60" s="2" t="str">
        <f>HYPERLINK("https://rth.dk/resources/bsgatlas/details.php?id=BSGatlas-TSS-59","BSGatlas-TSS-59")</f>
        <v>BSGatlas-TSS-59</v>
      </c>
      <c r="B60" s="3">
        <v>64016</v>
      </c>
      <c r="C60" s="1" t="s">
        <v>9</v>
      </c>
      <c r="D60" s="1">
        <v>0</v>
      </c>
      <c r="E60" s="1" t="s">
        <v>14743</v>
      </c>
      <c r="F60" s="6" t="s">
        <v>14751</v>
      </c>
      <c r="G60" s="1" t="s">
        <v>14724</v>
      </c>
    </row>
    <row r="61" spans="1:7" ht="21" x14ac:dyDescent="0.25">
      <c r="A61" s="2" t="str">
        <f>HYPERLINK("https://rth.dk/resources/bsgatlas/details.php?id=BSGatlas-TSS-60","BSGatlas-TSS-60")</f>
        <v>BSGatlas-TSS-60</v>
      </c>
      <c r="B61" s="3">
        <v>64746</v>
      </c>
      <c r="C61" s="1" t="s">
        <v>9</v>
      </c>
      <c r="D61" s="1">
        <v>22</v>
      </c>
      <c r="E61" s="1" t="s">
        <v>14722</v>
      </c>
      <c r="F61" s="6"/>
      <c r="G61" s="1" t="s">
        <v>14726</v>
      </c>
    </row>
    <row r="62" spans="1:7" ht="21" x14ac:dyDescent="0.25">
      <c r="A62" s="2" t="str">
        <f>HYPERLINK("https://rth.dk/resources/bsgatlas/details.php?id=BSGatlas-TSS-61","BSGatlas-TSS-61")</f>
        <v>BSGatlas-TSS-61</v>
      </c>
      <c r="B62" s="3">
        <v>66322</v>
      </c>
      <c r="C62" s="1" t="s">
        <v>9</v>
      </c>
      <c r="D62" s="1">
        <v>22</v>
      </c>
      <c r="E62" s="1" t="s">
        <v>14722</v>
      </c>
      <c r="F62" s="6"/>
      <c r="G62" s="1" t="s">
        <v>14726</v>
      </c>
    </row>
    <row r="63" spans="1:7" ht="21" x14ac:dyDescent="0.25">
      <c r="A63" s="2" t="str">
        <f>HYPERLINK("https://rth.dk/resources/bsgatlas/details.php?id=BSGatlas-TSS-62","BSGatlas-TSS-62")</f>
        <v>BSGatlas-TSS-62</v>
      </c>
      <c r="B63" s="3">
        <v>67081</v>
      </c>
      <c r="C63" s="1" t="s">
        <v>9</v>
      </c>
      <c r="D63" s="1">
        <v>22</v>
      </c>
      <c r="E63" s="1" t="s">
        <v>14752</v>
      </c>
      <c r="F63" s="6"/>
      <c r="G63" s="1" t="s">
        <v>14726</v>
      </c>
    </row>
    <row r="64" spans="1:7" ht="21" x14ac:dyDescent="0.25">
      <c r="A64" s="2" t="str">
        <f>HYPERLINK("https://rth.dk/resources/bsgatlas/details.php?id=BSGatlas-TSS-63","BSGatlas-TSS-63")</f>
        <v>BSGatlas-TSS-63</v>
      </c>
      <c r="B64" s="3">
        <v>67509</v>
      </c>
      <c r="C64" s="1" t="s">
        <v>13</v>
      </c>
      <c r="D64" s="1">
        <v>22</v>
      </c>
      <c r="E64" s="1" t="s">
        <v>14720</v>
      </c>
      <c r="F64" s="6"/>
      <c r="G64" s="1" t="s">
        <v>14726</v>
      </c>
    </row>
    <row r="65" spans="1:7" ht="21" x14ac:dyDescent="0.25">
      <c r="A65" s="2" t="str">
        <f>HYPERLINK("https://rth.dk/resources/bsgatlas/details.php?id=BSGatlas-TSS-64","BSGatlas-TSS-64")</f>
        <v>BSGatlas-TSS-64</v>
      </c>
      <c r="B65" s="3">
        <v>68178</v>
      </c>
      <c r="C65" s="1" t="s">
        <v>9</v>
      </c>
      <c r="D65" s="1">
        <v>0</v>
      </c>
      <c r="E65" s="1" t="s">
        <v>14735</v>
      </c>
      <c r="F65" s="6">
        <v>11283287</v>
      </c>
      <c r="G65" s="1" t="s">
        <v>14730</v>
      </c>
    </row>
    <row r="66" spans="1:7" ht="21" x14ac:dyDescent="0.25">
      <c r="A66" s="2" t="str">
        <f>HYPERLINK("https://rth.dk/resources/bsgatlas/details.php?id=BSGatlas-TSS-65","BSGatlas-TSS-65")</f>
        <v>BSGatlas-TSS-65</v>
      </c>
      <c r="B66" s="3">
        <v>69054</v>
      </c>
      <c r="C66" s="1" t="s">
        <v>9</v>
      </c>
      <c r="D66" s="1">
        <v>0</v>
      </c>
      <c r="E66" s="1" t="s">
        <v>14753</v>
      </c>
      <c r="F66" s="6" t="s">
        <v>14754</v>
      </c>
      <c r="G66" s="1" t="s">
        <v>14730</v>
      </c>
    </row>
    <row r="67" spans="1:7" ht="21" x14ac:dyDescent="0.25">
      <c r="A67" s="2" t="str">
        <f>HYPERLINK("https://rth.dk/resources/bsgatlas/details.php?id=BSGatlas-TSS-66","BSGatlas-TSS-66")</f>
        <v>BSGatlas-TSS-66</v>
      </c>
      <c r="B67" s="3">
        <v>69105</v>
      </c>
      <c r="C67" s="1" t="s">
        <v>9</v>
      </c>
      <c r="D67" s="1">
        <v>22</v>
      </c>
      <c r="E67" s="1" t="s">
        <v>14745</v>
      </c>
      <c r="F67" s="6"/>
      <c r="G67" s="1" t="s">
        <v>14726</v>
      </c>
    </row>
    <row r="68" spans="1:7" ht="21" x14ac:dyDescent="0.25">
      <c r="A68" s="2" t="str">
        <f>HYPERLINK("https://rth.dk/resources/bsgatlas/details.php?id=BSGatlas-TSS-67","BSGatlas-TSS-67")</f>
        <v>BSGatlas-TSS-67</v>
      </c>
      <c r="B68" s="3">
        <v>70156</v>
      </c>
      <c r="C68" s="1" t="s">
        <v>9</v>
      </c>
      <c r="D68" s="1">
        <v>22</v>
      </c>
      <c r="E68" s="1" t="s">
        <v>14722</v>
      </c>
      <c r="F68" s="6"/>
      <c r="G68" s="1" t="s">
        <v>14726</v>
      </c>
    </row>
    <row r="69" spans="1:7" ht="21" x14ac:dyDescent="0.25">
      <c r="A69" s="2" t="str">
        <f>HYPERLINK("https://rth.dk/resources/bsgatlas/details.php?id=BSGatlas-TSS-68","BSGatlas-TSS-68")</f>
        <v>BSGatlas-TSS-68</v>
      </c>
      <c r="B69" s="3">
        <v>70509</v>
      </c>
      <c r="C69" s="1" t="s">
        <v>9</v>
      </c>
      <c r="D69" s="1">
        <v>0</v>
      </c>
      <c r="E69" s="1" t="s">
        <v>14722</v>
      </c>
      <c r="F69" s="6" t="s">
        <v>14755</v>
      </c>
      <c r="G69" s="1" t="s">
        <v>14729</v>
      </c>
    </row>
    <row r="70" spans="1:7" ht="21" x14ac:dyDescent="0.25">
      <c r="A70" s="2" t="str">
        <f>HYPERLINK("https://rth.dk/resources/bsgatlas/details.php?id=BSGatlas-TSS-69","BSGatlas-TSS-69")</f>
        <v>BSGatlas-TSS-69</v>
      </c>
      <c r="B70" s="3">
        <v>71798</v>
      </c>
      <c r="C70" s="1" t="s">
        <v>13</v>
      </c>
      <c r="D70" s="1">
        <v>22</v>
      </c>
      <c r="E70" s="1" t="s">
        <v>14727</v>
      </c>
      <c r="F70" s="6"/>
      <c r="G70" s="1" t="s">
        <v>14726</v>
      </c>
    </row>
    <row r="71" spans="1:7" ht="21" x14ac:dyDescent="0.25">
      <c r="A71" s="2" t="str">
        <f>HYPERLINK("https://rth.dk/resources/bsgatlas/details.php?id=BSGatlas-TSS-70","BSGatlas-TSS-70")</f>
        <v>BSGatlas-TSS-70</v>
      </c>
      <c r="B71" s="3">
        <v>72031</v>
      </c>
      <c r="C71" s="1" t="s">
        <v>9</v>
      </c>
      <c r="D71" s="1">
        <v>22</v>
      </c>
      <c r="E71" s="1" t="s">
        <v>14734</v>
      </c>
      <c r="F71" s="6"/>
      <c r="G71" s="1" t="s">
        <v>14726</v>
      </c>
    </row>
    <row r="72" spans="1:7" ht="21" x14ac:dyDescent="0.25">
      <c r="A72" s="2" t="str">
        <f>HYPERLINK("https://rth.dk/resources/bsgatlas/details.php?id=BSGatlas-TSS-71","BSGatlas-TSS-71")</f>
        <v>BSGatlas-TSS-71</v>
      </c>
      <c r="B72" s="3">
        <v>73065</v>
      </c>
      <c r="C72" s="1" t="s">
        <v>9</v>
      </c>
      <c r="D72" s="1">
        <v>22</v>
      </c>
      <c r="E72" s="1" t="s">
        <v>14727</v>
      </c>
      <c r="F72" s="6"/>
      <c r="G72" s="1" t="s">
        <v>14726</v>
      </c>
    </row>
    <row r="73" spans="1:7" ht="21" x14ac:dyDescent="0.25">
      <c r="A73" s="2" t="str">
        <f>HYPERLINK("https://rth.dk/resources/bsgatlas/details.php?id=BSGatlas-TSS-72","BSGatlas-TSS-72")</f>
        <v>BSGatlas-TSS-72</v>
      </c>
      <c r="B73" s="3">
        <v>74385</v>
      </c>
      <c r="C73" s="1" t="s">
        <v>9</v>
      </c>
      <c r="D73" s="1">
        <v>22</v>
      </c>
      <c r="E73" s="1" t="s">
        <v>14734</v>
      </c>
      <c r="F73" s="6"/>
      <c r="G73" s="1" t="s">
        <v>14726</v>
      </c>
    </row>
    <row r="74" spans="1:7" ht="21" x14ac:dyDescent="0.25">
      <c r="A74" s="2" t="str">
        <f>HYPERLINK("https://rth.dk/resources/bsgatlas/details.php?id=BSGatlas-TSS-73","BSGatlas-TSS-73")</f>
        <v>BSGatlas-TSS-73</v>
      </c>
      <c r="B74" s="3">
        <v>74886</v>
      </c>
      <c r="C74" s="1" t="s">
        <v>9</v>
      </c>
      <c r="D74" s="1">
        <v>22</v>
      </c>
      <c r="E74" s="1" t="s">
        <v>14722</v>
      </c>
      <c r="F74" s="6"/>
      <c r="G74" s="1" t="s">
        <v>14726</v>
      </c>
    </row>
    <row r="75" spans="1:7" ht="21" x14ac:dyDescent="0.25">
      <c r="A75" s="2" t="str">
        <f>HYPERLINK("https://rth.dk/resources/bsgatlas/details.php?id=BSGatlas-TSS-74","BSGatlas-TSS-74")</f>
        <v>BSGatlas-TSS-74</v>
      </c>
      <c r="B75" s="3">
        <v>75749</v>
      </c>
      <c r="C75" s="1" t="s">
        <v>9</v>
      </c>
      <c r="D75" s="1">
        <v>22</v>
      </c>
      <c r="E75" s="1" t="s">
        <v>14722</v>
      </c>
      <c r="F75" s="6"/>
      <c r="G75" s="1" t="s">
        <v>14726</v>
      </c>
    </row>
    <row r="76" spans="1:7" ht="21" x14ac:dyDescent="0.25">
      <c r="A76" s="2" t="str">
        <f>HYPERLINK("https://rth.dk/resources/bsgatlas/details.php?id=BSGatlas-TSS-75","BSGatlas-TSS-75")</f>
        <v>BSGatlas-TSS-75</v>
      </c>
      <c r="B76" s="3">
        <v>76749</v>
      </c>
      <c r="C76" s="1" t="s">
        <v>13</v>
      </c>
      <c r="D76" s="1">
        <v>22</v>
      </c>
      <c r="E76" s="1" t="s">
        <v>14720</v>
      </c>
      <c r="F76" s="6"/>
      <c r="G76" s="1" t="s">
        <v>14726</v>
      </c>
    </row>
    <row r="77" spans="1:7" ht="21" x14ac:dyDescent="0.25">
      <c r="A77" s="2" t="str">
        <f>HYPERLINK("https://rth.dk/resources/bsgatlas/details.php?id=BSGatlas-TSS-76","BSGatlas-TSS-76")</f>
        <v>BSGatlas-TSS-76</v>
      </c>
      <c r="B77" s="3">
        <v>76954</v>
      </c>
      <c r="C77" s="1" t="s">
        <v>9</v>
      </c>
      <c r="D77" s="1">
        <v>0</v>
      </c>
      <c r="E77" s="1" t="s">
        <v>14722</v>
      </c>
      <c r="F77" s="6" t="s">
        <v>14756</v>
      </c>
      <c r="G77" s="1" t="s">
        <v>4382</v>
      </c>
    </row>
    <row r="78" spans="1:7" ht="21" x14ac:dyDescent="0.25">
      <c r="A78" s="2" t="str">
        <f>HYPERLINK("https://rth.dk/resources/bsgatlas/details.php?id=BSGatlas-TSS-77","BSGatlas-TSS-77")</f>
        <v>BSGatlas-TSS-77</v>
      </c>
      <c r="B78" s="3">
        <v>78942</v>
      </c>
      <c r="C78" s="1" t="s">
        <v>13</v>
      </c>
      <c r="D78" s="1">
        <v>22</v>
      </c>
      <c r="E78" s="1" t="s">
        <v>14720</v>
      </c>
      <c r="F78" s="6"/>
      <c r="G78" s="1" t="s">
        <v>14726</v>
      </c>
    </row>
    <row r="79" spans="1:7" ht="21" x14ac:dyDescent="0.25">
      <c r="A79" s="2" t="str">
        <f>HYPERLINK("https://rth.dk/resources/bsgatlas/details.php?id=BSGatlas-TSS-78","BSGatlas-TSS-78")</f>
        <v>BSGatlas-TSS-78</v>
      </c>
      <c r="B79" s="3">
        <v>79027</v>
      </c>
      <c r="C79" s="1" t="s">
        <v>9</v>
      </c>
      <c r="D79" s="1">
        <v>22</v>
      </c>
      <c r="E79" s="1" t="s">
        <v>14722</v>
      </c>
      <c r="F79" s="6"/>
      <c r="G79" s="1" t="s">
        <v>14733</v>
      </c>
    </row>
    <row r="80" spans="1:7" ht="21" x14ac:dyDescent="0.25">
      <c r="A80" s="2" t="str">
        <f>HYPERLINK("https://rth.dk/resources/bsgatlas/details.php?id=BSGatlas-TSS-79","BSGatlas-TSS-79")</f>
        <v>BSGatlas-TSS-79</v>
      </c>
      <c r="B80" s="3">
        <v>81448</v>
      </c>
      <c r="C80" s="1" t="s">
        <v>9</v>
      </c>
      <c r="D80" s="1">
        <v>22</v>
      </c>
      <c r="E80" s="1" t="s">
        <v>14727</v>
      </c>
      <c r="F80" s="6"/>
      <c r="G80" s="1" t="s">
        <v>14726</v>
      </c>
    </row>
    <row r="81" spans="1:7" ht="21" x14ac:dyDescent="0.25">
      <c r="A81" s="2" t="str">
        <f>HYPERLINK("https://rth.dk/resources/bsgatlas/details.php?id=BSGatlas-TSS-80","BSGatlas-TSS-80")</f>
        <v>BSGatlas-TSS-80</v>
      </c>
      <c r="B81" s="3">
        <v>81731</v>
      </c>
      <c r="C81" s="1" t="s">
        <v>9</v>
      </c>
      <c r="D81" s="1">
        <v>0</v>
      </c>
      <c r="E81" s="1" t="s">
        <v>14722</v>
      </c>
      <c r="F81" s="6" t="s">
        <v>14757</v>
      </c>
      <c r="G81" s="1" t="s">
        <v>14729</v>
      </c>
    </row>
    <row r="82" spans="1:7" ht="21" x14ac:dyDescent="0.25">
      <c r="A82" s="2" t="str">
        <f>HYPERLINK("https://rth.dk/resources/bsgatlas/details.php?id=BSGatlas-TSS-81","BSGatlas-TSS-81")</f>
        <v>BSGatlas-TSS-81</v>
      </c>
      <c r="B82" s="3">
        <v>82768</v>
      </c>
      <c r="C82" s="1" t="s">
        <v>9</v>
      </c>
      <c r="D82" s="1">
        <v>22</v>
      </c>
      <c r="E82" s="1" t="s">
        <v>14758</v>
      </c>
      <c r="F82" s="6"/>
      <c r="G82" s="1" t="s">
        <v>14726</v>
      </c>
    </row>
    <row r="83" spans="1:7" ht="21" x14ac:dyDescent="0.25">
      <c r="A83" s="2" t="str">
        <f>HYPERLINK("https://rth.dk/resources/bsgatlas/details.php?id=BSGatlas-TSS-82","BSGatlas-TSS-82")</f>
        <v>BSGatlas-TSS-82</v>
      </c>
      <c r="B83" s="3">
        <v>82831</v>
      </c>
      <c r="C83" s="1" t="s">
        <v>9</v>
      </c>
      <c r="D83" s="1">
        <v>0</v>
      </c>
      <c r="E83" s="1" t="s">
        <v>14722</v>
      </c>
      <c r="F83" s="6" t="s">
        <v>14759</v>
      </c>
      <c r="G83" s="1" t="s">
        <v>14729</v>
      </c>
    </row>
    <row r="84" spans="1:7" ht="21" x14ac:dyDescent="0.25">
      <c r="A84" s="2" t="str">
        <f>HYPERLINK("https://rth.dk/resources/bsgatlas/details.php?id=BSGatlas-TSS-83","BSGatlas-TSS-83")</f>
        <v>BSGatlas-TSS-83</v>
      </c>
      <c r="B84" s="3">
        <v>83692</v>
      </c>
      <c r="C84" s="1" t="s">
        <v>9</v>
      </c>
      <c r="D84" s="1">
        <v>22</v>
      </c>
      <c r="E84" s="1" t="s">
        <v>14722</v>
      </c>
      <c r="F84" s="6"/>
      <c r="G84" s="1" t="s">
        <v>14726</v>
      </c>
    </row>
    <row r="85" spans="1:7" ht="21" x14ac:dyDescent="0.25">
      <c r="A85" s="2" t="str">
        <f>HYPERLINK("https://rth.dk/resources/bsgatlas/details.php?id=BSGatlas-TSS-84","BSGatlas-TSS-84")</f>
        <v>BSGatlas-TSS-84</v>
      </c>
      <c r="B85" s="3">
        <v>84066</v>
      </c>
      <c r="C85" s="1" t="s">
        <v>9</v>
      </c>
      <c r="D85" s="1">
        <v>22</v>
      </c>
      <c r="E85" s="1" t="s">
        <v>14722</v>
      </c>
      <c r="F85" s="6"/>
      <c r="G85" s="1" t="s">
        <v>14726</v>
      </c>
    </row>
    <row r="86" spans="1:7" ht="21" x14ac:dyDescent="0.25">
      <c r="A86" s="2" t="str">
        <f>HYPERLINK("https://rth.dk/resources/bsgatlas/details.php?id=BSGatlas-TSS-85","BSGatlas-TSS-85")</f>
        <v>BSGatlas-TSS-85</v>
      </c>
      <c r="B86" s="3">
        <v>89566</v>
      </c>
      <c r="C86" s="1" t="s">
        <v>13</v>
      </c>
      <c r="D86" s="1">
        <v>22</v>
      </c>
      <c r="E86" s="1" t="s">
        <v>14727</v>
      </c>
      <c r="F86" s="6"/>
      <c r="G86" s="1" t="s">
        <v>14726</v>
      </c>
    </row>
    <row r="87" spans="1:7" ht="21" x14ac:dyDescent="0.25">
      <c r="A87" s="2" t="str">
        <f>HYPERLINK("https://rth.dk/resources/bsgatlas/details.php?id=BSGatlas-TSS-86","BSGatlas-TSS-86")</f>
        <v>BSGatlas-TSS-86</v>
      </c>
      <c r="B87" s="3">
        <v>90318</v>
      </c>
      <c r="C87" s="1" t="s">
        <v>9</v>
      </c>
      <c r="D87" s="1">
        <v>22</v>
      </c>
      <c r="E87" s="1" t="s">
        <v>14722</v>
      </c>
      <c r="F87" s="6"/>
      <c r="G87" s="1" t="s">
        <v>14733</v>
      </c>
    </row>
    <row r="88" spans="1:7" ht="21" x14ac:dyDescent="0.25">
      <c r="A88" s="2" t="str">
        <f>HYPERLINK("https://rth.dk/resources/bsgatlas/details.php?id=BSGatlas-TSS-87","BSGatlas-TSS-87")</f>
        <v>BSGatlas-TSS-87</v>
      </c>
      <c r="B88" s="3">
        <v>101291</v>
      </c>
      <c r="C88" s="1" t="s">
        <v>9</v>
      </c>
      <c r="D88" s="1">
        <v>22</v>
      </c>
      <c r="E88" s="1" t="s">
        <v>14722</v>
      </c>
      <c r="F88" s="6"/>
      <c r="G88" s="1" t="s">
        <v>14726</v>
      </c>
    </row>
    <row r="89" spans="1:7" ht="21" x14ac:dyDescent="0.25">
      <c r="A89" s="2" t="str">
        <f>HYPERLINK("https://rth.dk/resources/bsgatlas/details.php?id=BSGatlas-TSS-88","BSGatlas-TSS-88")</f>
        <v>BSGatlas-TSS-88</v>
      </c>
      <c r="B89" s="3">
        <v>101360</v>
      </c>
      <c r="C89" s="1" t="s">
        <v>9</v>
      </c>
      <c r="D89" s="1">
        <v>0</v>
      </c>
      <c r="E89" s="1" t="s">
        <v>14734</v>
      </c>
      <c r="F89" s="6" t="s">
        <v>14760</v>
      </c>
      <c r="G89" s="1" t="s">
        <v>14729</v>
      </c>
    </row>
    <row r="90" spans="1:7" ht="21" x14ac:dyDescent="0.25">
      <c r="A90" s="2" t="str">
        <f>HYPERLINK("https://rth.dk/resources/bsgatlas/details.php?id=BSGatlas-TSS-89","BSGatlas-TSS-89")</f>
        <v>BSGatlas-TSS-89</v>
      </c>
      <c r="B90" s="3">
        <v>101409</v>
      </c>
      <c r="C90" s="1" t="s">
        <v>9</v>
      </c>
      <c r="D90" s="1">
        <v>0</v>
      </c>
      <c r="E90" s="1" t="s">
        <v>14722</v>
      </c>
      <c r="F90" s="6" t="s">
        <v>14760</v>
      </c>
      <c r="G90" s="1" t="s">
        <v>14729</v>
      </c>
    </row>
    <row r="91" spans="1:7" ht="21" x14ac:dyDescent="0.25">
      <c r="A91" s="2" t="str">
        <f>HYPERLINK("https://rth.dk/resources/bsgatlas/details.php?id=BSGatlas-TSS-90","BSGatlas-TSS-90")</f>
        <v>BSGatlas-TSS-90</v>
      </c>
      <c r="B91" s="3">
        <v>101566</v>
      </c>
      <c r="C91" s="1" t="s">
        <v>13</v>
      </c>
      <c r="D91" s="1">
        <v>22</v>
      </c>
      <c r="E91" s="1" t="s">
        <v>14720</v>
      </c>
      <c r="F91" s="6"/>
      <c r="G91" s="1" t="s">
        <v>14726</v>
      </c>
    </row>
    <row r="92" spans="1:7" ht="21" x14ac:dyDescent="0.25">
      <c r="A92" s="2" t="str">
        <f>HYPERLINK("https://rth.dk/resources/bsgatlas/details.php?id=BSGatlas-TSS-91","BSGatlas-TSS-91")</f>
        <v>BSGatlas-TSS-91</v>
      </c>
      <c r="B92" s="3">
        <v>106576</v>
      </c>
      <c r="C92" s="1" t="s">
        <v>9</v>
      </c>
      <c r="D92" s="1">
        <v>22</v>
      </c>
      <c r="E92" s="1" t="s">
        <v>14739</v>
      </c>
      <c r="F92" s="6"/>
      <c r="G92" s="1" t="s">
        <v>14726</v>
      </c>
    </row>
    <row r="93" spans="1:7" ht="21" x14ac:dyDescent="0.25">
      <c r="A93" s="2" t="str">
        <f>HYPERLINK("https://rth.dk/resources/bsgatlas/details.php?id=BSGatlas-TSS-92","BSGatlas-TSS-92")</f>
        <v>BSGatlas-TSS-92</v>
      </c>
      <c r="B93" s="3">
        <v>108598</v>
      </c>
      <c r="C93" s="1" t="s">
        <v>9</v>
      </c>
      <c r="D93" s="1">
        <v>0</v>
      </c>
      <c r="E93" s="1" t="s">
        <v>14734</v>
      </c>
      <c r="F93" s="6" t="s">
        <v>14761</v>
      </c>
      <c r="G93" s="1" t="s">
        <v>4382</v>
      </c>
    </row>
    <row r="94" spans="1:7" ht="21" x14ac:dyDescent="0.25">
      <c r="A94" s="2" t="str">
        <f>HYPERLINK("https://rth.dk/resources/bsgatlas/details.php?id=BSGatlas-TSS-93","BSGatlas-TSS-93")</f>
        <v>BSGatlas-TSS-93</v>
      </c>
      <c r="B94" s="3">
        <v>111003</v>
      </c>
      <c r="C94" s="1" t="s">
        <v>9</v>
      </c>
      <c r="D94" s="1">
        <v>0</v>
      </c>
      <c r="E94" s="1" t="s">
        <v>14722</v>
      </c>
      <c r="F94" s="6" t="s">
        <v>14762</v>
      </c>
      <c r="G94" s="1" t="s">
        <v>14729</v>
      </c>
    </row>
    <row r="95" spans="1:7" ht="21" x14ac:dyDescent="0.25">
      <c r="A95" s="2" t="str">
        <f>HYPERLINK("https://rth.dk/resources/bsgatlas/details.php?id=BSGatlas-TSS-94","BSGatlas-TSS-94")</f>
        <v>BSGatlas-TSS-94</v>
      </c>
      <c r="B95" s="3">
        <v>111999</v>
      </c>
      <c r="C95" s="1" t="s">
        <v>9</v>
      </c>
      <c r="D95" s="1">
        <v>22</v>
      </c>
      <c r="E95" s="1" t="s">
        <v>14725</v>
      </c>
      <c r="F95" s="6"/>
      <c r="G95" s="1" t="s">
        <v>14726</v>
      </c>
    </row>
    <row r="96" spans="1:7" ht="21" x14ac:dyDescent="0.25">
      <c r="A96" s="2" t="str">
        <f>HYPERLINK("https://rth.dk/resources/bsgatlas/details.php?id=BSGatlas-TSS-95","BSGatlas-TSS-95")</f>
        <v>BSGatlas-TSS-95</v>
      </c>
      <c r="B96" s="3">
        <v>116575</v>
      </c>
      <c r="C96" s="1" t="s">
        <v>9</v>
      </c>
      <c r="D96" s="1">
        <v>0</v>
      </c>
      <c r="E96" s="1" t="s">
        <v>14722</v>
      </c>
      <c r="F96" s="6" t="s">
        <v>14763</v>
      </c>
      <c r="G96" s="1" t="s">
        <v>14729</v>
      </c>
    </row>
    <row r="97" spans="1:7" ht="21" x14ac:dyDescent="0.25">
      <c r="A97" s="2" t="str">
        <f>HYPERLINK("https://rth.dk/resources/bsgatlas/details.php?id=BSGatlas-TSS-96","BSGatlas-TSS-96")</f>
        <v>BSGatlas-TSS-96</v>
      </c>
      <c r="B97" s="3">
        <v>117978</v>
      </c>
      <c r="C97" s="1" t="s">
        <v>13</v>
      </c>
      <c r="D97" s="1">
        <v>22</v>
      </c>
      <c r="E97" s="1" t="s">
        <v>14720</v>
      </c>
      <c r="F97" s="6"/>
      <c r="G97" s="1" t="s">
        <v>14726</v>
      </c>
    </row>
    <row r="98" spans="1:7" ht="21" x14ac:dyDescent="0.25">
      <c r="A98" s="2" t="str">
        <f>HYPERLINK("https://rth.dk/resources/bsgatlas/details.php?id=BSGatlas-TSS-97","BSGatlas-TSS-97")</f>
        <v>BSGatlas-TSS-97</v>
      </c>
      <c r="B98" s="3">
        <v>118452</v>
      </c>
      <c r="C98" s="1" t="s">
        <v>9</v>
      </c>
      <c r="D98" s="1">
        <v>22</v>
      </c>
      <c r="E98" s="1" t="s">
        <v>14722</v>
      </c>
      <c r="F98" s="6"/>
      <c r="G98" s="1" t="s">
        <v>14733</v>
      </c>
    </row>
    <row r="99" spans="1:7" ht="21" x14ac:dyDescent="0.25">
      <c r="A99" s="2" t="str">
        <f>HYPERLINK("https://rth.dk/resources/bsgatlas/details.php?id=BSGatlas-TSS-98","BSGatlas-TSS-98")</f>
        <v>BSGatlas-TSS-98</v>
      </c>
      <c r="B99" s="3">
        <v>119871</v>
      </c>
      <c r="C99" s="1" t="s">
        <v>13</v>
      </c>
      <c r="D99" s="1">
        <v>22</v>
      </c>
      <c r="E99" s="1" t="s">
        <v>14720</v>
      </c>
      <c r="F99" s="6"/>
      <c r="G99" s="1" t="s">
        <v>14726</v>
      </c>
    </row>
    <row r="100" spans="1:7" ht="21" x14ac:dyDescent="0.25">
      <c r="A100" s="2" t="str">
        <f>HYPERLINK("https://rth.dk/resources/bsgatlas/details.php?id=BSGatlas-TSS-99","BSGatlas-TSS-99")</f>
        <v>BSGatlas-TSS-99</v>
      </c>
      <c r="B100" s="3">
        <v>121706</v>
      </c>
      <c r="C100" s="1" t="s">
        <v>9</v>
      </c>
      <c r="D100" s="1">
        <v>0</v>
      </c>
      <c r="E100" s="1" t="s">
        <v>14722</v>
      </c>
      <c r="F100" s="6" t="s">
        <v>14764</v>
      </c>
      <c r="G100" s="1" t="s">
        <v>14724</v>
      </c>
    </row>
    <row r="101" spans="1:7" ht="21" x14ac:dyDescent="0.25">
      <c r="A101" s="2" t="str">
        <f>HYPERLINK("https://rth.dk/resources/bsgatlas/details.php?id=BSGatlas-TSS-100","BSGatlas-TSS-100")</f>
        <v>BSGatlas-TSS-100</v>
      </c>
      <c r="B101" s="3">
        <v>123507</v>
      </c>
      <c r="C101" s="1" t="s">
        <v>13</v>
      </c>
      <c r="D101" s="1">
        <v>22</v>
      </c>
      <c r="E101" s="1" t="s">
        <v>14725</v>
      </c>
      <c r="F101" s="6"/>
      <c r="G101" s="1" t="s">
        <v>14726</v>
      </c>
    </row>
    <row r="102" spans="1:7" ht="21" x14ac:dyDescent="0.25">
      <c r="A102" s="2" t="str">
        <f>HYPERLINK("https://rth.dk/resources/bsgatlas/details.php?id=BSGatlas-TSS-101","BSGatlas-TSS-101")</f>
        <v>BSGatlas-TSS-101</v>
      </c>
      <c r="B102" s="3">
        <v>124380</v>
      </c>
      <c r="C102" s="1" t="s">
        <v>13</v>
      </c>
      <c r="D102" s="1">
        <v>22</v>
      </c>
      <c r="E102" s="1" t="s">
        <v>14720</v>
      </c>
      <c r="F102" s="6"/>
      <c r="G102" s="1" t="s">
        <v>14726</v>
      </c>
    </row>
    <row r="103" spans="1:7" ht="21" x14ac:dyDescent="0.25">
      <c r="A103" s="2" t="str">
        <f>HYPERLINK("https://rth.dk/resources/bsgatlas/details.php?id=BSGatlas-TSS-102","BSGatlas-TSS-102")</f>
        <v>BSGatlas-TSS-102</v>
      </c>
      <c r="B103" s="3">
        <v>128780</v>
      </c>
      <c r="C103" s="1" t="s">
        <v>13</v>
      </c>
      <c r="D103" s="1">
        <v>22</v>
      </c>
      <c r="E103" s="1" t="s">
        <v>14720</v>
      </c>
      <c r="F103" s="6"/>
      <c r="G103" s="1" t="s">
        <v>14726</v>
      </c>
    </row>
    <row r="104" spans="1:7" ht="21" x14ac:dyDescent="0.25">
      <c r="A104" s="2" t="str">
        <f>HYPERLINK("https://rth.dk/resources/bsgatlas/details.php?id=BSGatlas-TSS-103","BSGatlas-TSS-103")</f>
        <v>BSGatlas-TSS-103</v>
      </c>
      <c r="B104" s="3">
        <v>129285</v>
      </c>
      <c r="C104" s="1" t="s">
        <v>9</v>
      </c>
      <c r="D104" s="1">
        <v>22</v>
      </c>
      <c r="E104" s="1" t="s">
        <v>14722</v>
      </c>
      <c r="F104" s="6"/>
      <c r="G104" s="1" t="s">
        <v>14726</v>
      </c>
    </row>
    <row r="105" spans="1:7" ht="21" x14ac:dyDescent="0.25">
      <c r="A105" s="2" t="str">
        <f>HYPERLINK("https://rth.dk/resources/bsgatlas/details.php?id=BSGatlas-TSS-104","BSGatlas-TSS-104")</f>
        <v>BSGatlas-TSS-104</v>
      </c>
      <c r="B105" s="3">
        <v>129306</v>
      </c>
      <c r="C105" s="1" t="s">
        <v>13</v>
      </c>
      <c r="D105" s="1">
        <v>22</v>
      </c>
      <c r="E105" s="1" t="s">
        <v>14720</v>
      </c>
      <c r="F105" s="6"/>
      <c r="G105" s="1" t="s">
        <v>14726</v>
      </c>
    </row>
    <row r="106" spans="1:7" ht="21" x14ac:dyDescent="0.25">
      <c r="A106" s="2" t="str">
        <f>HYPERLINK("https://rth.dk/resources/bsgatlas/details.php?id=BSGatlas-TSS-105","BSGatlas-TSS-105")</f>
        <v>BSGatlas-TSS-105</v>
      </c>
      <c r="B106" s="3">
        <v>134102</v>
      </c>
      <c r="C106" s="1" t="s">
        <v>13</v>
      </c>
      <c r="D106" s="1">
        <v>22</v>
      </c>
      <c r="E106" s="1" t="s">
        <v>14720</v>
      </c>
      <c r="F106" s="6"/>
      <c r="G106" s="1" t="s">
        <v>14726</v>
      </c>
    </row>
    <row r="107" spans="1:7" ht="21" x14ac:dyDescent="0.25">
      <c r="A107" s="2" t="str">
        <f>HYPERLINK("https://rth.dk/resources/bsgatlas/details.php?id=BSGatlas-TSS-106","BSGatlas-TSS-106")</f>
        <v>BSGatlas-TSS-106</v>
      </c>
      <c r="B107" s="3">
        <v>134136</v>
      </c>
      <c r="C107" s="1" t="s">
        <v>9</v>
      </c>
      <c r="D107" s="1">
        <v>22</v>
      </c>
      <c r="E107" s="1" t="s">
        <v>14722</v>
      </c>
      <c r="F107" s="6"/>
      <c r="G107" s="1" t="s">
        <v>14726</v>
      </c>
    </row>
    <row r="108" spans="1:7" ht="21" x14ac:dyDescent="0.25">
      <c r="A108" s="2" t="str">
        <f>HYPERLINK("https://rth.dk/resources/bsgatlas/details.php?id=BSGatlas-TSS-107","BSGatlas-TSS-107")</f>
        <v>BSGatlas-TSS-107</v>
      </c>
      <c r="B108" s="3">
        <v>135170</v>
      </c>
      <c r="C108" s="1" t="s">
        <v>9</v>
      </c>
      <c r="D108" s="1">
        <v>22</v>
      </c>
      <c r="E108" s="1" t="s">
        <v>14722</v>
      </c>
      <c r="F108" s="6"/>
      <c r="G108" s="1" t="s">
        <v>14733</v>
      </c>
    </row>
    <row r="109" spans="1:7" ht="21" x14ac:dyDescent="0.25">
      <c r="A109" s="2" t="str">
        <f>HYPERLINK("https://rth.dk/resources/bsgatlas/details.php?id=BSGatlas-TSS-108","BSGatlas-TSS-108")</f>
        <v>BSGatlas-TSS-108</v>
      </c>
      <c r="B109" s="3">
        <v>138943</v>
      </c>
      <c r="C109" s="1" t="s">
        <v>13</v>
      </c>
      <c r="D109" s="1">
        <v>22</v>
      </c>
      <c r="E109" s="1" t="s">
        <v>14720</v>
      </c>
      <c r="F109" s="6"/>
      <c r="G109" s="1" t="s">
        <v>14726</v>
      </c>
    </row>
    <row r="110" spans="1:7" ht="21" x14ac:dyDescent="0.25">
      <c r="A110" s="2" t="str">
        <f>HYPERLINK("https://rth.dk/resources/bsgatlas/details.php?id=BSGatlas-TSS-109","BSGatlas-TSS-109")</f>
        <v>BSGatlas-TSS-109</v>
      </c>
      <c r="B110" s="3">
        <v>153211</v>
      </c>
      <c r="C110" s="1" t="s">
        <v>9</v>
      </c>
      <c r="D110" s="1">
        <v>22</v>
      </c>
      <c r="E110" s="1" t="s">
        <v>14720</v>
      </c>
      <c r="F110" s="6"/>
      <c r="G110" s="1" t="s">
        <v>14726</v>
      </c>
    </row>
    <row r="111" spans="1:7" ht="21" x14ac:dyDescent="0.25">
      <c r="A111" s="2" t="str">
        <f>HYPERLINK("https://rth.dk/resources/bsgatlas/details.php?id=BSGatlas-TSS-110","BSGatlas-TSS-110")</f>
        <v>BSGatlas-TSS-110</v>
      </c>
      <c r="B111" s="3">
        <v>153529</v>
      </c>
      <c r="C111" s="1" t="s">
        <v>13</v>
      </c>
      <c r="D111" s="1">
        <v>22</v>
      </c>
      <c r="E111" s="1" t="s">
        <v>14725</v>
      </c>
      <c r="F111" s="6"/>
      <c r="G111" s="1" t="s">
        <v>14726</v>
      </c>
    </row>
    <row r="112" spans="1:7" ht="21" x14ac:dyDescent="0.25">
      <c r="A112" s="2" t="str">
        <f>HYPERLINK("https://rth.dk/resources/bsgatlas/details.php?id=BSGatlas-TSS-111","BSGatlas-TSS-111")</f>
        <v>BSGatlas-TSS-111</v>
      </c>
      <c r="B112" s="3">
        <v>153725</v>
      </c>
      <c r="C112" s="1" t="s">
        <v>9</v>
      </c>
      <c r="D112" s="1">
        <v>22</v>
      </c>
      <c r="E112" s="1" t="s">
        <v>14722</v>
      </c>
      <c r="F112" s="6"/>
      <c r="G112" s="1" t="s">
        <v>14726</v>
      </c>
    </row>
    <row r="113" spans="1:7" ht="21" x14ac:dyDescent="0.25">
      <c r="A113" s="2" t="str">
        <f>HYPERLINK("https://rth.dk/resources/bsgatlas/details.php?id=BSGatlas-TSS-112","BSGatlas-TSS-112")</f>
        <v>BSGatlas-TSS-112</v>
      </c>
      <c r="B113" s="3">
        <v>154838</v>
      </c>
      <c r="C113" s="1" t="s">
        <v>9</v>
      </c>
      <c r="D113" s="1">
        <v>22</v>
      </c>
      <c r="E113" s="1" t="s">
        <v>14722</v>
      </c>
      <c r="F113" s="6"/>
      <c r="G113" s="1" t="s">
        <v>14733</v>
      </c>
    </row>
    <row r="114" spans="1:7" ht="21" x14ac:dyDescent="0.25">
      <c r="A114" s="2" t="str">
        <f>HYPERLINK("https://rth.dk/resources/bsgatlas/details.php?id=BSGatlas-TSS-113","BSGatlas-TSS-113")</f>
        <v>BSGatlas-TSS-113</v>
      </c>
      <c r="B114" s="3">
        <v>155121</v>
      </c>
      <c r="C114" s="1" t="s">
        <v>9</v>
      </c>
      <c r="D114" s="1">
        <v>22</v>
      </c>
      <c r="E114" s="1" t="s">
        <v>14722</v>
      </c>
      <c r="F114" s="6"/>
      <c r="G114" s="1" t="s">
        <v>14726</v>
      </c>
    </row>
    <row r="115" spans="1:7" ht="21" x14ac:dyDescent="0.25">
      <c r="A115" s="2" t="str">
        <f>HYPERLINK("https://rth.dk/resources/bsgatlas/details.php?id=BSGatlas-TSS-114","BSGatlas-TSS-114")</f>
        <v>BSGatlas-TSS-114</v>
      </c>
      <c r="B115" s="3">
        <v>156089</v>
      </c>
      <c r="C115" s="1" t="s">
        <v>9</v>
      </c>
      <c r="D115" s="1">
        <v>0</v>
      </c>
      <c r="E115" s="1" t="s">
        <v>14743</v>
      </c>
      <c r="F115" s="6" t="s">
        <v>14765</v>
      </c>
      <c r="G115" s="1" t="s">
        <v>14729</v>
      </c>
    </row>
    <row r="116" spans="1:7" ht="21" x14ac:dyDescent="0.25">
      <c r="A116" s="2" t="str">
        <f>HYPERLINK("https://rth.dk/resources/bsgatlas/details.php?id=BSGatlas-TSS-115","BSGatlas-TSS-115")</f>
        <v>BSGatlas-TSS-115</v>
      </c>
      <c r="B116" s="3">
        <v>156588</v>
      </c>
      <c r="C116" s="1" t="s">
        <v>9</v>
      </c>
      <c r="D116" s="1">
        <v>0</v>
      </c>
      <c r="E116" s="1" t="s">
        <v>14735</v>
      </c>
      <c r="F116" s="6">
        <v>7559346</v>
      </c>
      <c r="G116" s="1" t="s">
        <v>14730</v>
      </c>
    </row>
    <row r="117" spans="1:7" ht="21" x14ac:dyDescent="0.25">
      <c r="A117" s="2" t="str">
        <f>HYPERLINK("https://rth.dk/resources/bsgatlas/details.php?id=BSGatlas-TSS-116","BSGatlas-TSS-116")</f>
        <v>BSGatlas-TSS-116</v>
      </c>
      <c r="B117" s="3">
        <v>157370</v>
      </c>
      <c r="C117" s="1" t="s">
        <v>9</v>
      </c>
      <c r="D117" s="1">
        <v>22</v>
      </c>
      <c r="E117" s="1" t="s">
        <v>14722</v>
      </c>
      <c r="F117" s="6"/>
      <c r="G117" s="1" t="s">
        <v>14726</v>
      </c>
    </row>
    <row r="118" spans="1:7" ht="21" x14ac:dyDescent="0.25">
      <c r="A118" s="2" t="str">
        <f>HYPERLINK("https://rth.dk/resources/bsgatlas/details.php?id=BSGatlas-TSS-117","BSGatlas-TSS-117")</f>
        <v>BSGatlas-TSS-117</v>
      </c>
      <c r="B118" s="3">
        <v>159100</v>
      </c>
      <c r="C118" s="1" t="s">
        <v>13</v>
      </c>
      <c r="D118" s="1">
        <v>0</v>
      </c>
      <c r="E118" s="1" t="s">
        <v>14743</v>
      </c>
      <c r="F118" s="6" t="s">
        <v>14766</v>
      </c>
      <c r="G118" s="1" t="s">
        <v>14729</v>
      </c>
    </row>
    <row r="119" spans="1:7" ht="21" x14ac:dyDescent="0.25">
      <c r="A119" s="2" t="str">
        <f>HYPERLINK("https://rth.dk/resources/bsgatlas/details.php?id=BSGatlas-TSS-118","BSGatlas-TSS-118")</f>
        <v>BSGatlas-TSS-118</v>
      </c>
      <c r="B119" s="3">
        <v>160581</v>
      </c>
      <c r="C119" s="1" t="s">
        <v>13</v>
      </c>
      <c r="D119" s="1">
        <v>0</v>
      </c>
      <c r="E119" s="1" t="s">
        <v>14735</v>
      </c>
      <c r="F119" s="6" t="s">
        <v>14767</v>
      </c>
      <c r="G119" s="1" t="s">
        <v>14729</v>
      </c>
    </row>
    <row r="120" spans="1:7" ht="21" x14ac:dyDescent="0.25">
      <c r="A120" s="2" t="str">
        <f>HYPERLINK("https://rth.dk/resources/bsgatlas/details.php?id=BSGatlas-TSS-119","BSGatlas-TSS-119")</f>
        <v>BSGatlas-TSS-119</v>
      </c>
      <c r="B120" s="3">
        <v>160675</v>
      </c>
      <c r="C120" s="1" t="s">
        <v>9</v>
      </c>
      <c r="D120" s="1">
        <v>22</v>
      </c>
      <c r="E120" s="1" t="s">
        <v>14722</v>
      </c>
      <c r="F120" s="6"/>
      <c r="G120" s="1" t="s">
        <v>14733</v>
      </c>
    </row>
    <row r="121" spans="1:7" ht="21" x14ac:dyDescent="0.25">
      <c r="A121" s="2" t="str">
        <f>HYPERLINK("https://rth.dk/resources/bsgatlas/details.php?id=BSGatlas-TSS-120","BSGatlas-TSS-120")</f>
        <v>BSGatlas-TSS-120</v>
      </c>
      <c r="B121" s="3">
        <v>176926</v>
      </c>
      <c r="C121" s="1" t="s">
        <v>9</v>
      </c>
      <c r="D121" s="1">
        <v>22</v>
      </c>
      <c r="E121" s="1" t="s">
        <v>14722</v>
      </c>
      <c r="F121" s="6"/>
      <c r="G121" s="1" t="s">
        <v>14733</v>
      </c>
    </row>
    <row r="122" spans="1:7" ht="21" x14ac:dyDescent="0.25">
      <c r="A122" s="2" t="str">
        <f>HYPERLINK("https://rth.dk/resources/bsgatlas/details.php?id=BSGatlas-TSS-121","BSGatlas-TSS-121")</f>
        <v>BSGatlas-TSS-121</v>
      </c>
      <c r="B122" s="3">
        <v>178598</v>
      </c>
      <c r="C122" s="1" t="s">
        <v>9</v>
      </c>
      <c r="D122" s="1">
        <v>22</v>
      </c>
      <c r="E122" s="1" t="s">
        <v>14722</v>
      </c>
      <c r="F122" s="6"/>
      <c r="G122" s="1" t="s">
        <v>14726</v>
      </c>
    </row>
    <row r="123" spans="1:7" ht="21" x14ac:dyDescent="0.25">
      <c r="A123" s="2" t="str">
        <f>HYPERLINK("https://rth.dk/resources/bsgatlas/details.php?id=BSGatlas-TSS-122","BSGatlas-TSS-122")</f>
        <v>BSGatlas-TSS-122</v>
      </c>
      <c r="B123" s="3">
        <v>182713</v>
      </c>
      <c r="C123" s="1" t="s">
        <v>9</v>
      </c>
      <c r="D123" s="1">
        <v>22</v>
      </c>
      <c r="E123" s="1" t="s">
        <v>14734</v>
      </c>
      <c r="F123" s="6"/>
      <c r="G123" s="1" t="s">
        <v>14726</v>
      </c>
    </row>
    <row r="124" spans="1:7" ht="21" x14ac:dyDescent="0.25">
      <c r="A124" s="2" t="str">
        <f>HYPERLINK("https://rth.dk/resources/bsgatlas/details.php?id=BSGatlas-TSS-123","BSGatlas-TSS-123")</f>
        <v>BSGatlas-TSS-123</v>
      </c>
      <c r="B124" s="3">
        <v>183358</v>
      </c>
      <c r="C124" s="1" t="s">
        <v>13</v>
      </c>
      <c r="D124" s="1">
        <v>0</v>
      </c>
      <c r="E124" s="1" t="s">
        <v>14722</v>
      </c>
      <c r="F124" s="6" t="s">
        <v>14768</v>
      </c>
      <c r="G124" s="1" t="s">
        <v>14747</v>
      </c>
    </row>
    <row r="125" spans="1:7" ht="21" x14ac:dyDescent="0.25">
      <c r="A125" s="2" t="str">
        <f>HYPERLINK("https://rth.dk/resources/bsgatlas/details.php?id=BSGatlas-TSS-124","BSGatlas-TSS-124")</f>
        <v>BSGatlas-TSS-124</v>
      </c>
      <c r="B125" s="3">
        <v>183361</v>
      </c>
      <c r="C125" s="1" t="s">
        <v>13</v>
      </c>
      <c r="D125" s="1">
        <v>0</v>
      </c>
      <c r="E125" s="1" t="s">
        <v>14722</v>
      </c>
      <c r="F125" s="6" t="s">
        <v>14769</v>
      </c>
      <c r="G125" s="1" t="s">
        <v>14747</v>
      </c>
    </row>
    <row r="126" spans="1:7" ht="21" x14ac:dyDescent="0.25">
      <c r="A126" s="2" t="str">
        <f>HYPERLINK("https://rth.dk/resources/bsgatlas/details.php?id=BSGatlas-TSS-125","BSGatlas-TSS-125")</f>
        <v>BSGatlas-TSS-125</v>
      </c>
      <c r="B126" s="3">
        <v>183364</v>
      </c>
      <c r="C126" s="1" t="s">
        <v>13</v>
      </c>
      <c r="D126" s="1">
        <v>0</v>
      </c>
      <c r="E126" s="1" t="s">
        <v>14722</v>
      </c>
      <c r="F126" s="6">
        <v>14563870</v>
      </c>
      <c r="G126" s="1" t="s">
        <v>14730</v>
      </c>
    </row>
    <row r="127" spans="1:7" ht="21" x14ac:dyDescent="0.25">
      <c r="A127" s="2" t="str">
        <f>HYPERLINK("https://rth.dk/resources/bsgatlas/details.php?id=BSGatlas-TSS-126","BSGatlas-TSS-126")</f>
        <v>BSGatlas-TSS-126</v>
      </c>
      <c r="B127" s="3">
        <v>185056</v>
      </c>
      <c r="C127" s="1" t="s">
        <v>13</v>
      </c>
      <c r="D127" s="1">
        <v>22</v>
      </c>
      <c r="E127" s="1" t="s">
        <v>14722</v>
      </c>
      <c r="F127" s="6"/>
      <c r="G127" s="1" t="s">
        <v>14726</v>
      </c>
    </row>
    <row r="128" spans="1:7" ht="21" x14ac:dyDescent="0.25">
      <c r="A128" s="2" t="str">
        <f>HYPERLINK("https://rth.dk/resources/bsgatlas/details.php?id=BSGatlas-TSS-127","BSGatlas-TSS-127")</f>
        <v>BSGatlas-TSS-127</v>
      </c>
      <c r="B128" s="3">
        <v>193009</v>
      </c>
      <c r="C128" s="1" t="s">
        <v>13</v>
      </c>
      <c r="D128" s="1">
        <v>22</v>
      </c>
      <c r="E128" s="1" t="s">
        <v>14722</v>
      </c>
      <c r="F128" s="6"/>
      <c r="G128" s="1" t="s">
        <v>14726</v>
      </c>
    </row>
    <row r="129" spans="1:7" ht="21" x14ac:dyDescent="0.25">
      <c r="A129" s="2" t="str">
        <f>HYPERLINK("https://rth.dk/resources/bsgatlas/details.php?id=BSGatlas-TSS-128","BSGatlas-TSS-128")</f>
        <v>BSGatlas-TSS-128</v>
      </c>
      <c r="B129" s="3">
        <v>194072</v>
      </c>
      <c r="C129" s="1" t="s">
        <v>13</v>
      </c>
      <c r="D129" s="1">
        <v>22</v>
      </c>
      <c r="E129" s="1" t="s">
        <v>14722</v>
      </c>
      <c r="F129" s="6"/>
      <c r="G129" s="1" t="s">
        <v>14726</v>
      </c>
    </row>
    <row r="130" spans="1:7" ht="21" x14ac:dyDescent="0.25">
      <c r="A130" s="2" t="str">
        <f>HYPERLINK("https://rth.dk/resources/bsgatlas/details.php?id=BSGatlas-TSS-129","BSGatlas-TSS-129")</f>
        <v>BSGatlas-TSS-129</v>
      </c>
      <c r="B130" s="3">
        <v>194178</v>
      </c>
      <c r="C130" s="1" t="s">
        <v>9</v>
      </c>
      <c r="D130" s="1">
        <v>22</v>
      </c>
      <c r="E130" s="1" t="s">
        <v>14722</v>
      </c>
      <c r="F130" s="6"/>
      <c r="G130" s="1" t="s">
        <v>14726</v>
      </c>
    </row>
    <row r="131" spans="1:7" ht="21" x14ac:dyDescent="0.25">
      <c r="A131" s="2" t="str">
        <f>HYPERLINK("https://rth.dk/resources/bsgatlas/details.php?id=BSGatlas-TSS-130","BSGatlas-TSS-130")</f>
        <v>BSGatlas-TSS-130</v>
      </c>
      <c r="B131" s="3">
        <v>194788</v>
      </c>
      <c r="C131" s="1" t="s">
        <v>9</v>
      </c>
      <c r="D131" s="1">
        <v>22</v>
      </c>
      <c r="E131" s="1" t="s">
        <v>14739</v>
      </c>
      <c r="F131" s="6"/>
      <c r="G131" s="1" t="s">
        <v>14726</v>
      </c>
    </row>
    <row r="132" spans="1:7" ht="21" x14ac:dyDescent="0.25">
      <c r="A132" s="2" t="str">
        <f>HYPERLINK("https://rth.dk/resources/bsgatlas/details.php?id=BSGatlas-TSS-131","BSGatlas-TSS-131")</f>
        <v>BSGatlas-TSS-131</v>
      </c>
      <c r="B132" s="3">
        <v>194821</v>
      </c>
      <c r="C132" s="1" t="s">
        <v>9</v>
      </c>
      <c r="D132" s="1">
        <v>0</v>
      </c>
      <c r="E132" s="1" t="s">
        <v>14770</v>
      </c>
      <c r="F132" s="6" t="s">
        <v>14771</v>
      </c>
      <c r="G132" s="1" t="s">
        <v>4382</v>
      </c>
    </row>
    <row r="133" spans="1:7" ht="21" x14ac:dyDescent="0.25">
      <c r="A133" s="2" t="str">
        <f>HYPERLINK("https://rth.dk/resources/bsgatlas/details.php?id=BSGatlas-TSS-132","BSGatlas-TSS-132")</f>
        <v>BSGatlas-TSS-132</v>
      </c>
      <c r="B133" s="3">
        <v>196042</v>
      </c>
      <c r="C133" s="1" t="s">
        <v>13</v>
      </c>
      <c r="D133" s="1">
        <v>22</v>
      </c>
      <c r="E133" s="1" t="s">
        <v>14720</v>
      </c>
      <c r="F133" s="6"/>
      <c r="G133" s="1" t="s">
        <v>14726</v>
      </c>
    </row>
    <row r="134" spans="1:7" ht="21" x14ac:dyDescent="0.25">
      <c r="A134" s="2" t="str">
        <f>HYPERLINK("https://rth.dk/resources/bsgatlas/details.php?id=BSGatlas-TSS-133","BSGatlas-TSS-133")</f>
        <v>BSGatlas-TSS-133</v>
      </c>
      <c r="B134" s="3">
        <v>196132</v>
      </c>
      <c r="C134" s="1" t="s">
        <v>9</v>
      </c>
      <c r="D134" s="1">
        <v>22</v>
      </c>
      <c r="E134" s="1" t="s">
        <v>14722</v>
      </c>
      <c r="F134" s="6"/>
      <c r="G134" s="1" t="s">
        <v>14733</v>
      </c>
    </row>
    <row r="135" spans="1:7" ht="21" x14ac:dyDescent="0.25">
      <c r="A135" s="2" t="str">
        <f>HYPERLINK("https://rth.dk/resources/bsgatlas/details.php?id=BSGatlas-TSS-134","BSGatlas-TSS-134")</f>
        <v>BSGatlas-TSS-134</v>
      </c>
      <c r="B135" s="3">
        <v>199878</v>
      </c>
      <c r="C135" s="1" t="s">
        <v>9</v>
      </c>
      <c r="D135" s="1">
        <v>22</v>
      </c>
      <c r="E135" s="1" t="s">
        <v>14725</v>
      </c>
      <c r="F135" s="6"/>
      <c r="G135" s="1" t="s">
        <v>14726</v>
      </c>
    </row>
    <row r="136" spans="1:7" ht="21" x14ac:dyDescent="0.25">
      <c r="A136" s="2" t="str">
        <f>HYPERLINK("https://rth.dk/resources/bsgatlas/details.php?id=BSGatlas-TSS-135","BSGatlas-TSS-135")</f>
        <v>BSGatlas-TSS-135</v>
      </c>
      <c r="B136" s="3">
        <v>199957</v>
      </c>
      <c r="C136" s="1" t="s">
        <v>9</v>
      </c>
      <c r="D136" s="1">
        <v>22</v>
      </c>
      <c r="E136" s="1" t="s">
        <v>14722</v>
      </c>
      <c r="F136" s="6"/>
      <c r="G136" s="1" t="s">
        <v>14726</v>
      </c>
    </row>
    <row r="137" spans="1:7" ht="21" x14ac:dyDescent="0.25">
      <c r="A137" s="2" t="str">
        <f>HYPERLINK("https://rth.dk/resources/bsgatlas/details.php?id=BSGatlas-TSS-136","BSGatlas-TSS-136")</f>
        <v>BSGatlas-TSS-136</v>
      </c>
      <c r="B137" s="3">
        <v>200014</v>
      </c>
      <c r="C137" s="1" t="s">
        <v>9</v>
      </c>
      <c r="D137" s="1">
        <v>22</v>
      </c>
      <c r="E137" s="1" t="s">
        <v>14720</v>
      </c>
      <c r="F137" s="6"/>
      <c r="G137" s="1" t="s">
        <v>14726</v>
      </c>
    </row>
    <row r="138" spans="1:7" ht="21" x14ac:dyDescent="0.25">
      <c r="A138" s="2" t="str">
        <f>HYPERLINK("https://rth.dk/resources/bsgatlas/details.php?id=BSGatlas-TSS-137","BSGatlas-TSS-137")</f>
        <v>BSGatlas-TSS-137</v>
      </c>
      <c r="B138" s="3">
        <v>203507</v>
      </c>
      <c r="C138" s="1" t="s">
        <v>13</v>
      </c>
      <c r="D138" s="1">
        <v>0</v>
      </c>
      <c r="E138" s="1" t="s">
        <v>14722</v>
      </c>
      <c r="F138" s="6" t="s">
        <v>14772</v>
      </c>
      <c r="G138" s="1" t="s">
        <v>14729</v>
      </c>
    </row>
    <row r="139" spans="1:7" ht="21" x14ac:dyDescent="0.25">
      <c r="A139" s="2" t="str">
        <f>HYPERLINK("https://rth.dk/resources/bsgatlas/details.php?id=BSGatlas-TSS-138","BSGatlas-TSS-138")</f>
        <v>BSGatlas-TSS-138</v>
      </c>
      <c r="B139" s="3">
        <v>203608</v>
      </c>
      <c r="C139" s="1" t="s">
        <v>9</v>
      </c>
      <c r="D139" s="1">
        <v>0</v>
      </c>
      <c r="E139" s="1" t="s">
        <v>14722</v>
      </c>
      <c r="F139" s="6" t="s">
        <v>14772</v>
      </c>
      <c r="G139" s="1" t="s">
        <v>14729</v>
      </c>
    </row>
    <row r="140" spans="1:7" ht="21" x14ac:dyDescent="0.25">
      <c r="A140" s="2" t="str">
        <f>HYPERLINK("https://rth.dk/resources/bsgatlas/details.php?id=BSGatlas-TSS-139","BSGatlas-TSS-139")</f>
        <v>BSGatlas-TSS-139</v>
      </c>
      <c r="B140" s="3">
        <v>204977</v>
      </c>
      <c r="C140" s="1" t="s">
        <v>9</v>
      </c>
      <c r="D140" s="1">
        <v>22</v>
      </c>
      <c r="E140" s="1" t="s">
        <v>14722</v>
      </c>
      <c r="F140" s="6"/>
      <c r="G140" s="1" t="s">
        <v>14726</v>
      </c>
    </row>
    <row r="141" spans="1:7" ht="21" x14ac:dyDescent="0.25">
      <c r="A141" s="2" t="str">
        <f>HYPERLINK("https://rth.dk/resources/bsgatlas/details.php?id=BSGatlas-TSS-140","BSGatlas-TSS-140")</f>
        <v>BSGatlas-TSS-140</v>
      </c>
      <c r="B141" s="3">
        <v>211335</v>
      </c>
      <c r="C141" s="1" t="s">
        <v>13</v>
      </c>
      <c r="D141" s="1">
        <v>22</v>
      </c>
      <c r="E141" s="1" t="s">
        <v>14734</v>
      </c>
      <c r="F141" s="6"/>
      <c r="G141" s="1" t="s">
        <v>14726</v>
      </c>
    </row>
    <row r="142" spans="1:7" ht="21" x14ac:dyDescent="0.25">
      <c r="A142" s="2" t="str">
        <f>HYPERLINK("https://rth.dk/resources/bsgatlas/details.php?id=BSGatlas-TSS-141","BSGatlas-TSS-141")</f>
        <v>BSGatlas-TSS-141</v>
      </c>
      <c r="B142" s="3">
        <v>211414</v>
      </c>
      <c r="C142" s="1" t="s">
        <v>9</v>
      </c>
      <c r="D142" s="1">
        <v>22</v>
      </c>
      <c r="E142" s="1" t="s">
        <v>14722</v>
      </c>
      <c r="F142" s="6"/>
      <c r="G142" s="1" t="s">
        <v>14726</v>
      </c>
    </row>
    <row r="143" spans="1:7" ht="21" x14ac:dyDescent="0.25">
      <c r="A143" s="2" t="str">
        <f>HYPERLINK("https://rth.dk/resources/bsgatlas/details.php?id=BSGatlas-TSS-142","BSGatlas-TSS-142")</f>
        <v>BSGatlas-TSS-142</v>
      </c>
      <c r="B143" s="3">
        <v>212401</v>
      </c>
      <c r="C143" s="1" t="s">
        <v>9</v>
      </c>
      <c r="D143" s="1">
        <v>22</v>
      </c>
      <c r="E143" s="1" t="s">
        <v>14722</v>
      </c>
      <c r="F143" s="6"/>
      <c r="G143" s="1" t="s">
        <v>14726</v>
      </c>
    </row>
    <row r="144" spans="1:7" ht="21" x14ac:dyDescent="0.25">
      <c r="A144" s="2" t="str">
        <f>HYPERLINK("https://rth.dk/resources/bsgatlas/details.php?id=BSGatlas-TSS-143","BSGatlas-TSS-143")</f>
        <v>BSGatlas-TSS-143</v>
      </c>
      <c r="B144" s="3">
        <v>213283</v>
      </c>
      <c r="C144" s="1" t="s">
        <v>9</v>
      </c>
      <c r="D144" s="1">
        <v>22</v>
      </c>
      <c r="E144" s="1" t="s">
        <v>14720</v>
      </c>
      <c r="F144" s="6"/>
      <c r="G144" s="1" t="s">
        <v>14726</v>
      </c>
    </row>
    <row r="145" spans="1:7" ht="21" x14ac:dyDescent="0.25">
      <c r="A145" s="2" t="str">
        <f>HYPERLINK("https://rth.dk/resources/bsgatlas/details.php?id=BSGatlas-TSS-144","BSGatlas-TSS-144")</f>
        <v>BSGatlas-TSS-144</v>
      </c>
      <c r="B145" s="3">
        <v>213888</v>
      </c>
      <c r="C145" s="1" t="s">
        <v>9</v>
      </c>
      <c r="D145" s="1">
        <v>0</v>
      </c>
      <c r="E145" s="1" t="s">
        <v>14722</v>
      </c>
      <c r="F145" s="6" t="s">
        <v>14773</v>
      </c>
      <c r="G145" s="1" t="s">
        <v>14724</v>
      </c>
    </row>
    <row r="146" spans="1:7" ht="21" x14ac:dyDescent="0.25">
      <c r="A146" s="2" t="str">
        <f>HYPERLINK("https://rth.dk/resources/bsgatlas/details.php?id=BSGatlas-TSS-145","BSGatlas-TSS-145")</f>
        <v>BSGatlas-TSS-145</v>
      </c>
      <c r="B146" s="3">
        <v>216321</v>
      </c>
      <c r="C146" s="1" t="s">
        <v>9</v>
      </c>
      <c r="D146" s="1">
        <v>22</v>
      </c>
      <c r="E146" s="1" t="s">
        <v>14745</v>
      </c>
      <c r="F146" s="6"/>
      <c r="G146" s="1" t="s">
        <v>14726</v>
      </c>
    </row>
    <row r="147" spans="1:7" ht="21" x14ac:dyDescent="0.25">
      <c r="A147" s="2" t="str">
        <f>HYPERLINK("https://rth.dk/resources/bsgatlas/details.php?id=BSGatlas-TSS-146","BSGatlas-TSS-146")</f>
        <v>BSGatlas-TSS-146</v>
      </c>
      <c r="B147" s="3">
        <v>216331</v>
      </c>
      <c r="C147" s="1" t="s">
        <v>13</v>
      </c>
      <c r="D147" s="1">
        <v>22</v>
      </c>
      <c r="E147" s="1" t="s">
        <v>14725</v>
      </c>
      <c r="F147" s="6"/>
      <c r="G147" s="1" t="s">
        <v>14726</v>
      </c>
    </row>
    <row r="148" spans="1:7" ht="21" x14ac:dyDescent="0.25">
      <c r="A148" s="2" t="str">
        <f>HYPERLINK("https://rth.dk/resources/bsgatlas/details.php?id=BSGatlas-TSS-147","BSGatlas-TSS-147")</f>
        <v>BSGatlas-TSS-147</v>
      </c>
      <c r="B148" s="3">
        <v>221861</v>
      </c>
      <c r="C148" s="1" t="s">
        <v>9</v>
      </c>
      <c r="D148" s="1">
        <v>22</v>
      </c>
      <c r="E148" s="1" t="s">
        <v>14722</v>
      </c>
      <c r="F148" s="6"/>
      <c r="G148" s="1" t="s">
        <v>14726</v>
      </c>
    </row>
    <row r="149" spans="1:7" ht="21" x14ac:dyDescent="0.25">
      <c r="A149" s="2" t="str">
        <f>HYPERLINK("https://rth.dk/resources/bsgatlas/details.php?id=BSGatlas-TSS-148","BSGatlas-TSS-148")</f>
        <v>BSGatlas-TSS-148</v>
      </c>
      <c r="B149" s="3">
        <v>222945</v>
      </c>
      <c r="C149" s="1" t="s">
        <v>9</v>
      </c>
      <c r="D149" s="1">
        <v>22</v>
      </c>
      <c r="E149" s="1" t="s">
        <v>14722</v>
      </c>
      <c r="F149" s="6"/>
      <c r="G149" s="1" t="s">
        <v>14726</v>
      </c>
    </row>
    <row r="150" spans="1:7" ht="21" x14ac:dyDescent="0.25">
      <c r="A150" s="2" t="str">
        <f>HYPERLINK("https://rth.dk/resources/bsgatlas/details.php?id=BSGatlas-TSS-149","BSGatlas-TSS-149")</f>
        <v>BSGatlas-TSS-149</v>
      </c>
      <c r="B150" s="3">
        <v>224181</v>
      </c>
      <c r="C150" s="1" t="s">
        <v>13</v>
      </c>
      <c r="D150" s="1">
        <v>22</v>
      </c>
      <c r="E150" s="1" t="s">
        <v>14725</v>
      </c>
      <c r="F150" s="6"/>
      <c r="G150" s="1" t="s">
        <v>14726</v>
      </c>
    </row>
    <row r="151" spans="1:7" ht="21" x14ac:dyDescent="0.25">
      <c r="A151" s="2" t="str">
        <f>HYPERLINK("https://rth.dk/resources/bsgatlas/details.php?id=BSGatlas-TSS-150","BSGatlas-TSS-150")</f>
        <v>BSGatlas-TSS-150</v>
      </c>
      <c r="B151" s="3">
        <v>224970</v>
      </c>
      <c r="C151" s="1" t="s">
        <v>13</v>
      </c>
      <c r="D151" s="1">
        <v>22</v>
      </c>
      <c r="E151" s="1" t="s">
        <v>14722</v>
      </c>
      <c r="F151" s="6"/>
      <c r="G151" s="1" t="s">
        <v>14726</v>
      </c>
    </row>
    <row r="152" spans="1:7" ht="21" x14ac:dyDescent="0.25">
      <c r="A152" s="2" t="str">
        <f>HYPERLINK("https://rth.dk/resources/bsgatlas/details.php?id=BSGatlas-TSS-151","BSGatlas-TSS-151")</f>
        <v>BSGatlas-TSS-151</v>
      </c>
      <c r="B152" s="3">
        <v>225023</v>
      </c>
      <c r="C152" s="1" t="s">
        <v>9</v>
      </c>
      <c r="D152" s="1">
        <v>22</v>
      </c>
      <c r="E152" s="1" t="s">
        <v>14752</v>
      </c>
      <c r="F152" s="6"/>
      <c r="G152" s="1" t="s">
        <v>14726</v>
      </c>
    </row>
    <row r="153" spans="1:7" ht="21" x14ac:dyDescent="0.25">
      <c r="A153" s="2" t="str">
        <f>HYPERLINK("https://rth.dk/resources/bsgatlas/details.php?id=BSGatlas-TSS-152","BSGatlas-TSS-152")</f>
        <v>BSGatlas-TSS-152</v>
      </c>
      <c r="B153" s="3">
        <v>226436</v>
      </c>
      <c r="C153" s="1" t="s">
        <v>9</v>
      </c>
      <c r="D153" s="1">
        <v>22</v>
      </c>
      <c r="E153" s="1" t="s">
        <v>14722</v>
      </c>
      <c r="F153" s="6"/>
      <c r="G153" s="1" t="s">
        <v>14733</v>
      </c>
    </row>
    <row r="154" spans="1:7" ht="21" x14ac:dyDescent="0.25">
      <c r="A154" s="2" t="str">
        <f>HYPERLINK("https://rth.dk/resources/bsgatlas/details.php?id=BSGatlas-TSS-153","BSGatlas-TSS-153")</f>
        <v>BSGatlas-TSS-153</v>
      </c>
      <c r="B154" s="3">
        <v>228021</v>
      </c>
      <c r="C154" s="1" t="s">
        <v>9</v>
      </c>
      <c r="D154" s="1">
        <v>22</v>
      </c>
      <c r="E154" s="1" t="s">
        <v>14732</v>
      </c>
      <c r="F154" s="6"/>
      <c r="G154" s="1" t="s">
        <v>14726</v>
      </c>
    </row>
    <row r="155" spans="1:7" ht="21" x14ac:dyDescent="0.25">
      <c r="A155" s="2" t="str">
        <f>HYPERLINK("https://rth.dk/resources/bsgatlas/details.php?id=BSGatlas-TSS-154","BSGatlas-TSS-154")</f>
        <v>BSGatlas-TSS-154</v>
      </c>
      <c r="B155" s="3">
        <v>229382</v>
      </c>
      <c r="C155" s="1" t="s">
        <v>13</v>
      </c>
      <c r="D155" s="1">
        <v>22</v>
      </c>
      <c r="E155" s="1" t="s">
        <v>14745</v>
      </c>
      <c r="F155" s="6"/>
      <c r="G155" s="1" t="s">
        <v>14726</v>
      </c>
    </row>
    <row r="156" spans="1:7" ht="21" x14ac:dyDescent="0.25">
      <c r="A156" s="2" t="str">
        <f>HYPERLINK("https://rth.dk/resources/bsgatlas/details.php?id=BSGatlas-TSS-155","BSGatlas-TSS-155")</f>
        <v>BSGatlas-TSS-155</v>
      </c>
      <c r="B156" s="3">
        <v>229493</v>
      </c>
      <c r="C156" s="1" t="s">
        <v>9</v>
      </c>
      <c r="D156" s="1">
        <v>22</v>
      </c>
      <c r="E156" s="1" t="s">
        <v>14734</v>
      </c>
      <c r="F156" s="6"/>
      <c r="G156" s="1" t="s">
        <v>14726</v>
      </c>
    </row>
    <row r="157" spans="1:7" ht="21" x14ac:dyDescent="0.25">
      <c r="A157" s="2" t="str">
        <f>HYPERLINK("https://rth.dk/resources/bsgatlas/details.php?id=BSGatlas-TSS-156","BSGatlas-TSS-156")</f>
        <v>BSGatlas-TSS-156</v>
      </c>
      <c r="B157" s="3">
        <v>229847</v>
      </c>
      <c r="C157" s="1" t="s">
        <v>9</v>
      </c>
      <c r="D157" s="1">
        <v>22</v>
      </c>
      <c r="E157" s="1" t="s">
        <v>14720</v>
      </c>
      <c r="F157" s="6"/>
      <c r="G157" s="1" t="s">
        <v>14726</v>
      </c>
    </row>
    <row r="158" spans="1:7" ht="21" x14ac:dyDescent="0.25">
      <c r="A158" s="2" t="str">
        <f>HYPERLINK("https://rth.dk/resources/bsgatlas/details.php?id=BSGatlas-TSS-157","BSGatlas-TSS-157")</f>
        <v>BSGatlas-TSS-157</v>
      </c>
      <c r="B158" s="3">
        <v>231118</v>
      </c>
      <c r="C158" s="1" t="s">
        <v>13</v>
      </c>
      <c r="D158" s="1">
        <v>22</v>
      </c>
      <c r="E158" s="1" t="s">
        <v>14734</v>
      </c>
      <c r="F158" s="6"/>
      <c r="G158" s="1" t="s">
        <v>14726</v>
      </c>
    </row>
    <row r="159" spans="1:7" ht="21" x14ac:dyDescent="0.25">
      <c r="A159" s="2" t="str">
        <f>HYPERLINK("https://rth.dk/resources/bsgatlas/details.php?id=BSGatlas-TSS-158","BSGatlas-TSS-158")</f>
        <v>BSGatlas-TSS-158</v>
      </c>
      <c r="B159" s="3">
        <v>231288</v>
      </c>
      <c r="C159" s="1" t="s">
        <v>9</v>
      </c>
      <c r="D159" s="1">
        <v>22</v>
      </c>
      <c r="E159" s="1" t="s">
        <v>14722</v>
      </c>
      <c r="F159" s="6"/>
      <c r="G159" s="1" t="s">
        <v>14726</v>
      </c>
    </row>
    <row r="160" spans="1:7" ht="21" x14ac:dyDescent="0.25">
      <c r="A160" s="2" t="str">
        <f>HYPERLINK("https://rth.dk/resources/bsgatlas/details.php?id=BSGatlas-TSS-159","BSGatlas-TSS-159")</f>
        <v>BSGatlas-TSS-159</v>
      </c>
      <c r="B160" s="3">
        <v>233928</v>
      </c>
      <c r="C160" s="1" t="s">
        <v>13</v>
      </c>
      <c r="D160" s="1">
        <v>0</v>
      </c>
      <c r="E160" s="1" t="s">
        <v>14722</v>
      </c>
      <c r="F160" s="6">
        <v>10913081</v>
      </c>
      <c r="G160" s="1" t="s">
        <v>14730</v>
      </c>
    </row>
    <row r="161" spans="1:7" ht="21" x14ac:dyDescent="0.25">
      <c r="A161" s="2" t="str">
        <f>HYPERLINK("https://rth.dk/resources/bsgatlas/details.php?id=BSGatlas-TSS-160","BSGatlas-TSS-160")</f>
        <v>BSGatlas-TSS-160</v>
      </c>
      <c r="B161" s="3">
        <v>234998</v>
      </c>
      <c r="C161" s="1" t="s">
        <v>9</v>
      </c>
      <c r="D161" s="1">
        <v>22</v>
      </c>
      <c r="E161" s="1" t="s">
        <v>14725</v>
      </c>
      <c r="F161" s="6"/>
      <c r="G161" s="1" t="s">
        <v>14726</v>
      </c>
    </row>
    <row r="162" spans="1:7" ht="21" x14ac:dyDescent="0.25">
      <c r="A162" s="2" t="str">
        <f>HYPERLINK("https://rth.dk/resources/bsgatlas/details.php?id=BSGatlas-TSS-161","BSGatlas-TSS-161")</f>
        <v>BSGatlas-TSS-161</v>
      </c>
      <c r="B162" s="3">
        <v>235401</v>
      </c>
      <c r="C162" s="1" t="s">
        <v>13</v>
      </c>
      <c r="D162" s="1">
        <v>22</v>
      </c>
      <c r="E162" s="1" t="s">
        <v>14720</v>
      </c>
      <c r="F162" s="6"/>
      <c r="G162" s="1" t="s">
        <v>14733</v>
      </c>
    </row>
    <row r="163" spans="1:7" ht="21" x14ac:dyDescent="0.25">
      <c r="A163" s="2" t="str">
        <f>HYPERLINK("https://rth.dk/resources/bsgatlas/details.php?id=BSGatlas-TSS-162","BSGatlas-TSS-162")</f>
        <v>BSGatlas-TSS-162</v>
      </c>
      <c r="B163" s="3">
        <v>235483</v>
      </c>
      <c r="C163" s="1" t="s">
        <v>13</v>
      </c>
      <c r="D163" s="1">
        <v>0</v>
      </c>
      <c r="E163" s="1" t="s">
        <v>14722</v>
      </c>
      <c r="F163" s="6" t="s">
        <v>14774</v>
      </c>
      <c r="G163" s="1" t="s">
        <v>14724</v>
      </c>
    </row>
    <row r="164" spans="1:7" ht="21" x14ac:dyDescent="0.25">
      <c r="A164" s="2" t="str">
        <f>HYPERLINK("https://rth.dk/resources/bsgatlas/details.php?id=BSGatlas-TSS-163","BSGatlas-TSS-163")</f>
        <v>BSGatlas-TSS-163</v>
      </c>
      <c r="B164" s="3">
        <v>235904</v>
      </c>
      <c r="C164" s="1" t="s">
        <v>9</v>
      </c>
      <c r="D164" s="1">
        <v>22</v>
      </c>
      <c r="E164" s="1" t="s">
        <v>14722</v>
      </c>
      <c r="F164" s="6"/>
      <c r="G164" s="1" t="s">
        <v>14726</v>
      </c>
    </row>
    <row r="165" spans="1:7" ht="21" x14ac:dyDescent="0.25">
      <c r="A165" s="2" t="str">
        <f>HYPERLINK("https://rth.dk/resources/bsgatlas/details.php?id=BSGatlas-TSS-164","BSGatlas-TSS-164")</f>
        <v>BSGatlas-TSS-164</v>
      </c>
      <c r="B165" s="3">
        <v>238569</v>
      </c>
      <c r="C165" s="1" t="s">
        <v>13</v>
      </c>
      <c r="D165" s="1">
        <v>22</v>
      </c>
      <c r="E165" s="1" t="s">
        <v>14727</v>
      </c>
      <c r="F165" s="6"/>
      <c r="G165" s="1" t="s">
        <v>14733</v>
      </c>
    </row>
    <row r="166" spans="1:7" ht="21" x14ac:dyDescent="0.25">
      <c r="A166" s="2" t="str">
        <f>HYPERLINK("https://rth.dk/resources/bsgatlas/details.php?id=BSGatlas-TSS-165","BSGatlas-TSS-165")</f>
        <v>BSGatlas-TSS-165</v>
      </c>
      <c r="B166" s="3">
        <v>241889</v>
      </c>
      <c r="C166" s="1" t="s">
        <v>13</v>
      </c>
      <c r="D166" s="1">
        <v>22</v>
      </c>
      <c r="E166" s="1" t="s">
        <v>14720</v>
      </c>
      <c r="F166" s="6"/>
      <c r="G166" s="1" t="s">
        <v>14726</v>
      </c>
    </row>
    <row r="167" spans="1:7" ht="21" x14ac:dyDescent="0.25">
      <c r="A167" s="2" t="str">
        <f>HYPERLINK("https://rth.dk/resources/bsgatlas/details.php?id=BSGatlas-TSS-166","BSGatlas-TSS-166")</f>
        <v>BSGatlas-TSS-166</v>
      </c>
      <c r="B167" s="3">
        <v>243695</v>
      </c>
      <c r="C167" s="1" t="s">
        <v>13</v>
      </c>
      <c r="D167" s="1">
        <v>22</v>
      </c>
      <c r="E167" s="1" t="s">
        <v>14722</v>
      </c>
      <c r="F167" s="6"/>
      <c r="G167" s="1" t="s">
        <v>14726</v>
      </c>
    </row>
    <row r="168" spans="1:7" ht="21" x14ac:dyDescent="0.25">
      <c r="A168" s="2" t="str">
        <f>HYPERLINK("https://rth.dk/resources/bsgatlas/details.php?id=BSGatlas-TSS-167","BSGatlas-TSS-167")</f>
        <v>BSGatlas-TSS-167</v>
      </c>
      <c r="B168" s="3">
        <v>243871</v>
      </c>
      <c r="C168" s="1" t="s">
        <v>9</v>
      </c>
      <c r="D168" s="1">
        <v>0</v>
      </c>
      <c r="E168" s="1" t="s">
        <v>14722</v>
      </c>
      <c r="F168" s="6" t="s">
        <v>14775</v>
      </c>
      <c r="G168" s="1" t="s">
        <v>14729</v>
      </c>
    </row>
    <row r="169" spans="1:7" ht="21" x14ac:dyDescent="0.25">
      <c r="A169" s="2" t="str">
        <f>HYPERLINK("https://rth.dk/resources/bsgatlas/details.php?id=BSGatlas-TSS-168","BSGatlas-TSS-168")</f>
        <v>BSGatlas-TSS-168</v>
      </c>
      <c r="B169" s="3">
        <v>245121</v>
      </c>
      <c r="C169" s="1" t="s">
        <v>9</v>
      </c>
      <c r="D169" s="1">
        <v>22</v>
      </c>
      <c r="E169" s="1" t="s">
        <v>14727</v>
      </c>
      <c r="F169" s="6"/>
      <c r="G169" s="1" t="s">
        <v>14726</v>
      </c>
    </row>
    <row r="170" spans="1:7" ht="21" x14ac:dyDescent="0.25">
      <c r="A170" s="2" t="str">
        <f>HYPERLINK("https://rth.dk/resources/bsgatlas/details.php?id=BSGatlas-TSS-169","BSGatlas-TSS-169")</f>
        <v>BSGatlas-TSS-169</v>
      </c>
      <c r="B170" s="3">
        <v>245183</v>
      </c>
      <c r="C170" s="1" t="s">
        <v>9</v>
      </c>
      <c r="D170" s="1">
        <v>22</v>
      </c>
      <c r="E170" s="1" t="s">
        <v>14722</v>
      </c>
      <c r="F170" s="6"/>
      <c r="G170" s="1" t="s">
        <v>14726</v>
      </c>
    </row>
    <row r="171" spans="1:7" ht="21" x14ac:dyDescent="0.25">
      <c r="A171" s="2" t="str">
        <f>HYPERLINK("https://rth.dk/resources/bsgatlas/details.php?id=BSGatlas-TSS-170","BSGatlas-TSS-170")</f>
        <v>BSGatlas-TSS-170</v>
      </c>
      <c r="B171" s="3">
        <v>246196</v>
      </c>
      <c r="C171" s="1" t="s">
        <v>13</v>
      </c>
      <c r="D171" s="1">
        <v>22</v>
      </c>
      <c r="E171" s="1" t="s">
        <v>14720</v>
      </c>
      <c r="F171" s="6"/>
      <c r="G171" s="1" t="s">
        <v>14726</v>
      </c>
    </row>
    <row r="172" spans="1:7" ht="21" x14ac:dyDescent="0.25">
      <c r="A172" s="2" t="str">
        <f>HYPERLINK("https://rth.dk/resources/bsgatlas/details.php?id=BSGatlas-TSS-171","BSGatlas-TSS-171")</f>
        <v>BSGatlas-TSS-171</v>
      </c>
      <c r="B172" s="3">
        <v>246583</v>
      </c>
      <c r="C172" s="1" t="s">
        <v>9</v>
      </c>
      <c r="D172" s="1">
        <v>22</v>
      </c>
      <c r="E172" s="1" t="s">
        <v>14722</v>
      </c>
      <c r="F172" s="6"/>
      <c r="G172" s="1" t="s">
        <v>14733</v>
      </c>
    </row>
    <row r="173" spans="1:7" ht="21" x14ac:dyDescent="0.25">
      <c r="A173" s="2" t="str">
        <f>HYPERLINK("https://rth.dk/resources/bsgatlas/details.php?id=BSGatlas-TSS-172","BSGatlas-TSS-172")</f>
        <v>BSGatlas-TSS-172</v>
      </c>
      <c r="B173" s="3">
        <v>246908</v>
      </c>
      <c r="C173" s="1" t="s">
        <v>9</v>
      </c>
      <c r="D173" s="1">
        <v>22</v>
      </c>
      <c r="E173" s="1" t="s">
        <v>14752</v>
      </c>
      <c r="F173" s="6"/>
      <c r="G173" s="1" t="s">
        <v>14726</v>
      </c>
    </row>
    <row r="174" spans="1:7" ht="21" x14ac:dyDescent="0.25">
      <c r="A174" s="2" t="str">
        <f>HYPERLINK("https://rth.dk/resources/bsgatlas/details.php?id=BSGatlas-TSS-173","BSGatlas-TSS-173")</f>
        <v>BSGatlas-TSS-173</v>
      </c>
      <c r="B174" s="3">
        <v>247711</v>
      </c>
      <c r="C174" s="1" t="s">
        <v>9</v>
      </c>
      <c r="D174" s="1">
        <v>0</v>
      </c>
      <c r="E174" s="1" t="s">
        <v>14776</v>
      </c>
      <c r="F174" s="6" t="s">
        <v>14777</v>
      </c>
      <c r="G174" s="1" t="s">
        <v>4382</v>
      </c>
    </row>
    <row r="175" spans="1:7" ht="21" x14ac:dyDescent="0.25">
      <c r="A175" s="2" t="str">
        <f>HYPERLINK("https://rth.dk/resources/bsgatlas/details.php?id=BSGatlas-TSS-174","BSGatlas-TSS-174")</f>
        <v>BSGatlas-TSS-174</v>
      </c>
      <c r="B175" s="3">
        <v>249934</v>
      </c>
      <c r="C175" s="1" t="s">
        <v>9</v>
      </c>
      <c r="D175" s="1">
        <v>22</v>
      </c>
      <c r="E175" s="1" t="s">
        <v>14739</v>
      </c>
      <c r="F175" s="6"/>
      <c r="G175" s="1" t="s">
        <v>14726</v>
      </c>
    </row>
    <row r="176" spans="1:7" ht="21" x14ac:dyDescent="0.25">
      <c r="A176" s="2" t="str">
        <f>HYPERLINK("https://rth.dk/resources/bsgatlas/details.php?id=BSGatlas-TSS-175","BSGatlas-TSS-175")</f>
        <v>BSGatlas-TSS-175</v>
      </c>
      <c r="B176" s="3">
        <v>251385</v>
      </c>
      <c r="C176" s="1" t="s">
        <v>9</v>
      </c>
      <c r="D176" s="1">
        <v>22</v>
      </c>
      <c r="E176" s="1" t="s">
        <v>14722</v>
      </c>
      <c r="F176" s="6"/>
      <c r="G176" s="1" t="s">
        <v>14726</v>
      </c>
    </row>
    <row r="177" spans="1:7" ht="21" x14ac:dyDescent="0.25">
      <c r="A177" s="2" t="str">
        <f>HYPERLINK("https://rth.dk/resources/bsgatlas/details.php?id=BSGatlas-TSS-176","BSGatlas-TSS-176")</f>
        <v>BSGatlas-TSS-176</v>
      </c>
      <c r="B177" s="3">
        <v>252460</v>
      </c>
      <c r="C177" s="1" t="s">
        <v>9</v>
      </c>
      <c r="D177" s="1">
        <v>22</v>
      </c>
      <c r="E177" s="1" t="s">
        <v>14722</v>
      </c>
      <c r="F177" s="6"/>
      <c r="G177" s="1" t="s">
        <v>14726</v>
      </c>
    </row>
    <row r="178" spans="1:7" ht="21" x14ac:dyDescent="0.25">
      <c r="A178" s="2" t="str">
        <f>HYPERLINK("https://rth.dk/resources/bsgatlas/details.php?id=BSGatlas-TSS-177","BSGatlas-TSS-177")</f>
        <v>BSGatlas-TSS-177</v>
      </c>
      <c r="B178" s="3">
        <v>253353</v>
      </c>
      <c r="C178" s="1" t="s">
        <v>13</v>
      </c>
      <c r="D178" s="1">
        <v>22</v>
      </c>
      <c r="E178" s="1" t="s">
        <v>14727</v>
      </c>
      <c r="F178" s="6"/>
      <c r="G178" s="1" t="s">
        <v>14726</v>
      </c>
    </row>
    <row r="179" spans="1:7" ht="21" x14ac:dyDescent="0.25">
      <c r="A179" s="2" t="str">
        <f>HYPERLINK("https://rth.dk/resources/bsgatlas/details.php?id=BSGatlas-TSS-178","BSGatlas-TSS-178")</f>
        <v>BSGatlas-TSS-178</v>
      </c>
      <c r="B179" s="3">
        <v>254805</v>
      </c>
      <c r="C179" s="1" t="s">
        <v>13</v>
      </c>
      <c r="D179" s="1">
        <v>22</v>
      </c>
      <c r="E179" s="1" t="s">
        <v>14745</v>
      </c>
      <c r="F179" s="6"/>
      <c r="G179" s="1" t="s">
        <v>14726</v>
      </c>
    </row>
    <row r="180" spans="1:7" ht="21" x14ac:dyDescent="0.25">
      <c r="A180" s="2" t="str">
        <f>HYPERLINK("https://rth.dk/resources/bsgatlas/details.php?id=BSGatlas-TSS-179","BSGatlas-TSS-179")</f>
        <v>BSGatlas-TSS-179</v>
      </c>
      <c r="B180" s="3">
        <v>254849</v>
      </c>
      <c r="C180" s="1" t="s">
        <v>13</v>
      </c>
      <c r="D180" s="1">
        <v>22</v>
      </c>
      <c r="E180" s="1" t="s">
        <v>14727</v>
      </c>
      <c r="F180" s="6"/>
      <c r="G180" s="1" t="s">
        <v>14726</v>
      </c>
    </row>
    <row r="181" spans="1:7" ht="21" x14ac:dyDescent="0.25">
      <c r="A181" s="2" t="str">
        <f>HYPERLINK("https://rth.dk/resources/bsgatlas/details.php?id=BSGatlas-TSS-180","BSGatlas-TSS-180")</f>
        <v>BSGatlas-TSS-180</v>
      </c>
      <c r="B181" s="3">
        <v>256685</v>
      </c>
      <c r="C181" s="1" t="s">
        <v>9</v>
      </c>
      <c r="D181" s="1">
        <v>22</v>
      </c>
      <c r="E181" s="1" t="s">
        <v>14722</v>
      </c>
      <c r="F181" s="6"/>
      <c r="G181" s="1" t="s">
        <v>14726</v>
      </c>
    </row>
    <row r="182" spans="1:7" ht="21" x14ac:dyDescent="0.25">
      <c r="A182" s="2" t="str">
        <f>HYPERLINK("https://rth.dk/resources/bsgatlas/details.php?id=BSGatlas-TSS-181","BSGatlas-TSS-181")</f>
        <v>BSGatlas-TSS-181</v>
      </c>
      <c r="B182" s="3">
        <v>257545</v>
      </c>
      <c r="C182" s="1" t="s">
        <v>9</v>
      </c>
      <c r="D182" s="1">
        <v>33</v>
      </c>
      <c r="E182" s="1" t="s">
        <v>14720</v>
      </c>
      <c r="F182" s="6"/>
      <c r="G182" s="1" t="s">
        <v>14721</v>
      </c>
    </row>
    <row r="183" spans="1:7" ht="21" x14ac:dyDescent="0.25">
      <c r="A183" s="2" t="str">
        <f>HYPERLINK("https://rth.dk/resources/bsgatlas/details.php?id=BSGatlas-TSS-182","BSGatlas-TSS-182")</f>
        <v>BSGatlas-TSS-182</v>
      </c>
      <c r="B183" s="3">
        <v>257635</v>
      </c>
      <c r="C183" s="1" t="s">
        <v>13</v>
      </c>
      <c r="D183" s="1">
        <v>0</v>
      </c>
      <c r="E183" s="1" t="s">
        <v>14722</v>
      </c>
      <c r="F183" s="6">
        <v>23667565</v>
      </c>
      <c r="G183" s="1" t="s">
        <v>14778</v>
      </c>
    </row>
    <row r="184" spans="1:7" ht="21" x14ac:dyDescent="0.25">
      <c r="A184" s="2" t="str">
        <f>HYPERLINK("https://rth.dk/resources/bsgatlas/details.php?id=BSGatlas-TSS-183","BSGatlas-TSS-183")</f>
        <v>BSGatlas-TSS-183</v>
      </c>
      <c r="B184" s="3">
        <v>257750</v>
      </c>
      <c r="C184" s="1" t="s">
        <v>9</v>
      </c>
      <c r="D184" s="1">
        <v>0</v>
      </c>
      <c r="E184" s="1" t="s">
        <v>14722</v>
      </c>
      <c r="F184" s="6">
        <v>23667565</v>
      </c>
      <c r="G184" s="1" t="s">
        <v>14747</v>
      </c>
    </row>
    <row r="185" spans="1:7" ht="21" x14ac:dyDescent="0.25">
      <c r="A185" s="2" t="str">
        <f>HYPERLINK("https://rth.dk/resources/bsgatlas/details.php?id=BSGatlas-TSS-184","BSGatlas-TSS-184")</f>
        <v>BSGatlas-TSS-184</v>
      </c>
      <c r="B185" s="3">
        <v>258492</v>
      </c>
      <c r="C185" s="1" t="s">
        <v>9</v>
      </c>
      <c r="D185" s="1">
        <v>0</v>
      </c>
      <c r="E185" s="1" t="s">
        <v>14779</v>
      </c>
      <c r="F185" s="6" t="s">
        <v>14780</v>
      </c>
      <c r="G185" s="1" t="s">
        <v>14729</v>
      </c>
    </row>
    <row r="186" spans="1:7" ht="21" x14ac:dyDescent="0.25">
      <c r="A186" s="2" t="str">
        <f>HYPERLINK("https://rth.dk/resources/bsgatlas/details.php?id=BSGatlas-TSS-185","BSGatlas-TSS-185")</f>
        <v>BSGatlas-TSS-185</v>
      </c>
      <c r="B186" s="3">
        <v>258596</v>
      </c>
      <c r="C186" s="1" t="s">
        <v>13</v>
      </c>
      <c r="D186" s="1">
        <v>22</v>
      </c>
      <c r="E186" s="1" t="s">
        <v>14734</v>
      </c>
      <c r="F186" s="6"/>
      <c r="G186" s="1" t="s">
        <v>14726</v>
      </c>
    </row>
    <row r="187" spans="1:7" ht="21" x14ac:dyDescent="0.25">
      <c r="A187" s="2" t="str">
        <f>HYPERLINK("https://rth.dk/resources/bsgatlas/details.php?id=BSGatlas-TSS-186","BSGatlas-TSS-186")</f>
        <v>BSGatlas-TSS-186</v>
      </c>
      <c r="B187" s="3">
        <v>258889</v>
      </c>
      <c r="C187" s="1" t="s">
        <v>9</v>
      </c>
      <c r="D187" s="1">
        <v>0</v>
      </c>
      <c r="E187" s="1" t="s">
        <v>14722</v>
      </c>
      <c r="F187" s="6" t="s">
        <v>14781</v>
      </c>
      <c r="G187" s="1" t="s">
        <v>14778</v>
      </c>
    </row>
    <row r="188" spans="1:7" ht="21" x14ac:dyDescent="0.25">
      <c r="A188" s="2" t="str">
        <f>HYPERLINK("https://rth.dk/resources/bsgatlas/details.php?id=BSGatlas-TSS-187","BSGatlas-TSS-187")</f>
        <v>BSGatlas-TSS-187</v>
      </c>
      <c r="B188" s="3">
        <v>261647</v>
      </c>
      <c r="C188" s="1" t="s">
        <v>13</v>
      </c>
      <c r="D188" s="1">
        <v>22</v>
      </c>
      <c r="E188" s="1" t="s">
        <v>14722</v>
      </c>
      <c r="F188" s="6"/>
      <c r="G188" s="1" t="s">
        <v>14733</v>
      </c>
    </row>
    <row r="189" spans="1:7" ht="21" x14ac:dyDescent="0.25">
      <c r="A189" s="2" t="str">
        <f>HYPERLINK("https://rth.dk/resources/bsgatlas/details.php?id=BSGatlas-TSS-188","BSGatlas-TSS-188")</f>
        <v>BSGatlas-TSS-188</v>
      </c>
      <c r="B189" s="3">
        <v>262658</v>
      </c>
      <c r="C189" s="1" t="s">
        <v>13</v>
      </c>
      <c r="D189" s="1">
        <v>22</v>
      </c>
      <c r="E189" s="1" t="s">
        <v>14722</v>
      </c>
      <c r="F189" s="6"/>
      <c r="G189" s="1" t="s">
        <v>14726</v>
      </c>
    </row>
    <row r="190" spans="1:7" ht="21" x14ac:dyDescent="0.25">
      <c r="A190" s="2" t="str">
        <f>HYPERLINK("https://rth.dk/resources/bsgatlas/details.php?id=BSGatlas-TSS-189","BSGatlas-TSS-189")</f>
        <v>BSGatlas-TSS-189</v>
      </c>
      <c r="B190" s="3">
        <v>265269</v>
      </c>
      <c r="C190" s="1" t="s">
        <v>13</v>
      </c>
      <c r="D190" s="1">
        <v>0</v>
      </c>
      <c r="E190" s="1" t="s">
        <v>14722</v>
      </c>
      <c r="F190" s="6" t="s">
        <v>14782</v>
      </c>
      <c r="G190" s="1" t="s">
        <v>14729</v>
      </c>
    </row>
    <row r="191" spans="1:7" ht="21" x14ac:dyDescent="0.25">
      <c r="A191" s="2" t="str">
        <f>HYPERLINK("https://rth.dk/resources/bsgatlas/details.php?id=BSGatlas-TSS-190","BSGatlas-TSS-190")</f>
        <v>BSGatlas-TSS-190</v>
      </c>
      <c r="B191" s="3">
        <v>265279</v>
      </c>
      <c r="C191" s="1" t="s">
        <v>9</v>
      </c>
      <c r="D191" s="1">
        <v>22</v>
      </c>
      <c r="E191" s="1" t="s">
        <v>14722</v>
      </c>
      <c r="F191" s="6"/>
      <c r="G191" s="1" t="s">
        <v>14726</v>
      </c>
    </row>
    <row r="192" spans="1:7" ht="21" x14ac:dyDescent="0.25">
      <c r="A192" s="2" t="str">
        <f>HYPERLINK("https://rth.dk/resources/bsgatlas/details.php?id=BSGatlas-TSS-191","BSGatlas-TSS-191")</f>
        <v>BSGatlas-TSS-191</v>
      </c>
      <c r="B192" s="3">
        <v>267772</v>
      </c>
      <c r="C192" s="1" t="s">
        <v>9</v>
      </c>
      <c r="D192" s="1">
        <v>22</v>
      </c>
      <c r="E192" s="1" t="s">
        <v>14722</v>
      </c>
      <c r="F192" s="6"/>
      <c r="G192" s="1" t="s">
        <v>14733</v>
      </c>
    </row>
    <row r="193" spans="1:7" ht="21" x14ac:dyDescent="0.25">
      <c r="A193" s="2" t="str">
        <f>HYPERLINK("https://rth.dk/resources/bsgatlas/details.php?id=BSGatlas-TSS-192","BSGatlas-TSS-192")</f>
        <v>BSGatlas-TSS-192</v>
      </c>
      <c r="B193" s="3">
        <v>273206</v>
      </c>
      <c r="C193" s="1" t="s">
        <v>9</v>
      </c>
      <c r="D193" s="1">
        <v>22</v>
      </c>
      <c r="E193" s="1" t="s">
        <v>14722</v>
      </c>
      <c r="F193" s="6"/>
      <c r="G193" s="1" t="s">
        <v>14726</v>
      </c>
    </row>
    <row r="194" spans="1:7" ht="21" x14ac:dyDescent="0.25">
      <c r="A194" s="2" t="str">
        <f>HYPERLINK("https://rth.dk/resources/bsgatlas/details.php?id=BSGatlas-TSS-193","BSGatlas-TSS-193")</f>
        <v>BSGatlas-TSS-193</v>
      </c>
      <c r="B194" s="3">
        <v>275603</v>
      </c>
      <c r="C194" s="1" t="s">
        <v>9</v>
      </c>
      <c r="D194" s="1">
        <v>22</v>
      </c>
      <c r="E194" s="1" t="s">
        <v>14722</v>
      </c>
      <c r="F194" s="6"/>
      <c r="G194" s="1" t="s">
        <v>14733</v>
      </c>
    </row>
    <row r="195" spans="1:7" ht="21" x14ac:dyDescent="0.25">
      <c r="A195" s="2" t="str">
        <f>HYPERLINK("https://rth.dk/resources/bsgatlas/details.php?id=BSGatlas-TSS-194","BSGatlas-TSS-194")</f>
        <v>BSGatlas-TSS-194</v>
      </c>
      <c r="B195" s="3">
        <v>276798</v>
      </c>
      <c r="C195" s="1" t="s">
        <v>9</v>
      </c>
      <c r="D195" s="1">
        <v>0</v>
      </c>
      <c r="E195" s="1" t="s">
        <v>14722</v>
      </c>
      <c r="F195" s="6">
        <v>10706627</v>
      </c>
      <c r="G195" s="1" t="s">
        <v>14729</v>
      </c>
    </row>
    <row r="196" spans="1:7" ht="21" x14ac:dyDescent="0.25">
      <c r="A196" s="2" t="str">
        <f>HYPERLINK("https://rth.dk/resources/bsgatlas/details.php?id=BSGatlas-TSS-195","BSGatlas-TSS-195")</f>
        <v>BSGatlas-TSS-195</v>
      </c>
      <c r="B196" s="3">
        <v>277298</v>
      </c>
      <c r="C196" s="1" t="s">
        <v>9</v>
      </c>
      <c r="D196" s="1">
        <v>22</v>
      </c>
      <c r="E196" s="1" t="s">
        <v>14720</v>
      </c>
      <c r="F196" s="6"/>
      <c r="G196" s="1" t="s">
        <v>14726</v>
      </c>
    </row>
    <row r="197" spans="1:7" ht="21" x14ac:dyDescent="0.25">
      <c r="A197" s="2" t="str">
        <f>HYPERLINK("https://rth.dk/resources/bsgatlas/details.php?id=BSGatlas-TSS-196","BSGatlas-TSS-196")</f>
        <v>BSGatlas-TSS-196</v>
      </c>
      <c r="B197" s="3">
        <v>278308</v>
      </c>
      <c r="C197" s="1" t="s">
        <v>9</v>
      </c>
      <c r="D197" s="1">
        <v>22</v>
      </c>
      <c r="E197" s="1" t="s">
        <v>14722</v>
      </c>
      <c r="F197" s="6"/>
      <c r="G197" s="1" t="s">
        <v>14733</v>
      </c>
    </row>
    <row r="198" spans="1:7" ht="21" x14ac:dyDescent="0.25">
      <c r="A198" s="2" t="str">
        <f>HYPERLINK("https://rth.dk/resources/bsgatlas/details.php?id=BSGatlas-TSS-197","BSGatlas-TSS-197")</f>
        <v>BSGatlas-TSS-197</v>
      </c>
      <c r="B198" s="3">
        <v>282200</v>
      </c>
      <c r="C198" s="1" t="s">
        <v>13</v>
      </c>
      <c r="D198" s="1">
        <v>22</v>
      </c>
      <c r="E198" s="1" t="s">
        <v>14734</v>
      </c>
      <c r="F198" s="6"/>
      <c r="G198" s="1" t="s">
        <v>14726</v>
      </c>
    </row>
    <row r="199" spans="1:7" ht="21" x14ac:dyDescent="0.25">
      <c r="A199" s="2" t="str">
        <f>HYPERLINK("https://rth.dk/resources/bsgatlas/details.php?id=BSGatlas-TSS-198","BSGatlas-TSS-198")</f>
        <v>BSGatlas-TSS-198</v>
      </c>
      <c r="B199" s="3">
        <v>282445</v>
      </c>
      <c r="C199" s="1" t="s">
        <v>13</v>
      </c>
      <c r="D199" s="1">
        <v>22</v>
      </c>
      <c r="E199" s="1" t="s">
        <v>14720</v>
      </c>
      <c r="F199" s="6"/>
      <c r="G199" s="1" t="s">
        <v>14726</v>
      </c>
    </row>
    <row r="200" spans="1:7" ht="21" x14ac:dyDescent="0.25">
      <c r="A200" s="2" t="str">
        <f>HYPERLINK("https://rth.dk/resources/bsgatlas/details.php?id=BSGatlas-TSS-199","BSGatlas-TSS-199")</f>
        <v>BSGatlas-TSS-199</v>
      </c>
      <c r="B200" s="3">
        <v>282446</v>
      </c>
      <c r="C200" s="1" t="s">
        <v>9</v>
      </c>
      <c r="D200" s="1">
        <v>0</v>
      </c>
      <c r="E200" s="1" t="s">
        <v>14735</v>
      </c>
      <c r="F200" s="6" t="s">
        <v>14783</v>
      </c>
      <c r="G200" s="1" t="s">
        <v>14729</v>
      </c>
    </row>
    <row r="201" spans="1:7" ht="21" x14ac:dyDescent="0.25">
      <c r="A201" s="2" t="str">
        <f>HYPERLINK("https://rth.dk/resources/bsgatlas/details.php?id=BSGatlas-TSS-200","BSGatlas-TSS-200")</f>
        <v>BSGatlas-TSS-200</v>
      </c>
      <c r="B201" s="3">
        <v>282963</v>
      </c>
      <c r="C201" s="1" t="s">
        <v>9</v>
      </c>
      <c r="D201" s="1">
        <v>22</v>
      </c>
      <c r="E201" s="1" t="s">
        <v>14722</v>
      </c>
      <c r="F201" s="6"/>
      <c r="G201" s="1" t="s">
        <v>14726</v>
      </c>
    </row>
    <row r="202" spans="1:7" ht="21" x14ac:dyDescent="0.25">
      <c r="A202" s="2" t="str">
        <f>HYPERLINK("https://rth.dk/resources/bsgatlas/details.php?id=BSGatlas-TSS-201","BSGatlas-TSS-201")</f>
        <v>BSGatlas-TSS-201</v>
      </c>
      <c r="B202" s="3">
        <v>283231</v>
      </c>
      <c r="C202" s="1" t="s">
        <v>13</v>
      </c>
      <c r="D202" s="1">
        <v>22</v>
      </c>
      <c r="E202" s="1" t="s">
        <v>14722</v>
      </c>
      <c r="F202" s="6"/>
      <c r="G202" s="1" t="s">
        <v>14733</v>
      </c>
    </row>
    <row r="203" spans="1:7" ht="21" x14ac:dyDescent="0.25">
      <c r="A203" s="2" t="str">
        <f>HYPERLINK("https://rth.dk/resources/bsgatlas/details.php?id=BSGatlas-TSS-202","BSGatlas-TSS-202")</f>
        <v>BSGatlas-TSS-202</v>
      </c>
      <c r="B203" s="3">
        <v>283984</v>
      </c>
      <c r="C203" s="1" t="s">
        <v>9</v>
      </c>
      <c r="D203" s="1">
        <v>0</v>
      </c>
      <c r="E203" s="1" t="s">
        <v>14722</v>
      </c>
      <c r="F203" s="6" t="s">
        <v>14784</v>
      </c>
      <c r="G203" s="1" t="s">
        <v>14729</v>
      </c>
    </row>
    <row r="204" spans="1:7" ht="21" x14ac:dyDescent="0.25">
      <c r="A204" s="2" t="str">
        <f>HYPERLINK("https://rth.dk/resources/bsgatlas/details.php?id=BSGatlas-TSS-203","BSGatlas-TSS-203")</f>
        <v>BSGatlas-TSS-203</v>
      </c>
      <c r="B204" s="3">
        <v>284071</v>
      </c>
      <c r="C204" s="1" t="s">
        <v>13</v>
      </c>
      <c r="D204" s="1">
        <v>22</v>
      </c>
      <c r="E204" s="1" t="s">
        <v>14739</v>
      </c>
      <c r="F204" s="6"/>
      <c r="G204" s="1" t="s">
        <v>14726</v>
      </c>
    </row>
    <row r="205" spans="1:7" ht="21" x14ac:dyDescent="0.25">
      <c r="A205" s="2" t="str">
        <f>HYPERLINK("https://rth.dk/resources/bsgatlas/details.php?id=BSGatlas-TSS-204","BSGatlas-TSS-204")</f>
        <v>BSGatlas-TSS-204</v>
      </c>
      <c r="B205" s="3">
        <v>287449</v>
      </c>
      <c r="C205" s="1" t="s">
        <v>13</v>
      </c>
      <c r="D205" s="1">
        <v>22</v>
      </c>
      <c r="E205" s="1" t="s">
        <v>14722</v>
      </c>
      <c r="F205" s="6"/>
      <c r="G205" s="1" t="s">
        <v>14726</v>
      </c>
    </row>
    <row r="206" spans="1:7" ht="21" x14ac:dyDescent="0.25">
      <c r="A206" s="2" t="str">
        <f>HYPERLINK("https://rth.dk/resources/bsgatlas/details.php?id=BSGatlas-TSS-205","BSGatlas-TSS-205")</f>
        <v>BSGatlas-TSS-205</v>
      </c>
      <c r="B206" s="3">
        <v>287471</v>
      </c>
      <c r="C206" s="1" t="s">
        <v>9</v>
      </c>
      <c r="D206" s="1">
        <v>22</v>
      </c>
      <c r="E206" s="1" t="s">
        <v>14722</v>
      </c>
      <c r="F206" s="6"/>
      <c r="G206" s="1" t="s">
        <v>14726</v>
      </c>
    </row>
    <row r="207" spans="1:7" ht="21" x14ac:dyDescent="0.25">
      <c r="A207" s="2" t="str">
        <f>HYPERLINK("https://rth.dk/resources/bsgatlas/details.php?id=BSGatlas-TSS-206","BSGatlas-TSS-206")</f>
        <v>BSGatlas-TSS-206</v>
      </c>
      <c r="B207" s="3">
        <v>287845</v>
      </c>
      <c r="C207" s="1" t="s">
        <v>13</v>
      </c>
      <c r="D207" s="1">
        <v>22</v>
      </c>
      <c r="E207" s="1" t="s">
        <v>14722</v>
      </c>
      <c r="F207" s="6"/>
      <c r="G207" s="1" t="s">
        <v>14726</v>
      </c>
    </row>
    <row r="208" spans="1:7" ht="21" x14ac:dyDescent="0.25">
      <c r="A208" s="2" t="str">
        <f>HYPERLINK("https://rth.dk/resources/bsgatlas/details.php?id=BSGatlas-TSS-207","BSGatlas-TSS-207")</f>
        <v>BSGatlas-TSS-207</v>
      </c>
      <c r="B208" s="3">
        <v>290740</v>
      </c>
      <c r="C208" s="1" t="s">
        <v>13</v>
      </c>
      <c r="D208" s="1">
        <v>0</v>
      </c>
      <c r="E208" s="1" t="s">
        <v>14722</v>
      </c>
      <c r="F208" s="6" t="s">
        <v>14785</v>
      </c>
      <c r="G208" s="1" t="s">
        <v>14729</v>
      </c>
    </row>
    <row r="209" spans="1:7" ht="21" x14ac:dyDescent="0.25">
      <c r="A209" s="2" t="str">
        <f>HYPERLINK("https://rth.dk/resources/bsgatlas/details.php?id=BSGatlas-TSS-208","BSGatlas-TSS-208")</f>
        <v>BSGatlas-TSS-208</v>
      </c>
      <c r="B209" s="3">
        <v>290888</v>
      </c>
      <c r="C209" s="1" t="s">
        <v>9</v>
      </c>
      <c r="D209" s="1">
        <v>0</v>
      </c>
      <c r="E209" s="1" t="s">
        <v>14722</v>
      </c>
      <c r="F209" s="6" t="s">
        <v>14786</v>
      </c>
      <c r="G209" s="1" t="s">
        <v>14729</v>
      </c>
    </row>
    <row r="210" spans="1:7" ht="21" x14ac:dyDescent="0.25">
      <c r="A210" s="2" t="str">
        <f>HYPERLINK("https://rth.dk/resources/bsgatlas/details.php?id=BSGatlas-TSS-209","BSGatlas-TSS-209")</f>
        <v>BSGatlas-TSS-209</v>
      </c>
      <c r="B210" s="3">
        <v>292159</v>
      </c>
      <c r="C210" s="1" t="s">
        <v>9</v>
      </c>
      <c r="D210" s="1">
        <v>22</v>
      </c>
      <c r="E210" s="1" t="s">
        <v>14722</v>
      </c>
      <c r="F210" s="6"/>
      <c r="G210" s="1" t="s">
        <v>14726</v>
      </c>
    </row>
    <row r="211" spans="1:7" ht="21" x14ac:dyDescent="0.25">
      <c r="A211" s="2" t="str">
        <f>HYPERLINK("https://rth.dk/resources/bsgatlas/details.php?id=BSGatlas-TSS-210","BSGatlas-TSS-210")</f>
        <v>BSGatlas-TSS-210</v>
      </c>
      <c r="B211" s="3">
        <v>293301</v>
      </c>
      <c r="C211" s="1" t="s">
        <v>13</v>
      </c>
      <c r="D211" s="1">
        <v>22</v>
      </c>
      <c r="E211" s="1" t="s">
        <v>14722</v>
      </c>
      <c r="F211" s="6"/>
      <c r="G211" s="1" t="s">
        <v>14726</v>
      </c>
    </row>
    <row r="212" spans="1:7" ht="21" x14ac:dyDescent="0.25">
      <c r="A212" s="2" t="str">
        <f>HYPERLINK("https://rth.dk/resources/bsgatlas/details.php?id=BSGatlas-TSS-211","BSGatlas-TSS-211")</f>
        <v>BSGatlas-TSS-211</v>
      </c>
      <c r="B212" s="3">
        <v>293466</v>
      </c>
      <c r="C212" s="1" t="s">
        <v>9</v>
      </c>
      <c r="D212" s="1">
        <v>22</v>
      </c>
      <c r="E212" s="1" t="s">
        <v>14722</v>
      </c>
      <c r="F212" s="6"/>
      <c r="G212" s="1" t="s">
        <v>14726</v>
      </c>
    </row>
    <row r="213" spans="1:7" ht="21" x14ac:dyDescent="0.25">
      <c r="A213" s="2" t="str">
        <f>HYPERLINK("https://rth.dk/resources/bsgatlas/details.php?id=BSGatlas-TSS-212","BSGatlas-TSS-212")</f>
        <v>BSGatlas-TSS-212</v>
      </c>
      <c r="B213" s="3">
        <v>296315</v>
      </c>
      <c r="C213" s="1" t="s">
        <v>13</v>
      </c>
      <c r="D213" s="1">
        <v>22</v>
      </c>
      <c r="E213" s="1" t="s">
        <v>14722</v>
      </c>
      <c r="F213" s="6"/>
      <c r="G213" s="1" t="s">
        <v>14726</v>
      </c>
    </row>
    <row r="214" spans="1:7" ht="21" x14ac:dyDescent="0.25">
      <c r="A214" s="2" t="str">
        <f>HYPERLINK("https://rth.dk/resources/bsgatlas/details.php?id=BSGatlas-TSS-213","BSGatlas-TSS-213")</f>
        <v>BSGatlas-TSS-213</v>
      </c>
      <c r="B214" s="3">
        <v>296394</v>
      </c>
      <c r="C214" s="1" t="s">
        <v>9</v>
      </c>
      <c r="D214" s="1">
        <v>22</v>
      </c>
      <c r="E214" s="1" t="s">
        <v>14722</v>
      </c>
      <c r="F214" s="6"/>
      <c r="G214" s="1" t="s">
        <v>14726</v>
      </c>
    </row>
    <row r="215" spans="1:7" ht="21" x14ac:dyDescent="0.25">
      <c r="A215" s="2" t="str">
        <f>HYPERLINK("https://rth.dk/resources/bsgatlas/details.php?id=BSGatlas-TSS-214","BSGatlas-TSS-214")</f>
        <v>BSGatlas-TSS-214</v>
      </c>
      <c r="B215" s="3">
        <v>298401</v>
      </c>
      <c r="C215" s="1" t="s">
        <v>9</v>
      </c>
      <c r="D215" s="1">
        <v>22</v>
      </c>
      <c r="E215" s="1" t="s">
        <v>14745</v>
      </c>
      <c r="F215" s="6"/>
      <c r="G215" s="1" t="s">
        <v>14726</v>
      </c>
    </row>
    <row r="216" spans="1:7" ht="21" x14ac:dyDescent="0.25">
      <c r="A216" s="2" t="str">
        <f>HYPERLINK("https://rth.dk/resources/bsgatlas/details.php?id=BSGatlas-TSS-215","BSGatlas-TSS-215")</f>
        <v>BSGatlas-TSS-215</v>
      </c>
      <c r="B216" s="3">
        <v>300698</v>
      </c>
      <c r="C216" s="1" t="s">
        <v>13</v>
      </c>
      <c r="D216" s="1">
        <v>22</v>
      </c>
      <c r="E216" s="1" t="s">
        <v>14722</v>
      </c>
      <c r="F216" s="6"/>
      <c r="G216" s="1" t="s">
        <v>14733</v>
      </c>
    </row>
    <row r="217" spans="1:7" ht="21" x14ac:dyDescent="0.25">
      <c r="A217" s="2" t="str">
        <f>HYPERLINK("https://rth.dk/resources/bsgatlas/details.php?id=BSGatlas-TSS-216","BSGatlas-TSS-216")</f>
        <v>BSGatlas-TSS-216</v>
      </c>
      <c r="B217" s="3">
        <v>302299</v>
      </c>
      <c r="C217" s="1" t="s">
        <v>13</v>
      </c>
      <c r="D217" s="1">
        <v>22</v>
      </c>
      <c r="E217" s="1" t="s">
        <v>14722</v>
      </c>
      <c r="F217" s="6"/>
      <c r="G217" s="1" t="s">
        <v>14726</v>
      </c>
    </row>
    <row r="218" spans="1:7" ht="21" x14ac:dyDescent="0.25">
      <c r="A218" s="2" t="str">
        <f>HYPERLINK("https://rth.dk/resources/bsgatlas/details.php?id=BSGatlas-TSS-217","BSGatlas-TSS-217")</f>
        <v>BSGatlas-TSS-217</v>
      </c>
      <c r="B218" s="3">
        <v>302355</v>
      </c>
      <c r="C218" s="1" t="s">
        <v>9</v>
      </c>
      <c r="D218" s="1">
        <v>22</v>
      </c>
      <c r="E218" s="1" t="s">
        <v>14722</v>
      </c>
      <c r="F218" s="6"/>
      <c r="G218" s="1" t="s">
        <v>14733</v>
      </c>
    </row>
    <row r="219" spans="1:7" ht="21" x14ac:dyDescent="0.25">
      <c r="A219" s="2" t="str">
        <f>HYPERLINK("https://rth.dk/resources/bsgatlas/details.php?id=BSGatlas-TSS-218","BSGatlas-TSS-218")</f>
        <v>BSGatlas-TSS-218</v>
      </c>
      <c r="B219" s="3">
        <v>304379</v>
      </c>
      <c r="C219" s="1" t="s">
        <v>9</v>
      </c>
      <c r="D219" s="1">
        <v>22</v>
      </c>
      <c r="E219" s="1" t="s">
        <v>14722</v>
      </c>
      <c r="F219" s="6"/>
      <c r="G219" s="1" t="s">
        <v>14726</v>
      </c>
    </row>
    <row r="220" spans="1:7" ht="21" x14ac:dyDescent="0.25">
      <c r="A220" s="2" t="str">
        <f>HYPERLINK("https://rth.dk/resources/bsgatlas/details.php?id=BSGatlas-TSS-219","BSGatlas-TSS-219")</f>
        <v>BSGatlas-TSS-219</v>
      </c>
      <c r="B220" s="3">
        <v>304390</v>
      </c>
      <c r="C220" s="1" t="s">
        <v>13</v>
      </c>
      <c r="D220" s="1">
        <v>22</v>
      </c>
      <c r="E220" s="1" t="s">
        <v>14722</v>
      </c>
      <c r="F220" s="6"/>
      <c r="G220" s="1" t="s">
        <v>14733</v>
      </c>
    </row>
    <row r="221" spans="1:7" ht="21" x14ac:dyDescent="0.25">
      <c r="A221" s="2" t="str">
        <f>HYPERLINK("https://rth.dk/resources/bsgatlas/details.php?id=BSGatlas-TSS-220","BSGatlas-TSS-220")</f>
        <v>BSGatlas-TSS-220</v>
      </c>
      <c r="B221" s="3">
        <v>305616</v>
      </c>
      <c r="C221" s="1" t="s">
        <v>9</v>
      </c>
      <c r="D221" s="1">
        <v>22</v>
      </c>
      <c r="E221" s="1" t="s">
        <v>14734</v>
      </c>
      <c r="F221" s="6"/>
      <c r="G221" s="1" t="s">
        <v>14726</v>
      </c>
    </row>
    <row r="222" spans="1:7" ht="21" x14ac:dyDescent="0.25">
      <c r="A222" s="2" t="str">
        <f>HYPERLINK("https://rth.dk/resources/bsgatlas/details.php?id=BSGatlas-TSS-221","BSGatlas-TSS-221")</f>
        <v>BSGatlas-TSS-221</v>
      </c>
      <c r="B222" s="3">
        <v>307459</v>
      </c>
      <c r="C222" s="1" t="s">
        <v>9</v>
      </c>
      <c r="D222" s="1">
        <v>22</v>
      </c>
      <c r="E222" s="1" t="s">
        <v>14720</v>
      </c>
      <c r="F222" s="6"/>
      <c r="G222" s="1" t="s">
        <v>14726</v>
      </c>
    </row>
    <row r="223" spans="1:7" ht="21" x14ac:dyDescent="0.25">
      <c r="A223" s="2" t="str">
        <f>HYPERLINK("https://rth.dk/resources/bsgatlas/details.php?id=BSGatlas-TSS-222","BSGatlas-TSS-222")</f>
        <v>BSGatlas-TSS-222</v>
      </c>
      <c r="B223" s="3">
        <v>308272</v>
      </c>
      <c r="C223" s="1" t="s">
        <v>9</v>
      </c>
      <c r="D223" s="1">
        <v>0</v>
      </c>
      <c r="E223" s="1" t="s">
        <v>14722</v>
      </c>
      <c r="F223" s="6" t="s">
        <v>14787</v>
      </c>
      <c r="G223" s="1" t="s">
        <v>14729</v>
      </c>
    </row>
    <row r="224" spans="1:7" ht="21" x14ac:dyDescent="0.25">
      <c r="A224" s="2" t="str">
        <f>HYPERLINK("https://rth.dk/resources/bsgatlas/details.php?id=BSGatlas-TSS-223","BSGatlas-TSS-223")</f>
        <v>BSGatlas-TSS-223</v>
      </c>
      <c r="B224" s="3">
        <v>308911</v>
      </c>
      <c r="C224" s="1" t="s">
        <v>9</v>
      </c>
      <c r="D224" s="1">
        <v>22</v>
      </c>
      <c r="E224" s="1" t="s">
        <v>14722</v>
      </c>
      <c r="F224" s="6"/>
      <c r="G224" s="1" t="s">
        <v>14726</v>
      </c>
    </row>
    <row r="225" spans="1:7" ht="21" x14ac:dyDescent="0.25">
      <c r="A225" s="2" t="str">
        <f>HYPERLINK("https://rth.dk/resources/bsgatlas/details.php?id=BSGatlas-TSS-224","BSGatlas-TSS-224")</f>
        <v>BSGatlas-TSS-224</v>
      </c>
      <c r="B225" s="3">
        <v>311859</v>
      </c>
      <c r="C225" s="1" t="s">
        <v>9</v>
      </c>
      <c r="D225" s="1">
        <v>22</v>
      </c>
      <c r="E225" s="1" t="s">
        <v>14722</v>
      </c>
      <c r="F225" s="6"/>
      <c r="G225" s="1" t="s">
        <v>14733</v>
      </c>
    </row>
    <row r="226" spans="1:7" ht="21" x14ac:dyDescent="0.25">
      <c r="A226" s="2" t="str">
        <f>HYPERLINK("https://rth.dk/resources/bsgatlas/details.php?id=BSGatlas-TSS-225","BSGatlas-TSS-225")</f>
        <v>BSGatlas-TSS-225</v>
      </c>
      <c r="B226" s="3">
        <v>311915</v>
      </c>
      <c r="C226" s="1" t="s">
        <v>13</v>
      </c>
      <c r="D226" s="1">
        <v>22</v>
      </c>
      <c r="E226" s="1" t="s">
        <v>14722</v>
      </c>
      <c r="F226" s="6"/>
      <c r="G226" s="1" t="s">
        <v>14726</v>
      </c>
    </row>
    <row r="227" spans="1:7" ht="21" x14ac:dyDescent="0.25">
      <c r="A227" s="2" t="str">
        <f>HYPERLINK("https://rth.dk/resources/bsgatlas/details.php?id=BSGatlas-TSS-226","BSGatlas-TSS-226")</f>
        <v>BSGatlas-TSS-226</v>
      </c>
      <c r="B227" s="3">
        <v>312067</v>
      </c>
      <c r="C227" s="1" t="s">
        <v>9</v>
      </c>
      <c r="D227" s="1">
        <v>0</v>
      </c>
      <c r="E227" s="1" t="s">
        <v>14722</v>
      </c>
      <c r="F227" s="6" t="s">
        <v>14788</v>
      </c>
      <c r="G227" s="1" t="s">
        <v>14724</v>
      </c>
    </row>
    <row r="228" spans="1:7" ht="21" x14ac:dyDescent="0.25">
      <c r="A228" s="2" t="str">
        <f>HYPERLINK("https://rth.dk/resources/bsgatlas/details.php?id=BSGatlas-TSS-227","BSGatlas-TSS-227")</f>
        <v>BSGatlas-TSS-227</v>
      </c>
      <c r="B228" s="3">
        <v>312080</v>
      </c>
      <c r="C228" s="1" t="s">
        <v>9</v>
      </c>
      <c r="D228" s="1">
        <v>0</v>
      </c>
      <c r="E228" s="1" t="s">
        <v>14770</v>
      </c>
      <c r="F228" s="6" t="s">
        <v>14789</v>
      </c>
      <c r="G228" s="1" t="s">
        <v>14724</v>
      </c>
    </row>
    <row r="229" spans="1:7" ht="21" x14ac:dyDescent="0.25">
      <c r="A229" s="2" t="str">
        <f>HYPERLINK("https://rth.dk/resources/bsgatlas/details.php?id=BSGatlas-TSS-228","BSGatlas-TSS-228")</f>
        <v>BSGatlas-TSS-228</v>
      </c>
      <c r="B229" s="3">
        <v>317687</v>
      </c>
      <c r="C229" s="1" t="s">
        <v>9</v>
      </c>
      <c r="D229" s="1">
        <v>22</v>
      </c>
      <c r="E229" s="1" t="s">
        <v>14722</v>
      </c>
      <c r="F229" s="6"/>
      <c r="G229" s="1" t="s">
        <v>14726</v>
      </c>
    </row>
    <row r="230" spans="1:7" ht="21" x14ac:dyDescent="0.25">
      <c r="A230" s="2" t="str">
        <f>HYPERLINK("https://rth.dk/resources/bsgatlas/details.php?id=BSGatlas-TSS-229","BSGatlas-TSS-229")</f>
        <v>BSGatlas-TSS-229</v>
      </c>
      <c r="B230" s="3">
        <v>320725</v>
      </c>
      <c r="C230" s="1" t="s">
        <v>13</v>
      </c>
      <c r="D230" s="1">
        <v>22</v>
      </c>
      <c r="E230" s="1" t="s">
        <v>14722</v>
      </c>
      <c r="F230" s="6"/>
      <c r="G230" s="1" t="s">
        <v>14726</v>
      </c>
    </row>
    <row r="231" spans="1:7" ht="21" x14ac:dyDescent="0.25">
      <c r="A231" s="2" t="str">
        <f>HYPERLINK("https://rth.dk/resources/bsgatlas/details.php?id=BSGatlas-TSS-230","BSGatlas-TSS-230")</f>
        <v>BSGatlas-TSS-230</v>
      </c>
      <c r="B231" s="3">
        <v>320952</v>
      </c>
      <c r="C231" s="1" t="s">
        <v>9</v>
      </c>
      <c r="D231" s="1">
        <v>0</v>
      </c>
      <c r="E231" s="1" t="s">
        <v>14722</v>
      </c>
      <c r="F231" s="6" t="s">
        <v>14790</v>
      </c>
      <c r="G231" s="1" t="s">
        <v>14729</v>
      </c>
    </row>
    <row r="232" spans="1:7" ht="21" x14ac:dyDescent="0.25">
      <c r="A232" s="2" t="str">
        <f>HYPERLINK("https://rth.dk/resources/bsgatlas/details.php?id=BSGatlas-TSS-231","BSGatlas-TSS-231")</f>
        <v>BSGatlas-TSS-231</v>
      </c>
      <c r="B232" s="3">
        <v>320989</v>
      </c>
      <c r="C232" s="1" t="s">
        <v>9</v>
      </c>
      <c r="D232" s="1">
        <v>0</v>
      </c>
      <c r="E232" s="1" t="s">
        <v>14722</v>
      </c>
      <c r="F232" s="6" t="s">
        <v>14791</v>
      </c>
      <c r="G232" s="1" t="s">
        <v>14747</v>
      </c>
    </row>
    <row r="233" spans="1:7" ht="21" x14ac:dyDescent="0.25">
      <c r="A233" s="2" t="str">
        <f>HYPERLINK("https://rth.dk/resources/bsgatlas/details.php?id=BSGatlas-TSS-232","BSGatlas-TSS-232")</f>
        <v>BSGatlas-TSS-232</v>
      </c>
      <c r="B233" s="3">
        <v>320990</v>
      </c>
      <c r="C233" s="1" t="s">
        <v>9</v>
      </c>
      <c r="D233" s="1">
        <v>0</v>
      </c>
      <c r="E233" s="1" t="s">
        <v>14722</v>
      </c>
      <c r="F233" s="6">
        <v>7622480</v>
      </c>
      <c r="G233" s="1" t="s">
        <v>14730</v>
      </c>
    </row>
    <row r="234" spans="1:7" ht="21" x14ac:dyDescent="0.25">
      <c r="A234" s="2" t="str">
        <f>HYPERLINK("https://rth.dk/resources/bsgatlas/details.php?id=BSGatlas-TSS-233","BSGatlas-TSS-233")</f>
        <v>BSGatlas-TSS-233</v>
      </c>
      <c r="B234" s="3">
        <v>325266</v>
      </c>
      <c r="C234" s="1" t="s">
        <v>13</v>
      </c>
      <c r="D234" s="1">
        <v>0</v>
      </c>
      <c r="E234" s="1" t="s">
        <v>14722</v>
      </c>
      <c r="F234" s="6" t="s">
        <v>14792</v>
      </c>
      <c r="G234" s="1" t="s">
        <v>14724</v>
      </c>
    </row>
    <row r="235" spans="1:7" ht="21" x14ac:dyDescent="0.25">
      <c r="A235" s="2" t="str">
        <f>HYPERLINK("https://rth.dk/resources/bsgatlas/details.php?id=BSGatlas-TSS-234","BSGatlas-TSS-234")</f>
        <v>BSGatlas-TSS-234</v>
      </c>
      <c r="B235" s="3">
        <v>325280</v>
      </c>
      <c r="C235" s="1" t="s">
        <v>9</v>
      </c>
      <c r="D235" s="1">
        <v>22</v>
      </c>
      <c r="E235" s="1" t="s">
        <v>14722</v>
      </c>
      <c r="F235" s="6"/>
      <c r="G235" s="1" t="s">
        <v>14726</v>
      </c>
    </row>
    <row r="236" spans="1:7" ht="21" x14ac:dyDescent="0.25">
      <c r="A236" s="2" t="str">
        <f>HYPERLINK("https://rth.dk/resources/bsgatlas/details.php?id=BSGatlas-TSS-235","BSGatlas-TSS-235")</f>
        <v>BSGatlas-TSS-235</v>
      </c>
      <c r="B236" s="3">
        <v>326116</v>
      </c>
      <c r="C236" s="1" t="s">
        <v>9</v>
      </c>
      <c r="D236" s="1">
        <v>22</v>
      </c>
      <c r="E236" s="1" t="s">
        <v>14745</v>
      </c>
      <c r="F236" s="6"/>
      <c r="G236" s="1" t="s">
        <v>14726</v>
      </c>
    </row>
    <row r="237" spans="1:7" ht="21" x14ac:dyDescent="0.25">
      <c r="A237" s="2" t="str">
        <f>HYPERLINK("https://rth.dk/resources/bsgatlas/details.php?id=BSGatlas-TSS-236","BSGatlas-TSS-236")</f>
        <v>BSGatlas-TSS-236</v>
      </c>
      <c r="B237" s="3">
        <v>326846</v>
      </c>
      <c r="C237" s="1" t="s">
        <v>9</v>
      </c>
      <c r="D237" s="1">
        <v>22</v>
      </c>
      <c r="E237" s="1" t="s">
        <v>14722</v>
      </c>
      <c r="F237" s="6"/>
      <c r="G237" s="1" t="s">
        <v>14726</v>
      </c>
    </row>
    <row r="238" spans="1:7" ht="21" x14ac:dyDescent="0.25">
      <c r="A238" s="2" t="str">
        <f>HYPERLINK("https://rth.dk/resources/bsgatlas/details.php?id=BSGatlas-TSS-237","BSGatlas-TSS-237")</f>
        <v>BSGatlas-TSS-237</v>
      </c>
      <c r="B238" s="3">
        <v>327282</v>
      </c>
      <c r="C238" s="1" t="s">
        <v>9</v>
      </c>
      <c r="D238" s="1">
        <v>22</v>
      </c>
      <c r="E238" s="1" t="s">
        <v>14720</v>
      </c>
      <c r="F238" s="6"/>
      <c r="G238" s="1" t="s">
        <v>14726</v>
      </c>
    </row>
    <row r="239" spans="1:7" ht="21" x14ac:dyDescent="0.25">
      <c r="A239" s="2" t="str">
        <f>HYPERLINK("https://rth.dk/resources/bsgatlas/details.php?id=BSGatlas-TSS-238","BSGatlas-TSS-238")</f>
        <v>BSGatlas-TSS-238</v>
      </c>
      <c r="B239" s="3">
        <v>327497</v>
      </c>
      <c r="C239" s="1" t="s">
        <v>9</v>
      </c>
      <c r="D239" s="1">
        <v>0</v>
      </c>
      <c r="E239" s="1" t="s">
        <v>14722</v>
      </c>
      <c r="F239" s="6" t="s">
        <v>14793</v>
      </c>
      <c r="G239" s="1" t="s">
        <v>14724</v>
      </c>
    </row>
    <row r="240" spans="1:7" ht="21" x14ac:dyDescent="0.25">
      <c r="A240" s="2" t="str">
        <f>HYPERLINK("https://rth.dk/resources/bsgatlas/details.php?id=BSGatlas-TSS-239","BSGatlas-TSS-239")</f>
        <v>BSGatlas-TSS-239</v>
      </c>
      <c r="B240" s="3">
        <v>329715</v>
      </c>
      <c r="C240" s="1" t="s">
        <v>9</v>
      </c>
      <c r="D240" s="1">
        <v>0</v>
      </c>
      <c r="E240" s="1" t="s">
        <v>14722</v>
      </c>
      <c r="F240" s="6" t="s">
        <v>14794</v>
      </c>
      <c r="G240" s="1" t="s">
        <v>14729</v>
      </c>
    </row>
    <row r="241" spans="1:7" ht="21" x14ac:dyDescent="0.25">
      <c r="A241" s="2" t="str">
        <f>HYPERLINK("https://rth.dk/resources/bsgatlas/details.php?id=BSGatlas-TSS-240","BSGatlas-TSS-240")</f>
        <v>BSGatlas-TSS-240</v>
      </c>
      <c r="B241" s="3">
        <v>333073</v>
      </c>
      <c r="C241" s="1" t="s">
        <v>13</v>
      </c>
      <c r="D241" s="1">
        <v>22</v>
      </c>
      <c r="E241" s="1" t="s">
        <v>14720</v>
      </c>
      <c r="F241" s="6"/>
      <c r="G241" s="1" t="s">
        <v>14726</v>
      </c>
    </row>
    <row r="242" spans="1:7" ht="21" x14ac:dyDescent="0.25">
      <c r="A242" s="2" t="str">
        <f>HYPERLINK("https://rth.dk/resources/bsgatlas/details.php?id=BSGatlas-TSS-241","BSGatlas-TSS-241")</f>
        <v>BSGatlas-TSS-241</v>
      </c>
      <c r="B242" s="3">
        <v>334027</v>
      </c>
      <c r="C242" s="1" t="s">
        <v>9</v>
      </c>
      <c r="D242" s="1">
        <v>22</v>
      </c>
      <c r="E242" s="1" t="s">
        <v>14722</v>
      </c>
      <c r="F242" s="6"/>
      <c r="G242" s="1" t="s">
        <v>14726</v>
      </c>
    </row>
    <row r="243" spans="1:7" ht="21" x14ac:dyDescent="0.25">
      <c r="A243" s="2" t="str">
        <f>HYPERLINK("https://rth.dk/resources/bsgatlas/details.php?id=BSGatlas-TSS-242","BSGatlas-TSS-242")</f>
        <v>BSGatlas-TSS-242</v>
      </c>
      <c r="B243" s="3">
        <v>334062</v>
      </c>
      <c r="C243" s="1" t="s">
        <v>13</v>
      </c>
      <c r="D243" s="1">
        <v>22</v>
      </c>
      <c r="E243" s="1" t="s">
        <v>14722</v>
      </c>
      <c r="F243" s="6"/>
      <c r="G243" s="1" t="s">
        <v>14726</v>
      </c>
    </row>
    <row r="244" spans="1:7" ht="21" x14ac:dyDescent="0.25">
      <c r="A244" s="2" t="str">
        <f>HYPERLINK("https://rth.dk/resources/bsgatlas/details.php?id=BSGatlas-TSS-243","BSGatlas-TSS-243")</f>
        <v>BSGatlas-TSS-243</v>
      </c>
      <c r="B244" s="3">
        <v>334600</v>
      </c>
      <c r="C244" s="1" t="s">
        <v>9</v>
      </c>
      <c r="D244" s="1">
        <v>0</v>
      </c>
      <c r="E244" s="1" t="s">
        <v>14735</v>
      </c>
      <c r="F244" s="6" t="s">
        <v>14767</v>
      </c>
      <c r="G244" s="1" t="s">
        <v>14729</v>
      </c>
    </row>
    <row r="245" spans="1:7" ht="21" x14ac:dyDescent="0.25">
      <c r="A245" s="2" t="str">
        <f>HYPERLINK("https://rth.dk/resources/bsgatlas/details.php?id=BSGatlas-TSS-244","BSGatlas-TSS-244")</f>
        <v>BSGatlas-TSS-244</v>
      </c>
      <c r="B245" s="3">
        <v>335301</v>
      </c>
      <c r="C245" s="1" t="s">
        <v>9</v>
      </c>
      <c r="D245" s="1">
        <v>22</v>
      </c>
      <c r="E245" s="1" t="s">
        <v>14725</v>
      </c>
      <c r="F245" s="6"/>
      <c r="G245" s="1" t="s">
        <v>14726</v>
      </c>
    </row>
    <row r="246" spans="1:7" ht="21" x14ac:dyDescent="0.25">
      <c r="A246" s="2" t="str">
        <f>HYPERLINK("https://rth.dk/resources/bsgatlas/details.php?id=BSGatlas-TSS-245","BSGatlas-TSS-245")</f>
        <v>BSGatlas-TSS-245</v>
      </c>
      <c r="B246" s="3">
        <v>337469</v>
      </c>
      <c r="C246" s="1" t="s">
        <v>13</v>
      </c>
      <c r="D246" s="1">
        <v>22</v>
      </c>
      <c r="E246" s="1" t="s">
        <v>14732</v>
      </c>
      <c r="F246" s="6"/>
      <c r="G246" s="1" t="s">
        <v>14726</v>
      </c>
    </row>
    <row r="247" spans="1:7" ht="21" x14ac:dyDescent="0.25">
      <c r="A247" s="2" t="str">
        <f>HYPERLINK("https://rth.dk/resources/bsgatlas/details.php?id=BSGatlas-TSS-246","BSGatlas-TSS-246")</f>
        <v>BSGatlas-TSS-246</v>
      </c>
      <c r="B247" s="3">
        <v>337525</v>
      </c>
      <c r="C247" s="1" t="s">
        <v>9</v>
      </c>
      <c r="D247" s="1">
        <v>22</v>
      </c>
      <c r="E247" s="1" t="s">
        <v>14732</v>
      </c>
      <c r="F247" s="6"/>
      <c r="G247" s="1" t="s">
        <v>14726</v>
      </c>
    </row>
    <row r="248" spans="1:7" ht="21" x14ac:dyDescent="0.25">
      <c r="A248" s="2" t="str">
        <f>HYPERLINK("https://rth.dk/resources/bsgatlas/details.php?id=BSGatlas-TSS-247","BSGatlas-TSS-247")</f>
        <v>BSGatlas-TSS-247</v>
      </c>
      <c r="B248" s="3">
        <v>338204</v>
      </c>
      <c r="C248" s="1" t="s">
        <v>9</v>
      </c>
      <c r="D248" s="1">
        <v>0</v>
      </c>
      <c r="E248" s="1" t="s">
        <v>14722</v>
      </c>
      <c r="F248" s="6" t="s">
        <v>14795</v>
      </c>
      <c r="G248" s="1" t="s">
        <v>14724</v>
      </c>
    </row>
    <row r="249" spans="1:7" ht="21" x14ac:dyDescent="0.25">
      <c r="A249" s="2" t="str">
        <f>HYPERLINK("https://rth.dk/resources/bsgatlas/details.php?id=BSGatlas-TSS-248","BSGatlas-TSS-248")</f>
        <v>BSGatlas-TSS-248</v>
      </c>
      <c r="B249" s="3">
        <v>338255</v>
      </c>
      <c r="C249" s="1" t="s">
        <v>9</v>
      </c>
      <c r="D249" s="1">
        <v>0</v>
      </c>
      <c r="E249" s="1" t="s">
        <v>14734</v>
      </c>
      <c r="F249" s="6" t="s">
        <v>14795</v>
      </c>
      <c r="G249" s="1" t="s">
        <v>4382</v>
      </c>
    </row>
    <row r="250" spans="1:7" ht="21" x14ac:dyDescent="0.25">
      <c r="A250" s="2" t="str">
        <f>HYPERLINK("https://rth.dk/resources/bsgatlas/details.php?id=BSGatlas-TSS-249","BSGatlas-TSS-249")</f>
        <v>BSGatlas-TSS-249</v>
      </c>
      <c r="B250" s="3">
        <v>339779</v>
      </c>
      <c r="C250" s="1" t="s">
        <v>13</v>
      </c>
      <c r="D250" s="1">
        <v>22</v>
      </c>
      <c r="E250" s="1" t="s">
        <v>14722</v>
      </c>
      <c r="F250" s="6"/>
      <c r="G250" s="1" t="s">
        <v>14726</v>
      </c>
    </row>
    <row r="251" spans="1:7" ht="21" x14ac:dyDescent="0.25">
      <c r="A251" s="2" t="str">
        <f>HYPERLINK("https://rth.dk/resources/bsgatlas/details.php?id=BSGatlas-TSS-250","BSGatlas-TSS-250")</f>
        <v>BSGatlas-TSS-250</v>
      </c>
      <c r="B251" s="3">
        <v>339881</v>
      </c>
      <c r="C251" s="1" t="s">
        <v>9</v>
      </c>
      <c r="D251" s="1">
        <v>22</v>
      </c>
      <c r="E251" s="1" t="s">
        <v>14722</v>
      </c>
      <c r="F251" s="6"/>
      <c r="G251" s="1" t="s">
        <v>14733</v>
      </c>
    </row>
    <row r="252" spans="1:7" ht="21" x14ac:dyDescent="0.25">
      <c r="A252" s="2" t="str">
        <f>HYPERLINK("https://rth.dk/resources/bsgatlas/details.php?id=BSGatlas-TSS-251","BSGatlas-TSS-251")</f>
        <v>BSGatlas-TSS-251</v>
      </c>
      <c r="B252" s="3">
        <v>339965</v>
      </c>
      <c r="C252" s="1" t="s">
        <v>13</v>
      </c>
      <c r="D252" s="1">
        <v>22</v>
      </c>
      <c r="E252" s="1" t="s">
        <v>14727</v>
      </c>
      <c r="F252" s="6"/>
      <c r="G252" s="1" t="s">
        <v>14726</v>
      </c>
    </row>
    <row r="253" spans="1:7" ht="21" x14ac:dyDescent="0.25">
      <c r="A253" s="2" t="str">
        <f>HYPERLINK("https://rth.dk/resources/bsgatlas/details.php?id=BSGatlas-TSS-252","BSGatlas-TSS-252")</f>
        <v>BSGatlas-TSS-252</v>
      </c>
      <c r="B253" s="3">
        <v>339989</v>
      </c>
      <c r="C253" s="1" t="s">
        <v>9</v>
      </c>
      <c r="D253" s="1">
        <v>22</v>
      </c>
      <c r="E253" s="1" t="s">
        <v>14722</v>
      </c>
      <c r="F253" s="6"/>
      <c r="G253" s="1" t="s">
        <v>14726</v>
      </c>
    </row>
    <row r="254" spans="1:7" ht="21" x14ac:dyDescent="0.25">
      <c r="A254" s="2" t="str">
        <f>HYPERLINK("https://rth.dk/resources/bsgatlas/details.php?id=BSGatlas-TSS-253","BSGatlas-TSS-253")</f>
        <v>BSGatlas-TSS-253</v>
      </c>
      <c r="B254" s="3">
        <v>341412</v>
      </c>
      <c r="C254" s="1" t="s">
        <v>13</v>
      </c>
      <c r="D254" s="1">
        <v>22</v>
      </c>
      <c r="E254" s="1" t="s">
        <v>14722</v>
      </c>
      <c r="F254" s="6"/>
      <c r="G254" s="1" t="s">
        <v>14726</v>
      </c>
    </row>
    <row r="255" spans="1:7" ht="21" x14ac:dyDescent="0.25">
      <c r="A255" s="2" t="str">
        <f>HYPERLINK("https://rth.dk/resources/bsgatlas/details.php?id=BSGatlas-TSS-254","BSGatlas-TSS-254")</f>
        <v>BSGatlas-TSS-254</v>
      </c>
      <c r="B255" s="3">
        <v>341441</v>
      </c>
      <c r="C255" s="1" t="s">
        <v>9</v>
      </c>
      <c r="D255" s="1">
        <v>22</v>
      </c>
      <c r="E255" s="1" t="s">
        <v>14722</v>
      </c>
      <c r="F255" s="6"/>
      <c r="G255" s="1" t="s">
        <v>14726</v>
      </c>
    </row>
    <row r="256" spans="1:7" ht="21" x14ac:dyDescent="0.25">
      <c r="A256" s="2" t="str">
        <f>HYPERLINK("https://rth.dk/resources/bsgatlas/details.php?id=BSGatlas-TSS-255","BSGatlas-TSS-255")</f>
        <v>BSGatlas-TSS-255</v>
      </c>
      <c r="B256" s="3">
        <v>342981</v>
      </c>
      <c r="C256" s="1" t="s">
        <v>9</v>
      </c>
      <c r="D256" s="1">
        <v>22</v>
      </c>
      <c r="E256" s="1" t="s">
        <v>14732</v>
      </c>
      <c r="F256" s="6"/>
      <c r="G256" s="1" t="s">
        <v>14726</v>
      </c>
    </row>
    <row r="257" spans="1:7" ht="21" x14ac:dyDescent="0.25">
      <c r="A257" s="2" t="str">
        <f>HYPERLINK("https://rth.dk/resources/bsgatlas/details.php?id=BSGatlas-TSS-256","BSGatlas-TSS-256")</f>
        <v>BSGatlas-TSS-256</v>
      </c>
      <c r="B257" s="3">
        <v>343575</v>
      </c>
      <c r="C257" s="1" t="s">
        <v>9</v>
      </c>
      <c r="D257" s="1">
        <v>22</v>
      </c>
      <c r="E257" s="1" t="s">
        <v>14727</v>
      </c>
      <c r="F257" s="6"/>
      <c r="G257" s="1" t="s">
        <v>14726</v>
      </c>
    </row>
    <row r="258" spans="1:7" ht="21" x14ac:dyDescent="0.25">
      <c r="A258" s="2" t="str">
        <f>HYPERLINK("https://rth.dk/resources/bsgatlas/details.php?id=BSGatlas-TSS-257","BSGatlas-TSS-257")</f>
        <v>BSGatlas-TSS-257</v>
      </c>
      <c r="B258" s="3">
        <v>344499</v>
      </c>
      <c r="C258" s="1" t="s">
        <v>9</v>
      </c>
      <c r="D258" s="1">
        <v>22</v>
      </c>
      <c r="E258" s="1" t="s">
        <v>14722</v>
      </c>
      <c r="F258" s="6"/>
      <c r="G258" s="1" t="s">
        <v>14726</v>
      </c>
    </row>
    <row r="259" spans="1:7" ht="21" x14ac:dyDescent="0.25">
      <c r="A259" s="2" t="str">
        <f>HYPERLINK("https://rth.dk/resources/bsgatlas/details.php?id=BSGatlas-TSS-258","BSGatlas-TSS-258")</f>
        <v>BSGatlas-TSS-258</v>
      </c>
      <c r="B259" s="3">
        <v>346478</v>
      </c>
      <c r="C259" s="1" t="s">
        <v>9</v>
      </c>
      <c r="D259" s="1">
        <v>22</v>
      </c>
      <c r="E259" s="1" t="s">
        <v>14722</v>
      </c>
      <c r="F259" s="6"/>
      <c r="G259" s="1" t="s">
        <v>14726</v>
      </c>
    </row>
    <row r="260" spans="1:7" ht="21" x14ac:dyDescent="0.25">
      <c r="A260" s="2" t="str">
        <f>HYPERLINK("https://rth.dk/resources/bsgatlas/details.php?id=BSGatlas-TSS-259","BSGatlas-TSS-259")</f>
        <v>BSGatlas-TSS-259</v>
      </c>
      <c r="B260" s="3">
        <v>346589</v>
      </c>
      <c r="C260" s="1" t="s">
        <v>9</v>
      </c>
      <c r="D260" s="1">
        <v>22</v>
      </c>
      <c r="E260" s="1" t="s">
        <v>14722</v>
      </c>
      <c r="F260" s="6"/>
      <c r="G260" s="1" t="s">
        <v>14726</v>
      </c>
    </row>
    <row r="261" spans="1:7" ht="21" x14ac:dyDescent="0.25">
      <c r="A261" s="2" t="str">
        <f>HYPERLINK("https://rth.dk/resources/bsgatlas/details.php?id=BSGatlas-TSS-260","BSGatlas-TSS-260")</f>
        <v>BSGatlas-TSS-260</v>
      </c>
      <c r="B261" s="3">
        <v>347029</v>
      </c>
      <c r="C261" s="1" t="s">
        <v>9</v>
      </c>
      <c r="D261" s="1">
        <v>22</v>
      </c>
      <c r="E261" s="1" t="s">
        <v>14720</v>
      </c>
      <c r="F261" s="6"/>
      <c r="G261" s="1" t="s">
        <v>14733</v>
      </c>
    </row>
    <row r="262" spans="1:7" ht="21" x14ac:dyDescent="0.25">
      <c r="A262" s="2" t="str">
        <f>HYPERLINK("https://rth.dk/resources/bsgatlas/details.php?id=BSGatlas-TSS-261","BSGatlas-TSS-261")</f>
        <v>BSGatlas-TSS-261</v>
      </c>
      <c r="B262" s="3">
        <v>348694</v>
      </c>
      <c r="C262" s="1" t="s">
        <v>9</v>
      </c>
      <c r="D262" s="1">
        <v>22</v>
      </c>
      <c r="E262" s="1" t="s">
        <v>14722</v>
      </c>
      <c r="F262" s="6"/>
      <c r="G262" s="1" t="s">
        <v>14726</v>
      </c>
    </row>
    <row r="263" spans="1:7" ht="21" x14ac:dyDescent="0.25">
      <c r="A263" s="2" t="str">
        <f>HYPERLINK("https://rth.dk/resources/bsgatlas/details.php?id=BSGatlas-TSS-262","BSGatlas-TSS-262")</f>
        <v>BSGatlas-TSS-262</v>
      </c>
      <c r="B263" s="3">
        <v>349535</v>
      </c>
      <c r="C263" s="1" t="s">
        <v>13</v>
      </c>
      <c r="D263" s="1">
        <v>22</v>
      </c>
      <c r="E263" s="1" t="s">
        <v>14752</v>
      </c>
      <c r="F263" s="6"/>
      <c r="G263" s="1" t="s">
        <v>14726</v>
      </c>
    </row>
    <row r="264" spans="1:7" ht="21" x14ac:dyDescent="0.25">
      <c r="A264" s="2" t="str">
        <f>HYPERLINK("https://rth.dk/resources/bsgatlas/details.php?id=BSGatlas-TSS-263","BSGatlas-TSS-263")</f>
        <v>BSGatlas-TSS-263</v>
      </c>
      <c r="B264" s="3">
        <v>351794</v>
      </c>
      <c r="C264" s="1" t="s">
        <v>13</v>
      </c>
      <c r="D264" s="1">
        <v>22</v>
      </c>
      <c r="E264" s="1" t="s">
        <v>14739</v>
      </c>
      <c r="F264" s="6"/>
      <c r="G264" s="1" t="s">
        <v>14726</v>
      </c>
    </row>
    <row r="265" spans="1:7" ht="21" x14ac:dyDescent="0.25">
      <c r="A265" s="2" t="str">
        <f>HYPERLINK("https://rth.dk/resources/bsgatlas/details.php?id=BSGatlas-TSS-264","BSGatlas-TSS-264")</f>
        <v>BSGatlas-TSS-264</v>
      </c>
      <c r="B265" s="3">
        <v>352735</v>
      </c>
      <c r="C265" s="1" t="s">
        <v>13</v>
      </c>
      <c r="D265" s="1">
        <v>22</v>
      </c>
      <c r="E265" s="1" t="s">
        <v>14722</v>
      </c>
      <c r="F265" s="6"/>
      <c r="G265" s="1" t="s">
        <v>14726</v>
      </c>
    </row>
    <row r="266" spans="1:7" ht="21" x14ac:dyDescent="0.25">
      <c r="A266" s="2" t="str">
        <f>HYPERLINK("https://rth.dk/resources/bsgatlas/details.php?id=BSGatlas-TSS-265","BSGatlas-TSS-265")</f>
        <v>BSGatlas-TSS-265</v>
      </c>
      <c r="B266" s="3">
        <v>352794</v>
      </c>
      <c r="C266" s="1" t="s">
        <v>9</v>
      </c>
      <c r="D266" s="1">
        <v>22</v>
      </c>
      <c r="E266" s="1" t="s">
        <v>14722</v>
      </c>
      <c r="F266" s="6"/>
      <c r="G266" s="1" t="s">
        <v>14733</v>
      </c>
    </row>
    <row r="267" spans="1:7" ht="21" x14ac:dyDescent="0.25">
      <c r="A267" s="2" t="str">
        <f>HYPERLINK("https://rth.dk/resources/bsgatlas/details.php?id=BSGatlas-TSS-266","BSGatlas-TSS-266")</f>
        <v>BSGatlas-TSS-266</v>
      </c>
      <c r="B267" s="3">
        <v>352803</v>
      </c>
      <c r="C267" s="1" t="s">
        <v>13</v>
      </c>
      <c r="D267" s="1">
        <v>22</v>
      </c>
      <c r="E267" s="1" t="s">
        <v>14727</v>
      </c>
      <c r="F267" s="6"/>
      <c r="G267" s="1" t="s">
        <v>14726</v>
      </c>
    </row>
    <row r="268" spans="1:7" ht="21" x14ac:dyDescent="0.25">
      <c r="A268" s="2" t="str">
        <f>HYPERLINK("https://rth.dk/resources/bsgatlas/details.php?id=BSGatlas-TSS-267","BSGatlas-TSS-267")</f>
        <v>BSGatlas-TSS-267</v>
      </c>
      <c r="B268" s="3">
        <v>355609</v>
      </c>
      <c r="C268" s="1" t="s">
        <v>9</v>
      </c>
      <c r="D268" s="1">
        <v>22</v>
      </c>
      <c r="E268" s="1" t="s">
        <v>14720</v>
      </c>
      <c r="F268" s="6"/>
      <c r="G268" s="1" t="s">
        <v>14726</v>
      </c>
    </row>
    <row r="269" spans="1:7" ht="21" x14ac:dyDescent="0.25">
      <c r="A269" s="2" t="str">
        <f>HYPERLINK("https://rth.dk/resources/bsgatlas/details.php?id=BSGatlas-TSS-268","BSGatlas-TSS-268")</f>
        <v>BSGatlas-TSS-268</v>
      </c>
      <c r="B269" s="3">
        <v>355641</v>
      </c>
      <c r="C269" s="1" t="s">
        <v>13</v>
      </c>
      <c r="D269" s="1">
        <v>22</v>
      </c>
      <c r="E269" s="1" t="s">
        <v>14722</v>
      </c>
      <c r="F269" s="6"/>
      <c r="G269" s="1" t="s">
        <v>14726</v>
      </c>
    </row>
    <row r="270" spans="1:7" ht="21" x14ac:dyDescent="0.25">
      <c r="A270" s="2" t="str">
        <f>HYPERLINK("https://rth.dk/resources/bsgatlas/details.php?id=BSGatlas-TSS-269","BSGatlas-TSS-269")</f>
        <v>BSGatlas-TSS-269</v>
      </c>
      <c r="B270" s="3">
        <v>358211</v>
      </c>
      <c r="C270" s="1" t="s">
        <v>13</v>
      </c>
      <c r="D270" s="1">
        <v>0</v>
      </c>
      <c r="E270" s="1" t="s">
        <v>14720</v>
      </c>
      <c r="F270" s="6">
        <v>9765565</v>
      </c>
      <c r="G270" s="1" t="s">
        <v>14730</v>
      </c>
    </row>
    <row r="271" spans="1:7" ht="21" x14ac:dyDescent="0.25">
      <c r="A271" s="2" t="str">
        <f>HYPERLINK("https://rth.dk/resources/bsgatlas/details.php?id=BSGatlas-TSS-270","BSGatlas-TSS-270")</f>
        <v>BSGatlas-TSS-270</v>
      </c>
      <c r="B271" s="3">
        <v>362797</v>
      </c>
      <c r="C271" s="1" t="s">
        <v>13</v>
      </c>
      <c r="D271" s="1">
        <v>0</v>
      </c>
      <c r="E271" s="1" t="s">
        <v>14722</v>
      </c>
      <c r="F271" s="6" t="s">
        <v>14796</v>
      </c>
      <c r="G271" s="1" t="s">
        <v>14729</v>
      </c>
    </row>
    <row r="272" spans="1:7" ht="21" x14ac:dyDescent="0.25">
      <c r="A272" s="2" t="str">
        <f>HYPERLINK("https://rth.dk/resources/bsgatlas/details.php?id=BSGatlas-TSS-271","BSGatlas-TSS-271")</f>
        <v>BSGatlas-TSS-271</v>
      </c>
      <c r="B272" s="3">
        <v>362897</v>
      </c>
      <c r="C272" s="1" t="s">
        <v>9</v>
      </c>
      <c r="D272" s="1">
        <v>0</v>
      </c>
      <c r="E272" s="1" t="s">
        <v>14722</v>
      </c>
      <c r="F272" s="6" t="s">
        <v>14796</v>
      </c>
      <c r="G272" s="1" t="s">
        <v>14729</v>
      </c>
    </row>
    <row r="273" spans="1:7" ht="21" x14ac:dyDescent="0.25">
      <c r="A273" s="2" t="str">
        <f>HYPERLINK("https://rth.dk/resources/bsgatlas/details.php?id=BSGatlas-TSS-272","BSGatlas-TSS-272")</f>
        <v>BSGatlas-TSS-272</v>
      </c>
      <c r="B273" s="3">
        <v>364221</v>
      </c>
      <c r="C273" s="1" t="s">
        <v>9</v>
      </c>
      <c r="D273" s="1">
        <v>0</v>
      </c>
      <c r="E273" s="1" t="s">
        <v>14722</v>
      </c>
      <c r="F273" s="6" t="s">
        <v>14787</v>
      </c>
      <c r="G273" s="1" t="s">
        <v>14729</v>
      </c>
    </row>
    <row r="274" spans="1:7" ht="21" x14ac:dyDescent="0.25">
      <c r="A274" s="2" t="str">
        <f>HYPERLINK("https://rth.dk/resources/bsgatlas/details.php?id=BSGatlas-TSS-273","BSGatlas-TSS-273")</f>
        <v>BSGatlas-TSS-273</v>
      </c>
      <c r="B274" s="3">
        <v>365802</v>
      </c>
      <c r="C274" s="1" t="s">
        <v>9</v>
      </c>
      <c r="D274" s="1">
        <v>0</v>
      </c>
      <c r="E274" s="1" t="s">
        <v>14722</v>
      </c>
      <c r="F274" s="6">
        <v>12426338</v>
      </c>
      <c r="G274" s="1" t="s">
        <v>14747</v>
      </c>
    </row>
    <row r="275" spans="1:7" ht="21" x14ac:dyDescent="0.25">
      <c r="A275" s="2" t="str">
        <f>HYPERLINK("https://rth.dk/resources/bsgatlas/details.php?id=BSGatlas-TSS-274","BSGatlas-TSS-274")</f>
        <v>BSGatlas-TSS-274</v>
      </c>
      <c r="B275" s="3">
        <v>368892</v>
      </c>
      <c r="C275" s="1" t="s">
        <v>13</v>
      </c>
      <c r="D275" s="1">
        <v>22</v>
      </c>
      <c r="E275" s="1" t="s">
        <v>14722</v>
      </c>
      <c r="F275" s="6"/>
      <c r="G275" s="1" t="s">
        <v>14726</v>
      </c>
    </row>
    <row r="276" spans="1:7" ht="21" x14ac:dyDescent="0.25">
      <c r="A276" s="2" t="str">
        <f>HYPERLINK("https://rth.dk/resources/bsgatlas/details.php?id=BSGatlas-TSS-275","BSGatlas-TSS-275")</f>
        <v>BSGatlas-TSS-275</v>
      </c>
      <c r="B276" s="3">
        <v>368964</v>
      </c>
      <c r="C276" s="1" t="s">
        <v>9</v>
      </c>
      <c r="D276" s="1">
        <v>22</v>
      </c>
      <c r="E276" s="1" t="s">
        <v>14734</v>
      </c>
      <c r="F276" s="6"/>
      <c r="G276" s="1" t="s">
        <v>14733</v>
      </c>
    </row>
    <row r="277" spans="1:7" ht="21" x14ac:dyDescent="0.25">
      <c r="A277" s="2" t="str">
        <f>HYPERLINK("https://rth.dk/resources/bsgatlas/details.php?id=BSGatlas-TSS-276","BSGatlas-TSS-276")</f>
        <v>BSGatlas-TSS-276</v>
      </c>
      <c r="B277" s="3">
        <v>369188</v>
      </c>
      <c r="C277" s="1" t="s">
        <v>9</v>
      </c>
      <c r="D277" s="1">
        <v>22</v>
      </c>
      <c r="E277" s="1" t="s">
        <v>14727</v>
      </c>
      <c r="F277" s="6"/>
      <c r="G277" s="1" t="s">
        <v>14726</v>
      </c>
    </row>
    <row r="278" spans="1:7" ht="21" x14ac:dyDescent="0.25">
      <c r="A278" s="2" t="str">
        <f>HYPERLINK("https://rth.dk/resources/bsgatlas/details.php?id=BSGatlas-TSS-277","BSGatlas-TSS-277")</f>
        <v>BSGatlas-TSS-277</v>
      </c>
      <c r="B278" s="3">
        <v>369746</v>
      </c>
      <c r="C278" s="1" t="s">
        <v>9</v>
      </c>
      <c r="D278" s="1">
        <v>0</v>
      </c>
      <c r="E278" s="1" t="s">
        <v>14743</v>
      </c>
      <c r="F278" s="6">
        <v>16497325</v>
      </c>
      <c r="G278" s="1" t="s">
        <v>14730</v>
      </c>
    </row>
    <row r="279" spans="1:7" ht="21" x14ac:dyDescent="0.25">
      <c r="A279" s="2" t="str">
        <f>HYPERLINK("https://rth.dk/resources/bsgatlas/details.php?id=BSGatlas-TSS-278","BSGatlas-TSS-278")</f>
        <v>BSGatlas-TSS-278</v>
      </c>
      <c r="B279" s="3">
        <v>370218</v>
      </c>
      <c r="C279" s="1" t="s">
        <v>9</v>
      </c>
      <c r="D279" s="1">
        <v>22</v>
      </c>
      <c r="E279" s="1" t="s">
        <v>14722</v>
      </c>
      <c r="F279" s="6"/>
      <c r="G279" s="1" t="s">
        <v>14726</v>
      </c>
    </row>
    <row r="280" spans="1:7" ht="21" x14ac:dyDescent="0.25">
      <c r="A280" s="2" t="str">
        <f>HYPERLINK("https://rth.dk/resources/bsgatlas/details.php?id=BSGatlas-TSS-279","BSGatlas-TSS-279")</f>
        <v>BSGatlas-TSS-279</v>
      </c>
      <c r="B280" s="3">
        <v>372164</v>
      </c>
      <c r="C280" s="1" t="s">
        <v>13</v>
      </c>
      <c r="D280" s="1">
        <v>22</v>
      </c>
      <c r="E280" s="1" t="s">
        <v>14720</v>
      </c>
      <c r="F280" s="6"/>
      <c r="G280" s="1" t="s">
        <v>14726</v>
      </c>
    </row>
    <row r="281" spans="1:7" ht="21" x14ac:dyDescent="0.25">
      <c r="A281" s="2" t="str">
        <f>HYPERLINK("https://rth.dk/resources/bsgatlas/details.php?id=BSGatlas-TSS-280","BSGatlas-TSS-280")</f>
        <v>BSGatlas-TSS-280</v>
      </c>
      <c r="B281" s="3">
        <v>372626</v>
      </c>
      <c r="C281" s="1" t="s">
        <v>13</v>
      </c>
      <c r="D281" s="1">
        <v>22</v>
      </c>
      <c r="E281" s="1" t="s">
        <v>14722</v>
      </c>
      <c r="F281" s="6"/>
      <c r="G281" s="1" t="s">
        <v>14726</v>
      </c>
    </row>
    <row r="282" spans="1:7" ht="21" x14ac:dyDescent="0.25">
      <c r="A282" s="2" t="str">
        <f>HYPERLINK("https://rth.dk/resources/bsgatlas/details.php?id=BSGatlas-TSS-281","BSGatlas-TSS-281")</f>
        <v>BSGatlas-TSS-281</v>
      </c>
      <c r="B282" s="3">
        <v>372801</v>
      </c>
      <c r="C282" s="1" t="s">
        <v>9</v>
      </c>
      <c r="D282" s="1">
        <v>22</v>
      </c>
      <c r="E282" s="1" t="s">
        <v>14722</v>
      </c>
      <c r="F282" s="6"/>
      <c r="G282" s="1" t="s">
        <v>14733</v>
      </c>
    </row>
    <row r="283" spans="1:7" ht="21" x14ac:dyDescent="0.25">
      <c r="A283" s="2" t="str">
        <f>HYPERLINK("https://rth.dk/resources/bsgatlas/details.php?id=BSGatlas-TSS-282","BSGatlas-TSS-282")</f>
        <v>BSGatlas-TSS-282</v>
      </c>
      <c r="B283" s="3">
        <v>372846</v>
      </c>
      <c r="C283" s="1" t="s">
        <v>13</v>
      </c>
      <c r="D283" s="1">
        <v>22</v>
      </c>
      <c r="E283" s="1" t="s">
        <v>14720</v>
      </c>
      <c r="F283" s="6"/>
      <c r="G283" s="1" t="s">
        <v>14726</v>
      </c>
    </row>
    <row r="284" spans="1:7" ht="21" x14ac:dyDescent="0.25">
      <c r="A284" s="2" t="str">
        <f>HYPERLINK("https://rth.dk/resources/bsgatlas/details.php?id=BSGatlas-TSS-283","BSGatlas-TSS-283")</f>
        <v>BSGatlas-TSS-283</v>
      </c>
      <c r="B284" s="3">
        <v>374531</v>
      </c>
      <c r="C284" s="1" t="s">
        <v>13</v>
      </c>
      <c r="D284" s="1">
        <v>22</v>
      </c>
      <c r="E284" s="1" t="s">
        <v>14752</v>
      </c>
      <c r="F284" s="6"/>
      <c r="G284" s="1" t="s">
        <v>14726</v>
      </c>
    </row>
    <row r="285" spans="1:7" ht="21" x14ac:dyDescent="0.25">
      <c r="A285" s="2" t="str">
        <f>HYPERLINK("https://rth.dk/resources/bsgatlas/details.php?id=BSGatlas-TSS-284","BSGatlas-TSS-284")</f>
        <v>BSGatlas-TSS-284</v>
      </c>
      <c r="B285" s="3">
        <v>375839</v>
      </c>
      <c r="C285" s="1" t="s">
        <v>13</v>
      </c>
      <c r="D285" s="1">
        <v>22</v>
      </c>
      <c r="E285" s="1" t="s">
        <v>14722</v>
      </c>
      <c r="F285" s="6"/>
      <c r="G285" s="1" t="s">
        <v>14726</v>
      </c>
    </row>
    <row r="286" spans="1:7" ht="21" x14ac:dyDescent="0.25">
      <c r="A286" s="2" t="str">
        <f>HYPERLINK("https://rth.dk/resources/bsgatlas/details.php?id=BSGatlas-TSS-285","BSGatlas-TSS-285")</f>
        <v>BSGatlas-TSS-285</v>
      </c>
      <c r="B286" s="3">
        <v>375946</v>
      </c>
      <c r="C286" s="1" t="s">
        <v>9</v>
      </c>
      <c r="D286" s="1">
        <v>22</v>
      </c>
      <c r="E286" s="1" t="s">
        <v>14722</v>
      </c>
      <c r="F286" s="6"/>
      <c r="G286" s="1" t="s">
        <v>14726</v>
      </c>
    </row>
    <row r="287" spans="1:7" ht="21" x14ac:dyDescent="0.25">
      <c r="A287" s="2" t="str">
        <f>HYPERLINK("https://rth.dk/resources/bsgatlas/details.php?id=BSGatlas-TSS-286","BSGatlas-TSS-286")</f>
        <v>BSGatlas-TSS-286</v>
      </c>
      <c r="B287" s="3">
        <v>376678</v>
      </c>
      <c r="C287" s="1" t="s">
        <v>9</v>
      </c>
      <c r="D287" s="1">
        <v>0</v>
      </c>
      <c r="E287" s="1" t="s">
        <v>14722</v>
      </c>
      <c r="F287" s="6" t="s">
        <v>14797</v>
      </c>
      <c r="G287" s="1" t="s">
        <v>14724</v>
      </c>
    </row>
    <row r="288" spans="1:7" ht="21" x14ac:dyDescent="0.25">
      <c r="A288" s="2" t="str">
        <f>HYPERLINK("https://rth.dk/resources/bsgatlas/details.php?id=BSGatlas-TSS-287","BSGatlas-TSS-287")</f>
        <v>BSGatlas-TSS-287</v>
      </c>
      <c r="B288" s="3">
        <v>403164</v>
      </c>
      <c r="C288" s="1" t="s">
        <v>9</v>
      </c>
      <c r="D288" s="1">
        <v>22</v>
      </c>
      <c r="E288" s="1" t="s">
        <v>14722</v>
      </c>
      <c r="F288" s="6"/>
      <c r="G288" s="1" t="s">
        <v>14726</v>
      </c>
    </row>
    <row r="289" spans="1:7" ht="21" x14ac:dyDescent="0.25">
      <c r="A289" s="2" t="str">
        <f>HYPERLINK("https://rth.dk/resources/bsgatlas/details.php?id=BSGatlas-TSS-288","BSGatlas-TSS-288")</f>
        <v>BSGatlas-TSS-288</v>
      </c>
      <c r="B289" s="3">
        <v>404513</v>
      </c>
      <c r="C289" s="1" t="s">
        <v>13</v>
      </c>
      <c r="D289" s="1">
        <v>22</v>
      </c>
      <c r="E289" s="1" t="s">
        <v>14720</v>
      </c>
      <c r="F289" s="6"/>
      <c r="G289" s="1" t="s">
        <v>14726</v>
      </c>
    </row>
    <row r="290" spans="1:7" ht="21" x14ac:dyDescent="0.25">
      <c r="A290" s="2" t="str">
        <f>HYPERLINK("https://rth.dk/resources/bsgatlas/details.php?id=BSGatlas-TSS-289","BSGatlas-TSS-289")</f>
        <v>BSGatlas-TSS-289</v>
      </c>
      <c r="B290" s="3">
        <v>405046</v>
      </c>
      <c r="C290" s="1" t="s">
        <v>13</v>
      </c>
      <c r="D290" s="1">
        <v>22</v>
      </c>
      <c r="E290" s="1" t="s">
        <v>14722</v>
      </c>
      <c r="F290" s="6"/>
      <c r="G290" s="1" t="s">
        <v>14726</v>
      </c>
    </row>
    <row r="291" spans="1:7" ht="21" x14ac:dyDescent="0.25">
      <c r="A291" s="2" t="str">
        <f>HYPERLINK("https://rth.dk/resources/bsgatlas/details.php?id=BSGatlas-TSS-290","BSGatlas-TSS-290")</f>
        <v>BSGatlas-TSS-290</v>
      </c>
      <c r="B291" s="3">
        <v>406053</v>
      </c>
      <c r="C291" s="1" t="s">
        <v>13</v>
      </c>
      <c r="D291" s="1">
        <v>22</v>
      </c>
      <c r="E291" s="1" t="s">
        <v>14727</v>
      </c>
      <c r="F291" s="6"/>
      <c r="G291" s="1" t="s">
        <v>14726</v>
      </c>
    </row>
    <row r="292" spans="1:7" ht="21" x14ac:dyDescent="0.25">
      <c r="A292" s="2" t="str">
        <f>HYPERLINK("https://rth.dk/resources/bsgatlas/details.php?id=BSGatlas-TSS-291","BSGatlas-TSS-291")</f>
        <v>BSGatlas-TSS-291</v>
      </c>
      <c r="B292" s="3">
        <v>408174</v>
      </c>
      <c r="C292" s="1" t="s">
        <v>13</v>
      </c>
      <c r="D292" s="1">
        <v>22</v>
      </c>
      <c r="E292" s="1" t="s">
        <v>14722</v>
      </c>
      <c r="F292" s="6"/>
      <c r="G292" s="1" t="s">
        <v>14726</v>
      </c>
    </row>
    <row r="293" spans="1:7" ht="21" x14ac:dyDescent="0.25">
      <c r="A293" s="2" t="str">
        <f>HYPERLINK("https://rth.dk/resources/bsgatlas/details.php?id=BSGatlas-TSS-292","BSGatlas-TSS-292")</f>
        <v>BSGatlas-TSS-292</v>
      </c>
      <c r="B293" s="3">
        <v>408919</v>
      </c>
      <c r="C293" s="1" t="s">
        <v>13</v>
      </c>
      <c r="D293" s="1">
        <v>22</v>
      </c>
      <c r="E293" s="1" t="s">
        <v>14722</v>
      </c>
      <c r="F293" s="6"/>
      <c r="G293" s="1" t="s">
        <v>14726</v>
      </c>
    </row>
    <row r="294" spans="1:7" ht="21" x14ac:dyDescent="0.25">
      <c r="A294" s="2" t="str">
        <f>HYPERLINK("https://rth.dk/resources/bsgatlas/details.php?id=BSGatlas-TSS-293","BSGatlas-TSS-293")</f>
        <v>BSGatlas-TSS-293</v>
      </c>
      <c r="B294" s="3">
        <v>411523</v>
      </c>
      <c r="C294" s="1" t="s">
        <v>13</v>
      </c>
      <c r="D294" s="1">
        <v>22</v>
      </c>
      <c r="E294" s="1" t="s">
        <v>14722</v>
      </c>
      <c r="F294" s="6"/>
      <c r="G294" s="1" t="s">
        <v>14726</v>
      </c>
    </row>
    <row r="295" spans="1:7" ht="21" x14ac:dyDescent="0.25">
      <c r="A295" s="2" t="str">
        <f>HYPERLINK("https://rth.dk/resources/bsgatlas/details.php?id=BSGatlas-TSS-294","BSGatlas-TSS-294")</f>
        <v>BSGatlas-TSS-294</v>
      </c>
      <c r="B295" s="3">
        <v>412195</v>
      </c>
      <c r="C295" s="1" t="s">
        <v>13</v>
      </c>
      <c r="D295" s="1">
        <v>22</v>
      </c>
      <c r="E295" s="1" t="s">
        <v>14734</v>
      </c>
      <c r="F295" s="6"/>
      <c r="G295" s="1" t="s">
        <v>14726</v>
      </c>
    </row>
    <row r="296" spans="1:7" ht="21" x14ac:dyDescent="0.25">
      <c r="A296" s="2" t="str">
        <f>HYPERLINK("https://rth.dk/resources/bsgatlas/details.php?id=BSGatlas-TSS-295","BSGatlas-TSS-295")</f>
        <v>BSGatlas-TSS-295</v>
      </c>
      <c r="B296" s="3">
        <v>412525</v>
      </c>
      <c r="C296" s="1" t="s">
        <v>13</v>
      </c>
      <c r="D296" s="1">
        <v>22</v>
      </c>
      <c r="E296" s="1" t="s">
        <v>14722</v>
      </c>
      <c r="F296" s="6"/>
      <c r="G296" s="1" t="s">
        <v>14726</v>
      </c>
    </row>
    <row r="297" spans="1:7" ht="21" x14ac:dyDescent="0.25">
      <c r="A297" s="2" t="str">
        <f>HYPERLINK("https://rth.dk/resources/bsgatlas/details.php?id=BSGatlas-TSS-296","BSGatlas-TSS-296")</f>
        <v>BSGatlas-TSS-296</v>
      </c>
      <c r="B297" s="3">
        <v>412533</v>
      </c>
      <c r="C297" s="1" t="s">
        <v>9</v>
      </c>
      <c r="D297" s="1">
        <v>22</v>
      </c>
      <c r="E297" s="1" t="s">
        <v>14722</v>
      </c>
      <c r="F297" s="6"/>
      <c r="G297" s="1" t="s">
        <v>14726</v>
      </c>
    </row>
    <row r="298" spans="1:7" ht="21" x14ac:dyDescent="0.25">
      <c r="A298" s="2" t="str">
        <f>HYPERLINK("https://rth.dk/resources/bsgatlas/details.php?id=BSGatlas-TSS-297","BSGatlas-TSS-297")</f>
        <v>BSGatlas-TSS-297</v>
      </c>
      <c r="B298" s="3">
        <v>415291</v>
      </c>
      <c r="C298" s="1" t="s">
        <v>9</v>
      </c>
      <c r="D298" s="1">
        <v>22</v>
      </c>
      <c r="E298" s="1" t="s">
        <v>14722</v>
      </c>
      <c r="F298" s="6"/>
      <c r="G298" s="1" t="s">
        <v>14726</v>
      </c>
    </row>
    <row r="299" spans="1:7" ht="21" x14ac:dyDescent="0.25">
      <c r="A299" s="2" t="str">
        <f>HYPERLINK("https://rth.dk/resources/bsgatlas/details.php?id=BSGatlas-TSS-298","BSGatlas-TSS-298")</f>
        <v>BSGatlas-TSS-298</v>
      </c>
      <c r="B299" s="3">
        <v>417751</v>
      </c>
      <c r="C299" s="1" t="s">
        <v>9</v>
      </c>
      <c r="D299" s="1">
        <v>22</v>
      </c>
      <c r="E299" s="1" t="s">
        <v>14722</v>
      </c>
      <c r="F299" s="6"/>
      <c r="G299" s="1" t="s">
        <v>14726</v>
      </c>
    </row>
    <row r="300" spans="1:7" ht="21" x14ac:dyDescent="0.25">
      <c r="A300" s="2" t="str">
        <f>HYPERLINK("https://rth.dk/resources/bsgatlas/details.php?id=BSGatlas-TSS-299","BSGatlas-TSS-299")</f>
        <v>BSGatlas-TSS-299</v>
      </c>
      <c r="B300" s="3">
        <v>417761</v>
      </c>
      <c r="C300" s="1" t="s">
        <v>13</v>
      </c>
      <c r="D300" s="1">
        <v>22</v>
      </c>
      <c r="E300" s="1" t="s">
        <v>14722</v>
      </c>
      <c r="F300" s="6"/>
      <c r="G300" s="1" t="s">
        <v>14726</v>
      </c>
    </row>
    <row r="301" spans="1:7" ht="21" x14ac:dyDescent="0.25">
      <c r="A301" s="2" t="str">
        <f>HYPERLINK("https://rth.dk/resources/bsgatlas/details.php?id=BSGatlas-TSS-300","BSGatlas-TSS-300")</f>
        <v>BSGatlas-TSS-300</v>
      </c>
      <c r="B301" s="3">
        <v>417954</v>
      </c>
      <c r="C301" s="1" t="s">
        <v>9</v>
      </c>
      <c r="D301" s="1">
        <v>22</v>
      </c>
      <c r="E301" s="1" t="s">
        <v>14725</v>
      </c>
      <c r="F301" s="6"/>
      <c r="G301" s="1" t="s">
        <v>14726</v>
      </c>
    </row>
    <row r="302" spans="1:7" ht="21" x14ac:dyDescent="0.25">
      <c r="A302" s="2" t="str">
        <f>HYPERLINK("https://rth.dk/resources/bsgatlas/details.php?id=BSGatlas-TSS-301","BSGatlas-TSS-301")</f>
        <v>BSGatlas-TSS-301</v>
      </c>
      <c r="B302" s="3">
        <v>418277</v>
      </c>
      <c r="C302" s="1" t="s">
        <v>13</v>
      </c>
      <c r="D302" s="1">
        <v>22</v>
      </c>
      <c r="E302" s="1" t="s">
        <v>14727</v>
      </c>
      <c r="F302" s="6"/>
      <c r="G302" s="1" t="s">
        <v>14733</v>
      </c>
    </row>
    <row r="303" spans="1:7" ht="21" x14ac:dyDescent="0.25">
      <c r="A303" s="2" t="str">
        <f>HYPERLINK("https://rth.dk/resources/bsgatlas/details.php?id=BSGatlas-TSS-302","BSGatlas-TSS-302")</f>
        <v>BSGatlas-TSS-302</v>
      </c>
      <c r="B303" s="3">
        <v>420005</v>
      </c>
      <c r="C303" s="1" t="s">
        <v>13</v>
      </c>
      <c r="D303" s="1">
        <v>22</v>
      </c>
      <c r="E303" s="1" t="s">
        <v>14732</v>
      </c>
      <c r="F303" s="6"/>
      <c r="G303" s="1" t="s">
        <v>14726</v>
      </c>
    </row>
    <row r="304" spans="1:7" ht="21" x14ac:dyDescent="0.25">
      <c r="A304" s="2" t="str">
        <f>HYPERLINK("https://rth.dk/resources/bsgatlas/details.php?id=BSGatlas-TSS-303","BSGatlas-TSS-303")</f>
        <v>BSGatlas-TSS-303</v>
      </c>
      <c r="B304" s="3">
        <v>420089</v>
      </c>
      <c r="C304" s="1" t="s">
        <v>9</v>
      </c>
      <c r="D304" s="1">
        <v>0</v>
      </c>
      <c r="E304" s="1" t="s">
        <v>14743</v>
      </c>
      <c r="F304" s="6" t="s">
        <v>14798</v>
      </c>
      <c r="G304" s="1" t="s">
        <v>14729</v>
      </c>
    </row>
    <row r="305" spans="1:7" ht="21" x14ac:dyDescent="0.25">
      <c r="A305" s="2" t="str">
        <f>HYPERLINK("https://rth.dk/resources/bsgatlas/details.php?id=BSGatlas-TSS-304","BSGatlas-TSS-304")</f>
        <v>BSGatlas-TSS-304</v>
      </c>
      <c r="B305" s="3">
        <v>426537</v>
      </c>
      <c r="C305" s="1" t="s">
        <v>9</v>
      </c>
      <c r="D305" s="1">
        <v>22</v>
      </c>
      <c r="E305" s="1" t="s">
        <v>14722</v>
      </c>
      <c r="F305" s="6"/>
      <c r="G305" s="1" t="s">
        <v>14726</v>
      </c>
    </row>
    <row r="306" spans="1:7" ht="21" x14ac:dyDescent="0.25">
      <c r="A306" s="2" t="str">
        <f>HYPERLINK("https://rth.dk/resources/bsgatlas/details.php?id=BSGatlas-TSS-305","BSGatlas-TSS-305")</f>
        <v>BSGatlas-TSS-305</v>
      </c>
      <c r="B306" s="3">
        <v>428799</v>
      </c>
      <c r="C306" s="1" t="s">
        <v>9</v>
      </c>
      <c r="D306" s="1">
        <v>0</v>
      </c>
      <c r="E306" s="1" t="s">
        <v>14722</v>
      </c>
      <c r="F306" s="6" t="s">
        <v>14799</v>
      </c>
      <c r="G306" s="1" t="s">
        <v>14729</v>
      </c>
    </row>
    <row r="307" spans="1:7" ht="21" x14ac:dyDescent="0.25">
      <c r="A307" s="2" t="str">
        <f>HYPERLINK("https://rth.dk/resources/bsgatlas/details.php?id=BSGatlas-TSS-306","BSGatlas-TSS-306")</f>
        <v>BSGatlas-TSS-306</v>
      </c>
      <c r="B307" s="3">
        <v>429697</v>
      </c>
      <c r="C307" s="1" t="s">
        <v>9</v>
      </c>
      <c r="D307" s="1">
        <v>22</v>
      </c>
      <c r="E307" s="1" t="s">
        <v>14727</v>
      </c>
      <c r="F307" s="6"/>
      <c r="G307" s="1" t="s">
        <v>14726</v>
      </c>
    </row>
    <row r="308" spans="1:7" ht="21" x14ac:dyDescent="0.25">
      <c r="A308" s="2" t="str">
        <f>HYPERLINK("https://rth.dk/resources/bsgatlas/details.php?id=BSGatlas-TSS-307","BSGatlas-TSS-307")</f>
        <v>BSGatlas-TSS-307</v>
      </c>
      <c r="B308" s="3">
        <v>429880</v>
      </c>
      <c r="C308" s="1" t="s">
        <v>9</v>
      </c>
      <c r="D308" s="1">
        <v>0</v>
      </c>
      <c r="E308" s="1" t="s">
        <v>14745</v>
      </c>
      <c r="F308" s="6" t="s">
        <v>14800</v>
      </c>
      <c r="G308" s="1" t="s">
        <v>14730</v>
      </c>
    </row>
    <row r="309" spans="1:7" ht="21" x14ac:dyDescent="0.25">
      <c r="A309" s="2" t="str">
        <f>HYPERLINK("https://rth.dk/resources/bsgatlas/details.php?id=BSGatlas-TSS-308","BSGatlas-TSS-308")</f>
        <v>BSGatlas-TSS-308</v>
      </c>
      <c r="B309" s="3">
        <v>430501</v>
      </c>
      <c r="C309" s="1" t="s">
        <v>13</v>
      </c>
      <c r="D309" s="1">
        <v>22</v>
      </c>
      <c r="E309" s="1" t="s">
        <v>14725</v>
      </c>
      <c r="F309" s="6"/>
      <c r="G309" s="1" t="s">
        <v>14726</v>
      </c>
    </row>
    <row r="310" spans="1:7" ht="21" x14ac:dyDescent="0.25">
      <c r="A310" s="2" t="str">
        <f>HYPERLINK("https://rth.dk/resources/bsgatlas/details.php?id=BSGatlas-TSS-309","BSGatlas-TSS-309")</f>
        <v>BSGatlas-TSS-309</v>
      </c>
      <c r="B310" s="3">
        <v>432039</v>
      </c>
      <c r="C310" s="1" t="s">
        <v>13</v>
      </c>
      <c r="D310" s="1">
        <v>22</v>
      </c>
      <c r="E310" s="1" t="s">
        <v>14722</v>
      </c>
      <c r="F310" s="6"/>
      <c r="G310" s="1" t="s">
        <v>14726</v>
      </c>
    </row>
    <row r="311" spans="1:7" ht="21" x14ac:dyDescent="0.25">
      <c r="A311" s="2" t="str">
        <f>HYPERLINK("https://rth.dk/resources/bsgatlas/details.php?id=BSGatlas-TSS-310","BSGatlas-TSS-310")</f>
        <v>BSGatlas-TSS-310</v>
      </c>
      <c r="B311" s="3">
        <v>432210</v>
      </c>
      <c r="C311" s="1" t="s">
        <v>9</v>
      </c>
      <c r="D311" s="1">
        <v>22</v>
      </c>
      <c r="E311" s="1" t="s">
        <v>14722</v>
      </c>
      <c r="F311" s="6"/>
      <c r="G311" s="1" t="s">
        <v>14726</v>
      </c>
    </row>
    <row r="312" spans="1:7" ht="21" x14ac:dyDescent="0.25">
      <c r="A312" s="2" t="str">
        <f>HYPERLINK("https://rth.dk/resources/bsgatlas/details.php?id=BSGatlas-TSS-311","BSGatlas-TSS-311")</f>
        <v>BSGatlas-TSS-311</v>
      </c>
      <c r="B312" s="3">
        <v>432271</v>
      </c>
      <c r="C312" s="1" t="s">
        <v>9</v>
      </c>
      <c r="D312" s="1">
        <v>22</v>
      </c>
      <c r="E312" s="1" t="s">
        <v>14722</v>
      </c>
      <c r="F312" s="6"/>
      <c r="G312" s="1" t="s">
        <v>14733</v>
      </c>
    </row>
    <row r="313" spans="1:7" ht="21" x14ac:dyDescent="0.25">
      <c r="A313" s="2" t="str">
        <f>HYPERLINK("https://rth.dk/resources/bsgatlas/details.php?id=BSGatlas-TSS-312","BSGatlas-TSS-312")</f>
        <v>BSGatlas-TSS-312</v>
      </c>
      <c r="B313" s="3">
        <v>438427</v>
      </c>
      <c r="C313" s="1" t="s">
        <v>13</v>
      </c>
      <c r="D313" s="1">
        <v>22</v>
      </c>
      <c r="E313" s="1" t="s">
        <v>14722</v>
      </c>
      <c r="F313" s="6"/>
      <c r="G313" s="1" t="s">
        <v>14733</v>
      </c>
    </row>
    <row r="314" spans="1:7" ht="21" x14ac:dyDescent="0.25">
      <c r="A314" s="2" t="str">
        <f>HYPERLINK("https://rth.dk/resources/bsgatlas/details.php?id=BSGatlas-TSS-313","BSGatlas-TSS-313")</f>
        <v>BSGatlas-TSS-313</v>
      </c>
      <c r="B314" s="3">
        <v>439575</v>
      </c>
      <c r="C314" s="1" t="s">
        <v>9</v>
      </c>
      <c r="D314" s="1">
        <v>22</v>
      </c>
      <c r="E314" s="1" t="s">
        <v>14722</v>
      </c>
      <c r="F314" s="6"/>
      <c r="G314" s="1" t="s">
        <v>14726</v>
      </c>
    </row>
    <row r="315" spans="1:7" ht="21" x14ac:dyDescent="0.25">
      <c r="A315" s="2" t="str">
        <f>HYPERLINK("https://rth.dk/resources/bsgatlas/details.php?id=BSGatlas-TSS-314","BSGatlas-TSS-314")</f>
        <v>BSGatlas-TSS-314</v>
      </c>
      <c r="B315" s="3">
        <v>439629</v>
      </c>
      <c r="C315" s="1" t="s">
        <v>13</v>
      </c>
      <c r="D315" s="1">
        <v>22</v>
      </c>
      <c r="E315" s="1" t="s">
        <v>14722</v>
      </c>
      <c r="F315" s="6"/>
      <c r="G315" s="1" t="s">
        <v>14726</v>
      </c>
    </row>
    <row r="316" spans="1:7" ht="21" x14ac:dyDescent="0.25">
      <c r="A316" s="2" t="str">
        <f>HYPERLINK("https://rth.dk/resources/bsgatlas/details.php?id=BSGatlas-TSS-315","BSGatlas-TSS-315")</f>
        <v>BSGatlas-TSS-315</v>
      </c>
      <c r="B316" s="3">
        <v>439686</v>
      </c>
      <c r="C316" s="1" t="s">
        <v>9</v>
      </c>
      <c r="D316" s="1">
        <v>22</v>
      </c>
      <c r="E316" s="1" t="s">
        <v>14722</v>
      </c>
      <c r="F316" s="6"/>
      <c r="G316" s="1" t="s">
        <v>14726</v>
      </c>
    </row>
    <row r="317" spans="1:7" ht="21" x14ac:dyDescent="0.25">
      <c r="A317" s="2" t="str">
        <f>HYPERLINK("https://rth.dk/resources/bsgatlas/details.php?id=BSGatlas-TSS-316","BSGatlas-TSS-316")</f>
        <v>BSGatlas-TSS-316</v>
      </c>
      <c r="B317" s="3">
        <v>440355</v>
      </c>
      <c r="C317" s="1" t="s">
        <v>13</v>
      </c>
      <c r="D317" s="1">
        <v>22</v>
      </c>
      <c r="E317" s="1" t="s">
        <v>14732</v>
      </c>
      <c r="F317" s="6"/>
      <c r="G317" s="1" t="s">
        <v>14726</v>
      </c>
    </row>
    <row r="318" spans="1:7" ht="21" x14ac:dyDescent="0.25">
      <c r="A318" s="2" t="str">
        <f>HYPERLINK("https://rth.dk/resources/bsgatlas/details.php?id=BSGatlas-TSS-317","BSGatlas-TSS-317")</f>
        <v>BSGatlas-TSS-317</v>
      </c>
      <c r="B318" s="3">
        <v>441510</v>
      </c>
      <c r="C318" s="1" t="s">
        <v>13</v>
      </c>
      <c r="D318" s="1">
        <v>0</v>
      </c>
      <c r="E318" s="1" t="s">
        <v>14722</v>
      </c>
      <c r="F318" s="6" t="s">
        <v>14801</v>
      </c>
      <c r="G318" s="1" t="s">
        <v>14729</v>
      </c>
    </row>
    <row r="319" spans="1:7" ht="21" x14ac:dyDescent="0.25">
      <c r="A319" s="2" t="str">
        <f>HYPERLINK("https://rth.dk/resources/bsgatlas/details.php?id=BSGatlas-TSS-318","BSGatlas-TSS-318")</f>
        <v>BSGatlas-TSS-318</v>
      </c>
      <c r="B319" s="3">
        <v>441543</v>
      </c>
      <c r="C319" s="1" t="s">
        <v>9</v>
      </c>
      <c r="D319" s="1">
        <v>0</v>
      </c>
      <c r="E319" s="1" t="s">
        <v>14722</v>
      </c>
      <c r="F319" s="6" t="s">
        <v>14801</v>
      </c>
      <c r="G319" s="1" t="s">
        <v>14729</v>
      </c>
    </row>
    <row r="320" spans="1:7" ht="21" x14ac:dyDescent="0.25">
      <c r="A320" s="2" t="str">
        <f>HYPERLINK("https://rth.dk/resources/bsgatlas/details.php?id=BSGatlas-TSS-319","BSGatlas-TSS-319")</f>
        <v>BSGatlas-TSS-319</v>
      </c>
      <c r="B320" s="3">
        <v>442793</v>
      </c>
      <c r="C320" s="1" t="s">
        <v>9</v>
      </c>
      <c r="D320" s="1">
        <v>0</v>
      </c>
      <c r="E320" s="1" t="s">
        <v>14734</v>
      </c>
      <c r="F320" s="6">
        <v>10482513</v>
      </c>
      <c r="G320" s="1" t="s">
        <v>14730</v>
      </c>
    </row>
    <row r="321" spans="1:7" ht="21" x14ac:dyDescent="0.25">
      <c r="A321" s="2" t="str">
        <f>HYPERLINK("https://rth.dk/resources/bsgatlas/details.php?id=BSGatlas-TSS-320","BSGatlas-TSS-320")</f>
        <v>BSGatlas-TSS-320</v>
      </c>
      <c r="B321" s="3">
        <v>442914</v>
      </c>
      <c r="C321" s="1" t="s">
        <v>9</v>
      </c>
      <c r="D321" s="1">
        <v>22</v>
      </c>
      <c r="E321" s="1" t="s">
        <v>14722</v>
      </c>
      <c r="F321" s="6"/>
      <c r="G321" s="1" t="s">
        <v>14726</v>
      </c>
    </row>
    <row r="322" spans="1:7" ht="21" x14ac:dyDescent="0.25">
      <c r="A322" s="2" t="str">
        <f>HYPERLINK("https://rth.dk/resources/bsgatlas/details.php?id=BSGatlas-TSS-321","BSGatlas-TSS-321")</f>
        <v>BSGatlas-TSS-321</v>
      </c>
      <c r="B322" s="3">
        <v>444430</v>
      </c>
      <c r="C322" s="1" t="s">
        <v>9</v>
      </c>
      <c r="D322" s="1">
        <v>0</v>
      </c>
      <c r="E322" s="1" t="s">
        <v>14743</v>
      </c>
      <c r="F322" s="6" t="s">
        <v>14802</v>
      </c>
      <c r="G322" s="1" t="s">
        <v>14729</v>
      </c>
    </row>
    <row r="323" spans="1:7" ht="21" x14ac:dyDescent="0.25">
      <c r="A323" s="2" t="str">
        <f>HYPERLINK("https://rth.dk/resources/bsgatlas/details.php?id=BSGatlas-TSS-322","BSGatlas-TSS-322")</f>
        <v>BSGatlas-TSS-322</v>
      </c>
      <c r="B323" s="3">
        <v>445449</v>
      </c>
      <c r="C323" s="1" t="s">
        <v>9</v>
      </c>
      <c r="D323" s="1">
        <v>22</v>
      </c>
      <c r="E323" s="1" t="s">
        <v>14722</v>
      </c>
      <c r="F323" s="6"/>
      <c r="G323" s="1" t="s">
        <v>14726</v>
      </c>
    </row>
    <row r="324" spans="1:7" ht="21" x14ac:dyDescent="0.25">
      <c r="A324" s="2" t="str">
        <f>HYPERLINK("https://rth.dk/resources/bsgatlas/details.php?id=BSGatlas-TSS-323","BSGatlas-TSS-323")</f>
        <v>BSGatlas-TSS-323</v>
      </c>
      <c r="B324" s="3">
        <v>449070</v>
      </c>
      <c r="C324" s="1" t="s">
        <v>13</v>
      </c>
      <c r="D324" s="1">
        <v>22</v>
      </c>
      <c r="E324" s="1" t="s">
        <v>14722</v>
      </c>
      <c r="F324" s="6"/>
      <c r="G324" s="1" t="s">
        <v>14726</v>
      </c>
    </row>
    <row r="325" spans="1:7" ht="21" x14ac:dyDescent="0.25">
      <c r="A325" s="2" t="str">
        <f>HYPERLINK("https://rth.dk/resources/bsgatlas/details.php?id=BSGatlas-TSS-324","BSGatlas-TSS-324")</f>
        <v>BSGatlas-TSS-324</v>
      </c>
      <c r="B325" s="3">
        <v>449167</v>
      </c>
      <c r="C325" s="1" t="s">
        <v>9</v>
      </c>
      <c r="D325" s="1">
        <v>22</v>
      </c>
      <c r="E325" s="1" t="s">
        <v>14722</v>
      </c>
      <c r="F325" s="6"/>
      <c r="G325" s="1" t="s">
        <v>14726</v>
      </c>
    </row>
    <row r="326" spans="1:7" ht="21" x14ac:dyDescent="0.25">
      <c r="A326" s="2" t="str">
        <f>HYPERLINK("https://rth.dk/resources/bsgatlas/details.php?id=BSGatlas-TSS-325","BSGatlas-TSS-325")</f>
        <v>BSGatlas-TSS-325</v>
      </c>
      <c r="B326" s="3">
        <v>449641</v>
      </c>
      <c r="C326" s="1" t="s">
        <v>9</v>
      </c>
      <c r="D326" s="1">
        <v>22</v>
      </c>
      <c r="E326" s="1" t="s">
        <v>14722</v>
      </c>
      <c r="F326" s="6"/>
      <c r="G326" s="1" t="s">
        <v>14733</v>
      </c>
    </row>
    <row r="327" spans="1:7" ht="21" x14ac:dyDescent="0.25">
      <c r="A327" s="2" t="str">
        <f>HYPERLINK("https://rth.dk/resources/bsgatlas/details.php?id=BSGatlas-TSS-326","BSGatlas-TSS-326")</f>
        <v>BSGatlas-TSS-326</v>
      </c>
      <c r="B327" s="3">
        <v>452789</v>
      </c>
      <c r="C327" s="1" t="s">
        <v>9</v>
      </c>
      <c r="D327" s="1">
        <v>22</v>
      </c>
      <c r="E327" s="1" t="s">
        <v>14722</v>
      </c>
      <c r="F327" s="6"/>
      <c r="G327" s="1" t="s">
        <v>14726</v>
      </c>
    </row>
    <row r="328" spans="1:7" ht="21" x14ac:dyDescent="0.25">
      <c r="A328" s="2" t="str">
        <f>HYPERLINK("https://rth.dk/resources/bsgatlas/details.php?id=BSGatlas-TSS-327","BSGatlas-TSS-327")</f>
        <v>BSGatlas-TSS-327</v>
      </c>
      <c r="B328" s="3">
        <v>453096</v>
      </c>
      <c r="C328" s="1" t="s">
        <v>9</v>
      </c>
      <c r="D328" s="1">
        <v>22</v>
      </c>
      <c r="E328" s="1" t="s">
        <v>14725</v>
      </c>
      <c r="F328" s="6"/>
      <c r="G328" s="1" t="s">
        <v>14726</v>
      </c>
    </row>
    <row r="329" spans="1:7" ht="21" x14ac:dyDescent="0.25">
      <c r="A329" s="2" t="str">
        <f>HYPERLINK("https://rth.dk/resources/bsgatlas/details.php?id=BSGatlas-TSS-328","BSGatlas-TSS-328")</f>
        <v>BSGatlas-TSS-328</v>
      </c>
      <c r="B329" s="3">
        <v>453994</v>
      </c>
      <c r="C329" s="1" t="s">
        <v>9</v>
      </c>
      <c r="D329" s="1">
        <v>22</v>
      </c>
      <c r="E329" s="1" t="s">
        <v>14722</v>
      </c>
      <c r="F329" s="6"/>
      <c r="G329" s="1" t="s">
        <v>14726</v>
      </c>
    </row>
    <row r="330" spans="1:7" ht="21" x14ac:dyDescent="0.25">
      <c r="A330" s="2" t="str">
        <f>HYPERLINK("https://rth.dk/resources/bsgatlas/details.php?id=BSGatlas-TSS-329","BSGatlas-TSS-329")</f>
        <v>BSGatlas-TSS-329</v>
      </c>
      <c r="B330" s="3">
        <v>455301</v>
      </c>
      <c r="C330" s="1" t="s">
        <v>13</v>
      </c>
      <c r="D330" s="1">
        <v>22</v>
      </c>
      <c r="E330" s="1" t="s">
        <v>14722</v>
      </c>
      <c r="F330" s="6"/>
      <c r="G330" s="1" t="s">
        <v>14726</v>
      </c>
    </row>
    <row r="331" spans="1:7" ht="21" x14ac:dyDescent="0.25">
      <c r="A331" s="2" t="str">
        <f>HYPERLINK("https://rth.dk/resources/bsgatlas/details.php?id=BSGatlas-TSS-330","BSGatlas-TSS-330")</f>
        <v>BSGatlas-TSS-330</v>
      </c>
      <c r="B331" s="3">
        <v>455319</v>
      </c>
      <c r="C331" s="1" t="s">
        <v>9</v>
      </c>
      <c r="D331" s="1">
        <v>22</v>
      </c>
      <c r="E331" s="1" t="s">
        <v>14722</v>
      </c>
      <c r="F331" s="6"/>
      <c r="G331" s="1" t="s">
        <v>14726</v>
      </c>
    </row>
    <row r="332" spans="1:7" ht="21" x14ac:dyDescent="0.25">
      <c r="A332" s="2" t="str">
        <f>HYPERLINK("https://rth.dk/resources/bsgatlas/details.php?id=BSGatlas-TSS-331","BSGatlas-TSS-331")</f>
        <v>BSGatlas-TSS-331</v>
      </c>
      <c r="B332" s="3">
        <v>455967</v>
      </c>
      <c r="C332" s="1" t="s">
        <v>13</v>
      </c>
      <c r="D332" s="1">
        <v>22</v>
      </c>
      <c r="E332" s="1" t="s">
        <v>14734</v>
      </c>
      <c r="F332" s="6"/>
      <c r="G332" s="1" t="s">
        <v>14726</v>
      </c>
    </row>
    <row r="333" spans="1:7" ht="21" x14ac:dyDescent="0.25">
      <c r="A333" s="2" t="str">
        <f>HYPERLINK("https://rth.dk/resources/bsgatlas/details.php?id=BSGatlas-TSS-332","BSGatlas-TSS-332")</f>
        <v>BSGatlas-TSS-332</v>
      </c>
      <c r="B333" s="3">
        <v>456021</v>
      </c>
      <c r="C333" s="1" t="s">
        <v>9</v>
      </c>
      <c r="D333" s="1">
        <v>22</v>
      </c>
      <c r="E333" s="1" t="s">
        <v>14722</v>
      </c>
      <c r="F333" s="6"/>
      <c r="G333" s="1" t="s">
        <v>14726</v>
      </c>
    </row>
    <row r="334" spans="1:7" ht="21" x14ac:dyDescent="0.25">
      <c r="A334" s="2" t="str">
        <f>HYPERLINK("https://rth.dk/resources/bsgatlas/details.php?id=BSGatlas-TSS-333","BSGatlas-TSS-333")</f>
        <v>BSGatlas-TSS-333</v>
      </c>
      <c r="B334" s="3">
        <v>456926</v>
      </c>
      <c r="C334" s="1" t="s">
        <v>9</v>
      </c>
      <c r="D334" s="1">
        <v>22</v>
      </c>
      <c r="E334" s="1" t="s">
        <v>14722</v>
      </c>
      <c r="F334" s="6"/>
      <c r="G334" s="1" t="s">
        <v>14733</v>
      </c>
    </row>
    <row r="335" spans="1:7" ht="21" x14ac:dyDescent="0.25">
      <c r="A335" s="2" t="str">
        <f>HYPERLINK("https://rth.dk/resources/bsgatlas/details.php?id=BSGatlas-TSS-334","BSGatlas-TSS-334")</f>
        <v>BSGatlas-TSS-334</v>
      </c>
      <c r="B335" s="3">
        <v>461239</v>
      </c>
      <c r="C335" s="1" t="s">
        <v>9</v>
      </c>
      <c r="D335" s="1">
        <v>22</v>
      </c>
      <c r="E335" s="1" t="s">
        <v>14720</v>
      </c>
      <c r="F335" s="6"/>
      <c r="G335" s="1" t="s">
        <v>14726</v>
      </c>
    </row>
    <row r="336" spans="1:7" ht="21" x14ac:dyDescent="0.25">
      <c r="A336" s="2" t="str">
        <f>HYPERLINK("https://rth.dk/resources/bsgatlas/details.php?id=BSGatlas-TSS-335","BSGatlas-TSS-335")</f>
        <v>BSGatlas-TSS-335</v>
      </c>
      <c r="B336" s="3">
        <v>462398</v>
      </c>
      <c r="C336" s="1" t="s">
        <v>9</v>
      </c>
      <c r="D336" s="1">
        <v>22</v>
      </c>
      <c r="E336" s="1" t="s">
        <v>14725</v>
      </c>
      <c r="F336" s="6"/>
      <c r="G336" s="1" t="s">
        <v>14726</v>
      </c>
    </row>
    <row r="337" spans="1:7" ht="21" x14ac:dyDescent="0.25">
      <c r="A337" s="2" t="str">
        <f>HYPERLINK("https://rth.dk/resources/bsgatlas/details.php?id=BSGatlas-TSS-336","BSGatlas-TSS-336")</f>
        <v>BSGatlas-TSS-336</v>
      </c>
      <c r="B337" s="3">
        <v>463169</v>
      </c>
      <c r="C337" s="1" t="s">
        <v>9</v>
      </c>
      <c r="D337" s="1">
        <v>22</v>
      </c>
      <c r="E337" s="1" t="s">
        <v>14722</v>
      </c>
      <c r="F337" s="6"/>
      <c r="G337" s="1" t="s">
        <v>14726</v>
      </c>
    </row>
    <row r="338" spans="1:7" ht="21" x14ac:dyDescent="0.25">
      <c r="A338" s="2" t="str">
        <f>HYPERLINK("https://rth.dk/resources/bsgatlas/details.php?id=BSGatlas-TSS-337","BSGatlas-TSS-337")</f>
        <v>BSGatlas-TSS-337</v>
      </c>
      <c r="B338" s="3">
        <v>463820</v>
      </c>
      <c r="C338" s="1" t="s">
        <v>13</v>
      </c>
      <c r="D338" s="1">
        <v>22</v>
      </c>
      <c r="E338" s="1" t="s">
        <v>14722</v>
      </c>
      <c r="F338" s="6"/>
      <c r="G338" s="1" t="s">
        <v>14726</v>
      </c>
    </row>
    <row r="339" spans="1:7" ht="21" x14ac:dyDescent="0.25">
      <c r="A339" s="2" t="str">
        <f>HYPERLINK("https://rth.dk/resources/bsgatlas/details.php?id=BSGatlas-TSS-338","BSGatlas-TSS-338")</f>
        <v>BSGatlas-TSS-338</v>
      </c>
      <c r="B339" s="3">
        <v>463903</v>
      </c>
      <c r="C339" s="1" t="s">
        <v>9</v>
      </c>
      <c r="D339" s="1">
        <v>22</v>
      </c>
      <c r="E339" s="1" t="s">
        <v>14722</v>
      </c>
      <c r="F339" s="6"/>
      <c r="G339" s="1" t="s">
        <v>14726</v>
      </c>
    </row>
    <row r="340" spans="1:7" ht="21" x14ac:dyDescent="0.25">
      <c r="A340" s="2" t="str">
        <f>HYPERLINK("https://rth.dk/resources/bsgatlas/details.php?id=BSGatlas-TSS-339","BSGatlas-TSS-339")</f>
        <v>BSGatlas-TSS-339</v>
      </c>
      <c r="B340" s="3">
        <v>467042</v>
      </c>
      <c r="C340" s="1" t="s">
        <v>9</v>
      </c>
      <c r="D340" s="1">
        <v>22</v>
      </c>
      <c r="E340" s="1" t="s">
        <v>14722</v>
      </c>
      <c r="F340" s="6"/>
      <c r="G340" s="1" t="s">
        <v>14733</v>
      </c>
    </row>
    <row r="341" spans="1:7" ht="21" x14ac:dyDescent="0.25">
      <c r="A341" s="2" t="str">
        <f>HYPERLINK("https://rth.dk/resources/bsgatlas/details.php?id=BSGatlas-TSS-340","BSGatlas-TSS-340")</f>
        <v>BSGatlas-TSS-340</v>
      </c>
      <c r="B341" s="3">
        <v>469275</v>
      </c>
      <c r="C341" s="1" t="s">
        <v>9</v>
      </c>
      <c r="D341" s="1">
        <v>22</v>
      </c>
      <c r="E341" s="1" t="s">
        <v>14734</v>
      </c>
      <c r="F341" s="6"/>
      <c r="G341" s="1" t="s">
        <v>14733</v>
      </c>
    </row>
    <row r="342" spans="1:7" ht="21" x14ac:dyDescent="0.25">
      <c r="A342" s="2" t="str">
        <f>HYPERLINK("https://rth.dk/resources/bsgatlas/details.php?id=BSGatlas-TSS-341","BSGatlas-TSS-341")</f>
        <v>BSGatlas-TSS-341</v>
      </c>
      <c r="B342" s="3">
        <v>469369</v>
      </c>
      <c r="C342" s="1" t="s">
        <v>9</v>
      </c>
      <c r="D342" s="1">
        <v>22</v>
      </c>
      <c r="E342" s="1" t="s">
        <v>14722</v>
      </c>
      <c r="F342" s="6"/>
      <c r="G342" s="1" t="s">
        <v>14726</v>
      </c>
    </row>
    <row r="343" spans="1:7" ht="21" x14ac:dyDescent="0.25">
      <c r="A343" s="2" t="str">
        <f>HYPERLINK("https://rth.dk/resources/bsgatlas/details.php?id=BSGatlas-TSS-342","BSGatlas-TSS-342")</f>
        <v>BSGatlas-TSS-342</v>
      </c>
      <c r="B343" s="3">
        <v>471583</v>
      </c>
      <c r="C343" s="1" t="s">
        <v>13</v>
      </c>
      <c r="D343" s="1">
        <v>22</v>
      </c>
      <c r="E343" s="1" t="s">
        <v>14734</v>
      </c>
      <c r="F343" s="6"/>
      <c r="G343" s="1" t="s">
        <v>14726</v>
      </c>
    </row>
    <row r="344" spans="1:7" ht="21" x14ac:dyDescent="0.25">
      <c r="A344" s="2" t="str">
        <f>HYPERLINK("https://rth.dk/resources/bsgatlas/details.php?id=BSGatlas-TSS-343","BSGatlas-TSS-343")</f>
        <v>BSGatlas-TSS-343</v>
      </c>
      <c r="B344" s="3">
        <v>471679</v>
      </c>
      <c r="C344" s="1" t="s">
        <v>9</v>
      </c>
      <c r="D344" s="1">
        <v>0</v>
      </c>
      <c r="E344" s="1" t="s">
        <v>14734</v>
      </c>
      <c r="F344" s="6" t="s">
        <v>14803</v>
      </c>
      <c r="G344" s="1" t="s">
        <v>14729</v>
      </c>
    </row>
    <row r="345" spans="1:7" ht="21" x14ac:dyDescent="0.25">
      <c r="A345" s="2" t="str">
        <f>HYPERLINK("https://rth.dk/resources/bsgatlas/details.php?id=BSGatlas-TSS-344","BSGatlas-TSS-344")</f>
        <v>BSGatlas-TSS-344</v>
      </c>
      <c r="B345" s="3">
        <v>473140</v>
      </c>
      <c r="C345" s="1" t="s">
        <v>9</v>
      </c>
      <c r="D345" s="1">
        <v>22</v>
      </c>
      <c r="E345" s="1" t="s">
        <v>14722</v>
      </c>
      <c r="F345" s="6"/>
      <c r="G345" s="1" t="s">
        <v>14726</v>
      </c>
    </row>
    <row r="346" spans="1:7" ht="21" x14ac:dyDescent="0.25">
      <c r="A346" s="2" t="str">
        <f>HYPERLINK("https://rth.dk/resources/bsgatlas/details.php?id=BSGatlas-TSS-345","BSGatlas-TSS-345")</f>
        <v>BSGatlas-TSS-345</v>
      </c>
      <c r="B346" s="3">
        <v>473775</v>
      </c>
      <c r="C346" s="1" t="s">
        <v>9</v>
      </c>
      <c r="D346" s="1">
        <v>0</v>
      </c>
      <c r="E346" s="1" t="s">
        <v>14734</v>
      </c>
      <c r="F346" s="6">
        <v>10220166</v>
      </c>
      <c r="G346" s="1" t="s">
        <v>14730</v>
      </c>
    </row>
    <row r="347" spans="1:7" ht="21" x14ac:dyDescent="0.25">
      <c r="A347" s="2" t="str">
        <f>HYPERLINK("https://rth.dk/resources/bsgatlas/details.php?id=BSGatlas-TSS-346","BSGatlas-TSS-346")</f>
        <v>BSGatlas-TSS-346</v>
      </c>
      <c r="B347" s="3">
        <v>474268</v>
      </c>
      <c r="C347" s="1" t="s">
        <v>9</v>
      </c>
      <c r="D347" s="1">
        <v>22</v>
      </c>
      <c r="E347" s="1" t="s">
        <v>14722</v>
      </c>
      <c r="F347" s="6"/>
      <c r="G347" s="1" t="s">
        <v>14726</v>
      </c>
    </row>
    <row r="348" spans="1:7" ht="21" x14ac:dyDescent="0.25">
      <c r="A348" s="2" t="str">
        <f>HYPERLINK("https://rth.dk/resources/bsgatlas/details.php?id=BSGatlas-TSS-347","BSGatlas-TSS-347")</f>
        <v>BSGatlas-TSS-347</v>
      </c>
      <c r="B348" s="3">
        <v>474334</v>
      </c>
      <c r="C348" s="1" t="s">
        <v>13</v>
      </c>
      <c r="D348" s="1">
        <v>22</v>
      </c>
      <c r="E348" s="1" t="s">
        <v>14720</v>
      </c>
      <c r="F348" s="6"/>
      <c r="G348" s="1" t="s">
        <v>14726</v>
      </c>
    </row>
    <row r="349" spans="1:7" ht="21" x14ac:dyDescent="0.25">
      <c r="A349" s="2" t="str">
        <f>HYPERLINK("https://rth.dk/resources/bsgatlas/details.php?id=BSGatlas-TSS-348","BSGatlas-TSS-348")</f>
        <v>BSGatlas-TSS-348</v>
      </c>
      <c r="B349" s="3">
        <v>474698</v>
      </c>
      <c r="C349" s="1" t="s">
        <v>9</v>
      </c>
      <c r="D349" s="1">
        <v>22</v>
      </c>
      <c r="E349" s="1" t="s">
        <v>14739</v>
      </c>
      <c r="F349" s="6"/>
      <c r="G349" s="1" t="s">
        <v>14726</v>
      </c>
    </row>
    <row r="350" spans="1:7" ht="21" x14ac:dyDescent="0.25">
      <c r="A350" s="2" t="str">
        <f>HYPERLINK("https://rth.dk/resources/bsgatlas/details.php?id=BSGatlas-TSS-349","BSGatlas-TSS-349")</f>
        <v>BSGatlas-TSS-349</v>
      </c>
      <c r="B350" s="3">
        <v>475908</v>
      </c>
      <c r="C350" s="1" t="s">
        <v>9</v>
      </c>
      <c r="D350" s="1">
        <v>22</v>
      </c>
      <c r="E350" s="1" t="s">
        <v>14722</v>
      </c>
      <c r="F350" s="6"/>
      <c r="G350" s="1" t="s">
        <v>14726</v>
      </c>
    </row>
    <row r="351" spans="1:7" ht="21" x14ac:dyDescent="0.25">
      <c r="A351" s="2" t="str">
        <f>HYPERLINK("https://rth.dk/resources/bsgatlas/details.php?id=BSGatlas-TSS-350","BSGatlas-TSS-350")</f>
        <v>BSGatlas-TSS-350</v>
      </c>
      <c r="B351" s="3">
        <v>475918</v>
      </c>
      <c r="C351" s="1" t="s">
        <v>13</v>
      </c>
      <c r="D351" s="1">
        <v>22</v>
      </c>
      <c r="E351" s="1" t="s">
        <v>14722</v>
      </c>
      <c r="F351" s="6"/>
      <c r="G351" s="1" t="s">
        <v>14726</v>
      </c>
    </row>
    <row r="352" spans="1:7" ht="21" x14ac:dyDescent="0.25">
      <c r="A352" s="2" t="str">
        <f>HYPERLINK("https://rth.dk/resources/bsgatlas/details.php?id=BSGatlas-TSS-351","BSGatlas-TSS-351")</f>
        <v>BSGatlas-TSS-351</v>
      </c>
      <c r="B352" s="3">
        <v>476033</v>
      </c>
      <c r="C352" s="1" t="s">
        <v>9</v>
      </c>
      <c r="D352" s="1">
        <v>0</v>
      </c>
      <c r="E352" s="1" t="s">
        <v>14722</v>
      </c>
      <c r="F352" s="6" t="s">
        <v>14804</v>
      </c>
      <c r="G352" s="1" t="s">
        <v>14729</v>
      </c>
    </row>
    <row r="353" spans="1:7" ht="21" x14ac:dyDescent="0.25">
      <c r="A353" s="2" t="str">
        <f>HYPERLINK("https://rth.dk/resources/bsgatlas/details.php?id=BSGatlas-TSS-352","BSGatlas-TSS-352")</f>
        <v>BSGatlas-TSS-352</v>
      </c>
      <c r="B353" s="3">
        <v>476502</v>
      </c>
      <c r="C353" s="1" t="s">
        <v>9</v>
      </c>
      <c r="D353" s="1">
        <v>22</v>
      </c>
      <c r="E353" s="1" t="s">
        <v>14722</v>
      </c>
      <c r="F353" s="6"/>
      <c r="G353" s="1" t="s">
        <v>14726</v>
      </c>
    </row>
    <row r="354" spans="1:7" ht="21" x14ac:dyDescent="0.25">
      <c r="A354" s="2" t="str">
        <f>HYPERLINK("https://rth.dk/resources/bsgatlas/details.php?id=BSGatlas-TSS-353","BSGatlas-TSS-353")</f>
        <v>BSGatlas-TSS-353</v>
      </c>
      <c r="B354" s="3">
        <v>478812</v>
      </c>
      <c r="C354" s="1" t="s">
        <v>9</v>
      </c>
      <c r="D354" s="1">
        <v>22</v>
      </c>
      <c r="E354" s="1" t="s">
        <v>14734</v>
      </c>
      <c r="F354" s="6"/>
      <c r="G354" s="1" t="s">
        <v>14733</v>
      </c>
    </row>
    <row r="355" spans="1:7" ht="21" x14ac:dyDescent="0.25">
      <c r="A355" s="2" t="str">
        <f>HYPERLINK("https://rth.dk/resources/bsgatlas/details.php?id=BSGatlas-TSS-354","BSGatlas-TSS-354")</f>
        <v>BSGatlas-TSS-354</v>
      </c>
      <c r="B355" s="3">
        <v>486082</v>
      </c>
      <c r="C355" s="1" t="s">
        <v>9</v>
      </c>
      <c r="D355" s="1">
        <v>22</v>
      </c>
      <c r="E355" s="1" t="s">
        <v>14722</v>
      </c>
      <c r="F355" s="6"/>
      <c r="G355" s="1" t="s">
        <v>14726</v>
      </c>
    </row>
    <row r="356" spans="1:7" ht="21" x14ac:dyDescent="0.25">
      <c r="A356" s="2" t="str">
        <f>HYPERLINK("https://rth.dk/resources/bsgatlas/details.php?id=BSGatlas-TSS-355","BSGatlas-TSS-355")</f>
        <v>BSGatlas-TSS-355</v>
      </c>
      <c r="B356" s="3">
        <v>488811</v>
      </c>
      <c r="C356" s="1" t="s">
        <v>9</v>
      </c>
      <c r="D356" s="1">
        <v>0</v>
      </c>
      <c r="E356" s="1" t="s">
        <v>14734</v>
      </c>
      <c r="F356" s="6" t="s">
        <v>14803</v>
      </c>
      <c r="G356" s="1" t="s">
        <v>14729</v>
      </c>
    </row>
    <row r="357" spans="1:7" ht="21" x14ac:dyDescent="0.25">
      <c r="A357" s="2" t="str">
        <f>HYPERLINK("https://rth.dk/resources/bsgatlas/details.php?id=BSGatlas-TSS-356","BSGatlas-TSS-356")</f>
        <v>BSGatlas-TSS-356</v>
      </c>
      <c r="B357" s="3">
        <v>490638</v>
      </c>
      <c r="C357" s="1" t="s">
        <v>13</v>
      </c>
      <c r="D357" s="1">
        <v>22</v>
      </c>
      <c r="E357" s="1" t="s">
        <v>14720</v>
      </c>
      <c r="F357" s="6"/>
      <c r="G357" s="1" t="s">
        <v>14726</v>
      </c>
    </row>
    <row r="358" spans="1:7" ht="21" x14ac:dyDescent="0.25">
      <c r="A358" s="2" t="str">
        <f>HYPERLINK("https://rth.dk/resources/bsgatlas/details.php?id=BSGatlas-TSS-357","BSGatlas-TSS-357")</f>
        <v>BSGatlas-TSS-357</v>
      </c>
      <c r="B358" s="3">
        <v>490639</v>
      </c>
      <c r="C358" s="1" t="s">
        <v>9</v>
      </c>
      <c r="D358" s="1">
        <v>22</v>
      </c>
      <c r="E358" s="1" t="s">
        <v>14727</v>
      </c>
      <c r="F358" s="6"/>
      <c r="G358" s="1" t="s">
        <v>14726</v>
      </c>
    </row>
    <row r="359" spans="1:7" ht="21" x14ac:dyDescent="0.25">
      <c r="A359" s="2" t="str">
        <f>HYPERLINK("https://rth.dk/resources/bsgatlas/details.php?id=BSGatlas-TSS-358","BSGatlas-TSS-358")</f>
        <v>BSGatlas-TSS-358</v>
      </c>
      <c r="B359" s="3">
        <v>491077</v>
      </c>
      <c r="C359" s="1" t="s">
        <v>13</v>
      </c>
      <c r="D359" s="1">
        <v>22</v>
      </c>
      <c r="E359" s="1" t="s">
        <v>14722</v>
      </c>
      <c r="F359" s="6"/>
      <c r="G359" s="1" t="s">
        <v>14726</v>
      </c>
    </row>
    <row r="360" spans="1:7" ht="21" x14ac:dyDescent="0.25">
      <c r="A360" s="2" t="str">
        <f>HYPERLINK("https://rth.dk/resources/bsgatlas/details.php?id=BSGatlas-TSS-359","BSGatlas-TSS-359")</f>
        <v>BSGatlas-TSS-359</v>
      </c>
      <c r="B360" s="3">
        <v>492498</v>
      </c>
      <c r="C360" s="1" t="s">
        <v>13</v>
      </c>
      <c r="D360" s="1">
        <v>22</v>
      </c>
      <c r="E360" s="1" t="s">
        <v>14722</v>
      </c>
      <c r="F360" s="6"/>
      <c r="G360" s="1" t="s">
        <v>14726</v>
      </c>
    </row>
    <row r="361" spans="1:7" ht="21" x14ac:dyDescent="0.25">
      <c r="A361" s="2" t="str">
        <f>HYPERLINK("https://rth.dk/resources/bsgatlas/details.php?id=BSGatlas-TSS-360","BSGatlas-TSS-360")</f>
        <v>BSGatlas-TSS-360</v>
      </c>
      <c r="B361" s="3">
        <v>492577</v>
      </c>
      <c r="C361" s="1" t="s">
        <v>13</v>
      </c>
      <c r="D361" s="1">
        <v>22</v>
      </c>
      <c r="E361" s="1" t="s">
        <v>14725</v>
      </c>
      <c r="F361" s="6"/>
      <c r="G361" s="1" t="s">
        <v>14733</v>
      </c>
    </row>
    <row r="362" spans="1:7" ht="21" x14ac:dyDescent="0.25">
      <c r="A362" s="2" t="str">
        <f>HYPERLINK("https://rth.dk/resources/bsgatlas/details.php?id=BSGatlas-TSS-361","BSGatlas-TSS-361")</f>
        <v>BSGatlas-TSS-361</v>
      </c>
      <c r="B362" s="3">
        <v>493477</v>
      </c>
      <c r="C362" s="1" t="s">
        <v>13</v>
      </c>
      <c r="D362" s="1">
        <v>22</v>
      </c>
      <c r="E362" s="1" t="s">
        <v>14734</v>
      </c>
      <c r="F362" s="6"/>
      <c r="G362" s="1" t="s">
        <v>14726</v>
      </c>
    </row>
    <row r="363" spans="1:7" ht="21" x14ac:dyDescent="0.25">
      <c r="A363" s="2" t="str">
        <f>HYPERLINK("https://rth.dk/resources/bsgatlas/details.php?id=BSGatlas-TSS-362","BSGatlas-TSS-362")</f>
        <v>BSGatlas-TSS-362</v>
      </c>
      <c r="B363" s="3">
        <v>493510</v>
      </c>
      <c r="C363" s="1" t="s">
        <v>9</v>
      </c>
      <c r="D363" s="1">
        <v>22</v>
      </c>
      <c r="E363" s="1" t="s">
        <v>14722</v>
      </c>
      <c r="F363" s="6"/>
      <c r="G363" s="1" t="s">
        <v>14726</v>
      </c>
    </row>
    <row r="364" spans="1:7" ht="21" x14ac:dyDescent="0.25">
      <c r="A364" s="2" t="str">
        <f>HYPERLINK("https://rth.dk/resources/bsgatlas/details.php?id=BSGatlas-TSS-363","BSGatlas-TSS-363")</f>
        <v>BSGatlas-TSS-363</v>
      </c>
      <c r="B364" s="3">
        <v>494479</v>
      </c>
      <c r="C364" s="1" t="s">
        <v>9</v>
      </c>
      <c r="D364" s="1">
        <v>0</v>
      </c>
      <c r="E364" s="1" t="s">
        <v>14734</v>
      </c>
      <c r="F364" s="6" t="s">
        <v>14805</v>
      </c>
      <c r="G364" s="1" t="s">
        <v>14729</v>
      </c>
    </row>
    <row r="365" spans="1:7" ht="21" x14ac:dyDescent="0.25">
      <c r="A365" s="2" t="str">
        <f>HYPERLINK("https://rth.dk/resources/bsgatlas/details.php?id=BSGatlas-TSS-364","BSGatlas-TSS-364")</f>
        <v>BSGatlas-TSS-364</v>
      </c>
      <c r="B365" s="3">
        <v>494928</v>
      </c>
      <c r="C365" s="1" t="s">
        <v>13</v>
      </c>
      <c r="D365" s="1">
        <v>22</v>
      </c>
      <c r="E365" s="1" t="s">
        <v>14720</v>
      </c>
      <c r="F365" s="6"/>
      <c r="G365" s="1" t="s">
        <v>14726</v>
      </c>
    </row>
    <row r="366" spans="1:7" ht="21" x14ac:dyDescent="0.25">
      <c r="A366" s="2" t="str">
        <f>HYPERLINK("https://rth.dk/resources/bsgatlas/details.php?id=BSGatlas-TSS-365","BSGatlas-TSS-365")</f>
        <v>BSGatlas-TSS-365</v>
      </c>
      <c r="B366" s="3">
        <v>494982</v>
      </c>
      <c r="C366" s="1" t="s">
        <v>9</v>
      </c>
      <c r="D366" s="1">
        <v>22</v>
      </c>
      <c r="E366" s="1" t="s">
        <v>14722</v>
      </c>
      <c r="F366" s="6"/>
      <c r="G366" s="1" t="s">
        <v>14726</v>
      </c>
    </row>
    <row r="367" spans="1:7" ht="21" x14ac:dyDescent="0.25">
      <c r="A367" s="2" t="str">
        <f>HYPERLINK("https://rth.dk/resources/bsgatlas/details.php?id=BSGatlas-TSS-366","BSGatlas-TSS-366")</f>
        <v>BSGatlas-TSS-366</v>
      </c>
      <c r="B367" s="3">
        <v>496586</v>
      </c>
      <c r="C367" s="1" t="s">
        <v>13</v>
      </c>
      <c r="D367" s="1">
        <v>0</v>
      </c>
      <c r="E367" s="1" t="s">
        <v>14734</v>
      </c>
      <c r="F367" s="6">
        <v>11532142</v>
      </c>
      <c r="G367" s="1" t="s">
        <v>14730</v>
      </c>
    </row>
    <row r="368" spans="1:7" ht="21" x14ac:dyDescent="0.25">
      <c r="A368" s="2" t="str">
        <f>HYPERLINK("https://rth.dk/resources/bsgatlas/details.php?id=BSGatlas-TSS-367","BSGatlas-TSS-367")</f>
        <v>BSGatlas-TSS-367</v>
      </c>
      <c r="B368" s="3">
        <v>496981</v>
      </c>
      <c r="C368" s="1" t="s">
        <v>9</v>
      </c>
      <c r="D368" s="1">
        <v>22</v>
      </c>
      <c r="E368" s="1" t="s">
        <v>14722</v>
      </c>
      <c r="F368" s="6"/>
      <c r="G368" s="1" t="s">
        <v>14733</v>
      </c>
    </row>
    <row r="369" spans="1:7" ht="21" x14ac:dyDescent="0.25">
      <c r="A369" s="2" t="str">
        <f>HYPERLINK("https://rth.dk/resources/bsgatlas/details.php?id=BSGatlas-TSS-368","BSGatlas-TSS-368")</f>
        <v>BSGatlas-TSS-368</v>
      </c>
      <c r="B369" s="3">
        <v>497716</v>
      </c>
      <c r="C369" s="1" t="s">
        <v>13</v>
      </c>
      <c r="D369" s="1">
        <v>22</v>
      </c>
      <c r="E369" s="1" t="s">
        <v>14722</v>
      </c>
      <c r="F369" s="6"/>
      <c r="G369" s="1" t="s">
        <v>14726</v>
      </c>
    </row>
    <row r="370" spans="1:7" ht="21" x14ac:dyDescent="0.25">
      <c r="A370" s="2" t="str">
        <f>HYPERLINK("https://rth.dk/resources/bsgatlas/details.php?id=BSGatlas-TSS-369","BSGatlas-TSS-369")</f>
        <v>BSGatlas-TSS-369</v>
      </c>
      <c r="B370" s="3">
        <v>500124</v>
      </c>
      <c r="C370" s="1" t="s">
        <v>9</v>
      </c>
      <c r="D370" s="1">
        <v>0</v>
      </c>
      <c r="E370" s="1" t="s">
        <v>14722</v>
      </c>
      <c r="F370" s="6">
        <v>10708364</v>
      </c>
      <c r="G370" s="1" t="s">
        <v>14730</v>
      </c>
    </row>
    <row r="371" spans="1:7" ht="21" x14ac:dyDescent="0.25">
      <c r="A371" s="2" t="str">
        <f>HYPERLINK("https://rth.dk/resources/bsgatlas/details.php?id=BSGatlas-TSS-370","BSGatlas-TSS-370")</f>
        <v>BSGatlas-TSS-370</v>
      </c>
      <c r="B371" s="3">
        <v>501517</v>
      </c>
      <c r="C371" s="1" t="s">
        <v>9</v>
      </c>
      <c r="D371" s="1">
        <v>22</v>
      </c>
      <c r="E371" s="1" t="s">
        <v>14720</v>
      </c>
      <c r="F371" s="6"/>
      <c r="G371" s="1" t="s">
        <v>14726</v>
      </c>
    </row>
    <row r="372" spans="1:7" ht="21" x14ac:dyDescent="0.25">
      <c r="A372" s="2" t="str">
        <f>HYPERLINK("https://rth.dk/resources/bsgatlas/details.php?id=BSGatlas-TSS-371","BSGatlas-TSS-371")</f>
        <v>BSGatlas-TSS-371</v>
      </c>
      <c r="B372" s="3">
        <v>504658</v>
      </c>
      <c r="C372" s="1" t="s">
        <v>9</v>
      </c>
      <c r="D372" s="1">
        <v>22</v>
      </c>
      <c r="E372" s="1" t="s">
        <v>14722</v>
      </c>
      <c r="F372" s="6"/>
      <c r="G372" s="1" t="s">
        <v>14726</v>
      </c>
    </row>
    <row r="373" spans="1:7" ht="21" x14ac:dyDescent="0.25">
      <c r="A373" s="2" t="str">
        <f>HYPERLINK("https://rth.dk/resources/bsgatlas/details.php?id=BSGatlas-TSS-372","BSGatlas-TSS-372")</f>
        <v>BSGatlas-TSS-372</v>
      </c>
      <c r="B373" s="3">
        <v>505114</v>
      </c>
      <c r="C373" s="1" t="s">
        <v>9</v>
      </c>
      <c r="D373" s="1">
        <v>22</v>
      </c>
      <c r="E373" s="1" t="s">
        <v>14722</v>
      </c>
      <c r="F373" s="6"/>
      <c r="G373" s="1" t="s">
        <v>14726</v>
      </c>
    </row>
    <row r="374" spans="1:7" ht="21" x14ac:dyDescent="0.25">
      <c r="A374" s="2" t="str">
        <f>HYPERLINK("https://rth.dk/resources/bsgatlas/details.php?id=BSGatlas-TSS-373","BSGatlas-TSS-373")</f>
        <v>BSGatlas-TSS-373</v>
      </c>
      <c r="B374" s="3">
        <v>506672</v>
      </c>
      <c r="C374" s="1" t="s">
        <v>13</v>
      </c>
      <c r="D374" s="1">
        <v>22</v>
      </c>
      <c r="E374" s="1" t="s">
        <v>14722</v>
      </c>
      <c r="F374" s="6"/>
      <c r="G374" s="1" t="s">
        <v>14733</v>
      </c>
    </row>
    <row r="375" spans="1:7" ht="21" x14ac:dyDescent="0.25">
      <c r="A375" s="2" t="str">
        <f>HYPERLINK("https://rth.dk/resources/bsgatlas/details.php?id=BSGatlas-TSS-374","BSGatlas-TSS-374")</f>
        <v>BSGatlas-TSS-374</v>
      </c>
      <c r="B375" s="3">
        <v>506836</v>
      </c>
      <c r="C375" s="1" t="s">
        <v>9</v>
      </c>
      <c r="D375" s="1">
        <v>22</v>
      </c>
      <c r="E375" s="1" t="s">
        <v>14727</v>
      </c>
      <c r="F375" s="6"/>
      <c r="G375" s="1" t="s">
        <v>14726</v>
      </c>
    </row>
    <row r="376" spans="1:7" ht="21" x14ac:dyDescent="0.25">
      <c r="A376" s="2" t="str">
        <f>HYPERLINK("https://rth.dk/resources/bsgatlas/details.php?id=BSGatlas-TSS-375","BSGatlas-TSS-375")</f>
        <v>BSGatlas-TSS-375</v>
      </c>
      <c r="B376" s="3">
        <v>507127</v>
      </c>
      <c r="C376" s="1" t="s">
        <v>9</v>
      </c>
      <c r="D376" s="1">
        <v>22</v>
      </c>
      <c r="E376" s="1" t="s">
        <v>14739</v>
      </c>
      <c r="F376" s="6"/>
      <c r="G376" s="1" t="s">
        <v>14726</v>
      </c>
    </row>
    <row r="377" spans="1:7" ht="21" x14ac:dyDescent="0.25">
      <c r="A377" s="2" t="str">
        <f>HYPERLINK("https://rth.dk/resources/bsgatlas/details.php?id=BSGatlas-TSS-376","BSGatlas-TSS-376")</f>
        <v>BSGatlas-TSS-376</v>
      </c>
      <c r="B377" s="3">
        <v>508090</v>
      </c>
      <c r="C377" s="1" t="s">
        <v>9</v>
      </c>
      <c r="D377" s="1">
        <v>22</v>
      </c>
      <c r="E377" s="1" t="s">
        <v>14720</v>
      </c>
      <c r="F377" s="6"/>
      <c r="G377" s="1" t="s">
        <v>14733</v>
      </c>
    </row>
    <row r="378" spans="1:7" ht="21" x14ac:dyDescent="0.25">
      <c r="A378" s="2" t="str">
        <f>HYPERLINK("https://rth.dk/resources/bsgatlas/details.php?id=BSGatlas-TSS-377","BSGatlas-TSS-377")</f>
        <v>BSGatlas-TSS-377</v>
      </c>
      <c r="B378" s="3">
        <v>508109</v>
      </c>
      <c r="C378" s="1" t="s">
        <v>13</v>
      </c>
      <c r="D378" s="1">
        <v>22</v>
      </c>
      <c r="E378" s="1" t="s">
        <v>14722</v>
      </c>
      <c r="F378" s="6"/>
      <c r="G378" s="1" t="s">
        <v>14726</v>
      </c>
    </row>
    <row r="379" spans="1:7" ht="21" x14ac:dyDescent="0.25">
      <c r="A379" s="2" t="str">
        <f>HYPERLINK("https://rth.dk/resources/bsgatlas/details.php?id=BSGatlas-TSS-378","BSGatlas-TSS-378")</f>
        <v>BSGatlas-TSS-378</v>
      </c>
      <c r="B379" s="3">
        <v>510818</v>
      </c>
      <c r="C379" s="1" t="s">
        <v>9</v>
      </c>
      <c r="D379" s="1">
        <v>22</v>
      </c>
      <c r="E379" s="1" t="s">
        <v>14732</v>
      </c>
      <c r="F379" s="6"/>
      <c r="G379" s="1" t="s">
        <v>14733</v>
      </c>
    </row>
    <row r="380" spans="1:7" ht="21" x14ac:dyDescent="0.25">
      <c r="A380" s="2" t="str">
        <f>HYPERLINK("https://rth.dk/resources/bsgatlas/details.php?id=BSGatlas-TSS-379","BSGatlas-TSS-379")</f>
        <v>BSGatlas-TSS-379</v>
      </c>
      <c r="B380" s="3">
        <v>510862</v>
      </c>
      <c r="C380" s="1" t="s">
        <v>9</v>
      </c>
      <c r="D380" s="1">
        <v>22</v>
      </c>
      <c r="E380" s="1" t="s">
        <v>14722</v>
      </c>
      <c r="F380" s="6"/>
      <c r="G380" s="1" t="s">
        <v>14733</v>
      </c>
    </row>
    <row r="381" spans="1:7" ht="21" x14ac:dyDescent="0.25">
      <c r="A381" s="2" t="str">
        <f>HYPERLINK("https://rth.dk/resources/bsgatlas/details.php?id=BSGatlas-TSS-380","BSGatlas-TSS-380")</f>
        <v>BSGatlas-TSS-380</v>
      </c>
      <c r="B381" s="3">
        <v>511038</v>
      </c>
      <c r="C381" s="1" t="s">
        <v>9</v>
      </c>
      <c r="D381" s="1">
        <v>22</v>
      </c>
      <c r="E381" s="1" t="s">
        <v>14722</v>
      </c>
      <c r="F381" s="6"/>
      <c r="G381" s="1" t="s">
        <v>14733</v>
      </c>
    </row>
    <row r="382" spans="1:7" ht="21" x14ac:dyDescent="0.25">
      <c r="A382" s="2" t="str">
        <f>HYPERLINK("https://rth.dk/resources/bsgatlas/details.php?id=BSGatlas-TSS-381","BSGatlas-TSS-381")</f>
        <v>BSGatlas-TSS-381</v>
      </c>
      <c r="B382" s="3">
        <v>512787</v>
      </c>
      <c r="C382" s="1" t="s">
        <v>9</v>
      </c>
      <c r="D382" s="1">
        <v>0</v>
      </c>
      <c r="E382" s="1" t="s">
        <v>14770</v>
      </c>
      <c r="F382" s="6" t="s">
        <v>14771</v>
      </c>
      <c r="G382" s="1" t="s">
        <v>14806</v>
      </c>
    </row>
    <row r="383" spans="1:7" ht="21" x14ac:dyDescent="0.25">
      <c r="A383" s="2" t="str">
        <f>HYPERLINK("https://rth.dk/resources/bsgatlas/details.php?id=BSGatlas-TSS-382","BSGatlas-TSS-382")</f>
        <v>BSGatlas-TSS-382</v>
      </c>
      <c r="B383" s="3">
        <v>515108</v>
      </c>
      <c r="C383" s="1" t="s">
        <v>9</v>
      </c>
      <c r="D383" s="1">
        <v>22</v>
      </c>
      <c r="E383" s="1" t="s">
        <v>14722</v>
      </c>
      <c r="F383" s="6"/>
      <c r="G383" s="1" t="s">
        <v>14733</v>
      </c>
    </row>
    <row r="384" spans="1:7" ht="21" x14ac:dyDescent="0.25">
      <c r="A384" s="2" t="str">
        <f>HYPERLINK("https://rth.dk/resources/bsgatlas/details.php?id=BSGatlas-TSS-383","BSGatlas-TSS-383")</f>
        <v>BSGatlas-TSS-383</v>
      </c>
      <c r="B384" s="3">
        <v>515649</v>
      </c>
      <c r="C384" s="1" t="s">
        <v>13</v>
      </c>
      <c r="D384" s="1">
        <v>0</v>
      </c>
      <c r="E384" s="1" t="s">
        <v>14735</v>
      </c>
      <c r="F384" s="6" t="s">
        <v>14767</v>
      </c>
      <c r="G384" s="1" t="s">
        <v>14729</v>
      </c>
    </row>
    <row r="385" spans="1:7" ht="21" x14ac:dyDescent="0.25">
      <c r="A385" s="2" t="str">
        <f>HYPERLINK("https://rth.dk/resources/bsgatlas/details.php?id=BSGatlas-TSS-384","BSGatlas-TSS-384")</f>
        <v>BSGatlas-TSS-384</v>
      </c>
      <c r="B385" s="3">
        <v>516115</v>
      </c>
      <c r="C385" s="1" t="s">
        <v>9</v>
      </c>
      <c r="D385" s="1">
        <v>0</v>
      </c>
      <c r="E385" s="1" t="s">
        <v>14735</v>
      </c>
      <c r="F385" s="6" t="s">
        <v>14807</v>
      </c>
      <c r="G385" s="1" t="s">
        <v>14724</v>
      </c>
    </row>
    <row r="386" spans="1:7" ht="21" x14ac:dyDescent="0.25">
      <c r="A386" s="2" t="str">
        <f>HYPERLINK("https://rth.dk/resources/bsgatlas/details.php?id=BSGatlas-TSS-385","BSGatlas-TSS-385")</f>
        <v>BSGatlas-TSS-385</v>
      </c>
      <c r="B386" s="3">
        <v>517330</v>
      </c>
      <c r="C386" s="1" t="s">
        <v>9</v>
      </c>
      <c r="D386" s="1">
        <v>22</v>
      </c>
      <c r="E386" s="1" t="s">
        <v>14722</v>
      </c>
      <c r="F386" s="6"/>
      <c r="G386" s="1" t="s">
        <v>14726</v>
      </c>
    </row>
    <row r="387" spans="1:7" ht="21" x14ac:dyDescent="0.25">
      <c r="A387" s="2" t="str">
        <f>HYPERLINK("https://rth.dk/resources/bsgatlas/details.php?id=BSGatlas-TSS-386","BSGatlas-TSS-386")</f>
        <v>BSGatlas-TSS-386</v>
      </c>
      <c r="B387" s="3">
        <v>518496</v>
      </c>
      <c r="C387" s="1" t="s">
        <v>9</v>
      </c>
      <c r="D387" s="1">
        <v>22</v>
      </c>
      <c r="E387" s="1" t="s">
        <v>14727</v>
      </c>
      <c r="F387" s="6"/>
      <c r="G387" s="1" t="s">
        <v>14726</v>
      </c>
    </row>
    <row r="388" spans="1:7" ht="21" x14ac:dyDescent="0.25">
      <c r="A388" s="2" t="str">
        <f>HYPERLINK("https://rth.dk/resources/bsgatlas/details.php?id=BSGatlas-TSS-387","BSGatlas-TSS-387")</f>
        <v>BSGatlas-TSS-387</v>
      </c>
      <c r="B388" s="3">
        <v>518591</v>
      </c>
      <c r="C388" s="1" t="s">
        <v>9</v>
      </c>
      <c r="D388" s="1">
        <v>22</v>
      </c>
      <c r="E388" s="1" t="s">
        <v>14722</v>
      </c>
      <c r="F388" s="6"/>
      <c r="G388" s="1" t="s">
        <v>14726</v>
      </c>
    </row>
    <row r="389" spans="1:7" ht="21" x14ac:dyDescent="0.25">
      <c r="A389" s="2" t="str">
        <f>HYPERLINK("https://rth.dk/resources/bsgatlas/details.php?id=BSGatlas-TSS-388","BSGatlas-TSS-388")</f>
        <v>BSGatlas-TSS-388</v>
      </c>
      <c r="B389" s="3">
        <v>519362</v>
      </c>
      <c r="C389" s="1" t="s">
        <v>9</v>
      </c>
      <c r="D389" s="1">
        <v>0</v>
      </c>
      <c r="E389" s="1" t="s">
        <v>14722</v>
      </c>
      <c r="F389" s="6">
        <v>8002610</v>
      </c>
      <c r="G389" s="1" t="s">
        <v>14729</v>
      </c>
    </row>
    <row r="390" spans="1:7" ht="21" x14ac:dyDescent="0.25">
      <c r="A390" s="2" t="str">
        <f>HYPERLINK("https://rth.dk/resources/bsgatlas/details.php?id=BSGatlas-TSS-389","BSGatlas-TSS-389")</f>
        <v>BSGatlas-TSS-389</v>
      </c>
      <c r="B390" s="3">
        <v>519559</v>
      </c>
      <c r="C390" s="1" t="s">
        <v>13</v>
      </c>
      <c r="D390" s="1">
        <v>22</v>
      </c>
      <c r="E390" s="1" t="s">
        <v>14752</v>
      </c>
      <c r="F390" s="6"/>
      <c r="G390" s="1" t="s">
        <v>14726</v>
      </c>
    </row>
    <row r="391" spans="1:7" ht="21" x14ac:dyDescent="0.25">
      <c r="A391" s="2" t="str">
        <f>HYPERLINK("https://rth.dk/resources/bsgatlas/details.php?id=BSGatlas-TSS-390","BSGatlas-TSS-390")</f>
        <v>BSGatlas-TSS-390</v>
      </c>
      <c r="B391" s="3">
        <v>520160</v>
      </c>
      <c r="C391" s="1" t="s">
        <v>13</v>
      </c>
      <c r="D391" s="1">
        <v>22</v>
      </c>
      <c r="E391" s="1" t="s">
        <v>14734</v>
      </c>
      <c r="F391" s="6"/>
      <c r="G391" s="1" t="s">
        <v>14733</v>
      </c>
    </row>
    <row r="392" spans="1:7" ht="21" x14ac:dyDescent="0.25">
      <c r="A392" s="2" t="str">
        <f>HYPERLINK("https://rth.dk/resources/bsgatlas/details.php?id=BSGatlas-TSS-391","BSGatlas-TSS-391")</f>
        <v>BSGatlas-TSS-391</v>
      </c>
      <c r="B392" s="3">
        <v>520765</v>
      </c>
      <c r="C392" s="1" t="s">
        <v>13</v>
      </c>
      <c r="D392" s="1">
        <v>22</v>
      </c>
      <c r="E392" s="1" t="s">
        <v>14725</v>
      </c>
      <c r="F392" s="6"/>
      <c r="G392" s="1" t="s">
        <v>14733</v>
      </c>
    </row>
    <row r="393" spans="1:7" ht="21" x14ac:dyDescent="0.25">
      <c r="A393" s="2" t="str">
        <f>HYPERLINK("https://rth.dk/resources/bsgatlas/details.php?id=BSGatlas-TSS-392","BSGatlas-TSS-392")</f>
        <v>BSGatlas-TSS-392</v>
      </c>
      <c r="B393" s="3">
        <v>522056</v>
      </c>
      <c r="C393" s="1" t="s">
        <v>9</v>
      </c>
      <c r="D393" s="1">
        <v>0</v>
      </c>
      <c r="E393" s="1" t="s">
        <v>14734</v>
      </c>
      <c r="F393" s="6" t="s">
        <v>14808</v>
      </c>
      <c r="G393" s="1" t="s">
        <v>14729</v>
      </c>
    </row>
    <row r="394" spans="1:7" ht="21" x14ac:dyDescent="0.25">
      <c r="A394" s="2" t="str">
        <f>HYPERLINK("https://rth.dk/resources/bsgatlas/details.php?id=BSGatlas-TSS-393","BSGatlas-TSS-393")</f>
        <v>BSGatlas-TSS-393</v>
      </c>
      <c r="B394" s="3">
        <v>524326</v>
      </c>
      <c r="C394" s="1" t="s">
        <v>9</v>
      </c>
      <c r="D394" s="1">
        <v>22</v>
      </c>
      <c r="E394" s="1" t="s">
        <v>14722</v>
      </c>
      <c r="F394" s="6"/>
      <c r="G394" s="1" t="s">
        <v>14726</v>
      </c>
    </row>
    <row r="395" spans="1:7" ht="21" x14ac:dyDescent="0.25">
      <c r="A395" s="2" t="str">
        <f>HYPERLINK("https://rth.dk/resources/bsgatlas/details.php?id=BSGatlas-TSS-394","BSGatlas-TSS-394")</f>
        <v>BSGatlas-TSS-394</v>
      </c>
      <c r="B395" s="3">
        <v>524788</v>
      </c>
      <c r="C395" s="1" t="s">
        <v>9</v>
      </c>
      <c r="D395" s="1">
        <v>22</v>
      </c>
      <c r="E395" s="1" t="s">
        <v>14722</v>
      </c>
      <c r="F395" s="6"/>
      <c r="G395" s="1" t="s">
        <v>14726</v>
      </c>
    </row>
    <row r="396" spans="1:7" ht="21" x14ac:dyDescent="0.25">
      <c r="A396" s="2" t="str">
        <f>HYPERLINK("https://rth.dk/resources/bsgatlas/details.php?id=BSGatlas-TSS-395","BSGatlas-TSS-395")</f>
        <v>BSGatlas-TSS-395</v>
      </c>
      <c r="B396" s="3">
        <v>525697</v>
      </c>
      <c r="C396" s="1" t="s">
        <v>9</v>
      </c>
      <c r="D396" s="1">
        <v>22</v>
      </c>
      <c r="E396" s="1" t="s">
        <v>14722</v>
      </c>
      <c r="F396" s="6"/>
      <c r="G396" s="1" t="s">
        <v>14726</v>
      </c>
    </row>
    <row r="397" spans="1:7" ht="21" x14ac:dyDescent="0.25">
      <c r="A397" s="2" t="str">
        <f>HYPERLINK("https://rth.dk/resources/bsgatlas/details.php?id=BSGatlas-TSS-396","BSGatlas-TSS-396")</f>
        <v>BSGatlas-TSS-396</v>
      </c>
      <c r="B397" s="3">
        <v>527912</v>
      </c>
      <c r="C397" s="1" t="s">
        <v>9</v>
      </c>
      <c r="D397" s="1">
        <v>22</v>
      </c>
      <c r="E397" s="1" t="s">
        <v>14722</v>
      </c>
      <c r="F397" s="6"/>
      <c r="G397" s="1" t="s">
        <v>14733</v>
      </c>
    </row>
    <row r="398" spans="1:7" ht="21" x14ac:dyDescent="0.25">
      <c r="A398" s="2" t="str">
        <f>HYPERLINK("https://rth.dk/resources/bsgatlas/details.php?id=BSGatlas-TSS-397","BSGatlas-TSS-397")</f>
        <v>BSGatlas-TSS-397</v>
      </c>
      <c r="B398" s="3">
        <v>528082</v>
      </c>
      <c r="C398" s="1" t="s">
        <v>13</v>
      </c>
      <c r="D398" s="1">
        <v>22</v>
      </c>
      <c r="E398" s="1" t="s">
        <v>14725</v>
      </c>
      <c r="F398" s="6"/>
      <c r="G398" s="1" t="s">
        <v>14726</v>
      </c>
    </row>
    <row r="399" spans="1:7" ht="21" x14ac:dyDescent="0.25">
      <c r="A399" s="2" t="str">
        <f>HYPERLINK("https://rth.dk/resources/bsgatlas/details.php?id=BSGatlas-TSS-398","BSGatlas-TSS-398")</f>
        <v>BSGatlas-TSS-398</v>
      </c>
      <c r="B399" s="3">
        <v>528616</v>
      </c>
      <c r="C399" s="1" t="s">
        <v>9</v>
      </c>
      <c r="D399" s="1">
        <v>22</v>
      </c>
      <c r="E399" s="1" t="s">
        <v>14722</v>
      </c>
      <c r="F399" s="6"/>
      <c r="G399" s="1" t="s">
        <v>14733</v>
      </c>
    </row>
    <row r="400" spans="1:7" ht="21" x14ac:dyDescent="0.25">
      <c r="A400" s="2" t="str">
        <f>HYPERLINK("https://rth.dk/resources/bsgatlas/details.php?id=BSGatlas-TSS-399","BSGatlas-TSS-399")</f>
        <v>BSGatlas-TSS-399</v>
      </c>
      <c r="B400" s="3">
        <v>531554</v>
      </c>
      <c r="C400" s="1" t="s">
        <v>13</v>
      </c>
      <c r="D400" s="1">
        <v>22</v>
      </c>
      <c r="E400" s="1" t="s">
        <v>14722</v>
      </c>
      <c r="F400" s="6"/>
      <c r="G400" s="1" t="s">
        <v>14726</v>
      </c>
    </row>
    <row r="401" spans="1:7" ht="21" x14ac:dyDescent="0.25">
      <c r="A401" s="2" t="str">
        <f>HYPERLINK("https://rth.dk/resources/bsgatlas/details.php?id=BSGatlas-TSS-400","BSGatlas-TSS-400")</f>
        <v>BSGatlas-TSS-400</v>
      </c>
      <c r="B401" s="3">
        <v>531740</v>
      </c>
      <c r="C401" s="1" t="s">
        <v>9</v>
      </c>
      <c r="D401" s="1">
        <v>22</v>
      </c>
      <c r="E401" s="1" t="s">
        <v>14722</v>
      </c>
      <c r="F401" s="6"/>
      <c r="G401" s="1" t="s">
        <v>14726</v>
      </c>
    </row>
    <row r="402" spans="1:7" ht="21" x14ac:dyDescent="0.25">
      <c r="A402" s="2" t="str">
        <f>HYPERLINK("https://rth.dk/resources/bsgatlas/details.php?id=BSGatlas-TSS-401","BSGatlas-TSS-401")</f>
        <v>BSGatlas-TSS-401</v>
      </c>
      <c r="B402" s="3">
        <v>532604</v>
      </c>
      <c r="C402" s="1" t="s">
        <v>9</v>
      </c>
      <c r="D402" s="1">
        <v>22</v>
      </c>
      <c r="E402" s="1" t="s">
        <v>14722</v>
      </c>
      <c r="F402" s="6"/>
      <c r="G402" s="1" t="s">
        <v>14733</v>
      </c>
    </row>
    <row r="403" spans="1:7" ht="21" x14ac:dyDescent="0.25">
      <c r="A403" s="2" t="str">
        <f>HYPERLINK("https://rth.dk/resources/bsgatlas/details.php?id=BSGatlas-TSS-402","BSGatlas-TSS-402")</f>
        <v>BSGatlas-TSS-402</v>
      </c>
      <c r="B403" s="3">
        <v>532652</v>
      </c>
      <c r="C403" s="1" t="s">
        <v>13</v>
      </c>
      <c r="D403" s="1">
        <v>22</v>
      </c>
      <c r="E403" s="1" t="s">
        <v>14722</v>
      </c>
      <c r="F403" s="6"/>
      <c r="G403" s="1" t="s">
        <v>14726</v>
      </c>
    </row>
    <row r="404" spans="1:7" ht="21" x14ac:dyDescent="0.25">
      <c r="A404" s="2" t="str">
        <f>HYPERLINK("https://rth.dk/resources/bsgatlas/details.php?id=BSGatlas-TSS-403","BSGatlas-TSS-403")</f>
        <v>BSGatlas-TSS-403</v>
      </c>
      <c r="B404" s="3">
        <v>536172</v>
      </c>
      <c r="C404" s="1" t="s">
        <v>13</v>
      </c>
      <c r="D404" s="1">
        <v>22</v>
      </c>
      <c r="E404" s="1" t="s">
        <v>14722</v>
      </c>
      <c r="F404" s="6"/>
      <c r="G404" s="1" t="s">
        <v>14726</v>
      </c>
    </row>
    <row r="405" spans="1:7" ht="21" x14ac:dyDescent="0.25">
      <c r="A405" s="2" t="str">
        <f>HYPERLINK("https://rth.dk/resources/bsgatlas/details.php?id=BSGatlas-TSS-404","BSGatlas-TSS-404")</f>
        <v>BSGatlas-TSS-404</v>
      </c>
      <c r="B405" s="3">
        <v>537526</v>
      </c>
      <c r="C405" s="1" t="s">
        <v>9</v>
      </c>
      <c r="D405" s="1">
        <v>22</v>
      </c>
      <c r="E405" s="1" t="s">
        <v>14720</v>
      </c>
      <c r="F405" s="6"/>
      <c r="G405" s="1" t="s">
        <v>14726</v>
      </c>
    </row>
    <row r="406" spans="1:7" ht="21" x14ac:dyDescent="0.25">
      <c r="A406" s="2" t="str">
        <f>HYPERLINK("https://rth.dk/resources/bsgatlas/details.php?id=BSGatlas-TSS-405","BSGatlas-TSS-405")</f>
        <v>BSGatlas-TSS-405</v>
      </c>
      <c r="B406" s="3">
        <v>545564</v>
      </c>
      <c r="C406" s="1" t="s">
        <v>9</v>
      </c>
      <c r="D406" s="1">
        <v>22</v>
      </c>
      <c r="E406" s="1" t="s">
        <v>14722</v>
      </c>
      <c r="F406" s="6"/>
      <c r="G406" s="1" t="s">
        <v>14726</v>
      </c>
    </row>
    <row r="407" spans="1:7" ht="21" x14ac:dyDescent="0.25">
      <c r="A407" s="2" t="str">
        <f>HYPERLINK("https://rth.dk/resources/bsgatlas/details.php?id=BSGatlas-TSS-406","BSGatlas-TSS-406")</f>
        <v>BSGatlas-TSS-406</v>
      </c>
      <c r="B407" s="3">
        <v>547029</v>
      </c>
      <c r="C407" s="1" t="s">
        <v>13</v>
      </c>
      <c r="D407" s="1">
        <v>22</v>
      </c>
      <c r="E407" s="1" t="s">
        <v>14722</v>
      </c>
      <c r="F407" s="6"/>
      <c r="G407" s="1" t="s">
        <v>14726</v>
      </c>
    </row>
    <row r="408" spans="1:7" ht="21" x14ac:dyDescent="0.25">
      <c r="A408" s="2" t="str">
        <f>HYPERLINK("https://rth.dk/resources/bsgatlas/details.php?id=BSGatlas-TSS-407","BSGatlas-TSS-407")</f>
        <v>BSGatlas-TSS-407</v>
      </c>
      <c r="B408" s="3">
        <v>548192</v>
      </c>
      <c r="C408" s="1" t="s">
        <v>9</v>
      </c>
      <c r="D408" s="1">
        <v>22</v>
      </c>
      <c r="E408" s="1" t="s">
        <v>14752</v>
      </c>
      <c r="F408" s="6"/>
      <c r="G408" s="1" t="s">
        <v>14726</v>
      </c>
    </row>
    <row r="409" spans="1:7" ht="21" x14ac:dyDescent="0.25">
      <c r="A409" s="2" t="str">
        <f>HYPERLINK("https://rth.dk/resources/bsgatlas/details.php?id=BSGatlas-TSS-408","BSGatlas-TSS-408")</f>
        <v>BSGatlas-TSS-408</v>
      </c>
      <c r="B409" s="3">
        <v>548334</v>
      </c>
      <c r="C409" s="1" t="s">
        <v>9</v>
      </c>
      <c r="D409" s="1">
        <v>0</v>
      </c>
      <c r="E409" s="1" t="s">
        <v>14722</v>
      </c>
      <c r="F409" s="6">
        <v>11466295</v>
      </c>
      <c r="G409" s="1" t="s">
        <v>4684</v>
      </c>
    </row>
    <row r="410" spans="1:7" ht="21" x14ac:dyDescent="0.25">
      <c r="A410" s="2" t="str">
        <f>HYPERLINK("https://rth.dk/resources/bsgatlas/details.php?id=BSGatlas-TSS-409","BSGatlas-TSS-409")</f>
        <v>BSGatlas-TSS-409</v>
      </c>
      <c r="B410" s="3">
        <v>548395</v>
      </c>
      <c r="C410" s="1" t="s">
        <v>9</v>
      </c>
      <c r="D410" s="1">
        <v>0</v>
      </c>
      <c r="E410" s="1" t="s">
        <v>14745</v>
      </c>
      <c r="F410" s="6">
        <v>11466295</v>
      </c>
      <c r="G410" s="1" t="s">
        <v>14730</v>
      </c>
    </row>
    <row r="411" spans="1:7" ht="21" x14ac:dyDescent="0.25">
      <c r="A411" s="2" t="str">
        <f>HYPERLINK("https://rth.dk/resources/bsgatlas/details.php?id=BSGatlas-TSS-410","BSGatlas-TSS-410")</f>
        <v>BSGatlas-TSS-410</v>
      </c>
      <c r="B411" s="3">
        <v>550948</v>
      </c>
      <c r="C411" s="1" t="s">
        <v>13</v>
      </c>
      <c r="D411" s="1">
        <v>22</v>
      </c>
      <c r="E411" s="1" t="s">
        <v>14722</v>
      </c>
      <c r="F411" s="6"/>
      <c r="G411" s="1" t="s">
        <v>14726</v>
      </c>
    </row>
    <row r="412" spans="1:7" ht="21" x14ac:dyDescent="0.25">
      <c r="A412" s="2" t="str">
        <f>HYPERLINK("https://rth.dk/resources/bsgatlas/details.php?id=BSGatlas-TSS-411","BSGatlas-TSS-411")</f>
        <v>BSGatlas-TSS-411</v>
      </c>
      <c r="B412" s="3">
        <v>551073</v>
      </c>
      <c r="C412" s="1" t="s">
        <v>9</v>
      </c>
      <c r="D412" s="1">
        <v>22</v>
      </c>
      <c r="E412" s="1" t="s">
        <v>14722</v>
      </c>
      <c r="F412" s="6"/>
      <c r="G412" s="1" t="s">
        <v>14733</v>
      </c>
    </row>
    <row r="413" spans="1:7" ht="21" x14ac:dyDescent="0.25">
      <c r="A413" s="2" t="str">
        <f>HYPERLINK("https://rth.dk/resources/bsgatlas/details.php?id=BSGatlas-TSS-412","BSGatlas-TSS-412")</f>
        <v>BSGatlas-TSS-412</v>
      </c>
      <c r="B413" s="3">
        <v>553661</v>
      </c>
      <c r="C413" s="1" t="s">
        <v>9</v>
      </c>
      <c r="D413" s="1">
        <v>22</v>
      </c>
      <c r="E413" s="1" t="s">
        <v>14722</v>
      </c>
      <c r="F413" s="6"/>
      <c r="G413" s="1" t="s">
        <v>14726</v>
      </c>
    </row>
    <row r="414" spans="1:7" ht="21" x14ac:dyDescent="0.25">
      <c r="A414" s="2" t="str">
        <f>HYPERLINK("https://rth.dk/resources/bsgatlas/details.php?id=BSGatlas-TSS-413","BSGatlas-TSS-413")</f>
        <v>BSGatlas-TSS-413</v>
      </c>
      <c r="B414" s="3">
        <v>556002</v>
      </c>
      <c r="C414" s="1" t="s">
        <v>9</v>
      </c>
      <c r="D414" s="1">
        <v>33</v>
      </c>
      <c r="E414" s="1" t="s">
        <v>14720</v>
      </c>
      <c r="F414" s="6"/>
      <c r="G414" s="1" t="s">
        <v>14721</v>
      </c>
    </row>
    <row r="415" spans="1:7" ht="21" x14ac:dyDescent="0.25">
      <c r="A415" s="2" t="str">
        <f>HYPERLINK("https://rth.dk/resources/bsgatlas/details.php?id=BSGatlas-TSS-414","BSGatlas-TSS-414")</f>
        <v>BSGatlas-TSS-414</v>
      </c>
      <c r="B415" s="3">
        <v>557818</v>
      </c>
      <c r="C415" s="1" t="s">
        <v>9</v>
      </c>
      <c r="D415" s="1">
        <v>22</v>
      </c>
      <c r="E415" s="1" t="s">
        <v>14722</v>
      </c>
      <c r="F415" s="6"/>
      <c r="G415" s="1" t="s">
        <v>14726</v>
      </c>
    </row>
    <row r="416" spans="1:7" ht="21" x14ac:dyDescent="0.25">
      <c r="A416" s="2" t="str">
        <f>HYPERLINK("https://rth.dk/resources/bsgatlas/details.php?id=BSGatlas-TSS-415","BSGatlas-TSS-415")</f>
        <v>BSGatlas-TSS-415</v>
      </c>
      <c r="B416" s="3">
        <v>559146</v>
      </c>
      <c r="C416" s="1" t="s">
        <v>9</v>
      </c>
      <c r="D416" s="1">
        <v>22</v>
      </c>
      <c r="E416" s="1" t="s">
        <v>14722</v>
      </c>
      <c r="F416" s="6"/>
      <c r="G416" s="1" t="s">
        <v>14733</v>
      </c>
    </row>
    <row r="417" spans="1:7" ht="21" x14ac:dyDescent="0.25">
      <c r="A417" s="2" t="str">
        <f>HYPERLINK("https://rth.dk/resources/bsgatlas/details.php?id=BSGatlas-TSS-416","BSGatlas-TSS-416")</f>
        <v>BSGatlas-TSS-416</v>
      </c>
      <c r="B417" s="3">
        <v>560664</v>
      </c>
      <c r="C417" s="1" t="s">
        <v>13</v>
      </c>
      <c r="D417" s="1">
        <v>22</v>
      </c>
      <c r="E417" s="1" t="s">
        <v>14722</v>
      </c>
      <c r="F417" s="6"/>
      <c r="G417" s="1" t="s">
        <v>14726</v>
      </c>
    </row>
    <row r="418" spans="1:7" ht="21" x14ac:dyDescent="0.25">
      <c r="A418" s="2" t="str">
        <f>HYPERLINK("https://rth.dk/resources/bsgatlas/details.php?id=BSGatlas-TSS-417","BSGatlas-TSS-417")</f>
        <v>BSGatlas-TSS-417</v>
      </c>
      <c r="B418" s="3">
        <v>562523</v>
      </c>
      <c r="C418" s="1" t="s">
        <v>13</v>
      </c>
      <c r="D418" s="1">
        <v>22</v>
      </c>
      <c r="E418" s="1" t="s">
        <v>14722</v>
      </c>
      <c r="F418" s="6"/>
      <c r="G418" s="1" t="s">
        <v>14726</v>
      </c>
    </row>
    <row r="419" spans="1:7" ht="21" x14ac:dyDescent="0.25">
      <c r="A419" s="2" t="str">
        <f>HYPERLINK("https://rth.dk/resources/bsgatlas/details.php?id=BSGatlas-TSS-418","BSGatlas-TSS-418")</f>
        <v>BSGatlas-TSS-418</v>
      </c>
      <c r="B419" s="3">
        <v>564591</v>
      </c>
      <c r="C419" s="1" t="s">
        <v>13</v>
      </c>
      <c r="D419" s="1">
        <v>22</v>
      </c>
      <c r="E419" s="1" t="s">
        <v>14720</v>
      </c>
      <c r="F419" s="6"/>
      <c r="G419" s="1" t="s">
        <v>14726</v>
      </c>
    </row>
    <row r="420" spans="1:7" ht="21" x14ac:dyDescent="0.25">
      <c r="A420" s="2" t="str">
        <f>HYPERLINK("https://rth.dk/resources/bsgatlas/details.php?id=BSGatlas-TSS-419","BSGatlas-TSS-419")</f>
        <v>BSGatlas-TSS-419</v>
      </c>
      <c r="B420" s="3">
        <v>564674</v>
      </c>
      <c r="C420" s="1" t="s">
        <v>9</v>
      </c>
      <c r="D420" s="1">
        <v>22</v>
      </c>
      <c r="E420" s="1" t="s">
        <v>14722</v>
      </c>
      <c r="F420" s="6"/>
      <c r="G420" s="1" t="s">
        <v>14726</v>
      </c>
    </row>
    <row r="421" spans="1:7" ht="21" x14ac:dyDescent="0.25">
      <c r="A421" s="2" t="str">
        <f>HYPERLINK("https://rth.dk/resources/bsgatlas/details.php?id=BSGatlas-TSS-420","BSGatlas-TSS-420")</f>
        <v>BSGatlas-TSS-420</v>
      </c>
      <c r="B421" s="3">
        <v>567540</v>
      </c>
      <c r="C421" s="1" t="s">
        <v>9</v>
      </c>
      <c r="D421" s="1">
        <v>22</v>
      </c>
      <c r="E421" s="1" t="s">
        <v>14722</v>
      </c>
      <c r="F421" s="6"/>
      <c r="G421" s="1" t="s">
        <v>14733</v>
      </c>
    </row>
    <row r="422" spans="1:7" ht="21" x14ac:dyDescent="0.25">
      <c r="A422" s="2" t="str">
        <f>HYPERLINK("https://rth.dk/resources/bsgatlas/details.php?id=BSGatlas-TSS-421","BSGatlas-TSS-421")</f>
        <v>BSGatlas-TSS-421</v>
      </c>
      <c r="B422" s="3">
        <v>568211</v>
      </c>
      <c r="C422" s="1" t="s">
        <v>9</v>
      </c>
      <c r="D422" s="1">
        <v>22</v>
      </c>
      <c r="E422" s="1" t="s">
        <v>14722</v>
      </c>
      <c r="F422" s="6"/>
      <c r="G422" s="1" t="s">
        <v>14726</v>
      </c>
    </row>
    <row r="423" spans="1:7" ht="21" x14ac:dyDescent="0.25">
      <c r="A423" s="2" t="str">
        <f>HYPERLINK("https://rth.dk/resources/bsgatlas/details.php?id=BSGatlas-TSS-422","BSGatlas-TSS-422")</f>
        <v>BSGatlas-TSS-422</v>
      </c>
      <c r="B423" s="3">
        <v>569091</v>
      </c>
      <c r="C423" s="1" t="s">
        <v>9</v>
      </c>
      <c r="D423" s="1">
        <v>22</v>
      </c>
      <c r="E423" s="1" t="s">
        <v>14722</v>
      </c>
      <c r="F423" s="6"/>
      <c r="G423" s="1" t="s">
        <v>14726</v>
      </c>
    </row>
    <row r="424" spans="1:7" ht="21" x14ac:dyDescent="0.25">
      <c r="A424" s="2" t="str">
        <f>HYPERLINK("https://rth.dk/resources/bsgatlas/details.php?id=BSGatlas-TSS-423","BSGatlas-TSS-423")</f>
        <v>BSGatlas-TSS-423</v>
      </c>
      <c r="B424" s="3">
        <v>570005</v>
      </c>
      <c r="C424" s="1" t="s">
        <v>13</v>
      </c>
      <c r="D424" s="1">
        <v>22</v>
      </c>
      <c r="E424" s="1" t="s">
        <v>14722</v>
      </c>
      <c r="F424" s="6"/>
      <c r="G424" s="1" t="s">
        <v>14726</v>
      </c>
    </row>
    <row r="425" spans="1:7" ht="21" x14ac:dyDescent="0.25">
      <c r="A425" s="2" t="str">
        <f>HYPERLINK("https://rth.dk/resources/bsgatlas/details.php?id=BSGatlas-TSS-424","BSGatlas-TSS-424")</f>
        <v>BSGatlas-TSS-424</v>
      </c>
      <c r="B425" s="3">
        <v>571313</v>
      </c>
      <c r="C425" s="1" t="s">
        <v>9</v>
      </c>
      <c r="D425" s="1">
        <v>22</v>
      </c>
      <c r="E425" s="1" t="s">
        <v>14722</v>
      </c>
      <c r="F425" s="6"/>
      <c r="G425" s="1" t="s">
        <v>14726</v>
      </c>
    </row>
    <row r="426" spans="1:7" ht="21" x14ac:dyDescent="0.25">
      <c r="A426" s="2" t="str">
        <f>HYPERLINK("https://rth.dk/resources/bsgatlas/details.php?id=BSGatlas-TSS-425","BSGatlas-TSS-425")</f>
        <v>BSGatlas-TSS-425</v>
      </c>
      <c r="B426" s="3">
        <v>571323</v>
      </c>
      <c r="C426" s="1" t="s">
        <v>13</v>
      </c>
      <c r="D426" s="1">
        <v>22</v>
      </c>
      <c r="E426" s="1" t="s">
        <v>14722</v>
      </c>
      <c r="F426" s="6"/>
      <c r="G426" s="1" t="s">
        <v>14726</v>
      </c>
    </row>
    <row r="427" spans="1:7" ht="21" x14ac:dyDescent="0.25">
      <c r="A427" s="2" t="str">
        <f>HYPERLINK("https://rth.dk/resources/bsgatlas/details.php?id=BSGatlas-TSS-426","BSGatlas-TSS-426")</f>
        <v>BSGatlas-TSS-426</v>
      </c>
      <c r="B427" s="3">
        <v>572940</v>
      </c>
      <c r="C427" s="1" t="s">
        <v>9</v>
      </c>
      <c r="D427" s="1">
        <v>22</v>
      </c>
      <c r="E427" s="1" t="s">
        <v>14722</v>
      </c>
      <c r="F427" s="6"/>
      <c r="G427" s="1" t="s">
        <v>14726</v>
      </c>
    </row>
    <row r="428" spans="1:7" ht="21" x14ac:dyDescent="0.25">
      <c r="A428" s="2" t="str">
        <f>HYPERLINK("https://rth.dk/resources/bsgatlas/details.php?id=BSGatlas-TSS-427","BSGatlas-TSS-427")</f>
        <v>BSGatlas-TSS-427</v>
      </c>
      <c r="B428" s="3">
        <v>574469</v>
      </c>
      <c r="C428" s="1" t="s">
        <v>13</v>
      </c>
      <c r="D428" s="1">
        <v>22</v>
      </c>
      <c r="E428" s="1" t="s">
        <v>14722</v>
      </c>
      <c r="F428" s="6"/>
      <c r="G428" s="1" t="s">
        <v>14726</v>
      </c>
    </row>
    <row r="429" spans="1:7" ht="21" x14ac:dyDescent="0.25">
      <c r="A429" s="2" t="str">
        <f>HYPERLINK("https://rth.dk/resources/bsgatlas/details.php?id=BSGatlas-TSS-428","BSGatlas-TSS-428")</f>
        <v>BSGatlas-TSS-428</v>
      </c>
      <c r="B429" s="3">
        <v>574656</v>
      </c>
      <c r="C429" s="1" t="s">
        <v>9</v>
      </c>
      <c r="D429" s="1">
        <v>22</v>
      </c>
      <c r="E429" s="1" t="s">
        <v>14722</v>
      </c>
      <c r="F429" s="6"/>
      <c r="G429" s="1" t="s">
        <v>14726</v>
      </c>
    </row>
    <row r="430" spans="1:7" ht="21" x14ac:dyDescent="0.25">
      <c r="A430" s="2" t="str">
        <f>HYPERLINK("https://rth.dk/resources/bsgatlas/details.php?id=BSGatlas-TSS-429","BSGatlas-TSS-429")</f>
        <v>BSGatlas-TSS-429</v>
      </c>
      <c r="B430" s="3">
        <v>576165</v>
      </c>
      <c r="C430" s="1" t="s">
        <v>13</v>
      </c>
      <c r="D430" s="1">
        <v>22</v>
      </c>
      <c r="E430" s="1" t="s">
        <v>14722</v>
      </c>
      <c r="F430" s="6"/>
      <c r="G430" s="1" t="s">
        <v>14733</v>
      </c>
    </row>
    <row r="431" spans="1:7" ht="21" x14ac:dyDescent="0.25">
      <c r="A431" s="2" t="str">
        <f>HYPERLINK("https://rth.dk/resources/bsgatlas/details.php?id=BSGatlas-TSS-430","BSGatlas-TSS-430")</f>
        <v>BSGatlas-TSS-430</v>
      </c>
      <c r="B431" s="3">
        <v>576175</v>
      </c>
      <c r="C431" s="1" t="s">
        <v>9</v>
      </c>
      <c r="D431" s="1">
        <v>22</v>
      </c>
      <c r="E431" s="1" t="s">
        <v>14722</v>
      </c>
      <c r="F431" s="6"/>
      <c r="G431" s="1" t="s">
        <v>14726</v>
      </c>
    </row>
    <row r="432" spans="1:7" ht="21" x14ac:dyDescent="0.25">
      <c r="A432" s="2" t="str">
        <f>HYPERLINK("https://rth.dk/resources/bsgatlas/details.php?id=BSGatlas-TSS-431","BSGatlas-TSS-431")</f>
        <v>BSGatlas-TSS-431</v>
      </c>
      <c r="B432" s="3">
        <v>578287</v>
      </c>
      <c r="C432" s="1" t="s">
        <v>9</v>
      </c>
      <c r="D432" s="1">
        <v>22</v>
      </c>
      <c r="E432" s="1" t="s">
        <v>14722</v>
      </c>
      <c r="F432" s="6"/>
      <c r="G432" s="1" t="s">
        <v>14726</v>
      </c>
    </row>
    <row r="433" spans="1:7" ht="21" x14ac:dyDescent="0.25">
      <c r="A433" s="2" t="str">
        <f>HYPERLINK("https://rth.dk/resources/bsgatlas/details.php?id=BSGatlas-TSS-432","BSGatlas-TSS-432")</f>
        <v>BSGatlas-TSS-432</v>
      </c>
      <c r="B433" s="3">
        <v>579354</v>
      </c>
      <c r="C433" s="1" t="s">
        <v>9</v>
      </c>
      <c r="D433" s="1">
        <v>22</v>
      </c>
      <c r="E433" s="1" t="s">
        <v>14722</v>
      </c>
      <c r="F433" s="6"/>
      <c r="G433" s="1" t="s">
        <v>14733</v>
      </c>
    </row>
    <row r="434" spans="1:7" ht="21" x14ac:dyDescent="0.25">
      <c r="A434" s="2" t="str">
        <f>HYPERLINK("https://rth.dk/resources/bsgatlas/details.php?id=BSGatlas-TSS-433","BSGatlas-TSS-433")</f>
        <v>BSGatlas-TSS-433</v>
      </c>
      <c r="B434" s="3">
        <v>581676</v>
      </c>
      <c r="C434" s="1" t="s">
        <v>9</v>
      </c>
      <c r="D434" s="1">
        <v>22</v>
      </c>
      <c r="E434" s="1" t="s">
        <v>14745</v>
      </c>
      <c r="F434" s="6"/>
      <c r="G434" s="1" t="s">
        <v>14726</v>
      </c>
    </row>
    <row r="435" spans="1:7" ht="21" x14ac:dyDescent="0.25">
      <c r="A435" s="2" t="str">
        <f>HYPERLINK("https://rth.dk/resources/bsgatlas/details.php?id=BSGatlas-TSS-434","BSGatlas-TSS-434")</f>
        <v>BSGatlas-TSS-434</v>
      </c>
      <c r="B435" s="3">
        <v>585821</v>
      </c>
      <c r="C435" s="1" t="s">
        <v>13</v>
      </c>
      <c r="D435" s="1">
        <v>22</v>
      </c>
      <c r="E435" s="1" t="s">
        <v>14722</v>
      </c>
      <c r="F435" s="6"/>
      <c r="G435" s="1" t="s">
        <v>14726</v>
      </c>
    </row>
    <row r="436" spans="1:7" ht="21" x14ac:dyDescent="0.25">
      <c r="A436" s="2" t="str">
        <f>HYPERLINK("https://rth.dk/resources/bsgatlas/details.php?id=BSGatlas-TSS-435","BSGatlas-TSS-435")</f>
        <v>BSGatlas-TSS-435</v>
      </c>
      <c r="B436" s="3">
        <v>585834</v>
      </c>
      <c r="C436" s="1" t="s">
        <v>9</v>
      </c>
      <c r="D436" s="1">
        <v>22</v>
      </c>
      <c r="E436" s="1" t="s">
        <v>14722</v>
      </c>
      <c r="F436" s="6"/>
      <c r="G436" s="1" t="s">
        <v>14726</v>
      </c>
    </row>
    <row r="437" spans="1:7" ht="21" x14ac:dyDescent="0.25">
      <c r="A437" s="2" t="str">
        <f>HYPERLINK("https://rth.dk/resources/bsgatlas/details.php?id=BSGatlas-TSS-436","BSGatlas-TSS-436")</f>
        <v>BSGatlas-TSS-436</v>
      </c>
      <c r="B437" s="3">
        <v>587118</v>
      </c>
      <c r="C437" s="1" t="s">
        <v>13</v>
      </c>
      <c r="D437" s="1">
        <v>22</v>
      </c>
      <c r="E437" s="1" t="s">
        <v>14722</v>
      </c>
      <c r="F437" s="6"/>
      <c r="G437" s="1" t="s">
        <v>14726</v>
      </c>
    </row>
    <row r="438" spans="1:7" ht="21" x14ac:dyDescent="0.25">
      <c r="A438" s="2" t="str">
        <f>HYPERLINK("https://rth.dk/resources/bsgatlas/details.php?id=BSGatlas-TSS-437","BSGatlas-TSS-437")</f>
        <v>BSGatlas-TSS-437</v>
      </c>
      <c r="B438" s="3">
        <v>587461</v>
      </c>
      <c r="C438" s="1" t="s">
        <v>9</v>
      </c>
      <c r="D438" s="1">
        <v>22</v>
      </c>
      <c r="E438" s="1" t="s">
        <v>14722</v>
      </c>
      <c r="F438" s="6"/>
      <c r="G438" s="1" t="s">
        <v>14726</v>
      </c>
    </row>
    <row r="439" spans="1:7" ht="21" x14ac:dyDescent="0.25">
      <c r="A439" s="2" t="str">
        <f>HYPERLINK("https://rth.dk/resources/bsgatlas/details.php?id=BSGatlas-TSS-438","BSGatlas-TSS-438")</f>
        <v>BSGatlas-TSS-438</v>
      </c>
      <c r="B439" s="3">
        <v>589649</v>
      </c>
      <c r="C439" s="1" t="s">
        <v>13</v>
      </c>
      <c r="D439" s="1">
        <v>22</v>
      </c>
      <c r="E439" s="1" t="s">
        <v>14722</v>
      </c>
      <c r="F439" s="6"/>
      <c r="G439" s="1" t="s">
        <v>14726</v>
      </c>
    </row>
    <row r="440" spans="1:7" ht="21" x14ac:dyDescent="0.25">
      <c r="A440" s="2" t="str">
        <f>HYPERLINK("https://rth.dk/resources/bsgatlas/details.php?id=BSGatlas-TSS-439","BSGatlas-TSS-439")</f>
        <v>BSGatlas-TSS-439</v>
      </c>
      <c r="B440" s="3">
        <v>589681</v>
      </c>
      <c r="C440" s="1" t="s">
        <v>9</v>
      </c>
      <c r="D440" s="1">
        <v>0</v>
      </c>
      <c r="E440" s="1" t="s">
        <v>14722</v>
      </c>
      <c r="F440" s="6" t="s">
        <v>14809</v>
      </c>
      <c r="G440" s="1" t="s">
        <v>4382</v>
      </c>
    </row>
    <row r="441" spans="1:7" ht="21" x14ac:dyDescent="0.25">
      <c r="A441" s="2" t="str">
        <f>HYPERLINK("https://rth.dk/resources/bsgatlas/details.php?id=BSGatlas-TSS-440","BSGatlas-TSS-440")</f>
        <v>BSGatlas-TSS-440</v>
      </c>
      <c r="B441" s="3">
        <v>589727</v>
      </c>
      <c r="C441" s="1" t="s">
        <v>9</v>
      </c>
      <c r="D441" s="1">
        <v>22</v>
      </c>
      <c r="E441" s="1" t="s">
        <v>14727</v>
      </c>
      <c r="F441" s="6"/>
      <c r="G441" s="1" t="s">
        <v>14726</v>
      </c>
    </row>
    <row r="442" spans="1:7" ht="21" x14ac:dyDescent="0.25">
      <c r="A442" s="2" t="str">
        <f>HYPERLINK("https://rth.dk/resources/bsgatlas/details.php?id=BSGatlas-TSS-441","BSGatlas-TSS-441")</f>
        <v>BSGatlas-TSS-441</v>
      </c>
      <c r="B442" s="3">
        <v>590793</v>
      </c>
      <c r="C442" s="1" t="s">
        <v>13</v>
      </c>
      <c r="D442" s="1">
        <v>22</v>
      </c>
      <c r="E442" s="1" t="s">
        <v>14727</v>
      </c>
      <c r="F442" s="6"/>
      <c r="G442" s="1" t="s">
        <v>14726</v>
      </c>
    </row>
    <row r="443" spans="1:7" ht="21" x14ac:dyDescent="0.25">
      <c r="A443" s="2" t="str">
        <f>HYPERLINK("https://rth.dk/resources/bsgatlas/details.php?id=BSGatlas-TSS-442","BSGatlas-TSS-442")</f>
        <v>BSGatlas-TSS-442</v>
      </c>
      <c r="B443" s="3">
        <v>591926</v>
      </c>
      <c r="C443" s="1" t="s">
        <v>9</v>
      </c>
      <c r="D443" s="1">
        <v>22</v>
      </c>
      <c r="E443" s="1" t="s">
        <v>14722</v>
      </c>
      <c r="F443" s="6"/>
      <c r="G443" s="1" t="s">
        <v>14726</v>
      </c>
    </row>
    <row r="444" spans="1:7" ht="21" x14ac:dyDescent="0.25">
      <c r="A444" s="2" t="str">
        <f>HYPERLINK("https://rth.dk/resources/bsgatlas/details.php?id=BSGatlas-TSS-443","BSGatlas-TSS-443")</f>
        <v>BSGatlas-TSS-443</v>
      </c>
      <c r="B444" s="3">
        <v>593301</v>
      </c>
      <c r="C444" s="1" t="s">
        <v>13</v>
      </c>
      <c r="D444" s="1">
        <v>22</v>
      </c>
      <c r="E444" s="1" t="s">
        <v>14722</v>
      </c>
      <c r="F444" s="6"/>
      <c r="G444" s="1" t="s">
        <v>14733</v>
      </c>
    </row>
    <row r="445" spans="1:7" ht="21" x14ac:dyDescent="0.25">
      <c r="A445" s="2" t="str">
        <f>HYPERLINK("https://rth.dk/resources/bsgatlas/details.php?id=BSGatlas-TSS-444","BSGatlas-TSS-444")</f>
        <v>BSGatlas-TSS-444</v>
      </c>
      <c r="B445" s="3">
        <v>594123</v>
      </c>
      <c r="C445" s="1" t="s">
        <v>13</v>
      </c>
      <c r="D445" s="1">
        <v>0</v>
      </c>
      <c r="E445" s="1" t="s">
        <v>14722</v>
      </c>
      <c r="F445" s="6" t="s">
        <v>14810</v>
      </c>
      <c r="G445" s="1" t="s">
        <v>4382</v>
      </c>
    </row>
    <row r="446" spans="1:7" ht="21" x14ac:dyDescent="0.25">
      <c r="A446" s="2" t="str">
        <f>HYPERLINK("https://rth.dk/resources/bsgatlas/details.php?id=BSGatlas-TSS-445","BSGatlas-TSS-445")</f>
        <v>BSGatlas-TSS-445</v>
      </c>
      <c r="B446" s="3">
        <v>595040</v>
      </c>
      <c r="C446" s="1" t="s">
        <v>13</v>
      </c>
      <c r="D446" s="1">
        <v>22</v>
      </c>
      <c r="E446" s="1" t="s">
        <v>14722</v>
      </c>
      <c r="F446" s="6"/>
      <c r="G446" s="1" t="s">
        <v>14726</v>
      </c>
    </row>
    <row r="447" spans="1:7" ht="21" x14ac:dyDescent="0.25">
      <c r="A447" s="2" t="str">
        <f>HYPERLINK("https://rth.dk/resources/bsgatlas/details.php?id=BSGatlas-TSS-446","BSGatlas-TSS-446")</f>
        <v>BSGatlas-TSS-446</v>
      </c>
      <c r="B447" s="3">
        <v>596093</v>
      </c>
      <c r="C447" s="1" t="s">
        <v>13</v>
      </c>
      <c r="D447" s="1">
        <v>22</v>
      </c>
      <c r="E447" s="1" t="s">
        <v>14722</v>
      </c>
      <c r="F447" s="6"/>
      <c r="G447" s="1" t="s">
        <v>14733</v>
      </c>
    </row>
    <row r="448" spans="1:7" ht="21" x14ac:dyDescent="0.25">
      <c r="A448" s="2" t="str">
        <f>HYPERLINK("https://rth.dk/resources/bsgatlas/details.php?id=BSGatlas-TSS-447","BSGatlas-TSS-447")</f>
        <v>BSGatlas-TSS-447</v>
      </c>
      <c r="B448" s="3">
        <v>596320</v>
      </c>
      <c r="C448" s="1" t="s">
        <v>9</v>
      </c>
      <c r="D448" s="1">
        <v>0</v>
      </c>
      <c r="E448" s="1" t="s">
        <v>14722</v>
      </c>
      <c r="F448" s="6" t="s">
        <v>14811</v>
      </c>
      <c r="G448" s="1" t="s">
        <v>14747</v>
      </c>
    </row>
    <row r="449" spans="1:7" ht="21" x14ac:dyDescent="0.25">
      <c r="A449" s="2" t="str">
        <f>HYPERLINK("https://rth.dk/resources/bsgatlas/details.php?id=BSGatlas-TSS-448","BSGatlas-TSS-448")</f>
        <v>BSGatlas-TSS-448</v>
      </c>
      <c r="B449" s="3">
        <v>596833</v>
      </c>
      <c r="C449" s="1" t="s">
        <v>9</v>
      </c>
      <c r="D449" s="1">
        <v>22</v>
      </c>
      <c r="E449" s="1" t="s">
        <v>14734</v>
      </c>
      <c r="F449" s="6"/>
      <c r="G449" s="1" t="s">
        <v>14726</v>
      </c>
    </row>
    <row r="450" spans="1:7" ht="21" x14ac:dyDescent="0.25">
      <c r="A450" s="2" t="str">
        <f>HYPERLINK("https://rth.dk/resources/bsgatlas/details.php?id=BSGatlas-TSS-449","BSGatlas-TSS-449")</f>
        <v>BSGatlas-TSS-449</v>
      </c>
      <c r="B450" s="3">
        <v>596860</v>
      </c>
      <c r="C450" s="1" t="s">
        <v>9</v>
      </c>
      <c r="D450" s="1">
        <v>0</v>
      </c>
      <c r="E450" s="1" t="s">
        <v>14734</v>
      </c>
      <c r="F450" s="6" t="s">
        <v>14812</v>
      </c>
      <c r="G450" s="1" t="s">
        <v>4382</v>
      </c>
    </row>
    <row r="451" spans="1:7" ht="21" x14ac:dyDescent="0.25">
      <c r="A451" s="2" t="str">
        <f>HYPERLINK("https://rth.dk/resources/bsgatlas/details.php?id=BSGatlas-TSS-450","BSGatlas-TSS-450")</f>
        <v>BSGatlas-TSS-450</v>
      </c>
      <c r="B451" s="3">
        <v>598065</v>
      </c>
      <c r="C451" s="1" t="s">
        <v>9</v>
      </c>
      <c r="D451" s="1">
        <v>22</v>
      </c>
      <c r="E451" s="1" t="s">
        <v>14725</v>
      </c>
      <c r="F451" s="6"/>
      <c r="G451" s="1" t="s">
        <v>14733</v>
      </c>
    </row>
    <row r="452" spans="1:7" ht="21" x14ac:dyDescent="0.25">
      <c r="A452" s="2" t="str">
        <f>HYPERLINK("https://rth.dk/resources/bsgatlas/details.php?id=BSGatlas-TSS-451","BSGatlas-TSS-451")</f>
        <v>BSGatlas-TSS-451</v>
      </c>
      <c r="B452" s="3">
        <v>598659</v>
      </c>
      <c r="C452" s="1" t="s">
        <v>9</v>
      </c>
      <c r="D452" s="1">
        <v>22</v>
      </c>
      <c r="E452" s="1" t="s">
        <v>14722</v>
      </c>
      <c r="F452" s="6"/>
      <c r="G452" s="1" t="s">
        <v>14733</v>
      </c>
    </row>
    <row r="453" spans="1:7" ht="21" x14ac:dyDescent="0.25">
      <c r="A453" s="2" t="str">
        <f>HYPERLINK("https://rth.dk/resources/bsgatlas/details.php?id=BSGatlas-TSS-452","BSGatlas-TSS-452")</f>
        <v>BSGatlas-TSS-452</v>
      </c>
      <c r="B453" s="3">
        <v>599187</v>
      </c>
      <c r="C453" s="1" t="s">
        <v>9</v>
      </c>
      <c r="D453" s="1">
        <v>22</v>
      </c>
      <c r="E453" s="1" t="s">
        <v>14732</v>
      </c>
      <c r="F453" s="6"/>
      <c r="G453" s="1" t="s">
        <v>14726</v>
      </c>
    </row>
    <row r="454" spans="1:7" ht="21" x14ac:dyDescent="0.25">
      <c r="A454" s="2" t="str">
        <f>HYPERLINK("https://rth.dk/resources/bsgatlas/details.php?id=BSGatlas-TSS-453","BSGatlas-TSS-453")</f>
        <v>BSGatlas-TSS-453</v>
      </c>
      <c r="B454" s="3">
        <v>600143</v>
      </c>
      <c r="C454" s="1" t="s">
        <v>13</v>
      </c>
      <c r="D454" s="1">
        <v>22</v>
      </c>
      <c r="E454" s="1" t="s">
        <v>14725</v>
      </c>
      <c r="F454" s="6"/>
      <c r="G454" s="1" t="s">
        <v>14726</v>
      </c>
    </row>
    <row r="455" spans="1:7" ht="21" x14ac:dyDescent="0.25">
      <c r="A455" s="2" t="str">
        <f>HYPERLINK("https://rth.dk/resources/bsgatlas/details.php?id=BSGatlas-TSS-454","BSGatlas-TSS-454")</f>
        <v>BSGatlas-TSS-454</v>
      </c>
      <c r="B455" s="3">
        <v>600872</v>
      </c>
      <c r="C455" s="1" t="s">
        <v>13</v>
      </c>
      <c r="D455" s="1">
        <v>0</v>
      </c>
      <c r="E455" s="1" t="s">
        <v>14743</v>
      </c>
      <c r="F455" s="6">
        <v>16497325</v>
      </c>
      <c r="G455" s="1" t="s">
        <v>14730</v>
      </c>
    </row>
    <row r="456" spans="1:7" ht="21" x14ac:dyDescent="0.25">
      <c r="A456" s="2" t="str">
        <f>HYPERLINK("https://rth.dk/resources/bsgatlas/details.php?id=BSGatlas-TSS-455","BSGatlas-TSS-455")</f>
        <v>BSGatlas-TSS-455</v>
      </c>
      <c r="B456" s="3">
        <v>600956</v>
      </c>
      <c r="C456" s="1" t="s">
        <v>9</v>
      </c>
      <c r="D456" s="1">
        <v>0</v>
      </c>
      <c r="E456" s="1" t="s">
        <v>14743</v>
      </c>
      <c r="F456" s="6" t="s">
        <v>14813</v>
      </c>
      <c r="G456" s="1" t="s">
        <v>14729</v>
      </c>
    </row>
    <row r="457" spans="1:7" ht="21" x14ac:dyDescent="0.25">
      <c r="A457" s="2" t="str">
        <f>HYPERLINK("https://rth.dk/resources/bsgatlas/details.php?id=BSGatlas-TSS-456","BSGatlas-TSS-456")</f>
        <v>BSGatlas-TSS-456</v>
      </c>
      <c r="B457" s="3">
        <v>602739</v>
      </c>
      <c r="C457" s="1" t="s">
        <v>13</v>
      </c>
      <c r="D457" s="1">
        <v>22</v>
      </c>
      <c r="E457" s="1" t="s">
        <v>14725</v>
      </c>
      <c r="F457" s="6"/>
      <c r="G457" s="1" t="s">
        <v>14726</v>
      </c>
    </row>
    <row r="458" spans="1:7" ht="21" x14ac:dyDescent="0.25">
      <c r="A458" s="2" t="str">
        <f>HYPERLINK("https://rth.dk/resources/bsgatlas/details.php?id=BSGatlas-TSS-457","BSGatlas-TSS-457")</f>
        <v>BSGatlas-TSS-457</v>
      </c>
      <c r="B458" s="3">
        <v>602963</v>
      </c>
      <c r="C458" s="1" t="s">
        <v>9</v>
      </c>
      <c r="D458" s="1">
        <v>22</v>
      </c>
      <c r="E458" s="1" t="s">
        <v>14722</v>
      </c>
      <c r="F458" s="6"/>
      <c r="G458" s="1" t="s">
        <v>14726</v>
      </c>
    </row>
    <row r="459" spans="1:7" ht="21" x14ac:dyDescent="0.25">
      <c r="A459" s="2" t="str">
        <f>HYPERLINK("https://rth.dk/resources/bsgatlas/details.php?id=BSGatlas-TSS-458","BSGatlas-TSS-458")</f>
        <v>BSGatlas-TSS-458</v>
      </c>
      <c r="B459" s="3">
        <v>606451</v>
      </c>
      <c r="C459" s="1" t="s">
        <v>9</v>
      </c>
      <c r="D459" s="1">
        <v>22</v>
      </c>
      <c r="E459" s="1" t="s">
        <v>14720</v>
      </c>
      <c r="F459" s="6"/>
      <c r="G459" s="1" t="s">
        <v>14726</v>
      </c>
    </row>
    <row r="460" spans="1:7" ht="21" x14ac:dyDescent="0.25">
      <c r="A460" s="2" t="str">
        <f>HYPERLINK("https://rth.dk/resources/bsgatlas/details.php?id=BSGatlas-TSS-459","BSGatlas-TSS-459")</f>
        <v>BSGatlas-TSS-459</v>
      </c>
      <c r="B460" s="3">
        <v>606615</v>
      </c>
      <c r="C460" s="1" t="s">
        <v>13</v>
      </c>
      <c r="D460" s="1">
        <v>22</v>
      </c>
      <c r="E460" s="1" t="s">
        <v>14722</v>
      </c>
      <c r="F460" s="6"/>
      <c r="G460" s="1" t="s">
        <v>14726</v>
      </c>
    </row>
    <row r="461" spans="1:7" ht="21" x14ac:dyDescent="0.25">
      <c r="A461" s="2" t="str">
        <f>HYPERLINK("https://rth.dk/resources/bsgatlas/details.php?id=BSGatlas-TSS-460","BSGatlas-TSS-460")</f>
        <v>BSGatlas-TSS-460</v>
      </c>
      <c r="B461" s="3">
        <v>608140</v>
      </c>
      <c r="C461" s="1" t="s">
        <v>13</v>
      </c>
      <c r="D461" s="1">
        <v>22</v>
      </c>
      <c r="E461" s="1" t="s">
        <v>14722</v>
      </c>
      <c r="F461" s="6"/>
      <c r="G461" s="1" t="s">
        <v>14726</v>
      </c>
    </row>
    <row r="462" spans="1:7" ht="21" x14ac:dyDescent="0.25">
      <c r="A462" s="2" t="str">
        <f>HYPERLINK("https://rth.dk/resources/bsgatlas/details.php?id=BSGatlas-TSS-461","BSGatlas-TSS-461")</f>
        <v>BSGatlas-TSS-461</v>
      </c>
      <c r="B462" s="3">
        <v>608809</v>
      </c>
      <c r="C462" s="1" t="s">
        <v>13</v>
      </c>
      <c r="D462" s="1">
        <v>22</v>
      </c>
      <c r="E462" s="1" t="s">
        <v>14722</v>
      </c>
      <c r="F462" s="6"/>
      <c r="G462" s="1" t="s">
        <v>14726</v>
      </c>
    </row>
    <row r="463" spans="1:7" ht="21" x14ac:dyDescent="0.25">
      <c r="A463" s="2" t="str">
        <f>HYPERLINK("https://rth.dk/resources/bsgatlas/details.php?id=BSGatlas-TSS-462","BSGatlas-TSS-462")</f>
        <v>BSGatlas-TSS-462</v>
      </c>
      <c r="B463" s="3">
        <v>608886</v>
      </c>
      <c r="C463" s="1" t="s">
        <v>9</v>
      </c>
      <c r="D463" s="1">
        <v>22</v>
      </c>
      <c r="E463" s="1" t="s">
        <v>14722</v>
      </c>
      <c r="F463" s="6"/>
      <c r="G463" s="1" t="s">
        <v>14726</v>
      </c>
    </row>
    <row r="464" spans="1:7" ht="21" x14ac:dyDescent="0.25">
      <c r="A464" s="2" t="str">
        <f>HYPERLINK("https://rth.dk/resources/bsgatlas/details.php?id=BSGatlas-TSS-463","BSGatlas-TSS-463")</f>
        <v>BSGatlas-TSS-463</v>
      </c>
      <c r="B464" s="3">
        <v>613337</v>
      </c>
      <c r="C464" s="1" t="s">
        <v>13</v>
      </c>
      <c r="D464" s="1">
        <v>22</v>
      </c>
      <c r="E464" s="1" t="s">
        <v>14722</v>
      </c>
      <c r="F464" s="6"/>
      <c r="G464" s="1" t="s">
        <v>14726</v>
      </c>
    </row>
    <row r="465" spans="1:7" ht="21" x14ac:dyDescent="0.25">
      <c r="A465" s="2" t="str">
        <f>HYPERLINK("https://rth.dk/resources/bsgatlas/details.php?id=BSGatlas-TSS-464","BSGatlas-TSS-464")</f>
        <v>BSGatlas-TSS-464</v>
      </c>
      <c r="B465" s="3">
        <v>613552</v>
      </c>
      <c r="C465" s="1" t="s">
        <v>9</v>
      </c>
      <c r="D465" s="1">
        <v>22</v>
      </c>
      <c r="E465" s="1" t="s">
        <v>14722</v>
      </c>
      <c r="F465" s="6"/>
      <c r="G465" s="1" t="s">
        <v>14733</v>
      </c>
    </row>
    <row r="466" spans="1:7" ht="21" x14ac:dyDescent="0.25">
      <c r="A466" s="2" t="str">
        <f>HYPERLINK("https://rth.dk/resources/bsgatlas/details.php?id=BSGatlas-TSS-465","BSGatlas-TSS-465")</f>
        <v>BSGatlas-TSS-465</v>
      </c>
      <c r="B466" s="3">
        <v>615761</v>
      </c>
      <c r="C466" s="1" t="s">
        <v>13</v>
      </c>
      <c r="D466" s="1">
        <v>22</v>
      </c>
      <c r="E466" s="1" t="s">
        <v>14722</v>
      </c>
      <c r="F466" s="6"/>
      <c r="G466" s="1" t="s">
        <v>14733</v>
      </c>
    </row>
    <row r="467" spans="1:7" ht="21" x14ac:dyDescent="0.25">
      <c r="A467" s="2" t="str">
        <f>HYPERLINK("https://rth.dk/resources/bsgatlas/details.php?id=BSGatlas-TSS-466","BSGatlas-TSS-466")</f>
        <v>BSGatlas-TSS-466</v>
      </c>
      <c r="B467" s="3">
        <v>615818</v>
      </c>
      <c r="C467" s="1" t="s">
        <v>9</v>
      </c>
      <c r="D467" s="1">
        <v>22</v>
      </c>
      <c r="E467" s="1" t="s">
        <v>14722</v>
      </c>
      <c r="F467" s="6"/>
      <c r="G467" s="1" t="s">
        <v>14726</v>
      </c>
    </row>
    <row r="468" spans="1:7" ht="21" x14ac:dyDescent="0.25">
      <c r="A468" s="2" t="str">
        <f>HYPERLINK("https://rth.dk/resources/bsgatlas/details.php?id=BSGatlas-TSS-467","BSGatlas-TSS-467")</f>
        <v>BSGatlas-TSS-467</v>
      </c>
      <c r="B468" s="3">
        <v>616631</v>
      </c>
      <c r="C468" s="1" t="s">
        <v>9</v>
      </c>
      <c r="D468" s="1">
        <v>22</v>
      </c>
      <c r="E468" s="1" t="s">
        <v>14727</v>
      </c>
      <c r="F468" s="6"/>
      <c r="G468" s="1" t="s">
        <v>14726</v>
      </c>
    </row>
    <row r="469" spans="1:7" ht="21" x14ac:dyDescent="0.25">
      <c r="A469" s="2" t="str">
        <f>HYPERLINK("https://rth.dk/resources/bsgatlas/details.php?id=BSGatlas-TSS-468","BSGatlas-TSS-468")</f>
        <v>BSGatlas-TSS-468</v>
      </c>
      <c r="B469" s="3">
        <v>618045</v>
      </c>
      <c r="C469" s="1" t="s">
        <v>9</v>
      </c>
      <c r="D469" s="1">
        <v>0</v>
      </c>
      <c r="E469" s="1" t="s">
        <v>14722</v>
      </c>
      <c r="F469" s="6">
        <v>20639339</v>
      </c>
      <c r="G469" s="1" t="s">
        <v>14747</v>
      </c>
    </row>
    <row r="470" spans="1:7" ht="21" x14ac:dyDescent="0.25">
      <c r="A470" s="2" t="str">
        <f>HYPERLINK("https://rth.dk/resources/bsgatlas/details.php?id=BSGatlas-TSS-469","BSGatlas-TSS-469")</f>
        <v>BSGatlas-TSS-469</v>
      </c>
      <c r="B470" s="3">
        <v>621522</v>
      </c>
      <c r="C470" s="1" t="s">
        <v>13</v>
      </c>
      <c r="D470" s="1">
        <v>0</v>
      </c>
      <c r="E470" s="1" t="s">
        <v>14722</v>
      </c>
      <c r="F470" s="6" t="s">
        <v>14814</v>
      </c>
      <c r="G470" s="1" t="s">
        <v>14729</v>
      </c>
    </row>
    <row r="471" spans="1:7" ht="21" x14ac:dyDescent="0.25">
      <c r="A471" s="2" t="str">
        <f>HYPERLINK("https://rth.dk/resources/bsgatlas/details.php?id=BSGatlas-TSS-470","BSGatlas-TSS-470")</f>
        <v>BSGatlas-TSS-470</v>
      </c>
      <c r="B471" s="3">
        <v>621604</v>
      </c>
      <c r="C471" s="1" t="s">
        <v>13</v>
      </c>
      <c r="D471" s="1">
        <v>0</v>
      </c>
      <c r="E471" s="1" t="s">
        <v>14735</v>
      </c>
      <c r="F471" s="6" t="s">
        <v>14815</v>
      </c>
      <c r="G471" s="1" t="s">
        <v>14724</v>
      </c>
    </row>
    <row r="472" spans="1:7" ht="21" x14ac:dyDescent="0.25">
      <c r="A472" s="2" t="str">
        <f>HYPERLINK("https://rth.dk/resources/bsgatlas/details.php?id=BSGatlas-TSS-471","BSGatlas-TSS-471")</f>
        <v>BSGatlas-TSS-471</v>
      </c>
      <c r="B472" s="3">
        <v>621713</v>
      </c>
      <c r="C472" s="1" t="s">
        <v>9</v>
      </c>
      <c r="D472" s="1">
        <v>22</v>
      </c>
      <c r="E472" s="1" t="s">
        <v>14722</v>
      </c>
      <c r="F472" s="6"/>
      <c r="G472" s="1" t="s">
        <v>14733</v>
      </c>
    </row>
    <row r="473" spans="1:7" ht="21" x14ac:dyDescent="0.25">
      <c r="A473" s="2" t="str">
        <f>HYPERLINK("https://rth.dk/resources/bsgatlas/details.php?id=BSGatlas-TSS-472","BSGatlas-TSS-472")</f>
        <v>BSGatlas-TSS-472</v>
      </c>
      <c r="B473" s="3">
        <v>622988</v>
      </c>
      <c r="C473" s="1" t="s">
        <v>9</v>
      </c>
      <c r="D473" s="1">
        <v>22</v>
      </c>
      <c r="E473" s="1" t="s">
        <v>14722</v>
      </c>
      <c r="F473" s="6"/>
      <c r="G473" s="1" t="s">
        <v>14726</v>
      </c>
    </row>
    <row r="474" spans="1:7" ht="21" x14ac:dyDescent="0.25">
      <c r="A474" s="2" t="str">
        <f>HYPERLINK("https://rth.dk/resources/bsgatlas/details.php?id=BSGatlas-TSS-473","BSGatlas-TSS-473")</f>
        <v>BSGatlas-TSS-473</v>
      </c>
      <c r="B474" s="3">
        <v>623329</v>
      </c>
      <c r="C474" s="1" t="s">
        <v>13</v>
      </c>
      <c r="D474" s="1">
        <v>22</v>
      </c>
      <c r="E474" s="1" t="s">
        <v>14722</v>
      </c>
      <c r="F474" s="6"/>
      <c r="G474" s="1" t="s">
        <v>14726</v>
      </c>
    </row>
    <row r="475" spans="1:7" ht="21" x14ac:dyDescent="0.25">
      <c r="A475" s="2" t="str">
        <f>HYPERLINK("https://rth.dk/resources/bsgatlas/details.php?id=BSGatlas-TSS-474","BSGatlas-TSS-474")</f>
        <v>BSGatlas-TSS-474</v>
      </c>
      <c r="B475" s="3">
        <v>624406</v>
      </c>
      <c r="C475" s="1" t="s">
        <v>9</v>
      </c>
      <c r="D475" s="1">
        <v>22</v>
      </c>
      <c r="E475" s="1" t="s">
        <v>14734</v>
      </c>
      <c r="F475" s="6"/>
      <c r="G475" s="1" t="s">
        <v>14726</v>
      </c>
    </row>
    <row r="476" spans="1:7" ht="21" x14ac:dyDescent="0.25">
      <c r="A476" s="2" t="str">
        <f>HYPERLINK("https://rth.dk/resources/bsgatlas/details.php?id=BSGatlas-TSS-475","BSGatlas-TSS-475")</f>
        <v>BSGatlas-TSS-475</v>
      </c>
      <c r="B476" s="3">
        <v>624462</v>
      </c>
      <c r="C476" s="1" t="s">
        <v>9</v>
      </c>
      <c r="D476" s="1">
        <v>22</v>
      </c>
      <c r="E476" s="1" t="s">
        <v>14722</v>
      </c>
      <c r="F476" s="6"/>
      <c r="G476" s="1" t="s">
        <v>14726</v>
      </c>
    </row>
    <row r="477" spans="1:7" ht="21" x14ac:dyDescent="0.25">
      <c r="A477" s="2" t="str">
        <f>HYPERLINK("https://rth.dk/resources/bsgatlas/details.php?id=BSGatlas-TSS-476","BSGatlas-TSS-476")</f>
        <v>BSGatlas-TSS-476</v>
      </c>
      <c r="B477" s="3">
        <v>626470</v>
      </c>
      <c r="C477" s="1" t="s">
        <v>13</v>
      </c>
      <c r="D477" s="1">
        <v>22</v>
      </c>
      <c r="E477" s="1" t="s">
        <v>14722</v>
      </c>
      <c r="F477" s="6"/>
      <c r="G477" s="1" t="s">
        <v>14726</v>
      </c>
    </row>
    <row r="478" spans="1:7" ht="21" x14ac:dyDescent="0.25">
      <c r="A478" s="2" t="str">
        <f>HYPERLINK("https://rth.dk/resources/bsgatlas/details.php?id=BSGatlas-TSS-477","BSGatlas-TSS-477")</f>
        <v>BSGatlas-TSS-477</v>
      </c>
      <c r="B478" s="3">
        <v>626591</v>
      </c>
      <c r="C478" s="1" t="s">
        <v>9</v>
      </c>
      <c r="D478" s="1">
        <v>0</v>
      </c>
      <c r="E478" s="1" t="s">
        <v>14722</v>
      </c>
      <c r="F478" s="6" t="s">
        <v>14816</v>
      </c>
      <c r="G478" s="1" t="s">
        <v>14747</v>
      </c>
    </row>
    <row r="479" spans="1:7" ht="21" x14ac:dyDescent="0.25">
      <c r="A479" s="2" t="str">
        <f>HYPERLINK("https://rth.dk/resources/bsgatlas/details.php?id=BSGatlas-TSS-478","BSGatlas-TSS-478")</f>
        <v>BSGatlas-TSS-478</v>
      </c>
      <c r="B479" s="3">
        <v>630116</v>
      </c>
      <c r="C479" s="1" t="s">
        <v>9</v>
      </c>
      <c r="D479" s="1">
        <v>22</v>
      </c>
      <c r="E479" s="1" t="s">
        <v>14722</v>
      </c>
      <c r="F479" s="6"/>
      <c r="G479" s="1" t="s">
        <v>14726</v>
      </c>
    </row>
    <row r="480" spans="1:7" ht="21" x14ac:dyDescent="0.25">
      <c r="A480" s="2" t="str">
        <f>HYPERLINK("https://rth.dk/resources/bsgatlas/details.php?id=BSGatlas-TSS-479","BSGatlas-TSS-479")</f>
        <v>BSGatlas-TSS-479</v>
      </c>
      <c r="B480" s="3">
        <v>634817</v>
      </c>
      <c r="C480" s="1" t="s">
        <v>13</v>
      </c>
      <c r="D480" s="1">
        <v>22</v>
      </c>
      <c r="E480" s="1" t="s">
        <v>14732</v>
      </c>
      <c r="F480" s="6"/>
      <c r="G480" s="1" t="s">
        <v>14726</v>
      </c>
    </row>
    <row r="481" spans="1:7" ht="21" x14ac:dyDescent="0.25">
      <c r="A481" s="2" t="str">
        <f>HYPERLINK("https://rth.dk/resources/bsgatlas/details.php?id=BSGatlas-TSS-480","BSGatlas-TSS-480")</f>
        <v>BSGatlas-TSS-480</v>
      </c>
      <c r="B481" s="3">
        <v>634920</v>
      </c>
      <c r="C481" s="1" t="s">
        <v>9</v>
      </c>
      <c r="D481" s="1">
        <v>22</v>
      </c>
      <c r="E481" s="1" t="s">
        <v>14722</v>
      </c>
      <c r="F481" s="6"/>
      <c r="G481" s="1" t="s">
        <v>14726</v>
      </c>
    </row>
    <row r="482" spans="1:7" ht="21" x14ac:dyDescent="0.25">
      <c r="A482" s="2" t="str">
        <f>HYPERLINK("https://rth.dk/resources/bsgatlas/details.php?id=BSGatlas-TSS-481","BSGatlas-TSS-481")</f>
        <v>BSGatlas-TSS-481</v>
      </c>
      <c r="B482" s="3">
        <v>634978</v>
      </c>
      <c r="C482" s="1" t="s">
        <v>9</v>
      </c>
      <c r="D482" s="1">
        <v>22</v>
      </c>
      <c r="E482" s="1" t="s">
        <v>14720</v>
      </c>
      <c r="F482" s="6"/>
      <c r="G482" s="1" t="s">
        <v>14733</v>
      </c>
    </row>
    <row r="483" spans="1:7" ht="21" x14ac:dyDescent="0.25">
      <c r="A483" s="2" t="str">
        <f>HYPERLINK("https://rth.dk/resources/bsgatlas/details.php?id=BSGatlas-TSS-482","BSGatlas-TSS-482")</f>
        <v>BSGatlas-TSS-482</v>
      </c>
      <c r="B483" s="3">
        <v>635022</v>
      </c>
      <c r="C483" s="1" t="s">
        <v>9</v>
      </c>
      <c r="D483" s="1">
        <v>22</v>
      </c>
      <c r="E483" s="1" t="s">
        <v>14722</v>
      </c>
      <c r="F483" s="6"/>
      <c r="G483" s="1" t="s">
        <v>14733</v>
      </c>
    </row>
    <row r="484" spans="1:7" ht="21" x14ac:dyDescent="0.25">
      <c r="A484" s="2" t="str">
        <f>HYPERLINK("https://rth.dk/resources/bsgatlas/details.php?id=BSGatlas-TSS-483","BSGatlas-TSS-483")</f>
        <v>BSGatlas-TSS-483</v>
      </c>
      <c r="B484" s="3">
        <v>640606</v>
      </c>
      <c r="C484" s="1" t="s">
        <v>9</v>
      </c>
      <c r="D484" s="1">
        <v>22</v>
      </c>
      <c r="E484" s="1" t="s">
        <v>14722</v>
      </c>
      <c r="F484" s="6"/>
      <c r="G484" s="1" t="s">
        <v>14726</v>
      </c>
    </row>
    <row r="485" spans="1:7" ht="21" x14ac:dyDescent="0.25">
      <c r="A485" s="2" t="str">
        <f>HYPERLINK("https://rth.dk/resources/bsgatlas/details.php?id=BSGatlas-TSS-484","BSGatlas-TSS-484")</f>
        <v>BSGatlas-TSS-484</v>
      </c>
      <c r="B485" s="3">
        <v>646218</v>
      </c>
      <c r="C485" s="1" t="s">
        <v>9</v>
      </c>
      <c r="D485" s="1">
        <v>22</v>
      </c>
      <c r="E485" s="1" t="s">
        <v>14722</v>
      </c>
      <c r="F485" s="6"/>
      <c r="G485" s="1" t="s">
        <v>14733</v>
      </c>
    </row>
    <row r="486" spans="1:7" ht="21" x14ac:dyDescent="0.25">
      <c r="A486" s="2" t="str">
        <f>HYPERLINK("https://rth.dk/resources/bsgatlas/details.php?id=BSGatlas-TSS-485","BSGatlas-TSS-485")</f>
        <v>BSGatlas-TSS-485</v>
      </c>
      <c r="B486" s="3">
        <v>646411</v>
      </c>
      <c r="C486" s="1" t="s">
        <v>9</v>
      </c>
      <c r="D486" s="1">
        <v>22</v>
      </c>
      <c r="E486" s="1" t="s">
        <v>14722</v>
      </c>
      <c r="F486" s="6"/>
      <c r="G486" s="1" t="s">
        <v>14733</v>
      </c>
    </row>
    <row r="487" spans="1:7" ht="21" x14ac:dyDescent="0.25">
      <c r="A487" s="2" t="str">
        <f>HYPERLINK("https://rth.dk/resources/bsgatlas/details.php?id=BSGatlas-TSS-486","BSGatlas-TSS-486")</f>
        <v>BSGatlas-TSS-486</v>
      </c>
      <c r="B487" s="3">
        <v>646488</v>
      </c>
      <c r="C487" s="1" t="s">
        <v>13</v>
      </c>
      <c r="D487" s="1">
        <v>22</v>
      </c>
      <c r="E487" s="1" t="s">
        <v>14722</v>
      </c>
      <c r="F487" s="6"/>
      <c r="G487" s="1" t="s">
        <v>14726</v>
      </c>
    </row>
    <row r="488" spans="1:7" ht="21" x14ac:dyDescent="0.25">
      <c r="A488" s="2" t="str">
        <f>HYPERLINK("https://rth.dk/resources/bsgatlas/details.php?id=BSGatlas-TSS-487","BSGatlas-TSS-487")</f>
        <v>BSGatlas-TSS-487</v>
      </c>
      <c r="B488" s="3">
        <v>647628</v>
      </c>
      <c r="C488" s="1" t="s">
        <v>9</v>
      </c>
      <c r="D488" s="1">
        <v>22</v>
      </c>
      <c r="E488" s="1" t="s">
        <v>14720</v>
      </c>
      <c r="F488" s="6"/>
      <c r="G488" s="1" t="s">
        <v>14726</v>
      </c>
    </row>
    <row r="489" spans="1:7" ht="21" x14ac:dyDescent="0.25">
      <c r="A489" s="2" t="str">
        <f>HYPERLINK("https://rth.dk/resources/bsgatlas/details.php?id=BSGatlas-TSS-488","BSGatlas-TSS-488")</f>
        <v>BSGatlas-TSS-488</v>
      </c>
      <c r="B489" s="3">
        <v>649344</v>
      </c>
      <c r="C489" s="1" t="s">
        <v>9</v>
      </c>
      <c r="D489" s="1">
        <v>22</v>
      </c>
      <c r="E489" s="1" t="s">
        <v>14727</v>
      </c>
      <c r="F489" s="6"/>
      <c r="G489" s="1" t="s">
        <v>14726</v>
      </c>
    </row>
    <row r="490" spans="1:7" ht="21" x14ac:dyDescent="0.25">
      <c r="A490" s="2" t="str">
        <f>HYPERLINK("https://rth.dk/resources/bsgatlas/details.php?id=BSGatlas-TSS-489","BSGatlas-TSS-489")</f>
        <v>BSGatlas-TSS-489</v>
      </c>
      <c r="B490" s="3">
        <v>649696</v>
      </c>
      <c r="C490" s="1" t="s">
        <v>9</v>
      </c>
      <c r="D490" s="1">
        <v>22</v>
      </c>
      <c r="E490" s="1" t="s">
        <v>14720</v>
      </c>
      <c r="F490" s="6"/>
      <c r="G490" s="1" t="s">
        <v>14733</v>
      </c>
    </row>
    <row r="491" spans="1:7" ht="21" x14ac:dyDescent="0.25">
      <c r="A491" s="2" t="str">
        <f>HYPERLINK("https://rth.dk/resources/bsgatlas/details.php?id=BSGatlas-TSS-490","BSGatlas-TSS-490")</f>
        <v>BSGatlas-TSS-490</v>
      </c>
      <c r="B491" s="3">
        <v>649721</v>
      </c>
      <c r="C491" s="1" t="s">
        <v>13</v>
      </c>
      <c r="D491" s="1">
        <v>22</v>
      </c>
      <c r="E491" s="1" t="s">
        <v>14722</v>
      </c>
      <c r="F491" s="6"/>
      <c r="G491" s="1" t="s">
        <v>14726</v>
      </c>
    </row>
    <row r="492" spans="1:7" ht="21" x14ac:dyDescent="0.25">
      <c r="A492" s="2" t="str">
        <f>HYPERLINK("https://rth.dk/resources/bsgatlas/details.php?id=BSGatlas-TSS-491","BSGatlas-TSS-491")</f>
        <v>BSGatlas-TSS-491</v>
      </c>
      <c r="B492" s="3">
        <v>649837</v>
      </c>
      <c r="C492" s="1" t="s">
        <v>9</v>
      </c>
      <c r="D492" s="1">
        <v>0</v>
      </c>
      <c r="E492" s="1" t="s">
        <v>14722</v>
      </c>
      <c r="F492" s="6" t="s">
        <v>14817</v>
      </c>
      <c r="G492" s="1" t="s">
        <v>14724</v>
      </c>
    </row>
    <row r="493" spans="1:7" ht="21" x14ac:dyDescent="0.25">
      <c r="A493" s="2" t="str">
        <f>HYPERLINK("https://rth.dk/resources/bsgatlas/details.php?id=BSGatlas-TSS-492","BSGatlas-TSS-492")</f>
        <v>BSGatlas-TSS-492</v>
      </c>
      <c r="B493" s="3">
        <v>655138</v>
      </c>
      <c r="C493" s="1" t="s">
        <v>9</v>
      </c>
      <c r="D493" s="1">
        <v>22</v>
      </c>
      <c r="E493" s="1" t="s">
        <v>14722</v>
      </c>
      <c r="F493" s="6"/>
      <c r="G493" s="1" t="s">
        <v>14733</v>
      </c>
    </row>
    <row r="494" spans="1:7" ht="21" x14ac:dyDescent="0.25">
      <c r="A494" s="2" t="str">
        <f>HYPERLINK("https://rth.dk/resources/bsgatlas/details.php?id=BSGatlas-TSS-493","BSGatlas-TSS-493")</f>
        <v>BSGatlas-TSS-493</v>
      </c>
      <c r="B494" s="3">
        <v>658492</v>
      </c>
      <c r="C494" s="1" t="s">
        <v>9</v>
      </c>
      <c r="D494" s="1">
        <v>22</v>
      </c>
      <c r="E494" s="1" t="s">
        <v>14722</v>
      </c>
      <c r="F494" s="6"/>
      <c r="G494" s="1" t="s">
        <v>14726</v>
      </c>
    </row>
    <row r="495" spans="1:7" ht="21" x14ac:dyDescent="0.25">
      <c r="A495" s="2" t="str">
        <f>HYPERLINK("https://rth.dk/resources/bsgatlas/details.php?id=BSGatlas-TSS-494","BSGatlas-TSS-494")</f>
        <v>BSGatlas-TSS-494</v>
      </c>
      <c r="B495" s="3">
        <v>659341</v>
      </c>
      <c r="C495" s="1" t="s">
        <v>13</v>
      </c>
      <c r="D495" s="1">
        <v>22</v>
      </c>
      <c r="E495" s="1" t="s">
        <v>14722</v>
      </c>
      <c r="F495" s="6"/>
      <c r="G495" s="1" t="s">
        <v>14733</v>
      </c>
    </row>
    <row r="496" spans="1:7" ht="21" x14ac:dyDescent="0.25">
      <c r="A496" s="2" t="str">
        <f>HYPERLINK("https://rth.dk/resources/bsgatlas/details.php?id=BSGatlas-TSS-495","BSGatlas-TSS-495")</f>
        <v>BSGatlas-TSS-495</v>
      </c>
      <c r="B496" s="3">
        <v>659558</v>
      </c>
      <c r="C496" s="1" t="s">
        <v>13</v>
      </c>
      <c r="D496" s="1">
        <v>22</v>
      </c>
      <c r="E496" s="1" t="s">
        <v>14722</v>
      </c>
      <c r="F496" s="6"/>
      <c r="G496" s="1" t="s">
        <v>14733</v>
      </c>
    </row>
    <row r="497" spans="1:7" ht="21" x14ac:dyDescent="0.25">
      <c r="A497" s="2" t="str">
        <f>HYPERLINK("https://rth.dk/resources/bsgatlas/details.php?id=BSGatlas-TSS-496","BSGatlas-TSS-496")</f>
        <v>BSGatlas-TSS-496</v>
      </c>
      <c r="B497" s="3">
        <v>659560</v>
      </c>
      <c r="C497" s="1" t="s">
        <v>9</v>
      </c>
      <c r="D497" s="1">
        <v>22</v>
      </c>
      <c r="E497" s="1" t="s">
        <v>14722</v>
      </c>
      <c r="F497" s="6"/>
      <c r="G497" s="1" t="s">
        <v>14726</v>
      </c>
    </row>
    <row r="498" spans="1:7" ht="21" x14ac:dyDescent="0.25">
      <c r="A498" s="2" t="str">
        <f>HYPERLINK("https://rth.dk/resources/bsgatlas/details.php?id=BSGatlas-TSS-497","BSGatlas-TSS-497")</f>
        <v>BSGatlas-TSS-497</v>
      </c>
      <c r="B498" s="3">
        <v>667304</v>
      </c>
      <c r="C498" s="1" t="s">
        <v>13</v>
      </c>
      <c r="D498" s="1">
        <v>22</v>
      </c>
      <c r="E498" s="1" t="s">
        <v>14722</v>
      </c>
      <c r="F498" s="6"/>
      <c r="G498" s="1" t="s">
        <v>14726</v>
      </c>
    </row>
    <row r="499" spans="1:7" ht="21" x14ac:dyDescent="0.25">
      <c r="A499" s="2" t="str">
        <f>HYPERLINK("https://rth.dk/resources/bsgatlas/details.php?id=BSGatlas-TSS-498","BSGatlas-TSS-498")</f>
        <v>BSGatlas-TSS-498</v>
      </c>
      <c r="B499" s="3">
        <v>667402</v>
      </c>
      <c r="C499" s="1" t="s">
        <v>9</v>
      </c>
      <c r="D499" s="1">
        <v>0</v>
      </c>
      <c r="E499" s="1" t="s">
        <v>14722</v>
      </c>
      <c r="F499" s="6" t="s">
        <v>14818</v>
      </c>
      <c r="G499" s="1" t="s">
        <v>14724</v>
      </c>
    </row>
    <row r="500" spans="1:7" ht="21" x14ac:dyDescent="0.25">
      <c r="A500" s="2" t="str">
        <f>HYPERLINK("https://rth.dk/resources/bsgatlas/details.php?id=BSGatlas-TSS-499","BSGatlas-TSS-499")</f>
        <v>BSGatlas-TSS-499</v>
      </c>
      <c r="B500" s="3">
        <v>670045</v>
      </c>
      <c r="C500" s="1" t="s">
        <v>9</v>
      </c>
      <c r="D500" s="1">
        <v>22</v>
      </c>
      <c r="E500" s="1" t="s">
        <v>14722</v>
      </c>
      <c r="F500" s="6"/>
      <c r="G500" s="1" t="s">
        <v>14726</v>
      </c>
    </row>
    <row r="501" spans="1:7" ht="21" x14ac:dyDescent="0.25">
      <c r="A501" s="2" t="str">
        <f>HYPERLINK("https://rth.dk/resources/bsgatlas/details.php?id=BSGatlas-TSS-500","BSGatlas-TSS-500")</f>
        <v>BSGatlas-TSS-500</v>
      </c>
      <c r="B501" s="3">
        <v>671209</v>
      </c>
      <c r="C501" s="1" t="s">
        <v>9</v>
      </c>
      <c r="D501" s="1">
        <v>0</v>
      </c>
      <c r="E501" s="1" t="s">
        <v>14770</v>
      </c>
      <c r="F501" s="6" t="s">
        <v>14819</v>
      </c>
      <c r="G501" s="1" t="s">
        <v>14729</v>
      </c>
    </row>
    <row r="502" spans="1:7" ht="21" x14ac:dyDescent="0.25">
      <c r="A502" s="2" t="str">
        <f>HYPERLINK("https://rth.dk/resources/bsgatlas/details.php?id=BSGatlas-TSS-501","BSGatlas-TSS-501")</f>
        <v>BSGatlas-TSS-501</v>
      </c>
      <c r="B502" s="3">
        <v>675907</v>
      </c>
      <c r="C502" s="1" t="s">
        <v>13</v>
      </c>
      <c r="D502" s="1">
        <v>22</v>
      </c>
      <c r="E502" s="1" t="s">
        <v>14734</v>
      </c>
      <c r="F502" s="6"/>
      <c r="G502" s="1" t="s">
        <v>14726</v>
      </c>
    </row>
    <row r="503" spans="1:7" ht="21" x14ac:dyDescent="0.25">
      <c r="A503" s="2" t="str">
        <f>HYPERLINK("https://rth.dk/resources/bsgatlas/details.php?id=BSGatlas-TSS-502","BSGatlas-TSS-502")</f>
        <v>BSGatlas-TSS-502</v>
      </c>
      <c r="B503" s="3">
        <v>676154</v>
      </c>
      <c r="C503" s="1" t="s">
        <v>9</v>
      </c>
      <c r="D503" s="1">
        <v>0</v>
      </c>
      <c r="E503" s="1" t="s">
        <v>14722</v>
      </c>
      <c r="F503" s="6" t="s">
        <v>14820</v>
      </c>
      <c r="G503" s="1" t="s">
        <v>14724</v>
      </c>
    </row>
    <row r="504" spans="1:7" ht="21" x14ac:dyDescent="0.25">
      <c r="A504" s="2" t="str">
        <f>HYPERLINK("https://rth.dk/resources/bsgatlas/details.php?id=BSGatlas-TSS-503","BSGatlas-TSS-503")</f>
        <v>BSGatlas-TSS-503</v>
      </c>
      <c r="B504" s="3">
        <v>678515</v>
      </c>
      <c r="C504" s="1" t="s">
        <v>9</v>
      </c>
      <c r="D504" s="1">
        <v>22</v>
      </c>
      <c r="E504" s="1" t="s">
        <v>14725</v>
      </c>
      <c r="F504" s="6"/>
      <c r="G504" s="1" t="s">
        <v>14733</v>
      </c>
    </row>
    <row r="505" spans="1:7" ht="21" x14ac:dyDescent="0.25">
      <c r="A505" s="2" t="str">
        <f>HYPERLINK("https://rth.dk/resources/bsgatlas/details.php?id=BSGatlas-TSS-504","BSGatlas-TSS-504")</f>
        <v>BSGatlas-TSS-504</v>
      </c>
      <c r="B505" s="3">
        <v>679052</v>
      </c>
      <c r="C505" s="1" t="s">
        <v>9</v>
      </c>
      <c r="D505" s="1">
        <v>22</v>
      </c>
      <c r="E505" s="1" t="s">
        <v>14722</v>
      </c>
      <c r="F505" s="6"/>
      <c r="G505" s="1" t="s">
        <v>14733</v>
      </c>
    </row>
    <row r="506" spans="1:7" ht="21" x14ac:dyDescent="0.25">
      <c r="A506" s="2" t="str">
        <f>HYPERLINK("https://rth.dk/resources/bsgatlas/details.php?id=BSGatlas-TSS-505","BSGatlas-TSS-505")</f>
        <v>BSGatlas-TSS-505</v>
      </c>
      <c r="B506" s="3">
        <v>679246</v>
      </c>
      <c r="C506" s="1" t="s">
        <v>13</v>
      </c>
      <c r="D506" s="1">
        <v>22</v>
      </c>
      <c r="E506" s="1" t="s">
        <v>14722</v>
      </c>
      <c r="F506" s="6"/>
      <c r="G506" s="1" t="s">
        <v>14733</v>
      </c>
    </row>
    <row r="507" spans="1:7" ht="21" x14ac:dyDescent="0.25">
      <c r="A507" s="2" t="str">
        <f>HYPERLINK("https://rth.dk/resources/bsgatlas/details.php?id=BSGatlas-TSS-506","BSGatlas-TSS-506")</f>
        <v>BSGatlas-TSS-506</v>
      </c>
      <c r="B507" s="3">
        <v>679351</v>
      </c>
      <c r="C507" s="1" t="s">
        <v>9</v>
      </c>
      <c r="D507" s="1">
        <v>22</v>
      </c>
      <c r="E507" s="1" t="s">
        <v>14722</v>
      </c>
      <c r="F507" s="6"/>
      <c r="G507" s="1" t="s">
        <v>14726</v>
      </c>
    </row>
    <row r="508" spans="1:7" ht="21" x14ac:dyDescent="0.25">
      <c r="A508" s="2" t="str">
        <f>HYPERLINK("https://rth.dk/resources/bsgatlas/details.php?id=BSGatlas-TSS-507","BSGatlas-TSS-507")</f>
        <v>BSGatlas-TSS-507</v>
      </c>
      <c r="B508" s="3">
        <v>681508</v>
      </c>
      <c r="C508" s="1" t="s">
        <v>13</v>
      </c>
      <c r="D508" s="1">
        <v>22</v>
      </c>
      <c r="E508" s="1" t="s">
        <v>14722</v>
      </c>
      <c r="F508" s="6"/>
      <c r="G508" s="1" t="s">
        <v>14726</v>
      </c>
    </row>
    <row r="509" spans="1:7" ht="21" x14ac:dyDescent="0.25">
      <c r="A509" s="2" t="str">
        <f>HYPERLINK("https://rth.dk/resources/bsgatlas/details.php?id=BSGatlas-TSS-508","BSGatlas-TSS-508")</f>
        <v>BSGatlas-TSS-508</v>
      </c>
      <c r="B509" s="3">
        <v>682211</v>
      </c>
      <c r="C509" s="1" t="s">
        <v>9</v>
      </c>
      <c r="D509" s="1">
        <v>22</v>
      </c>
      <c r="E509" s="1" t="s">
        <v>14725</v>
      </c>
      <c r="F509" s="6"/>
      <c r="G509" s="1" t="s">
        <v>14726</v>
      </c>
    </row>
    <row r="510" spans="1:7" ht="21" x14ac:dyDescent="0.25">
      <c r="A510" s="2" t="str">
        <f>HYPERLINK("https://rth.dk/resources/bsgatlas/details.php?id=BSGatlas-TSS-509","BSGatlas-TSS-509")</f>
        <v>BSGatlas-TSS-509</v>
      </c>
      <c r="B510" s="3">
        <v>683237</v>
      </c>
      <c r="C510" s="1" t="s">
        <v>13</v>
      </c>
      <c r="D510" s="1">
        <v>22</v>
      </c>
      <c r="E510" s="1" t="s">
        <v>14727</v>
      </c>
      <c r="F510" s="6"/>
      <c r="G510" s="1" t="s">
        <v>14726</v>
      </c>
    </row>
    <row r="511" spans="1:7" ht="21" x14ac:dyDescent="0.25">
      <c r="A511" s="2" t="str">
        <f>HYPERLINK("https://rth.dk/resources/bsgatlas/details.php?id=BSGatlas-TSS-510","BSGatlas-TSS-510")</f>
        <v>BSGatlas-TSS-510</v>
      </c>
      <c r="B511" s="3">
        <v>683390</v>
      </c>
      <c r="C511" s="1" t="s">
        <v>13</v>
      </c>
      <c r="D511" s="1">
        <v>0</v>
      </c>
      <c r="E511" s="1" t="s">
        <v>14770</v>
      </c>
      <c r="F511" s="6" t="s">
        <v>14771</v>
      </c>
      <c r="G511" s="1" t="s">
        <v>14729</v>
      </c>
    </row>
    <row r="512" spans="1:7" ht="21" x14ac:dyDescent="0.25">
      <c r="A512" s="2" t="str">
        <f>HYPERLINK("https://rth.dk/resources/bsgatlas/details.php?id=BSGatlas-TSS-511","BSGatlas-TSS-511")</f>
        <v>BSGatlas-TSS-511</v>
      </c>
      <c r="B512" s="3">
        <v>685038</v>
      </c>
      <c r="C512" s="1" t="s">
        <v>13</v>
      </c>
      <c r="D512" s="1">
        <v>0</v>
      </c>
      <c r="E512" s="1" t="s">
        <v>14725</v>
      </c>
      <c r="F512" s="6" t="s">
        <v>14821</v>
      </c>
      <c r="G512" s="1" t="s">
        <v>14729</v>
      </c>
    </row>
    <row r="513" spans="1:7" ht="21" x14ac:dyDescent="0.25">
      <c r="A513" s="2" t="str">
        <f>HYPERLINK("https://rth.dk/resources/bsgatlas/details.php?id=BSGatlas-TSS-512","BSGatlas-TSS-512")</f>
        <v>BSGatlas-TSS-512</v>
      </c>
      <c r="B513" s="3">
        <v>686596</v>
      </c>
      <c r="C513" s="1" t="s">
        <v>13</v>
      </c>
      <c r="D513" s="1">
        <v>0</v>
      </c>
      <c r="E513" s="1" t="s">
        <v>14722</v>
      </c>
      <c r="F513" s="6" t="s">
        <v>14822</v>
      </c>
      <c r="G513" s="1" t="s">
        <v>4382</v>
      </c>
    </row>
    <row r="514" spans="1:7" ht="21" x14ac:dyDescent="0.25">
      <c r="A514" s="2" t="str">
        <f>HYPERLINK("https://rth.dk/resources/bsgatlas/details.php?id=BSGatlas-TSS-513","BSGatlas-TSS-513")</f>
        <v>BSGatlas-TSS-513</v>
      </c>
      <c r="B514" s="3">
        <v>686608</v>
      </c>
      <c r="C514" s="1" t="s">
        <v>13</v>
      </c>
      <c r="D514" s="1">
        <v>0</v>
      </c>
      <c r="E514" s="1" t="s">
        <v>14722</v>
      </c>
      <c r="F514" s="6" t="s">
        <v>14822</v>
      </c>
      <c r="G514" s="1" t="s">
        <v>14729</v>
      </c>
    </row>
    <row r="515" spans="1:7" ht="21" x14ac:dyDescent="0.25">
      <c r="A515" s="2" t="str">
        <f>HYPERLINK("https://rth.dk/resources/bsgatlas/details.php?id=BSGatlas-TSS-514","BSGatlas-TSS-514")</f>
        <v>BSGatlas-TSS-514</v>
      </c>
      <c r="B515" s="3">
        <v>686919</v>
      </c>
      <c r="C515" s="1" t="s">
        <v>9</v>
      </c>
      <c r="D515" s="1">
        <v>22</v>
      </c>
      <c r="E515" s="1" t="s">
        <v>14722</v>
      </c>
      <c r="F515" s="6"/>
      <c r="G515" s="1" t="s">
        <v>14726</v>
      </c>
    </row>
    <row r="516" spans="1:7" ht="21" x14ac:dyDescent="0.25">
      <c r="A516" s="2" t="str">
        <f>HYPERLINK("https://rth.dk/resources/bsgatlas/details.php?id=BSGatlas-TSS-515","BSGatlas-TSS-515")</f>
        <v>BSGatlas-TSS-515</v>
      </c>
      <c r="B516" s="3">
        <v>688138</v>
      </c>
      <c r="C516" s="1" t="s">
        <v>9</v>
      </c>
      <c r="D516" s="1">
        <v>22</v>
      </c>
      <c r="E516" s="1" t="s">
        <v>14722</v>
      </c>
      <c r="F516" s="6"/>
      <c r="G516" s="1" t="s">
        <v>14726</v>
      </c>
    </row>
    <row r="517" spans="1:7" ht="21" x14ac:dyDescent="0.25">
      <c r="A517" s="2" t="str">
        <f>HYPERLINK("https://rth.dk/resources/bsgatlas/details.php?id=BSGatlas-TSS-516","BSGatlas-TSS-516")</f>
        <v>BSGatlas-TSS-516</v>
      </c>
      <c r="B517" s="3">
        <v>692609</v>
      </c>
      <c r="C517" s="1" t="s">
        <v>9</v>
      </c>
      <c r="D517" s="1">
        <v>0</v>
      </c>
      <c r="E517" s="1" t="s">
        <v>14722</v>
      </c>
      <c r="F517" s="6" t="s">
        <v>14823</v>
      </c>
      <c r="G517" s="1" t="s">
        <v>14724</v>
      </c>
    </row>
    <row r="518" spans="1:7" ht="21" x14ac:dyDescent="0.25">
      <c r="A518" s="2" t="str">
        <f>HYPERLINK("https://rth.dk/resources/bsgatlas/details.php?id=BSGatlas-TSS-517","BSGatlas-TSS-517")</f>
        <v>BSGatlas-TSS-517</v>
      </c>
      <c r="B518" s="3">
        <v>694418</v>
      </c>
      <c r="C518" s="1" t="s">
        <v>9</v>
      </c>
      <c r="D518" s="1">
        <v>22</v>
      </c>
      <c r="E518" s="1" t="s">
        <v>14722</v>
      </c>
      <c r="F518" s="6"/>
      <c r="G518" s="1" t="s">
        <v>14726</v>
      </c>
    </row>
    <row r="519" spans="1:7" ht="21" x14ac:dyDescent="0.25">
      <c r="A519" s="2" t="str">
        <f>HYPERLINK("https://rth.dk/resources/bsgatlas/details.php?id=BSGatlas-TSS-518","BSGatlas-TSS-518")</f>
        <v>BSGatlas-TSS-518</v>
      </c>
      <c r="B519" s="3">
        <v>696054</v>
      </c>
      <c r="C519" s="1" t="s">
        <v>9</v>
      </c>
      <c r="D519" s="1">
        <v>22</v>
      </c>
      <c r="E519" s="1" t="s">
        <v>14739</v>
      </c>
      <c r="F519" s="6"/>
      <c r="G519" s="1" t="s">
        <v>14733</v>
      </c>
    </row>
    <row r="520" spans="1:7" ht="21" x14ac:dyDescent="0.25">
      <c r="A520" s="2" t="str">
        <f>HYPERLINK("https://rth.dk/resources/bsgatlas/details.php?id=BSGatlas-TSS-519","BSGatlas-TSS-519")</f>
        <v>BSGatlas-TSS-519</v>
      </c>
      <c r="B520" s="3">
        <v>697093</v>
      </c>
      <c r="C520" s="1" t="s">
        <v>9</v>
      </c>
      <c r="D520" s="1">
        <v>22</v>
      </c>
      <c r="E520" s="1" t="s">
        <v>14722</v>
      </c>
      <c r="F520" s="6"/>
      <c r="G520" s="1" t="s">
        <v>14733</v>
      </c>
    </row>
    <row r="521" spans="1:7" ht="21" x14ac:dyDescent="0.25">
      <c r="A521" s="2" t="str">
        <f>HYPERLINK("https://rth.dk/resources/bsgatlas/details.php?id=BSGatlas-TSS-520","BSGatlas-TSS-520")</f>
        <v>BSGatlas-TSS-520</v>
      </c>
      <c r="B521" s="3">
        <v>697399</v>
      </c>
      <c r="C521" s="1" t="s">
        <v>9</v>
      </c>
      <c r="D521" s="1">
        <v>22</v>
      </c>
      <c r="E521" s="1" t="s">
        <v>14734</v>
      </c>
      <c r="F521" s="6"/>
      <c r="G521" s="1" t="s">
        <v>14733</v>
      </c>
    </row>
    <row r="522" spans="1:7" ht="21" x14ac:dyDescent="0.25">
      <c r="A522" s="2" t="str">
        <f>HYPERLINK("https://rth.dk/resources/bsgatlas/details.php?id=BSGatlas-TSS-521","BSGatlas-TSS-521")</f>
        <v>BSGatlas-TSS-521</v>
      </c>
      <c r="B522" s="3">
        <v>697487</v>
      </c>
      <c r="C522" s="1" t="s">
        <v>9</v>
      </c>
      <c r="D522" s="1">
        <v>22</v>
      </c>
      <c r="E522" s="1" t="s">
        <v>14722</v>
      </c>
      <c r="F522" s="6"/>
      <c r="G522" s="1" t="s">
        <v>14726</v>
      </c>
    </row>
    <row r="523" spans="1:7" ht="21" x14ac:dyDescent="0.25">
      <c r="A523" s="2" t="str">
        <f>HYPERLINK("https://rth.dk/resources/bsgatlas/details.php?id=BSGatlas-TSS-522","BSGatlas-TSS-522")</f>
        <v>BSGatlas-TSS-522</v>
      </c>
      <c r="B523" s="3">
        <v>698370</v>
      </c>
      <c r="C523" s="1" t="s">
        <v>9</v>
      </c>
      <c r="D523" s="1">
        <v>0</v>
      </c>
      <c r="E523" s="1" t="s">
        <v>14722</v>
      </c>
      <c r="F523" s="6" t="s">
        <v>14824</v>
      </c>
      <c r="G523" s="1" t="s">
        <v>14729</v>
      </c>
    </row>
    <row r="524" spans="1:7" ht="21" x14ac:dyDescent="0.25">
      <c r="A524" s="2" t="str">
        <f>HYPERLINK("https://rth.dk/resources/bsgatlas/details.php?id=BSGatlas-TSS-523","BSGatlas-TSS-523")</f>
        <v>BSGatlas-TSS-523</v>
      </c>
      <c r="B524" s="3">
        <v>700558</v>
      </c>
      <c r="C524" s="1" t="s">
        <v>13</v>
      </c>
      <c r="D524" s="1">
        <v>22</v>
      </c>
      <c r="E524" s="1" t="s">
        <v>14722</v>
      </c>
      <c r="F524" s="6"/>
      <c r="G524" s="1" t="s">
        <v>14726</v>
      </c>
    </row>
    <row r="525" spans="1:7" ht="21" x14ac:dyDescent="0.25">
      <c r="A525" s="2" t="str">
        <f>HYPERLINK("https://rth.dk/resources/bsgatlas/details.php?id=BSGatlas-TSS-524","BSGatlas-TSS-524")</f>
        <v>BSGatlas-TSS-524</v>
      </c>
      <c r="B525" s="3">
        <v>708029</v>
      </c>
      <c r="C525" s="1" t="s">
        <v>9</v>
      </c>
      <c r="D525" s="1">
        <v>22</v>
      </c>
      <c r="E525" s="1" t="s">
        <v>14825</v>
      </c>
      <c r="F525" s="6"/>
      <c r="G525" s="1" t="s">
        <v>14726</v>
      </c>
    </row>
    <row r="526" spans="1:7" ht="21" x14ac:dyDescent="0.25">
      <c r="A526" s="2" t="str">
        <f>HYPERLINK("https://rth.dk/resources/bsgatlas/details.php?id=BSGatlas-TSS-525","BSGatlas-TSS-525")</f>
        <v>BSGatlas-TSS-525</v>
      </c>
      <c r="B526" s="3">
        <v>708303</v>
      </c>
      <c r="C526" s="1" t="s">
        <v>13</v>
      </c>
      <c r="D526" s="1">
        <v>22</v>
      </c>
      <c r="E526" s="1" t="s">
        <v>14727</v>
      </c>
      <c r="F526" s="6"/>
      <c r="G526" s="1" t="s">
        <v>14726</v>
      </c>
    </row>
    <row r="527" spans="1:7" ht="21" x14ac:dyDescent="0.25">
      <c r="A527" s="2" t="str">
        <f>HYPERLINK("https://rth.dk/resources/bsgatlas/details.php?id=BSGatlas-TSS-526","BSGatlas-TSS-526")</f>
        <v>BSGatlas-TSS-526</v>
      </c>
      <c r="B527" s="3">
        <v>711954</v>
      </c>
      <c r="C527" s="1" t="s">
        <v>13</v>
      </c>
      <c r="D527" s="1">
        <v>22</v>
      </c>
      <c r="E527" s="1" t="s">
        <v>14722</v>
      </c>
      <c r="F527" s="6"/>
      <c r="G527" s="1" t="s">
        <v>14726</v>
      </c>
    </row>
    <row r="528" spans="1:7" ht="21" x14ac:dyDescent="0.25">
      <c r="A528" s="2" t="str">
        <f>HYPERLINK("https://rth.dk/resources/bsgatlas/details.php?id=BSGatlas-TSS-527","BSGatlas-TSS-527")</f>
        <v>BSGatlas-TSS-527</v>
      </c>
      <c r="B528" s="3">
        <v>713619</v>
      </c>
      <c r="C528" s="1" t="s">
        <v>9</v>
      </c>
      <c r="D528" s="1">
        <v>22</v>
      </c>
      <c r="E528" s="1" t="s">
        <v>14722</v>
      </c>
      <c r="F528" s="6"/>
      <c r="G528" s="1" t="s">
        <v>14726</v>
      </c>
    </row>
    <row r="529" spans="1:7" ht="21" x14ac:dyDescent="0.25">
      <c r="A529" s="2" t="str">
        <f>HYPERLINK("https://rth.dk/resources/bsgatlas/details.php?id=BSGatlas-TSS-528","BSGatlas-TSS-528")</f>
        <v>BSGatlas-TSS-528</v>
      </c>
      <c r="B529" s="3">
        <v>713956</v>
      </c>
      <c r="C529" s="1" t="s">
        <v>13</v>
      </c>
      <c r="D529" s="1">
        <v>22</v>
      </c>
      <c r="E529" s="1" t="s">
        <v>14732</v>
      </c>
      <c r="F529" s="6"/>
      <c r="G529" s="1" t="s">
        <v>14733</v>
      </c>
    </row>
    <row r="530" spans="1:7" ht="21" x14ac:dyDescent="0.25">
      <c r="A530" s="2" t="str">
        <f>HYPERLINK("https://rth.dk/resources/bsgatlas/details.php?id=BSGatlas-TSS-529","BSGatlas-TSS-529")</f>
        <v>BSGatlas-TSS-529</v>
      </c>
      <c r="B530" s="3">
        <v>715398</v>
      </c>
      <c r="C530" s="1" t="s">
        <v>9</v>
      </c>
      <c r="D530" s="1">
        <v>22</v>
      </c>
      <c r="E530" s="1" t="s">
        <v>14722</v>
      </c>
      <c r="F530" s="6"/>
      <c r="G530" s="1" t="s">
        <v>14726</v>
      </c>
    </row>
    <row r="531" spans="1:7" ht="21" x14ac:dyDescent="0.25">
      <c r="A531" s="2" t="str">
        <f>HYPERLINK("https://rth.dk/resources/bsgatlas/details.php?id=BSGatlas-TSS-530","BSGatlas-TSS-530")</f>
        <v>BSGatlas-TSS-530</v>
      </c>
      <c r="B531" s="3">
        <v>718390</v>
      </c>
      <c r="C531" s="1" t="s">
        <v>13</v>
      </c>
      <c r="D531" s="1">
        <v>22</v>
      </c>
      <c r="E531" s="1" t="s">
        <v>14734</v>
      </c>
      <c r="F531" s="6"/>
      <c r="G531" s="1" t="s">
        <v>14726</v>
      </c>
    </row>
    <row r="532" spans="1:7" ht="21" x14ac:dyDescent="0.25">
      <c r="A532" s="2" t="str">
        <f>HYPERLINK("https://rth.dk/resources/bsgatlas/details.php?id=BSGatlas-TSS-531","BSGatlas-TSS-531")</f>
        <v>BSGatlas-TSS-531</v>
      </c>
      <c r="B532" s="3">
        <v>718571</v>
      </c>
      <c r="C532" s="1" t="s">
        <v>9</v>
      </c>
      <c r="D532" s="1">
        <v>22</v>
      </c>
      <c r="E532" s="1" t="s">
        <v>14722</v>
      </c>
      <c r="F532" s="6"/>
      <c r="G532" s="1" t="s">
        <v>14726</v>
      </c>
    </row>
    <row r="533" spans="1:7" ht="21" x14ac:dyDescent="0.25">
      <c r="A533" s="2" t="str">
        <f>HYPERLINK("https://rth.dk/resources/bsgatlas/details.php?id=BSGatlas-TSS-532","BSGatlas-TSS-532")</f>
        <v>BSGatlas-TSS-532</v>
      </c>
      <c r="B533" s="3">
        <v>723834</v>
      </c>
      <c r="C533" s="1" t="s">
        <v>13</v>
      </c>
      <c r="D533" s="1">
        <v>22</v>
      </c>
      <c r="E533" s="1" t="s">
        <v>14720</v>
      </c>
      <c r="F533" s="6"/>
      <c r="G533" s="1" t="s">
        <v>14726</v>
      </c>
    </row>
    <row r="534" spans="1:7" ht="21" x14ac:dyDescent="0.25">
      <c r="A534" s="2" t="str">
        <f>HYPERLINK("https://rth.dk/resources/bsgatlas/details.php?id=BSGatlas-TSS-533","BSGatlas-TSS-533")</f>
        <v>BSGatlas-TSS-533</v>
      </c>
      <c r="B534" s="3">
        <v>724870</v>
      </c>
      <c r="C534" s="1" t="s">
        <v>9</v>
      </c>
      <c r="D534" s="1">
        <v>22</v>
      </c>
      <c r="E534" s="1" t="s">
        <v>14722</v>
      </c>
      <c r="F534" s="6"/>
      <c r="G534" s="1" t="s">
        <v>14733</v>
      </c>
    </row>
    <row r="535" spans="1:7" ht="21" x14ac:dyDescent="0.25">
      <c r="A535" s="2" t="str">
        <f>HYPERLINK("https://rth.dk/resources/bsgatlas/details.php?id=BSGatlas-TSS-534","BSGatlas-TSS-534")</f>
        <v>BSGatlas-TSS-534</v>
      </c>
      <c r="B535" s="3">
        <v>725044</v>
      </c>
      <c r="C535" s="1" t="s">
        <v>13</v>
      </c>
      <c r="D535" s="1">
        <v>22</v>
      </c>
      <c r="E535" s="1" t="s">
        <v>14720</v>
      </c>
      <c r="F535" s="6"/>
      <c r="G535" s="1" t="s">
        <v>14726</v>
      </c>
    </row>
    <row r="536" spans="1:7" ht="21" x14ac:dyDescent="0.25">
      <c r="A536" s="2" t="str">
        <f>HYPERLINK("https://rth.dk/resources/bsgatlas/details.php?id=BSGatlas-TSS-535","BSGatlas-TSS-535")</f>
        <v>BSGatlas-TSS-535</v>
      </c>
      <c r="B536" s="3">
        <v>726774</v>
      </c>
      <c r="C536" s="1" t="s">
        <v>13</v>
      </c>
      <c r="D536" s="1">
        <v>22</v>
      </c>
      <c r="E536" s="1" t="s">
        <v>14727</v>
      </c>
      <c r="F536" s="6"/>
      <c r="G536" s="1" t="s">
        <v>14726</v>
      </c>
    </row>
    <row r="537" spans="1:7" ht="21" x14ac:dyDescent="0.25">
      <c r="A537" s="2" t="str">
        <f>HYPERLINK("https://rth.dk/resources/bsgatlas/details.php?id=BSGatlas-TSS-536","BSGatlas-TSS-536")</f>
        <v>BSGatlas-TSS-536</v>
      </c>
      <c r="B537" s="3">
        <v>727706</v>
      </c>
      <c r="C537" s="1" t="s">
        <v>13</v>
      </c>
      <c r="D537" s="1">
        <v>22</v>
      </c>
      <c r="E537" s="1" t="s">
        <v>14720</v>
      </c>
      <c r="F537" s="6"/>
      <c r="G537" s="1" t="s">
        <v>14726</v>
      </c>
    </row>
    <row r="538" spans="1:7" ht="21" x14ac:dyDescent="0.25">
      <c r="A538" s="2" t="str">
        <f>HYPERLINK("https://rth.dk/resources/bsgatlas/details.php?id=BSGatlas-TSS-537","BSGatlas-TSS-537")</f>
        <v>BSGatlas-TSS-537</v>
      </c>
      <c r="B538" s="3">
        <v>728431</v>
      </c>
      <c r="C538" s="1" t="s">
        <v>13</v>
      </c>
      <c r="D538" s="1">
        <v>0</v>
      </c>
      <c r="E538" s="1" t="s">
        <v>14722</v>
      </c>
      <c r="F538" s="6" t="s">
        <v>14826</v>
      </c>
      <c r="G538" s="1" t="s">
        <v>14724</v>
      </c>
    </row>
    <row r="539" spans="1:7" ht="21" x14ac:dyDescent="0.25">
      <c r="A539" s="2" t="str">
        <f>HYPERLINK("https://rth.dk/resources/bsgatlas/details.php?id=BSGatlas-TSS-538","BSGatlas-TSS-538")</f>
        <v>BSGatlas-TSS-538</v>
      </c>
      <c r="B539" s="3">
        <v>728444</v>
      </c>
      <c r="C539" s="1" t="s">
        <v>13</v>
      </c>
      <c r="D539" s="1">
        <v>0</v>
      </c>
      <c r="E539" s="1" t="s">
        <v>14734</v>
      </c>
      <c r="F539" s="6" t="s">
        <v>14826</v>
      </c>
      <c r="G539" s="1" t="s">
        <v>14724</v>
      </c>
    </row>
    <row r="540" spans="1:7" ht="21" x14ac:dyDescent="0.25">
      <c r="A540" s="2" t="str">
        <f>HYPERLINK("https://rth.dk/resources/bsgatlas/details.php?id=BSGatlas-TSS-539","BSGatlas-TSS-539")</f>
        <v>BSGatlas-TSS-539</v>
      </c>
      <c r="B540" s="3">
        <v>728598</v>
      </c>
      <c r="C540" s="1" t="s">
        <v>9</v>
      </c>
      <c r="D540" s="1">
        <v>22</v>
      </c>
      <c r="E540" s="1" t="s">
        <v>14722</v>
      </c>
      <c r="F540" s="6"/>
      <c r="G540" s="1" t="s">
        <v>14733</v>
      </c>
    </row>
    <row r="541" spans="1:7" ht="21" x14ac:dyDescent="0.25">
      <c r="A541" s="2" t="str">
        <f>HYPERLINK("https://rth.dk/resources/bsgatlas/details.php?id=BSGatlas-TSS-540","BSGatlas-TSS-540")</f>
        <v>BSGatlas-TSS-540</v>
      </c>
      <c r="B541" s="3">
        <v>732646</v>
      </c>
      <c r="C541" s="1" t="s">
        <v>9</v>
      </c>
      <c r="D541" s="1">
        <v>22</v>
      </c>
      <c r="E541" s="1" t="s">
        <v>14727</v>
      </c>
      <c r="F541" s="6"/>
      <c r="G541" s="1" t="s">
        <v>14726</v>
      </c>
    </row>
    <row r="542" spans="1:7" ht="21" x14ac:dyDescent="0.25">
      <c r="A542" s="2" t="str">
        <f>HYPERLINK("https://rth.dk/resources/bsgatlas/details.php?id=BSGatlas-TSS-541","BSGatlas-TSS-541")</f>
        <v>BSGatlas-TSS-541</v>
      </c>
      <c r="B542" s="3">
        <v>732898</v>
      </c>
      <c r="C542" s="1" t="s">
        <v>9</v>
      </c>
      <c r="D542" s="1">
        <v>22</v>
      </c>
      <c r="E542" s="1" t="s">
        <v>14722</v>
      </c>
      <c r="F542" s="6"/>
      <c r="G542" s="1" t="s">
        <v>14726</v>
      </c>
    </row>
    <row r="543" spans="1:7" ht="21" x14ac:dyDescent="0.25">
      <c r="A543" s="2" t="str">
        <f>HYPERLINK("https://rth.dk/resources/bsgatlas/details.php?id=BSGatlas-TSS-542","BSGatlas-TSS-542")</f>
        <v>BSGatlas-TSS-542</v>
      </c>
      <c r="B543" s="3">
        <v>732905</v>
      </c>
      <c r="C543" s="1" t="s">
        <v>13</v>
      </c>
      <c r="D543" s="1">
        <v>22</v>
      </c>
      <c r="E543" s="1" t="s">
        <v>14722</v>
      </c>
      <c r="F543" s="6"/>
      <c r="G543" s="1" t="s">
        <v>14733</v>
      </c>
    </row>
    <row r="544" spans="1:7" ht="21" x14ac:dyDescent="0.25">
      <c r="A544" s="2" t="str">
        <f>HYPERLINK("https://rth.dk/resources/bsgatlas/details.php?id=BSGatlas-TSS-543","BSGatlas-TSS-543")</f>
        <v>BSGatlas-TSS-543</v>
      </c>
      <c r="B544" s="3">
        <v>736378</v>
      </c>
      <c r="C544" s="1" t="s">
        <v>9</v>
      </c>
      <c r="D544" s="1">
        <v>22</v>
      </c>
      <c r="E544" s="1" t="s">
        <v>14722</v>
      </c>
      <c r="F544" s="6"/>
      <c r="G544" s="1" t="s">
        <v>14726</v>
      </c>
    </row>
    <row r="545" spans="1:7" ht="21" x14ac:dyDescent="0.25">
      <c r="A545" s="2" t="str">
        <f>HYPERLINK("https://rth.dk/resources/bsgatlas/details.php?id=BSGatlas-TSS-544","BSGatlas-TSS-544")</f>
        <v>BSGatlas-TSS-544</v>
      </c>
      <c r="B545" s="3">
        <v>743194</v>
      </c>
      <c r="C545" s="1" t="s">
        <v>13</v>
      </c>
      <c r="D545" s="1">
        <v>22</v>
      </c>
      <c r="E545" s="1" t="s">
        <v>14739</v>
      </c>
      <c r="F545" s="6"/>
      <c r="G545" s="1" t="s">
        <v>14726</v>
      </c>
    </row>
    <row r="546" spans="1:7" ht="21" x14ac:dyDescent="0.25">
      <c r="A546" s="2" t="str">
        <f>HYPERLINK("https://rth.dk/resources/bsgatlas/details.php?id=BSGatlas-TSS-545","BSGatlas-TSS-545")</f>
        <v>BSGatlas-TSS-545</v>
      </c>
      <c r="B546" s="3">
        <v>747928</v>
      </c>
      <c r="C546" s="1" t="s">
        <v>13</v>
      </c>
      <c r="D546" s="1">
        <v>22</v>
      </c>
      <c r="E546" s="1" t="s">
        <v>14722</v>
      </c>
      <c r="F546" s="6"/>
      <c r="G546" s="1" t="s">
        <v>14726</v>
      </c>
    </row>
    <row r="547" spans="1:7" ht="21" x14ac:dyDescent="0.25">
      <c r="A547" s="2" t="str">
        <f>HYPERLINK("https://rth.dk/resources/bsgatlas/details.php?id=BSGatlas-TSS-546","BSGatlas-TSS-546")</f>
        <v>BSGatlas-TSS-546</v>
      </c>
      <c r="B547" s="3">
        <v>749600</v>
      </c>
      <c r="C547" s="1" t="s">
        <v>13</v>
      </c>
      <c r="D547" s="1">
        <v>22</v>
      </c>
      <c r="E547" s="1" t="s">
        <v>14722</v>
      </c>
      <c r="F547" s="6"/>
      <c r="G547" s="1" t="s">
        <v>14726</v>
      </c>
    </row>
    <row r="548" spans="1:7" ht="21" x14ac:dyDescent="0.25">
      <c r="A548" s="2" t="str">
        <f>HYPERLINK("https://rth.dk/resources/bsgatlas/details.php?id=BSGatlas-TSS-547","BSGatlas-TSS-547")</f>
        <v>BSGatlas-TSS-547</v>
      </c>
      <c r="B548" s="3">
        <v>750928</v>
      </c>
      <c r="C548" s="1" t="s">
        <v>9</v>
      </c>
      <c r="D548" s="1">
        <v>0</v>
      </c>
      <c r="E548" s="1" t="s">
        <v>14722</v>
      </c>
      <c r="F548" s="6" t="s">
        <v>14827</v>
      </c>
      <c r="G548" s="1" t="s">
        <v>14729</v>
      </c>
    </row>
    <row r="549" spans="1:7" ht="21" x14ac:dyDescent="0.25">
      <c r="A549" s="2" t="str">
        <f>HYPERLINK("https://rth.dk/resources/bsgatlas/details.php?id=BSGatlas-TSS-548","BSGatlas-TSS-548")</f>
        <v>BSGatlas-TSS-548</v>
      </c>
      <c r="B549" s="3">
        <v>752359</v>
      </c>
      <c r="C549" s="1" t="s">
        <v>9</v>
      </c>
      <c r="D549" s="1">
        <v>22</v>
      </c>
      <c r="E549" s="1" t="s">
        <v>14722</v>
      </c>
      <c r="F549" s="6"/>
      <c r="G549" s="1" t="s">
        <v>14726</v>
      </c>
    </row>
    <row r="550" spans="1:7" ht="21" x14ac:dyDescent="0.25">
      <c r="A550" s="2" t="str">
        <f>HYPERLINK("https://rth.dk/resources/bsgatlas/details.php?id=BSGatlas-TSS-549","BSGatlas-TSS-549")</f>
        <v>BSGatlas-TSS-549</v>
      </c>
      <c r="B550" s="3">
        <v>753020</v>
      </c>
      <c r="C550" s="1" t="s">
        <v>9</v>
      </c>
      <c r="D550" s="1">
        <v>22</v>
      </c>
      <c r="E550" s="1" t="s">
        <v>14722</v>
      </c>
      <c r="F550" s="6"/>
      <c r="G550" s="1" t="s">
        <v>14726</v>
      </c>
    </row>
    <row r="551" spans="1:7" ht="21" x14ac:dyDescent="0.25">
      <c r="A551" s="2" t="str">
        <f>HYPERLINK("https://rth.dk/resources/bsgatlas/details.php?id=BSGatlas-TSS-550","BSGatlas-TSS-550")</f>
        <v>BSGatlas-TSS-550</v>
      </c>
      <c r="B551" s="3">
        <v>753226</v>
      </c>
      <c r="C551" s="1" t="s">
        <v>9</v>
      </c>
      <c r="D551" s="1">
        <v>22</v>
      </c>
      <c r="E551" s="1" t="s">
        <v>14725</v>
      </c>
      <c r="F551" s="6"/>
      <c r="G551" s="1" t="s">
        <v>14726</v>
      </c>
    </row>
    <row r="552" spans="1:7" ht="21" x14ac:dyDescent="0.25">
      <c r="A552" s="2" t="str">
        <f>HYPERLINK("https://rth.dk/resources/bsgatlas/details.php?id=BSGatlas-TSS-551","BSGatlas-TSS-551")</f>
        <v>BSGatlas-TSS-551</v>
      </c>
      <c r="B552" s="3">
        <v>753250</v>
      </c>
      <c r="C552" s="1" t="s">
        <v>13</v>
      </c>
      <c r="D552" s="1">
        <v>22</v>
      </c>
      <c r="E552" s="1" t="s">
        <v>14727</v>
      </c>
      <c r="F552" s="6"/>
      <c r="G552" s="1" t="s">
        <v>14726</v>
      </c>
    </row>
    <row r="553" spans="1:7" ht="21" x14ac:dyDescent="0.25">
      <c r="A553" s="2" t="str">
        <f>HYPERLINK("https://rth.dk/resources/bsgatlas/details.php?id=BSGatlas-TSS-552","BSGatlas-TSS-552")</f>
        <v>BSGatlas-TSS-552</v>
      </c>
      <c r="B553" s="3">
        <v>753790</v>
      </c>
      <c r="C553" s="1" t="s">
        <v>9</v>
      </c>
      <c r="D553" s="1">
        <v>22</v>
      </c>
      <c r="E553" s="1" t="s">
        <v>14722</v>
      </c>
      <c r="F553" s="6"/>
      <c r="G553" s="1" t="s">
        <v>14726</v>
      </c>
    </row>
    <row r="554" spans="1:7" ht="21" x14ac:dyDescent="0.25">
      <c r="A554" s="2" t="str">
        <f>HYPERLINK("https://rth.dk/resources/bsgatlas/details.php?id=BSGatlas-TSS-553","BSGatlas-TSS-553")</f>
        <v>BSGatlas-TSS-553</v>
      </c>
      <c r="B554" s="3">
        <v>755877</v>
      </c>
      <c r="C554" s="1" t="s">
        <v>9</v>
      </c>
      <c r="D554" s="1">
        <v>0</v>
      </c>
      <c r="E554" s="1" t="s">
        <v>14735</v>
      </c>
      <c r="F554" s="6" t="s">
        <v>14828</v>
      </c>
      <c r="G554" s="1" t="s">
        <v>14729</v>
      </c>
    </row>
    <row r="555" spans="1:7" ht="21" x14ac:dyDescent="0.25">
      <c r="A555" s="2" t="str">
        <f>HYPERLINK("https://rth.dk/resources/bsgatlas/details.php?id=BSGatlas-TSS-554","BSGatlas-TSS-554")</f>
        <v>BSGatlas-TSS-554</v>
      </c>
      <c r="B555" s="3">
        <v>755890</v>
      </c>
      <c r="C555" s="1" t="s">
        <v>13</v>
      </c>
      <c r="D555" s="1">
        <v>22</v>
      </c>
      <c r="E555" s="1" t="s">
        <v>14720</v>
      </c>
      <c r="F555" s="6"/>
      <c r="G555" s="1" t="s">
        <v>14726</v>
      </c>
    </row>
    <row r="556" spans="1:7" ht="21" x14ac:dyDescent="0.25">
      <c r="A556" s="2" t="str">
        <f>HYPERLINK("https://rth.dk/resources/bsgatlas/details.php?id=BSGatlas-TSS-555","BSGatlas-TSS-555")</f>
        <v>BSGatlas-TSS-555</v>
      </c>
      <c r="B556" s="3">
        <v>757067</v>
      </c>
      <c r="C556" s="1" t="s">
        <v>9</v>
      </c>
      <c r="D556" s="1">
        <v>22</v>
      </c>
      <c r="E556" s="1" t="s">
        <v>14722</v>
      </c>
      <c r="F556" s="6"/>
      <c r="G556" s="1" t="s">
        <v>14726</v>
      </c>
    </row>
    <row r="557" spans="1:7" ht="21" x14ac:dyDescent="0.25">
      <c r="A557" s="2" t="str">
        <f>HYPERLINK("https://rth.dk/resources/bsgatlas/details.php?id=BSGatlas-TSS-556","BSGatlas-TSS-556")</f>
        <v>BSGatlas-TSS-556</v>
      </c>
      <c r="B557" s="3">
        <v>758046</v>
      </c>
      <c r="C557" s="1" t="s">
        <v>9</v>
      </c>
      <c r="D557" s="1">
        <v>22</v>
      </c>
      <c r="E557" s="1" t="s">
        <v>14745</v>
      </c>
      <c r="F557" s="6"/>
      <c r="G557" s="1" t="s">
        <v>14726</v>
      </c>
    </row>
    <row r="558" spans="1:7" ht="21" x14ac:dyDescent="0.25">
      <c r="A558" s="2" t="str">
        <f>HYPERLINK("https://rth.dk/resources/bsgatlas/details.php?id=BSGatlas-TSS-557","BSGatlas-TSS-557")</f>
        <v>BSGatlas-TSS-557</v>
      </c>
      <c r="B558" s="3">
        <v>761622</v>
      </c>
      <c r="C558" s="1" t="s">
        <v>9</v>
      </c>
      <c r="D558" s="1">
        <v>22</v>
      </c>
      <c r="E558" s="1" t="s">
        <v>14722</v>
      </c>
      <c r="F558" s="6"/>
      <c r="G558" s="1" t="s">
        <v>14726</v>
      </c>
    </row>
    <row r="559" spans="1:7" ht="21" x14ac:dyDescent="0.25">
      <c r="A559" s="2" t="str">
        <f>HYPERLINK("https://rth.dk/resources/bsgatlas/details.php?id=BSGatlas-TSS-558","BSGatlas-TSS-558")</f>
        <v>BSGatlas-TSS-558</v>
      </c>
      <c r="B559" s="3">
        <v>770334</v>
      </c>
      <c r="C559" s="1" t="s">
        <v>9</v>
      </c>
      <c r="D559" s="1">
        <v>22</v>
      </c>
      <c r="E559" s="1" t="s">
        <v>14720</v>
      </c>
      <c r="F559" s="6"/>
      <c r="G559" s="1" t="s">
        <v>14726</v>
      </c>
    </row>
    <row r="560" spans="1:7" ht="21" x14ac:dyDescent="0.25">
      <c r="A560" s="2" t="str">
        <f>HYPERLINK("https://rth.dk/resources/bsgatlas/details.php?id=BSGatlas-TSS-559","BSGatlas-TSS-559")</f>
        <v>BSGatlas-TSS-559</v>
      </c>
      <c r="B560" s="3">
        <v>770872</v>
      </c>
      <c r="C560" s="1" t="s">
        <v>13</v>
      </c>
      <c r="D560" s="1">
        <v>22</v>
      </c>
      <c r="E560" s="1" t="s">
        <v>14725</v>
      </c>
      <c r="F560" s="6"/>
      <c r="G560" s="1" t="s">
        <v>14726</v>
      </c>
    </row>
    <row r="561" spans="1:7" ht="21" x14ac:dyDescent="0.25">
      <c r="A561" s="2" t="str">
        <f>HYPERLINK("https://rth.dk/resources/bsgatlas/details.php?id=BSGatlas-TSS-560","BSGatlas-TSS-560")</f>
        <v>BSGatlas-TSS-560</v>
      </c>
      <c r="B561" s="3">
        <v>778169</v>
      </c>
      <c r="C561" s="1" t="s">
        <v>13</v>
      </c>
      <c r="D561" s="1">
        <v>22</v>
      </c>
      <c r="E561" s="1" t="s">
        <v>14727</v>
      </c>
      <c r="F561" s="6"/>
      <c r="G561" s="1" t="s">
        <v>14726</v>
      </c>
    </row>
    <row r="562" spans="1:7" ht="21" x14ac:dyDescent="0.25">
      <c r="A562" s="2" t="str">
        <f>HYPERLINK("https://rth.dk/resources/bsgatlas/details.php?id=BSGatlas-TSS-561","BSGatlas-TSS-561")</f>
        <v>BSGatlas-TSS-561</v>
      </c>
      <c r="B562" s="3">
        <v>781432</v>
      </c>
      <c r="C562" s="1" t="s">
        <v>13</v>
      </c>
      <c r="D562" s="1">
        <v>22</v>
      </c>
      <c r="E562" s="1" t="s">
        <v>14720</v>
      </c>
      <c r="F562" s="6"/>
      <c r="G562" s="1" t="s">
        <v>14726</v>
      </c>
    </row>
    <row r="563" spans="1:7" ht="21" x14ac:dyDescent="0.25">
      <c r="A563" s="2" t="str">
        <f>HYPERLINK("https://rth.dk/resources/bsgatlas/details.php?id=BSGatlas-TSS-562","BSGatlas-TSS-562")</f>
        <v>BSGatlas-TSS-562</v>
      </c>
      <c r="B563" s="3">
        <v>782720</v>
      </c>
      <c r="C563" s="1" t="s">
        <v>9</v>
      </c>
      <c r="D563" s="1">
        <v>22</v>
      </c>
      <c r="E563" s="1" t="s">
        <v>14727</v>
      </c>
      <c r="F563" s="6"/>
      <c r="G563" s="1" t="s">
        <v>14726</v>
      </c>
    </row>
    <row r="564" spans="1:7" ht="21" x14ac:dyDescent="0.25">
      <c r="A564" s="2" t="str">
        <f>HYPERLINK("https://rth.dk/resources/bsgatlas/details.php?id=BSGatlas-TSS-563","BSGatlas-TSS-563")</f>
        <v>BSGatlas-TSS-563</v>
      </c>
      <c r="B564" s="3">
        <v>785465</v>
      </c>
      <c r="C564" s="1" t="s">
        <v>13</v>
      </c>
      <c r="D564" s="1">
        <v>0</v>
      </c>
      <c r="E564" s="1" t="s">
        <v>14722</v>
      </c>
      <c r="F564" s="6">
        <v>21873409</v>
      </c>
      <c r="G564" s="1" t="s">
        <v>14747</v>
      </c>
    </row>
    <row r="565" spans="1:7" ht="21" x14ac:dyDescent="0.25">
      <c r="A565" s="2" t="str">
        <f>HYPERLINK("https://rth.dk/resources/bsgatlas/details.php?id=BSGatlas-TSS-564","BSGatlas-TSS-564")</f>
        <v>BSGatlas-TSS-564</v>
      </c>
      <c r="B565" s="3">
        <v>785942</v>
      </c>
      <c r="C565" s="1" t="s">
        <v>13</v>
      </c>
      <c r="D565" s="1">
        <v>22</v>
      </c>
      <c r="E565" s="1" t="s">
        <v>14722</v>
      </c>
      <c r="F565" s="6"/>
      <c r="G565" s="1" t="s">
        <v>14726</v>
      </c>
    </row>
    <row r="566" spans="1:7" ht="21" x14ac:dyDescent="0.25">
      <c r="A566" s="2" t="str">
        <f>HYPERLINK("https://rth.dk/resources/bsgatlas/details.php?id=BSGatlas-TSS-565","BSGatlas-TSS-565")</f>
        <v>BSGatlas-TSS-565</v>
      </c>
      <c r="B566" s="3">
        <v>786536</v>
      </c>
      <c r="C566" s="1" t="s">
        <v>13</v>
      </c>
      <c r="D566" s="1">
        <v>22</v>
      </c>
      <c r="E566" s="1" t="s">
        <v>14725</v>
      </c>
      <c r="F566" s="6"/>
      <c r="G566" s="1" t="s">
        <v>14726</v>
      </c>
    </row>
    <row r="567" spans="1:7" ht="21" x14ac:dyDescent="0.25">
      <c r="A567" s="2" t="str">
        <f>HYPERLINK("https://rth.dk/resources/bsgatlas/details.php?id=BSGatlas-TSS-566","BSGatlas-TSS-566")</f>
        <v>BSGatlas-TSS-566</v>
      </c>
      <c r="B567" s="3">
        <v>786640</v>
      </c>
      <c r="C567" s="1" t="s">
        <v>9</v>
      </c>
      <c r="D567" s="1">
        <v>22</v>
      </c>
      <c r="E567" s="1" t="s">
        <v>14722</v>
      </c>
      <c r="F567" s="6"/>
      <c r="G567" s="1" t="s">
        <v>14726</v>
      </c>
    </row>
    <row r="568" spans="1:7" ht="21" x14ac:dyDescent="0.25">
      <c r="A568" s="2" t="str">
        <f>HYPERLINK("https://rth.dk/resources/bsgatlas/details.php?id=BSGatlas-TSS-567","BSGatlas-TSS-567")</f>
        <v>BSGatlas-TSS-567</v>
      </c>
      <c r="B568" s="3">
        <v>787660</v>
      </c>
      <c r="C568" s="1" t="s">
        <v>9</v>
      </c>
      <c r="D568" s="1">
        <v>22</v>
      </c>
      <c r="E568" s="1" t="s">
        <v>14722</v>
      </c>
      <c r="F568" s="6"/>
      <c r="G568" s="1" t="s">
        <v>14726</v>
      </c>
    </row>
    <row r="569" spans="1:7" ht="21" x14ac:dyDescent="0.25">
      <c r="A569" s="2" t="str">
        <f>HYPERLINK("https://rth.dk/resources/bsgatlas/details.php?id=BSGatlas-TSS-568","BSGatlas-TSS-568")</f>
        <v>BSGatlas-TSS-568</v>
      </c>
      <c r="B569" s="3">
        <v>787948</v>
      </c>
      <c r="C569" s="1" t="s">
        <v>9</v>
      </c>
      <c r="D569" s="1">
        <v>22</v>
      </c>
      <c r="E569" s="1" t="s">
        <v>14722</v>
      </c>
      <c r="F569" s="6"/>
      <c r="G569" s="1" t="s">
        <v>14726</v>
      </c>
    </row>
    <row r="570" spans="1:7" ht="21" x14ac:dyDescent="0.25">
      <c r="A570" s="2" t="str">
        <f>HYPERLINK("https://rth.dk/resources/bsgatlas/details.php?id=BSGatlas-TSS-569","BSGatlas-TSS-569")</f>
        <v>BSGatlas-TSS-569</v>
      </c>
      <c r="B570" s="3">
        <v>790188</v>
      </c>
      <c r="C570" s="1" t="s">
        <v>13</v>
      </c>
      <c r="D570" s="1">
        <v>22</v>
      </c>
      <c r="E570" s="1" t="s">
        <v>14722</v>
      </c>
      <c r="F570" s="6"/>
      <c r="G570" s="1" t="s">
        <v>14726</v>
      </c>
    </row>
    <row r="571" spans="1:7" ht="21" x14ac:dyDescent="0.25">
      <c r="A571" s="2" t="str">
        <f>HYPERLINK("https://rth.dk/resources/bsgatlas/details.php?id=BSGatlas-TSS-570","BSGatlas-TSS-570")</f>
        <v>BSGatlas-TSS-570</v>
      </c>
      <c r="B571" s="3">
        <v>792589</v>
      </c>
      <c r="C571" s="1" t="s">
        <v>13</v>
      </c>
      <c r="D571" s="1">
        <v>22</v>
      </c>
      <c r="E571" s="1" t="s">
        <v>14722</v>
      </c>
      <c r="F571" s="6"/>
      <c r="G571" s="1" t="s">
        <v>14726</v>
      </c>
    </row>
    <row r="572" spans="1:7" ht="21" x14ac:dyDescent="0.25">
      <c r="A572" s="2" t="str">
        <f>HYPERLINK("https://rth.dk/resources/bsgatlas/details.php?id=BSGatlas-TSS-571","BSGatlas-TSS-571")</f>
        <v>BSGatlas-TSS-571</v>
      </c>
      <c r="B572" s="3">
        <v>792642</v>
      </c>
      <c r="C572" s="1" t="s">
        <v>9</v>
      </c>
      <c r="D572" s="1">
        <v>22</v>
      </c>
      <c r="E572" s="1" t="s">
        <v>14734</v>
      </c>
      <c r="F572" s="6"/>
      <c r="G572" s="1" t="s">
        <v>14726</v>
      </c>
    </row>
    <row r="573" spans="1:7" ht="21" x14ac:dyDescent="0.25">
      <c r="A573" s="2" t="str">
        <f>HYPERLINK("https://rth.dk/resources/bsgatlas/details.php?id=BSGatlas-TSS-572","BSGatlas-TSS-572")</f>
        <v>BSGatlas-TSS-572</v>
      </c>
      <c r="B573" s="3">
        <v>795959</v>
      </c>
      <c r="C573" s="1" t="s">
        <v>9</v>
      </c>
      <c r="D573" s="1">
        <v>22</v>
      </c>
      <c r="E573" s="1" t="s">
        <v>14727</v>
      </c>
      <c r="F573" s="6"/>
      <c r="G573" s="1" t="s">
        <v>14733</v>
      </c>
    </row>
    <row r="574" spans="1:7" ht="21" x14ac:dyDescent="0.25">
      <c r="A574" s="2" t="str">
        <f>HYPERLINK("https://rth.dk/resources/bsgatlas/details.php?id=BSGatlas-TSS-573","BSGatlas-TSS-573")</f>
        <v>BSGatlas-TSS-573</v>
      </c>
      <c r="B574" s="3">
        <v>796008</v>
      </c>
      <c r="C574" s="1" t="s">
        <v>9</v>
      </c>
      <c r="D574" s="1">
        <v>22</v>
      </c>
      <c r="E574" s="1" t="s">
        <v>14722</v>
      </c>
      <c r="F574" s="6"/>
      <c r="G574" s="1" t="s">
        <v>14733</v>
      </c>
    </row>
    <row r="575" spans="1:7" ht="21" x14ac:dyDescent="0.25">
      <c r="A575" s="2" t="str">
        <f>HYPERLINK("https://rth.dk/resources/bsgatlas/details.php?id=BSGatlas-TSS-574","BSGatlas-TSS-574")</f>
        <v>BSGatlas-TSS-574</v>
      </c>
      <c r="B575" s="3">
        <v>798360</v>
      </c>
      <c r="C575" s="1" t="s">
        <v>9</v>
      </c>
      <c r="D575" s="1">
        <v>0</v>
      </c>
      <c r="E575" s="1" t="s">
        <v>14725</v>
      </c>
      <c r="F575" s="6" t="s">
        <v>14829</v>
      </c>
      <c r="G575" s="1" t="s">
        <v>14724</v>
      </c>
    </row>
    <row r="576" spans="1:7" ht="21" x14ac:dyDescent="0.25">
      <c r="A576" s="2" t="str">
        <f>HYPERLINK("https://rth.dk/resources/bsgatlas/details.php?id=BSGatlas-TSS-575","BSGatlas-TSS-575")</f>
        <v>BSGatlas-TSS-575</v>
      </c>
      <c r="B576" s="3">
        <v>801046</v>
      </c>
      <c r="C576" s="1" t="s">
        <v>9</v>
      </c>
      <c r="D576" s="1">
        <v>22</v>
      </c>
      <c r="E576" s="1" t="s">
        <v>14725</v>
      </c>
      <c r="F576" s="6"/>
      <c r="G576" s="1" t="s">
        <v>14726</v>
      </c>
    </row>
    <row r="577" spans="1:7" ht="21" x14ac:dyDescent="0.25">
      <c r="A577" s="2" t="str">
        <f>HYPERLINK("https://rth.dk/resources/bsgatlas/details.php?id=BSGatlas-TSS-576","BSGatlas-TSS-576")</f>
        <v>BSGatlas-TSS-576</v>
      </c>
      <c r="B577" s="3">
        <v>801209</v>
      </c>
      <c r="C577" s="1" t="s">
        <v>9</v>
      </c>
      <c r="D577" s="1">
        <v>0</v>
      </c>
      <c r="E577" s="1" t="s">
        <v>14830</v>
      </c>
      <c r="F577" s="6">
        <v>15383836</v>
      </c>
      <c r="G577" s="1" t="s">
        <v>4684</v>
      </c>
    </row>
    <row r="578" spans="1:7" ht="21" x14ac:dyDescent="0.25">
      <c r="A578" s="2" t="str">
        <f>HYPERLINK("https://rth.dk/resources/bsgatlas/details.php?id=BSGatlas-TSS-577","BSGatlas-TSS-577")</f>
        <v>BSGatlas-TSS-577</v>
      </c>
      <c r="B578" s="3">
        <v>801926</v>
      </c>
      <c r="C578" s="1" t="s">
        <v>9</v>
      </c>
      <c r="D578" s="1">
        <v>22</v>
      </c>
      <c r="E578" s="1" t="s">
        <v>14722</v>
      </c>
      <c r="F578" s="6"/>
      <c r="G578" s="1" t="s">
        <v>14726</v>
      </c>
    </row>
    <row r="579" spans="1:7" ht="21" x14ac:dyDescent="0.25">
      <c r="A579" s="2" t="str">
        <f>HYPERLINK("https://rth.dk/resources/bsgatlas/details.php?id=BSGatlas-TSS-578","BSGatlas-TSS-578")</f>
        <v>BSGatlas-TSS-578</v>
      </c>
      <c r="B579" s="3">
        <v>804593</v>
      </c>
      <c r="C579" s="1" t="s">
        <v>13</v>
      </c>
      <c r="D579" s="1">
        <v>22</v>
      </c>
      <c r="E579" s="1" t="s">
        <v>14722</v>
      </c>
      <c r="F579" s="6"/>
      <c r="G579" s="1" t="s">
        <v>14726</v>
      </c>
    </row>
    <row r="580" spans="1:7" ht="21" x14ac:dyDescent="0.25">
      <c r="A580" s="2" t="str">
        <f>HYPERLINK("https://rth.dk/resources/bsgatlas/details.php?id=BSGatlas-TSS-579","BSGatlas-TSS-579")</f>
        <v>BSGatlas-TSS-579</v>
      </c>
      <c r="B580" s="3">
        <v>805410</v>
      </c>
      <c r="C580" s="1" t="s">
        <v>13</v>
      </c>
      <c r="D580" s="1">
        <v>22</v>
      </c>
      <c r="E580" s="1" t="s">
        <v>14722</v>
      </c>
      <c r="F580" s="6"/>
      <c r="G580" s="1" t="s">
        <v>14726</v>
      </c>
    </row>
    <row r="581" spans="1:7" ht="21" x14ac:dyDescent="0.25">
      <c r="A581" s="2" t="str">
        <f>HYPERLINK("https://rth.dk/resources/bsgatlas/details.php?id=BSGatlas-TSS-580","BSGatlas-TSS-580")</f>
        <v>BSGatlas-TSS-580</v>
      </c>
      <c r="B581" s="3">
        <v>806907</v>
      </c>
      <c r="C581" s="1" t="s">
        <v>13</v>
      </c>
      <c r="D581" s="1">
        <v>22</v>
      </c>
      <c r="E581" s="1" t="s">
        <v>14722</v>
      </c>
      <c r="F581" s="6"/>
      <c r="G581" s="1" t="s">
        <v>14726</v>
      </c>
    </row>
    <row r="582" spans="1:7" ht="21" x14ac:dyDescent="0.25">
      <c r="A582" s="2" t="str">
        <f>HYPERLINK("https://rth.dk/resources/bsgatlas/details.php?id=BSGatlas-TSS-581","BSGatlas-TSS-581")</f>
        <v>BSGatlas-TSS-581</v>
      </c>
      <c r="B582" s="3">
        <v>807024</v>
      </c>
      <c r="C582" s="1" t="s">
        <v>9</v>
      </c>
      <c r="D582" s="1">
        <v>22</v>
      </c>
      <c r="E582" s="1" t="s">
        <v>14752</v>
      </c>
      <c r="F582" s="6"/>
      <c r="G582" s="1" t="s">
        <v>14726</v>
      </c>
    </row>
    <row r="583" spans="1:7" ht="21" x14ac:dyDescent="0.25">
      <c r="A583" s="2" t="str">
        <f>HYPERLINK("https://rth.dk/resources/bsgatlas/details.php?id=BSGatlas-TSS-582","BSGatlas-TSS-582")</f>
        <v>BSGatlas-TSS-582</v>
      </c>
      <c r="B583" s="3">
        <v>807898</v>
      </c>
      <c r="C583" s="1" t="s">
        <v>13</v>
      </c>
      <c r="D583" s="1">
        <v>22</v>
      </c>
      <c r="E583" s="1" t="s">
        <v>14725</v>
      </c>
      <c r="F583" s="6"/>
      <c r="G583" s="1" t="s">
        <v>14726</v>
      </c>
    </row>
    <row r="584" spans="1:7" ht="21" x14ac:dyDescent="0.25">
      <c r="A584" s="2" t="str">
        <f>HYPERLINK("https://rth.dk/resources/bsgatlas/details.php?id=BSGatlas-TSS-583","BSGatlas-TSS-583")</f>
        <v>BSGatlas-TSS-583</v>
      </c>
      <c r="B584" s="3">
        <v>809516</v>
      </c>
      <c r="C584" s="1" t="s">
        <v>9</v>
      </c>
      <c r="D584" s="1">
        <v>22</v>
      </c>
      <c r="E584" s="1" t="s">
        <v>14722</v>
      </c>
      <c r="F584" s="6"/>
      <c r="G584" s="1" t="s">
        <v>14726</v>
      </c>
    </row>
    <row r="585" spans="1:7" ht="21" x14ac:dyDescent="0.25">
      <c r="A585" s="2" t="str">
        <f>HYPERLINK("https://rth.dk/resources/bsgatlas/details.php?id=BSGatlas-TSS-584","BSGatlas-TSS-584")</f>
        <v>BSGatlas-TSS-584</v>
      </c>
      <c r="B585" s="3">
        <v>811518</v>
      </c>
      <c r="C585" s="1" t="s">
        <v>9</v>
      </c>
      <c r="D585" s="1">
        <v>22</v>
      </c>
      <c r="E585" s="1" t="s">
        <v>14722</v>
      </c>
      <c r="F585" s="6"/>
      <c r="G585" s="1" t="s">
        <v>14726</v>
      </c>
    </row>
    <row r="586" spans="1:7" ht="21" x14ac:dyDescent="0.25">
      <c r="A586" s="2" t="str">
        <f>HYPERLINK("https://rth.dk/resources/bsgatlas/details.php?id=BSGatlas-TSS-585","BSGatlas-TSS-585")</f>
        <v>BSGatlas-TSS-585</v>
      </c>
      <c r="B586" s="3">
        <v>811660</v>
      </c>
      <c r="C586" s="1" t="s">
        <v>13</v>
      </c>
      <c r="D586" s="1">
        <v>22</v>
      </c>
      <c r="E586" s="1" t="s">
        <v>14720</v>
      </c>
      <c r="F586" s="6"/>
      <c r="G586" s="1" t="s">
        <v>14726</v>
      </c>
    </row>
    <row r="587" spans="1:7" ht="21" x14ac:dyDescent="0.25">
      <c r="A587" s="2" t="str">
        <f>HYPERLINK("https://rth.dk/resources/bsgatlas/details.php?id=BSGatlas-TSS-586","BSGatlas-TSS-586")</f>
        <v>BSGatlas-TSS-586</v>
      </c>
      <c r="B587" s="3">
        <v>812116</v>
      </c>
      <c r="C587" s="1" t="s">
        <v>9</v>
      </c>
      <c r="D587" s="1">
        <v>0</v>
      </c>
      <c r="E587" s="1" t="s">
        <v>14722</v>
      </c>
      <c r="F587" s="6" t="s">
        <v>14831</v>
      </c>
      <c r="G587" s="1" t="s">
        <v>14729</v>
      </c>
    </row>
    <row r="588" spans="1:7" ht="21" x14ac:dyDescent="0.25">
      <c r="A588" s="2" t="str">
        <f>HYPERLINK("https://rth.dk/resources/bsgatlas/details.php?id=BSGatlas-TSS-587","BSGatlas-TSS-587")</f>
        <v>BSGatlas-TSS-587</v>
      </c>
      <c r="B588" s="3">
        <v>815808</v>
      </c>
      <c r="C588" s="1" t="s">
        <v>9</v>
      </c>
      <c r="D588" s="1">
        <v>22</v>
      </c>
      <c r="E588" s="1" t="s">
        <v>14732</v>
      </c>
      <c r="F588" s="6"/>
      <c r="G588" s="1" t="s">
        <v>14726</v>
      </c>
    </row>
    <row r="589" spans="1:7" ht="21" x14ac:dyDescent="0.25">
      <c r="A589" s="2" t="str">
        <f>HYPERLINK("https://rth.dk/resources/bsgatlas/details.php?id=BSGatlas-TSS-588","BSGatlas-TSS-588")</f>
        <v>BSGatlas-TSS-588</v>
      </c>
      <c r="B589" s="3">
        <v>815994</v>
      </c>
      <c r="C589" s="1" t="s">
        <v>13</v>
      </c>
      <c r="D589" s="1">
        <v>22</v>
      </c>
      <c r="E589" s="1" t="s">
        <v>14722</v>
      </c>
      <c r="F589" s="6"/>
      <c r="G589" s="1" t="s">
        <v>14726</v>
      </c>
    </row>
    <row r="590" spans="1:7" ht="21" x14ac:dyDescent="0.25">
      <c r="A590" s="2" t="str">
        <f>HYPERLINK("https://rth.dk/resources/bsgatlas/details.php?id=BSGatlas-TSS-589","BSGatlas-TSS-589")</f>
        <v>BSGatlas-TSS-589</v>
      </c>
      <c r="B590" s="3">
        <v>816072</v>
      </c>
      <c r="C590" s="1" t="s">
        <v>9</v>
      </c>
      <c r="D590" s="1">
        <v>22</v>
      </c>
      <c r="E590" s="1" t="s">
        <v>14722</v>
      </c>
      <c r="F590" s="6"/>
      <c r="G590" s="1" t="s">
        <v>14726</v>
      </c>
    </row>
    <row r="591" spans="1:7" ht="21" x14ac:dyDescent="0.25">
      <c r="A591" s="2" t="str">
        <f>HYPERLINK("https://rth.dk/resources/bsgatlas/details.php?id=BSGatlas-TSS-590","BSGatlas-TSS-590")</f>
        <v>BSGatlas-TSS-590</v>
      </c>
      <c r="B591" s="3">
        <v>818854</v>
      </c>
      <c r="C591" s="1" t="s">
        <v>13</v>
      </c>
      <c r="D591" s="1">
        <v>22</v>
      </c>
      <c r="E591" s="1" t="s">
        <v>14722</v>
      </c>
      <c r="F591" s="6"/>
      <c r="G591" s="1" t="s">
        <v>14726</v>
      </c>
    </row>
    <row r="592" spans="1:7" ht="21" x14ac:dyDescent="0.25">
      <c r="A592" s="2" t="str">
        <f>HYPERLINK("https://rth.dk/resources/bsgatlas/details.php?id=BSGatlas-TSS-591","BSGatlas-TSS-591")</f>
        <v>BSGatlas-TSS-591</v>
      </c>
      <c r="B592" s="3">
        <v>818976</v>
      </c>
      <c r="C592" s="1" t="s">
        <v>9</v>
      </c>
      <c r="D592" s="1">
        <v>22</v>
      </c>
      <c r="E592" s="1" t="s">
        <v>14722</v>
      </c>
      <c r="F592" s="6"/>
      <c r="G592" s="1" t="s">
        <v>14726</v>
      </c>
    </row>
    <row r="593" spans="1:7" ht="21" x14ac:dyDescent="0.25">
      <c r="A593" s="2" t="str">
        <f>HYPERLINK("https://rth.dk/resources/bsgatlas/details.php?id=BSGatlas-TSS-592","BSGatlas-TSS-592")</f>
        <v>BSGatlas-TSS-592</v>
      </c>
      <c r="B593" s="3">
        <v>820575</v>
      </c>
      <c r="C593" s="1" t="s">
        <v>13</v>
      </c>
      <c r="D593" s="1">
        <v>22</v>
      </c>
      <c r="E593" s="1" t="s">
        <v>14722</v>
      </c>
      <c r="F593" s="6"/>
      <c r="G593" s="1" t="s">
        <v>14726</v>
      </c>
    </row>
    <row r="594" spans="1:7" ht="21" x14ac:dyDescent="0.25">
      <c r="A594" s="2" t="str">
        <f>HYPERLINK("https://rth.dk/resources/bsgatlas/details.php?id=BSGatlas-TSS-593","BSGatlas-TSS-593")</f>
        <v>BSGatlas-TSS-593</v>
      </c>
      <c r="B594" s="3">
        <v>820648</v>
      </c>
      <c r="C594" s="1" t="s">
        <v>9</v>
      </c>
      <c r="D594" s="1">
        <v>22</v>
      </c>
      <c r="E594" s="1" t="s">
        <v>14722</v>
      </c>
      <c r="F594" s="6"/>
      <c r="G594" s="1" t="s">
        <v>14726</v>
      </c>
    </row>
    <row r="595" spans="1:7" ht="21" x14ac:dyDescent="0.25">
      <c r="A595" s="2" t="str">
        <f>HYPERLINK("https://rth.dk/resources/bsgatlas/details.php?id=BSGatlas-TSS-594","BSGatlas-TSS-594")</f>
        <v>BSGatlas-TSS-594</v>
      </c>
      <c r="B595" s="3">
        <v>822826</v>
      </c>
      <c r="C595" s="1" t="s">
        <v>9</v>
      </c>
      <c r="D595" s="1">
        <v>22</v>
      </c>
      <c r="E595" s="1" t="s">
        <v>14727</v>
      </c>
      <c r="F595" s="6"/>
      <c r="G595" s="1" t="s">
        <v>14726</v>
      </c>
    </row>
    <row r="596" spans="1:7" ht="21" x14ac:dyDescent="0.25">
      <c r="A596" s="2" t="str">
        <f>HYPERLINK("https://rth.dk/resources/bsgatlas/details.php?id=BSGatlas-TSS-595","BSGatlas-TSS-595")</f>
        <v>BSGatlas-TSS-595</v>
      </c>
      <c r="B596" s="3">
        <v>824315</v>
      </c>
      <c r="C596" s="1" t="s">
        <v>13</v>
      </c>
      <c r="D596" s="1">
        <v>22</v>
      </c>
      <c r="E596" s="1" t="s">
        <v>14722</v>
      </c>
      <c r="F596" s="6"/>
      <c r="G596" s="1" t="s">
        <v>14726</v>
      </c>
    </row>
    <row r="597" spans="1:7" ht="21" x14ac:dyDescent="0.25">
      <c r="A597" s="2" t="str">
        <f>HYPERLINK("https://rth.dk/resources/bsgatlas/details.php?id=BSGatlas-TSS-596","BSGatlas-TSS-596")</f>
        <v>BSGatlas-TSS-596</v>
      </c>
      <c r="B597" s="3">
        <v>825806</v>
      </c>
      <c r="C597" s="1" t="s">
        <v>13</v>
      </c>
      <c r="D597" s="1">
        <v>22</v>
      </c>
      <c r="E597" s="1" t="s">
        <v>14722</v>
      </c>
      <c r="F597" s="6"/>
      <c r="G597" s="1" t="s">
        <v>14726</v>
      </c>
    </row>
    <row r="598" spans="1:7" ht="21" x14ac:dyDescent="0.25">
      <c r="A598" s="2" t="str">
        <f>HYPERLINK("https://rth.dk/resources/bsgatlas/details.php?id=BSGatlas-TSS-597","BSGatlas-TSS-597")</f>
        <v>BSGatlas-TSS-597</v>
      </c>
      <c r="B598" s="3">
        <v>826093</v>
      </c>
      <c r="C598" s="1" t="s">
        <v>9</v>
      </c>
      <c r="D598" s="1">
        <v>22</v>
      </c>
      <c r="E598" s="1" t="s">
        <v>14727</v>
      </c>
      <c r="F598" s="6"/>
      <c r="G598" s="1" t="s">
        <v>14733</v>
      </c>
    </row>
    <row r="599" spans="1:7" ht="21" x14ac:dyDescent="0.25">
      <c r="A599" s="2" t="str">
        <f>HYPERLINK("https://rth.dk/resources/bsgatlas/details.php?id=BSGatlas-TSS-598","BSGatlas-TSS-598")</f>
        <v>BSGatlas-TSS-598</v>
      </c>
      <c r="B599" s="3">
        <v>826720</v>
      </c>
      <c r="C599" s="1" t="s">
        <v>9</v>
      </c>
      <c r="D599" s="1">
        <v>22</v>
      </c>
      <c r="E599" s="1" t="s">
        <v>14722</v>
      </c>
      <c r="F599" s="6"/>
      <c r="G599" s="1" t="s">
        <v>14733</v>
      </c>
    </row>
    <row r="600" spans="1:7" ht="21" x14ac:dyDescent="0.25">
      <c r="A600" s="2" t="str">
        <f>HYPERLINK("https://rth.dk/resources/bsgatlas/details.php?id=BSGatlas-TSS-599","BSGatlas-TSS-599")</f>
        <v>BSGatlas-TSS-599</v>
      </c>
      <c r="B600" s="3">
        <v>826783</v>
      </c>
      <c r="C600" s="1" t="s">
        <v>13</v>
      </c>
      <c r="D600" s="1">
        <v>22</v>
      </c>
      <c r="E600" s="1" t="s">
        <v>14722</v>
      </c>
      <c r="F600" s="6"/>
      <c r="G600" s="1" t="s">
        <v>14726</v>
      </c>
    </row>
    <row r="601" spans="1:7" ht="21" x14ac:dyDescent="0.25">
      <c r="A601" s="2" t="str">
        <f>HYPERLINK("https://rth.dk/resources/bsgatlas/details.php?id=BSGatlas-TSS-600","BSGatlas-TSS-600")</f>
        <v>BSGatlas-TSS-600</v>
      </c>
      <c r="B601" s="3">
        <v>827324</v>
      </c>
      <c r="C601" s="1" t="s">
        <v>13</v>
      </c>
      <c r="D601" s="1">
        <v>22</v>
      </c>
      <c r="E601" s="1" t="s">
        <v>14722</v>
      </c>
      <c r="F601" s="6"/>
      <c r="G601" s="1" t="s">
        <v>14733</v>
      </c>
    </row>
    <row r="602" spans="1:7" ht="21" x14ac:dyDescent="0.25">
      <c r="A602" s="2" t="str">
        <f>HYPERLINK("https://rth.dk/resources/bsgatlas/details.php?id=BSGatlas-TSS-601","BSGatlas-TSS-601")</f>
        <v>BSGatlas-TSS-601</v>
      </c>
      <c r="B602" s="3">
        <v>827412</v>
      </c>
      <c r="C602" s="1" t="s">
        <v>9</v>
      </c>
      <c r="D602" s="1">
        <v>22</v>
      </c>
      <c r="E602" s="1" t="s">
        <v>14734</v>
      </c>
      <c r="F602" s="6"/>
      <c r="G602" s="1" t="s">
        <v>14726</v>
      </c>
    </row>
    <row r="603" spans="1:7" ht="21" x14ac:dyDescent="0.25">
      <c r="A603" s="2" t="str">
        <f>HYPERLINK("https://rth.dk/resources/bsgatlas/details.php?id=BSGatlas-TSS-602","BSGatlas-TSS-602")</f>
        <v>BSGatlas-TSS-602</v>
      </c>
      <c r="B603" s="3">
        <v>827925</v>
      </c>
      <c r="C603" s="1" t="s">
        <v>9</v>
      </c>
      <c r="D603" s="1">
        <v>22</v>
      </c>
      <c r="E603" s="1" t="s">
        <v>14722</v>
      </c>
      <c r="F603" s="6"/>
      <c r="G603" s="1" t="s">
        <v>14726</v>
      </c>
    </row>
    <row r="604" spans="1:7" ht="21" x14ac:dyDescent="0.25">
      <c r="A604" s="2" t="str">
        <f>HYPERLINK("https://rth.dk/resources/bsgatlas/details.php?id=BSGatlas-TSS-603","BSGatlas-TSS-603")</f>
        <v>BSGatlas-TSS-603</v>
      </c>
      <c r="B604" s="3">
        <v>829334</v>
      </c>
      <c r="C604" s="1" t="s">
        <v>9</v>
      </c>
      <c r="D604" s="1">
        <v>22</v>
      </c>
      <c r="E604" s="1" t="s">
        <v>14722</v>
      </c>
      <c r="F604" s="6"/>
      <c r="G604" s="1" t="s">
        <v>14726</v>
      </c>
    </row>
    <row r="605" spans="1:7" ht="21" x14ac:dyDescent="0.25">
      <c r="A605" s="2" t="str">
        <f>HYPERLINK("https://rth.dk/resources/bsgatlas/details.php?id=BSGatlas-TSS-604","BSGatlas-TSS-604")</f>
        <v>BSGatlas-TSS-604</v>
      </c>
      <c r="B605" s="3">
        <v>830920</v>
      </c>
      <c r="C605" s="1" t="s">
        <v>9</v>
      </c>
      <c r="D605" s="1">
        <v>22</v>
      </c>
      <c r="E605" s="1" t="s">
        <v>14722</v>
      </c>
      <c r="F605" s="6"/>
      <c r="G605" s="1" t="s">
        <v>14726</v>
      </c>
    </row>
    <row r="606" spans="1:7" ht="21" x14ac:dyDescent="0.25">
      <c r="A606" s="2" t="str">
        <f>HYPERLINK("https://rth.dk/resources/bsgatlas/details.php?id=BSGatlas-TSS-605","BSGatlas-TSS-605")</f>
        <v>BSGatlas-TSS-605</v>
      </c>
      <c r="B606" s="3">
        <v>834312</v>
      </c>
      <c r="C606" s="1" t="s">
        <v>9</v>
      </c>
      <c r="D606" s="1">
        <v>0</v>
      </c>
      <c r="E606" s="1" t="s">
        <v>14722</v>
      </c>
      <c r="F606" s="6" t="s">
        <v>14832</v>
      </c>
      <c r="G606" s="1" t="s">
        <v>14724</v>
      </c>
    </row>
    <row r="607" spans="1:7" ht="21" x14ac:dyDescent="0.25">
      <c r="A607" s="2" t="str">
        <f>HYPERLINK("https://rth.dk/resources/bsgatlas/details.php?id=BSGatlas-TSS-606","BSGatlas-TSS-606")</f>
        <v>BSGatlas-TSS-606</v>
      </c>
      <c r="B607" s="3">
        <v>835702</v>
      </c>
      <c r="C607" s="1" t="s">
        <v>9</v>
      </c>
      <c r="D607" s="1">
        <v>22</v>
      </c>
      <c r="E607" s="1" t="s">
        <v>14732</v>
      </c>
      <c r="F607" s="6"/>
      <c r="G607" s="1" t="s">
        <v>14726</v>
      </c>
    </row>
    <row r="608" spans="1:7" ht="21" x14ac:dyDescent="0.25">
      <c r="A608" s="2" t="str">
        <f>HYPERLINK("https://rth.dk/resources/bsgatlas/details.php?id=BSGatlas-TSS-607","BSGatlas-TSS-607")</f>
        <v>BSGatlas-TSS-607</v>
      </c>
      <c r="B608" s="3">
        <v>836620</v>
      </c>
      <c r="C608" s="1" t="s">
        <v>9</v>
      </c>
      <c r="D608" s="1">
        <v>22</v>
      </c>
      <c r="E608" s="1" t="s">
        <v>14722</v>
      </c>
      <c r="F608" s="6"/>
      <c r="G608" s="1" t="s">
        <v>14726</v>
      </c>
    </row>
    <row r="609" spans="1:7" ht="21" x14ac:dyDescent="0.25">
      <c r="A609" s="2" t="str">
        <f>HYPERLINK("https://rth.dk/resources/bsgatlas/details.php?id=BSGatlas-TSS-608","BSGatlas-TSS-608")</f>
        <v>BSGatlas-TSS-608</v>
      </c>
      <c r="B609" s="3">
        <v>838038</v>
      </c>
      <c r="C609" s="1" t="s">
        <v>13</v>
      </c>
      <c r="D609" s="1">
        <v>22</v>
      </c>
      <c r="E609" s="1" t="s">
        <v>14722</v>
      </c>
      <c r="F609" s="6"/>
      <c r="G609" s="1" t="s">
        <v>14726</v>
      </c>
    </row>
    <row r="610" spans="1:7" ht="21" x14ac:dyDescent="0.25">
      <c r="A610" s="2" t="str">
        <f>HYPERLINK("https://rth.dk/resources/bsgatlas/details.php?id=BSGatlas-TSS-609","BSGatlas-TSS-609")</f>
        <v>BSGatlas-TSS-609</v>
      </c>
      <c r="B610" s="3">
        <v>839051</v>
      </c>
      <c r="C610" s="1" t="s">
        <v>13</v>
      </c>
      <c r="D610" s="1">
        <v>22</v>
      </c>
      <c r="E610" s="1" t="s">
        <v>14727</v>
      </c>
      <c r="F610" s="6"/>
      <c r="G610" s="1" t="s">
        <v>14733</v>
      </c>
    </row>
    <row r="611" spans="1:7" ht="21" x14ac:dyDescent="0.25">
      <c r="A611" s="2" t="str">
        <f>HYPERLINK("https://rth.dk/resources/bsgatlas/details.php?id=BSGatlas-TSS-610","BSGatlas-TSS-610")</f>
        <v>BSGatlas-TSS-610</v>
      </c>
      <c r="B611" s="3">
        <v>839063</v>
      </c>
      <c r="C611" s="1" t="s">
        <v>9</v>
      </c>
      <c r="D611" s="1">
        <v>22</v>
      </c>
      <c r="E611" s="1" t="s">
        <v>14727</v>
      </c>
      <c r="F611" s="6"/>
      <c r="G611" s="1" t="s">
        <v>14726</v>
      </c>
    </row>
    <row r="612" spans="1:7" ht="21" x14ac:dyDescent="0.25">
      <c r="A612" s="2" t="str">
        <f>HYPERLINK("https://rth.dk/resources/bsgatlas/details.php?id=BSGatlas-TSS-611","BSGatlas-TSS-611")</f>
        <v>BSGatlas-TSS-611</v>
      </c>
      <c r="B612" s="3">
        <v>840515</v>
      </c>
      <c r="C612" s="1" t="s">
        <v>13</v>
      </c>
      <c r="D612" s="1">
        <v>0</v>
      </c>
      <c r="E612" s="1" t="s">
        <v>14722</v>
      </c>
      <c r="F612" s="6" t="s">
        <v>14833</v>
      </c>
      <c r="G612" s="1" t="s">
        <v>14729</v>
      </c>
    </row>
    <row r="613" spans="1:7" ht="21" x14ac:dyDescent="0.25">
      <c r="A613" s="2" t="str">
        <f>HYPERLINK("https://rth.dk/resources/bsgatlas/details.php?id=BSGatlas-TSS-612","BSGatlas-TSS-612")</f>
        <v>BSGatlas-TSS-612</v>
      </c>
      <c r="B613" s="3">
        <v>840626</v>
      </c>
      <c r="C613" s="1" t="s">
        <v>9</v>
      </c>
      <c r="D613" s="1">
        <v>0</v>
      </c>
      <c r="E613" s="1" t="s">
        <v>14722</v>
      </c>
      <c r="F613" s="6">
        <v>23667565</v>
      </c>
      <c r="G613" s="1" t="s">
        <v>14747</v>
      </c>
    </row>
    <row r="614" spans="1:7" ht="21" x14ac:dyDescent="0.25">
      <c r="A614" s="2" t="str">
        <f>HYPERLINK("https://rth.dk/resources/bsgatlas/details.php?id=BSGatlas-TSS-613","BSGatlas-TSS-613")</f>
        <v>BSGatlas-TSS-613</v>
      </c>
      <c r="B614" s="3">
        <v>841664</v>
      </c>
      <c r="C614" s="1" t="s">
        <v>13</v>
      </c>
      <c r="D614" s="1">
        <v>22</v>
      </c>
      <c r="E614" s="1" t="s">
        <v>14725</v>
      </c>
      <c r="F614" s="6"/>
      <c r="G614" s="1" t="s">
        <v>14733</v>
      </c>
    </row>
    <row r="615" spans="1:7" ht="21" x14ac:dyDescent="0.25">
      <c r="A615" s="2" t="str">
        <f>HYPERLINK("https://rth.dk/resources/bsgatlas/details.php?id=BSGatlas-TSS-614","BSGatlas-TSS-614")</f>
        <v>BSGatlas-TSS-614</v>
      </c>
      <c r="B615" s="3">
        <v>843132</v>
      </c>
      <c r="C615" s="1" t="s">
        <v>9</v>
      </c>
      <c r="D615" s="1">
        <v>22</v>
      </c>
      <c r="E615" s="1" t="s">
        <v>14734</v>
      </c>
      <c r="F615" s="6"/>
      <c r="G615" s="1" t="s">
        <v>14733</v>
      </c>
    </row>
    <row r="616" spans="1:7" ht="21" x14ac:dyDescent="0.25">
      <c r="A616" s="2" t="str">
        <f>HYPERLINK("https://rth.dk/resources/bsgatlas/details.php?id=BSGatlas-TSS-615","BSGatlas-TSS-615")</f>
        <v>BSGatlas-TSS-615</v>
      </c>
      <c r="B616" s="3">
        <v>844071</v>
      </c>
      <c r="C616" s="1" t="s">
        <v>13</v>
      </c>
      <c r="D616" s="1">
        <v>22</v>
      </c>
      <c r="E616" s="1" t="s">
        <v>14722</v>
      </c>
      <c r="F616" s="6"/>
      <c r="G616" s="1" t="s">
        <v>14733</v>
      </c>
    </row>
    <row r="617" spans="1:7" ht="21" x14ac:dyDescent="0.25">
      <c r="A617" s="2" t="str">
        <f>HYPERLINK("https://rth.dk/resources/bsgatlas/details.php?id=BSGatlas-TSS-616","BSGatlas-TSS-616")</f>
        <v>BSGatlas-TSS-616</v>
      </c>
      <c r="B617" s="3">
        <v>844212</v>
      </c>
      <c r="C617" s="1" t="s">
        <v>9</v>
      </c>
      <c r="D617" s="1">
        <v>22</v>
      </c>
      <c r="E617" s="1" t="s">
        <v>14722</v>
      </c>
      <c r="F617" s="6"/>
      <c r="G617" s="1" t="s">
        <v>14726</v>
      </c>
    </row>
    <row r="618" spans="1:7" ht="21" x14ac:dyDescent="0.25">
      <c r="A618" s="2" t="str">
        <f>HYPERLINK("https://rth.dk/resources/bsgatlas/details.php?id=BSGatlas-TSS-617","BSGatlas-TSS-617")</f>
        <v>BSGatlas-TSS-617</v>
      </c>
      <c r="B618" s="3">
        <v>844608</v>
      </c>
      <c r="C618" s="1" t="s">
        <v>13</v>
      </c>
      <c r="D618" s="1">
        <v>22</v>
      </c>
      <c r="E618" s="1" t="s">
        <v>14727</v>
      </c>
      <c r="F618" s="6"/>
      <c r="G618" s="1" t="s">
        <v>14733</v>
      </c>
    </row>
    <row r="619" spans="1:7" ht="21" x14ac:dyDescent="0.25">
      <c r="A619" s="2" t="str">
        <f>HYPERLINK("https://rth.dk/resources/bsgatlas/details.php?id=BSGatlas-TSS-618","BSGatlas-TSS-618")</f>
        <v>BSGatlas-TSS-618</v>
      </c>
      <c r="B619" s="3">
        <v>844748</v>
      </c>
      <c r="C619" s="1" t="s">
        <v>9</v>
      </c>
      <c r="D619" s="1">
        <v>0</v>
      </c>
      <c r="E619" s="1" t="s">
        <v>14734</v>
      </c>
      <c r="F619" s="6" t="s">
        <v>14761</v>
      </c>
      <c r="G619" s="1" t="s">
        <v>14729</v>
      </c>
    </row>
    <row r="620" spans="1:7" ht="21" x14ac:dyDescent="0.25">
      <c r="A620" s="2" t="str">
        <f>HYPERLINK("https://rth.dk/resources/bsgatlas/details.php?id=BSGatlas-TSS-619","BSGatlas-TSS-619")</f>
        <v>BSGatlas-TSS-619</v>
      </c>
      <c r="B620" s="3">
        <v>844837</v>
      </c>
      <c r="C620" s="1" t="s">
        <v>13</v>
      </c>
      <c r="D620" s="1">
        <v>22</v>
      </c>
      <c r="E620" s="1" t="s">
        <v>14720</v>
      </c>
      <c r="F620" s="6"/>
      <c r="G620" s="1" t="s">
        <v>14726</v>
      </c>
    </row>
    <row r="621" spans="1:7" ht="21" x14ac:dyDescent="0.25">
      <c r="A621" s="2" t="str">
        <f>HYPERLINK("https://rth.dk/resources/bsgatlas/details.php?id=BSGatlas-TSS-620","BSGatlas-TSS-620")</f>
        <v>BSGatlas-TSS-620</v>
      </c>
      <c r="B621" s="3">
        <v>850227</v>
      </c>
      <c r="C621" s="1" t="s">
        <v>13</v>
      </c>
      <c r="D621" s="1">
        <v>22</v>
      </c>
      <c r="E621" s="1" t="s">
        <v>14732</v>
      </c>
      <c r="F621" s="6"/>
      <c r="G621" s="1" t="s">
        <v>14726</v>
      </c>
    </row>
    <row r="622" spans="1:7" ht="21" x14ac:dyDescent="0.25">
      <c r="A622" s="2" t="str">
        <f>HYPERLINK("https://rth.dk/resources/bsgatlas/details.php?id=BSGatlas-TSS-621","BSGatlas-TSS-621")</f>
        <v>BSGatlas-TSS-621</v>
      </c>
      <c r="B622" s="3">
        <v>850321</v>
      </c>
      <c r="C622" s="1" t="s">
        <v>9</v>
      </c>
      <c r="D622" s="1">
        <v>0</v>
      </c>
      <c r="E622" s="1" t="s">
        <v>14722</v>
      </c>
      <c r="F622" s="6" t="s">
        <v>14834</v>
      </c>
      <c r="G622" s="1" t="s">
        <v>14729</v>
      </c>
    </row>
    <row r="623" spans="1:7" ht="21" x14ac:dyDescent="0.25">
      <c r="A623" s="2" t="str">
        <f>HYPERLINK("https://rth.dk/resources/bsgatlas/details.php?id=BSGatlas-TSS-622","BSGatlas-TSS-622")</f>
        <v>BSGatlas-TSS-622</v>
      </c>
      <c r="B623" s="3">
        <v>850425</v>
      </c>
      <c r="C623" s="1" t="s">
        <v>13</v>
      </c>
      <c r="D623" s="1">
        <v>22</v>
      </c>
      <c r="E623" s="1" t="s">
        <v>14720</v>
      </c>
      <c r="F623" s="6"/>
      <c r="G623" s="1" t="s">
        <v>14726</v>
      </c>
    </row>
    <row r="624" spans="1:7" ht="21" x14ac:dyDescent="0.25">
      <c r="A624" s="2" t="str">
        <f>HYPERLINK("https://rth.dk/resources/bsgatlas/details.php?id=BSGatlas-TSS-623","BSGatlas-TSS-623")</f>
        <v>BSGatlas-TSS-623</v>
      </c>
      <c r="B624" s="3">
        <v>852163</v>
      </c>
      <c r="C624" s="1" t="s">
        <v>13</v>
      </c>
      <c r="D624" s="1">
        <v>22</v>
      </c>
      <c r="E624" s="1" t="s">
        <v>14739</v>
      </c>
      <c r="F624" s="6"/>
      <c r="G624" s="1" t="s">
        <v>14726</v>
      </c>
    </row>
    <row r="625" spans="1:7" ht="21" x14ac:dyDescent="0.25">
      <c r="A625" s="2" t="str">
        <f>HYPERLINK("https://rth.dk/resources/bsgatlas/details.php?id=BSGatlas-TSS-624","BSGatlas-TSS-624")</f>
        <v>BSGatlas-TSS-624</v>
      </c>
      <c r="B625" s="3">
        <v>853531</v>
      </c>
      <c r="C625" s="1" t="s">
        <v>9</v>
      </c>
      <c r="D625" s="1">
        <v>22</v>
      </c>
      <c r="E625" s="1" t="s">
        <v>14722</v>
      </c>
      <c r="F625" s="6"/>
      <c r="G625" s="1" t="s">
        <v>14726</v>
      </c>
    </row>
    <row r="626" spans="1:7" ht="21" x14ac:dyDescent="0.25">
      <c r="A626" s="2" t="str">
        <f>HYPERLINK("https://rth.dk/resources/bsgatlas/details.php?id=BSGatlas-TSS-625","BSGatlas-TSS-625")</f>
        <v>BSGatlas-TSS-625</v>
      </c>
      <c r="B626" s="3">
        <v>854375</v>
      </c>
      <c r="C626" s="1" t="s">
        <v>9</v>
      </c>
      <c r="D626" s="1">
        <v>22</v>
      </c>
      <c r="E626" s="1" t="s">
        <v>14722</v>
      </c>
      <c r="F626" s="6"/>
      <c r="G626" s="1" t="s">
        <v>14726</v>
      </c>
    </row>
    <row r="627" spans="1:7" ht="21" x14ac:dyDescent="0.25">
      <c r="A627" s="2" t="str">
        <f>HYPERLINK("https://rth.dk/resources/bsgatlas/details.php?id=BSGatlas-TSS-626","BSGatlas-TSS-626")</f>
        <v>BSGatlas-TSS-626</v>
      </c>
      <c r="B627" s="3">
        <v>859552</v>
      </c>
      <c r="C627" s="1" t="s">
        <v>13</v>
      </c>
      <c r="D627" s="1">
        <v>22</v>
      </c>
      <c r="E627" s="1" t="s">
        <v>14722</v>
      </c>
      <c r="F627" s="6"/>
      <c r="G627" s="1" t="s">
        <v>14726</v>
      </c>
    </row>
    <row r="628" spans="1:7" ht="21" x14ac:dyDescent="0.25">
      <c r="A628" s="2" t="str">
        <f>HYPERLINK("https://rth.dk/resources/bsgatlas/details.php?id=BSGatlas-TSS-627","BSGatlas-TSS-627")</f>
        <v>BSGatlas-TSS-627</v>
      </c>
      <c r="B628" s="3">
        <v>859702</v>
      </c>
      <c r="C628" s="1" t="s">
        <v>9</v>
      </c>
      <c r="D628" s="1">
        <v>22</v>
      </c>
      <c r="E628" s="1" t="s">
        <v>14734</v>
      </c>
      <c r="F628" s="6"/>
      <c r="G628" s="1" t="s">
        <v>14726</v>
      </c>
    </row>
    <row r="629" spans="1:7" ht="21" x14ac:dyDescent="0.25">
      <c r="A629" s="2" t="str">
        <f>HYPERLINK("https://rth.dk/resources/bsgatlas/details.php?id=BSGatlas-TSS-628","BSGatlas-TSS-628")</f>
        <v>BSGatlas-TSS-628</v>
      </c>
      <c r="B629" s="3">
        <v>861847</v>
      </c>
      <c r="C629" s="1" t="s">
        <v>13</v>
      </c>
      <c r="D629" s="1">
        <v>22</v>
      </c>
      <c r="E629" s="1" t="s">
        <v>14722</v>
      </c>
      <c r="F629" s="6"/>
      <c r="G629" s="1" t="s">
        <v>14726</v>
      </c>
    </row>
    <row r="630" spans="1:7" ht="21" x14ac:dyDescent="0.25">
      <c r="A630" s="2" t="str">
        <f>HYPERLINK("https://rth.dk/resources/bsgatlas/details.php?id=BSGatlas-TSS-629","BSGatlas-TSS-629")</f>
        <v>BSGatlas-TSS-629</v>
      </c>
      <c r="B630" s="3">
        <v>861953</v>
      </c>
      <c r="C630" s="1" t="s">
        <v>9</v>
      </c>
      <c r="D630" s="1">
        <v>0</v>
      </c>
      <c r="E630" s="1" t="s">
        <v>14722</v>
      </c>
      <c r="F630" s="6" t="s">
        <v>14812</v>
      </c>
      <c r="G630" s="1" t="s">
        <v>14729</v>
      </c>
    </row>
    <row r="631" spans="1:7" ht="21" x14ac:dyDescent="0.25">
      <c r="A631" s="2" t="str">
        <f>HYPERLINK("https://rth.dk/resources/bsgatlas/details.php?id=BSGatlas-TSS-630","BSGatlas-TSS-630")</f>
        <v>BSGatlas-TSS-630</v>
      </c>
      <c r="B631" s="3">
        <v>861992</v>
      </c>
      <c r="C631" s="1" t="s">
        <v>9</v>
      </c>
      <c r="D631" s="1">
        <v>0</v>
      </c>
      <c r="E631" s="1" t="s">
        <v>14734</v>
      </c>
      <c r="F631" s="6" t="s">
        <v>14812</v>
      </c>
      <c r="G631" s="1" t="s">
        <v>4382</v>
      </c>
    </row>
    <row r="632" spans="1:7" ht="21" x14ac:dyDescent="0.25">
      <c r="A632" s="2" t="str">
        <f>HYPERLINK("https://rth.dk/resources/bsgatlas/details.php?id=BSGatlas-TSS-631","BSGatlas-TSS-631")</f>
        <v>BSGatlas-TSS-631</v>
      </c>
      <c r="B632" s="3">
        <v>863681</v>
      </c>
      <c r="C632" s="1" t="s">
        <v>9</v>
      </c>
      <c r="D632" s="1">
        <v>22</v>
      </c>
      <c r="E632" s="1" t="s">
        <v>14732</v>
      </c>
      <c r="F632" s="6"/>
      <c r="G632" s="1" t="s">
        <v>14726</v>
      </c>
    </row>
    <row r="633" spans="1:7" ht="21" x14ac:dyDescent="0.25">
      <c r="A633" s="2" t="str">
        <f>HYPERLINK("https://rth.dk/resources/bsgatlas/details.php?id=BSGatlas-TSS-632","BSGatlas-TSS-632")</f>
        <v>BSGatlas-TSS-632</v>
      </c>
      <c r="B633" s="3">
        <v>864500</v>
      </c>
      <c r="C633" s="1" t="s">
        <v>9</v>
      </c>
      <c r="D633" s="1">
        <v>22</v>
      </c>
      <c r="E633" s="1" t="s">
        <v>14734</v>
      </c>
      <c r="F633" s="6"/>
      <c r="G633" s="1" t="s">
        <v>14733</v>
      </c>
    </row>
    <row r="634" spans="1:7" ht="21" x14ac:dyDescent="0.25">
      <c r="A634" s="2" t="str">
        <f>HYPERLINK("https://rth.dk/resources/bsgatlas/details.php?id=BSGatlas-TSS-633","BSGatlas-TSS-633")</f>
        <v>BSGatlas-TSS-633</v>
      </c>
      <c r="B634" s="3">
        <v>865077</v>
      </c>
      <c r="C634" s="1" t="s">
        <v>13</v>
      </c>
      <c r="D634" s="1">
        <v>22</v>
      </c>
      <c r="E634" s="1" t="s">
        <v>14722</v>
      </c>
      <c r="F634" s="6"/>
      <c r="G634" s="1" t="s">
        <v>14726</v>
      </c>
    </row>
    <row r="635" spans="1:7" ht="21" x14ac:dyDescent="0.25">
      <c r="A635" s="2" t="str">
        <f>HYPERLINK("https://rth.dk/resources/bsgatlas/details.php?id=BSGatlas-TSS-634","BSGatlas-TSS-634")</f>
        <v>BSGatlas-TSS-634</v>
      </c>
      <c r="B635" s="3">
        <v>865155</v>
      </c>
      <c r="C635" s="1" t="s">
        <v>9</v>
      </c>
      <c r="D635" s="1">
        <v>22</v>
      </c>
      <c r="E635" s="1" t="s">
        <v>14727</v>
      </c>
      <c r="F635" s="6"/>
      <c r="G635" s="1" t="s">
        <v>14726</v>
      </c>
    </row>
    <row r="636" spans="1:7" ht="21" x14ac:dyDescent="0.25">
      <c r="A636" s="2" t="str">
        <f>HYPERLINK("https://rth.dk/resources/bsgatlas/details.php?id=BSGatlas-TSS-635","BSGatlas-TSS-635")</f>
        <v>BSGatlas-TSS-635</v>
      </c>
      <c r="B636" s="3">
        <v>866299</v>
      </c>
      <c r="C636" s="1" t="s">
        <v>9</v>
      </c>
      <c r="D636" s="1">
        <v>22</v>
      </c>
      <c r="E636" s="1" t="s">
        <v>14732</v>
      </c>
      <c r="F636" s="6"/>
      <c r="G636" s="1" t="s">
        <v>14726</v>
      </c>
    </row>
    <row r="637" spans="1:7" ht="21" x14ac:dyDescent="0.25">
      <c r="A637" s="2" t="str">
        <f>HYPERLINK("https://rth.dk/resources/bsgatlas/details.php?id=BSGatlas-TSS-636","BSGatlas-TSS-636")</f>
        <v>BSGatlas-TSS-636</v>
      </c>
      <c r="B637" s="3">
        <v>869187</v>
      </c>
      <c r="C637" s="1" t="s">
        <v>13</v>
      </c>
      <c r="D637" s="1">
        <v>22</v>
      </c>
      <c r="E637" s="1" t="s">
        <v>14722</v>
      </c>
      <c r="F637" s="6"/>
      <c r="G637" s="1" t="s">
        <v>14726</v>
      </c>
    </row>
    <row r="638" spans="1:7" ht="21" x14ac:dyDescent="0.25">
      <c r="A638" s="2" t="str">
        <f>HYPERLINK("https://rth.dk/resources/bsgatlas/details.php?id=BSGatlas-TSS-637","BSGatlas-TSS-637")</f>
        <v>BSGatlas-TSS-637</v>
      </c>
      <c r="B638" s="3">
        <v>869247</v>
      </c>
      <c r="C638" s="1" t="s">
        <v>9</v>
      </c>
      <c r="D638" s="1">
        <v>22</v>
      </c>
      <c r="E638" s="1" t="s">
        <v>14722</v>
      </c>
      <c r="F638" s="6"/>
      <c r="G638" s="1" t="s">
        <v>14726</v>
      </c>
    </row>
    <row r="639" spans="1:7" ht="21" x14ac:dyDescent="0.25">
      <c r="A639" s="2" t="str">
        <f>HYPERLINK("https://rth.dk/resources/bsgatlas/details.php?id=BSGatlas-TSS-638","BSGatlas-TSS-638")</f>
        <v>BSGatlas-TSS-638</v>
      </c>
      <c r="B639" s="3">
        <v>869513</v>
      </c>
      <c r="C639" s="1" t="s">
        <v>9</v>
      </c>
      <c r="D639" s="1">
        <v>22</v>
      </c>
      <c r="E639" s="1" t="s">
        <v>14732</v>
      </c>
      <c r="F639" s="6"/>
      <c r="G639" s="1" t="s">
        <v>14726</v>
      </c>
    </row>
    <row r="640" spans="1:7" ht="21" x14ac:dyDescent="0.25">
      <c r="A640" s="2" t="str">
        <f>HYPERLINK("https://rth.dk/resources/bsgatlas/details.php?id=BSGatlas-TSS-639","BSGatlas-TSS-639")</f>
        <v>BSGatlas-TSS-639</v>
      </c>
      <c r="B640" s="3">
        <v>871282</v>
      </c>
      <c r="C640" s="1" t="s">
        <v>13</v>
      </c>
      <c r="D640" s="1">
        <v>22</v>
      </c>
      <c r="E640" s="1" t="s">
        <v>14722</v>
      </c>
      <c r="F640" s="6"/>
      <c r="G640" s="1" t="s">
        <v>14726</v>
      </c>
    </row>
    <row r="641" spans="1:7" ht="21" x14ac:dyDescent="0.25">
      <c r="A641" s="2" t="str">
        <f>HYPERLINK("https://rth.dk/resources/bsgatlas/details.php?id=BSGatlas-TSS-640","BSGatlas-TSS-640")</f>
        <v>BSGatlas-TSS-640</v>
      </c>
      <c r="B641" s="3">
        <v>872320</v>
      </c>
      <c r="C641" s="1" t="s">
        <v>13</v>
      </c>
      <c r="D641" s="1">
        <v>22</v>
      </c>
      <c r="E641" s="1" t="s">
        <v>14722</v>
      </c>
      <c r="F641" s="6"/>
      <c r="G641" s="1" t="s">
        <v>14726</v>
      </c>
    </row>
    <row r="642" spans="1:7" ht="21" x14ac:dyDescent="0.25">
      <c r="A642" s="2" t="str">
        <f>HYPERLINK("https://rth.dk/resources/bsgatlas/details.php?id=BSGatlas-TSS-641","BSGatlas-TSS-641")</f>
        <v>BSGatlas-TSS-641</v>
      </c>
      <c r="B642" s="3">
        <v>872394</v>
      </c>
      <c r="C642" s="1" t="s">
        <v>9</v>
      </c>
      <c r="D642" s="1">
        <v>22</v>
      </c>
      <c r="E642" s="1" t="s">
        <v>14722</v>
      </c>
      <c r="F642" s="6"/>
      <c r="G642" s="1" t="s">
        <v>14726</v>
      </c>
    </row>
    <row r="643" spans="1:7" ht="21" x14ac:dyDescent="0.25">
      <c r="A643" s="2" t="str">
        <f>HYPERLINK("https://rth.dk/resources/bsgatlas/details.php?id=BSGatlas-TSS-642","BSGatlas-TSS-642")</f>
        <v>BSGatlas-TSS-642</v>
      </c>
      <c r="B643" s="3">
        <v>875137</v>
      </c>
      <c r="C643" s="1" t="s">
        <v>9</v>
      </c>
      <c r="D643" s="1">
        <v>22</v>
      </c>
      <c r="E643" s="1" t="s">
        <v>14722</v>
      </c>
      <c r="F643" s="6"/>
      <c r="G643" s="1" t="s">
        <v>14733</v>
      </c>
    </row>
    <row r="644" spans="1:7" ht="21" x14ac:dyDescent="0.25">
      <c r="A644" s="2" t="str">
        <f>HYPERLINK("https://rth.dk/resources/bsgatlas/details.php?id=BSGatlas-TSS-643","BSGatlas-TSS-643")</f>
        <v>BSGatlas-TSS-643</v>
      </c>
      <c r="B644" s="3">
        <v>875660</v>
      </c>
      <c r="C644" s="1" t="s">
        <v>13</v>
      </c>
      <c r="D644" s="1">
        <v>22</v>
      </c>
      <c r="E644" s="1" t="s">
        <v>14722</v>
      </c>
      <c r="F644" s="6"/>
      <c r="G644" s="1" t="s">
        <v>14726</v>
      </c>
    </row>
    <row r="645" spans="1:7" ht="21" x14ac:dyDescent="0.25">
      <c r="A645" s="2" t="str">
        <f>HYPERLINK("https://rth.dk/resources/bsgatlas/details.php?id=BSGatlas-TSS-644","BSGatlas-TSS-644")</f>
        <v>BSGatlas-TSS-644</v>
      </c>
      <c r="B645" s="3">
        <v>876178</v>
      </c>
      <c r="C645" s="1" t="s">
        <v>9</v>
      </c>
      <c r="D645" s="1">
        <v>22</v>
      </c>
      <c r="E645" s="1" t="s">
        <v>14722</v>
      </c>
      <c r="F645" s="6"/>
      <c r="G645" s="1" t="s">
        <v>14733</v>
      </c>
    </row>
    <row r="646" spans="1:7" ht="21" x14ac:dyDescent="0.25">
      <c r="A646" s="2" t="str">
        <f>HYPERLINK("https://rth.dk/resources/bsgatlas/details.php?id=BSGatlas-TSS-645","BSGatlas-TSS-645")</f>
        <v>BSGatlas-TSS-645</v>
      </c>
      <c r="B646" s="3">
        <v>877564</v>
      </c>
      <c r="C646" s="1" t="s">
        <v>9</v>
      </c>
      <c r="D646" s="1">
        <v>22</v>
      </c>
      <c r="E646" s="1" t="s">
        <v>14722</v>
      </c>
      <c r="F646" s="6"/>
      <c r="G646" s="1" t="s">
        <v>14726</v>
      </c>
    </row>
    <row r="647" spans="1:7" ht="21" x14ac:dyDescent="0.25">
      <c r="A647" s="2" t="str">
        <f>HYPERLINK("https://rth.dk/resources/bsgatlas/details.php?id=BSGatlas-TSS-646","BSGatlas-TSS-646")</f>
        <v>BSGatlas-TSS-646</v>
      </c>
      <c r="B647" s="3">
        <v>878974</v>
      </c>
      <c r="C647" s="1" t="s">
        <v>9</v>
      </c>
      <c r="D647" s="1">
        <v>0</v>
      </c>
      <c r="E647" s="1" t="s">
        <v>14825</v>
      </c>
      <c r="F647" s="6" t="s">
        <v>14835</v>
      </c>
      <c r="G647" s="1" t="s">
        <v>14729</v>
      </c>
    </row>
    <row r="648" spans="1:7" ht="21" x14ac:dyDescent="0.25">
      <c r="A648" s="2" t="str">
        <f>HYPERLINK("https://rth.dk/resources/bsgatlas/details.php?id=BSGatlas-TSS-647","BSGatlas-TSS-647")</f>
        <v>BSGatlas-TSS-647</v>
      </c>
      <c r="B648" s="3">
        <v>883717</v>
      </c>
      <c r="C648" s="1" t="s">
        <v>9</v>
      </c>
      <c r="D648" s="1">
        <v>22</v>
      </c>
      <c r="E648" s="1" t="s">
        <v>14722</v>
      </c>
      <c r="F648" s="6"/>
      <c r="G648" s="1" t="s">
        <v>14726</v>
      </c>
    </row>
    <row r="649" spans="1:7" ht="21" x14ac:dyDescent="0.25">
      <c r="A649" s="2" t="str">
        <f>HYPERLINK("https://rth.dk/resources/bsgatlas/details.php?id=BSGatlas-TSS-648","BSGatlas-TSS-648")</f>
        <v>BSGatlas-TSS-648</v>
      </c>
      <c r="B649" s="3">
        <v>885613</v>
      </c>
      <c r="C649" s="1" t="s">
        <v>9</v>
      </c>
      <c r="D649" s="1">
        <v>0</v>
      </c>
      <c r="E649" s="1" t="s">
        <v>14743</v>
      </c>
      <c r="F649" s="6">
        <v>10333516</v>
      </c>
      <c r="G649" s="1" t="s">
        <v>14730</v>
      </c>
    </row>
    <row r="650" spans="1:7" ht="21" x14ac:dyDescent="0.25">
      <c r="A650" s="2" t="str">
        <f>HYPERLINK("https://rth.dk/resources/bsgatlas/details.php?id=BSGatlas-TSS-649","BSGatlas-TSS-649")</f>
        <v>BSGatlas-TSS-649</v>
      </c>
      <c r="B650" s="3">
        <v>887211</v>
      </c>
      <c r="C650" s="1" t="s">
        <v>9</v>
      </c>
      <c r="D650" s="1">
        <v>22</v>
      </c>
      <c r="E650" s="1" t="s">
        <v>14727</v>
      </c>
      <c r="F650" s="6"/>
      <c r="G650" s="1" t="s">
        <v>14726</v>
      </c>
    </row>
    <row r="651" spans="1:7" ht="21" x14ac:dyDescent="0.25">
      <c r="A651" s="2" t="str">
        <f>HYPERLINK("https://rth.dk/resources/bsgatlas/details.php?id=BSGatlas-TSS-650","BSGatlas-TSS-650")</f>
        <v>BSGatlas-TSS-650</v>
      </c>
      <c r="B651" s="3">
        <v>889747</v>
      </c>
      <c r="C651" s="1" t="s">
        <v>13</v>
      </c>
      <c r="D651" s="1">
        <v>22</v>
      </c>
      <c r="E651" s="1" t="s">
        <v>14722</v>
      </c>
      <c r="F651" s="6"/>
      <c r="G651" s="1" t="s">
        <v>14726</v>
      </c>
    </row>
    <row r="652" spans="1:7" ht="21" x14ac:dyDescent="0.25">
      <c r="A652" s="2" t="str">
        <f>HYPERLINK("https://rth.dk/resources/bsgatlas/details.php?id=BSGatlas-TSS-651","BSGatlas-TSS-651")</f>
        <v>BSGatlas-TSS-651</v>
      </c>
      <c r="B652" s="3">
        <v>889996</v>
      </c>
      <c r="C652" s="1" t="s">
        <v>9</v>
      </c>
      <c r="D652" s="1">
        <v>0</v>
      </c>
      <c r="E652" s="1" t="s">
        <v>14722</v>
      </c>
      <c r="F652" s="6" t="s">
        <v>14836</v>
      </c>
      <c r="G652" s="1" t="s">
        <v>14729</v>
      </c>
    </row>
    <row r="653" spans="1:7" ht="21" x14ac:dyDescent="0.25">
      <c r="A653" s="2" t="str">
        <f>HYPERLINK("https://rth.dk/resources/bsgatlas/details.php?id=BSGatlas-TSS-652","BSGatlas-TSS-652")</f>
        <v>BSGatlas-TSS-652</v>
      </c>
      <c r="B653" s="3">
        <v>891402</v>
      </c>
      <c r="C653" s="1" t="s">
        <v>9</v>
      </c>
      <c r="D653" s="1">
        <v>22</v>
      </c>
      <c r="E653" s="1" t="s">
        <v>14722</v>
      </c>
      <c r="F653" s="6"/>
      <c r="G653" s="1" t="s">
        <v>14726</v>
      </c>
    </row>
    <row r="654" spans="1:7" ht="21" x14ac:dyDescent="0.25">
      <c r="A654" s="2" t="str">
        <f>HYPERLINK("https://rth.dk/resources/bsgatlas/details.php?id=BSGatlas-TSS-653","BSGatlas-TSS-653")</f>
        <v>BSGatlas-TSS-653</v>
      </c>
      <c r="B654" s="3">
        <v>891610</v>
      </c>
      <c r="C654" s="1" t="s">
        <v>13</v>
      </c>
      <c r="D654" s="1">
        <v>22</v>
      </c>
      <c r="E654" s="1" t="s">
        <v>14720</v>
      </c>
      <c r="F654" s="6"/>
      <c r="G654" s="1" t="s">
        <v>14726</v>
      </c>
    </row>
    <row r="655" spans="1:7" ht="21" x14ac:dyDescent="0.25">
      <c r="A655" s="2" t="str">
        <f>HYPERLINK("https://rth.dk/resources/bsgatlas/details.php?id=BSGatlas-TSS-654","BSGatlas-TSS-654")</f>
        <v>BSGatlas-TSS-654</v>
      </c>
      <c r="B655" s="3">
        <v>893857</v>
      </c>
      <c r="C655" s="1" t="s">
        <v>9</v>
      </c>
      <c r="D655" s="1">
        <v>22</v>
      </c>
      <c r="E655" s="1" t="s">
        <v>14722</v>
      </c>
      <c r="F655" s="6"/>
      <c r="G655" s="1" t="s">
        <v>14726</v>
      </c>
    </row>
    <row r="656" spans="1:7" ht="21" x14ac:dyDescent="0.25">
      <c r="A656" s="2" t="str">
        <f>HYPERLINK("https://rth.dk/resources/bsgatlas/details.php?id=BSGatlas-TSS-655","BSGatlas-TSS-655")</f>
        <v>BSGatlas-TSS-655</v>
      </c>
      <c r="B656" s="3">
        <v>897540</v>
      </c>
      <c r="C656" s="1" t="s">
        <v>9</v>
      </c>
      <c r="D656" s="1">
        <v>22</v>
      </c>
      <c r="E656" s="1" t="s">
        <v>14722</v>
      </c>
      <c r="F656" s="6"/>
      <c r="G656" s="1" t="s">
        <v>14726</v>
      </c>
    </row>
    <row r="657" spans="1:7" ht="21" x14ac:dyDescent="0.25">
      <c r="A657" s="2" t="str">
        <f>HYPERLINK("https://rth.dk/resources/bsgatlas/details.php?id=BSGatlas-TSS-656","BSGatlas-TSS-656")</f>
        <v>BSGatlas-TSS-656</v>
      </c>
      <c r="B657" s="3">
        <v>899860</v>
      </c>
      <c r="C657" s="1" t="s">
        <v>13</v>
      </c>
      <c r="D657" s="1">
        <v>22</v>
      </c>
      <c r="E657" s="1" t="s">
        <v>14720</v>
      </c>
      <c r="F657" s="6"/>
      <c r="G657" s="1" t="s">
        <v>14726</v>
      </c>
    </row>
    <row r="658" spans="1:7" ht="21" x14ac:dyDescent="0.25">
      <c r="A658" s="2" t="str">
        <f>HYPERLINK("https://rth.dk/resources/bsgatlas/details.php?id=BSGatlas-TSS-657","BSGatlas-TSS-657")</f>
        <v>BSGatlas-TSS-657</v>
      </c>
      <c r="B658" s="3">
        <v>903786</v>
      </c>
      <c r="C658" s="1" t="s">
        <v>9</v>
      </c>
      <c r="D658" s="1">
        <v>22</v>
      </c>
      <c r="E658" s="1" t="s">
        <v>14722</v>
      </c>
      <c r="F658" s="6"/>
      <c r="G658" s="1" t="s">
        <v>14726</v>
      </c>
    </row>
    <row r="659" spans="1:7" ht="21" x14ac:dyDescent="0.25">
      <c r="A659" s="2" t="str">
        <f>HYPERLINK("https://rth.dk/resources/bsgatlas/details.php?id=BSGatlas-TSS-658","BSGatlas-TSS-658")</f>
        <v>BSGatlas-TSS-658</v>
      </c>
      <c r="B659" s="3">
        <v>908100</v>
      </c>
      <c r="C659" s="1" t="s">
        <v>9</v>
      </c>
      <c r="D659" s="1">
        <v>22</v>
      </c>
      <c r="E659" s="1" t="s">
        <v>14727</v>
      </c>
      <c r="F659" s="6"/>
      <c r="G659" s="1" t="s">
        <v>14726</v>
      </c>
    </row>
    <row r="660" spans="1:7" ht="21" x14ac:dyDescent="0.25">
      <c r="A660" s="2" t="str">
        <f>HYPERLINK("https://rth.dk/resources/bsgatlas/details.php?id=BSGatlas-TSS-659","BSGatlas-TSS-659")</f>
        <v>BSGatlas-TSS-659</v>
      </c>
      <c r="B660" s="3">
        <v>909826</v>
      </c>
      <c r="C660" s="1" t="s">
        <v>13</v>
      </c>
      <c r="D660" s="1">
        <v>22</v>
      </c>
      <c r="E660" s="1" t="s">
        <v>14722</v>
      </c>
      <c r="F660" s="6"/>
      <c r="G660" s="1" t="s">
        <v>14733</v>
      </c>
    </row>
    <row r="661" spans="1:7" ht="21" x14ac:dyDescent="0.25">
      <c r="A661" s="2" t="str">
        <f>HYPERLINK("https://rth.dk/resources/bsgatlas/details.php?id=BSGatlas-TSS-660","BSGatlas-TSS-660")</f>
        <v>BSGatlas-TSS-660</v>
      </c>
      <c r="B661" s="3">
        <v>909975</v>
      </c>
      <c r="C661" s="1" t="s">
        <v>9</v>
      </c>
      <c r="D661" s="1">
        <v>22</v>
      </c>
      <c r="E661" s="1" t="s">
        <v>14722</v>
      </c>
      <c r="F661" s="6"/>
      <c r="G661" s="1" t="s">
        <v>14726</v>
      </c>
    </row>
    <row r="662" spans="1:7" ht="21" x14ac:dyDescent="0.25">
      <c r="A662" s="2" t="str">
        <f>HYPERLINK("https://rth.dk/resources/bsgatlas/details.php?id=BSGatlas-TSS-661","BSGatlas-TSS-661")</f>
        <v>BSGatlas-TSS-661</v>
      </c>
      <c r="B662" s="3">
        <v>910795</v>
      </c>
      <c r="C662" s="1" t="s">
        <v>9</v>
      </c>
      <c r="D662" s="1">
        <v>22</v>
      </c>
      <c r="E662" s="1" t="s">
        <v>14722</v>
      </c>
      <c r="F662" s="6"/>
      <c r="G662" s="1" t="s">
        <v>14726</v>
      </c>
    </row>
    <row r="663" spans="1:7" ht="21" x14ac:dyDescent="0.25">
      <c r="A663" s="2" t="str">
        <f>HYPERLINK("https://rth.dk/resources/bsgatlas/details.php?id=BSGatlas-TSS-662","BSGatlas-TSS-662")</f>
        <v>BSGatlas-TSS-662</v>
      </c>
      <c r="B663" s="3">
        <v>911718</v>
      </c>
      <c r="C663" s="1" t="s">
        <v>13</v>
      </c>
      <c r="D663" s="1">
        <v>22</v>
      </c>
      <c r="E663" s="1" t="s">
        <v>14725</v>
      </c>
      <c r="F663" s="6"/>
      <c r="G663" s="1" t="s">
        <v>14726</v>
      </c>
    </row>
    <row r="664" spans="1:7" ht="21" x14ac:dyDescent="0.25">
      <c r="A664" s="2" t="str">
        <f>HYPERLINK("https://rth.dk/resources/bsgatlas/details.php?id=BSGatlas-TSS-663","BSGatlas-TSS-663")</f>
        <v>BSGatlas-TSS-663</v>
      </c>
      <c r="B664" s="3">
        <v>912620</v>
      </c>
      <c r="C664" s="1" t="s">
        <v>13</v>
      </c>
      <c r="D664" s="1">
        <v>22</v>
      </c>
      <c r="E664" s="1" t="s">
        <v>14722</v>
      </c>
      <c r="F664" s="6"/>
      <c r="G664" s="1" t="s">
        <v>14726</v>
      </c>
    </row>
    <row r="665" spans="1:7" ht="21" x14ac:dyDescent="0.25">
      <c r="A665" s="2" t="str">
        <f>HYPERLINK("https://rth.dk/resources/bsgatlas/details.php?id=BSGatlas-TSS-664","BSGatlas-TSS-664")</f>
        <v>BSGatlas-TSS-664</v>
      </c>
      <c r="B665" s="3">
        <v>913852</v>
      </c>
      <c r="C665" s="1" t="s">
        <v>13</v>
      </c>
      <c r="D665" s="1">
        <v>22</v>
      </c>
      <c r="E665" s="1" t="s">
        <v>14722</v>
      </c>
      <c r="F665" s="6"/>
      <c r="G665" s="1" t="s">
        <v>14726</v>
      </c>
    </row>
    <row r="666" spans="1:7" ht="21" x14ac:dyDescent="0.25">
      <c r="A666" s="2" t="str">
        <f>HYPERLINK("https://rth.dk/resources/bsgatlas/details.php?id=BSGatlas-TSS-665","BSGatlas-TSS-665")</f>
        <v>BSGatlas-TSS-665</v>
      </c>
      <c r="B666" s="3">
        <v>913884</v>
      </c>
      <c r="C666" s="1" t="s">
        <v>9</v>
      </c>
      <c r="D666" s="1">
        <v>22</v>
      </c>
      <c r="E666" s="1" t="s">
        <v>14722</v>
      </c>
      <c r="F666" s="6"/>
      <c r="G666" s="1" t="s">
        <v>14726</v>
      </c>
    </row>
    <row r="667" spans="1:7" ht="21" x14ac:dyDescent="0.25">
      <c r="A667" s="2" t="str">
        <f>HYPERLINK("https://rth.dk/resources/bsgatlas/details.php?id=BSGatlas-TSS-666","BSGatlas-TSS-666")</f>
        <v>BSGatlas-TSS-666</v>
      </c>
      <c r="B667" s="3">
        <v>916052</v>
      </c>
      <c r="C667" s="1" t="s">
        <v>13</v>
      </c>
      <c r="D667" s="1">
        <v>22</v>
      </c>
      <c r="E667" s="1" t="s">
        <v>14727</v>
      </c>
      <c r="F667" s="6"/>
      <c r="G667" s="1" t="s">
        <v>14726</v>
      </c>
    </row>
    <row r="668" spans="1:7" ht="21" x14ac:dyDescent="0.25">
      <c r="A668" s="2" t="str">
        <f>HYPERLINK("https://rth.dk/resources/bsgatlas/details.php?id=BSGatlas-TSS-667","BSGatlas-TSS-667")</f>
        <v>BSGatlas-TSS-667</v>
      </c>
      <c r="B668" s="3">
        <v>916647</v>
      </c>
      <c r="C668" s="1" t="s">
        <v>13</v>
      </c>
      <c r="D668" s="1">
        <v>22</v>
      </c>
      <c r="E668" s="1" t="s">
        <v>14722</v>
      </c>
      <c r="F668" s="6"/>
      <c r="G668" s="1" t="s">
        <v>14726</v>
      </c>
    </row>
    <row r="669" spans="1:7" ht="21" x14ac:dyDescent="0.25">
      <c r="A669" s="2" t="str">
        <f>HYPERLINK("https://rth.dk/resources/bsgatlas/details.php?id=BSGatlas-TSS-668","BSGatlas-TSS-668")</f>
        <v>BSGatlas-TSS-668</v>
      </c>
      <c r="B669" s="3">
        <v>916721</v>
      </c>
      <c r="C669" s="1" t="s">
        <v>9</v>
      </c>
      <c r="D669" s="1">
        <v>22</v>
      </c>
      <c r="E669" s="1" t="s">
        <v>14722</v>
      </c>
      <c r="F669" s="6"/>
      <c r="G669" s="1" t="s">
        <v>14726</v>
      </c>
    </row>
    <row r="670" spans="1:7" ht="21" x14ac:dyDescent="0.25">
      <c r="A670" s="2" t="str">
        <f>HYPERLINK("https://rth.dk/resources/bsgatlas/details.php?id=BSGatlas-TSS-669","BSGatlas-TSS-669")</f>
        <v>BSGatlas-TSS-669</v>
      </c>
      <c r="B670" s="3">
        <v>920382</v>
      </c>
      <c r="C670" s="1" t="s">
        <v>9</v>
      </c>
      <c r="D670" s="1">
        <v>22</v>
      </c>
      <c r="E670" s="1" t="s">
        <v>14722</v>
      </c>
      <c r="F670" s="6"/>
      <c r="G670" s="1" t="s">
        <v>14733</v>
      </c>
    </row>
    <row r="671" spans="1:7" ht="21" x14ac:dyDescent="0.25">
      <c r="A671" s="2" t="str">
        <f>HYPERLINK("https://rth.dk/resources/bsgatlas/details.php?id=BSGatlas-TSS-670","BSGatlas-TSS-670")</f>
        <v>BSGatlas-TSS-670</v>
      </c>
      <c r="B671" s="3">
        <v>920387</v>
      </c>
      <c r="C671" s="1" t="s">
        <v>13</v>
      </c>
      <c r="D671" s="1">
        <v>22</v>
      </c>
      <c r="E671" s="1" t="s">
        <v>14722</v>
      </c>
      <c r="F671" s="6"/>
      <c r="G671" s="1" t="s">
        <v>14726</v>
      </c>
    </row>
    <row r="672" spans="1:7" ht="21" x14ac:dyDescent="0.25">
      <c r="A672" s="2" t="str">
        <f>HYPERLINK("https://rth.dk/resources/bsgatlas/details.php?id=BSGatlas-TSS-671","BSGatlas-TSS-671")</f>
        <v>BSGatlas-TSS-671</v>
      </c>
      <c r="B672" s="3">
        <v>922575</v>
      </c>
      <c r="C672" s="1" t="s">
        <v>9</v>
      </c>
      <c r="D672" s="1">
        <v>22</v>
      </c>
      <c r="E672" s="1" t="s">
        <v>14722</v>
      </c>
      <c r="F672" s="6"/>
      <c r="G672" s="1" t="s">
        <v>14726</v>
      </c>
    </row>
    <row r="673" spans="1:7" ht="21" x14ac:dyDescent="0.25">
      <c r="A673" s="2" t="str">
        <f>HYPERLINK("https://rth.dk/resources/bsgatlas/details.php?id=BSGatlas-TSS-672","BSGatlas-TSS-672")</f>
        <v>BSGatlas-TSS-672</v>
      </c>
      <c r="B673" s="3">
        <v>923542</v>
      </c>
      <c r="C673" s="1" t="s">
        <v>9</v>
      </c>
      <c r="D673" s="1">
        <v>22</v>
      </c>
      <c r="E673" s="1" t="s">
        <v>14722</v>
      </c>
      <c r="F673" s="6"/>
      <c r="G673" s="1" t="s">
        <v>14726</v>
      </c>
    </row>
    <row r="674" spans="1:7" ht="21" x14ac:dyDescent="0.25">
      <c r="A674" s="2" t="str">
        <f>HYPERLINK("https://rth.dk/resources/bsgatlas/details.php?id=BSGatlas-TSS-673","BSGatlas-TSS-673")</f>
        <v>BSGatlas-TSS-673</v>
      </c>
      <c r="B674" s="3">
        <v>924433</v>
      </c>
      <c r="C674" s="1" t="s">
        <v>13</v>
      </c>
      <c r="D674" s="1">
        <v>22</v>
      </c>
      <c r="E674" s="1" t="s">
        <v>14732</v>
      </c>
      <c r="F674" s="6"/>
      <c r="G674" s="1" t="s">
        <v>14726</v>
      </c>
    </row>
    <row r="675" spans="1:7" ht="21" x14ac:dyDescent="0.25">
      <c r="A675" s="2" t="str">
        <f>HYPERLINK("https://rth.dk/resources/bsgatlas/details.php?id=BSGatlas-TSS-674","BSGatlas-TSS-674")</f>
        <v>BSGatlas-TSS-674</v>
      </c>
      <c r="B675" s="3">
        <v>924609</v>
      </c>
      <c r="C675" s="1" t="s">
        <v>13</v>
      </c>
      <c r="D675" s="1">
        <v>22</v>
      </c>
      <c r="E675" s="1" t="s">
        <v>14732</v>
      </c>
      <c r="F675" s="6"/>
      <c r="G675" s="1" t="s">
        <v>14726</v>
      </c>
    </row>
    <row r="676" spans="1:7" ht="21" x14ac:dyDescent="0.25">
      <c r="A676" s="2" t="str">
        <f>HYPERLINK("https://rth.dk/resources/bsgatlas/details.php?id=BSGatlas-TSS-675","BSGatlas-TSS-675")</f>
        <v>BSGatlas-TSS-675</v>
      </c>
      <c r="B676" s="3">
        <v>925460</v>
      </c>
      <c r="C676" s="1" t="s">
        <v>9</v>
      </c>
      <c r="D676" s="1">
        <v>22</v>
      </c>
      <c r="E676" s="1" t="s">
        <v>14722</v>
      </c>
      <c r="F676" s="6"/>
      <c r="G676" s="1" t="s">
        <v>14733</v>
      </c>
    </row>
    <row r="677" spans="1:7" ht="21" x14ac:dyDescent="0.25">
      <c r="A677" s="2" t="str">
        <f>HYPERLINK("https://rth.dk/resources/bsgatlas/details.php?id=BSGatlas-TSS-676","BSGatlas-TSS-676")</f>
        <v>BSGatlas-TSS-676</v>
      </c>
      <c r="B677" s="3">
        <v>925580</v>
      </c>
      <c r="C677" s="1" t="s">
        <v>13</v>
      </c>
      <c r="D677" s="1">
        <v>22</v>
      </c>
      <c r="E677" s="1" t="s">
        <v>14734</v>
      </c>
      <c r="F677" s="6"/>
      <c r="G677" s="1" t="s">
        <v>14726</v>
      </c>
    </row>
    <row r="678" spans="1:7" ht="21" x14ac:dyDescent="0.25">
      <c r="A678" s="2" t="str">
        <f>HYPERLINK("https://rth.dk/resources/bsgatlas/details.php?id=BSGatlas-TSS-677","BSGatlas-TSS-677")</f>
        <v>BSGatlas-TSS-677</v>
      </c>
      <c r="B678" s="3">
        <v>926843</v>
      </c>
      <c r="C678" s="1" t="s">
        <v>9</v>
      </c>
      <c r="D678" s="1">
        <v>22</v>
      </c>
      <c r="E678" s="1" t="s">
        <v>14722</v>
      </c>
      <c r="F678" s="6"/>
      <c r="G678" s="1" t="s">
        <v>14726</v>
      </c>
    </row>
    <row r="679" spans="1:7" ht="21" x14ac:dyDescent="0.25">
      <c r="A679" s="2" t="str">
        <f>HYPERLINK("https://rth.dk/resources/bsgatlas/details.php?id=BSGatlas-TSS-678","BSGatlas-TSS-678")</f>
        <v>BSGatlas-TSS-678</v>
      </c>
      <c r="B679" s="3">
        <v>928316</v>
      </c>
      <c r="C679" s="1" t="s">
        <v>9</v>
      </c>
      <c r="D679" s="1">
        <v>22</v>
      </c>
      <c r="E679" s="1" t="s">
        <v>14722</v>
      </c>
      <c r="F679" s="6"/>
      <c r="G679" s="1" t="s">
        <v>14733</v>
      </c>
    </row>
    <row r="680" spans="1:7" ht="21" x14ac:dyDescent="0.25">
      <c r="A680" s="2" t="str">
        <f>HYPERLINK("https://rth.dk/resources/bsgatlas/details.php?id=BSGatlas-TSS-679","BSGatlas-TSS-679")</f>
        <v>BSGatlas-TSS-679</v>
      </c>
      <c r="B680" s="3">
        <v>928317</v>
      </c>
      <c r="C680" s="1" t="s">
        <v>13</v>
      </c>
      <c r="D680" s="1">
        <v>0</v>
      </c>
      <c r="E680" s="1" t="s">
        <v>14743</v>
      </c>
      <c r="F680" s="6" t="s">
        <v>14837</v>
      </c>
      <c r="G680" s="1" t="s">
        <v>14729</v>
      </c>
    </row>
    <row r="681" spans="1:7" ht="21" x14ac:dyDescent="0.25">
      <c r="A681" s="2" t="str">
        <f>HYPERLINK("https://rth.dk/resources/bsgatlas/details.php?id=BSGatlas-TSS-680","BSGatlas-TSS-680")</f>
        <v>BSGatlas-TSS-680</v>
      </c>
      <c r="B681" s="3">
        <v>928757</v>
      </c>
      <c r="C681" s="1" t="s">
        <v>9</v>
      </c>
      <c r="D681" s="1">
        <v>22</v>
      </c>
      <c r="E681" s="1" t="s">
        <v>14734</v>
      </c>
      <c r="F681" s="6"/>
      <c r="G681" s="1" t="s">
        <v>14726</v>
      </c>
    </row>
    <row r="682" spans="1:7" ht="21" x14ac:dyDescent="0.25">
      <c r="A682" s="2" t="str">
        <f>HYPERLINK("https://rth.dk/resources/bsgatlas/details.php?id=BSGatlas-TSS-681","BSGatlas-TSS-681")</f>
        <v>BSGatlas-TSS-681</v>
      </c>
      <c r="B682" s="3">
        <v>929390</v>
      </c>
      <c r="C682" s="1" t="s">
        <v>9</v>
      </c>
      <c r="D682" s="1">
        <v>0</v>
      </c>
      <c r="E682" s="1" t="s">
        <v>14770</v>
      </c>
      <c r="F682" s="6" t="s">
        <v>14838</v>
      </c>
      <c r="G682" s="1" t="s">
        <v>14730</v>
      </c>
    </row>
    <row r="683" spans="1:7" ht="21" x14ac:dyDescent="0.25">
      <c r="A683" s="2" t="str">
        <f>HYPERLINK("https://rth.dk/resources/bsgatlas/details.php?id=BSGatlas-TSS-682","BSGatlas-TSS-682")</f>
        <v>BSGatlas-TSS-682</v>
      </c>
      <c r="B683" s="3">
        <v>930702</v>
      </c>
      <c r="C683" s="1" t="s">
        <v>13</v>
      </c>
      <c r="D683" s="1">
        <v>22</v>
      </c>
      <c r="E683" s="1" t="s">
        <v>14722</v>
      </c>
      <c r="F683" s="6"/>
      <c r="G683" s="1" t="s">
        <v>14726</v>
      </c>
    </row>
    <row r="684" spans="1:7" ht="21" x14ac:dyDescent="0.25">
      <c r="A684" s="2" t="str">
        <f>HYPERLINK("https://rth.dk/resources/bsgatlas/details.php?id=BSGatlas-TSS-683","BSGatlas-TSS-683")</f>
        <v>BSGatlas-TSS-683</v>
      </c>
      <c r="B684" s="3">
        <v>930738</v>
      </c>
      <c r="C684" s="1" t="s">
        <v>9</v>
      </c>
      <c r="D684" s="1">
        <v>0</v>
      </c>
      <c r="E684" s="1" t="s">
        <v>14776</v>
      </c>
      <c r="F684" s="6" t="s">
        <v>14839</v>
      </c>
      <c r="G684" s="1" t="s">
        <v>14724</v>
      </c>
    </row>
    <row r="685" spans="1:7" ht="21" x14ac:dyDescent="0.25">
      <c r="A685" s="2" t="str">
        <f>HYPERLINK("https://rth.dk/resources/bsgatlas/details.php?id=BSGatlas-TSS-684","BSGatlas-TSS-684")</f>
        <v>BSGatlas-TSS-684</v>
      </c>
      <c r="B685" s="3">
        <v>930753</v>
      </c>
      <c r="C685" s="1" t="s">
        <v>9</v>
      </c>
      <c r="D685" s="1">
        <v>0</v>
      </c>
      <c r="E685" s="1" t="s">
        <v>14734</v>
      </c>
      <c r="F685" s="6" t="s">
        <v>14840</v>
      </c>
      <c r="G685" s="1" t="s">
        <v>14724</v>
      </c>
    </row>
    <row r="686" spans="1:7" ht="21" x14ac:dyDescent="0.25">
      <c r="A686" s="2" t="str">
        <f>HYPERLINK("https://rth.dk/resources/bsgatlas/details.php?id=BSGatlas-TSS-685","BSGatlas-TSS-685")</f>
        <v>BSGatlas-TSS-685</v>
      </c>
      <c r="B686" s="3">
        <v>930967</v>
      </c>
      <c r="C686" s="1" t="s">
        <v>13</v>
      </c>
      <c r="D686" s="1">
        <v>22</v>
      </c>
      <c r="E686" s="1" t="s">
        <v>14720</v>
      </c>
      <c r="F686" s="6"/>
      <c r="G686" s="1" t="s">
        <v>14726</v>
      </c>
    </row>
    <row r="687" spans="1:7" ht="21" x14ac:dyDescent="0.25">
      <c r="A687" s="2" t="str">
        <f>HYPERLINK("https://rth.dk/resources/bsgatlas/details.php?id=BSGatlas-TSS-686","BSGatlas-TSS-686")</f>
        <v>BSGatlas-TSS-686</v>
      </c>
      <c r="B687" s="3">
        <v>934940</v>
      </c>
      <c r="C687" s="1" t="s">
        <v>9</v>
      </c>
      <c r="D687" s="1">
        <v>22</v>
      </c>
      <c r="E687" s="1" t="s">
        <v>14725</v>
      </c>
      <c r="F687" s="6"/>
      <c r="G687" s="1" t="s">
        <v>14726</v>
      </c>
    </row>
    <row r="688" spans="1:7" ht="21" x14ac:dyDescent="0.25">
      <c r="A688" s="2" t="str">
        <f>HYPERLINK("https://rth.dk/resources/bsgatlas/details.php?id=BSGatlas-TSS-687","BSGatlas-TSS-687")</f>
        <v>BSGatlas-TSS-687</v>
      </c>
      <c r="B688" s="3">
        <v>935582</v>
      </c>
      <c r="C688" s="1" t="s">
        <v>9</v>
      </c>
      <c r="D688" s="1">
        <v>0</v>
      </c>
      <c r="E688" s="1" t="s">
        <v>14720</v>
      </c>
      <c r="F688" s="6">
        <v>10463184</v>
      </c>
      <c r="G688" s="1" t="s">
        <v>14737</v>
      </c>
    </row>
    <row r="689" spans="1:7" ht="21" x14ac:dyDescent="0.25">
      <c r="A689" s="2" t="str">
        <f>HYPERLINK("https://rth.dk/resources/bsgatlas/details.php?id=BSGatlas-TSS-688","BSGatlas-TSS-688")</f>
        <v>BSGatlas-TSS-688</v>
      </c>
      <c r="B689" s="3">
        <v>935587</v>
      </c>
      <c r="C689" s="1" t="s">
        <v>13</v>
      </c>
      <c r="D689" s="1">
        <v>0</v>
      </c>
      <c r="E689" s="1" t="s">
        <v>14720</v>
      </c>
      <c r="F689" s="6">
        <v>10463184</v>
      </c>
      <c r="G689" s="1" t="s">
        <v>14737</v>
      </c>
    </row>
    <row r="690" spans="1:7" ht="21" x14ac:dyDescent="0.25">
      <c r="A690" s="2" t="str">
        <f>HYPERLINK("https://rth.dk/resources/bsgatlas/details.php?id=BSGatlas-TSS-689","BSGatlas-TSS-689")</f>
        <v>BSGatlas-TSS-689</v>
      </c>
      <c r="B690" s="3">
        <v>936639</v>
      </c>
      <c r="C690" s="1" t="s">
        <v>9</v>
      </c>
      <c r="D690" s="1">
        <v>0</v>
      </c>
      <c r="E690" s="1" t="s">
        <v>14722</v>
      </c>
      <c r="F690" s="6">
        <v>10463184</v>
      </c>
      <c r="G690" s="1" t="s">
        <v>14730</v>
      </c>
    </row>
    <row r="691" spans="1:7" ht="21" x14ac:dyDescent="0.25">
      <c r="A691" s="2" t="str">
        <f>HYPERLINK("https://rth.dk/resources/bsgatlas/details.php?id=BSGatlas-TSS-690","BSGatlas-TSS-690")</f>
        <v>BSGatlas-TSS-690</v>
      </c>
      <c r="B691" s="3">
        <v>936838</v>
      </c>
      <c r="C691" s="1" t="s">
        <v>9</v>
      </c>
      <c r="D691" s="1">
        <v>0</v>
      </c>
      <c r="E691" s="1" t="s">
        <v>14720</v>
      </c>
      <c r="F691" s="6">
        <v>10463184</v>
      </c>
      <c r="G691" s="1" t="s">
        <v>4684</v>
      </c>
    </row>
    <row r="692" spans="1:7" ht="21" x14ac:dyDescent="0.25">
      <c r="A692" s="2" t="str">
        <f>HYPERLINK("https://rth.dk/resources/bsgatlas/details.php?id=BSGatlas-TSS-691","BSGatlas-TSS-691")</f>
        <v>BSGatlas-TSS-691</v>
      </c>
      <c r="B692" s="3">
        <v>936907</v>
      </c>
      <c r="C692" s="1" t="s">
        <v>9</v>
      </c>
      <c r="D692" s="1">
        <v>0</v>
      </c>
      <c r="E692" s="1" t="s">
        <v>14722</v>
      </c>
      <c r="F692" s="6">
        <v>10463184</v>
      </c>
      <c r="G692" s="1" t="s">
        <v>4684</v>
      </c>
    </row>
    <row r="693" spans="1:7" ht="21" x14ac:dyDescent="0.25">
      <c r="A693" s="2" t="str">
        <f>HYPERLINK("https://rth.dk/resources/bsgatlas/details.php?id=BSGatlas-TSS-692","BSGatlas-TSS-692")</f>
        <v>BSGatlas-TSS-692</v>
      </c>
      <c r="B693" s="3">
        <v>937023</v>
      </c>
      <c r="C693" s="1" t="s">
        <v>13</v>
      </c>
      <c r="D693" s="1">
        <v>0</v>
      </c>
      <c r="E693" s="1" t="s">
        <v>14735</v>
      </c>
      <c r="F693" s="6" t="s">
        <v>14841</v>
      </c>
      <c r="G693" s="1" t="s">
        <v>14729</v>
      </c>
    </row>
    <row r="694" spans="1:7" ht="21" x14ac:dyDescent="0.25">
      <c r="A694" s="2" t="str">
        <f>HYPERLINK("https://rth.dk/resources/bsgatlas/details.php?id=BSGatlas-TSS-693","BSGatlas-TSS-693")</f>
        <v>BSGatlas-TSS-693</v>
      </c>
      <c r="B694" s="3">
        <v>937885</v>
      </c>
      <c r="C694" s="1" t="s">
        <v>9</v>
      </c>
      <c r="D694" s="1">
        <v>0</v>
      </c>
      <c r="E694" s="1" t="s">
        <v>14743</v>
      </c>
      <c r="F694" s="6" t="s">
        <v>14842</v>
      </c>
      <c r="G694" s="1" t="s">
        <v>14730</v>
      </c>
    </row>
    <row r="695" spans="1:7" ht="21" x14ac:dyDescent="0.25">
      <c r="A695" s="2" t="str">
        <f>HYPERLINK("https://rth.dk/resources/bsgatlas/details.php?id=BSGatlas-TSS-694","BSGatlas-TSS-694")</f>
        <v>BSGatlas-TSS-694</v>
      </c>
      <c r="B695" s="3">
        <v>937898</v>
      </c>
      <c r="C695" s="1" t="s">
        <v>13</v>
      </c>
      <c r="D695" s="1">
        <v>22</v>
      </c>
      <c r="E695" s="1" t="s">
        <v>14720</v>
      </c>
      <c r="F695" s="6"/>
      <c r="G695" s="1" t="s">
        <v>14726</v>
      </c>
    </row>
    <row r="696" spans="1:7" ht="21" x14ac:dyDescent="0.25">
      <c r="A696" s="2" t="str">
        <f>HYPERLINK("https://rth.dk/resources/bsgatlas/details.php?id=BSGatlas-TSS-695","BSGatlas-TSS-695")</f>
        <v>BSGatlas-TSS-695</v>
      </c>
      <c r="B696" s="3">
        <v>938271</v>
      </c>
      <c r="C696" s="1" t="s">
        <v>9</v>
      </c>
      <c r="D696" s="1">
        <v>22</v>
      </c>
      <c r="E696" s="1" t="s">
        <v>14745</v>
      </c>
      <c r="F696" s="6"/>
      <c r="G696" s="1" t="s">
        <v>14726</v>
      </c>
    </row>
    <row r="697" spans="1:7" ht="21" x14ac:dyDescent="0.25">
      <c r="A697" s="2" t="str">
        <f>HYPERLINK("https://rth.dk/resources/bsgatlas/details.php?id=BSGatlas-TSS-696","BSGatlas-TSS-696")</f>
        <v>BSGatlas-TSS-696</v>
      </c>
      <c r="B697" s="3">
        <v>938656</v>
      </c>
      <c r="C697" s="1" t="s">
        <v>9</v>
      </c>
      <c r="D697" s="1">
        <v>22</v>
      </c>
      <c r="E697" s="1" t="s">
        <v>14722</v>
      </c>
      <c r="F697" s="6"/>
      <c r="G697" s="1" t="s">
        <v>14733</v>
      </c>
    </row>
    <row r="698" spans="1:7" ht="21" x14ac:dyDescent="0.25">
      <c r="A698" s="2" t="str">
        <f>HYPERLINK("https://rth.dk/resources/bsgatlas/details.php?id=BSGatlas-TSS-697","BSGatlas-TSS-697")</f>
        <v>BSGatlas-TSS-697</v>
      </c>
      <c r="B698" s="3">
        <v>942327</v>
      </c>
      <c r="C698" s="1" t="s">
        <v>13</v>
      </c>
      <c r="D698" s="1">
        <v>22</v>
      </c>
      <c r="E698" s="1" t="s">
        <v>14722</v>
      </c>
      <c r="F698" s="6"/>
      <c r="G698" s="1" t="s">
        <v>14733</v>
      </c>
    </row>
    <row r="699" spans="1:7" ht="21" x14ac:dyDescent="0.25">
      <c r="A699" s="2" t="str">
        <f>HYPERLINK("https://rth.dk/resources/bsgatlas/details.php?id=BSGatlas-TSS-698","BSGatlas-TSS-698")</f>
        <v>BSGatlas-TSS-698</v>
      </c>
      <c r="B699" s="3">
        <v>943785</v>
      </c>
      <c r="C699" s="1" t="s">
        <v>13</v>
      </c>
      <c r="D699" s="1">
        <v>22</v>
      </c>
      <c r="E699" s="1" t="s">
        <v>14722</v>
      </c>
      <c r="F699" s="6"/>
      <c r="G699" s="1" t="s">
        <v>14726</v>
      </c>
    </row>
    <row r="700" spans="1:7" ht="21" x14ac:dyDescent="0.25">
      <c r="A700" s="2" t="str">
        <f>HYPERLINK("https://rth.dk/resources/bsgatlas/details.php?id=BSGatlas-TSS-699","BSGatlas-TSS-699")</f>
        <v>BSGatlas-TSS-699</v>
      </c>
      <c r="B700" s="3">
        <v>943852</v>
      </c>
      <c r="C700" s="1" t="s">
        <v>9</v>
      </c>
      <c r="D700" s="1">
        <v>22</v>
      </c>
      <c r="E700" s="1" t="s">
        <v>14722</v>
      </c>
      <c r="F700" s="6"/>
      <c r="G700" s="1" t="s">
        <v>14726</v>
      </c>
    </row>
    <row r="701" spans="1:7" ht="21" x14ac:dyDescent="0.25">
      <c r="A701" s="2" t="str">
        <f>HYPERLINK("https://rth.dk/resources/bsgatlas/details.php?id=BSGatlas-TSS-700","BSGatlas-TSS-700")</f>
        <v>BSGatlas-TSS-700</v>
      </c>
      <c r="B701" s="3">
        <v>944440</v>
      </c>
      <c r="C701" s="1" t="s">
        <v>9</v>
      </c>
      <c r="D701" s="1">
        <v>0</v>
      </c>
      <c r="E701" s="1" t="s">
        <v>14722</v>
      </c>
      <c r="F701" s="6" t="s">
        <v>14843</v>
      </c>
      <c r="G701" s="1" t="s">
        <v>14729</v>
      </c>
    </row>
    <row r="702" spans="1:7" ht="21" x14ac:dyDescent="0.25">
      <c r="A702" s="2" t="str">
        <f>HYPERLINK("https://rth.dk/resources/bsgatlas/details.php?id=BSGatlas-TSS-701","BSGatlas-TSS-701")</f>
        <v>BSGatlas-TSS-701</v>
      </c>
      <c r="B702" s="3">
        <v>944498</v>
      </c>
      <c r="C702" s="1" t="s">
        <v>13</v>
      </c>
      <c r="D702" s="1">
        <v>33</v>
      </c>
      <c r="E702" s="1" t="s">
        <v>14720</v>
      </c>
      <c r="F702" s="6"/>
      <c r="G702" s="1" t="s">
        <v>14721</v>
      </c>
    </row>
    <row r="703" spans="1:7" ht="21" x14ac:dyDescent="0.25">
      <c r="A703" s="2" t="str">
        <f>HYPERLINK("https://rth.dk/resources/bsgatlas/details.php?id=BSGatlas-TSS-702","BSGatlas-TSS-702")</f>
        <v>BSGatlas-TSS-702</v>
      </c>
      <c r="B703" s="3">
        <v>945324</v>
      </c>
      <c r="C703" s="1" t="s">
        <v>9</v>
      </c>
      <c r="D703" s="1">
        <v>22</v>
      </c>
      <c r="E703" s="1" t="s">
        <v>14720</v>
      </c>
      <c r="F703" s="6"/>
      <c r="G703" s="1" t="s">
        <v>14733</v>
      </c>
    </row>
    <row r="704" spans="1:7" ht="21" x14ac:dyDescent="0.25">
      <c r="A704" s="2" t="str">
        <f>HYPERLINK("https://rth.dk/resources/bsgatlas/details.php?id=BSGatlas-TSS-703","BSGatlas-TSS-703")</f>
        <v>BSGatlas-TSS-703</v>
      </c>
      <c r="B704" s="3">
        <v>945334</v>
      </c>
      <c r="C704" s="1" t="s">
        <v>13</v>
      </c>
      <c r="D704" s="1">
        <v>22</v>
      </c>
      <c r="E704" s="1" t="s">
        <v>14722</v>
      </c>
      <c r="F704" s="6"/>
      <c r="G704" s="1" t="s">
        <v>14726</v>
      </c>
    </row>
    <row r="705" spans="1:7" ht="21" x14ac:dyDescent="0.25">
      <c r="A705" s="2" t="str">
        <f>HYPERLINK("https://rth.dk/resources/bsgatlas/details.php?id=BSGatlas-TSS-704","BSGatlas-TSS-704")</f>
        <v>BSGatlas-TSS-704</v>
      </c>
      <c r="B705" s="3">
        <v>945417</v>
      </c>
      <c r="C705" s="1" t="s">
        <v>9</v>
      </c>
      <c r="D705" s="1">
        <v>22</v>
      </c>
      <c r="E705" s="1" t="s">
        <v>14722</v>
      </c>
      <c r="F705" s="6"/>
      <c r="G705" s="1" t="s">
        <v>14733</v>
      </c>
    </row>
    <row r="706" spans="1:7" ht="21" x14ac:dyDescent="0.25">
      <c r="A706" s="2" t="str">
        <f>HYPERLINK("https://rth.dk/resources/bsgatlas/details.php?id=BSGatlas-TSS-705","BSGatlas-TSS-705")</f>
        <v>BSGatlas-TSS-705</v>
      </c>
      <c r="B706" s="3">
        <v>946424</v>
      </c>
      <c r="C706" s="1" t="s">
        <v>9</v>
      </c>
      <c r="D706" s="1">
        <v>0</v>
      </c>
      <c r="E706" s="1" t="s">
        <v>14722</v>
      </c>
      <c r="F706" s="6" t="s">
        <v>14844</v>
      </c>
      <c r="G706" s="1" t="s">
        <v>14778</v>
      </c>
    </row>
    <row r="707" spans="1:7" ht="21" x14ac:dyDescent="0.25">
      <c r="A707" s="2" t="str">
        <f>HYPERLINK("https://rth.dk/resources/bsgatlas/details.php?id=BSGatlas-TSS-706","BSGatlas-TSS-706")</f>
        <v>BSGatlas-TSS-706</v>
      </c>
      <c r="B707" s="3">
        <v>946521</v>
      </c>
      <c r="C707" s="1" t="s">
        <v>9</v>
      </c>
      <c r="D707" s="1">
        <v>0</v>
      </c>
      <c r="E707" s="1" t="s">
        <v>14722</v>
      </c>
      <c r="F707" s="6" t="s">
        <v>14844</v>
      </c>
      <c r="G707" s="1" t="s">
        <v>4547</v>
      </c>
    </row>
    <row r="708" spans="1:7" ht="21" x14ac:dyDescent="0.25">
      <c r="A708" s="2" t="str">
        <f>HYPERLINK("https://rth.dk/resources/bsgatlas/details.php?id=BSGatlas-TSS-707","BSGatlas-TSS-707")</f>
        <v>BSGatlas-TSS-707</v>
      </c>
      <c r="B708" s="3">
        <v>951442</v>
      </c>
      <c r="C708" s="1" t="s">
        <v>9</v>
      </c>
      <c r="D708" s="1">
        <v>0</v>
      </c>
      <c r="E708" s="1" t="s">
        <v>14722</v>
      </c>
      <c r="F708" s="6">
        <v>3139657</v>
      </c>
      <c r="G708" s="1" t="s">
        <v>14730</v>
      </c>
    </row>
    <row r="709" spans="1:7" ht="21" x14ac:dyDescent="0.25">
      <c r="A709" s="2" t="str">
        <f>HYPERLINK("https://rth.dk/resources/bsgatlas/details.php?id=BSGatlas-TSS-708","BSGatlas-TSS-708")</f>
        <v>BSGatlas-TSS-708</v>
      </c>
      <c r="B709" s="3">
        <v>953185</v>
      </c>
      <c r="C709" s="1" t="s">
        <v>9</v>
      </c>
      <c r="D709" s="1">
        <v>0</v>
      </c>
      <c r="E709" s="1" t="s">
        <v>14722</v>
      </c>
      <c r="F709" s="6">
        <v>3139657</v>
      </c>
      <c r="G709" s="1" t="s">
        <v>14730</v>
      </c>
    </row>
    <row r="710" spans="1:7" ht="21" x14ac:dyDescent="0.25">
      <c r="A710" s="2" t="str">
        <f>HYPERLINK("https://rth.dk/resources/bsgatlas/details.php?id=BSGatlas-TSS-709","BSGatlas-TSS-709")</f>
        <v>BSGatlas-TSS-709</v>
      </c>
      <c r="B710" s="3">
        <v>953233</v>
      </c>
      <c r="C710" s="1" t="s">
        <v>13</v>
      </c>
      <c r="D710" s="1">
        <v>22</v>
      </c>
      <c r="E710" s="1" t="s">
        <v>14720</v>
      </c>
      <c r="F710" s="6"/>
      <c r="G710" s="1" t="s">
        <v>14726</v>
      </c>
    </row>
    <row r="711" spans="1:7" ht="21" x14ac:dyDescent="0.25">
      <c r="A711" s="2" t="str">
        <f>HYPERLINK("https://rth.dk/resources/bsgatlas/details.php?id=BSGatlas-TSS-710","BSGatlas-TSS-710")</f>
        <v>BSGatlas-TSS-710</v>
      </c>
      <c r="B711" s="3">
        <v>954198</v>
      </c>
      <c r="C711" s="1" t="s">
        <v>13</v>
      </c>
      <c r="D711" s="1">
        <v>22</v>
      </c>
      <c r="E711" s="1" t="s">
        <v>14739</v>
      </c>
      <c r="F711" s="6"/>
      <c r="G711" s="1" t="s">
        <v>14726</v>
      </c>
    </row>
    <row r="712" spans="1:7" ht="21" x14ac:dyDescent="0.25">
      <c r="A712" s="2" t="str">
        <f>HYPERLINK("https://rth.dk/resources/bsgatlas/details.php?id=BSGatlas-TSS-711","BSGatlas-TSS-711")</f>
        <v>BSGatlas-TSS-711</v>
      </c>
      <c r="B712" s="3">
        <v>954257</v>
      </c>
      <c r="C712" s="1" t="s">
        <v>9</v>
      </c>
      <c r="D712" s="1">
        <v>22</v>
      </c>
      <c r="E712" s="1" t="s">
        <v>14732</v>
      </c>
      <c r="F712" s="6"/>
      <c r="G712" s="1" t="s">
        <v>14726</v>
      </c>
    </row>
    <row r="713" spans="1:7" ht="21" x14ac:dyDescent="0.25">
      <c r="A713" s="2" t="str">
        <f>HYPERLINK("https://rth.dk/resources/bsgatlas/details.php?id=BSGatlas-TSS-712","BSGatlas-TSS-712")</f>
        <v>BSGatlas-TSS-712</v>
      </c>
      <c r="B713" s="3">
        <v>954817</v>
      </c>
      <c r="C713" s="1" t="s">
        <v>13</v>
      </c>
      <c r="D713" s="1">
        <v>22</v>
      </c>
      <c r="E713" s="1" t="s">
        <v>14727</v>
      </c>
      <c r="F713" s="6"/>
      <c r="G713" s="1" t="s">
        <v>14726</v>
      </c>
    </row>
    <row r="714" spans="1:7" ht="21" x14ac:dyDescent="0.25">
      <c r="A714" s="2" t="str">
        <f>HYPERLINK("https://rth.dk/resources/bsgatlas/details.php?id=BSGatlas-TSS-713","BSGatlas-TSS-713")</f>
        <v>BSGatlas-TSS-713</v>
      </c>
      <c r="B714" s="3">
        <v>954860</v>
      </c>
      <c r="C714" s="1" t="s">
        <v>9</v>
      </c>
      <c r="D714" s="1">
        <v>22</v>
      </c>
      <c r="E714" s="1" t="s">
        <v>14722</v>
      </c>
      <c r="F714" s="6"/>
      <c r="G714" s="1" t="s">
        <v>14726</v>
      </c>
    </row>
    <row r="715" spans="1:7" ht="21" x14ac:dyDescent="0.25">
      <c r="A715" s="2" t="str">
        <f>HYPERLINK("https://rth.dk/resources/bsgatlas/details.php?id=BSGatlas-TSS-714","BSGatlas-TSS-714")</f>
        <v>BSGatlas-TSS-714</v>
      </c>
      <c r="B715" s="3">
        <v>955629</v>
      </c>
      <c r="C715" s="1" t="s">
        <v>13</v>
      </c>
      <c r="D715" s="1">
        <v>22</v>
      </c>
      <c r="E715" s="1" t="s">
        <v>14722</v>
      </c>
      <c r="F715" s="6"/>
      <c r="G715" s="1" t="s">
        <v>14726</v>
      </c>
    </row>
    <row r="716" spans="1:7" ht="21" x14ac:dyDescent="0.25">
      <c r="A716" s="2" t="str">
        <f>HYPERLINK("https://rth.dk/resources/bsgatlas/details.php?id=BSGatlas-TSS-715","BSGatlas-TSS-715")</f>
        <v>BSGatlas-TSS-715</v>
      </c>
      <c r="B716" s="3">
        <v>955662</v>
      </c>
      <c r="C716" s="1" t="s">
        <v>9</v>
      </c>
      <c r="D716" s="1">
        <v>22</v>
      </c>
      <c r="E716" s="1" t="s">
        <v>14722</v>
      </c>
      <c r="F716" s="6"/>
      <c r="G716" s="1" t="s">
        <v>14726</v>
      </c>
    </row>
    <row r="717" spans="1:7" ht="21" x14ac:dyDescent="0.25">
      <c r="A717" s="2" t="str">
        <f>HYPERLINK("https://rth.dk/resources/bsgatlas/details.php?id=BSGatlas-TSS-716","BSGatlas-TSS-716")</f>
        <v>BSGatlas-TSS-716</v>
      </c>
      <c r="B717" s="3">
        <v>959105</v>
      </c>
      <c r="C717" s="1" t="s">
        <v>13</v>
      </c>
      <c r="D717" s="1">
        <v>22</v>
      </c>
      <c r="E717" s="1" t="s">
        <v>14725</v>
      </c>
      <c r="F717" s="6"/>
      <c r="G717" s="1" t="s">
        <v>14726</v>
      </c>
    </row>
    <row r="718" spans="1:7" ht="21" x14ac:dyDescent="0.25">
      <c r="A718" s="2" t="str">
        <f>HYPERLINK("https://rth.dk/resources/bsgatlas/details.php?id=BSGatlas-TSS-717","BSGatlas-TSS-717")</f>
        <v>BSGatlas-TSS-717</v>
      </c>
      <c r="B718" s="3">
        <v>959227</v>
      </c>
      <c r="C718" s="1" t="s">
        <v>9</v>
      </c>
      <c r="D718" s="1">
        <v>22</v>
      </c>
      <c r="E718" s="1" t="s">
        <v>14722</v>
      </c>
      <c r="F718" s="6"/>
      <c r="G718" s="1" t="s">
        <v>14726</v>
      </c>
    </row>
    <row r="719" spans="1:7" ht="21" x14ac:dyDescent="0.25">
      <c r="A719" s="2" t="str">
        <f>HYPERLINK("https://rth.dk/resources/bsgatlas/details.php?id=BSGatlas-TSS-718","BSGatlas-TSS-718")</f>
        <v>BSGatlas-TSS-718</v>
      </c>
      <c r="B719" s="3">
        <v>960987</v>
      </c>
      <c r="C719" s="1" t="s">
        <v>9</v>
      </c>
      <c r="D719" s="1">
        <v>22</v>
      </c>
      <c r="E719" s="1" t="s">
        <v>14722</v>
      </c>
      <c r="F719" s="6"/>
      <c r="G719" s="1" t="s">
        <v>14726</v>
      </c>
    </row>
    <row r="720" spans="1:7" ht="21" x14ac:dyDescent="0.25">
      <c r="A720" s="2" t="str">
        <f>HYPERLINK("https://rth.dk/resources/bsgatlas/details.php?id=BSGatlas-TSS-719","BSGatlas-TSS-719")</f>
        <v>BSGatlas-TSS-719</v>
      </c>
      <c r="B720" s="3">
        <v>961023</v>
      </c>
      <c r="C720" s="1" t="s">
        <v>13</v>
      </c>
      <c r="D720" s="1">
        <v>22</v>
      </c>
      <c r="E720" s="1" t="s">
        <v>14722</v>
      </c>
      <c r="F720" s="6"/>
      <c r="G720" s="1" t="s">
        <v>14726</v>
      </c>
    </row>
    <row r="721" spans="1:7" ht="21" x14ac:dyDescent="0.25">
      <c r="A721" s="2" t="str">
        <f>HYPERLINK("https://rth.dk/resources/bsgatlas/details.php?id=BSGatlas-TSS-720","BSGatlas-TSS-720")</f>
        <v>BSGatlas-TSS-720</v>
      </c>
      <c r="B721" s="3">
        <v>961107</v>
      </c>
      <c r="C721" s="1" t="s">
        <v>13</v>
      </c>
      <c r="D721" s="1">
        <v>22</v>
      </c>
      <c r="E721" s="1" t="s">
        <v>14722</v>
      </c>
      <c r="F721" s="6"/>
      <c r="G721" s="1" t="s">
        <v>14726</v>
      </c>
    </row>
    <row r="722" spans="1:7" ht="21" x14ac:dyDescent="0.25">
      <c r="A722" s="2" t="str">
        <f>HYPERLINK("https://rth.dk/resources/bsgatlas/details.php?id=BSGatlas-TSS-721","BSGatlas-TSS-721")</f>
        <v>BSGatlas-TSS-721</v>
      </c>
      <c r="B722" s="3">
        <v>961271</v>
      </c>
      <c r="C722" s="1" t="s">
        <v>9</v>
      </c>
      <c r="D722" s="1">
        <v>0</v>
      </c>
      <c r="E722" s="1" t="s">
        <v>14722</v>
      </c>
      <c r="F722" s="6" t="s">
        <v>14845</v>
      </c>
      <c r="G722" s="1" t="s">
        <v>4382</v>
      </c>
    </row>
    <row r="723" spans="1:7" ht="21" x14ac:dyDescent="0.25">
      <c r="A723" s="2" t="str">
        <f>HYPERLINK("https://rth.dk/resources/bsgatlas/details.php?id=BSGatlas-TSS-722","BSGatlas-TSS-722")</f>
        <v>BSGatlas-TSS-722</v>
      </c>
      <c r="B723" s="3">
        <v>965190</v>
      </c>
      <c r="C723" s="1" t="s">
        <v>9</v>
      </c>
      <c r="D723" s="1">
        <v>22</v>
      </c>
      <c r="E723" s="1" t="s">
        <v>14722</v>
      </c>
      <c r="F723" s="6"/>
      <c r="G723" s="1" t="s">
        <v>14726</v>
      </c>
    </row>
    <row r="724" spans="1:7" ht="21" x14ac:dyDescent="0.25">
      <c r="A724" s="2" t="str">
        <f>HYPERLINK("https://rth.dk/resources/bsgatlas/details.php?id=BSGatlas-TSS-723","BSGatlas-TSS-723")</f>
        <v>BSGatlas-TSS-723</v>
      </c>
      <c r="B724" s="3">
        <v>965875</v>
      </c>
      <c r="C724" s="1" t="s">
        <v>9</v>
      </c>
      <c r="D724" s="1">
        <v>0</v>
      </c>
      <c r="E724" s="1" t="s">
        <v>14722</v>
      </c>
      <c r="F724" s="6">
        <v>17163968</v>
      </c>
      <c r="G724" s="1" t="s">
        <v>14747</v>
      </c>
    </row>
    <row r="725" spans="1:7" ht="21" x14ac:dyDescent="0.25">
      <c r="A725" s="2" t="str">
        <f>HYPERLINK("https://rth.dk/resources/bsgatlas/details.php?id=BSGatlas-TSS-724","BSGatlas-TSS-724")</f>
        <v>BSGatlas-TSS-724</v>
      </c>
      <c r="B725" s="3">
        <v>966024</v>
      </c>
      <c r="C725" s="1" t="s">
        <v>9</v>
      </c>
      <c r="D725" s="1">
        <v>22</v>
      </c>
      <c r="E725" s="1" t="s">
        <v>14720</v>
      </c>
      <c r="F725" s="6"/>
      <c r="G725" s="1" t="s">
        <v>14726</v>
      </c>
    </row>
    <row r="726" spans="1:7" ht="21" x14ac:dyDescent="0.25">
      <c r="A726" s="2" t="str">
        <f>HYPERLINK("https://rth.dk/resources/bsgatlas/details.php?id=BSGatlas-TSS-725","BSGatlas-TSS-725")</f>
        <v>BSGatlas-TSS-725</v>
      </c>
      <c r="B726" s="3">
        <v>966914</v>
      </c>
      <c r="C726" s="1" t="s">
        <v>13</v>
      </c>
      <c r="D726" s="1">
        <v>22</v>
      </c>
      <c r="E726" s="1" t="s">
        <v>14722</v>
      </c>
      <c r="F726" s="6"/>
      <c r="G726" s="1" t="s">
        <v>14726</v>
      </c>
    </row>
    <row r="727" spans="1:7" ht="21" x14ac:dyDescent="0.25">
      <c r="A727" s="2" t="str">
        <f>HYPERLINK("https://rth.dk/resources/bsgatlas/details.php?id=BSGatlas-TSS-726","BSGatlas-TSS-726")</f>
        <v>BSGatlas-TSS-726</v>
      </c>
      <c r="B727" s="3">
        <v>967014</v>
      </c>
      <c r="C727" s="1" t="s">
        <v>9</v>
      </c>
      <c r="D727" s="1">
        <v>22</v>
      </c>
      <c r="E727" s="1" t="s">
        <v>14722</v>
      </c>
      <c r="F727" s="6"/>
      <c r="G727" s="1" t="s">
        <v>14726</v>
      </c>
    </row>
    <row r="728" spans="1:7" ht="21" x14ac:dyDescent="0.25">
      <c r="A728" s="2" t="str">
        <f>HYPERLINK("https://rth.dk/resources/bsgatlas/details.php?id=BSGatlas-TSS-727","BSGatlas-TSS-727")</f>
        <v>BSGatlas-TSS-727</v>
      </c>
      <c r="B728" s="3">
        <v>967897</v>
      </c>
      <c r="C728" s="1" t="s">
        <v>13</v>
      </c>
      <c r="D728" s="1">
        <v>22</v>
      </c>
      <c r="E728" s="1" t="s">
        <v>14722</v>
      </c>
      <c r="F728" s="6"/>
      <c r="G728" s="1" t="s">
        <v>14726</v>
      </c>
    </row>
    <row r="729" spans="1:7" ht="21" x14ac:dyDescent="0.25">
      <c r="A729" s="2" t="str">
        <f>HYPERLINK("https://rth.dk/resources/bsgatlas/details.php?id=BSGatlas-TSS-728","BSGatlas-TSS-728")</f>
        <v>BSGatlas-TSS-728</v>
      </c>
      <c r="B729" s="3">
        <v>969126</v>
      </c>
      <c r="C729" s="1" t="s">
        <v>9</v>
      </c>
      <c r="D729" s="1">
        <v>22</v>
      </c>
      <c r="E729" s="1" t="s">
        <v>14727</v>
      </c>
      <c r="F729" s="6"/>
      <c r="G729" s="1" t="s">
        <v>14726</v>
      </c>
    </row>
    <row r="730" spans="1:7" ht="21" x14ac:dyDescent="0.25">
      <c r="A730" s="2" t="str">
        <f>HYPERLINK("https://rth.dk/resources/bsgatlas/details.php?id=BSGatlas-TSS-729","BSGatlas-TSS-729")</f>
        <v>BSGatlas-TSS-729</v>
      </c>
      <c r="B730" s="3">
        <v>970099</v>
      </c>
      <c r="C730" s="1" t="s">
        <v>9</v>
      </c>
      <c r="D730" s="1">
        <v>22</v>
      </c>
      <c r="E730" s="1" t="s">
        <v>14722</v>
      </c>
      <c r="F730" s="6"/>
      <c r="G730" s="1" t="s">
        <v>14726</v>
      </c>
    </row>
    <row r="731" spans="1:7" ht="21" x14ac:dyDescent="0.25">
      <c r="A731" s="2" t="str">
        <f>HYPERLINK("https://rth.dk/resources/bsgatlas/details.php?id=BSGatlas-TSS-730","BSGatlas-TSS-730")</f>
        <v>BSGatlas-TSS-730</v>
      </c>
      <c r="B731" s="3">
        <v>970710</v>
      </c>
      <c r="C731" s="1" t="s">
        <v>9</v>
      </c>
      <c r="D731" s="1">
        <v>22</v>
      </c>
      <c r="E731" s="1" t="s">
        <v>14722</v>
      </c>
      <c r="F731" s="6"/>
      <c r="G731" s="1" t="s">
        <v>14726</v>
      </c>
    </row>
    <row r="732" spans="1:7" ht="21" x14ac:dyDescent="0.25">
      <c r="A732" s="2" t="str">
        <f>HYPERLINK("https://rth.dk/resources/bsgatlas/details.php?id=BSGatlas-TSS-731","BSGatlas-TSS-731")</f>
        <v>BSGatlas-TSS-731</v>
      </c>
      <c r="B732" s="3">
        <v>973008</v>
      </c>
      <c r="C732" s="1" t="s">
        <v>13</v>
      </c>
      <c r="D732" s="1">
        <v>22</v>
      </c>
      <c r="E732" s="1" t="s">
        <v>14722</v>
      </c>
      <c r="F732" s="6"/>
      <c r="G732" s="1" t="s">
        <v>14726</v>
      </c>
    </row>
    <row r="733" spans="1:7" ht="21" x14ac:dyDescent="0.25">
      <c r="A733" s="2" t="str">
        <f>HYPERLINK("https://rth.dk/resources/bsgatlas/details.php?id=BSGatlas-TSS-732","BSGatlas-TSS-732")</f>
        <v>BSGatlas-TSS-732</v>
      </c>
      <c r="B733" s="3">
        <v>973108</v>
      </c>
      <c r="C733" s="1" t="s">
        <v>9</v>
      </c>
      <c r="D733" s="1">
        <v>0</v>
      </c>
      <c r="E733" s="1" t="s">
        <v>14735</v>
      </c>
      <c r="F733" s="6" t="s">
        <v>14767</v>
      </c>
      <c r="G733" s="1" t="s">
        <v>14729</v>
      </c>
    </row>
    <row r="734" spans="1:7" ht="21" x14ac:dyDescent="0.25">
      <c r="A734" s="2" t="str">
        <f>HYPERLINK("https://rth.dk/resources/bsgatlas/details.php?id=BSGatlas-TSS-733","BSGatlas-TSS-733")</f>
        <v>BSGatlas-TSS-733</v>
      </c>
      <c r="B734" s="3">
        <v>973658</v>
      </c>
      <c r="C734" s="1" t="s">
        <v>9</v>
      </c>
      <c r="D734" s="1">
        <v>22</v>
      </c>
      <c r="E734" s="1" t="s">
        <v>14720</v>
      </c>
      <c r="F734" s="6"/>
      <c r="G734" s="1" t="s">
        <v>14726</v>
      </c>
    </row>
    <row r="735" spans="1:7" ht="21" x14ac:dyDescent="0.25">
      <c r="A735" s="2" t="str">
        <f>HYPERLINK("https://rth.dk/resources/bsgatlas/details.php?id=BSGatlas-TSS-734","BSGatlas-TSS-734")</f>
        <v>BSGatlas-TSS-734</v>
      </c>
      <c r="B735" s="3">
        <v>975144</v>
      </c>
      <c r="C735" s="1" t="s">
        <v>9</v>
      </c>
      <c r="D735" s="1">
        <v>0</v>
      </c>
      <c r="E735" s="1" t="s">
        <v>14735</v>
      </c>
      <c r="F735" s="6" t="s">
        <v>14846</v>
      </c>
      <c r="G735" s="1" t="s">
        <v>14724</v>
      </c>
    </row>
    <row r="736" spans="1:7" ht="21" x14ac:dyDescent="0.25">
      <c r="A736" s="2" t="str">
        <f>HYPERLINK("https://rth.dk/resources/bsgatlas/details.php?id=BSGatlas-TSS-735","BSGatlas-TSS-735")</f>
        <v>BSGatlas-TSS-735</v>
      </c>
      <c r="B736" s="3">
        <v>975451</v>
      </c>
      <c r="C736" s="1" t="s">
        <v>9</v>
      </c>
      <c r="D736" s="1">
        <v>22</v>
      </c>
      <c r="E736" s="1" t="s">
        <v>14722</v>
      </c>
      <c r="F736" s="6"/>
      <c r="G736" s="1" t="s">
        <v>14726</v>
      </c>
    </row>
    <row r="737" spans="1:7" ht="21" x14ac:dyDescent="0.25">
      <c r="A737" s="2" t="str">
        <f>HYPERLINK("https://rth.dk/resources/bsgatlas/details.php?id=BSGatlas-TSS-736","BSGatlas-TSS-736")</f>
        <v>BSGatlas-TSS-736</v>
      </c>
      <c r="B737" s="3">
        <v>976518</v>
      </c>
      <c r="C737" s="1" t="s">
        <v>9</v>
      </c>
      <c r="D737" s="1">
        <v>22</v>
      </c>
      <c r="E737" s="1" t="s">
        <v>14722</v>
      </c>
      <c r="F737" s="6"/>
      <c r="G737" s="1" t="s">
        <v>14726</v>
      </c>
    </row>
    <row r="738" spans="1:7" ht="21" x14ac:dyDescent="0.25">
      <c r="A738" s="2" t="str">
        <f>HYPERLINK("https://rth.dk/resources/bsgatlas/details.php?id=BSGatlas-TSS-737","BSGatlas-TSS-737")</f>
        <v>BSGatlas-TSS-737</v>
      </c>
      <c r="B738" s="3">
        <v>976892</v>
      </c>
      <c r="C738" s="1" t="s">
        <v>9</v>
      </c>
      <c r="D738" s="1">
        <v>22</v>
      </c>
      <c r="E738" s="1" t="s">
        <v>14734</v>
      </c>
      <c r="F738" s="6"/>
      <c r="G738" s="1" t="s">
        <v>14726</v>
      </c>
    </row>
    <row r="739" spans="1:7" ht="21" x14ac:dyDescent="0.25">
      <c r="A739" s="2" t="str">
        <f>HYPERLINK("https://rth.dk/resources/bsgatlas/details.php?id=BSGatlas-TSS-738","BSGatlas-TSS-738")</f>
        <v>BSGatlas-TSS-738</v>
      </c>
      <c r="B739" s="3">
        <v>977068</v>
      </c>
      <c r="C739" s="1" t="s">
        <v>9</v>
      </c>
      <c r="D739" s="1">
        <v>22</v>
      </c>
      <c r="E739" s="1" t="s">
        <v>14732</v>
      </c>
      <c r="F739" s="6"/>
      <c r="G739" s="1" t="s">
        <v>14726</v>
      </c>
    </row>
    <row r="740" spans="1:7" ht="21" x14ac:dyDescent="0.25">
      <c r="A740" s="2" t="str">
        <f>HYPERLINK("https://rth.dk/resources/bsgatlas/details.php?id=BSGatlas-TSS-739","BSGatlas-TSS-739")</f>
        <v>BSGatlas-TSS-739</v>
      </c>
      <c r="B740" s="3">
        <v>980434</v>
      </c>
      <c r="C740" s="1" t="s">
        <v>9</v>
      </c>
      <c r="D740" s="1">
        <v>22</v>
      </c>
      <c r="E740" s="1" t="s">
        <v>14722</v>
      </c>
      <c r="F740" s="6"/>
      <c r="G740" s="1" t="s">
        <v>14726</v>
      </c>
    </row>
    <row r="741" spans="1:7" ht="21" x14ac:dyDescent="0.25">
      <c r="A741" s="2" t="str">
        <f>HYPERLINK("https://rth.dk/resources/bsgatlas/details.php?id=BSGatlas-TSS-740","BSGatlas-TSS-740")</f>
        <v>BSGatlas-TSS-740</v>
      </c>
      <c r="B741" s="3">
        <v>980800</v>
      </c>
      <c r="C741" s="1" t="s">
        <v>13</v>
      </c>
      <c r="D741" s="1">
        <v>22</v>
      </c>
      <c r="E741" s="1" t="s">
        <v>14727</v>
      </c>
      <c r="F741" s="6"/>
      <c r="G741" s="1" t="s">
        <v>14726</v>
      </c>
    </row>
    <row r="742" spans="1:7" ht="21" x14ac:dyDescent="0.25">
      <c r="A742" s="2" t="str">
        <f>HYPERLINK("https://rth.dk/resources/bsgatlas/details.php?id=BSGatlas-TSS-741","BSGatlas-TSS-741")</f>
        <v>BSGatlas-TSS-741</v>
      </c>
      <c r="B742" s="3">
        <v>984570</v>
      </c>
      <c r="C742" s="1" t="s">
        <v>9</v>
      </c>
      <c r="D742" s="1">
        <v>22</v>
      </c>
      <c r="E742" s="1" t="s">
        <v>14720</v>
      </c>
      <c r="F742" s="6"/>
      <c r="G742" s="1" t="s">
        <v>14726</v>
      </c>
    </row>
    <row r="743" spans="1:7" ht="21" x14ac:dyDescent="0.25">
      <c r="A743" s="2" t="str">
        <f>HYPERLINK("https://rth.dk/resources/bsgatlas/details.php?id=BSGatlas-TSS-742","BSGatlas-TSS-742")</f>
        <v>BSGatlas-TSS-742</v>
      </c>
      <c r="B743" s="3">
        <v>984584</v>
      </c>
      <c r="C743" s="1" t="s">
        <v>13</v>
      </c>
      <c r="D743" s="1">
        <v>0</v>
      </c>
      <c r="E743" s="1" t="s">
        <v>14722</v>
      </c>
      <c r="F743" s="6" t="s">
        <v>14847</v>
      </c>
      <c r="G743" s="1" t="s">
        <v>14724</v>
      </c>
    </row>
    <row r="744" spans="1:7" ht="21" x14ac:dyDescent="0.25">
      <c r="A744" s="2" t="str">
        <f>HYPERLINK("https://rth.dk/resources/bsgatlas/details.php?id=BSGatlas-TSS-743","BSGatlas-TSS-743")</f>
        <v>BSGatlas-TSS-743</v>
      </c>
      <c r="B744" s="3">
        <v>984789</v>
      </c>
      <c r="C744" s="1" t="s">
        <v>9</v>
      </c>
      <c r="D744" s="1">
        <v>22</v>
      </c>
      <c r="E744" s="1" t="s">
        <v>14722</v>
      </c>
      <c r="F744" s="6"/>
      <c r="G744" s="1" t="s">
        <v>14733</v>
      </c>
    </row>
    <row r="745" spans="1:7" ht="21" x14ac:dyDescent="0.25">
      <c r="A745" s="2" t="str">
        <f>HYPERLINK("https://rth.dk/resources/bsgatlas/details.php?id=BSGatlas-TSS-744","BSGatlas-TSS-744")</f>
        <v>BSGatlas-TSS-744</v>
      </c>
      <c r="B745" s="3">
        <v>986844</v>
      </c>
      <c r="C745" s="1" t="s">
        <v>13</v>
      </c>
      <c r="D745" s="1">
        <v>22</v>
      </c>
      <c r="E745" s="1" t="s">
        <v>14722</v>
      </c>
      <c r="F745" s="6"/>
      <c r="G745" s="1" t="s">
        <v>14726</v>
      </c>
    </row>
    <row r="746" spans="1:7" ht="21" x14ac:dyDescent="0.25">
      <c r="A746" s="2" t="str">
        <f>HYPERLINK("https://rth.dk/resources/bsgatlas/details.php?id=BSGatlas-TSS-745","BSGatlas-TSS-745")</f>
        <v>BSGatlas-TSS-745</v>
      </c>
      <c r="B746" s="3">
        <v>986959</v>
      </c>
      <c r="C746" s="1" t="s">
        <v>9</v>
      </c>
      <c r="D746" s="1">
        <v>0</v>
      </c>
      <c r="E746" s="1" t="s">
        <v>14722</v>
      </c>
      <c r="F746" s="6" t="s">
        <v>14848</v>
      </c>
      <c r="G746" s="1" t="s">
        <v>14729</v>
      </c>
    </row>
    <row r="747" spans="1:7" ht="21" x14ac:dyDescent="0.25">
      <c r="A747" s="2" t="str">
        <f>HYPERLINK("https://rth.dk/resources/bsgatlas/details.php?id=BSGatlas-TSS-746","BSGatlas-TSS-746")</f>
        <v>BSGatlas-TSS-746</v>
      </c>
      <c r="B747" s="3">
        <v>988915</v>
      </c>
      <c r="C747" s="1" t="s">
        <v>13</v>
      </c>
      <c r="D747" s="1">
        <v>22</v>
      </c>
      <c r="E747" s="1" t="s">
        <v>14734</v>
      </c>
      <c r="F747" s="6"/>
      <c r="G747" s="1" t="s">
        <v>14726</v>
      </c>
    </row>
    <row r="748" spans="1:7" ht="21" x14ac:dyDescent="0.25">
      <c r="A748" s="2" t="str">
        <f>HYPERLINK("https://rth.dk/resources/bsgatlas/details.php?id=BSGatlas-TSS-747","BSGatlas-TSS-747")</f>
        <v>BSGatlas-TSS-747</v>
      </c>
      <c r="B748" s="3">
        <v>988998</v>
      </c>
      <c r="C748" s="1" t="s">
        <v>9</v>
      </c>
      <c r="D748" s="1">
        <v>0</v>
      </c>
      <c r="E748" s="1" t="s">
        <v>14849</v>
      </c>
      <c r="F748" s="6" t="s">
        <v>14850</v>
      </c>
      <c r="G748" s="1" t="s">
        <v>14729</v>
      </c>
    </row>
    <row r="749" spans="1:7" ht="21" x14ac:dyDescent="0.25">
      <c r="A749" s="2" t="str">
        <f>HYPERLINK("https://rth.dk/resources/bsgatlas/details.php?id=BSGatlas-TSS-748","BSGatlas-TSS-748")</f>
        <v>BSGatlas-TSS-748</v>
      </c>
      <c r="B749" s="3">
        <v>989235</v>
      </c>
      <c r="C749" s="1" t="s">
        <v>9</v>
      </c>
      <c r="D749" s="1">
        <v>22</v>
      </c>
      <c r="E749" s="1" t="s">
        <v>14732</v>
      </c>
      <c r="F749" s="6"/>
      <c r="G749" s="1" t="s">
        <v>14726</v>
      </c>
    </row>
    <row r="750" spans="1:7" ht="21" x14ac:dyDescent="0.25">
      <c r="A750" s="2" t="str">
        <f>HYPERLINK("https://rth.dk/resources/bsgatlas/details.php?id=BSGatlas-TSS-749","BSGatlas-TSS-749")</f>
        <v>BSGatlas-TSS-749</v>
      </c>
      <c r="B750" s="3">
        <v>989673</v>
      </c>
      <c r="C750" s="1" t="s">
        <v>9</v>
      </c>
      <c r="D750" s="1">
        <v>0</v>
      </c>
      <c r="E750" s="1" t="s">
        <v>14830</v>
      </c>
      <c r="F750" s="6" t="s">
        <v>14829</v>
      </c>
      <c r="G750" s="1" t="s">
        <v>14729</v>
      </c>
    </row>
    <row r="751" spans="1:7" ht="21" x14ac:dyDescent="0.25">
      <c r="A751" s="2" t="str">
        <f>HYPERLINK("https://rth.dk/resources/bsgatlas/details.php?id=BSGatlas-TSS-750","BSGatlas-TSS-750")</f>
        <v>BSGatlas-TSS-750</v>
      </c>
      <c r="B751" s="3">
        <v>991292</v>
      </c>
      <c r="C751" s="1" t="s">
        <v>13</v>
      </c>
      <c r="D751" s="1">
        <v>0</v>
      </c>
      <c r="E751" s="1" t="s">
        <v>14743</v>
      </c>
      <c r="F751" s="6">
        <v>16497325</v>
      </c>
      <c r="G751" s="1" t="s">
        <v>14730</v>
      </c>
    </row>
    <row r="752" spans="1:7" ht="21" x14ac:dyDescent="0.25">
      <c r="A752" s="2" t="str">
        <f>HYPERLINK("https://rth.dk/resources/bsgatlas/details.php?id=BSGatlas-TSS-751","BSGatlas-TSS-751")</f>
        <v>BSGatlas-TSS-751</v>
      </c>
      <c r="B752" s="3">
        <v>991371</v>
      </c>
      <c r="C752" s="1" t="s">
        <v>9</v>
      </c>
      <c r="D752" s="1">
        <v>22</v>
      </c>
      <c r="E752" s="1" t="s">
        <v>14745</v>
      </c>
      <c r="F752" s="6"/>
      <c r="G752" s="1" t="s">
        <v>14726</v>
      </c>
    </row>
    <row r="753" spans="1:7" ht="21" x14ac:dyDescent="0.25">
      <c r="A753" s="2" t="str">
        <f>HYPERLINK("https://rth.dk/resources/bsgatlas/details.php?id=BSGatlas-TSS-752","BSGatlas-TSS-752")</f>
        <v>BSGatlas-TSS-752</v>
      </c>
      <c r="B753" s="3">
        <v>996595</v>
      </c>
      <c r="C753" s="1" t="s">
        <v>13</v>
      </c>
      <c r="D753" s="1">
        <v>22</v>
      </c>
      <c r="E753" s="1" t="s">
        <v>14732</v>
      </c>
      <c r="F753" s="6"/>
      <c r="G753" s="1" t="s">
        <v>14726</v>
      </c>
    </row>
    <row r="754" spans="1:7" ht="21" x14ac:dyDescent="0.25">
      <c r="A754" s="2" t="str">
        <f>HYPERLINK("https://rth.dk/resources/bsgatlas/details.php?id=BSGatlas-TSS-753","BSGatlas-TSS-753")</f>
        <v>BSGatlas-TSS-753</v>
      </c>
      <c r="B754" s="3">
        <v>996607</v>
      </c>
      <c r="C754" s="1" t="s">
        <v>9</v>
      </c>
      <c r="D754" s="1">
        <v>22</v>
      </c>
      <c r="E754" s="1" t="s">
        <v>14722</v>
      </c>
      <c r="F754" s="6"/>
      <c r="G754" s="1" t="s">
        <v>14726</v>
      </c>
    </row>
    <row r="755" spans="1:7" ht="21" x14ac:dyDescent="0.25">
      <c r="A755" s="2" t="str">
        <f>HYPERLINK("https://rth.dk/resources/bsgatlas/details.php?id=BSGatlas-TSS-754","BSGatlas-TSS-754")</f>
        <v>BSGatlas-TSS-754</v>
      </c>
      <c r="B755" s="3">
        <v>997083</v>
      </c>
      <c r="C755" s="1" t="s">
        <v>13</v>
      </c>
      <c r="D755" s="1">
        <v>22</v>
      </c>
      <c r="E755" s="1" t="s">
        <v>14722</v>
      </c>
      <c r="F755" s="6"/>
      <c r="G755" s="1" t="s">
        <v>14733</v>
      </c>
    </row>
    <row r="756" spans="1:7" ht="21" x14ac:dyDescent="0.25">
      <c r="A756" s="2" t="str">
        <f>HYPERLINK("https://rth.dk/resources/bsgatlas/details.php?id=BSGatlas-TSS-755","BSGatlas-TSS-755")</f>
        <v>BSGatlas-TSS-755</v>
      </c>
      <c r="B756" s="3">
        <v>997159</v>
      </c>
      <c r="C756" s="1" t="s">
        <v>9</v>
      </c>
      <c r="D756" s="1">
        <v>0</v>
      </c>
      <c r="E756" s="1" t="s">
        <v>14743</v>
      </c>
      <c r="F756" s="6" t="s">
        <v>14851</v>
      </c>
      <c r="G756" s="1" t="s">
        <v>14730</v>
      </c>
    </row>
    <row r="757" spans="1:7" ht="21" x14ac:dyDescent="0.25">
      <c r="A757" s="2" t="str">
        <f>HYPERLINK("https://rth.dk/resources/bsgatlas/details.php?id=BSGatlas-TSS-756","BSGatlas-TSS-756")</f>
        <v>BSGatlas-TSS-756</v>
      </c>
      <c r="B757" s="3">
        <v>997167</v>
      </c>
      <c r="C757" s="1" t="s">
        <v>13</v>
      </c>
      <c r="D757" s="1">
        <v>22</v>
      </c>
      <c r="E757" s="1" t="s">
        <v>14720</v>
      </c>
      <c r="F757" s="6"/>
      <c r="G757" s="1" t="s">
        <v>14726</v>
      </c>
    </row>
    <row r="758" spans="1:7" ht="21" x14ac:dyDescent="0.25">
      <c r="A758" s="2" t="str">
        <f>HYPERLINK("https://rth.dk/resources/bsgatlas/details.php?id=BSGatlas-TSS-757","BSGatlas-TSS-757")</f>
        <v>BSGatlas-TSS-757</v>
      </c>
      <c r="B758" s="3">
        <v>997541</v>
      </c>
      <c r="C758" s="1" t="s">
        <v>13</v>
      </c>
      <c r="D758" s="1">
        <v>22</v>
      </c>
      <c r="E758" s="1" t="s">
        <v>14720</v>
      </c>
      <c r="F758" s="6"/>
      <c r="G758" s="1" t="s">
        <v>14726</v>
      </c>
    </row>
    <row r="759" spans="1:7" ht="21" x14ac:dyDescent="0.25">
      <c r="A759" s="2" t="str">
        <f>HYPERLINK("https://rth.dk/resources/bsgatlas/details.php?id=BSGatlas-TSS-758","BSGatlas-TSS-758")</f>
        <v>BSGatlas-TSS-758</v>
      </c>
      <c r="B759" s="3">
        <v>997676</v>
      </c>
      <c r="C759" s="1" t="s">
        <v>9</v>
      </c>
      <c r="D759" s="1">
        <v>22</v>
      </c>
      <c r="E759" s="1" t="s">
        <v>14722</v>
      </c>
      <c r="F759" s="6"/>
      <c r="G759" s="1" t="s">
        <v>14726</v>
      </c>
    </row>
    <row r="760" spans="1:7" ht="21" x14ac:dyDescent="0.25">
      <c r="A760" s="2" t="str">
        <f>HYPERLINK("https://rth.dk/resources/bsgatlas/details.php?id=BSGatlas-TSS-759","BSGatlas-TSS-759")</f>
        <v>BSGatlas-TSS-759</v>
      </c>
      <c r="B760" s="3">
        <v>1000282</v>
      </c>
      <c r="C760" s="1" t="s">
        <v>9</v>
      </c>
      <c r="D760" s="1">
        <v>22</v>
      </c>
      <c r="E760" s="1" t="s">
        <v>14722</v>
      </c>
      <c r="F760" s="6"/>
      <c r="G760" s="1" t="s">
        <v>14733</v>
      </c>
    </row>
    <row r="761" spans="1:7" ht="21" x14ac:dyDescent="0.25">
      <c r="A761" s="2" t="str">
        <f>HYPERLINK("https://rth.dk/resources/bsgatlas/details.php?id=BSGatlas-TSS-760","BSGatlas-TSS-760")</f>
        <v>BSGatlas-TSS-760</v>
      </c>
      <c r="B761" s="3">
        <v>1002354</v>
      </c>
      <c r="C761" s="1" t="s">
        <v>9</v>
      </c>
      <c r="D761" s="1">
        <v>0</v>
      </c>
      <c r="E761" s="1" t="s">
        <v>14722</v>
      </c>
      <c r="F761" s="6" t="s">
        <v>14852</v>
      </c>
      <c r="G761" s="1" t="s">
        <v>14729</v>
      </c>
    </row>
    <row r="762" spans="1:7" ht="21" x14ac:dyDescent="0.25">
      <c r="A762" s="2" t="str">
        <f>HYPERLINK("https://rth.dk/resources/bsgatlas/details.php?id=BSGatlas-TSS-761","BSGatlas-TSS-761")</f>
        <v>BSGatlas-TSS-761</v>
      </c>
      <c r="B762" s="3">
        <v>1002410</v>
      </c>
      <c r="C762" s="1" t="s">
        <v>9</v>
      </c>
      <c r="D762" s="1">
        <v>33</v>
      </c>
      <c r="E762" s="1" t="s">
        <v>14720</v>
      </c>
      <c r="F762" s="6"/>
      <c r="G762" s="1" t="s">
        <v>14721</v>
      </c>
    </row>
    <row r="763" spans="1:7" ht="21" x14ac:dyDescent="0.25">
      <c r="A763" s="2" t="str">
        <f>HYPERLINK("https://rth.dk/resources/bsgatlas/details.php?id=BSGatlas-TSS-762","BSGatlas-TSS-762")</f>
        <v>BSGatlas-TSS-762</v>
      </c>
      <c r="B763" s="3">
        <v>1004176</v>
      </c>
      <c r="C763" s="1" t="s">
        <v>9</v>
      </c>
      <c r="D763" s="1">
        <v>22</v>
      </c>
      <c r="E763" s="1" t="s">
        <v>14734</v>
      </c>
      <c r="F763" s="6"/>
      <c r="G763" s="1" t="s">
        <v>14726</v>
      </c>
    </row>
    <row r="764" spans="1:7" ht="21" x14ac:dyDescent="0.25">
      <c r="A764" s="2" t="str">
        <f>HYPERLINK("https://rth.dk/resources/bsgatlas/details.php?id=BSGatlas-TSS-763","BSGatlas-TSS-763")</f>
        <v>BSGatlas-TSS-763</v>
      </c>
      <c r="B764" s="3">
        <v>1004860</v>
      </c>
      <c r="C764" s="1" t="s">
        <v>9</v>
      </c>
      <c r="D764" s="1">
        <v>0</v>
      </c>
      <c r="E764" s="1" t="s">
        <v>14722</v>
      </c>
      <c r="F764" s="6" t="s">
        <v>14853</v>
      </c>
      <c r="G764" s="1" t="s">
        <v>4382</v>
      </c>
    </row>
    <row r="765" spans="1:7" ht="21" x14ac:dyDescent="0.25">
      <c r="A765" s="2" t="str">
        <f>HYPERLINK("https://rth.dk/resources/bsgatlas/details.php?id=BSGatlas-TSS-764","BSGatlas-TSS-764")</f>
        <v>BSGatlas-TSS-764</v>
      </c>
      <c r="B765" s="3">
        <v>1004946</v>
      </c>
      <c r="C765" s="1" t="s">
        <v>9</v>
      </c>
      <c r="D765" s="1">
        <v>22</v>
      </c>
      <c r="E765" s="1" t="s">
        <v>14720</v>
      </c>
      <c r="F765" s="6"/>
      <c r="G765" s="1" t="s">
        <v>14726</v>
      </c>
    </row>
    <row r="766" spans="1:7" ht="21" x14ac:dyDescent="0.25">
      <c r="A766" s="2" t="str">
        <f>HYPERLINK("https://rth.dk/resources/bsgatlas/details.php?id=BSGatlas-TSS-765","BSGatlas-TSS-765")</f>
        <v>BSGatlas-TSS-765</v>
      </c>
      <c r="B766" s="3">
        <v>1006433</v>
      </c>
      <c r="C766" s="1" t="s">
        <v>9</v>
      </c>
      <c r="D766" s="1">
        <v>22</v>
      </c>
      <c r="E766" s="1" t="s">
        <v>14727</v>
      </c>
      <c r="F766" s="6"/>
      <c r="G766" s="1" t="s">
        <v>14726</v>
      </c>
    </row>
    <row r="767" spans="1:7" ht="21" x14ac:dyDescent="0.25">
      <c r="A767" s="2" t="str">
        <f>HYPERLINK("https://rth.dk/resources/bsgatlas/details.php?id=BSGatlas-TSS-766","BSGatlas-TSS-766")</f>
        <v>BSGatlas-TSS-766</v>
      </c>
      <c r="B767" s="3">
        <v>1006508</v>
      </c>
      <c r="C767" s="1" t="s">
        <v>9</v>
      </c>
      <c r="D767" s="1">
        <v>22</v>
      </c>
      <c r="E767" s="1" t="s">
        <v>14734</v>
      </c>
      <c r="F767" s="6"/>
      <c r="G767" s="1" t="s">
        <v>14726</v>
      </c>
    </row>
    <row r="768" spans="1:7" ht="21" x14ac:dyDescent="0.25">
      <c r="A768" s="2" t="str">
        <f>HYPERLINK("https://rth.dk/resources/bsgatlas/details.php?id=BSGatlas-TSS-767","BSGatlas-TSS-767")</f>
        <v>BSGatlas-TSS-767</v>
      </c>
      <c r="B768" s="3">
        <v>1006730</v>
      </c>
      <c r="C768" s="1" t="s">
        <v>9</v>
      </c>
      <c r="D768" s="1">
        <v>22</v>
      </c>
      <c r="E768" s="1" t="s">
        <v>14722</v>
      </c>
      <c r="F768" s="6"/>
      <c r="G768" s="1" t="s">
        <v>14726</v>
      </c>
    </row>
    <row r="769" spans="1:7" ht="21" x14ac:dyDescent="0.25">
      <c r="A769" s="2" t="str">
        <f>HYPERLINK("https://rth.dk/resources/bsgatlas/details.php?id=BSGatlas-TSS-768","BSGatlas-TSS-768")</f>
        <v>BSGatlas-TSS-768</v>
      </c>
      <c r="B769" s="3">
        <v>1008642</v>
      </c>
      <c r="C769" s="1" t="s">
        <v>9</v>
      </c>
      <c r="D769" s="1">
        <v>0</v>
      </c>
      <c r="E769" s="1" t="s">
        <v>14722</v>
      </c>
      <c r="F769" s="6">
        <v>16816187</v>
      </c>
      <c r="G769" s="1" t="s">
        <v>14729</v>
      </c>
    </row>
    <row r="770" spans="1:7" ht="21" x14ac:dyDescent="0.25">
      <c r="A770" s="2" t="str">
        <f>HYPERLINK("https://rth.dk/resources/bsgatlas/details.php?id=BSGatlas-TSS-769","BSGatlas-TSS-769")</f>
        <v>BSGatlas-TSS-769</v>
      </c>
      <c r="B770" s="3">
        <v>1011273</v>
      </c>
      <c r="C770" s="1" t="s">
        <v>13</v>
      </c>
      <c r="D770" s="1">
        <v>22</v>
      </c>
      <c r="E770" s="1" t="s">
        <v>14732</v>
      </c>
      <c r="F770" s="6"/>
      <c r="G770" s="1" t="s">
        <v>14726</v>
      </c>
    </row>
    <row r="771" spans="1:7" ht="21" x14ac:dyDescent="0.25">
      <c r="A771" s="2" t="str">
        <f>HYPERLINK("https://rth.dk/resources/bsgatlas/details.php?id=BSGatlas-TSS-770","BSGatlas-TSS-770")</f>
        <v>BSGatlas-TSS-770</v>
      </c>
      <c r="B771" s="3">
        <v>1011391</v>
      </c>
      <c r="C771" s="1" t="s">
        <v>9</v>
      </c>
      <c r="D771" s="1">
        <v>22</v>
      </c>
      <c r="E771" s="1" t="s">
        <v>14732</v>
      </c>
      <c r="F771" s="6"/>
      <c r="G771" s="1" t="s">
        <v>14726</v>
      </c>
    </row>
    <row r="772" spans="1:7" ht="21" x14ac:dyDescent="0.25">
      <c r="A772" s="2" t="str">
        <f>HYPERLINK("https://rth.dk/resources/bsgatlas/details.php?id=BSGatlas-TSS-771","BSGatlas-TSS-771")</f>
        <v>BSGatlas-TSS-771</v>
      </c>
      <c r="B772" s="3">
        <v>1013302</v>
      </c>
      <c r="C772" s="1" t="s">
        <v>13</v>
      </c>
      <c r="D772" s="1">
        <v>0</v>
      </c>
      <c r="E772" s="1" t="s">
        <v>14752</v>
      </c>
      <c r="F772" s="6" t="s">
        <v>14854</v>
      </c>
      <c r="G772" s="1" t="s">
        <v>14729</v>
      </c>
    </row>
    <row r="773" spans="1:7" ht="21" x14ac:dyDescent="0.25">
      <c r="A773" s="2" t="str">
        <f>HYPERLINK("https://rth.dk/resources/bsgatlas/details.php?id=BSGatlas-TSS-772","BSGatlas-TSS-772")</f>
        <v>BSGatlas-TSS-772</v>
      </c>
      <c r="B773" s="3">
        <v>1013861</v>
      </c>
      <c r="C773" s="1" t="s">
        <v>9</v>
      </c>
      <c r="D773" s="1">
        <v>22</v>
      </c>
      <c r="E773" s="1" t="s">
        <v>14732</v>
      </c>
      <c r="F773" s="6"/>
      <c r="G773" s="1" t="s">
        <v>14726</v>
      </c>
    </row>
    <row r="774" spans="1:7" ht="21" x14ac:dyDescent="0.25">
      <c r="A774" s="2" t="str">
        <f>HYPERLINK("https://rth.dk/resources/bsgatlas/details.php?id=BSGatlas-TSS-773","BSGatlas-TSS-773")</f>
        <v>BSGatlas-TSS-773</v>
      </c>
      <c r="B774" s="3">
        <v>1013889</v>
      </c>
      <c r="C774" s="1" t="s">
        <v>13</v>
      </c>
      <c r="D774" s="1">
        <v>22</v>
      </c>
      <c r="E774" s="1" t="s">
        <v>14722</v>
      </c>
      <c r="F774" s="6"/>
      <c r="G774" s="1" t="s">
        <v>14726</v>
      </c>
    </row>
    <row r="775" spans="1:7" ht="21" x14ac:dyDescent="0.25">
      <c r="A775" s="2" t="str">
        <f>HYPERLINK("https://rth.dk/resources/bsgatlas/details.php?id=BSGatlas-TSS-774","BSGatlas-TSS-774")</f>
        <v>BSGatlas-TSS-774</v>
      </c>
      <c r="B775" s="3">
        <v>1015527</v>
      </c>
      <c r="C775" s="1" t="s">
        <v>13</v>
      </c>
      <c r="D775" s="1">
        <v>22</v>
      </c>
      <c r="E775" s="1" t="s">
        <v>14734</v>
      </c>
      <c r="F775" s="6"/>
      <c r="G775" s="1" t="s">
        <v>14726</v>
      </c>
    </row>
    <row r="776" spans="1:7" ht="21" x14ac:dyDescent="0.25">
      <c r="A776" s="2" t="str">
        <f>HYPERLINK("https://rth.dk/resources/bsgatlas/details.php?id=BSGatlas-TSS-775","BSGatlas-TSS-775")</f>
        <v>BSGatlas-TSS-775</v>
      </c>
      <c r="B776" s="3">
        <v>1015624</v>
      </c>
      <c r="C776" s="1" t="s">
        <v>9</v>
      </c>
      <c r="D776" s="1">
        <v>0</v>
      </c>
      <c r="E776" s="1" t="s">
        <v>14735</v>
      </c>
      <c r="F776" s="6" t="s">
        <v>14855</v>
      </c>
      <c r="G776" s="1" t="s">
        <v>14729</v>
      </c>
    </row>
    <row r="777" spans="1:7" ht="21" x14ac:dyDescent="0.25">
      <c r="A777" s="2" t="str">
        <f>HYPERLINK("https://rth.dk/resources/bsgatlas/details.php?id=BSGatlas-TSS-776","BSGatlas-TSS-776")</f>
        <v>BSGatlas-TSS-776</v>
      </c>
      <c r="B777" s="3">
        <v>1018487</v>
      </c>
      <c r="C777" s="1" t="s">
        <v>13</v>
      </c>
      <c r="D777" s="1">
        <v>0</v>
      </c>
      <c r="E777" s="1" t="s">
        <v>14722</v>
      </c>
      <c r="F777" s="6" t="s">
        <v>14856</v>
      </c>
      <c r="G777" s="1" t="s">
        <v>14729</v>
      </c>
    </row>
    <row r="778" spans="1:7" ht="21" x14ac:dyDescent="0.25">
      <c r="A778" s="2" t="str">
        <f>HYPERLINK("https://rth.dk/resources/bsgatlas/details.php?id=BSGatlas-TSS-777","BSGatlas-TSS-777")</f>
        <v>BSGatlas-TSS-777</v>
      </c>
      <c r="B778" s="3">
        <v>1018650</v>
      </c>
      <c r="C778" s="1" t="s">
        <v>9</v>
      </c>
      <c r="D778" s="1">
        <v>22</v>
      </c>
      <c r="E778" s="1" t="s">
        <v>14722</v>
      </c>
      <c r="F778" s="6"/>
      <c r="G778" s="1" t="s">
        <v>14733</v>
      </c>
    </row>
    <row r="779" spans="1:7" ht="21" x14ac:dyDescent="0.25">
      <c r="A779" s="2" t="str">
        <f>HYPERLINK("https://rth.dk/resources/bsgatlas/details.php?id=BSGatlas-TSS-778","BSGatlas-TSS-778")</f>
        <v>BSGatlas-TSS-778</v>
      </c>
      <c r="B779" s="3">
        <v>1018939</v>
      </c>
      <c r="C779" s="1" t="s">
        <v>9</v>
      </c>
      <c r="D779" s="1">
        <v>22</v>
      </c>
      <c r="E779" s="1" t="s">
        <v>14722</v>
      </c>
      <c r="F779" s="6"/>
      <c r="G779" s="1" t="s">
        <v>14726</v>
      </c>
    </row>
    <row r="780" spans="1:7" ht="21" x14ac:dyDescent="0.25">
      <c r="A780" s="2" t="str">
        <f>HYPERLINK("https://rth.dk/resources/bsgatlas/details.php?id=BSGatlas-TSS-779","BSGatlas-TSS-779")</f>
        <v>BSGatlas-TSS-779</v>
      </c>
      <c r="B780" s="3">
        <v>1018986</v>
      </c>
      <c r="C780" s="1" t="s">
        <v>9</v>
      </c>
      <c r="D780" s="1">
        <v>0</v>
      </c>
      <c r="E780" s="1" t="s">
        <v>14745</v>
      </c>
      <c r="F780" s="6" t="s">
        <v>14857</v>
      </c>
      <c r="G780" s="1" t="s">
        <v>4382</v>
      </c>
    </row>
    <row r="781" spans="1:7" ht="21" x14ac:dyDescent="0.25">
      <c r="A781" s="2" t="str">
        <f>HYPERLINK("https://rth.dk/resources/bsgatlas/details.php?id=BSGatlas-TSS-780","BSGatlas-TSS-780")</f>
        <v>BSGatlas-TSS-780</v>
      </c>
      <c r="B781" s="3">
        <v>1020028</v>
      </c>
      <c r="C781" s="1" t="s">
        <v>13</v>
      </c>
      <c r="D781" s="1">
        <v>22</v>
      </c>
      <c r="E781" s="1" t="s">
        <v>14739</v>
      </c>
      <c r="F781" s="6"/>
      <c r="G781" s="1" t="s">
        <v>14726</v>
      </c>
    </row>
    <row r="782" spans="1:7" ht="21" x14ac:dyDescent="0.25">
      <c r="A782" s="2" t="str">
        <f>HYPERLINK("https://rth.dk/resources/bsgatlas/details.php?id=BSGatlas-TSS-781","BSGatlas-TSS-781")</f>
        <v>BSGatlas-TSS-781</v>
      </c>
      <c r="B782" s="3">
        <v>1021001</v>
      </c>
      <c r="C782" s="1" t="s">
        <v>13</v>
      </c>
      <c r="D782" s="1">
        <v>0</v>
      </c>
      <c r="E782" s="1" t="s">
        <v>14722</v>
      </c>
      <c r="F782" s="6" t="s">
        <v>14858</v>
      </c>
      <c r="G782" s="1" t="s">
        <v>14729</v>
      </c>
    </row>
    <row r="783" spans="1:7" ht="21" x14ac:dyDescent="0.25">
      <c r="A783" s="2" t="str">
        <f>HYPERLINK("https://rth.dk/resources/bsgatlas/details.php?id=BSGatlas-TSS-782","BSGatlas-TSS-782")</f>
        <v>BSGatlas-TSS-782</v>
      </c>
      <c r="B783" s="3">
        <v>1021032</v>
      </c>
      <c r="C783" s="1" t="s">
        <v>9</v>
      </c>
      <c r="D783" s="1">
        <v>0</v>
      </c>
      <c r="E783" s="1" t="s">
        <v>14722</v>
      </c>
      <c r="F783" s="6" t="s">
        <v>14858</v>
      </c>
      <c r="G783" s="1" t="s">
        <v>14729</v>
      </c>
    </row>
    <row r="784" spans="1:7" ht="21" x14ac:dyDescent="0.25">
      <c r="A784" s="2" t="str">
        <f>HYPERLINK("https://rth.dk/resources/bsgatlas/details.php?id=BSGatlas-TSS-783","BSGatlas-TSS-783")</f>
        <v>BSGatlas-TSS-783</v>
      </c>
      <c r="B784" s="3">
        <v>1022203</v>
      </c>
      <c r="C784" s="1" t="s">
        <v>9</v>
      </c>
      <c r="D784" s="1">
        <v>0</v>
      </c>
      <c r="E784" s="1" t="s">
        <v>14734</v>
      </c>
      <c r="F784" s="6" t="s">
        <v>14761</v>
      </c>
      <c r="G784" s="1" t="s">
        <v>14729</v>
      </c>
    </row>
    <row r="785" spans="1:7" ht="21" x14ac:dyDescent="0.25">
      <c r="A785" s="2" t="str">
        <f>HYPERLINK("https://rth.dk/resources/bsgatlas/details.php?id=BSGatlas-TSS-784","BSGatlas-TSS-784")</f>
        <v>BSGatlas-TSS-784</v>
      </c>
      <c r="B785" s="3">
        <v>1023200</v>
      </c>
      <c r="C785" s="1" t="s">
        <v>9</v>
      </c>
      <c r="D785" s="1">
        <v>22</v>
      </c>
      <c r="E785" s="1" t="s">
        <v>14722</v>
      </c>
      <c r="F785" s="6"/>
      <c r="G785" s="1" t="s">
        <v>14733</v>
      </c>
    </row>
    <row r="786" spans="1:7" ht="21" x14ac:dyDescent="0.25">
      <c r="A786" s="2" t="str">
        <f>HYPERLINK("https://rth.dk/resources/bsgatlas/details.php?id=BSGatlas-TSS-785","BSGatlas-TSS-785")</f>
        <v>BSGatlas-TSS-785</v>
      </c>
      <c r="B786" s="3">
        <v>1023253</v>
      </c>
      <c r="C786" s="1" t="s">
        <v>9</v>
      </c>
      <c r="D786" s="1">
        <v>22</v>
      </c>
      <c r="E786" s="1" t="s">
        <v>14722</v>
      </c>
      <c r="F786" s="6"/>
      <c r="G786" s="1" t="s">
        <v>14733</v>
      </c>
    </row>
    <row r="787" spans="1:7" ht="21" x14ac:dyDescent="0.25">
      <c r="A787" s="2" t="str">
        <f>HYPERLINK("https://rth.dk/resources/bsgatlas/details.php?id=BSGatlas-TSS-786","BSGatlas-TSS-786")</f>
        <v>BSGatlas-TSS-786</v>
      </c>
      <c r="B787" s="3">
        <v>1024835</v>
      </c>
      <c r="C787" s="1" t="s">
        <v>9</v>
      </c>
      <c r="D787" s="1">
        <v>22</v>
      </c>
      <c r="E787" s="1" t="s">
        <v>14722</v>
      </c>
      <c r="F787" s="6"/>
      <c r="G787" s="1" t="s">
        <v>14726</v>
      </c>
    </row>
    <row r="788" spans="1:7" ht="21" x14ac:dyDescent="0.25">
      <c r="A788" s="2" t="str">
        <f>HYPERLINK("https://rth.dk/resources/bsgatlas/details.php?id=BSGatlas-TSS-787","BSGatlas-TSS-787")</f>
        <v>BSGatlas-TSS-787</v>
      </c>
      <c r="B788" s="3">
        <v>1027733</v>
      </c>
      <c r="C788" s="1" t="s">
        <v>9</v>
      </c>
      <c r="D788" s="1">
        <v>22</v>
      </c>
      <c r="E788" s="1" t="s">
        <v>14722</v>
      </c>
      <c r="F788" s="6"/>
      <c r="G788" s="1" t="s">
        <v>14726</v>
      </c>
    </row>
    <row r="789" spans="1:7" ht="21" x14ac:dyDescent="0.25">
      <c r="A789" s="2" t="str">
        <f>HYPERLINK("https://rth.dk/resources/bsgatlas/details.php?id=BSGatlas-TSS-788","BSGatlas-TSS-788")</f>
        <v>BSGatlas-TSS-788</v>
      </c>
      <c r="B789" s="3">
        <v>1027747</v>
      </c>
      <c r="C789" s="1" t="s">
        <v>13</v>
      </c>
      <c r="D789" s="1">
        <v>22</v>
      </c>
      <c r="E789" s="1" t="s">
        <v>14722</v>
      </c>
      <c r="F789" s="6"/>
      <c r="G789" s="1" t="s">
        <v>14726</v>
      </c>
    </row>
    <row r="790" spans="1:7" ht="21" x14ac:dyDescent="0.25">
      <c r="A790" s="2" t="str">
        <f>HYPERLINK("https://rth.dk/resources/bsgatlas/details.php?id=BSGatlas-TSS-789","BSGatlas-TSS-789")</f>
        <v>BSGatlas-TSS-789</v>
      </c>
      <c r="B790" s="3">
        <v>1030086</v>
      </c>
      <c r="C790" s="1" t="s">
        <v>13</v>
      </c>
      <c r="D790" s="1">
        <v>0</v>
      </c>
      <c r="E790" s="1" t="s">
        <v>14859</v>
      </c>
      <c r="F790" s="6" t="s">
        <v>14860</v>
      </c>
      <c r="G790" s="1" t="s">
        <v>4382</v>
      </c>
    </row>
    <row r="791" spans="1:7" ht="21" x14ac:dyDescent="0.25">
      <c r="A791" s="2" t="str">
        <f>HYPERLINK("https://rth.dk/resources/bsgatlas/details.php?id=BSGatlas-TSS-790","BSGatlas-TSS-790")</f>
        <v>BSGatlas-TSS-790</v>
      </c>
      <c r="B791" s="3">
        <v>1030162</v>
      </c>
      <c r="C791" s="1" t="s">
        <v>13</v>
      </c>
      <c r="D791" s="1">
        <v>0</v>
      </c>
      <c r="E791" s="1" t="s">
        <v>14722</v>
      </c>
      <c r="F791" s="6" t="s">
        <v>14861</v>
      </c>
      <c r="G791" s="1" t="s">
        <v>14724</v>
      </c>
    </row>
    <row r="792" spans="1:7" ht="21" x14ac:dyDescent="0.25">
      <c r="A792" s="2" t="str">
        <f>HYPERLINK("https://rth.dk/resources/bsgatlas/details.php?id=BSGatlas-TSS-791","BSGatlas-TSS-791")</f>
        <v>BSGatlas-TSS-791</v>
      </c>
      <c r="B792" s="3">
        <v>1030226</v>
      </c>
      <c r="C792" s="1" t="s">
        <v>9</v>
      </c>
      <c r="D792" s="1">
        <v>22</v>
      </c>
      <c r="E792" s="1" t="s">
        <v>14734</v>
      </c>
      <c r="F792" s="6"/>
      <c r="G792" s="1" t="s">
        <v>14726</v>
      </c>
    </row>
    <row r="793" spans="1:7" ht="21" x14ac:dyDescent="0.25">
      <c r="A793" s="2" t="str">
        <f>HYPERLINK("https://rth.dk/resources/bsgatlas/details.php?id=BSGatlas-TSS-792","BSGatlas-TSS-792")</f>
        <v>BSGatlas-TSS-792</v>
      </c>
      <c r="B793" s="3">
        <v>1031345</v>
      </c>
      <c r="C793" s="1" t="s">
        <v>9</v>
      </c>
      <c r="D793" s="1">
        <v>22</v>
      </c>
      <c r="E793" s="1" t="s">
        <v>14722</v>
      </c>
      <c r="F793" s="6"/>
      <c r="G793" s="1" t="s">
        <v>14726</v>
      </c>
    </row>
    <row r="794" spans="1:7" ht="21" x14ac:dyDescent="0.25">
      <c r="A794" s="2" t="str">
        <f>HYPERLINK("https://rth.dk/resources/bsgatlas/details.php?id=BSGatlas-TSS-793","BSGatlas-TSS-793")</f>
        <v>BSGatlas-TSS-793</v>
      </c>
      <c r="B794" s="3">
        <v>1033911</v>
      </c>
      <c r="C794" s="1" t="s">
        <v>13</v>
      </c>
      <c r="D794" s="1">
        <v>22</v>
      </c>
      <c r="E794" s="1" t="s">
        <v>14722</v>
      </c>
      <c r="F794" s="6"/>
      <c r="G794" s="1" t="s">
        <v>14726</v>
      </c>
    </row>
    <row r="795" spans="1:7" ht="21" x14ac:dyDescent="0.25">
      <c r="A795" s="2" t="str">
        <f>HYPERLINK("https://rth.dk/resources/bsgatlas/details.php?id=BSGatlas-TSS-794","BSGatlas-TSS-794")</f>
        <v>BSGatlas-TSS-794</v>
      </c>
      <c r="B795" s="3">
        <v>1033977</v>
      </c>
      <c r="C795" s="1" t="s">
        <v>13</v>
      </c>
      <c r="D795" s="1">
        <v>22</v>
      </c>
      <c r="E795" s="1" t="s">
        <v>14720</v>
      </c>
      <c r="F795" s="6"/>
      <c r="G795" s="1" t="s">
        <v>14726</v>
      </c>
    </row>
    <row r="796" spans="1:7" ht="21" x14ac:dyDescent="0.25">
      <c r="A796" s="2" t="str">
        <f>HYPERLINK("https://rth.dk/resources/bsgatlas/details.php?id=BSGatlas-TSS-795","BSGatlas-TSS-795")</f>
        <v>BSGatlas-TSS-795</v>
      </c>
      <c r="B796" s="3">
        <v>1034010</v>
      </c>
      <c r="C796" s="1" t="s">
        <v>9</v>
      </c>
      <c r="D796" s="1">
        <v>22</v>
      </c>
      <c r="E796" s="1" t="s">
        <v>14722</v>
      </c>
      <c r="F796" s="6"/>
      <c r="G796" s="1" t="s">
        <v>14726</v>
      </c>
    </row>
    <row r="797" spans="1:7" ht="21" x14ac:dyDescent="0.25">
      <c r="A797" s="2" t="str">
        <f>HYPERLINK("https://rth.dk/resources/bsgatlas/details.php?id=BSGatlas-TSS-796","BSGatlas-TSS-796")</f>
        <v>BSGatlas-TSS-796</v>
      </c>
      <c r="B797" s="3">
        <v>1035397</v>
      </c>
      <c r="C797" s="1" t="s">
        <v>9</v>
      </c>
      <c r="D797" s="1">
        <v>22</v>
      </c>
      <c r="E797" s="1" t="s">
        <v>14722</v>
      </c>
      <c r="F797" s="6"/>
      <c r="G797" s="1" t="s">
        <v>14733</v>
      </c>
    </row>
    <row r="798" spans="1:7" ht="21" x14ac:dyDescent="0.25">
      <c r="A798" s="2" t="str">
        <f>HYPERLINK("https://rth.dk/resources/bsgatlas/details.php?id=BSGatlas-TSS-797","BSGatlas-TSS-797")</f>
        <v>BSGatlas-TSS-797</v>
      </c>
      <c r="B798" s="3">
        <v>1038465</v>
      </c>
      <c r="C798" s="1" t="s">
        <v>13</v>
      </c>
      <c r="D798" s="1">
        <v>22</v>
      </c>
      <c r="E798" s="1" t="s">
        <v>14722</v>
      </c>
      <c r="F798" s="6"/>
      <c r="G798" s="1" t="s">
        <v>14726</v>
      </c>
    </row>
    <row r="799" spans="1:7" ht="21" x14ac:dyDescent="0.25">
      <c r="A799" s="2" t="str">
        <f>HYPERLINK("https://rth.dk/resources/bsgatlas/details.php?id=BSGatlas-TSS-798","BSGatlas-TSS-798")</f>
        <v>BSGatlas-TSS-798</v>
      </c>
      <c r="B799" s="3">
        <v>1038529</v>
      </c>
      <c r="C799" s="1" t="s">
        <v>9</v>
      </c>
      <c r="D799" s="1">
        <v>22</v>
      </c>
      <c r="E799" s="1" t="s">
        <v>14739</v>
      </c>
      <c r="F799" s="6"/>
      <c r="G799" s="1" t="s">
        <v>14733</v>
      </c>
    </row>
    <row r="800" spans="1:7" ht="21" x14ac:dyDescent="0.25">
      <c r="A800" s="2" t="str">
        <f>HYPERLINK("https://rth.dk/resources/bsgatlas/details.php?id=BSGatlas-TSS-799","BSGatlas-TSS-799")</f>
        <v>BSGatlas-TSS-799</v>
      </c>
      <c r="B800" s="3">
        <v>1038618</v>
      </c>
      <c r="C800" s="1" t="s">
        <v>9</v>
      </c>
      <c r="D800" s="1">
        <v>22</v>
      </c>
      <c r="E800" s="1" t="s">
        <v>14722</v>
      </c>
      <c r="F800" s="6"/>
      <c r="G800" s="1" t="s">
        <v>14726</v>
      </c>
    </row>
    <row r="801" spans="1:7" ht="21" x14ac:dyDescent="0.25">
      <c r="A801" s="2" t="str">
        <f>HYPERLINK("https://rth.dk/resources/bsgatlas/details.php?id=BSGatlas-TSS-800","BSGatlas-TSS-800")</f>
        <v>BSGatlas-TSS-800</v>
      </c>
      <c r="B801" s="3">
        <v>1038871</v>
      </c>
      <c r="C801" s="1" t="s">
        <v>9</v>
      </c>
      <c r="D801" s="1">
        <v>22</v>
      </c>
      <c r="E801" s="1" t="s">
        <v>14722</v>
      </c>
      <c r="F801" s="6"/>
      <c r="G801" s="1" t="s">
        <v>14726</v>
      </c>
    </row>
    <row r="802" spans="1:7" ht="21" x14ac:dyDescent="0.25">
      <c r="A802" s="2" t="str">
        <f>HYPERLINK("https://rth.dk/resources/bsgatlas/details.php?id=BSGatlas-TSS-801","BSGatlas-TSS-801")</f>
        <v>BSGatlas-TSS-801</v>
      </c>
      <c r="B802" s="3">
        <v>1040061</v>
      </c>
      <c r="C802" s="1" t="s">
        <v>9</v>
      </c>
      <c r="D802" s="1">
        <v>22</v>
      </c>
      <c r="E802" s="1" t="s">
        <v>14722</v>
      </c>
      <c r="F802" s="6"/>
      <c r="G802" s="1" t="s">
        <v>14726</v>
      </c>
    </row>
    <row r="803" spans="1:7" ht="21" x14ac:dyDescent="0.25">
      <c r="A803" s="2" t="str">
        <f>HYPERLINK("https://rth.dk/resources/bsgatlas/details.php?id=BSGatlas-TSS-802","BSGatlas-TSS-802")</f>
        <v>BSGatlas-TSS-802</v>
      </c>
      <c r="B803" s="3">
        <v>1041728</v>
      </c>
      <c r="C803" s="1" t="s">
        <v>9</v>
      </c>
      <c r="D803" s="1">
        <v>22</v>
      </c>
      <c r="E803" s="1" t="s">
        <v>14727</v>
      </c>
      <c r="F803" s="6"/>
      <c r="G803" s="1" t="s">
        <v>14733</v>
      </c>
    </row>
    <row r="804" spans="1:7" ht="21" x14ac:dyDescent="0.25">
      <c r="A804" s="2" t="str">
        <f>HYPERLINK("https://rth.dk/resources/bsgatlas/details.php?id=BSGatlas-TSS-803","BSGatlas-TSS-803")</f>
        <v>BSGatlas-TSS-803</v>
      </c>
      <c r="B804" s="3">
        <v>1041812</v>
      </c>
      <c r="C804" s="1" t="s">
        <v>13</v>
      </c>
      <c r="D804" s="1">
        <v>22</v>
      </c>
      <c r="E804" s="1" t="s">
        <v>14722</v>
      </c>
      <c r="F804" s="6"/>
      <c r="G804" s="1" t="s">
        <v>14733</v>
      </c>
    </row>
    <row r="805" spans="1:7" ht="21" x14ac:dyDescent="0.25">
      <c r="A805" s="2" t="str">
        <f>HYPERLINK("https://rth.dk/resources/bsgatlas/details.php?id=BSGatlas-TSS-804","BSGatlas-TSS-804")</f>
        <v>BSGatlas-TSS-804</v>
      </c>
      <c r="B805" s="3">
        <v>1041930</v>
      </c>
      <c r="C805" s="1" t="s">
        <v>9</v>
      </c>
      <c r="D805" s="1">
        <v>22</v>
      </c>
      <c r="E805" s="1" t="s">
        <v>14722</v>
      </c>
      <c r="F805" s="6"/>
      <c r="G805" s="1" t="s">
        <v>14733</v>
      </c>
    </row>
    <row r="806" spans="1:7" ht="21" x14ac:dyDescent="0.25">
      <c r="A806" s="2" t="str">
        <f>HYPERLINK("https://rth.dk/resources/bsgatlas/details.php?id=BSGatlas-TSS-805","BSGatlas-TSS-805")</f>
        <v>BSGatlas-TSS-805</v>
      </c>
      <c r="B806" s="3">
        <v>1044317</v>
      </c>
      <c r="C806" s="1" t="s">
        <v>13</v>
      </c>
      <c r="D806" s="1">
        <v>22</v>
      </c>
      <c r="E806" s="1" t="s">
        <v>14722</v>
      </c>
      <c r="F806" s="6"/>
      <c r="G806" s="1" t="s">
        <v>14733</v>
      </c>
    </row>
    <row r="807" spans="1:7" ht="21" x14ac:dyDescent="0.25">
      <c r="A807" s="2" t="str">
        <f>HYPERLINK("https://rth.dk/resources/bsgatlas/details.php?id=BSGatlas-TSS-806","BSGatlas-TSS-806")</f>
        <v>BSGatlas-TSS-806</v>
      </c>
      <c r="B807" s="3">
        <v>1044915</v>
      </c>
      <c r="C807" s="1" t="s">
        <v>13</v>
      </c>
      <c r="D807" s="1">
        <v>22</v>
      </c>
      <c r="E807" s="1" t="s">
        <v>14734</v>
      </c>
      <c r="F807" s="6"/>
      <c r="G807" s="1" t="s">
        <v>14726</v>
      </c>
    </row>
    <row r="808" spans="1:7" ht="21" x14ac:dyDescent="0.25">
      <c r="A808" s="2" t="str">
        <f>HYPERLINK("https://rth.dk/resources/bsgatlas/details.php?id=BSGatlas-TSS-807","BSGatlas-TSS-807")</f>
        <v>BSGatlas-TSS-807</v>
      </c>
      <c r="B808" s="3">
        <v>1044968</v>
      </c>
      <c r="C808" s="1" t="s">
        <v>9</v>
      </c>
      <c r="D808" s="1">
        <v>22</v>
      </c>
      <c r="E808" s="1" t="s">
        <v>14722</v>
      </c>
      <c r="F808" s="6"/>
      <c r="G808" s="1" t="s">
        <v>14733</v>
      </c>
    </row>
    <row r="809" spans="1:7" ht="21" x14ac:dyDescent="0.25">
      <c r="A809" s="2" t="str">
        <f>HYPERLINK("https://rth.dk/resources/bsgatlas/details.php?id=BSGatlas-TSS-808","BSGatlas-TSS-808")</f>
        <v>BSGatlas-TSS-808</v>
      </c>
      <c r="B809" s="3">
        <v>1049791</v>
      </c>
      <c r="C809" s="1" t="s">
        <v>13</v>
      </c>
      <c r="D809" s="1">
        <v>22</v>
      </c>
      <c r="E809" s="1" t="s">
        <v>14722</v>
      </c>
      <c r="F809" s="6"/>
      <c r="G809" s="1" t="s">
        <v>14726</v>
      </c>
    </row>
    <row r="810" spans="1:7" ht="21" x14ac:dyDescent="0.25">
      <c r="A810" s="2" t="str">
        <f>HYPERLINK("https://rth.dk/resources/bsgatlas/details.php?id=BSGatlas-TSS-809","BSGatlas-TSS-809")</f>
        <v>BSGatlas-TSS-809</v>
      </c>
      <c r="B810" s="3">
        <v>1049807</v>
      </c>
      <c r="C810" s="1" t="s">
        <v>9</v>
      </c>
      <c r="D810" s="1">
        <v>22</v>
      </c>
      <c r="E810" s="1" t="s">
        <v>14720</v>
      </c>
      <c r="F810" s="6"/>
      <c r="G810" s="1" t="s">
        <v>14726</v>
      </c>
    </row>
    <row r="811" spans="1:7" ht="21" x14ac:dyDescent="0.25">
      <c r="A811" s="2" t="str">
        <f>HYPERLINK("https://rth.dk/resources/bsgatlas/details.php?id=BSGatlas-TSS-810","BSGatlas-TSS-810")</f>
        <v>BSGatlas-TSS-810</v>
      </c>
      <c r="B811" s="3">
        <v>1049949</v>
      </c>
      <c r="C811" s="1" t="s">
        <v>13</v>
      </c>
      <c r="D811" s="1">
        <v>22</v>
      </c>
      <c r="E811" s="1" t="s">
        <v>14725</v>
      </c>
      <c r="F811" s="6"/>
      <c r="G811" s="1" t="s">
        <v>14726</v>
      </c>
    </row>
    <row r="812" spans="1:7" ht="21" x14ac:dyDescent="0.25">
      <c r="A812" s="2" t="str">
        <f>HYPERLINK("https://rth.dk/resources/bsgatlas/details.php?id=BSGatlas-TSS-811","BSGatlas-TSS-811")</f>
        <v>BSGatlas-TSS-811</v>
      </c>
      <c r="B812" s="3">
        <v>1050335</v>
      </c>
      <c r="C812" s="1" t="s">
        <v>9</v>
      </c>
      <c r="D812" s="1">
        <v>22</v>
      </c>
      <c r="E812" s="1" t="s">
        <v>14720</v>
      </c>
      <c r="F812" s="6"/>
      <c r="G812" s="1" t="s">
        <v>14726</v>
      </c>
    </row>
    <row r="813" spans="1:7" ht="21" x14ac:dyDescent="0.25">
      <c r="A813" s="2" t="str">
        <f>HYPERLINK("https://rth.dk/resources/bsgatlas/details.php?id=BSGatlas-TSS-812","BSGatlas-TSS-812")</f>
        <v>BSGatlas-TSS-812</v>
      </c>
      <c r="B813" s="3">
        <v>1050350</v>
      </c>
      <c r="C813" s="1" t="s">
        <v>13</v>
      </c>
      <c r="D813" s="1">
        <v>0</v>
      </c>
      <c r="E813" s="1" t="s">
        <v>14743</v>
      </c>
      <c r="F813" s="6" t="s">
        <v>14862</v>
      </c>
      <c r="G813" s="1" t="s">
        <v>14724</v>
      </c>
    </row>
    <row r="814" spans="1:7" ht="21" x14ac:dyDescent="0.25">
      <c r="A814" s="2" t="str">
        <f>HYPERLINK("https://rth.dk/resources/bsgatlas/details.php?id=BSGatlas-TSS-813","BSGatlas-TSS-813")</f>
        <v>BSGatlas-TSS-813</v>
      </c>
      <c r="B814" s="3">
        <v>1050719</v>
      </c>
      <c r="C814" s="1" t="s">
        <v>13</v>
      </c>
      <c r="D814" s="1">
        <v>22</v>
      </c>
      <c r="E814" s="1" t="s">
        <v>14722</v>
      </c>
      <c r="F814" s="6"/>
      <c r="G814" s="1" t="s">
        <v>14726</v>
      </c>
    </row>
    <row r="815" spans="1:7" ht="21" x14ac:dyDescent="0.25">
      <c r="A815" s="2" t="str">
        <f>HYPERLINK("https://rth.dk/resources/bsgatlas/details.php?id=BSGatlas-TSS-814","BSGatlas-TSS-814")</f>
        <v>BSGatlas-TSS-814</v>
      </c>
      <c r="B815" s="3">
        <v>1052589</v>
      </c>
      <c r="C815" s="1" t="s">
        <v>13</v>
      </c>
      <c r="D815" s="1">
        <v>22</v>
      </c>
      <c r="E815" s="1" t="s">
        <v>14739</v>
      </c>
      <c r="F815" s="6"/>
      <c r="G815" s="1" t="s">
        <v>14726</v>
      </c>
    </row>
    <row r="816" spans="1:7" ht="21" x14ac:dyDescent="0.25">
      <c r="A816" s="2" t="str">
        <f>HYPERLINK("https://rth.dk/resources/bsgatlas/details.php?id=BSGatlas-TSS-815","BSGatlas-TSS-815")</f>
        <v>BSGatlas-TSS-815</v>
      </c>
      <c r="B816" s="3">
        <v>1053363</v>
      </c>
      <c r="C816" s="1" t="s">
        <v>13</v>
      </c>
      <c r="D816" s="1">
        <v>22</v>
      </c>
      <c r="E816" s="1" t="s">
        <v>14727</v>
      </c>
      <c r="F816" s="6"/>
      <c r="G816" s="1" t="s">
        <v>14733</v>
      </c>
    </row>
    <row r="817" spans="1:7" ht="21" x14ac:dyDescent="0.25">
      <c r="A817" s="2" t="str">
        <f>HYPERLINK("https://rth.dk/resources/bsgatlas/details.php?id=BSGatlas-TSS-816","BSGatlas-TSS-816")</f>
        <v>BSGatlas-TSS-816</v>
      </c>
      <c r="B817" s="3">
        <v>1053458</v>
      </c>
      <c r="C817" s="1" t="s">
        <v>9</v>
      </c>
      <c r="D817" s="1">
        <v>22</v>
      </c>
      <c r="E817" s="1" t="s">
        <v>14722</v>
      </c>
      <c r="F817" s="6"/>
      <c r="G817" s="1" t="s">
        <v>14726</v>
      </c>
    </row>
    <row r="818" spans="1:7" ht="21" x14ac:dyDescent="0.25">
      <c r="A818" s="2" t="str">
        <f>HYPERLINK("https://rth.dk/resources/bsgatlas/details.php?id=BSGatlas-TSS-817","BSGatlas-TSS-817")</f>
        <v>BSGatlas-TSS-817</v>
      </c>
      <c r="B818" s="3">
        <v>1056250</v>
      </c>
      <c r="C818" s="1" t="s">
        <v>13</v>
      </c>
      <c r="D818" s="1">
        <v>22</v>
      </c>
      <c r="E818" s="1" t="s">
        <v>14722</v>
      </c>
      <c r="F818" s="6"/>
      <c r="G818" s="1" t="s">
        <v>14726</v>
      </c>
    </row>
    <row r="819" spans="1:7" ht="21" x14ac:dyDescent="0.25">
      <c r="A819" s="2" t="str">
        <f>HYPERLINK("https://rth.dk/resources/bsgatlas/details.php?id=BSGatlas-TSS-818","BSGatlas-TSS-818")</f>
        <v>BSGatlas-TSS-818</v>
      </c>
      <c r="B819" s="3">
        <v>1056373</v>
      </c>
      <c r="C819" s="1" t="s">
        <v>9</v>
      </c>
      <c r="D819" s="1">
        <v>22</v>
      </c>
      <c r="E819" s="1" t="s">
        <v>14722</v>
      </c>
      <c r="F819" s="6"/>
      <c r="G819" s="1" t="s">
        <v>14726</v>
      </c>
    </row>
    <row r="820" spans="1:7" ht="21" x14ac:dyDescent="0.25">
      <c r="A820" s="2" t="str">
        <f>HYPERLINK("https://rth.dk/resources/bsgatlas/details.php?id=BSGatlas-TSS-819","BSGatlas-TSS-819")</f>
        <v>BSGatlas-TSS-819</v>
      </c>
      <c r="B820" s="3">
        <v>1056671</v>
      </c>
      <c r="C820" s="1" t="s">
        <v>9</v>
      </c>
      <c r="D820" s="1">
        <v>0</v>
      </c>
      <c r="E820" s="1" t="s">
        <v>14735</v>
      </c>
      <c r="F820" s="6" t="s">
        <v>14846</v>
      </c>
      <c r="G820" s="1" t="s">
        <v>14729</v>
      </c>
    </row>
    <row r="821" spans="1:7" ht="21" x14ac:dyDescent="0.25">
      <c r="A821" s="2" t="str">
        <f>HYPERLINK("https://rth.dk/resources/bsgatlas/details.php?id=BSGatlas-TSS-820","BSGatlas-TSS-820")</f>
        <v>BSGatlas-TSS-820</v>
      </c>
      <c r="B821" s="3">
        <v>1057649</v>
      </c>
      <c r="C821" s="1" t="s">
        <v>9</v>
      </c>
      <c r="D821" s="1">
        <v>0</v>
      </c>
      <c r="E821" s="1" t="s">
        <v>14722</v>
      </c>
      <c r="F821" s="6" t="s">
        <v>14863</v>
      </c>
      <c r="G821" s="1" t="s">
        <v>14729</v>
      </c>
    </row>
    <row r="822" spans="1:7" ht="21" x14ac:dyDescent="0.25">
      <c r="A822" s="2" t="str">
        <f>HYPERLINK("https://rth.dk/resources/bsgatlas/details.php?id=BSGatlas-TSS-821","BSGatlas-TSS-821")</f>
        <v>BSGatlas-TSS-821</v>
      </c>
      <c r="B822" s="3">
        <v>1061362</v>
      </c>
      <c r="C822" s="1" t="s">
        <v>13</v>
      </c>
      <c r="D822" s="1">
        <v>22</v>
      </c>
      <c r="E822" s="1" t="s">
        <v>14722</v>
      </c>
      <c r="F822" s="6"/>
      <c r="G822" s="1" t="s">
        <v>14726</v>
      </c>
    </row>
    <row r="823" spans="1:7" ht="21" x14ac:dyDescent="0.25">
      <c r="A823" s="2" t="str">
        <f>HYPERLINK("https://rth.dk/resources/bsgatlas/details.php?id=BSGatlas-TSS-822","BSGatlas-TSS-822")</f>
        <v>BSGatlas-TSS-822</v>
      </c>
      <c r="B823" s="3">
        <v>1061430</v>
      </c>
      <c r="C823" s="1" t="s">
        <v>9</v>
      </c>
      <c r="D823" s="1">
        <v>22</v>
      </c>
      <c r="E823" s="1" t="s">
        <v>14722</v>
      </c>
      <c r="F823" s="6"/>
      <c r="G823" s="1" t="s">
        <v>14726</v>
      </c>
    </row>
    <row r="824" spans="1:7" ht="21" x14ac:dyDescent="0.25">
      <c r="A824" s="2" t="str">
        <f>HYPERLINK("https://rth.dk/resources/bsgatlas/details.php?id=BSGatlas-TSS-823","BSGatlas-TSS-823")</f>
        <v>BSGatlas-TSS-823</v>
      </c>
      <c r="B824" s="3">
        <v>1062511</v>
      </c>
      <c r="C824" s="1" t="s">
        <v>13</v>
      </c>
      <c r="D824" s="1">
        <v>22</v>
      </c>
      <c r="E824" s="1" t="s">
        <v>14745</v>
      </c>
      <c r="F824" s="6"/>
      <c r="G824" s="1" t="s">
        <v>14726</v>
      </c>
    </row>
    <row r="825" spans="1:7" ht="21" x14ac:dyDescent="0.25">
      <c r="A825" s="2" t="str">
        <f>HYPERLINK("https://rth.dk/resources/bsgatlas/details.php?id=BSGatlas-TSS-824","BSGatlas-TSS-824")</f>
        <v>BSGatlas-TSS-824</v>
      </c>
      <c r="B825" s="3">
        <v>1062566</v>
      </c>
      <c r="C825" s="1" t="s">
        <v>9</v>
      </c>
      <c r="D825" s="1">
        <v>22</v>
      </c>
      <c r="E825" s="1" t="s">
        <v>14722</v>
      </c>
      <c r="F825" s="6"/>
      <c r="G825" s="1" t="s">
        <v>14726</v>
      </c>
    </row>
    <row r="826" spans="1:7" ht="21" x14ac:dyDescent="0.25">
      <c r="A826" s="2" t="str">
        <f>HYPERLINK("https://rth.dk/resources/bsgatlas/details.php?id=BSGatlas-TSS-825","BSGatlas-TSS-825")</f>
        <v>BSGatlas-TSS-825</v>
      </c>
      <c r="B826" s="3">
        <v>1064811</v>
      </c>
      <c r="C826" s="1" t="s">
        <v>9</v>
      </c>
      <c r="D826" s="1">
        <v>22</v>
      </c>
      <c r="E826" s="1" t="s">
        <v>14722</v>
      </c>
      <c r="F826" s="6"/>
      <c r="G826" s="1" t="s">
        <v>14726</v>
      </c>
    </row>
    <row r="827" spans="1:7" ht="21" x14ac:dyDescent="0.25">
      <c r="A827" s="2" t="str">
        <f>HYPERLINK("https://rth.dk/resources/bsgatlas/details.php?id=BSGatlas-TSS-826","BSGatlas-TSS-826")</f>
        <v>BSGatlas-TSS-826</v>
      </c>
      <c r="B827" s="3">
        <v>1067385</v>
      </c>
      <c r="C827" s="1" t="s">
        <v>9</v>
      </c>
      <c r="D827" s="1">
        <v>22</v>
      </c>
      <c r="E827" s="1" t="s">
        <v>14727</v>
      </c>
      <c r="F827" s="6"/>
      <c r="G827" s="1" t="s">
        <v>14726</v>
      </c>
    </row>
    <row r="828" spans="1:7" ht="21" x14ac:dyDescent="0.25">
      <c r="A828" s="2" t="str">
        <f>HYPERLINK("https://rth.dk/resources/bsgatlas/details.php?id=BSGatlas-TSS-827","BSGatlas-TSS-827")</f>
        <v>BSGatlas-TSS-827</v>
      </c>
      <c r="B828" s="3">
        <v>1069011</v>
      </c>
      <c r="C828" s="1" t="s">
        <v>9</v>
      </c>
      <c r="D828" s="1">
        <v>22</v>
      </c>
      <c r="E828" s="1" t="s">
        <v>14722</v>
      </c>
      <c r="F828" s="6"/>
      <c r="G828" s="1" t="s">
        <v>14726</v>
      </c>
    </row>
    <row r="829" spans="1:7" ht="21" x14ac:dyDescent="0.25">
      <c r="A829" s="2" t="str">
        <f>HYPERLINK("https://rth.dk/resources/bsgatlas/details.php?id=BSGatlas-TSS-828","BSGatlas-TSS-828")</f>
        <v>BSGatlas-TSS-828</v>
      </c>
      <c r="B829" s="3">
        <v>1070069</v>
      </c>
      <c r="C829" s="1" t="s">
        <v>9</v>
      </c>
      <c r="D829" s="1">
        <v>22</v>
      </c>
      <c r="E829" s="1" t="s">
        <v>14727</v>
      </c>
      <c r="F829" s="6"/>
      <c r="G829" s="1" t="s">
        <v>14726</v>
      </c>
    </row>
    <row r="830" spans="1:7" ht="21" x14ac:dyDescent="0.25">
      <c r="A830" s="2" t="str">
        <f>HYPERLINK("https://rth.dk/resources/bsgatlas/details.php?id=BSGatlas-TSS-829","BSGatlas-TSS-829")</f>
        <v>BSGatlas-TSS-829</v>
      </c>
      <c r="B830" s="3">
        <v>1071304</v>
      </c>
      <c r="C830" s="1" t="s">
        <v>13</v>
      </c>
      <c r="D830" s="1">
        <v>22</v>
      </c>
      <c r="E830" s="1" t="s">
        <v>14722</v>
      </c>
      <c r="F830" s="6"/>
      <c r="G830" s="1" t="s">
        <v>14726</v>
      </c>
    </row>
    <row r="831" spans="1:7" ht="21" x14ac:dyDescent="0.25">
      <c r="A831" s="2" t="str">
        <f>HYPERLINK("https://rth.dk/resources/bsgatlas/details.php?id=BSGatlas-TSS-830","BSGatlas-TSS-830")</f>
        <v>BSGatlas-TSS-830</v>
      </c>
      <c r="B831" s="3">
        <v>1071379</v>
      </c>
      <c r="C831" s="1" t="s">
        <v>9</v>
      </c>
      <c r="D831" s="1">
        <v>0</v>
      </c>
      <c r="E831" s="1" t="s">
        <v>14725</v>
      </c>
      <c r="F831" s="6">
        <v>21670523</v>
      </c>
      <c r="G831" s="1" t="s">
        <v>14747</v>
      </c>
    </row>
    <row r="832" spans="1:7" ht="21" x14ac:dyDescent="0.25">
      <c r="A832" s="2" t="str">
        <f>HYPERLINK("https://rth.dk/resources/bsgatlas/details.php?id=BSGatlas-TSS-831","BSGatlas-TSS-831")</f>
        <v>BSGatlas-TSS-831</v>
      </c>
      <c r="B832" s="3">
        <v>1071399</v>
      </c>
      <c r="C832" s="1" t="s">
        <v>13</v>
      </c>
      <c r="D832" s="1">
        <v>22</v>
      </c>
      <c r="E832" s="1" t="s">
        <v>14720</v>
      </c>
      <c r="F832" s="6"/>
      <c r="G832" s="1" t="s">
        <v>14726</v>
      </c>
    </row>
    <row r="833" spans="1:7" ht="21" x14ac:dyDescent="0.25">
      <c r="A833" s="2" t="str">
        <f>HYPERLINK("https://rth.dk/resources/bsgatlas/details.php?id=BSGatlas-TSS-832","BSGatlas-TSS-832")</f>
        <v>BSGatlas-TSS-832</v>
      </c>
      <c r="B833" s="3">
        <v>1071581</v>
      </c>
      <c r="C833" s="1" t="s">
        <v>9</v>
      </c>
      <c r="D833" s="1">
        <v>0</v>
      </c>
      <c r="E833" s="1" t="s">
        <v>14725</v>
      </c>
      <c r="F833" s="6">
        <v>21670523</v>
      </c>
      <c r="G833" s="1" t="s">
        <v>4547</v>
      </c>
    </row>
    <row r="834" spans="1:7" ht="21" x14ac:dyDescent="0.25">
      <c r="A834" s="2" t="str">
        <f>HYPERLINK("https://rth.dk/resources/bsgatlas/details.php?id=BSGatlas-TSS-833","BSGatlas-TSS-833")</f>
        <v>BSGatlas-TSS-833</v>
      </c>
      <c r="B834" s="3">
        <v>1071971</v>
      </c>
      <c r="C834" s="1" t="s">
        <v>13</v>
      </c>
      <c r="D834" s="1">
        <v>22</v>
      </c>
      <c r="E834" s="1" t="s">
        <v>14722</v>
      </c>
      <c r="F834" s="6"/>
      <c r="G834" s="1" t="s">
        <v>14726</v>
      </c>
    </row>
    <row r="835" spans="1:7" ht="21" x14ac:dyDescent="0.25">
      <c r="A835" s="2" t="str">
        <f>HYPERLINK("https://rth.dk/resources/bsgatlas/details.php?id=BSGatlas-TSS-834","BSGatlas-TSS-834")</f>
        <v>BSGatlas-TSS-834</v>
      </c>
      <c r="B835" s="3">
        <v>1072380</v>
      </c>
      <c r="C835" s="1" t="s">
        <v>9</v>
      </c>
      <c r="D835" s="1">
        <v>22</v>
      </c>
      <c r="E835" s="1" t="s">
        <v>14745</v>
      </c>
      <c r="F835" s="6"/>
      <c r="G835" s="1" t="s">
        <v>14726</v>
      </c>
    </row>
    <row r="836" spans="1:7" ht="21" x14ac:dyDescent="0.25">
      <c r="A836" s="2" t="str">
        <f>HYPERLINK("https://rth.dk/resources/bsgatlas/details.php?id=BSGatlas-TSS-835","BSGatlas-TSS-835")</f>
        <v>BSGatlas-TSS-835</v>
      </c>
      <c r="B836" s="3">
        <v>1072609</v>
      </c>
      <c r="C836" s="1" t="s">
        <v>13</v>
      </c>
      <c r="D836" s="1">
        <v>22</v>
      </c>
      <c r="E836" s="1" t="s">
        <v>14722</v>
      </c>
      <c r="F836" s="6"/>
      <c r="G836" s="1" t="s">
        <v>14726</v>
      </c>
    </row>
    <row r="837" spans="1:7" ht="21" x14ac:dyDescent="0.25">
      <c r="A837" s="2" t="str">
        <f>HYPERLINK("https://rth.dk/resources/bsgatlas/details.php?id=BSGatlas-TSS-836","BSGatlas-TSS-836")</f>
        <v>BSGatlas-TSS-836</v>
      </c>
      <c r="B837" s="3">
        <v>1072732</v>
      </c>
      <c r="C837" s="1" t="s">
        <v>9</v>
      </c>
      <c r="D837" s="1">
        <v>22</v>
      </c>
      <c r="E837" s="1" t="s">
        <v>14722</v>
      </c>
      <c r="F837" s="6"/>
      <c r="G837" s="1" t="s">
        <v>14726</v>
      </c>
    </row>
    <row r="838" spans="1:7" ht="21" x14ac:dyDescent="0.25">
      <c r="A838" s="2" t="str">
        <f>HYPERLINK("https://rth.dk/resources/bsgatlas/details.php?id=BSGatlas-TSS-837","BSGatlas-TSS-837")</f>
        <v>BSGatlas-TSS-837</v>
      </c>
      <c r="B838" s="3">
        <v>1073737</v>
      </c>
      <c r="C838" s="1" t="s">
        <v>9</v>
      </c>
      <c r="D838" s="1">
        <v>22</v>
      </c>
      <c r="E838" s="1" t="s">
        <v>14720</v>
      </c>
      <c r="F838" s="6"/>
      <c r="G838" s="1" t="s">
        <v>14726</v>
      </c>
    </row>
    <row r="839" spans="1:7" ht="21" x14ac:dyDescent="0.25">
      <c r="A839" s="2" t="str">
        <f>HYPERLINK("https://rth.dk/resources/bsgatlas/details.php?id=BSGatlas-TSS-838","BSGatlas-TSS-838")</f>
        <v>BSGatlas-TSS-838</v>
      </c>
      <c r="B839" s="3">
        <v>1073765</v>
      </c>
      <c r="C839" s="1" t="s">
        <v>13</v>
      </c>
      <c r="D839" s="1">
        <v>22</v>
      </c>
      <c r="E839" s="1" t="s">
        <v>14722</v>
      </c>
      <c r="F839" s="6"/>
      <c r="G839" s="1" t="s">
        <v>14726</v>
      </c>
    </row>
    <row r="840" spans="1:7" ht="21" x14ac:dyDescent="0.25">
      <c r="A840" s="2" t="str">
        <f>HYPERLINK("https://rth.dk/resources/bsgatlas/details.php?id=BSGatlas-TSS-839","BSGatlas-TSS-839")</f>
        <v>BSGatlas-TSS-839</v>
      </c>
      <c r="B840" s="3">
        <v>1074348</v>
      </c>
      <c r="C840" s="1" t="s">
        <v>13</v>
      </c>
      <c r="D840" s="1">
        <v>22</v>
      </c>
      <c r="E840" s="1" t="s">
        <v>14722</v>
      </c>
      <c r="F840" s="6"/>
      <c r="G840" s="1" t="s">
        <v>14726</v>
      </c>
    </row>
    <row r="841" spans="1:7" ht="21" x14ac:dyDescent="0.25">
      <c r="A841" s="2" t="str">
        <f>HYPERLINK("https://rth.dk/resources/bsgatlas/details.php?id=BSGatlas-TSS-840","BSGatlas-TSS-840")</f>
        <v>BSGatlas-TSS-840</v>
      </c>
      <c r="B841" s="3">
        <v>1074349</v>
      </c>
      <c r="C841" s="1" t="s">
        <v>9</v>
      </c>
      <c r="D841" s="1">
        <v>22</v>
      </c>
      <c r="E841" s="1" t="s">
        <v>14727</v>
      </c>
      <c r="F841" s="6"/>
      <c r="G841" s="1" t="s">
        <v>14726</v>
      </c>
    </row>
    <row r="842" spans="1:7" ht="21" x14ac:dyDescent="0.25">
      <c r="A842" s="2" t="str">
        <f>HYPERLINK("https://rth.dk/resources/bsgatlas/details.php?id=BSGatlas-TSS-841","BSGatlas-TSS-841")</f>
        <v>BSGatlas-TSS-841</v>
      </c>
      <c r="B842" s="3">
        <v>1075246</v>
      </c>
      <c r="C842" s="1" t="s">
        <v>13</v>
      </c>
      <c r="D842" s="1">
        <v>0</v>
      </c>
      <c r="E842" s="1" t="s">
        <v>14722</v>
      </c>
      <c r="F842" s="6" t="s">
        <v>14864</v>
      </c>
      <c r="G842" s="1" t="s">
        <v>14724</v>
      </c>
    </row>
    <row r="843" spans="1:7" ht="21" x14ac:dyDescent="0.25">
      <c r="A843" s="2" t="str">
        <f>HYPERLINK("https://rth.dk/resources/bsgatlas/details.php?id=BSGatlas-TSS-842","BSGatlas-TSS-842")</f>
        <v>BSGatlas-TSS-842</v>
      </c>
      <c r="B843" s="3">
        <v>1076418</v>
      </c>
      <c r="C843" s="1" t="s">
        <v>13</v>
      </c>
      <c r="D843" s="1">
        <v>22</v>
      </c>
      <c r="E843" s="1" t="s">
        <v>14722</v>
      </c>
      <c r="F843" s="6"/>
      <c r="G843" s="1" t="s">
        <v>14726</v>
      </c>
    </row>
    <row r="844" spans="1:7" ht="21" x14ac:dyDescent="0.25">
      <c r="A844" s="2" t="str">
        <f>HYPERLINK("https://rth.dk/resources/bsgatlas/details.php?id=BSGatlas-TSS-843","BSGatlas-TSS-843")</f>
        <v>BSGatlas-TSS-843</v>
      </c>
      <c r="B844" s="3">
        <v>1076999</v>
      </c>
      <c r="C844" s="1" t="s">
        <v>13</v>
      </c>
      <c r="D844" s="1">
        <v>22</v>
      </c>
      <c r="E844" s="1" t="s">
        <v>14722</v>
      </c>
      <c r="F844" s="6"/>
      <c r="G844" s="1" t="s">
        <v>14726</v>
      </c>
    </row>
    <row r="845" spans="1:7" ht="21" x14ac:dyDescent="0.25">
      <c r="A845" s="2" t="str">
        <f>HYPERLINK("https://rth.dk/resources/bsgatlas/details.php?id=BSGatlas-TSS-844","BSGatlas-TSS-844")</f>
        <v>BSGatlas-TSS-844</v>
      </c>
      <c r="B845" s="3">
        <v>1077324</v>
      </c>
      <c r="C845" s="1" t="s">
        <v>13</v>
      </c>
      <c r="D845" s="1">
        <v>22</v>
      </c>
      <c r="E845" s="1" t="s">
        <v>14732</v>
      </c>
      <c r="F845" s="6"/>
      <c r="G845" s="1" t="s">
        <v>14726</v>
      </c>
    </row>
    <row r="846" spans="1:7" ht="21" x14ac:dyDescent="0.25">
      <c r="A846" s="2" t="str">
        <f>HYPERLINK("https://rth.dk/resources/bsgatlas/details.php?id=BSGatlas-TSS-845","BSGatlas-TSS-845")</f>
        <v>BSGatlas-TSS-845</v>
      </c>
      <c r="B846" s="3">
        <v>1077410</v>
      </c>
      <c r="C846" s="1" t="s">
        <v>9</v>
      </c>
      <c r="D846" s="1">
        <v>22</v>
      </c>
      <c r="E846" s="1" t="s">
        <v>14722</v>
      </c>
      <c r="F846" s="6"/>
      <c r="G846" s="1" t="s">
        <v>14726</v>
      </c>
    </row>
    <row r="847" spans="1:7" ht="21" x14ac:dyDescent="0.25">
      <c r="A847" s="2" t="str">
        <f>HYPERLINK("https://rth.dk/resources/bsgatlas/details.php?id=BSGatlas-TSS-846","BSGatlas-TSS-846")</f>
        <v>BSGatlas-TSS-846</v>
      </c>
      <c r="B847" s="3">
        <v>1078750</v>
      </c>
      <c r="C847" s="1" t="s">
        <v>13</v>
      </c>
      <c r="D847" s="1">
        <v>22</v>
      </c>
      <c r="E847" s="1" t="s">
        <v>14727</v>
      </c>
      <c r="F847" s="6"/>
      <c r="G847" s="1" t="s">
        <v>14726</v>
      </c>
    </row>
    <row r="848" spans="1:7" ht="21" x14ac:dyDescent="0.25">
      <c r="A848" s="2" t="str">
        <f>HYPERLINK("https://rth.dk/resources/bsgatlas/details.php?id=BSGatlas-TSS-847","BSGatlas-TSS-847")</f>
        <v>BSGatlas-TSS-847</v>
      </c>
      <c r="B848" s="3">
        <v>1081385</v>
      </c>
      <c r="C848" s="1" t="s">
        <v>13</v>
      </c>
      <c r="D848" s="1">
        <v>22</v>
      </c>
      <c r="E848" s="1" t="s">
        <v>14722</v>
      </c>
      <c r="F848" s="6"/>
      <c r="G848" s="1" t="s">
        <v>14726</v>
      </c>
    </row>
    <row r="849" spans="1:7" ht="21" x14ac:dyDescent="0.25">
      <c r="A849" s="2" t="str">
        <f>HYPERLINK("https://rth.dk/resources/bsgatlas/details.php?id=BSGatlas-TSS-848","BSGatlas-TSS-848")</f>
        <v>BSGatlas-TSS-848</v>
      </c>
      <c r="B849" s="3">
        <v>1082820</v>
      </c>
      <c r="C849" s="1" t="s">
        <v>13</v>
      </c>
      <c r="D849" s="1">
        <v>22</v>
      </c>
      <c r="E849" s="1" t="s">
        <v>14725</v>
      </c>
      <c r="F849" s="6"/>
      <c r="G849" s="1" t="s">
        <v>14726</v>
      </c>
    </row>
    <row r="850" spans="1:7" ht="21" x14ac:dyDescent="0.25">
      <c r="A850" s="2" t="str">
        <f>HYPERLINK("https://rth.dk/resources/bsgatlas/details.php?id=BSGatlas-TSS-849","BSGatlas-TSS-849")</f>
        <v>BSGatlas-TSS-849</v>
      </c>
      <c r="B850" s="3">
        <v>1083763</v>
      </c>
      <c r="C850" s="1" t="s">
        <v>13</v>
      </c>
      <c r="D850" s="1">
        <v>22</v>
      </c>
      <c r="E850" s="1" t="s">
        <v>14722</v>
      </c>
      <c r="F850" s="6"/>
      <c r="G850" s="1" t="s">
        <v>14726</v>
      </c>
    </row>
    <row r="851" spans="1:7" ht="21" x14ac:dyDescent="0.25">
      <c r="A851" s="2" t="str">
        <f>HYPERLINK("https://rth.dk/resources/bsgatlas/details.php?id=BSGatlas-TSS-850","BSGatlas-TSS-850")</f>
        <v>BSGatlas-TSS-850</v>
      </c>
      <c r="B851" s="3">
        <v>1083783</v>
      </c>
      <c r="C851" s="1" t="s">
        <v>9</v>
      </c>
      <c r="D851" s="1">
        <v>0</v>
      </c>
      <c r="E851" s="1" t="s">
        <v>14722</v>
      </c>
      <c r="F851" s="6" t="s">
        <v>14865</v>
      </c>
      <c r="G851" s="1" t="s">
        <v>14729</v>
      </c>
    </row>
    <row r="852" spans="1:7" ht="21" x14ac:dyDescent="0.25">
      <c r="A852" s="2" t="str">
        <f>HYPERLINK("https://rth.dk/resources/bsgatlas/details.php?id=BSGatlas-TSS-851","BSGatlas-TSS-851")</f>
        <v>BSGatlas-TSS-851</v>
      </c>
      <c r="B852" s="3">
        <v>1083822</v>
      </c>
      <c r="C852" s="1" t="s">
        <v>9</v>
      </c>
      <c r="D852" s="1">
        <v>22</v>
      </c>
      <c r="E852" s="1" t="s">
        <v>14732</v>
      </c>
      <c r="F852" s="6"/>
      <c r="G852" s="1" t="s">
        <v>14726</v>
      </c>
    </row>
    <row r="853" spans="1:7" ht="21" x14ac:dyDescent="0.25">
      <c r="A853" s="2" t="str">
        <f>HYPERLINK("https://rth.dk/resources/bsgatlas/details.php?id=BSGatlas-TSS-852","BSGatlas-TSS-852")</f>
        <v>BSGatlas-TSS-852</v>
      </c>
      <c r="B853" s="3">
        <v>1083898</v>
      </c>
      <c r="C853" s="1" t="s">
        <v>13</v>
      </c>
      <c r="D853" s="1">
        <v>22</v>
      </c>
      <c r="E853" s="1" t="s">
        <v>14732</v>
      </c>
      <c r="F853" s="6"/>
      <c r="G853" s="1" t="s">
        <v>14726</v>
      </c>
    </row>
    <row r="854" spans="1:7" ht="21" x14ac:dyDescent="0.25">
      <c r="A854" s="2" t="str">
        <f>HYPERLINK("https://rth.dk/resources/bsgatlas/details.php?id=BSGatlas-TSS-853","BSGatlas-TSS-853")</f>
        <v>BSGatlas-TSS-853</v>
      </c>
      <c r="B854" s="3">
        <v>1086062</v>
      </c>
      <c r="C854" s="1" t="s">
        <v>9</v>
      </c>
      <c r="D854" s="1">
        <v>22</v>
      </c>
      <c r="E854" s="1" t="s">
        <v>14722</v>
      </c>
      <c r="F854" s="6"/>
      <c r="G854" s="1" t="s">
        <v>14726</v>
      </c>
    </row>
    <row r="855" spans="1:7" ht="21" x14ac:dyDescent="0.25">
      <c r="A855" s="2" t="str">
        <f>HYPERLINK("https://rth.dk/resources/bsgatlas/details.php?id=BSGatlas-TSS-854","BSGatlas-TSS-854")</f>
        <v>BSGatlas-TSS-854</v>
      </c>
      <c r="B855" s="3">
        <v>1089696</v>
      </c>
      <c r="C855" s="1" t="s">
        <v>9</v>
      </c>
      <c r="D855" s="1">
        <v>22</v>
      </c>
      <c r="E855" s="1" t="s">
        <v>14722</v>
      </c>
      <c r="F855" s="6"/>
      <c r="G855" s="1" t="s">
        <v>14726</v>
      </c>
    </row>
    <row r="856" spans="1:7" ht="21" x14ac:dyDescent="0.25">
      <c r="A856" s="2" t="str">
        <f>HYPERLINK("https://rth.dk/resources/bsgatlas/details.php?id=BSGatlas-TSS-855","BSGatlas-TSS-855")</f>
        <v>BSGatlas-TSS-855</v>
      </c>
      <c r="B856" s="3">
        <v>1090092</v>
      </c>
      <c r="C856" s="1" t="s">
        <v>9</v>
      </c>
      <c r="D856" s="1">
        <v>22</v>
      </c>
      <c r="E856" s="1" t="s">
        <v>14734</v>
      </c>
      <c r="F856" s="6"/>
      <c r="G856" s="1" t="s">
        <v>14726</v>
      </c>
    </row>
    <row r="857" spans="1:7" ht="21" x14ac:dyDescent="0.25">
      <c r="A857" s="2" t="str">
        <f>HYPERLINK("https://rth.dk/resources/bsgatlas/details.php?id=BSGatlas-TSS-856","BSGatlas-TSS-856")</f>
        <v>BSGatlas-TSS-856</v>
      </c>
      <c r="B857" s="3">
        <v>1093779</v>
      </c>
      <c r="C857" s="1" t="s">
        <v>13</v>
      </c>
      <c r="D857" s="1">
        <v>22</v>
      </c>
      <c r="E857" s="1" t="s">
        <v>14722</v>
      </c>
      <c r="F857" s="6"/>
      <c r="G857" s="1" t="s">
        <v>14726</v>
      </c>
    </row>
    <row r="858" spans="1:7" ht="21" x14ac:dyDescent="0.25">
      <c r="A858" s="2" t="str">
        <f>HYPERLINK("https://rth.dk/resources/bsgatlas/details.php?id=BSGatlas-TSS-857","BSGatlas-TSS-857")</f>
        <v>BSGatlas-TSS-857</v>
      </c>
      <c r="B858" s="3">
        <v>1093832</v>
      </c>
      <c r="C858" s="1" t="s">
        <v>9</v>
      </c>
      <c r="D858" s="1">
        <v>22</v>
      </c>
      <c r="E858" s="1" t="s">
        <v>14745</v>
      </c>
      <c r="F858" s="6"/>
      <c r="G858" s="1" t="s">
        <v>14726</v>
      </c>
    </row>
    <row r="859" spans="1:7" ht="21" x14ac:dyDescent="0.25">
      <c r="A859" s="2" t="str">
        <f>HYPERLINK("https://rth.dk/resources/bsgatlas/details.php?id=BSGatlas-TSS-858","BSGatlas-TSS-858")</f>
        <v>BSGatlas-TSS-858</v>
      </c>
      <c r="B859" s="3">
        <v>1094986</v>
      </c>
      <c r="C859" s="1" t="s">
        <v>13</v>
      </c>
      <c r="D859" s="1">
        <v>22</v>
      </c>
      <c r="E859" s="1" t="s">
        <v>14725</v>
      </c>
      <c r="F859" s="6"/>
      <c r="G859" s="1" t="s">
        <v>14726</v>
      </c>
    </row>
    <row r="860" spans="1:7" ht="21" x14ac:dyDescent="0.25">
      <c r="A860" s="2" t="str">
        <f>HYPERLINK("https://rth.dk/resources/bsgatlas/details.php?id=BSGatlas-TSS-859","BSGatlas-TSS-859")</f>
        <v>BSGatlas-TSS-859</v>
      </c>
      <c r="B860" s="3">
        <v>1095024</v>
      </c>
      <c r="C860" s="1" t="s">
        <v>9</v>
      </c>
      <c r="D860" s="1">
        <v>22</v>
      </c>
      <c r="E860" s="1" t="s">
        <v>14722</v>
      </c>
      <c r="F860" s="6"/>
      <c r="G860" s="1" t="s">
        <v>14726</v>
      </c>
    </row>
    <row r="861" spans="1:7" ht="21" x14ac:dyDescent="0.25">
      <c r="A861" s="2" t="str">
        <f>HYPERLINK("https://rth.dk/resources/bsgatlas/details.php?id=BSGatlas-TSS-860","BSGatlas-TSS-860")</f>
        <v>BSGatlas-TSS-860</v>
      </c>
      <c r="B861" s="3">
        <v>1097950</v>
      </c>
      <c r="C861" s="1" t="s">
        <v>13</v>
      </c>
      <c r="D861" s="1">
        <v>22</v>
      </c>
      <c r="E861" s="1" t="s">
        <v>14722</v>
      </c>
      <c r="F861" s="6"/>
      <c r="G861" s="1" t="s">
        <v>14733</v>
      </c>
    </row>
    <row r="862" spans="1:7" ht="21" x14ac:dyDescent="0.25">
      <c r="A862" s="2" t="str">
        <f>HYPERLINK("https://rth.dk/resources/bsgatlas/details.php?id=BSGatlas-TSS-861","BSGatlas-TSS-861")</f>
        <v>BSGatlas-TSS-861</v>
      </c>
      <c r="B862" s="3">
        <v>1098298</v>
      </c>
      <c r="C862" s="1" t="s">
        <v>13</v>
      </c>
      <c r="D862" s="1">
        <v>22</v>
      </c>
      <c r="E862" s="1" t="s">
        <v>14722</v>
      </c>
      <c r="F862" s="6"/>
      <c r="G862" s="1" t="s">
        <v>14726</v>
      </c>
    </row>
    <row r="863" spans="1:7" ht="21" x14ac:dyDescent="0.25">
      <c r="A863" s="2" t="str">
        <f>HYPERLINK("https://rth.dk/resources/bsgatlas/details.php?id=BSGatlas-TSS-862","BSGatlas-TSS-862")</f>
        <v>BSGatlas-TSS-862</v>
      </c>
      <c r="B863" s="3">
        <v>1098365</v>
      </c>
      <c r="C863" s="1" t="s">
        <v>9</v>
      </c>
      <c r="D863" s="1">
        <v>22</v>
      </c>
      <c r="E863" s="1" t="s">
        <v>14722</v>
      </c>
      <c r="F863" s="6"/>
      <c r="G863" s="1" t="s">
        <v>14726</v>
      </c>
    </row>
    <row r="864" spans="1:7" ht="21" x14ac:dyDescent="0.25">
      <c r="A864" s="2" t="str">
        <f>HYPERLINK("https://rth.dk/resources/bsgatlas/details.php?id=BSGatlas-TSS-863","BSGatlas-TSS-863")</f>
        <v>BSGatlas-TSS-863</v>
      </c>
      <c r="B864" s="3">
        <v>1100926</v>
      </c>
      <c r="C864" s="1" t="s">
        <v>9</v>
      </c>
      <c r="D864" s="1">
        <v>0</v>
      </c>
      <c r="E864" s="1" t="s">
        <v>14722</v>
      </c>
      <c r="F864" s="6" t="s">
        <v>14866</v>
      </c>
      <c r="G864" s="1" t="s">
        <v>14729</v>
      </c>
    </row>
    <row r="865" spans="1:7" ht="21" x14ac:dyDescent="0.25">
      <c r="A865" s="2" t="str">
        <f>HYPERLINK("https://rth.dk/resources/bsgatlas/details.php?id=BSGatlas-TSS-864","BSGatlas-TSS-864")</f>
        <v>BSGatlas-TSS-864</v>
      </c>
      <c r="B865" s="3">
        <v>1102971</v>
      </c>
      <c r="C865" s="1" t="s">
        <v>13</v>
      </c>
      <c r="D865" s="1">
        <v>0</v>
      </c>
      <c r="E865" s="1" t="s">
        <v>14867</v>
      </c>
      <c r="F865" s="6">
        <v>16497325</v>
      </c>
      <c r="G865" s="1" t="s">
        <v>14730</v>
      </c>
    </row>
    <row r="866" spans="1:7" ht="21" x14ac:dyDescent="0.25">
      <c r="A866" s="2" t="str">
        <f>HYPERLINK("https://rth.dk/resources/bsgatlas/details.php?id=BSGatlas-TSS-865","BSGatlas-TSS-865")</f>
        <v>BSGatlas-TSS-865</v>
      </c>
      <c r="B866" s="3">
        <v>1103051</v>
      </c>
      <c r="C866" s="1" t="s">
        <v>9</v>
      </c>
      <c r="D866" s="1">
        <v>22</v>
      </c>
      <c r="E866" s="1" t="s">
        <v>14722</v>
      </c>
      <c r="F866" s="6"/>
      <c r="G866" s="1" t="s">
        <v>14726</v>
      </c>
    </row>
    <row r="867" spans="1:7" ht="21" x14ac:dyDescent="0.25">
      <c r="A867" s="2" t="str">
        <f>HYPERLINK("https://rth.dk/resources/bsgatlas/details.php?id=BSGatlas-TSS-866","BSGatlas-TSS-866")</f>
        <v>BSGatlas-TSS-866</v>
      </c>
      <c r="B867" s="3">
        <v>1103545</v>
      </c>
      <c r="C867" s="1" t="s">
        <v>13</v>
      </c>
      <c r="D867" s="1">
        <v>22</v>
      </c>
      <c r="E867" s="1" t="s">
        <v>14722</v>
      </c>
      <c r="F867" s="6"/>
      <c r="G867" s="1" t="s">
        <v>14726</v>
      </c>
    </row>
    <row r="868" spans="1:7" ht="21" x14ac:dyDescent="0.25">
      <c r="A868" s="2" t="str">
        <f>HYPERLINK("https://rth.dk/resources/bsgatlas/details.php?id=BSGatlas-TSS-867","BSGatlas-TSS-867")</f>
        <v>BSGatlas-TSS-867</v>
      </c>
      <c r="B868" s="3">
        <v>1105626</v>
      </c>
      <c r="C868" s="1" t="s">
        <v>13</v>
      </c>
      <c r="D868" s="1">
        <v>0</v>
      </c>
      <c r="E868" s="1" t="s">
        <v>14722</v>
      </c>
      <c r="F868" s="6" t="s">
        <v>14868</v>
      </c>
      <c r="G868" s="1" t="s">
        <v>14724</v>
      </c>
    </row>
    <row r="869" spans="1:7" ht="21" x14ac:dyDescent="0.25">
      <c r="A869" s="2" t="str">
        <f>HYPERLINK("https://rth.dk/resources/bsgatlas/details.php?id=BSGatlas-TSS-868","BSGatlas-TSS-868")</f>
        <v>BSGatlas-TSS-868</v>
      </c>
      <c r="B869" s="3">
        <v>1105972</v>
      </c>
      <c r="C869" s="1" t="s">
        <v>9</v>
      </c>
      <c r="D869" s="1">
        <v>22</v>
      </c>
      <c r="E869" s="1" t="s">
        <v>14722</v>
      </c>
      <c r="F869" s="6"/>
      <c r="G869" s="1" t="s">
        <v>14726</v>
      </c>
    </row>
    <row r="870" spans="1:7" ht="21" x14ac:dyDescent="0.25">
      <c r="A870" s="2" t="str">
        <f>HYPERLINK("https://rth.dk/resources/bsgatlas/details.php?id=BSGatlas-TSS-869","BSGatlas-TSS-869")</f>
        <v>BSGatlas-TSS-869</v>
      </c>
      <c r="B870" s="3">
        <v>1106497</v>
      </c>
      <c r="C870" s="1" t="s">
        <v>9</v>
      </c>
      <c r="D870" s="1">
        <v>22</v>
      </c>
      <c r="E870" s="1" t="s">
        <v>14722</v>
      </c>
      <c r="F870" s="6"/>
      <c r="G870" s="1" t="s">
        <v>14726</v>
      </c>
    </row>
    <row r="871" spans="1:7" ht="21" x14ac:dyDescent="0.25">
      <c r="A871" s="2" t="str">
        <f>HYPERLINK("https://rth.dk/resources/bsgatlas/details.php?id=BSGatlas-TSS-870","BSGatlas-TSS-870")</f>
        <v>BSGatlas-TSS-870</v>
      </c>
      <c r="B871" s="3">
        <v>1107674</v>
      </c>
      <c r="C871" s="1" t="s">
        <v>9</v>
      </c>
      <c r="D871" s="1">
        <v>22</v>
      </c>
      <c r="E871" s="1" t="s">
        <v>14722</v>
      </c>
      <c r="F871" s="6"/>
      <c r="G871" s="1" t="s">
        <v>14726</v>
      </c>
    </row>
    <row r="872" spans="1:7" ht="21" x14ac:dyDescent="0.25">
      <c r="A872" s="2" t="str">
        <f>HYPERLINK("https://rth.dk/resources/bsgatlas/details.php?id=BSGatlas-TSS-871","BSGatlas-TSS-871")</f>
        <v>BSGatlas-TSS-871</v>
      </c>
      <c r="B872" s="3">
        <v>1109353</v>
      </c>
      <c r="C872" s="1" t="s">
        <v>13</v>
      </c>
      <c r="D872" s="1">
        <v>22</v>
      </c>
      <c r="E872" s="1" t="s">
        <v>14722</v>
      </c>
      <c r="F872" s="6"/>
      <c r="G872" s="1" t="s">
        <v>14726</v>
      </c>
    </row>
    <row r="873" spans="1:7" ht="21" x14ac:dyDescent="0.25">
      <c r="A873" s="2" t="str">
        <f>HYPERLINK("https://rth.dk/resources/bsgatlas/details.php?id=BSGatlas-TSS-872","BSGatlas-TSS-872")</f>
        <v>BSGatlas-TSS-872</v>
      </c>
      <c r="B873" s="3">
        <v>1111949</v>
      </c>
      <c r="C873" s="1" t="s">
        <v>13</v>
      </c>
      <c r="D873" s="1">
        <v>22</v>
      </c>
      <c r="E873" s="1" t="s">
        <v>14722</v>
      </c>
      <c r="F873" s="6"/>
      <c r="G873" s="1" t="s">
        <v>14726</v>
      </c>
    </row>
    <row r="874" spans="1:7" ht="21" x14ac:dyDescent="0.25">
      <c r="A874" s="2" t="str">
        <f>HYPERLINK("https://rth.dk/resources/bsgatlas/details.php?id=BSGatlas-TSS-873","BSGatlas-TSS-873")</f>
        <v>BSGatlas-TSS-873</v>
      </c>
      <c r="B874" s="3">
        <v>1112524</v>
      </c>
      <c r="C874" s="1" t="s">
        <v>13</v>
      </c>
      <c r="D874" s="1">
        <v>22</v>
      </c>
      <c r="E874" s="1" t="s">
        <v>14722</v>
      </c>
      <c r="F874" s="6"/>
      <c r="G874" s="1" t="s">
        <v>14726</v>
      </c>
    </row>
    <row r="875" spans="1:7" ht="21" x14ac:dyDescent="0.25">
      <c r="A875" s="2" t="str">
        <f>HYPERLINK("https://rth.dk/resources/bsgatlas/details.php?id=BSGatlas-TSS-874","BSGatlas-TSS-874")</f>
        <v>BSGatlas-TSS-874</v>
      </c>
      <c r="B875" s="3">
        <v>1113975</v>
      </c>
      <c r="C875" s="1" t="s">
        <v>13</v>
      </c>
      <c r="D875" s="1">
        <v>22</v>
      </c>
      <c r="E875" s="1" t="s">
        <v>14752</v>
      </c>
      <c r="F875" s="6"/>
      <c r="G875" s="1" t="s">
        <v>14726</v>
      </c>
    </row>
    <row r="876" spans="1:7" ht="21" x14ac:dyDescent="0.25">
      <c r="A876" s="2" t="str">
        <f>HYPERLINK("https://rth.dk/resources/bsgatlas/details.php?id=BSGatlas-TSS-875","BSGatlas-TSS-875")</f>
        <v>BSGatlas-TSS-875</v>
      </c>
      <c r="B876" s="3">
        <v>1115610</v>
      </c>
      <c r="C876" s="1" t="s">
        <v>13</v>
      </c>
      <c r="D876" s="1">
        <v>0</v>
      </c>
      <c r="E876" s="1" t="s">
        <v>14867</v>
      </c>
      <c r="F876" s="6">
        <v>16497325</v>
      </c>
      <c r="G876" s="1" t="s">
        <v>14730</v>
      </c>
    </row>
    <row r="877" spans="1:7" ht="21" x14ac:dyDescent="0.25">
      <c r="A877" s="2" t="str">
        <f>HYPERLINK("https://rth.dk/resources/bsgatlas/details.php?id=BSGatlas-TSS-876","BSGatlas-TSS-876")</f>
        <v>BSGatlas-TSS-876</v>
      </c>
      <c r="B877" s="3">
        <v>1115659</v>
      </c>
      <c r="C877" s="1" t="s">
        <v>9</v>
      </c>
      <c r="D877" s="1">
        <v>22</v>
      </c>
      <c r="E877" s="1" t="s">
        <v>14727</v>
      </c>
      <c r="F877" s="6"/>
      <c r="G877" s="1" t="s">
        <v>14726</v>
      </c>
    </row>
    <row r="878" spans="1:7" ht="21" x14ac:dyDescent="0.25">
      <c r="A878" s="2" t="str">
        <f>HYPERLINK("https://rth.dk/resources/bsgatlas/details.php?id=BSGatlas-TSS-877","BSGatlas-TSS-877")</f>
        <v>BSGatlas-TSS-877</v>
      </c>
      <c r="B878" s="3">
        <v>1116836</v>
      </c>
      <c r="C878" s="1" t="s">
        <v>9</v>
      </c>
      <c r="D878" s="1">
        <v>22</v>
      </c>
      <c r="E878" s="1" t="s">
        <v>14720</v>
      </c>
      <c r="F878" s="6"/>
      <c r="G878" s="1" t="s">
        <v>14726</v>
      </c>
    </row>
    <row r="879" spans="1:7" ht="21" x14ac:dyDescent="0.25">
      <c r="A879" s="2" t="str">
        <f>HYPERLINK("https://rth.dk/resources/bsgatlas/details.php?id=BSGatlas-TSS-878","BSGatlas-TSS-878")</f>
        <v>BSGatlas-TSS-878</v>
      </c>
      <c r="B879" s="3">
        <v>1116855</v>
      </c>
      <c r="C879" s="1" t="s">
        <v>13</v>
      </c>
      <c r="D879" s="1">
        <v>22</v>
      </c>
      <c r="E879" s="1" t="s">
        <v>14722</v>
      </c>
      <c r="F879" s="6"/>
      <c r="G879" s="1" t="s">
        <v>14726</v>
      </c>
    </row>
    <row r="880" spans="1:7" ht="21" x14ac:dyDescent="0.25">
      <c r="A880" s="2" t="str">
        <f>HYPERLINK("https://rth.dk/resources/bsgatlas/details.php?id=BSGatlas-TSS-879","BSGatlas-TSS-879")</f>
        <v>BSGatlas-TSS-879</v>
      </c>
      <c r="B880" s="3">
        <v>1117073</v>
      </c>
      <c r="C880" s="1" t="s">
        <v>9</v>
      </c>
      <c r="D880" s="1">
        <v>0</v>
      </c>
      <c r="E880" s="1" t="s">
        <v>14722</v>
      </c>
      <c r="F880" s="6" t="s">
        <v>14869</v>
      </c>
      <c r="G880" s="1" t="s">
        <v>14729</v>
      </c>
    </row>
    <row r="881" spans="1:7" ht="21" x14ac:dyDescent="0.25">
      <c r="A881" s="2" t="str">
        <f>HYPERLINK("https://rth.dk/resources/bsgatlas/details.php?id=BSGatlas-TSS-880","BSGatlas-TSS-880")</f>
        <v>BSGatlas-TSS-880</v>
      </c>
      <c r="B881" s="3">
        <v>1117835</v>
      </c>
      <c r="C881" s="1" t="s">
        <v>9</v>
      </c>
      <c r="D881" s="1">
        <v>22</v>
      </c>
      <c r="E881" s="1" t="s">
        <v>14720</v>
      </c>
      <c r="F881" s="6"/>
      <c r="G881" s="1" t="s">
        <v>14726</v>
      </c>
    </row>
    <row r="882" spans="1:7" ht="21" x14ac:dyDescent="0.25">
      <c r="A882" s="2" t="str">
        <f>HYPERLINK("https://rth.dk/resources/bsgatlas/details.php?id=BSGatlas-TSS-881","BSGatlas-TSS-881")</f>
        <v>BSGatlas-TSS-881</v>
      </c>
      <c r="B882" s="3">
        <v>1118677</v>
      </c>
      <c r="C882" s="1" t="s">
        <v>13</v>
      </c>
      <c r="D882" s="1">
        <v>22</v>
      </c>
      <c r="E882" s="1" t="s">
        <v>14734</v>
      </c>
      <c r="F882" s="6"/>
      <c r="G882" s="1" t="s">
        <v>14726</v>
      </c>
    </row>
    <row r="883" spans="1:7" ht="21" x14ac:dyDescent="0.25">
      <c r="A883" s="2" t="str">
        <f>HYPERLINK("https://rth.dk/resources/bsgatlas/details.php?id=BSGatlas-TSS-882","BSGatlas-TSS-882")</f>
        <v>BSGatlas-TSS-882</v>
      </c>
      <c r="B883" s="3">
        <v>1118792</v>
      </c>
      <c r="C883" s="1" t="s">
        <v>9</v>
      </c>
      <c r="D883" s="1">
        <v>22</v>
      </c>
      <c r="E883" s="1" t="s">
        <v>14722</v>
      </c>
      <c r="F883" s="6"/>
      <c r="G883" s="1" t="s">
        <v>14726</v>
      </c>
    </row>
    <row r="884" spans="1:7" ht="21" x14ac:dyDescent="0.25">
      <c r="A884" s="2" t="str">
        <f>HYPERLINK("https://rth.dk/resources/bsgatlas/details.php?id=BSGatlas-TSS-883","BSGatlas-TSS-883")</f>
        <v>BSGatlas-TSS-883</v>
      </c>
      <c r="B884" s="3">
        <v>1120947</v>
      </c>
      <c r="C884" s="1" t="s">
        <v>13</v>
      </c>
      <c r="D884" s="1">
        <v>22</v>
      </c>
      <c r="E884" s="1" t="s">
        <v>14722</v>
      </c>
      <c r="F884" s="6"/>
      <c r="G884" s="1" t="s">
        <v>14733</v>
      </c>
    </row>
    <row r="885" spans="1:7" ht="21" x14ac:dyDescent="0.25">
      <c r="A885" s="2" t="str">
        <f>HYPERLINK("https://rth.dk/resources/bsgatlas/details.php?id=BSGatlas-TSS-884","BSGatlas-TSS-884")</f>
        <v>BSGatlas-TSS-884</v>
      </c>
      <c r="B885" s="3">
        <v>1121258</v>
      </c>
      <c r="C885" s="1" t="s">
        <v>9</v>
      </c>
      <c r="D885" s="1">
        <v>22</v>
      </c>
      <c r="E885" s="1" t="s">
        <v>14727</v>
      </c>
      <c r="F885" s="6"/>
      <c r="G885" s="1" t="s">
        <v>14733</v>
      </c>
    </row>
    <row r="886" spans="1:7" ht="21" x14ac:dyDescent="0.25">
      <c r="A886" s="2" t="str">
        <f>HYPERLINK("https://rth.dk/resources/bsgatlas/details.php?id=BSGatlas-TSS-885","BSGatlas-TSS-885")</f>
        <v>BSGatlas-TSS-885</v>
      </c>
      <c r="B886" s="3">
        <v>1121446</v>
      </c>
      <c r="C886" s="1" t="s">
        <v>13</v>
      </c>
      <c r="D886" s="1">
        <v>22</v>
      </c>
      <c r="E886" s="1" t="s">
        <v>14722</v>
      </c>
      <c r="F886" s="6"/>
      <c r="G886" s="1" t="s">
        <v>14726</v>
      </c>
    </row>
    <row r="887" spans="1:7" ht="21" x14ac:dyDescent="0.25">
      <c r="A887" s="2" t="str">
        <f>HYPERLINK("https://rth.dk/resources/bsgatlas/details.php?id=BSGatlas-TSS-886","BSGatlas-TSS-886")</f>
        <v>BSGatlas-TSS-886</v>
      </c>
      <c r="B887" s="3">
        <v>1121508</v>
      </c>
      <c r="C887" s="1" t="s">
        <v>9</v>
      </c>
      <c r="D887" s="1">
        <v>22</v>
      </c>
      <c r="E887" s="1" t="s">
        <v>14722</v>
      </c>
      <c r="F887" s="6"/>
      <c r="G887" s="1" t="s">
        <v>14726</v>
      </c>
    </row>
    <row r="888" spans="1:7" ht="21" x14ac:dyDescent="0.25">
      <c r="A888" s="2" t="str">
        <f>HYPERLINK("https://rth.dk/resources/bsgatlas/details.php?id=BSGatlas-TSS-887","BSGatlas-TSS-887")</f>
        <v>BSGatlas-TSS-887</v>
      </c>
      <c r="B888" s="3">
        <v>1122762</v>
      </c>
      <c r="C888" s="1" t="s">
        <v>9</v>
      </c>
      <c r="D888" s="1">
        <v>22</v>
      </c>
      <c r="E888" s="1" t="s">
        <v>14722</v>
      </c>
      <c r="F888" s="6"/>
      <c r="G888" s="1" t="s">
        <v>14733</v>
      </c>
    </row>
    <row r="889" spans="1:7" ht="21" x14ac:dyDescent="0.25">
      <c r="A889" s="2" t="str">
        <f>HYPERLINK("https://rth.dk/resources/bsgatlas/details.php?id=BSGatlas-TSS-888","BSGatlas-TSS-888")</f>
        <v>BSGatlas-TSS-888</v>
      </c>
      <c r="B889" s="3">
        <v>1124388</v>
      </c>
      <c r="C889" s="1" t="s">
        <v>9</v>
      </c>
      <c r="D889" s="1">
        <v>22</v>
      </c>
      <c r="E889" s="1" t="s">
        <v>14722</v>
      </c>
      <c r="F889" s="6"/>
      <c r="G889" s="1" t="s">
        <v>14726</v>
      </c>
    </row>
    <row r="890" spans="1:7" ht="21" x14ac:dyDescent="0.25">
      <c r="A890" s="2" t="str">
        <f>HYPERLINK("https://rth.dk/resources/bsgatlas/details.php?id=BSGatlas-TSS-889","BSGatlas-TSS-889")</f>
        <v>BSGatlas-TSS-889</v>
      </c>
      <c r="B890" s="3">
        <v>1125844</v>
      </c>
      <c r="C890" s="1" t="s">
        <v>9</v>
      </c>
      <c r="D890" s="1">
        <v>22</v>
      </c>
      <c r="E890" s="1" t="s">
        <v>14727</v>
      </c>
      <c r="F890" s="6"/>
      <c r="G890" s="1" t="s">
        <v>14726</v>
      </c>
    </row>
    <row r="891" spans="1:7" ht="21" x14ac:dyDescent="0.25">
      <c r="A891" s="2" t="str">
        <f>HYPERLINK("https://rth.dk/resources/bsgatlas/details.php?id=BSGatlas-TSS-890","BSGatlas-TSS-890")</f>
        <v>BSGatlas-TSS-890</v>
      </c>
      <c r="B891" s="3">
        <v>1128482</v>
      </c>
      <c r="C891" s="1" t="s">
        <v>9</v>
      </c>
      <c r="D891" s="1">
        <v>22</v>
      </c>
      <c r="E891" s="1" t="s">
        <v>14727</v>
      </c>
      <c r="F891" s="6"/>
      <c r="G891" s="1" t="s">
        <v>14733</v>
      </c>
    </row>
    <row r="892" spans="1:7" ht="21" x14ac:dyDescent="0.25">
      <c r="A892" s="2" t="str">
        <f>HYPERLINK("https://rth.dk/resources/bsgatlas/details.php?id=BSGatlas-TSS-891","BSGatlas-TSS-891")</f>
        <v>BSGatlas-TSS-891</v>
      </c>
      <c r="B892" s="3">
        <v>1129272</v>
      </c>
      <c r="C892" s="1" t="s">
        <v>9</v>
      </c>
      <c r="D892" s="1">
        <v>22</v>
      </c>
      <c r="E892" s="1" t="s">
        <v>14722</v>
      </c>
      <c r="F892" s="6"/>
      <c r="G892" s="1" t="s">
        <v>14733</v>
      </c>
    </row>
    <row r="893" spans="1:7" ht="21" x14ac:dyDescent="0.25">
      <c r="A893" s="2" t="str">
        <f>HYPERLINK("https://rth.dk/resources/bsgatlas/details.php?id=BSGatlas-TSS-892","BSGatlas-TSS-892")</f>
        <v>BSGatlas-TSS-892</v>
      </c>
      <c r="B893" s="3">
        <v>1129634</v>
      </c>
      <c r="C893" s="1" t="s">
        <v>9</v>
      </c>
      <c r="D893" s="1">
        <v>0</v>
      </c>
      <c r="E893" s="1" t="s">
        <v>14720</v>
      </c>
      <c r="F893" s="6">
        <v>14612444</v>
      </c>
      <c r="G893" s="1" t="s">
        <v>4684</v>
      </c>
    </row>
    <row r="894" spans="1:7" ht="21" x14ac:dyDescent="0.25">
      <c r="A894" s="2" t="str">
        <f>HYPERLINK("https://rth.dk/resources/bsgatlas/details.php?id=BSGatlas-TSS-893","BSGatlas-TSS-893")</f>
        <v>BSGatlas-TSS-893</v>
      </c>
      <c r="B894" s="3">
        <v>1129653</v>
      </c>
      <c r="C894" s="1" t="s">
        <v>13</v>
      </c>
      <c r="D894" s="1">
        <v>0</v>
      </c>
      <c r="E894" s="1" t="s">
        <v>14722</v>
      </c>
      <c r="F894" s="6" t="s">
        <v>14870</v>
      </c>
      <c r="G894" s="1" t="s">
        <v>14729</v>
      </c>
    </row>
    <row r="895" spans="1:7" ht="21" x14ac:dyDescent="0.25">
      <c r="A895" s="2" t="str">
        <f>HYPERLINK("https://rth.dk/resources/bsgatlas/details.php?id=BSGatlas-TSS-894","BSGatlas-TSS-894")</f>
        <v>BSGatlas-TSS-894</v>
      </c>
      <c r="B895" s="3">
        <v>1132143</v>
      </c>
      <c r="C895" s="1" t="s">
        <v>13</v>
      </c>
      <c r="D895" s="1">
        <v>22</v>
      </c>
      <c r="E895" s="1" t="s">
        <v>14722</v>
      </c>
      <c r="F895" s="6"/>
      <c r="G895" s="1" t="s">
        <v>14733</v>
      </c>
    </row>
    <row r="896" spans="1:7" ht="21" x14ac:dyDescent="0.25">
      <c r="A896" s="2" t="str">
        <f>HYPERLINK("https://rth.dk/resources/bsgatlas/details.php?id=BSGatlas-TSS-895","BSGatlas-TSS-895")</f>
        <v>BSGatlas-TSS-895</v>
      </c>
      <c r="B896" s="3">
        <v>1133410</v>
      </c>
      <c r="C896" s="1" t="s">
        <v>9</v>
      </c>
      <c r="D896" s="1">
        <v>22</v>
      </c>
      <c r="E896" s="1" t="s">
        <v>14722</v>
      </c>
      <c r="F896" s="6"/>
      <c r="G896" s="1" t="s">
        <v>14726</v>
      </c>
    </row>
    <row r="897" spans="1:7" ht="21" x14ac:dyDescent="0.25">
      <c r="A897" s="2" t="str">
        <f>HYPERLINK("https://rth.dk/resources/bsgatlas/details.php?id=BSGatlas-TSS-896","BSGatlas-TSS-896")</f>
        <v>BSGatlas-TSS-896</v>
      </c>
      <c r="B897" s="3">
        <v>1134840</v>
      </c>
      <c r="C897" s="1" t="s">
        <v>9</v>
      </c>
      <c r="D897" s="1">
        <v>22</v>
      </c>
      <c r="E897" s="1" t="s">
        <v>14722</v>
      </c>
      <c r="F897" s="6"/>
      <c r="G897" s="1" t="s">
        <v>14726</v>
      </c>
    </row>
    <row r="898" spans="1:7" ht="21" x14ac:dyDescent="0.25">
      <c r="A898" s="2" t="str">
        <f>HYPERLINK("https://rth.dk/resources/bsgatlas/details.php?id=BSGatlas-TSS-897","BSGatlas-TSS-897")</f>
        <v>BSGatlas-TSS-897</v>
      </c>
      <c r="B898" s="3">
        <v>1136171</v>
      </c>
      <c r="C898" s="1" t="s">
        <v>13</v>
      </c>
      <c r="D898" s="1">
        <v>0</v>
      </c>
      <c r="E898" s="1" t="s">
        <v>14725</v>
      </c>
      <c r="F898" s="6" t="s">
        <v>14829</v>
      </c>
      <c r="G898" s="1" t="s">
        <v>14729</v>
      </c>
    </row>
    <row r="899" spans="1:7" ht="21" x14ac:dyDescent="0.25">
      <c r="A899" s="2" t="str">
        <f>HYPERLINK("https://rth.dk/resources/bsgatlas/details.php?id=BSGatlas-TSS-898","BSGatlas-TSS-898")</f>
        <v>BSGatlas-TSS-898</v>
      </c>
      <c r="B899" s="3">
        <v>1136292</v>
      </c>
      <c r="C899" s="1" t="s">
        <v>9</v>
      </c>
      <c r="D899" s="1">
        <v>0</v>
      </c>
      <c r="E899" s="1" t="s">
        <v>14722</v>
      </c>
      <c r="F899" s="6" t="s">
        <v>14871</v>
      </c>
      <c r="G899" s="1" t="s">
        <v>14729</v>
      </c>
    </row>
    <row r="900" spans="1:7" ht="21" x14ac:dyDescent="0.25">
      <c r="A900" s="2" t="str">
        <f>HYPERLINK("https://rth.dk/resources/bsgatlas/details.php?id=BSGatlas-TSS-899","BSGatlas-TSS-899")</f>
        <v>BSGatlas-TSS-899</v>
      </c>
      <c r="B900" s="3">
        <v>1147424</v>
      </c>
      <c r="C900" s="1" t="s">
        <v>9</v>
      </c>
      <c r="D900" s="1">
        <v>22</v>
      </c>
      <c r="E900" s="1" t="s">
        <v>14732</v>
      </c>
      <c r="F900" s="6"/>
      <c r="G900" s="1" t="s">
        <v>14726</v>
      </c>
    </row>
    <row r="901" spans="1:7" ht="21" x14ac:dyDescent="0.25">
      <c r="A901" s="2" t="str">
        <f>HYPERLINK("https://rth.dk/resources/bsgatlas/details.php?id=BSGatlas-TSS-900","BSGatlas-TSS-900")</f>
        <v>BSGatlas-TSS-900</v>
      </c>
      <c r="B901" s="3">
        <v>1150464</v>
      </c>
      <c r="C901" s="1" t="s">
        <v>9</v>
      </c>
      <c r="D901" s="1">
        <v>22</v>
      </c>
      <c r="E901" s="1" t="s">
        <v>14722</v>
      </c>
      <c r="F901" s="6"/>
      <c r="G901" s="1" t="s">
        <v>14726</v>
      </c>
    </row>
    <row r="902" spans="1:7" ht="21" x14ac:dyDescent="0.25">
      <c r="A902" s="2" t="str">
        <f>HYPERLINK("https://rth.dk/resources/bsgatlas/details.php?id=BSGatlas-TSS-901","BSGatlas-TSS-901")</f>
        <v>BSGatlas-TSS-901</v>
      </c>
      <c r="B902" s="3">
        <v>1150514</v>
      </c>
      <c r="C902" s="1" t="s">
        <v>13</v>
      </c>
      <c r="D902" s="1">
        <v>22</v>
      </c>
      <c r="E902" s="1" t="s">
        <v>14725</v>
      </c>
      <c r="F902" s="6"/>
      <c r="G902" s="1" t="s">
        <v>14733</v>
      </c>
    </row>
    <row r="903" spans="1:7" ht="21" x14ac:dyDescent="0.25">
      <c r="A903" s="2" t="str">
        <f>HYPERLINK("https://rth.dk/resources/bsgatlas/details.php?id=BSGatlas-TSS-902","BSGatlas-TSS-902")</f>
        <v>BSGatlas-TSS-902</v>
      </c>
      <c r="B903" s="3">
        <v>1151067</v>
      </c>
      <c r="C903" s="1" t="s">
        <v>13</v>
      </c>
      <c r="D903" s="1">
        <v>22</v>
      </c>
      <c r="E903" s="1" t="s">
        <v>14722</v>
      </c>
      <c r="F903" s="6"/>
      <c r="G903" s="1" t="s">
        <v>14726</v>
      </c>
    </row>
    <row r="904" spans="1:7" ht="21" x14ac:dyDescent="0.25">
      <c r="A904" s="2" t="str">
        <f>HYPERLINK("https://rth.dk/resources/bsgatlas/details.php?id=BSGatlas-TSS-903","BSGatlas-TSS-903")</f>
        <v>BSGatlas-TSS-903</v>
      </c>
      <c r="B904" s="3">
        <v>1152122</v>
      </c>
      <c r="C904" s="1" t="s">
        <v>13</v>
      </c>
      <c r="D904" s="1">
        <v>22</v>
      </c>
      <c r="E904" s="1" t="s">
        <v>14725</v>
      </c>
      <c r="F904" s="6"/>
      <c r="G904" s="1" t="s">
        <v>14726</v>
      </c>
    </row>
    <row r="905" spans="1:7" ht="21" x14ac:dyDescent="0.25">
      <c r="A905" s="2" t="str">
        <f>HYPERLINK("https://rth.dk/resources/bsgatlas/details.php?id=BSGatlas-TSS-904","BSGatlas-TSS-904")</f>
        <v>BSGatlas-TSS-904</v>
      </c>
      <c r="B905" s="3">
        <v>1152198</v>
      </c>
      <c r="C905" s="1" t="s">
        <v>9</v>
      </c>
      <c r="D905" s="1">
        <v>22</v>
      </c>
      <c r="E905" s="1" t="s">
        <v>14745</v>
      </c>
      <c r="F905" s="6"/>
      <c r="G905" s="1" t="s">
        <v>14726</v>
      </c>
    </row>
    <row r="906" spans="1:7" ht="21" x14ac:dyDescent="0.25">
      <c r="A906" s="2" t="str">
        <f>HYPERLINK("https://rth.dk/resources/bsgatlas/details.php?id=BSGatlas-TSS-905","BSGatlas-TSS-905")</f>
        <v>BSGatlas-TSS-905</v>
      </c>
      <c r="B906" s="3">
        <v>1153232</v>
      </c>
      <c r="C906" s="1" t="s">
        <v>9</v>
      </c>
      <c r="D906" s="1">
        <v>22</v>
      </c>
      <c r="E906" s="1" t="s">
        <v>14722</v>
      </c>
      <c r="F906" s="6"/>
      <c r="G906" s="1" t="s">
        <v>14726</v>
      </c>
    </row>
    <row r="907" spans="1:7" ht="21" x14ac:dyDescent="0.25">
      <c r="A907" s="2" t="str">
        <f>HYPERLINK("https://rth.dk/resources/bsgatlas/details.php?id=BSGatlas-TSS-906","BSGatlas-TSS-906")</f>
        <v>BSGatlas-TSS-906</v>
      </c>
      <c r="B907" s="3">
        <v>1153742</v>
      </c>
      <c r="C907" s="1" t="s">
        <v>9</v>
      </c>
      <c r="D907" s="1">
        <v>22</v>
      </c>
      <c r="E907" s="1" t="s">
        <v>14722</v>
      </c>
      <c r="F907" s="6"/>
      <c r="G907" s="1" t="s">
        <v>14726</v>
      </c>
    </row>
    <row r="908" spans="1:7" ht="21" x14ac:dyDescent="0.25">
      <c r="A908" s="2" t="str">
        <f>HYPERLINK("https://rth.dk/resources/bsgatlas/details.php?id=BSGatlas-TSS-907","BSGatlas-TSS-907")</f>
        <v>BSGatlas-TSS-907</v>
      </c>
      <c r="B908" s="3">
        <v>1157125</v>
      </c>
      <c r="C908" s="1" t="s">
        <v>13</v>
      </c>
      <c r="D908" s="1">
        <v>22</v>
      </c>
      <c r="E908" s="1" t="s">
        <v>14727</v>
      </c>
      <c r="F908" s="6"/>
      <c r="G908" s="1" t="s">
        <v>14726</v>
      </c>
    </row>
    <row r="909" spans="1:7" ht="21" x14ac:dyDescent="0.25">
      <c r="A909" s="2" t="str">
        <f>HYPERLINK("https://rth.dk/resources/bsgatlas/details.php?id=BSGatlas-TSS-908","BSGatlas-TSS-908")</f>
        <v>BSGatlas-TSS-908</v>
      </c>
      <c r="B909" s="3">
        <v>1157182</v>
      </c>
      <c r="C909" s="1" t="s">
        <v>9</v>
      </c>
      <c r="D909" s="1">
        <v>0</v>
      </c>
      <c r="E909" s="1" t="s">
        <v>14735</v>
      </c>
      <c r="F909" s="6" t="s">
        <v>14872</v>
      </c>
      <c r="G909" s="1" t="s">
        <v>14724</v>
      </c>
    </row>
    <row r="910" spans="1:7" ht="21" x14ac:dyDescent="0.25">
      <c r="A910" s="2" t="str">
        <f>HYPERLINK("https://rth.dk/resources/bsgatlas/details.php?id=BSGatlas-TSS-909","BSGatlas-TSS-909")</f>
        <v>BSGatlas-TSS-909</v>
      </c>
      <c r="B910" s="3">
        <v>1159710</v>
      </c>
      <c r="C910" s="1" t="s">
        <v>13</v>
      </c>
      <c r="D910" s="1">
        <v>22</v>
      </c>
      <c r="E910" s="1" t="s">
        <v>14745</v>
      </c>
      <c r="F910" s="6"/>
      <c r="G910" s="1" t="s">
        <v>14726</v>
      </c>
    </row>
    <row r="911" spans="1:7" ht="21" x14ac:dyDescent="0.25">
      <c r="A911" s="2" t="str">
        <f>HYPERLINK("https://rth.dk/resources/bsgatlas/details.php?id=BSGatlas-TSS-910","BSGatlas-TSS-910")</f>
        <v>BSGatlas-TSS-910</v>
      </c>
      <c r="B911" s="3">
        <v>1159899</v>
      </c>
      <c r="C911" s="1" t="s">
        <v>9</v>
      </c>
      <c r="D911" s="1">
        <v>22</v>
      </c>
      <c r="E911" s="1" t="s">
        <v>14722</v>
      </c>
      <c r="F911" s="6"/>
      <c r="G911" s="1" t="s">
        <v>14726</v>
      </c>
    </row>
    <row r="912" spans="1:7" ht="21" x14ac:dyDescent="0.25">
      <c r="A912" s="2" t="str">
        <f>HYPERLINK("https://rth.dk/resources/bsgatlas/details.php?id=BSGatlas-TSS-911","BSGatlas-TSS-911")</f>
        <v>BSGatlas-TSS-911</v>
      </c>
      <c r="B912" s="3">
        <v>1160162</v>
      </c>
      <c r="C912" s="1" t="s">
        <v>9</v>
      </c>
      <c r="D912" s="1">
        <v>22</v>
      </c>
      <c r="E912" s="1" t="s">
        <v>14734</v>
      </c>
      <c r="F912" s="6"/>
      <c r="G912" s="1" t="s">
        <v>14726</v>
      </c>
    </row>
    <row r="913" spans="1:7" ht="21" x14ac:dyDescent="0.25">
      <c r="A913" s="2" t="str">
        <f>HYPERLINK("https://rth.dk/resources/bsgatlas/details.php?id=BSGatlas-TSS-912","BSGatlas-TSS-912")</f>
        <v>BSGatlas-TSS-912</v>
      </c>
      <c r="B913" s="3">
        <v>1162208</v>
      </c>
      <c r="C913" s="1" t="s">
        <v>9</v>
      </c>
      <c r="D913" s="1">
        <v>22</v>
      </c>
      <c r="E913" s="1" t="s">
        <v>14722</v>
      </c>
      <c r="F913" s="6"/>
      <c r="G913" s="1" t="s">
        <v>14726</v>
      </c>
    </row>
    <row r="914" spans="1:7" ht="21" x14ac:dyDescent="0.25">
      <c r="A914" s="2" t="str">
        <f>HYPERLINK("https://rth.dk/resources/bsgatlas/details.php?id=BSGatlas-TSS-913","BSGatlas-TSS-913")</f>
        <v>BSGatlas-TSS-913</v>
      </c>
      <c r="B914" s="3">
        <v>1164254</v>
      </c>
      <c r="C914" s="1" t="s">
        <v>9</v>
      </c>
      <c r="D914" s="1">
        <v>22</v>
      </c>
      <c r="E914" s="1" t="s">
        <v>14722</v>
      </c>
      <c r="F914" s="6"/>
      <c r="G914" s="1" t="s">
        <v>14733</v>
      </c>
    </row>
    <row r="915" spans="1:7" ht="21" x14ac:dyDescent="0.25">
      <c r="A915" s="2" t="str">
        <f>HYPERLINK("https://rth.dk/resources/bsgatlas/details.php?id=BSGatlas-TSS-914","BSGatlas-TSS-914")</f>
        <v>BSGatlas-TSS-914</v>
      </c>
      <c r="B915" s="3">
        <v>1165987</v>
      </c>
      <c r="C915" s="1" t="s">
        <v>13</v>
      </c>
      <c r="D915" s="1">
        <v>22</v>
      </c>
      <c r="E915" s="1" t="s">
        <v>14745</v>
      </c>
      <c r="F915" s="6"/>
      <c r="G915" s="1" t="s">
        <v>14726</v>
      </c>
    </row>
    <row r="916" spans="1:7" ht="21" x14ac:dyDescent="0.25">
      <c r="A916" s="2" t="str">
        <f>HYPERLINK("https://rth.dk/resources/bsgatlas/details.php?id=BSGatlas-TSS-915","BSGatlas-TSS-915")</f>
        <v>BSGatlas-TSS-915</v>
      </c>
      <c r="B916" s="3">
        <v>1166718</v>
      </c>
      <c r="C916" s="1" t="s">
        <v>9</v>
      </c>
      <c r="D916" s="1">
        <v>22</v>
      </c>
      <c r="E916" s="1" t="s">
        <v>14722</v>
      </c>
      <c r="F916" s="6"/>
      <c r="G916" s="1" t="s">
        <v>14726</v>
      </c>
    </row>
    <row r="917" spans="1:7" ht="21" x14ac:dyDescent="0.25">
      <c r="A917" s="2" t="str">
        <f>HYPERLINK("https://rth.dk/resources/bsgatlas/details.php?id=BSGatlas-TSS-916","BSGatlas-TSS-916")</f>
        <v>BSGatlas-TSS-916</v>
      </c>
      <c r="B917" s="3">
        <v>1168908</v>
      </c>
      <c r="C917" s="1" t="s">
        <v>9</v>
      </c>
      <c r="D917" s="1">
        <v>22</v>
      </c>
      <c r="E917" s="1" t="s">
        <v>14727</v>
      </c>
      <c r="F917" s="6"/>
      <c r="G917" s="1" t="s">
        <v>14733</v>
      </c>
    </row>
    <row r="918" spans="1:7" ht="21" x14ac:dyDescent="0.25">
      <c r="A918" s="2" t="str">
        <f>HYPERLINK("https://rth.dk/resources/bsgatlas/details.php?id=BSGatlas-TSS-917","BSGatlas-TSS-917")</f>
        <v>BSGatlas-TSS-917</v>
      </c>
      <c r="B918" s="3">
        <v>1168972</v>
      </c>
      <c r="C918" s="1" t="s">
        <v>13</v>
      </c>
      <c r="D918" s="1">
        <v>22</v>
      </c>
      <c r="E918" s="1" t="s">
        <v>14722</v>
      </c>
      <c r="F918" s="6"/>
      <c r="G918" s="1" t="s">
        <v>14733</v>
      </c>
    </row>
    <row r="919" spans="1:7" ht="21" x14ac:dyDescent="0.25">
      <c r="A919" s="2" t="str">
        <f>HYPERLINK("https://rth.dk/resources/bsgatlas/details.php?id=BSGatlas-TSS-918","BSGatlas-TSS-918")</f>
        <v>BSGatlas-TSS-918</v>
      </c>
      <c r="B919" s="3">
        <v>1172512</v>
      </c>
      <c r="C919" s="1" t="s">
        <v>13</v>
      </c>
      <c r="D919" s="1">
        <v>0</v>
      </c>
      <c r="E919" s="1" t="s">
        <v>14725</v>
      </c>
      <c r="F919" s="6" t="s">
        <v>14829</v>
      </c>
      <c r="G919" s="1" t="s">
        <v>14729</v>
      </c>
    </row>
    <row r="920" spans="1:7" ht="21" x14ac:dyDescent="0.25">
      <c r="A920" s="2" t="str">
        <f>HYPERLINK("https://rth.dk/resources/bsgatlas/details.php?id=BSGatlas-TSS-919","BSGatlas-TSS-919")</f>
        <v>BSGatlas-TSS-919</v>
      </c>
      <c r="B920" s="3">
        <v>1172620</v>
      </c>
      <c r="C920" s="1" t="s">
        <v>9</v>
      </c>
      <c r="D920" s="1">
        <v>0</v>
      </c>
      <c r="E920" s="1" t="s">
        <v>14830</v>
      </c>
      <c r="F920" s="6" t="s">
        <v>14829</v>
      </c>
      <c r="G920" s="1" t="s">
        <v>14729</v>
      </c>
    </row>
    <row r="921" spans="1:7" ht="21" x14ac:dyDescent="0.25">
      <c r="A921" s="2" t="str">
        <f>HYPERLINK("https://rth.dk/resources/bsgatlas/details.php?id=BSGatlas-TSS-920","BSGatlas-TSS-920")</f>
        <v>BSGatlas-TSS-920</v>
      </c>
      <c r="B921" s="3">
        <v>1174816</v>
      </c>
      <c r="C921" s="1" t="s">
        <v>13</v>
      </c>
      <c r="D921" s="1">
        <v>22</v>
      </c>
      <c r="E921" s="1" t="s">
        <v>14727</v>
      </c>
      <c r="F921" s="6"/>
      <c r="G921" s="1" t="s">
        <v>14726</v>
      </c>
    </row>
    <row r="922" spans="1:7" ht="21" x14ac:dyDescent="0.25">
      <c r="A922" s="2" t="str">
        <f>HYPERLINK("https://rth.dk/resources/bsgatlas/details.php?id=BSGatlas-TSS-921","BSGatlas-TSS-921")</f>
        <v>BSGatlas-TSS-921</v>
      </c>
      <c r="B922" s="3">
        <v>1177273</v>
      </c>
      <c r="C922" s="1" t="s">
        <v>13</v>
      </c>
      <c r="D922" s="1">
        <v>0</v>
      </c>
      <c r="E922" s="1" t="s">
        <v>14743</v>
      </c>
      <c r="F922" s="6">
        <v>16497325</v>
      </c>
      <c r="G922" s="1" t="s">
        <v>14730</v>
      </c>
    </row>
    <row r="923" spans="1:7" ht="21" x14ac:dyDescent="0.25">
      <c r="A923" s="2" t="str">
        <f>HYPERLINK("https://rth.dk/resources/bsgatlas/details.php?id=BSGatlas-TSS-922","BSGatlas-TSS-922")</f>
        <v>BSGatlas-TSS-922</v>
      </c>
      <c r="B923" s="3">
        <v>1178702</v>
      </c>
      <c r="C923" s="1" t="s">
        <v>13</v>
      </c>
      <c r="D923" s="1">
        <v>22</v>
      </c>
      <c r="E923" s="1" t="s">
        <v>14722</v>
      </c>
      <c r="F923" s="6"/>
      <c r="G923" s="1" t="s">
        <v>14726</v>
      </c>
    </row>
    <row r="924" spans="1:7" ht="21" x14ac:dyDescent="0.25">
      <c r="A924" s="2" t="str">
        <f>HYPERLINK("https://rth.dk/resources/bsgatlas/details.php?id=BSGatlas-TSS-923","BSGatlas-TSS-923")</f>
        <v>BSGatlas-TSS-923</v>
      </c>
      <c r="B924" s="3">
        <v>1180868</v>
      </c>
      <c r="C924" s="1" t="s">
        <v>13</v>
      </c>
      <c r="D924" s="1">
        <v>22</v>
      </c>
      <c r="E924" s="1" t="s">
        <v>14722</v>
      </c>
      <c r="F924" s="6"/>
      <c r="G924" s="1" t="s">
        <v>14726</v>
      </c>
    </row>
    <row r="925" spans="1:7" ht="21" x14ac:dyDescent="0.25">
      <c r="A925" s="2" t="str">
        <f>HYPERLINK("https://rth.dk/resources/bsgatlas/details.php?id=BSGatlas-TSS-924","BSGatlas-TSS-924")</f>
        <v>BSGatlas-TSS-924</v>
      </c>
      <c r="B925" s="3">
        <v>1181437</v>
      </c>
      <c r="C925" s="1" t="s">
        <v>9</v>
      </c>
      <c r="D925" s="1">
        <v>22</v>
      </c>
      <c r="E925" s="1" t="s">
        <v>14722</v>
      </c>
      <c r="F925" s="6"/>
      <c r="G925" s="1" t="s">
        <v>14726</v>
      </c>
    </row>
    <row r="926" spans="1:7" ht="21" x14ac:dyDescent="0.25">
      <c r="A926" s="2" t="str">
        <f>HYPERLINK("https://rth.dk/resources/bsgatlas/details.php?id=BSGatlas-TSS-925","BSGatlas-TSS-925")</f>
        <v>BSGatlas-TSS-925</v>
      </c>
      <c r="B926" s="3">
        <v>1181442</v>
      </c>
      <c r="C926" s="1" t="s">
        <v>13</v>
      </c>
      <c r="D926" s="1">
        <v>22</v>
      </c>
      <c r="E926" s="1" t="s">
        <v>14722</v>
      </c>
      <c r="F926" s="6"/>
      <c r="G926" s="1" t="s">
        <v>14726</v>
      </c>
    </row>
    <row r="927" spans="1:7" ht="21" x14ac:dyDescent="0.25">
      <c r="A927" s="2" t="str">
        <f>HYPERLINK("https://rth.dk/resources/bsgatlas/details.php?id=BSGatlas-TSS-926","BSGatlas-TSS-926")</f>
        <v>BSGatlas-TSS-926</v>
      </c>
      <c r="B927" s="3">
        <v>1183116</v>
      </c>
      <c r="C927" s="1" t="s">
        <v>13</v>
      </c>
      <c r="D927" s="1">
        <v>22</v>
      </c>
      <c r="E927" s="1" t="s">
        <v>14722</v>
      </c>
      <c r="F927" s="6"/>
      <c r="G927" s="1" t="s">
        <v>14726</v>
      </c>
    </row>
    <row r="928" spans="1:7" ht="21" x14ac:dyDescent="0.25">
      <c r="A928" s="2" t="str">
        <f>HYPERLINK("https://rth.dk/resources/bsgatlas/details.php?id=BSGatlas-TSS-927","BSGatlas-TSS-927")</f>
        <v>BSGatlas-TSS-927</v>
      </c>
      <c r="B928" s="3">
        <v>1184529</v>
      </c>
      <c r="C928" s="1" t="s">
        <v>13</v>
      </c>
      <c r="D928" s="1">
        <v>22</v>
      </c>
      <c r="E928" s="1" t="s">
        <v>14722</v>
      </c>
      <c r="F928" s="6"/>
      <c r="G928" s="1" t="s">
        <v>14726</v>
      </c>
    </row>
    <row r="929" spans="1:7" ht="21" x14ac:dyDescent="0.25">
      <c r="A929" s="2" t="str">
        <f>HYPERLINK("https://rth.dk/resources/bsgatlas/details.php?id=BSGatlas-TSS-928","BSGatlas-TSS-928")</f>
        <v>BSGatlas-TSS-928</v>
      </c>
      <c r="B929" s="3">
        <v>1184645</v>
      </c>
      <c r="C929" s="1" t="s">
        <v>9</v>
      </c>
      <c r="D929" s="1">
        <v>22</v>
      </c>
      <c r="E929" s="1" t="s">
        <v>14722</v>
      </c>
      <c r="F929" s="6"/>
      <c r="G929" s="1" t="s">
        <v>14726</v>
      </c>
    </row>
    <row r="930" spans="1:7" ht="21" x14ac:dyDescent="0.25">
      <c r="A930" s="2" t="str">
        <f>HYPERLINK("https://rth.dk/resources/bsgatlas/details.php?id=BSGatlas-TSS-929","BSGatlas-TSS-929")</f>
        <v>BSGatlas-TSS-929</v>
      </c>
      <c r="B930" s="3">
        <v>1188127</v>
      </c>
      <c r="C930" s="1" t="s">
        <v>9</v>
      </c>
      <c r="D930" s="1">
        <v>22</v>
      </c>
      <c r="E930" s="1" t="s">
        <v>14722</v>
      </c>
      <c r="F930" s="6"/>
      <c r="G930" s="1" t="s">
        <v>14733</v>
      </c>
    </row>
    <row r="931" spans="1:7" ht="21" x14ac:dyDescent="0.25">
      <c r="A931" s="2" t="str">
        <f>HYPERLINK("https://rth.dk/resources/bsgatlas/details.php?id=BSGatlas-TSS-930","BSGatlas-TSS-930")</f>
        <v>BSGatlas-TSS-930</v>
      </c>
      <c r="B931" s="3">
        <v>1188615</v>
      </c>
      <c r="C931" s="1" t="s">
        <v>13</v>
      </c>
      <c r="D931" s="1">
        <v>22</v>
      </c>
      <c r="E931" s="1" t="s">
        <v>14722</v>
      </c>
      <c r="F931" s="6"/>
      <c r="G931" s="1" t="s">
        <v>14726</v>
      </c>
    </row>
    <row r="932" spans="1:7" ht="21" x14ac:dyDescent="0.25">
      <c r="A932" s="2" t="str">
        <f>HYPERLINK("https://rth.dk/resources/bsgatlas/details.php?id=BSGatlas-TSS-931","BSGatlas-TSS-931")</f>
        <v>BSGatlas-TSS-931</v>
      </c>
      <c r="B932" s="3">
        <v>1188652</v>
      </c>
      <c r="C932" s="1" t="s">
        <v>9</v>
      </c>
      <c r="D932" s="1">
        <v>22</v>
      </c>
      <c r="E932" s="1" t="s">
        <v>14734</v>
      </c>
      <c r="F932" s="6"/>
      <c r="G932" s="1" t="s">
        <v>14726</v>
      </c>
    </row>
    <row r="933" spans="1:7" ht="21" x14ac:dyDescent="0.25">
      <c r="A933" s="2" t="str">
        <f>HYPERLINK("https://rth.dk/resources/bsgatlas/details.php?id=BSGatlas-TSS-932","BSGatlas-TSS-932")</f>
        <v>BSGatlas-TSS-932</v>
      </c>
      <c r="B933" s="3">
        <v>1189063</v>
      </c>
      <c r="C933" s="1" t="s">
        <v>9</v>
      </c>
      <c r="D933" s="1">
        <v>0</v>
      </c>
      <c r="E933" s="1" t="s">
        <v>14720</v>
      </c>
      <c r="F933" s="6">
        <v>8226659</v>
      </c>
      <c r="G933" s="1" t="s">
        <v>4684</v>
      </c>
    </row>
    <row r="934" spans="1:7" ht="21" x14ac:dyDescent="0.25">
      <c r="A934" s="2" t="str">
        <f>HYPERLINK("https://rth.dk/resources/bsgatlas/details.php?id=BSGatlas-TSS-933","BSGatlas-TSS-933")</f>
        <v>BSGatlas-TSS-933</v>
      </c>
      <c r="B934" s="3">
        <v>1189203</v>
      </c>
      <c r="C934" s="1" t="s">
        <v>9</v>
      </c>
      <c r="D934" s="1">
        <v>22</v>
      </c>
      <c r="E934" s="1" t="s">
        <v>14745</v>
      </c>
      <c r="F934" s="6"/>
      <c r="G934" s="1" t="s">
        <v>14726</v>
      </c>
    </row>
    <row r="935" spans="1:7" ht="21" x14ac:dyDescent="0.25">
      <c r="A935" s="2" t="str">
        <f>HYPERLINK("https://rth.dk/resources/bsgatlas/details.php?id=BSGatlas-TSS-934","BSGatlas-TSS-934")</f>
        <v>BSGatlas-TSS-934</v>
      </c>
      <c r="B935" s="3">
        <v>1190430</v>
      </c>
      <c r="C935" s="1" t="s">
        <v>13</v>
      </c>
      <c r="D935" s="1">
        <v>22</v>
      </c>
      <c r="E935" s="1" t="s">
        <v>14732</v>
      </c>
      <c r="F935" s="6"/>
      <c r="G935" s="1" t="s">
        <v>14733</v>
      </c>
    </row>
    <row r="936" spans="1:7" ht="21" x14ac:dyDescent="0.25">
      <c r="A936" s="2" t="str">
        <f>HYPERLINK("https://rth.dk/resources/bsgatlas/details.php?id=BSGatlas-TSS-935","BSGatlas-TSS-935")</f>
        <v>BSGatlas-TSS-935</v>
      </c>
      <c r="B936" s="3">
        <v>1191360</v>
      </c>
      <c r="C936" s="1" t="s">
        <v>13</v>
      </c>
      <c r="D936" s="1">
        <v>22</v>
      </c>
      <c r="E936" s="1" t="s">
        <v>14722</v>
      </c>
      <c r="F936" s="6"/>
      <c r="G936" s="1" t="s">
        <v>14726</v>
      </c>
    </row>
    <row r="937" spans="1:7" ht="21" x14ac:dyDescent="0.25">
      <c r="A937" s="2" t="str">
        <f>HYPERLINK("https://rth.dk/resources/bsgatlas/details.php?id=BSGatlas-TSS-936","BSGatlas-TSS-936")</f>
        <v>BSGatlas-TSS-936</v>
      </c>
      <c r="B937" s="3">
        <v>1191381</v>
      </c>
      <c r="C937" s="1" t="s">
        <v>9</v>
      </c>
      <c r="D937" s="1">
        <v>22</v>
      </c>
      <c r="E937" s="1" t="s">
        <v>14722</v>
      </c>
      <c r="F937" s="6"/>
      <c r="G937" s="1" t="s">
        <v>14726</v>
      </c>
    </row>
    <row r="938" spans="1:7" ht="21" x14ac:dyDescent="0.25">
      <c r="A938" s="2" t="str">
        <f>HYPERLINK("https://rth.dk/resources/bsgatlas/details.php?id=BSGatlas-TSS-937","BSGatlas-TSS-937")</f>
        <v>BSGatlas-TSS-937</v>
      </c>
      <c r="B938" s="3">
        <v>1192219</v>
      </c>
      <c r="C938" s="1" t="s">
        <v>9</v>
      </c>
      <c r="D938" s="1">
        <v>22</v>
      </c>
      <c r="E938" s="1" t="s">
        <v>14722</v>
      </c>
      <c r="F938" s="6"/>
      <c r="G938" s="1" t="s">
        <v>14726</v>
      </c>
    </row>
    <row r="939" spans="1:7" ht="21" x14ac:dyDescent="0.25">
      <c r="A939" s="2" t="str">
        <f>HYPERLINK("https://rth.dk/resources/bsgatlas/details.php?id=BSGatlas-TSS-938","BSGatlas-TSS-938")</f>
        <v>BSGatlas-TSS-938</v>
      </c>
      <c r="B939" s="3">
        <v>1194971</v>
      </c>
      <c r="C939" s="1" t="s">
        <v>9</v>
      </c>
      <c r="D939" s="1">
        <v>22</v>
      </c>
      <c r="E939" s="1" t="s">
        <v>14722</v>
      </c>
      <c r="F939" s="6"/>
      <c r="G939" s="1" t="s">
        <v>14726</v>
      </c>
    </row>
    <row r="940" spans="1:7" ht="21" x14ac:dyDescent="0.25">
      <c r="A940" s="2" t="str">
        <f>HYPERLINK("https://rth.dk/resources/bsgatlas/details.php?id=BSGatlas-TSS-939","BSGatlas-TSS-939")</f>
        <v>BSGatlas-TSS-939</v>
      </c>
      <c r="B940" s="3">
        <v>1195002</v>
      </c>
      <c r="C940" s="1" t="s">
        <v>9</v>
      </c>
      <c r="D940" s="1">
        <v>0</v>
      </c>
      <c r="E940" s="1" t="s">
        <v>14722</v>
      </c>
      <c r="F940" s="6" t="s">
        <v>14873</v>
      </c>
      <c r="G940" s="1" t="s">
        <v>4382</v>
      </c>
    </row>
    <row r="941" spans="1:7" ht="21" x14ac:dyDescent="0.25">
      <c r="A941" s="2" t="str">
        <f>HYPERLINK("https://rth.dk/resources/bsgatlas/details.php?id=BSGatlas-TSS-940","BSGatlas-TSS-940")</f>
        <v>BSGatlas-TSS-940</v>
      </c>
      <c r="B941" s="3">
        <v>1200232</v>
      </c>
      <c r="C941" s="1" t="s">
        <v>13</v>
      </c>
      <c r="D941" s="1">
        <v>22</v>
      </c>
      <c r="E941" s="1" t="s">
        <v>14722</v>
      </c>
      <c r="F941" s="6"/>
      <c r="G941" s="1" t="s">
        <v>14726</v>
      </c>
    </row>
    <row r="942" spans="1:7" ht="21" x14ac:dyDescent="0.25">
      <c r="A942" s="2" t="str">
        <f>HYPERLINK("https://rth.dk/resources/bsgatlas/details.php?id=BSGatlas-TSS-941","BSGatlas-TSS-941")</f>
        <v>BSGatlas-TSS-941</v>
      </c>
      <c r="B942" s="3">
        <v>1204490</v>
      </c>
      <c r="C942" s="1" t="s">
        <v>9</v>
      </c>
      <c r="D942" s="1">
        <v>22</v>
      </c>
      <c r="E942" s="1" t="s">
        <v>14732</v>
      </c>
      <c r="F942" s="6"/>
      <c r="G942" s="1" t="s">
        <v>14726</v>
      </c>
    </row>
    <row r="943" spans="1:7" ht="21" x14ac:dyDescent="0.25">
      <c r="A943" s="2" t="str">
        <f>HYPERLINK("https://rth.dk/resources/bsgatlas/details.php?id=BSGatlas-TSS-942","BSGatlas-TSS-942")</f>
        <v>BSGatlas-TSS-942</v>
      </c>
      <c r="B943" s="3">
        <v>1204962</v>
      </c>
      <c r="C943" s="1" t="s">
        <v>13</v>
      </c>
      <c r="D943" s="1">
        <v>22</v>
      </c>
      <c r="E943" s="1" t="s">
        <v>14722</v>
      </c>
      <c r="F943" s="6"/>
      <c r="G943" s="1" t="s">
        <v>14726</v>
      </c>
    </row>
    <row r="944" spans="1:7" ht="21" x14ac:dyDescent="0.25">
      <c r="A944" s="2" t="str">
        <f>HYPERLINK("https://rth.dk/resources/bsgatlas/details.php?id=BSGatlas-TSS-943","BSGatlas-TSS-943")</f>
        <v>BSGatlas-TSS-943</v>
      </c>
      <c r="B944" s="3">
        <v>1205040</v>
      </c>
      <c r="C944" s="1" t="s">
        <v>9</v>
      </c>
      <c r="D944" s="1">
        <v>22</v>
      </c>
      <c r="E944" s="1" t="s">
        <v>14722</v>
      </c>
      <c r="F944" s="6"/>
      <c r="G944" s="1" t="s">
        <v>14726</v>
      </c>
    </row>
    <row r="945" spans="1:7" ht="21" x14ac:dyDescent="0.25">
      <c r="A945" s="2" t="str">
        <f>HYPERLINK("https://rth.dk/resources/bsgatlas/details.php?id=BSGatlas-TSS-944","BSGatlas-TSS-944")</f>
        <v>BSGatlas-TSS-944</v>
      </c>
      <c r="B945" s="3">
        <v>1205106</v>
      </c>
      <c r="C945" s="1" t="s">
        <v>9</v>
      </c>
      <c r="D945" s="1">
        <v>22</v>
      </c>
      <c r="E945" s="1" t="s">
        <v>14725</v>
      </c>
      <c r="F945" s="6"/>
      <c r="G945" s="1" t="s">
        <v>14726</v>
      </c>
    </row>
    <row r="946" spans="1:7" ht="21" x14ac:dyDescent="0.25">
      <c r="A946" s="2" t="str">
        <f>HYPERLINK("https://rth.dk/resources/bsgatlas/details.php?id=BSGatlas-TSS-945","BSGatlas-TSS-945")</f>
        <v>BSGatlas-TSS-945</v>
      </c>
      <c r="B946" s="3">
        <v>1205898</v>
      </c>
      <c r="C946" s="1" t="s">
        <v>9</v>
      </c>
      <c r="D946" s="1">
        <v>22</v>
      </c>
      <c r="E946" s="1" t="s">
        <v>14727</v>
      </c>
      <c r="F946" s="6"/>
      <c r="G946" s="1" t="s">
        <v>14726</v>
      </c>
    </row>
    <row r="947" spans="1:7" ht="21" x14ac:dyDescent="0.25">
      <c r="A947" s="2" t="str">
        <f>HYPERLINK("https://rth.dk/resources/bsgatlas/details.php?id=BSGatlas-TSS-946","BSGatlas-TSS-946")</f>
        <v>BSGatlas-TSS-946</v>
      </c>
      <c r="B947" s="3">
        <v>1206260</v>
      </c>
      <c r="C947" s="1" t="s">
        <v>13</v>
      </c>
      <c r="D947" s="1">
        <v>22</v>
      </c>
      <c r="E947" s="1" t="s">
        <v>14720</v>
      </c>
      <c r="F947" s="6"/>
      <c r="G947" s="1" t="s">
        <v>14726</v>
      </c>
    </row>
    <row r="948" spans="1:7" ht="21" x14ac:dyDescent="0.25">
      <c r="A948" s="2" t="str">
        <f>HYPERLINK("https://rth.dk/resources/bsgatlas/details.php?id=BSGatlas-TSS-947","BSGatlas-TSS-947")</f>
        <v>BSGatlas-TSS-947</v>
      </c>
      <c r="B948" s="3">
        <v>1206538</v>
      </c>
      <c r="C948" s="1" t="s">
        <v>9</v>
      </c>
      <c r="D948" s="1">
        <v>0</v>
      </c>
      <c r="E948" s="1" t="s">
        <v>14722</v>
      </c>
      <c r="F948" s="6" t="s">
        <v>14874</v>
      </c>
      <c r="G948" s="1" t="s">
        <v>4382</v>
      </c>
    </row>
    <row r="949" spans="1:7" ht="21" x14ac:dyDescent="0.25">
      <c r="A949" s="2" t="str">
        <f>HYPERLINK("https://rth.dk/resources/bsgatlas/details.php?id=BSGatlas-TSS-948","BSGatlas-TSS-948")</f>
        <v>BSGatlas-TSS-948</v>
      </c>
      <c r="B949" s="3">
        <v>1206544</v>
      </c>
      <c r="C949" s="1" t="s">
        <v>9</v>
      </c>
      <c r="D949" s="1">
        <v>0</v>
      </c>
      <c r="E949" s="1" t="s">
        <v>14722</v>
      </c>
      <c r="F949" s="6" t="s">
        <v>14874</v>
      </c>
      <c r="G949" s="1" t="s">
        <v>4382</v>
      </c>
    </row>
    <row r="950" spans="1:7" ht="21" x14ac:dyDescent="0.25">
      <c r="A950" s="2" t="str">
        <f>HYPERLINK("https://rth.dk/resources/bsgatlas/details.php?id=BSGatlas-TSS-949","BSGatlas-TSS-949")</f>
        <v>BSGatlas-TSS-949</v>
      </c>
      <c r="B950" s="3">
        <v>1206579</v>
      </c>
      <c r="C950" s="1" t="s">
        <v>9</v>
      </c>
      <c r="D950" s="1">
        <v>22</v>
      </c>
      <c r="E950" s="1" t="s">
        <v>14722</v>
      </c>
      <c r="F950" s="6"/>
      <c r="G950" s="1" t="s">
        <v>14726</v>
      </c>
    </row>
    <row r="951" spans="1:7" ht="21" x14ac:dyDescent="0.25">
      <c r="A951" s="2" t="str">
        <f>HYPERLINK("https://rth.dk/resources/bsgatlas/details.php?id=BSGatlas-TSS-950","BSGatlas-TSS-950")</f>
        <v>BSGatlas-TSS-950</v>
      </c>
      <c r="B951" s="3">
        <v>1207279</v>
      </c>
      <c r="C951" s="1" t="s">
        <v>9</v>
      </c>
      <c r="D951" s="1">
        <v>22</v>
      </c>
      <c r="E951" s="1" t="s">
        <v>14722</v>
      </c>
      <c r="F951" s="6"/>
      <c r="G951" s="1" t="s">
        <v>14726</v>
      </c>
    </row>
    <row r="952" spans="1:7" ht="21" x14ac:dyDescent="0.25">
      <c r="A952" s="2" t="str">
        <f>HYPERLINK("https://rth.dk/resources/bsgatlas/details.php?id=BSGatlas-TSS-951","BSGatlas-TSS-951")</f>
        <v>BSGatlas-TSS-951</v>
      </c>
      <c r="B952" s="3">
        <v>1208091</v>
      </c>
      <c r="C952" s="1" t="s">
        <v>13</v>
      </c>
      <c r="D952" s="1">
        <v>22</v>
      </c>
      <c r="E952" s="1" t="s">
        <v>14725</v>
      </c>
      <c r="F952" s="6"/>
      <c r="G952" s="1" t="s">
        <v>14726</v>
      </c>
    </row>
    <row r="953" spans="1:7" ht="21" x14ac:dyDescent="0.25">
      <c r="A953" s="2" t="str">
        <f>HYPERLINK("https://rth.dk/resources/bsgatlas/details.php?id=BSGatlas-TSS-952","BSGatlas-TSS-952")</f>
        <v>BSGatlas-TSS-952</v>
      </c>
      <c r="B953" s="3">
        <v>1208154</v>
      </c>
      <c r="C953" s="1" t="s">
        <v>9</v>
      </c>
      <c r="D953" s="1">
        <v>0</v>
      </c>
      <c r="E953" s="1" t="s">
        <v>14722</v>
      </c>
      <c r="F953" s="6" t="s">
        <v>14875</v>
      </c>
      <c r="G953" s="1" t="s">
        <v>14729</v>
      </c>
    </row>
    <row r="954" spans="1:7" ht="21" x14ac:dyDescent="0.25">
      <c r="A954" s="2" t="str">
        <f>HYPERLINK("https://rth.dk/resources/bsgatlas/details.php?id=BSGatlas-TSS-953","BSGatlas-TSS-953")</f>
        <v>BSGatlas-TSS-953</v>
      </c>
      <c r="B954" s="3">
        <v>1208317</v>
      </c>
      <c r="C954" s="1" t="s">
        <v>9</v>
      </c>
      <c r="D954" s="1">
        <v>22</v>
      </c>
      <c r="E954" s="1" t="s">
        <v>14739</v>
      </c>
      <c r="F954" s="6"/>
      <c r="G954" s="1" t="s">
        <v>14726</v>
      </c>
    </row>
    <row r="955" spans="1:7" ht="21" x14ac:dyDescent="0.25">
      <c r="A955" s="2" t="str">
        <f>HYPERLINK("https://rth.dk/resources/bsgatlas/details.php?id=BSGatlas-TSS-954","BSGatlas-TSS-954")</f>
        <v>BSGatlas-TSS-954</v>
      </c>
      <c r="B955" s="3">
        <v>1209405</v>
      </c>
      <c r="C955" s="1" t="s">
        <v>13</v>
      </c>
      <c r="D955" s="1">
        <v>22</v>
      </c>
      <c r="E955" s="1" t="s">
        <v>14727</v>
      </c>
      <c r="F955" s="6"/>
      <c r="G955" s="1" t="s">
        <v>14726</v>
      </c>
    </row>
    <row r="956" spans="1:7" ht="21" x14ac:dyDescent="0.25">
      <c r="A956" s="2" t="str">
        <f>HYPERLINK("https://rth.dk/resources/bsgatlas/details.php?id=BSGatlas-TSS-955","BSGatlas-TSS-955")</f>
        <v>BSGatlas-TSS-955</v>
      </c>
      <c r="B956" s="3">
        <v>1210473</v>
      </c>
      <c r="C956" s="1" t="s">
        <v>9</v>
      </c>
      <c r="D956" s="1">
        <v>22</v>
      </c>
      <c r="E956" s="1" t="s">
        <v>14725</v>
      </c>
      <c r="F956" s="6"/>
      <c r="G956" s="1" t="s">
        <v>14726</v>
      </c>
    </row>
    <row r="957" spans="1:7" ht="21" x14ac:dyDescent="0.25">
      <c r="A957" s="2" t="str">
        <f>HYPERLINK("https://rth.dk/resources/bsgatlas/details.php?id=BSGatlas-TSS-956","BSGatlas-TSS-956")</f>
        <v>BSGatlas-TSS-956</v>
      </c>
      <c r="B957" s="3">
        <v>1210517</v>
      </c>
      <c r="C957" s="1" t="s">
        <v>9</v>
      </c>
      <c r="D957" s="1">
        <v>22</v>
      </c>
      <c r="E957" s="1" t="s">
        <v>14745</v>
      </c>
      <c r="F957" s="6"/>
      <c r="G957" s="1" t="s">
        <v>14726</v>
      </c>
    </row>
    <row r="958" spans="1:7" ht="21" x14ac:dyDescent="0.25">
      <c r="A958" s="2" t="str">
        <f>HYPERLINK("https://rth.dk/resources/bsgatlas/details.php?id=BSGatlas-TSS-957","BSGatlas-TSS-957")</f>
        <v>BSGatlas-TSS-957</v>
      </c>
      <c r="B958" s="3">
        <v>1211319</v>
      </c>
      <c r="C958" s="1" t="s">
        <v>13</v>
      </c>
      <c r="D958" s="1">
        <v>22</v>
      </c>
      <c r="E958" s="1" t="s">
        <v>14727</v>
      </c>
      <c r="F958" s="6"/>
      <c r="G958" s="1" t="s">
        <v>14726</v>
      </c>
    </row>
    <row r="959" spans="1:7" ht="21" x14ac:dyDescent="0.25">
      <c r="A959" s="2" t="str">
        <f>HYPERLINK("https://rth.dk/resources/bsgatlas/details.php?id=BSGatlas-TSS-958","BSGatlas-TSS-958")</f>
        <v>BSGatlas-TSS-958</v>
      </c>
      <c r="B959" s="3">
        <v>1211372</v>
      </c>
      <c r="C959" s="1" t="s">
        <v>9</v>
      </c>
      <c r="D959" s="1">
        <v>22</v>
      </c>
      <c r="E959" s="1" t="s">
        <v>14722</v>
      </c>
      <c r="F959" s="6"/>
      <c r="G959" s="1" t="s">
        <v>14733</v>
      </c>
    </row>
    <row r="960" spans="1:7" ht="21" x14ac:dyDescent="0.25">
      <c r="A960" s="2" t="str">
        <f>HYPERLINK("https://rth.dk/resources/bsgatlas/details.php?id=BSGatlas-TSS-959","BSGatlas-TSS-959")</f>
        <v>BSGatlas-TSS-959</v>
      </c>
      <c r="B960" s="3">
        <v>1213460</v>
      </c>
      <c r="C960" s="1" t="s">
        <v>9</v>
      </c>
      <c r="D960" s="1">
        <v>22</v>
      </c>
      <c r="E960" s="1" t="s">
        <v>14720</v>
      </c>
      <c r="F960" s="6"/>
      <c r="G960" s="1" t="s">
        <v>14733</v>
      </c>
    </row>
    <row r="961" spans="1:7" ht="21" x14ac:dyDescent="0.25">
      <c r="A961" s="2" t="str">
        <f>HYPERLINK("https://rth.dk/resources/bsgatlas/details.php?id=BSGatlas-TSS-960","BSGatlas-TSS-960")</f>
        <v>BSGatlas-TSS-960</v>
      </c>
      <c r="B961" s="3">
        <v>1217289</v>
      </c>
      <c r="C961" s="1" t="s">
        <v>9</v>
      </c>
      <c r="D961" s="1">
        <v>22</v>
      </c>
      <c r="E961" s="1" t="s">
        <v>14727</v>
      </c>
      <c r="F961" s="6"/>
      <c r="G961" s="1" t="s">
        <v>14726</v>
      </c>
    </row>
    <row r="962" spans="1:7" ht="21" x14ac:dyDescent="0.25">
      <c r="A962" s="2" t="str">
        <f>HYPERLINK("https://rth.dk/resources/bsgatlas/details.php?id=BSGatlas-TSS-961","BSGatlas-TSS-961")</f>
        <v>BSGatlas-TSS-961</v>
      </c>
      <c r="B962" s="3">
        <v>1219410</v>
      </c>
      <c r="C962" s="1" t="s">
        <v>13</v>
      </c>
      <c r="D962" s="1">
        <v>22</v>
      </c>
      <c r="E962" s="1" t="s">
        <v>14722</v>
      </c>
      <c r="F962" s="6"/>
      <c r="G962" s="1" t="s">
        <v>14726</v>
      </c>
    </row>
    <row r="963" spans="1:7" ht="21" x14ac:dyDescent="0.25">
      <c r="A963" s="2" t="str">
        <f>HYPERLINK("https://rth.dk/resources/bsgatlas/details.php?id=BSGatlas-TSS-962","BSGatlas-TSS-962")</f>
        <v>BSGatlas-TSS-962</v>
      </c>
      <c r="B963" s="3">
        <v>1219687</v>
      </c>
      <c r="C963" s="1" t="s">
        <v>9</v>
      </c>
      <c r="D963" s="1">
        <v>22</v>
      </c>
      <c r="E963" s="1" t="s">
        <v>14722</v>
      </c>
      <c r="F963" s="6"/>
      <c r="G963" s="1" t="s">
        <v>14733</v>
      </c>
    </row>
    <row r="964" spans="1:7" ht="21" x14ac:dyDescent="0.25">
      <c r="A964" s="2" t="str">
        <f>HYPERLINK("https://rth.dk/resources/bsgatlas/details.php?id=BSGatlas-TSS-963","BSGatlas-TSS-963")</f>
        <v>BSGatlas-TSS-963</v>
      </c>
      <c r="B964" s="3">
        <v>1221654</v>
      </c>
      <c r="C964" s="1" t="s">
        <v>13</v>
      </c>
      <c r="D964" s="1">
        <v>22</v>
      </c>
      <c r="E964" s="1" t="s">
        <v>14722</v>
      </c>
      <c r="F964" s="6"/>
      <c r="G964" s="1" t="s">
        <v>14726</v>
      </c>
    </row>
    <row r="965" spans="1:7" ht="21" x14ac:dyDescent="0.25">
      <c r="A965" s="2" t="str">
        <f>HYPERLINK("https://rth.dk/resources/bsgatlas/details.php?id=BSGatlas-TSS-964","BSGatlas-TSS-964")</f>
        <v>BSGatlas-TSS-964</v>
      </c>
      <c r="B965" s="3">
        <v>1225516</v>
      </c>
      <c r="C965" s="1" t="s">
        <v>9</v>
      </c>
      <c r="D965" s="1">
        <v>22</v>
      </c>
      <c r="E965" s="1" t="s">
        <v>14722</v>
      </c>
      <c r="F965" s="6"/>
      <c r="G965" s="1" t="s">
        <v>14726</v>
      </c>
    </row>
    <row r="966" spans="1:7" ht="21" x14ac:dyDescent="0.25">
      <c r="A966" s="2" t="str">
        <f>HYPERLINK("https://rth.dk/resources/bsgatlas/details.php?id=BSGatlas-TSS-965","BSGatlas-TSS-965")</f>
        <v>BSGatlas-TSS-965</v>
      </c>
      <c r="B966" s="3">
        <v>1226830</v>
      </c>
      <c r="C966" s="1" t="s">
        <v>9</v>
      </c>
      <c r="D966" s="1">
        <v>0</v>
      </c>
      <c r="E966" s="1" t="s">
        <v>14720</v>
      </c>
      <c r="F966" s="6">
        <v>10913081</v>
      </c>
      <c r="G966" s="1" t="s">
        <v>14876</v>
      </c>
    </row>
    <row r="967" spans="1:7" ht="21" x14ac:dyDescent="0.25">
      <c r="A967" s="2" t="str">
        <f>HYPERLINK("https://rth.dk/resources/bsgatlas/details.php?id=BSGatlas-TSS-966","BSGatlas-TSS-966")</f>
        <v>BSGatlas-TSS-966</v>
      </c>
      <c r="B967" s="3">
        <v>1226862</v>
      </c>
      <c r="C967" s="1" t="s">
        <v>9</v>
      </c>
      <c r="D967" s="1">
        <v>0</v>
      </c>
      <c r="E967" s="1" t="s">
        <v>14753</v>
      </c>
      <c r="F967" s="6" t="s">
        <v>14877</v>
      </c>
      <c r="G967" s="1" t="s">
        <v>14724</v>
      </c>
    </row>
    <row r="968" spans="1:7" ht="21" x14ac:dyDescent="0.25">
      <c r="A968" s="2" t="str">
        <f>HYPERLINK("https://rth.dk/resources/bsgatlas/details.php?id=BSGatlas-TSS-967","BSGatlas-TSS-967")</f>
        <v>BSGatlas-TSS-967</v>
      </c>
      <c r="B968" s="3">
        <v>1226906</v>
      </c>
      <c r="C968" s="1" t="s">
        <v>9</v>
      </c>
      <c r="D968" s="1">
        <v>0</v>
      </c>
      <c r="E968" s="1" t="s">
        <v>14734</v>
      </c>
      <c r="F968" s="6" t="s">
        <v>14878</v>
      </c>
      <c r="G968" s="1" t="s">
        <v>4684</v>
      </c>
    </row>
    <row r="969" spans="1:7" ht="21" x14ac:dyDescent="0.25">
      <c r="A969" s="2" t="str">
        <f>HYPERLINK("https://rth.dk/resources/bsgatlas/details.php?id=BSGatlas-TSS-968","BSGatlas-TSS-968")</f>
        <v>BSGatlas-TSS-968</v>
      </c>
      <c r="B969" s="3">
        <v>1227572</v>
      </c>
      <c r="C969" s="1" t="s">
        <v>13</v>
      </c>
      <c r="D969" s="1">
        <v>22</v>
      </c>
      <c r="E969" s="1" t="s">
        <v>14722</v>
      </c>
      <c r="F969" s="6"/>
      <c r="G969" s="1" t="s">
        <v>14726</v>
      </c>
    </row>
    <row r="970" spans="1:7" ht="21" x14ac:dyDescent="0.25">
      <c r="A970" s="2" t="str">
        <f>HYPERLINK("https://rth.dk/resources/bsgatlas/details.php?id=BSGatlas-TSS-969","BSGatlas-TSS-969")</f>
        <v>BSGatlas-TSS-969</v>
      </c>
      <c r="B970" s="3">
        <v>1227574</v>
      </c>
      <c r="C970" s="1" t="s">
        <v>9</v>
      </c>
      <c r="D970" s="1">
        <v>0</v>
      </c>
      <c r="E970" s="1" t="s">
        <v>14859</v>
      </c>
      <c r="F970" s="6" t="s">
        <v>14879</v>
      </c>
      <c r="G970" s="1" t="s">
        <v>4684</v>
      </c>
    </row>
    <row r="971" spans="1:7" ht="21" x14ac:dyDescent="0.25">
      <c r="A971" s="2" t="str">
        <f>HYPERLINK("https://rth.dk/resources/bsgatlas/details.php?id=BSGatlas-TSS-970","BSGatlas-TSS-970")</f>
        <v>BSGatlas-TSS-970</v>
      </c>
      <c r="B971" s="3">
        <v>1227619</v>
      </c>
      <c r="C971" s="1" t="s">
        <v>9</v>
      </c>
      <c r="D971" s="1">
        <v>0</v>
      </c>
      <c r="E971" s="1" t="s">
        <v>14722</v>
      </c>
      <c r="F971" s="6">
        <v>17158663</v>
      </c>
      <c r="G971" s="1" t="s">
        <v>14730</v>
      </c>
    </row>
    <row r="972" spans="1:7" ht="21" x14ac:dyDescent="0.25">
      <c r="A972" s="2" t="str">
        <f>HYPERLINK("https://rth.dk/resources/bsgatlas/details.php?id=BSGatlas-TSS-971","BSGatlas-TSS-971")</f>
        <v>BSGatlas-TSS-971</v>
      </c>
      <c r="B972" s="3">
        <v>1227968</v>
      </c>
      <c r="C972" s="1" t="s">
        <v>13</v>
      </c>
      <c r="D972" s="1">
        <v>22</v>
      </c>
      <c r="E972" s="1" t="s">
        <v>14720</v>
      </c>
      <c r="F972" s="6"/>
      <c r="G972" s="1" t="s">
        <v>14726</v>
      </c>
    </row>
    <row r="973" spans="1:7" ht="21" x14ac:dyDescent="0.25">
      <c r="A973" s="2" t="str">
        <f>HYPERLINK("https://rth.dk/resources/bsgatlas/details.php?id=BSGatlas-TSS-972","BSGatlas-TSS-972")</f>
        <v>BSGatlas-TSS-972</v>
      </c>
      <c r="B973" s="3">
        <v>1228836</v>
      </c>
      <c r="C973" s="1" t="s">
        <v>13</v>
      </c>
      <c r="D973" s="1">
        <v>22</v>
      </c>
      <c r="E973" s="1" t="s">
        <v>14727</v>
      </c>
      <c r="F973" s="6"/>
      <c r="G973" s="1" t="s">
        <v>14726</v>
      </c>
    </row>
    <row r="974" spans="1:7" ht="21" x14ac:dyDescent="0.25">
      <c r="A974" s="2" t="str">
        <f>HYPERLINK("https://rth.dk/resources/bsgatlas/details.php?id=BSGatlas-TSS-973","BSGatlas-TSS-973")</f>
        <v>BSGatlas-TSS-973</v>
      </c>
      <c r="B974" s="3">
        <v>1228926</v>
      </c>
      <c r="C974" s="1" t="s">
        <v>9</v>
      </c>
      <c r="D974" s="1">
        <v>22</v>
      </c>
      <c r="E974" s="1" t="s">
        <v>14722</v>
      </c>
      <c r="F974" s="6"/>
      <c r="G974" s="1" t="s">
        <v>14733</v>
      </c>
    </row>
    <row r="975" spans="1:7" ht="21" x14ac:dyDescent="0.25">
      <c r="A975" s="2" t="str">
        <f>HYPERLINK("https://rth.dk/resources/bsgatlas/details.php?id=BSGatlas-TSS-974","BSGatlas-TSS-974")</f>
        <v>BSGatlas-TSS-974</v>
      </c>
      <c r="B975" s="3">
        <v>1229015</v>
      </c>
      <c r="C975" s="1" t="s">
        <v>9</v>
      </c>
      <c r="D975" s="1">
        <v>0</v>
      </c>
      <c r="E975" s="1" t="s">
        <v>14722</v>
      </c>
      <c r="F975" s="6" t="s">
        <v>14880</v>
      </c>
      <c r="G975" s="1" t="s">
        <v>4382</v>
      </c>
    </row>
    <row r="976" spans="1:7" ht="21" x14ac:dyDescent="0.25">
      <c r="A976" s="2" t="str">
        <f>HYPERLINK("https://rth.dk/resources/bsgatlas/details.php?id=BSGatlas-TSS-975","BSGatlas-TSS-975")</f>
        <v>BSGatlas-TSS-975</v>
      </c>
      <c r="B976" s="3">
        <v>1229850</v>
      </c>
      <c r="C976" s="1" t="s">
        <v>9</v>
      </c>
      <c r="D976" s="1">
        <v>22</v>
      </c>
      <c r="E976" s="1" t="s">
        <v>14745</v>
      </c>
      <c r="F976" s="6"/>
      <c r="G976" s="1" t="s">
        <v>14733</v>
      </c>
    </row>
    <row r="977" spans="1:7" ht="21" x14ac:dyDescent="0.25">
      <c r="A977" s="2" t="str">
        <f>HYPERLINK("https://rth.dk/resources/bsgatlas/details.php?id=BSGatlas-TSS-976","BSGatlas-TSS-976")</f>
        <v>BSGatlas-TSS-976</v>
      </c>
      <c r="B977" s="3">
        <v>1230708</v>
      </c>
      <c r="C977" s="1" t="s">
        <v>9</v>
      </c>
      <c r="D977" s="1">
        <v>22</v>
      </c>
      <c r="E977" s="1" t="s">
        <v>14734</v>
      </c>
      <c r="F977" s="6"/>
      <c r="G977" s="1" t="s">
        <v>14726</v>
      </c>
    </row>
    <row r="978" spans="1:7" ht="21" x14ac:dyDescent="0.25">
      <c r="A978" s="2" t="str">
        <f>HYPERLINK("https://rth.dk/resources/bsgatlas/details.php?id=BSGatlas-TSS-977","BSGatlas-TSS-977")</f>
        <v>BSGatlas-TSS-977</v>
      </c>
      <c r="B978" s="3">
        <v>1230949</v>
      </c>
      <c r="C978" s="1" t="s">
        <v>9</v>
      </c>
      <c r="D978" s="1">
        <v>22</v>
      </c>
      <c r="E978" s="1" t="s">
        <v>14745</v>
      </c>
      <c r="F978" s="6"/>
      <c r="G978" s="1" t="s">
        <v>14726</v>
      </c>
    </row>
    <row r="979" spans="1:7" ht="21" x14ac:dyDescent="0.25">
      <c r="A979" s="2" t="str">
        <f>HYPERLINK("https://rth.dk/resources/bsgatlas/details.php?id=BSGatlas-TSS-978","BSGatlas-TSS-978")</f>
        <v>BSGatlas-TSS-978</v>
      </c>
      <c r="B979" s="3">
        <v>1231060</v>
      </c>
      <c r="C979" s="1" t="s">
        <v>9</v>
      </c>
      <c r="D979" s="1">
        <v>22</v>
      </c>
      <c r="E979" s="1" t="s">
        <v>14732</v>
      </c>
      <c r="F979" s="6"/>
      <c r="G979" s="1" t="s">
        <v>14726</v>
      </c>
    </row>
    <row r="980" spans="1:7" ht="21" x14ac:dyDescent="0.25">
      <c r="A980" s="2" t="str">
        <f>HYPERLINK("https://rth.dk/resources/bsgatlas/details.php?id=BSGatlas-TSS-979","BSGatlas-TSS-979")</f>
        <v>BSGatlas-TSS-979</v>
      </c>
      <c r="B980" s="3">
        <v>1231192</v>
      </c>
      <c r="C980" s="1" t="s">
        <v>9</v>
      </c>
      <c r="D980" s="1">
        <v>22</v>
      </c>
      <c r="E980" s="1" t="s">
        <v>14722</v>
      </c>
      <c r="F980" s="6"/>
      <c r="G980" s="1" t="s">
        <v>14726</v>
      </c>
    </row>
    <row r="981" spans="1:7" ht="21" x14ac:dyDescent="0.25">
      <c r="A981" s="2" t="str">
        <f>HYPERLINK("https://rth.dk/resources/bsgatlas/details.php?id=BSGatlas-TSS-980","BSGatlas-TSS-980")</f>
        <v>BSGatlas-TSS-980</v>
      </c>
      <c r="B981" s="3">
        <v>1233336</v>
      </c>
      <c r="C981" s="1" t="s">
        <v>13</v>
      </c>
      <c r="D981" s="1">
        <v>22</v>
      </c>
      <c r="E981" s="1" t="s">
        <v>14727</v>
      </c>
      <c r="F981" s="6"/>
      <c r="G981" s="1" t="s">
        <v>14726</v>
      </c>
    </row>
    <row r="982" spans="1:7" ht="21" x14ac:dyDescent="0.25">
      <c r="A982" s="2" t="str">
        <f>HYPERLINK("https://rth.dk/resources/bsgatlas/details.php?id=BSGatlas-TSS-981","BSGatlas-TSS-981")</f>
        <v>BSGatlas-TSS-981</v>
      </c>
      <c r="B982" s="3">
        <v>1233399</v>
      </c>
      <c r="C982" s="1" t="s">
        <v>9</v>
      </c>
      <c r="D982" s="1">
        <v>22</v>
      </c>
      <c r="E982" s="1" t="s">
        <v>14722</v>
      </c>
      <c r="F982" s="6"/>
      <c r="G982" s="1" t="s">
        <v>14726</v>
      </c>
    </row>
    <row r="983" spans="1:7" ht="21" x14ac:dyDescent="0.25">
      <c r="A983" s="2" t="str">
        <f>HYPERLINK("https://rth.dk/resources/bsgatlas/details.php?id=BSGatlas-TSS-982","BSGatlas-TSS-982")</f>
        <v>BSGatlas-TSS-982</v>
      </c>
      <c r="B983" s="3">
        <v>1233861</v>
      </c>
      <c r="C983" s="1" t="s">
        <v>9</v>
      </c>
      <c r="D983" s="1">
        <v>22</v>
      </c>
      <c r="E983" s="1" t="s">
        <v>14727</v>
      </c>
      <c r="F983" s="6"/>
      <c r="G983" s="1" t="s">
        <v>14726</v>
      </c>
    </row>
    <row r="984" spans="1:7" ht="21" x14ac:dyDescent="0.25">
      <c r="A984" s="2" t="str">
        <f>HYPERLINK("https://rth.dk/resources/bsgatlas/details.php?id=BSGatlas-TSS-983","BSGatlas-TSS-983")</f>
        <v>BSGatlas-TSS-983</v>
      </c>
      <c r="B984" s="3">
        <v>1235088</v>
      </c>
      <c r="C984" s="1" t="s">
        <v>13</v>
      </c>
      <c r="D984" s="1">
        <v>22</v>
      </c>
      <c r="E984" s="1" t="s">
        <v>14722</v>
      </c>
      <c r="F984" s="6"/>
      <c r="G984" s="1" t="s">
        <v>14733</v>
      </c>
    </row>
    <row r="985" spans="1:7" ht="21" x14ac:dyDescent="0.25">
      <c r="A985" s="2" t="str">
        <f>HYPERLINK("https://rth.dk/resources/bsgatlas/details.php?id=BSGatlas-TSS-984","BSGatlas-TSS-984")</f>
        <v>BSGatlas-TSS-984</v>
      </c>
      <c r="B985" s="3">
        <v>1236066</v>
      </c>
      <c r="C985" s="1" t="s">
        <v>13</v>
      </c>
      <c r="D985" s="1">
        <v>22</v>
      </c>
      <c r="E985" s="1" t="s">
        <v>14752</v>
      </c>
      <c r="F985" s="6"/>
      <c r="G985" s="1" t="s">
        <v>14726</v>
      </c>
    </row>
    <row r="986" spans="1:7" ht="21" x14ac:dyDescent="0.25">
      <c r="A986" s="2" t="str">
        <f>HYPERLINK("https://rth.dk/resources/bsgatlas/details.php?id=BSGatlas-TSS-985","BSGatlas-TSS-985")</f>
        <v>BSGatlas-TSS-985</v>
      </c>
      <c r="B986" s="3">
        <v>1236530</v>
      </c>
      <c r="C986" s="1" t="s">
        <v>13</v>
      </c>
      <c r="D986" s="1">
        <v>22</v>
      </c>
      <c r="E986" s="1" t="s">
        <v>14722</v>
      </c>
      <c r="F986" s="6"/>
      <c r="G986" s="1" t="s">
        <v>14726</v>
      </c>
    </row>
    <row r="987" spans="1:7" ht="21" x14ac:dyDescent="0.25">
      <c r="A987" s="2" t="str">
        <f>HYPERLINK("https://rth.dk/resources/bsgatlas/details.php?id=BSGatlas-TSS-986","BSGatlas-TSS-986")</f>
        <v>BSGatlas-TSS-986</v>
      </c>
      <c r="B987" s="3">
        <v>1236562</v>
      </c>
      <c r="C987" s="1" t="s">
        <v>9</v>
      </c>
      <c r="D987" s="1">
        <v>22</v>
      </c>
      <c r="E987" s="1" t="s">
        <v>14722</v>
      </c>
      <c r="F987" s="6"/>
      <c r="G987" s="1" t="s">
        <v>14726</v>
      </c>
    </row>
    <row r="988" spans="1:7" ht="21" x14ac:dyDescent="0.25">
      <c r="A988" s="2" t="str">
        <f>HYPERLINK("https://rth.dk/resources/bsgatlas/details.php?id=BSGatlas-TSS-987","BSGatlas-TSS-987")</f>
        <v>BSGatlas-TSS-987</v>
      </c>
      <c r="B988" s="3">
        <v>1240278</v>
      </c>
      <c r="C988" s="1" t="s">
        <v>9</v>
      </c>
      <c r="D988" s="1">
        <v>22</v>
      </c>
      <c r="E988" s="1" t="s">
        <v>14722</v>
      </c>
      <c r="F988" s="6"/>
      <c r="G988" s="1" t="s">
        <v>14733</v>
      </c>
    </row>
    <row r="989" spans="1:7" ht="21" x14ac:dyDescent="0.25">
      <c r="A989" s="2" t="str">
        <f>HYPERLINK("https://rth.dk/resources/bsgatlas/details.php?id=BSGatlas-TSS-988","BSGatlas-TSS-988")</f>
        <v>BSGatlas-TSS-988</v>
      </c>
      <c r="B989" s="3">
        <v>1240707</v>
      </c>
      <c r="C989" s="1" t="s">
        <v>13</v>
      </c>
      <c r="D989" s="1">
        <v>22</v>
      </c>
      <c r="E989" s="1" t="s">
        <v>14722</v>
      </c>
      <c r="F989" s="6"/>
      <c r="G989" s="1" t="s">
        <v>14726</v>
      </c>
    </row>
    <row r="990" spans="1:7" ht="21" x14ac:dyDescent="0.25">
      <c r="A990" s="2" t="str">
        <f>HYPERLINK("https://rth.dk/resources/bsgatlas/details.php?id=BSGatlas-TSS-989","BSGatlas-TSS-989")</f>
        <v>BSGatlas-TSS-989</v>
      </c>
      <c r="B990" s="3">
        <v>1242229</v>
      </c>
      <c r="C990" s="1" t="s">
        <v>9</v>
      </c>
      <c r="D990" s="1">
        <v>22</v>
      </c>
      <c r="E990" s="1" t="s">
        <v>14722</v>
      </c>
      <c r="F990" s="6"/>
      <c r="G990" s="1" t="s">
        <v>14726</v>
      </c>
    </row>
    <row r="991" spans="1:7" ht="21" x14ac:dyDescent="0.25">
      <c r="A991" s="2" t="str">
        <f>HYPERLINK("https://rth.dk/resources/bsgatlas/details.php?id=BSGatlas-TSS-990","BSGatlas-TSS-990")</f>
        <v>BSGatlas-TSS-990</v>
      </c>
      <c r="B991" s="3">
        <v>1247728</v>
      </c>
      <c r="C991" s="1" t="s">
        <v>9</v>
      </c>
      <c r="D991" s="1">
        <v>22</v>
      </c>
      <c r="E991" s="1" t="s">
        <v>14722</v>
      </c>
      <c r="F991" s="6"/>
      <c r="G991" s="1" t="s">
        <v>14726</v>
      </c>
    </row>
    <row r="992" spans="1:7" ht="21" x14ac:dyDescent="0.25">
      <c r="A992" s="2" t="str">
        <f>HYPERLINK("https://rth.dk/resources/bsgatlas/details.php?id=BSGatlas-TSS-991","BSGatlas-TSS-991")</f>
        <v>BSGatlas-TSS-991</v>
      </c>
      <c r="B992" s="3">
        <v>1248648</v>
      </c>
      <c r="C992" s="1" t="s">
        <v>9</v>
      </c>
      <c r="D992" s="1">
        <v>0</v>
      </c>
      <c r="E992" s="1" t="s">
        <v>14735</v>
      </c>
      <c r="F992" s="6" t="s">
        <v>14846</v>
      </c>
      <c r="G992" s="1" t="s">
        <v>14729</v>
      </c>
    </row>
    <row r="993" spans="1:7" ht="21" x14ac:dyDescent="0.25">
      <c r="A993" s="2" t="str">
        <f>HYPERLINK("https://rth.dk/resources/bsgatlas/details.php?id=BSGatlas-TSS-992","BSGatlas-TSS-992")</f>
        <v>BSGatlas-TSS-992</v>
      </c>
      <c r="B993" s="3">
        <v>1248649</v>
      </c>
      <c r="C993" s="1" t="s">
        <v>13</v>
      </c>
      <c r="D993" s="1">
        <v>22</v>
      </c>
      <c r="E993" s="1" t="s">
        <v>14720</v>
      </c>
      <c r="F993" s="6"/>
      <c r="G993" s="1" t="s">
        <v>14726</v>
      </c>
    </row>
    <row r="994" spans="1:7" ht="21" x14ac:dyDescent="0.25">
      <c r="A994" s="2" t="str">
        <f>HYPERLINK("https://rth.dk/resources/bsgatlas/details.php?id=BSGatlas-TSS-993","BSGatlas-TSS-993")</f>
        <v>BSGatlas-TSS-993</v>
      </c>
      <c r="B994" s="3">
        <v>1250223</v>
      </c>
      <c r="C994" s="1" t="s">
        <v>9</v>
      </c>
      <c r="D994" s="1">
        <v>22</v>
      </c>
      <c r="E994" s="1" t="s">
        <v>14722</v>
      </c>
      <c r="F994" s="6"/>
      <c r="G994" s="1" t="s">
        <v>14726</v>
      </c>
    </row>
    <row r="995" spans="1:7" ht="21" x14ac:dyDescent="0.25">
      <c r="A995" s="2" t="str">
        <f>HYPERLINK("https://rth.dk/resources/bsgatlas/details.php?id=BSGatlas-TSS-994","BSGatlas-TSS-994")</f>
        <v>BSGatlas-TSS-994</v>
      </c>
      <c r="B995" s="3">
        <v>1250531</v>
      </c>
      <c r="C995" s="1" t="s">
        <v>9</v>
      </c>
      <c r="D995" s="1">
        <v>22</v>
      </c>
      <c r="E995" s="1" t="s">
        <v>14720</v>
      </c>
      <c r="F995" s="6"/>
      <c r="G995" s="1" t="s">
        <v>14726</v>
      </c>
    </row>
    <row r="996" spans="1:7" ht="21" x14ac:dyDescent="0.25">
      <c r="A996" s="2" t="str">
        <f>HYPERLINK("https://rth.dk/resources/bsgatlas/details.php?id=BSGatlas-TSS-995","BSGatlas-TSS-995")</f>
        <v>BSGatlas-TSS-995</v>
      </c>
      <c r="B996" s="3">
        <v>1250543</v>
      </c>
      <c r="C996" s="1" t="s">
        <v>13</v>
      </c>
      <c r="D996" s="1">
        <v>0</v>
      </c>
      <c r="E996" s="1" t="s">
        <v>14725</v>
      </c>
      <c r="F996" s="6" t="s">
        <v>14881</v>
      </c>
      <c r="G996" s="1" t="s">
        <v>14729</v>
      </c>
    </row>
    <row r="997" spans="1:7" ht="21" x14ac:dyDescent="0.25">
      <c r="A997" s="2" t="str">
        <f>HYPERLINK("https://rth.dk/resources/bsgatlas/details.php?id=BSGatlas-TSS-996","BSGatlas-TSS-996")</f>
        <v>BSGatlas-TSS-996</v>
      </c>
      <c r="B997" s="3">
        <v>1250607</v>
      </c>
      <c r="C997" s="1" t="s">
        <v>13</v>
      </c>
      <c r="D997" s="1">
        <v>22</v>
      </c>
      <c r="E997" s="1" t="s">
        <v>14727</v>
      </c>
      <c r="F997" s="6"/>
      <c r="G997" s="1" t="s">
        <v>14726</v>
      </c>
    </row>
    <row r="998" spans="1:7" ht="21" x14ac:dyDescent="0.25">
      <c r="A998" s="2" t="str">
        <f>HYPERLINK("https://rth.dk/resources/bsgatlas/details.php?id=BSGatlas-TSS-997","BSGatlas-TSS-997")</f>
        <v>BSGatlas-TSS-997</v>
      </c>
      <c r="B998" s="3">
        <v>1251195</v>
      </c>
      <c r="C998" s="1" t="s">
        <v>13</v>
      </c>
      <c r="D998" s="1">
        <v>0</v>
      </c>
      <c r="E998" s="1" t="s">
        <v>14725</v>
      </c>
      <c r="F998" s="6">
        <v>7519271</v>
      </c>
      <c r="G998" s="1" t="s">
        <v>4684</v>
      </c>
    </row>
    <row r="999" spans="1:7" ht="21" x14ac:dyDescent="0.25">
      <c r="A999" s="2" t="str">
        <f>HYPERLINK("https://rth.dk/resources/bsgatlas/details.php?id=BSGatlas-TSS-998","BSGatlas-TSS-998")</f>
        <v>BSGatlas-TSS-998</v>
      </c>
      <c r="B999" s="3">
        <v>1252027</v>
      </c>
      <c r="C999" s="1" t="s">
        <v>9</v>
      </c>
      <c r="D999" s="1">
        <v>22</v>
      </c>
      <c r="E999" s="1" t="s">
        <v>14720</v>
      </c>
      <c r="F999" s="6"/>
      <c r="G999" s="1" t="s">
        <v>14726</v>
      </c>
    </row>
    <row r="1000" spans="1:7" ht="21" x14ac:dyDescent="0.25">
      <c r="A1000" s="2" t="str">
        <f>HYPERLINK("https://rth.dk/resources/bsgatlas/details.php?id=BSGatlas-TSS-999","BSGatlas-TSS-999")</f>
        <v>BSGatlas-TSS-999</v>
      </c>
      <c r="B1000" s="3">
        <v>1252041</v>
      </c>
      <c r="C1000" s="1" t="s">
        <v>13</v>
      </c>
      <c r="D1000" s="1">
        <v>0</v>
      </c>
      <c r="E1000" s="1" t="s">
        <v>14725</v>
      </c>
      <c r="F1000" s="6" t="s">
        <v>14881</v>
      </c>
      <c r="G1000" s="1" t="s">
        <v>14729</v>
      </c>
    </row>
    <row r="1001" spans="1:7" ht="21" x14ac:dyDescent="0.25">
      <c r="A1001" s="2" t="str">
        <f>HYPERLINK("https://rth.dk/resources/bsgatlas/details.php?id=BSGatlas-TSS-1000","BSGatlas-TSS-1000")</f>
        <v>BSGatlas-TSS-1000</v>
      </c>
      <c r="B1001" s="3">
        <v>1252149</v>
      </c>
      <c r="C1001" s="1" t="s">
        <v>9</v>
      </c>
      <c r="D1001" s="1">
        <v>0</v>
      </c>
      <c r="E1001" s="1" t="s">
        <v>14735</v>
      </c>
      <c r="F1001" s="6" t="s">
        <v>14882</v>
      </c>
      <c r="G1001" s="1" t="s">
        <v>14729</v>
      </c>
    </row>
    <row r="1002" spans="1:7" ht="21" x14ac:dyDescent="0.25">
      <c r="A1002" s="2" t="str">
        <f>HYPERLINK("https://rth.dk/resources/bsgatlas/details.php?id=BSGatlas-TSS-1001","BSGatlas-TSS-1001")</f>
        <v>BSGatlas-TSS-1001</v>
      </c>
      <c r="B1002" s="3">
        <v>1252565</v>
      </c>
      <c r="C1002" s="1" t="s">
        <v>13</v>
      </c>
      <c r="D1002" s="1">
        <v>22</v>
      </c>
      <c r="E1002" s="1" t="s">
        <v>14725</v>
      </c>
      <c r="F1002" s="6"/>
      <c r="G1002" s="1" t="s">
        <v>14733</v>
      </c>
    </row>
    <row r="1003" spans="1:7" ht="21" x14ac:dyDescent="0.25">
      <c r="A1003" s="2" t="str">
        <f>HYPERLINK("https://rth.dk/resources/bsgatlas/details.php?id=BSGatlas-TSS-1002","BSGatlas-TSS-1002")</f>
        <v>BSGatlas-TSS-1002</v>
      </c>
      <c r="B1003" s="3">
        <v>1252566</v>
      </c>
      <c r="C1003" s="1" t="s">
        <v>9</v>
      </c>
      <c r="D1003" s="1">
        <v>22</v>
      </c>
      <c r="E1003" s="1" t="s">
        <v>14725</v>
      </c>
      <c r="F1003" s="6"/>
      <c r="G1003" s="1" t="s">
        <v>14726</v>
      </c>
    </row>
    <row r="1004" spans="1:7" ht="21" x14ac:dyDescent="0.25">
      <c r="A1004" s="2" t="str">
        <f>HYPERLINK("https://rth.dk/resources/bsgatlas/details.php?id=BSGatlas-TSS-1003","BSGatlas-TSS-1003")</f>
        <v>BSGatlas-TSS-1003</v>
      </c>
      <c r="B1004" s="3">
        <v>1252763</v>
      </c>
      <c r="C1004" s="1" t="s">
        <v>13</v>
      </c>
      <c r="D1004" s="1">
        <v>22</v>
      </c>
      <c r="E1004" s="1" t="s">
        <v>14720</v>
      </c>
      <c r="F1004" s="6"/>
      <c r="G1004" s="1" t="s">
        <v>14726</v>
      </c>
    </row>
    <row r="1005" spans="1:7" ht="21" x14ac:dyDescent="0.25">
      <c r="A1005" s="2" t="str">
        <f>HYPERLINK("https://rth.dk/resources/bsgatlas/details.php?id=BSGatlas-TSS-1004","BSGatlas-TSS-1004")</f>
        <v>BSGatlas-TSS-1004</v>
      </c>
      <c r="B1005" s="3">
        <v>1252801</v>
      </c>
      <c r="C1005" s="1" t="s">
        <v>9</v>
      </c>
      <c r="D1005" s="1">
        <v>0</v>
      </c>
      <c r="E1005" s="1" t="s">
        <v>14725</v>
      </c>
      <c r="F1005" s="6">
        <v>14523132</v>
      </c>
      <c r="G1005" s="1" t="s">
        <v>14730</v>
      </c>
    </row>
    <row r="1006" spans="1:7" ht="21" x14ac:dyDescent="0.25">
      <c r="A1006" s="2" t="str">
        <f>HYPERLINK("https://rth.dk/resources/bsgatlas/details.php?id=BSGatlas-TSS-1005","BSGatlas-TSS-1005")</f>
        <v>BSGatlas-TSS-1005</v>
      </c>
      <c r="B1006" s="3">
        <v>1252802</v>
      </c>
      <c r="C1006" s="1" t="s">
        <v>9</v>
      </c>
      <c r="D1006" s="1">
        <v>0</v>
      </c>
      <c r="E1006" s="1" t="s">
        <v>14725</v>
      </c>
      <c r="F1006" s="6">
        <v>14523132</v>
      </c>
      <c r="G1006" s="1" t="s">
        <v>14747</v>
      </c>
    </row>
    <row r="1007" spans="1:7" ht="21" x14ac:dyDescent="0.25">
      <c r="A1007" s="2" t="str">
        <f>HYPERLINK("https://rth.dk/resources/bsgatlas/details.php?id=BSGatlas-TSS-1006","BSGatlas-TSS-1006")</f>
        <v>BSGatlas-TSS-1006</v>
      </c>
      <c r="B1007" s="3">
        <v>1253081</v>
      </c>
      <c r="C1007" s="1" t="s">
        <v>9</v>
      </c>
      <c r="D1007" s="1">
        <v>0</v>
      </c>
      <c r="E1007" s="1" t="s">
        <v>14725</v>
      </c>
      <c r="F1007" s="6">
        <v>14523132</v>
      </c>
      <c r="G1007" s="1" t="s">
        <v>14729</v>
      </c>
    </row>
    <row r="1008" spans="1:7" ht="21" x14ac:dyDescent="0.25">
      <c r="A1008" s="2" t="str">
        <f>HYPERLINK("https://rth.dk/resources/bsgatlas/details.php?id=BSGatlas-TSS-1007","BSGatlas-TSS-1007")</f>
        <v>BSGatlas-TSS-1007</v>
      </c>
      <c r="B1008" s="3">
        <v>1253093</v>
      </c>
      <c r="C1008" s="1" t="s">
        <v>13</v>
      </c>
      <c r="D1008" s="1">
        <v>22</v>
      </c>
      <c r="E1008" s="1" t="s">
        <v>14720</v>
      </c>
      <c r="F1008" s="6"/>
      <c r="G1008" s="1" t="s">
        <v>14726</v>
      </c>
    </row>
    <row r="1009" spans="1:7" ht="21" x14ac:dyDescent="0.25">
      <c r="A1009" s="2" t="str">
        <f>HYPERLINK("https://rth.dk/resources/bsgatlas/details.php?id=BSGatlas-TSS-1008","BSGatlas-TSS-1008")</f>
        <v>BSGatlas-TSS-1008</v>
      </c>
      <c r="B1009" s="3">
        <v>1253359</v>
      </c>
      <c r="C1009" s="1" t="s">
        <v>9</v>
      </c>
      <c r="D1009" s="1">
        <v>0</v>
      </c>
      <c r="E1009" s="1" t="s">
        <v>14725</v>
      </c>
      <c r="F1009" s="6">
        <v>14523132</v>
      </c>
      <c r="G1009" s="1" t="s">
        <v>4382</v>
      </c>
    </row>
    <row r="1010" spans="1:7" ht="21" x14ac:dyDescent="0.25">
      <c r="A1010" s="2" t="str">
        <f>HYPERLINK("https://rth.dk/resources/bsgatlas/details.php?id=BSGatlas-TSS-1009","BSGatlas-TSS-1009")</f>
        <v>BSGatlas-TSS-1009</v>
      </c>
      <c r="B1010" s="3">
        <v>1255943</v>
      </c>
      <c r="C1010" s="1" t="s">
        <v>9</v>
      </c>
      <c r="D1010" s="1">
        <v>22</v>
      </c>
      <c r="E1010" s="1" t="s">
        <v>14745</v>
      </c>
      <c r="F1010" s="6"/>
      <c r="G1010" s="1" t="s">
        <v>14733</v>
      </c>
    </row>
    <row r="1011" spans="1:7" ht="21" x14ac:dyDescent="0.25">
      <c r="A1011" s="2" t="str">
        <f>HYPERLINK("https://rth.dk/resources/bsgatlas/details.php?id=BSGatlas-TSS-1010","BSGatlas-TSS-1010")</f>
        <v>BSGatlas-TSS-1010</v>
      </c>
      <c r="B1011" s="3">
        <v>1256040</v>
      </c>
      <c r="C1011" s="1" t="s">
        <v>13</v>
      </c>
      <c r="D1011" s="1">
        <v>22</v>
      </c>
      <c r="E1011" s="1" t="s">
        <v>14722</v>
      </c>
      <c r="F1011" s="6"/>
      <c r="G1011" s="1" t="s">
        <v>14733</v>
      </c>
    </row>
    <row r="1012" spans="1:7" ht="21" x14ac:dyDescent="0.25">
      <c r="A1012" s="2" t="str">
        <f>HYPERLINK("https://rth.dk/resources/bsgatlas/details.php?id=BSGatlas-TSS-1011","BSGatlas-TSS-1011")</f>
        <v>BSGatlas-TSS-1011</v>
      </c>
      <c r="B1012" s="3">
        <v>1256080</v>
      </c>
      <c r="C1012" s="1" t="s">
        <v>9</v>
      </c>
      <c r="D1012" s="1">
        <v>22</v>
      </c>
      <c r="E1012" s="1" t="s">
        <v>14734</v>
      </c>
      <c r="F1012" s="6"/>
      <c r="G1012" s="1" t="s">
        <v>14726</v>
      </c>
    </row>
    <row r="1013" spans="1:7" ht="21" x14ac:dyDescent="0.25">
      <c r="A1013" s="2" t="str">
        <f>HYPERLINK("https://rth.dk/resources/bsgatlas/details.php?id=BSGatlas-TSS-1012","BSGatlas-TSS-1012")</f>
        <v>BSGatlas-TSS-1012</v>
      </c>
      <c r="B1013" s="3">
        <v>1258196</v>
      </c>
      <c r="C1013" s="1" t="s">
        <v>13</v>
      </c>
      <c r="D1013" s="1">
        <v>22</v>
      </c>
      <c r="E1013" s="1" t="s">
        <v>14722</v>
      </c>
      <c r="F1013" s="6"/>
      <c r="G1013" s="1" t="s">
        <v>14726</v>
      </c>
    </row>
    <row r="1014" spans="1:7" ht="21" x14ac:dyDescent="0.25">
      <c r="A1014" s="2" t="str">
        <f>HYPERLINK("https://rth.dk/resources/bsgatlas/details.php?id=BSGatlas-TSS-1013","BSGatlas-TSS-1013")</f>
        <v>BSGatlas-TSS-1013</v>
      </c>
      <c r="B1014" s="3">
        <v>1258282</v>
      </c>
      <c r="C1014" s="1" t="s">
        <v>9</v>
      </c>
      <c r="D1014" s="1">
        <v>0</v>
      </c>
      <c r="E1014" s="1" t="s">
        <v>14722</v>
      </c>
      <c r="F1014" s="6" t="s">
        <v>14883</v>
      </c>
      <c r="G1014" s="1" t="s">
        <v>14729</v>
      </c>
    </row>
    <row r="1015" spans="1:7" ht="21" x14ac:dyDescent="0.25">
      <c r="A1015" s="2" t="str">
        <f>HYPERLINK("https://rth.dk/resources/bsgatlas/details.php?id=BSGatlas-TSS-1014","BSGatlas-TSS-1014")</f>
        <v>BSGatlas-TSS-1014</v>
      </c>
      <c r="B1015" s="3">
        <v>1260805</v>
      </c>
      <c r="C1015" s="1" t="s">
        <v>9</v>
      </c>
      <c r="D1015" s="1">
        <v>22</v>
      </c>
      <c r="E1015" s="1" t="s">
        <v>14825</v>
      </c>
      <c r="F1015" s="6"/>
      <c r="G1015" s="1" t="s">
        <v>14726</v>
      </c>
    </row>
    <row r="1016" spans="1:7" ht="21" x14ac:dyDescent="0.25">
      <c r="A1016" s="2" t="str">
        <f>HYPERLINK("https://rth.dk/resources/bsgatlas/details.php?id=BSGatlas-TSS-1015","BSGatlas-TSS-1015")</f>
        <v>BSGatlas-TSS-1015</v>
      </c>
      <c r="B1016" s="3">
        <v>1262646</v>
      </c>
      <c r="C1016" s="1" t="s">
        <v>13</v>
      </c>
      <c r="D1016" s="1">
        <v>22</v>
      </c>
      <c r="E1016" s="1" t="s">
        <v>14722</v>
      </c>
      <c r="F1016" s="6"/>
      <c r="G1016" s="1" t="s">
        <v>14726</v>
      </c>
    </row>
    <row r="1017" spans="1:7" ht="21" x14ac:dyDescent="0.25">
      <c r="A1017" s="2" t="str">
        <f>HYPERLINK("https://rth.dk/resources/bsgatlas/details.php?id=BSGatlas-TSS-1016","BSGatlas-TSS-1016")</f>
        <v>BSGatlas-TSS-1016</v>
      </c>
      <c r="B1017" s="3">
        <v>1262721</v>
      </c>
      <c r="C1017" s="1" t="s">
        <v>9</v>
      </c>
      <c r="D1017" s="1">
        <v>22</v>
      </c>
      <c r="E1017" s="1" t="s">
        <v>14722</v>
      </c>
      <c r="F1017" s="6"/>
      <c r="G1017" s="1" t="s">
        <v>14726</v>
      </c>
    </row>
    <row r="1018" spans="1:7" ht="21" x14ac:dyDescent="0.25">
      <c r="A1018" s="2" t="str">
        <f>HYPERLINK("https://rth.dk/resources/bsgatlas/details.php?id=BSGatlas-TSS-1017","BSGatlas-TSS-1017")</f>
        <v>BSGatlas-TSS-1017</v>
      </c>
      <c r="B1018" s="3">
        <v>1262817</v>
      </c>
      <c r="C1018" s="1" t="s">
        <v>13</v>
      </c>
      <c r="D1018" s="1">
        <v>22</v>
      </c>
      <c r="E1018" s="1" t="s">
        <v>14720</v>
      </c>
      <c r="F1018" s="6"/>
      <c r="G1018" s="1" t="s">
        <v>14726</v>
      </c>
    </row>
    <row r="1019" spans="1:7" ht="21" x14ac:dyDescent="0.25">
      <c r="A1019" s="2" t="str">
        <f>HYPERLINK("https://rth.dk/resources/bsgatlas/details.php?id=BSGatlas-TSS-1018","BSGatlas-TSS-1018")</f>
        <v>BSGatlas-TSS-1018</v>
      </c>
      <c r="B1019" s="3">
        <v>1265007</v>
      </c>
      <c r="C1019" s="1" t="s">
        <v>9</v>
      </c>
      <c r="D1019" s="1">
        <v>22</v>
      </c>
      <c r="E1019" s="1" t="s">
        <v>14722</v>
      </c>
      <c r="F1019" s="6"/>
      <c r="G1019" s="1" t="s">
        <v>14726</v>
      </c>
    </row>
    <row r="1020" spans="1:7" ht="21" x14ac:dyDescent="0.25">
      <c r="A1020" s="2" t="str">
        <f>HYPERLINK("https://rth.dk/resources/bsgatlas/details.php?id=BSGatlas-TSS-1019","BSGatlas-TSS-1019")</f>
        <v>BSGatlas-TSS-1019</v>
      </c>
      <c r="B1020" s="3">
        <v>1265021</v>
      </c>
      <c r="C1020" s="1" t="s">
        <v>13</v>
      </c>
      <c r="D1020" s="1">
        <v>22</v>
      </c>
      <c r="E1020" s="1" t="s">
        <v>14722</v>
      </c>
      <c r="F1020" s="6"/>
      <c r="G1020" s="1" t="s">
        <v>14733</v>
      </c>
    </row>
    <row r="1021" spans="1:7" ht="21" x14ac:dyDescent="0.25">
      <c r="A1021" s="2" t="str">
        <f>HYPERLINK("https://rth.dk/resources/bsgatlas/details.php?id=BSGatlas-TSS-1020","BSGatlas-TSS-1020")</f>
        <v>BSGatlas-TSS-1020</v>
      </c>
      <c r="B1021" s="3">
        <v>1266349</v>
      </c>
      <c r="C1021" s="1" t="s">
        <v>9</v>
      </c>
      <c r="D1021" s="1">
        <v>22</v>
      </c>
      <c r="E1021" s="1" t="s">
        <v>14722</v>
      </c>
      <c r="F1021" s="6"/>
      <c r="G1021" s="1" t="s">
        <v>14733</v>
      </c>
    </row>
    <row r="1022" spans="1:7" ht="21" x14ac:dyDescent="0.25">
      <c r="A1022" s="2" t="str">
        <f>HYPERLINK("https://rth.dk/resources/bsgatlas/details.php?id=BSGatlas-TSS-1021","BSGatlas-TSS-1021")</f>
        <v>BSGatlas-TSS-1021</v>
      </c>
      <c r="B1022" s="3">
        <v>1266591</v>
      </c>
      <c r="C1022" s="1" t="s">
        <v>9</v>
      </c>
      <c r="D1022" s="1">
        <v>22</v>
      </c>
      <c r="E1022" s="1" t="s">
        <v>14752</v>
      </c>
      <c r="F1022" s="6"/>
      <c r="G1022" s="1" t="s">
        <v>14726</v>
      </c>
    </row>
    <row r="1023" spans="1:7" ht="21" x14ac:dyDescent="0.25">
      <c r="A1023" s="2" t="str">
        <f>HYPERLINK("https://rth.dk/resources/bsgatlas/details.php?id=BSGatlas-TSS-1022","BSGatlas-TSS-1022")</f>
        <v>BSGatlas-TSS-1022</v>
      </c>
      <c r="B1023" s="3">
        <v>1267415</v>
      </c>
      <c r="C1023" s="1" t="s">
        <v>13</v>
      </c>
      <c r="D1023" s="1">
        <v>22</v>
      </c>
      <c r="E1023" s="1" t="s">
        <v>14720</v>
      </c>
      <c r="F1023" s="6"/>
      <c r="G1023" s="1" t="s">
        <v>14726</v>
      </c>
    </row>
    <row r="1024" spans="1:7" ht="21" x14ac:dyDescent="0.25">
      <c r="A1024" s="2" t="str">
        <f>HYPERLINK("https://rth.dk/resources/bsgatlas/details.php?id=BSGatlas-TSS-1023","BSGatlas-TSS-1023")</f>
        <v>BSGatlas-TSS-1023</v>
      </c>
      <c r="B1024" s="3">
        <v>1268269</v>
      </c>
      <c r="C1024" s="1" t="s">
        <v>9</v>
      </c>
      <c r="D1024" s="1">
        <v>22</v>
      </c>
      <c r="E1024" s="1" t="s">
        <v>14722</v>
      </c>
      <c r="F1024" s="6"/>
      <c r="G1024" s="1" t="s">
        <v>14726</v>
      </c>
    </row>
    <row r="1025" spans="1:7" ht="21" x14ac:dyDescent="0.25">
      <c r="A1025" s="2" t="str">
        <f>HYPERLINK("https://rth.dk/resources/bsgatlas/details.php?id=BSGatlas-TSS-1024","BSGatlas-TSS-1024")</f>
        <v>BSGatlas-TSS-1024</v>
      </c>
      <c r="B1025" s="3">
        <v>1270125</v>
      </c>
      <c r="C1025" s="1" t="s">
        <v>13</v>
      </c>
      <c r="D1025" s="1">
        <v>22</v>
      </c>
      <c r="E1025" s="1" t="s">
        <v>14745</v>
      </c>
      <c r="F1025" s="6"/>
      <c r="G1025" s="1" t="s">
        <v>14726</v>
      </c>
    </row>
    <row r="1026" spans="1:7" ht="21" x14ac:dyDescent="0.25">
      <c r="A1026" s="2" t="str">
        <f>HYPERLINK("https://rth.dk/resources/bsgatlas/details.php?id=BSGatlas-TSS-1025","BSGatlas-TSS-1025")</f>
        <v>BSGatlas-TSS-1025</v>
      </c>
      <c r="B1026" s="3">
        <v>1270555</v>
      </c>
      <c r="C1026" s="1" t="s">
        <v>9</v>
      </c>
      <c r="D1026" s="1">
        <v>22</v>
      </c>
      <c r="E1026" s="1" t="s">
        <v>14722</v>
      </c>
      <c r="F1026" s="6"/>
      <c r="G1026" s="1" t="s">
        <v>14726</v>
      </c>
    </row>
    <row r="1027" spans="1:7" ht="21" x14ac:dyDescent="0.25">
      <c r="A1027" s="2" t="str">
        <f>HYPERLINK("https://rth.dk/resources/bsgatlas/details.php?id=BSGatlas-TSS-1026","BSGatlas-TSS-1026")</f>
        <v>BSGatlas-TSS-1026</v>
      </c>
      <c r="B1027" s="3">
        <v>1270583</v>
      </c>
      <c r="C1027" s="1" t="s">
        <v>13</v>
      </c>
      <c r="D1027" s="1">
        <v>22</v>
      </c>
      <c r="E1027" s="1" t="s">
        <v>14722</v>
      </c>
      <c r="F1027" s="6"/>
      <c r="G1027" s="1" t="s">
        <v>14733</v>
      </c>
    </row>
    <row r="1028" spans="1:7" ht="21" x14ac:dyDescent="0.25">
      <c r="A1028" s="2" t="str">
        <f>HYPERLINK("https://rth.dk/resources/bsgatlas/details.php?id=BSGatlas-TSS-1027","BSGatlas-TSS-1027")</f>
        <v>BSGatlas-TSS-1027</v>
      </c>
      <c r="B1028" s="3">
        <v>1272683</v>
      </c>
      <c r="C1028" s="1" t="s">
        <v>9</v>
      </c>
      <c r="D1028" s="1">
        <v>22</v>
      </c>
      <c r="E1028" s="1" t="s">
        <v>14722</v>
      </c>
      <c r="F1028" s="6"/>
      <c r="G1028" s="1" t="s">
        <v>14726</v>
      </c>
    </row>
    <row r="1029" spans="1:7" ht="21" x14ac:dyDescent="0.25">
      <c r="A1029" s="2" t="str">
        <f>HYPERLINK("https://rth.dk/resources/bsgatlas/details.php?id=BSGatlas-TSS-1028","BSGatlas-TSS-1028")</f>
        <v>BSGatlas-TSS-1028</v>
      </c>
      <c r="B1029" s="3">
        <v>1272695</v>
      </c>
      <c r="C1029" s="1" t="s">
        <v>13</v>
      </c>
      <c r="D1029" s="1">
        <v>22</v>
      </c>
      <c r="E1029" s="1" t="s">
        <v>14720</v>
      </c>
      <c r="F1029" s="6"/>
      <c r="G1029" s="1" t="s">
        <v>14726</v>
      </c>
    </row>
    <row r="1030" spans="1:7" ht="21" x14ac:dyDescent="0.25">
      <c r="A1030" s="2" t="str">
        <f>HYPERLINK("https://rth.dk/resources/bsgatlas/details.php?id=BSGatlas-TSS-1029","BSGatlas-TSS-1029")</f>
        <v>BSGatlas-TSS-1029</v>
      </c>
      <c r="B1030" s="3">
        <v>1275740</v>
      </c>
      <c r="C1030" s="1" t="s">
        <v>9</v>
      </c>
      <c r="D1030" s="1">
        <v>22</v>
      </c>
      <c r="E1030" s="1" t="s">
        <v>14722</v>
      </c>
      <c r="F1030" s="6"/>
      <c r="G1030" s="1" t="s">
        <v>14733</v>
      </c>
    </row>
    <row r="1031" spans="1:7" ht="21" x14ac:dyDescent="0.25">
      <c r="A1031" s="2" t="str">
        <f>HYPERLINK("https://rth.dk/resources/bsgatlas/details.php?id=BSGatlas-TSS-1030","BSGatlas-TSS-1030")</f>
        <v>BSGatlas-TSS-1030</v>
      </c>
      <c r="B1031" s="3">
        <v>1276874</v>
      </c>
      <c r="C1031" s="1" t="s">
        <v>13</v>
      </c>
      <c r="D1031" s="1">
        <v>22</v>
      </c>
      <c r="E1031" s="1" t="s">
        <v>14722</v>
      </c>
      <c r="F1031" s="6"/>
      <c r="G1031" s="1" t="s">
        <v>14726</v>
      </c>
    </row>
    <row r="1032" spans="1:7" ht="21" x14ac:dyDescent="0.25">
      <c r="A1032" s="2" t="str">
        <f>HYPERLINK("https://rth.dk/resources/bsgatlas/details.php?id=BSGatlas-TSS-1031","BSGatlas-TSS-1031")</f>
        <v>BSGatlas-TSS-1031</v>
      </c>
      <c r="B1032" s="3">
        <v>1277493</v>
      </c>
      <c r="C1032" s="1" t="s">
        <v>13</v>
      </c>
      <c r="D1032" s="1">
        <v>22</v>
      </c>
      <c r="E1032" s="1" t="s">
        <v>14727</v>
      </c>
      <c r="F1032" s="6"/>
      <c r="G1032" s="1" t="s">
        <v>14726</v>
      </c>
    </row>
    <row r="1033" spans="1:7" ht="21" x14ac:dyDescent="0.25">
      <c r="A1033" s="2" t="str">
        <f>HYPERLINK("https://rth.dk/resources/bsgatlas/details.php?id=BSGatlas-TSS-1032","BSGatlas-TSS-1032")</f>
        <v>BSGatlas-TSS-1032</v>
      </c>
      <c r="B1033" s="3">
        <v>1277633</v>
      </c>
      <c r="C1033" s="1" t="s">
        <v>9</v>
      </c>
      <c r="D1033" s="1">
        <v>22</v>
      </c>
      <c r="E1033" s="1" t="s">
        <v>14722</v>
      </c>
      <c r="F1033" s="6"/>
      <c r="G1033" s="1" t="s">
        <v>14726</v>
      </c>
    </row>
    <row r="1034" spans="1:7" ht="21" x14ac:dyDescent="0.25">
      <c r="A1034" s="2" t="str">
        <f>HYPERLINK("https://rth.dk/resources/bsgatlas/details.php?id=BSGatlas-TSS-1033","BSGatlas-TSS-1033")</f>
        <v>BSGatlas-TSS-1033</v>
      </c>
      <c r="B1034" s="3">
        <v>1278429</v>
      </c>
      <c r="C1034" s="1" t="s">
        <v>13</v>
      </c>
      <c r="D1034" s="1">
        <v>22</v>
      </c>
      <c r="E1034" s="1" t="s">
        <v>14739</v>
      </c>
      <c r="F1034" s="6"/>
      <c r="G1034" s="1" t="s">
        <v>14726</v>
      </c>
    </row>
    <row r="1035" spans="1:7" ht="21" x14ac:dyDescent="0.25">
      <c r="A1035" s="2" t="str">
        <f>HYPERLINK("https://rth.dk/resources/bsgatlas/details.php?id=BSGatlas-TSS-1034","BSGatlas-TSS-1034")</f>
        <v>BSGatlas-TSS-1034</v>
      </c>
      <c r="B1035" s="3">
        <v>1278944</v>
      </c>
      <c r="C1035" s="1" t="s">
        <v>13</v>
      </c>
      <c r="D1035" s="1">
        <v>22</v>
      </c>
      <c r="E1035" s="1" t="s">
        <v>14722</v>
      </c>
      <c r="F1035" s="6"/>
      <c r="G1035" s="1" t="s">
        <v>14726</v>
      </c>
    </row>
    <row r="1036" spans="1:7" ht="21" x14ac:dyDescent="0.25">
      <c r="A1036" s="2" t="str">
        <f>HYPERLINK("https://rth.dk/resources/bsgatlas/details.php?id=BSGatlas-TSS-1035","BSGatlas-TSS-1035")</f>
        <v>BSGatlas-TSS-1035</v>
      </c>
      <c r="B1036" s="3">
        <v>1279022</v>
      </c>
      <c r="C1036" s="1" t="s">
        <v>9</v>
      </c>
      <c r="D1036" s="1">
        <v>22</v>
      </c>
      <c r="E1036" s="1" t="s">
        <v>14722</v>
      </c>
      <c r="F1036" s="6"/>
      <c r="G1036" s="1" t="s">
        <v>14726</v>
      </c>
    </row>
    <row r="1037" spans="1:7" ht="21" x14ac:dyDescent="0.25">
      <c r="A1037" s="2" t="str">
        <f>HYPERLINK("https://rth.dk/resources/bsgatlas/details.php?id=BSGatlas-TSS-1036","BSGatlas-TSS-1036")</f>
        <v>BSGatlas-TSS-1036</v>
      </c>
      <c r="B1037" s="3">
        <v>1280507</v>
      </c>
      <c r="C1037" s="1" t="s">
        <v>13</v>
      </c>
      <c r="D1037" s="1">
        <v>22</v>
      </c>
      <c r="E1037" s="1" t="s">
        <v>14722</v>
      </c>
      <c r="F1037" s="6"/>
      <c r="G1037" s="1" t="s">
        <v>14726</v>
      </c>
    </row>
    <row r="1038" spans="1:7" ht="21" x14ac:dyDescent="0.25">
      <c r="A1038" s="2" t="str">
        <f>HYPERLINK("https://rth.dk/resources/bsgatlas/details.php?id=BSGatlas-TSS-1037","BSGatlas-TSS-1037")</f>
        <v>BSGatlas-TSS-1037</v>
      </c>
      <c r="B1038" s="3">
        <v>1280892</v>
      </c>
      <c r="C1038" s="1" t="s">
        <v>9</v>
      </c>
      <c r="D1038" s="1">
        <v>22</v>
      </c>
      <c r="E1038" s="1" t="s">
        <v>14720</v>
      </c>
      <c r="F1038" s="6"/>
      <c r="G1038" s="1" t="s">
        <v>14726</v>
      </c>
    </row>
    <row r="1039" spans="1:7" ht="21" x14ac:dyDescent="0.25">
      <c r="A1039" s="2" t="str">
        <f>HYPERLINK("https://rth.dk/resources/bsgatlas/details.php?id=BSGatlas-TSS-1038","BSGatlas-TSS-1038")</f>
        <v>BSGatlas-TSS-1038</v>
      </c>
      <c r="B1039" s="3">
        <v>1280903</v>
      </c>
      <c r="C1039" s="1" t="s">
        <v>13</v>
      </c>
      <c r="D1039" s="1">
        <v>0</v>
      </c>
      <c r="E1039" s="1" t="s">
        <v>14725</v>
      </c>
      <c r="F1039" s="6" t="s">
        <v>14884</v>
      </c>
      <c r="G1039" s="1" t="s">
        <v>14730</v>
      </c>
    </row>
    <row r="1040" spans="1:7" ht="21" x14ac:dyDescent="0.25">
      <c r="A1040" s="2" t="str">
        <f>HYPERLINK("https://rth.dk/resources/bsgatlas/details.php?id=BSGatlas-TSS-1039","BSGatlas-TSS-1039")</f>
        <v>BSGatlas-TSS-1039</v>
      </c>
      <c r="B1040" s="3">
        <v>1281012</v>
      </c>
      <c r="C1040" s="1" t="s">
        <v>13</v>
      </c>
      <c r="D1040" s="1">
        <v>22</v>
      </c>
      <c r="E1040" s="1" t="s">
        <v>14722</v>
      </c>
      <c r="F1040" s="6"/>
      <c r="G1040" s="1" t="s">
        <v>14726</v>
      </c>
    </row>
    <row r="1041" spans="1:7" ht="21" x14ac:dyDescent="0.25">
      <c r="A1041" s="2" t="str">
        <f>HYPERLINK("https://rth.dk/resources/bsgatlas/details.php?id=BSGatlas-TSS-1040","BSGatlas-TSS-1040")</f>
        <v>BSGatlas-TSS-1040</v>
      </c>
      <c r="B1041" s="3">
        <v>1281023</v>
      </c>
      <c r="C1041" s="1" t="s">
        <v>9</v>
      </c>
      <c r="D1041" s="1">
        <v>22</v>
      </c>
      <c r="E1041" s="1" t="s">
        <v>14722</v>
      </c>
      <c r="F1041" s="6"/>
      <c r="G1041" s="1" t="s">
        <v>14733</v>
      </c>
    </row>
    <row r="1042" spans="1:7" ht="21" x14ac:dyDescent="0.25">
      <c r="A1042" s="2" t="str">
        <f>HYPERLINK("https://rth.dk/resources/bsgatlas/details.php?id=BSGatlas-TSS-1041","BSGatlas-TSS-1041")</f>
        <v>BSGatlas-TSS-1041</v>
      </c>
      <c r="B1042" s="3">
        <v>1283084</v>
      </c>
      <c r="C1042" s="1" t="s">
        <v>13</v>
      </c>
      <c r="D1042" s="1">
        <v>22</v>
      </c>
      <c r="E1042" s="1" t="s">
        <v>14727</v>
      </c>
      <c r="F1042" s="6"/>
      <c r="G1042" s="1" t="s">
        <v>14726</v>
      </c>
    </row>
    <row r="1043" spans="1:7" ht="21" x14ac:dyDescent="0.25">
      <c r="A1043" s="2" t="str">
        <f>HYPERLINK("https://rth.dk/resources/bsgatlas/details.php?id=BSGatlas-TSS-1042","BSGatlas-TSS-1042")</f>
        <v>BSGatlas-TSS-1042</v>
      </c>
      <c r="B1043" s="3">
        <v>1283357</v>
      </c>
      <c r="C1043" s="1" t="s">
        <v>13</v>
      </c>
      <c r="D1043" s="1">
        <v>22</v>
      </c>
      <c r="E1043" s="1" t="s">
        <v>14752</v>
      </c>
      <c r="F1043" s="6"/>
      <c r="G1043" s="1" t="s">
        <v>14726</v>
      </c>
    </row>
    <row r="1044" spans="1:7" ht="21" x14ac:dyDescent="0.25">
      <c r="A1044" s="2" t="str">
        <f>HYPERLINK("https://rth.dk/resources/bsgatlas/details.php?id=BSGatlas-TSS-1043","BSGatlas-TSS-1043")</f>
        <v>BSGatlas-TSS-1043</v>
      </c>
      <c r="B1044" s="3">
        <v>1284817</v>
      </c>
      <c r="C1044" s="1" t="s">
        <v>13</v>
      </c>
      <c r="D1044" s="1">
        <v>22</v>
      </c>
      <c r="E1044" s="1" t="s">
        <v>14722</v>
      </c>
      <c r="F1044" s="6"/>
      <c r="G1044" s="1" t="s">
        <v>14726</v>
      </c>
    </row>
    <row r="1045" spans="1:7" ht="21" x14ac:dyDescent="0.25">
      <c r="A1045" s="2" t="str">
        <f>HYPERLINK("https://rth.dk/resources/bsgatlas/details.php?id=BSGatlas-TSS-1044","BSGatlas-TSS-1044")</f>
        <v>BSGatlas-TSS-1044</v>
      </c>
      <c r="B1045" s="3">
        <v>1285479</v>
      </c>
      <c r="C1045" s="1" t="s">
        <v>13</v>
      </c>
      <c r="D1045" s="1">
        <v>22</v>
      </c>
      <c r="E1045" s="1" t="s">
        <v>14734</v>
      </c>
      <c r="F1045" s="6"/>
      <c r="G1045" s="1" t="s">
        <v>14726</v>
      </c>
    </row>
    <row r="1046" spans="1:7" ht="21" x14ac:dyDescent="0.25">
      <c r="A1046" s="2" t="str">
        <f>HYPERLINK("https://rth.dk/resources/bsgatlas/details.php?id=BSGatlas-TSS-1045","BSGatlas-TSS-1045")</f>
        <v>BSGatlas-TSS-1045</v>
      </c>
      <c r="B1046" s="3">
        <v>1285542</v>
      </c>
      <c r="C1046" s="1" t="s">
        <v>9</v>
      </c>
      <c r="D1046" s="1">
        <v>22</v>
      </c>
      <c r="E1046" s="1" t="s">
        <v>14734</v>
      </c>
      <c r="F1046" s="6"/>
      <c r="G1046" s="1" t="s">
        <v>14726</v>
      </c>
    </row>
    <row r="1047" spans="1:7" ht="21" x14ac:dyDescent="0.25">
      <c r="A1047" s="2" t="str">
        <f>HYPERLINK("https://rth.dk/resources/bsgatlas/details.php?id=BSGatlas-TSS-1046","BSGatlas-TSS-1046")</f>
        <v>BSGatlas-TSS-1046</v>
      </c>
      <c r="B1047" s="3">
        <v>1289259</v>
      </c>
      <c r="C1047" s="1" t="s">
        <v>9</v>
      </c>
      <c r="D1047" s="1">
        <v>22</v>
      </c>
      <c r="E1047" s="1" t="s">
        <v>14722</v>
      </c>
      <c r="F1047" s="6"/>
      <c r="G1047" s="1" t="s">
        <v>14726</v>
      </c>
    </row>
    <row r="1048" spans="1:7" ht="21" x14ac:dyDescent="0.25">
      <c r="A1048" s="2" t="str">
        <f>HYPERLINK("https://rth.dk/resources/bsgatlas/details.php?id=BSGatlas-TSS-1047","BSGatlas-TSS-1047")</f>
        <v>BSGatlas-TSS-1047</v>
      </c>
      <c r="B1048" s="3">
        <v>1291001</v>
      </c>
      <c r="C1048" s="1" t="s">
        <v>13</v>
      </c>
      <c r="D1048" s="1">
        <v>22</v>
      </c>
      <c r="E1048" s="1" t="s">
        <v>14722</v>
      </c>
      <c r="F1048" s="6"/>
      <c r="G1048" s="1" t="s">
        <v>14726</v>
      </c>
    </row>
    <row r="1049" spans="1:7" ht="21" x14ac:dyDescent="0.25">
      <c r="A1049" s="2" t="str">
        <f>HYPERLINK("https://rth.dk/resources/bsgatlas/details.php?id=BSGatlas-TSS-1048","BSGatlas-TSS-1048")</f>
        <v>BSGatlas-TSS-1048</v>
      </c>
      <c r="B1049" s="3">
        <v>1291171</v>
      </c>
      <c r="C1049" s="1" t="s">
        <v>9</v>
      </c>
      <c r="D1049" s="1">
        <v>22</v>
      </c>
      <c r="E1049" s="1" t="s">
        <v>14722</v>
      </c>
      <c r="F1049" s="6"/>
      <c r="G1049" s="1" t="s">
        <v>14733</v>
      </c>
    </row>
    <row r="1050" spans="1:7" ht="21" x14ac:dyDescent="0.25">
      <c r="A1050" s="2" t="str">
        <f>HYPERLINK("https://rth.dk/resources/bsgatlas/details.php?id=BSGatlas-TSS-1049","BSGatlas-TSS-1049")</f>
        <v>BSGatlas-TSS-1049</v>
      </c>
      <c r="B1050" s="3">
        <v>1291419</v>
      </c>
      <c r="C1050" s="1" t="s">
        <v>13</v>
      </c>
      <c r="D1050" s="1">
        <v>22</v>
      </c>
      <c r="E1050" s="1" t="s">
        <v>14725</v>
      </c>
      <c r="F1050" s="6"/>
      <c r="G1050" s="1" t="s">
        <v>14733</v>
      </c>
    </row>
    <row r="1051" spans="1:7" ht="21" x14ac:dyDescent="0.25">
      <c r="A1051" s="2" t="str">
        <f>HYPERLINK("https://rth.dk/resources/bsgatlas/details.php?id=BSGatlas-TSS-1050","BSGatlas-TSS-1050")</f>
        <v>BSGatlas-TSS-1050</v>
      </c>
      <c r="B1051" s="3">
        <v>1293993</v>
      </c>
      <c r="C1051" s="1" t="s">
        <v>13</v>
      </c>
      <c r="D1051" s="1">
        <v>22</v>
      </c>
      <c r="E1051" s="1" t="s">
        <v>14722</v>
      </c>
      <c r="F1051" s="6"/>
      <c r="G1051" s="1" t="s">
        <v>14726</v>
      </c>
    </row>
    <row r="1052" spans="1:7" ht="21" x14ac:dyDescent="0.25">
      <c r="A1052" s="2" t="str">
        <f>HYPERLINK("https://rth.dk/resources/bsgatlas/details.php?id=BSGatlas-TSS-1051","BSGatlas-TSS-1051")</f>
        <v>BSGatlas-TSS-1051</v>
      </c>
      <c r="B1052" s="3">
        <v>1294084</v>
      </c>
      <c r="C1052" s="1" t="s">
        <v>9</v>
      </c>
      <c r="D1052" s="1">
        <v>22</v>
      </c>
      <c r="E1052" s="1" t="s">
        <v>14722</v>
      </c>
      <c r="F1052" s="6"/>
      <c r="G1052" s="1" t="s">
        <v>14726</v>
      </c>
    </row>
    <row r="1053" spans="1:7" ht="21" x14ac:dyDescent="0.25">
      <c r="A1053" s="2" t="str">
        <f>HYPERLINK("https://rth.dk/resources/bsgatlas/details.php?id=BSGatlas-TSS-1052","BSGatlas-TSS-1052")</f>
        <v>BSGatlas-TSS-1052</v>
      </c>
      <c r="B1053" s="3">
        <v>1294103</v>
      </c>
      <c r="C1053" s="1" t="s">
        <v>13</v>
      </c>
      <c r="D1053" s="1">
        <v>22</v>
      </c>
      <c r="E1053" s="1" t="s">
        <v>14725</v>
      </c>
      <c r="F1053" s="6"/>
      <c r="G1053" s="1" t="s">
        <v>14726</v>
      </c>
    </row>
    <row r="1054" spans="1:7" ht="21" x14ac:dyDescent="0.25">
      <c r="A1054" s="2" t="str">
        <f>HYPERLINK("https://rth.dk/resources/bsgatlas/details.php?id=BSGatlas-TSS-1053","BSGatlas-TSS-1053")</f>
        <v>BSGatlas-TSS-1053</v>
      </c>
      <c r="B1054" s="3">
        <v>1297641</v>
      </c>
      <c r="C1054" s="1" t="s">
        <v>13</v>
      </c>
      <c r="D1054" s="1">
        <v>22</v>
      </c>
      <c r="E1054" s="1" t="s">
        <v>14722</v>
      </c>
      <c r="F1054" s="6"/>
      <c r="G1054" s="1" t="s">
        <v>14726</v>
      </c>
    </row>
    <row r="1055" spans="1:7" ht="21" x14ac:dyDescent="0.25">
      <c r="A1055" s="2" t="str">
        <f>HYPERLINK("https://rth.dk/resources/bsgatlas/details.php?id=BSGatlas-TSS-1054","BSGatlas-TSS-1054")</f>
        <v>BSGatlas-TSS-1054</v>
      </c>
      <c r="B1055" s="3">
        <v>1297701</v>
      </c>
      <c r="C1055" s="1" t="s">
        <v>9</v>
      </c>
      <c r="D1055" s="1">
        <v>22</v>
      </c>
      <c r="E1055" s="1" t="s">
        <v>14734</v>
      </c>
      <c r="F1055" s="6"/>
      <c r="G1055" s="1" t="s">
        <v>14726</v>
      </c>
    </row>
    <row r="1056" spans="1:7" ht="21" x14ac:dyDescent="0.25">
      <c r="A1056" s="2" t="str">
        <f>HYPERLINK("https://rth.dk/resources/bsgatlas/details.php?id=BSGatlas-TSS-1055","BSGatlas-TSS-1055")</f>
        <v>BSGatlas-TSS-1055</v>
      </c>
      <c r="B1056" s="3">
        <v>1298355</v>
      </c>
      <c r="C1056" s="1" t="s">
        <v>9</v>
      </c>
      <c r="D1056" s="1">
        <v>0</v>
      </c>
      <c r="E1056" s="1" t="s">
        <v>14722</v>
      </c>
      <c r="F1056" s="6">
        <v>17015645</v>
      </c>
      <c r="G1056" s="1" t="s">
        <v>14778</v>
      </c>
    </row>
    <row r="1057" spans="1:7" ht="21" x14ac:dyDescent="0.25">
      <c r="A1057" s="2" t="str">
        <f>HYPERLINK("https://rth.dk/resources/bsgatlas/details.php?id=BSGatlas-TSS-1056","BSGatlas-TSS-1056")</f>
        <v>BSGatlas-TSS-1056</v>
      </c>
      <c r="B1057" s="3">
        <v>1300143</v>
      </c>
      <c r="C1057" s="1" t="s">
        <v>9</v>
      </c>
      <c r="D1057" s="1">
        <v>22</v>
      </c>
      <c r="E1057" s="1" t="s">
        <v>14720</v>
      </c>
      <c r="F1057" s="6"/>
      <c r="G1057" s="1" t="s">
        <v>14726</v>
      </c>
    </row>
    <row r="1058" spans="1:7" ht="21" x14ac:dyDescent="0.25">
      <c r="A1058" s="2" t="str">
        <f>HYPERLINK("https://rth.dk/resources/bsgatlas/details.php?id=BSGatlas-TSS-1057","BSGatlas-TSS-1057")</f>
        <v>BSGatlas-TSS-1057</v>
      </c>
      <c r="B1058" s="3">
        <v>1300149</v>
      </c>
      <c r="C1058" s="1" t="s">
        <v>13</v>
      </c>
      <c r="D1058" s="1">
        <v>22</v>
      </c>
      <c r="E1058" s="1" t="s">
        <v>14745</v>
      </c>
      <c r="F1058" s="6"/>
      <c r="G1058" s="1" t="s">
        <v>14733</v>
      </c>
    </row>
    <row r="1059" spans="1:7" ht="21" x14ac:dyDescent="0.25">
      <c r="A1059" s="2" t="str">
        <f>HYPERLINK("https://rth.dk/resources/bsgatlas/details.php?id=BSGatlas-TSS-1058","BSGatlas-TSS-1058")</f>
        <v>BSGatlas-TSS-1058</v>
      </c>
      <c r="B1059" s="3">
        <v>1300397</v>
      </c>
      <c r="C1059" s="1" t="s">
        <v>9</v>
      </c>
      <c r="D1059" s="1">
        <v>0</v>
      </c>
      <c r="E1059" s="1" t="s">
        <v>14722</v>
      </c>
      <c r="F1059" s="6" t="s">
        <v>14885</v>
      </c>
      <c r="G1059" s="1" t="s">
        <v>14729</v>
      </c>
    </row>
    <row r="1060" spans="1:7" ht="21" x14ac:dyDescent="0.25">
      <c r="A1060" s="2" t="str">
        <f>HYPERLINK("https://rth.dk/resources/bsgatlas/details.php?id=BSGatlas-TSS-1059","BSGatlas-TSS-1059")</f>
        <v>BSGatlas-TSS-1059</v>
      </c>
      <c r="B1060" s="3">
        <v>1302463</v>
      </c>
      <c r="C1060" s="1" t="s">
        <v>13</v>
      </c>
      <c r="D1060" s="1">
        <v>22</v>
      </c>
      <c r="E1060" s="1" t="s">
        <v>14722</v>
      </c>
      <c r="F1060" s="6"/>
      <c r="G1060" s="1" t="s">
        <v>14726</v>
      </c>
    </row>
    <row r="1061" spans="1:7" ht="21" x14ac:dyDescent="0.25">
      <c r="A1061" s="2" t="str">
        <f>HYPERLINK("https://rth.dk/resources/bsgatlas/details.php?id=BSGatlas-TSS-1060","BSGatlas-TSS-1060")</f>
        <v>BSGatlas-TSS-1060</v>
      </c>
      <c r="B1061" s="3">
        <v>1303368</v>
      </c>
      <c r="C1061" s="1" t="s">
        <v>9</v>
      </c>
      <c r="D1061" s="1">
        <v>0</v>
      </c>
      <c r="E1061" s="1" t="s">
        <v>14735</v>
      </c>
      <c r="F1061" s="6">
        <v>9882655</v>
      </c>
      <c r="G1061" s="1" t="s">
        <v>14876</v>
      </c>
    </row>
    <row r="1062" spans="1:7" ht="21" x14ac:dyDescent="0.25">
      <c r="A1062" s="2" t="str">
        <f>HYPERLINK("https://rth.dk/resources/bsgatlas/details.php?id=BSGatlas-TSS-1061","BSGatlas-TSS-1061")</f>
        <v>BSGatlas-TSS-1061</v>
      </c>
      <c r="B1062" s="3">
        <v>1308679</v>
      </c>
      <c r="C1062" s="1" t="s">
        <v>9</v>
      </c>
      <c r="D1062" s="1">
        <v>22</v>
      </c>
      <c r="E1062" s="1" t="s">
        <v>14720</v>
      </c>
      <c r="F1062" s="6"/>
      <c r="G1062" s="1" t="s">
        <v>14726</v>
      </c>
    </row>
    <row r="1063" spans="1:7" ht="21" x14ac:dyDescent="0.25">
      <c r="A1063" s="2" t="str">
        <f>HYPERLINK("https://rth.dk/resources/bsgatlas/details.php?id=BSGatlas-TSS-1062","BSGatlas-TSS-1062")</f>
        <v>BSGatlas-TSS-1062</v>
      </c>
      <c r="B1063" s="3">
        <v>1308747</v>
      </c>
      <c r="C1063" s="1" t="s">
        <v>9</v>
      </c>
      <c r="D1063" s="1">
        <v>22</v>
      </c>
      <c r="E1063" s="1" t="s">
        <v>14722</v>
      </c>
      <c r="F1063" s="6"/>
      <c r="G1063" s="1" t="s">
        <v>14726</v>
      </c>
    </row>
    <row r="1064" spans="1:7" ht="21" x14ac:dyDescent="0.25">
      <c r="A1064" s="2" t="str">
        <f>HYPERLINK("https://rth.dk/resources/bsgatlas/details.php?id=BSGatlas-TSS-1063","BSGatlas-TSS-1063")</f>
        <v>BSGatlas-TSS-1063</v>
      </c>
      <c r="B1064" s="3">
        <v>1309525</v>
      </c>
      <c r="C1064" s="1" t="s">
        <v>13</v>
      </c>
      <c r="D1064" s="1">
        <v>22</v>
      </c>
      <c r="E1064" s="1" t="s">
        <v>14720</v>
      </c>
      <c r="F1064" s="6"/>
      <c r="G1064" s="1" t="s">
        <v>14726</v>
      </c>
    </row>
    <row r="1065" spans="1:7" ht="21" x14ac:dyDescent="0.25">
      <c r="A1065" s="2" t="str">
        <f>HYPERLINK("https://rth.dk/resources/bsgatlas/details.php?id=BSGatlas-TSS-1064","BSGatlas-TSS-1064")</f>
        <v>BSGatlas-TSS-1064</v>
      </c>
      <c r="B1065" s="3">
        <v>1313661</v>
      </c>
      <c r="C1065" s="1" t="s">
        <v>13</v>
      </c>
      <c r="D1065" s="1">
        <v>22</v>
      </c>
      <c r="E1065" s="1" t="s">
        <v>14722</v>
      </c>
      <c r="F1065" s="6"/>
      <c r="G1065" s="1" t="s">
        <v>14726</v>
      </c>
    </row>
    <row r="1066" spans="1:7" ht="21" x14ac:dyDescent="0.25">
      <c r="A1066" s="2" t="str">
        <f>HYPERLINK("https://rth.dk/resources/bsgatlas/details.php?id=BSGatlas-TSS-1065","BSGatlas-TSS-1065")</f>
        <v>BSGatlas-TSS-1065</v>
      </c>
      <c r="B1066" s="3">
        <v>1313744</v>
      </c>
      <c r="C1066" s="1" t="s">
        <v>13</v>
      </c>
      <c r="D1066" s="1">
        <v>22</v>
      </c>
      <c r="E1066" s="1" t="s">
        <v>14725</v>
      </c>
      <c r="F1066" s="6"/>
      <c r="G1066" s="1" t="s">
        <v>14733</v>
      </c>
    </row>
    <row r="1067" spans="1:7" ht="21" x14ac:dyDescent="0.25">
      <c r="A1067" s="2" t="str">
        <f>HYPERLINK("https://rth.dk/resources/bsgatlas/details.php?id=BSGatlas-TSS-1066","BSGatlas-TSS-1066")</f>
        <v>BSGatlas-TSS-1066</v>
      </c>
      <c r="B1067" s="3">
        <v>1314350</v>
      </c>
      <c r="C1067" s="1" t="s">
        <v>13</v>
      </c>
      <c r="D1067" s="1">
        <v>22</v>
      </c>
      <c r="E1067" s="1" t="s">
        <v>14722</v>
      </c>
      <c r="F1067" s="6"/>
      <c r="G1067" s="1" t="s">
        <v>14726</v>
      </c>
    </row>
    <row r="1068" spans="1:7" ht="21" x14ac:dyDescent="0.25">
      <c r="A1068" s="2" t="str">
        <f>HYPERLINK("https://rth.dk/resources/bsgatlas/details.php?id=BSGatlas-TSS-1067","BSGatlas-TSS-1067")</f>
        <v>BSGatlas-TSS-1067</v>
      </c>
      <c r="B1068" s="3">
        <v>1314424</v>
      </c>
      <c r="C1068" s="1" t="s">
        <v>9</v>
      </c>
      <c r="D1068" s="1">
        <v>0</v>
      </c>
      <c r="E1068" s="1" t="s">
        <v>14770</v>
      </c>
      <c r="F1068" s="6" t="s">
        <v>14771</v>
      </c>
      <c r="G1068" s="1" t="s">
        <v>14729</v>
      </c>
    </row>
    <row r="1069" spans="1:7" ht="21" x14ac:dyDescent="0.25">
      <c r="A1069" s="2" t="str">
        <f>HYPERLINK("https://rth.dk/resources/bsgatlas/details.php?id=BSGatlas-TSS-1068","BSGatlas-TSS-1068")</f>
        <v>BSGatlas-TSS-1068</v>
      </c>
      <c r="B1069" s="3">
        <v>1315838</v>
      </c>
      <c r="C1069" s="1" t="s">
        <v>9</v>
      </c>
      <c r="D1069" s="1">
        <v>0</v>
      </c>
      <c r="E1069" s="1" t="s">
        <v>14722</v>
      </c>
      <c r="F1069" s="6" t="s">
        <v>14886</v>
      </c>
      <c r="G1069" s="1" t="s">
        <v>14729</v>
      </c>
    </row>
    <row r="1070" spans="1:7" ht="21" x14ac:dyDescent="0.25">
      <c r="A1070" s="2" t="str">
        <f>HYPERLINK("https://rth.dk/resources/bsgatlas/details.php?id=BSGatlas-TSS-1069","BSGatlas-TSS-1069")</f>
        <v>BSGatlas-TSS-1069</v>
      </c>
      <c r="B1070" s="3">
        <v>1315846</v>
      </c>
      <c r="C1070" s="1" t="s">
        <v>13</v>
      </c>
      <c r="D1070" s="1">
        <v>22</v>
      </c>
      <c r="E1070" s="1" t="s">
        <v>14720</v>
      </c>
      <c r="F1070" s="6"/>
      <c r="G1070" s="1" t="s">
        <v>14726</v>
      </c>
    </row>
    <row r="1071" spans="1:7" ht="21" x14ac:dyDescent="0.25">
      <c r="A1071" s="2" t="str">
        <f>HYPERLINK("https://rth.dk/resources/bsgatlas/details.php?id=BSGatlas-TSS-1070","BSGatlas-TSS-1070")</f>
        <v>BSGatlas-TSS-1070</v>
      </c>
      <c r="B1071" s="3">
        <v>1317442</v>
      </c>
      <c r="C1071" s="1" t="s">
        <v>13</v>
      </c>
      <c r="D1071" s="1">
        <v>22</v>
      </c>
      <c r="E1071" s="1" t="s">
        <v>14722</v>
      </c>
      <c r="F1071" s="6"/>
      <c r="G1071" s="1" t="s">
        <v>14726</v>
      </c>
    </row>
    <row r="1072" spans="1:7" ht="21" x14ac:dyDescent="0.25">
      <c r="A1072" s="2" t="str">
        <f>HYPERLINK("https://rth.dk/resources/bsgatlas/details.php?id=BSGatlas-TSS-1071","BSGatlas-TSS-1071")</f>
        <v>BSGatlas-TSS-1071</v>
      </c>
      <c r="B1072" s="3">
        <v>1317497</v>
      </c>
      <c r="C1072" s="1" t="s">
        <v>9</v>
      </c>
      <c r="D1072" s="1">
        <v>22</v>
      </c>
      <c r="E1072" s="1" t="s">
        <v>14720</v>
      </c>
      <c r="F1072" s="6"/>
      <c r="G1072" s="1" t="s">
        <v>14726</v>
      </c>
    </row>
    <row r="1073" spans="1:7" ht="21" x14ac:dyDescent="0.25">
      <c r="A1073" s="2" t="str">
        <f>HYPERLINK("https://rth.dk/resources/bsgatlas/details.php?id=BSGatlas-TSS-1072","BSGatlas-TSS-1072")</f>
        <v>BSGatlas-TSS-1072</v>
      </c>
      <c r="B1073" s="3">
        <v>1318443</v>
      </c>
      <c r="C1073" s="1" t="s">
        <v>9</v>
      </c>
      <c r="D1073" s="1">
        <v>22</v>
      </c>
      <c r="E1073" s="1" t="s">
        <v>14720</v>
      </c>
      <c r="F1073" s="6"/>
      <c r="G1073" s="1" t="s">
        <v>14726</v>
      </c>
    </row>
    <row r="1074" spans="1:7" ht="21" x14ac:dyDescent="0.25">
      <c r="A1074" s="2" t="str">
        <f>HYPERLINK("https://rth.dk/resources/bsgatlas/details.php?id=BSGatlas-TSS-1073","BSGatlas-TSS-1073")</f>
        <v>BSGatlas-TSS-1073</v>
      </c>
      <c r="B1074" s="3">
        <v>1318940</v>
      </c>
      <c r="C1074" s="1" t="s">
        <v>13</v>
      </c>
      <c r="D1074" s="1">
        <v>22</v>
      </c>
      <c r="E1074" s="1" t="s">
        <v>14722</v>
      </c>
      <c r="F1074" s="6"/>
      <c r="G1074" s="1" t="s">
        <v>14726</v>
      </c>
    </row>
    <row r="1075" spans="1:7" ht="21" x14ac:dyDescent="0.25">
      <c r="A1075" s="2" t="str">
        <f>HYPERLINK("https://rth.dk/resources/bsgatlas/details.php?id=BSGatlas-TSS-1074","BSGatlas-TSS-1074")</f>
        <v>BSGatlas-TSS-1074</v>
      </c>
      <c r="B1075" s="3">
        <v>1318974</v>
      </c>
      <c r="C1075" s="1" t="s">
        <v>9</v>
      </c>
      <c r="D1075" s="1">
        <v>22</v>
      </c>
      <c r="E1075" s="1" t="s">
        <v>14722</v>
      </c>
      <c r="F1075" s="6"/>
      <c r="G1075" s="1" t="s">
        <v>14726</v>
      </c>
    </row>
    <row r="1076" spans="1:7" ht="21" x14ac:dyDescent="0.25">
      <c r="A1076" s="2" t="str">
        <f>HYPERLINK("https://rth.dk/resources/bsgatlas/details.php?id=BSGatlas-TSS-1075","BSGatlas-TSS-1075")</f>
        <v>BSGatlas-TSS-1075</v>
      </c>
      <c r="B1076" s="3">
        <v>1319656</v>
      </c>
      <c r="C1076" s="1" t="s">
        <v>9</v>
      </c>
      <c r="D1076" s="1">
        <v>22</v>
      </c>
      <c r="E1076" s="1" t="s">
        <v>14725</v>
      </c>
      <c r="F1076" s="6"/>
      <c r="G1076" s="1" t="s">
        <v>14726</v>
      </c>
    </row>
    <row r="1077" spans="1:7" ht="21" x14ac:dyDescent="0.25">
      <c r="A1077" s="2" t="str">
        <f>HYPERLINK("https://rth.dk/resources/bsgatlas/details.php?id=BSGatlas-TSS-1076","BSGatlas-TSS-1076")</f>
        <v>BSGatlas-TSS-1076</v>
      </c>
      <c r="B1077" s="3">
        <v>1321712</v>
      </c>
      <c r="C1077" s="1" t="s">
        <v>13</v>
      </c>
      <c r="D1077" s="1">
        <v>22</v>
      </c>
      <c r="E1077" s="1" t="s">
        <v>14722</v>
      </c>
      <c r="F1077" s="6"/>
      <c r="G1077" s="1" t="s">
        <v>14726</v>
      </c>
    </row>
    <row r="1078" spans="1:7" ht="21" x14ac:dyDescent="0.25">
      <c r="A1078" s="2" t="str">
        <f>HYPERLINK("https://rth.dk/resources/bsgatlas/details.php?id=BSGatlas-TSS-1077","BSGatlas-TSS-1077")</f>
        <v>BSGatlas-TSS-1077</v>
      </c>
      <c r="B1078" s="3">
        <v>1321790</v>
      </c>
      <c r="C1078" s="1" t="s">
        <v>9</v>
      </c>
      <c r="D1078" s="1">
        <v>22</v>
      </c>
      <c r="E1078" s="1" t="s">
        <v>14722</v>
      </c>
      <c r="F1078" s="6"/>
      <c r="G1078" s="1" t="s">
        <v>14726</v>
      </c>
    </row>
    <row r="1079" spans="1:7" ht="21" x14ac:dyDescent="0.25">
      <c r="A1079" s="2" t="str">
        <f>HYPERLINK("https://rth.dk/resources/bsgatlas/details.php?id=BSGatlas-TSS-1078","BSGatlas-TSS-1078")</f>
        <v>BSGatlas-TSS-1078</v>
      </c>
      <c r="B1079" s="3">
        <v>1325005</v>
      </c>
      <c r="C1079" s="1" t="s">
        <v>9</v>
      </c>
      <c r="D1079" s="1">
        <v>22</v>
      </c>
      <c r="E1079" s="1" t="s">
        <v>14720</v>
      </c>
      <c r="F1079" s="6"/>
      <c r="G1079" s="1" t="s">
        <v>14733</v>
      </c>
    </row>
    <row r="1080" spans="1:7" ht="21" x14ac:dyDescent="0.25">
      <c r="A1080" s="2" t="str">
        <f>HYPERLINK("https://rth.dk/resources/bsgatlas/details.php?id=BSGatlas-TSS-1079","BSGatlas-TSS-1079")</f>
        <v>BSGatlas-TSS-1079</v>
      </c>
      <c r="B1080" s="3">
        <v>1328239</v>
      </c>
      <c r="C1080" s="1" t="s">
        <v>9</v>
      </c>
      <c r="D1080" s="1">
        <v>22</v>
      </c>
      <c r="E1080" s="1" t="s">
        <v>14725</v>
      </c>
      <c r="F1080" s="6"/>
      <c r="G1080" s="1" t="s">
        <v>14726</v>
      </c>
    </row>
    <row r="1081" spans="1:7" ht="21" x14ac:dyDescent="0.25">
      <c r="A1081" s="2" t="str">
        <f>HYPERLINK("https://rth.dk/resources/bsgatlas/details.php?id=BSGatlas-TSS-1080","BSGatlas-TSS-1080")</f>
        <v>BSGatlas-TSS-1080</v>
      </c>
      <c r="B1081" s="3">
        <v>1335379</v>
      </c>
      <c r="C1081" s="1" t="s">
        <v>13</v>
      </c>
      <c r="D1081" s="1">
        <v>22</v>
      </c>
      <c r="E1081" s="1" t="s">
        <v>14752</v>
      </c>
      <c r="F1081" s="6"/>
      <c r="G1081" s="1" t="s">
        <v>14726</v>
      </c>
    </row>
    <row r="1082" spans="1:7" ht="21" x14ac:dyDescent="0.25">
      <c r="A1082" s="2" t="str">
        <f>HYPERLINK("https://rth.dk/resources/bsgatlas/details.php?id=BSGatlas-TSS-1081","BSGatlas-TSS-1081")</f>
        <v>BSGatlas-TSS-1081</v>
      </c>
      <c r="B1082" s="3">
        <v>1336626</v>
      </c>
      <c r="C1082" s="1" t="s">
        <v>13</v>
      </c>
      <c r="D1082" s="1">
        <v>22</v>
      </c>
      <c r="E1082" s="1" t="s">
        <v>14732</v>
      </c>
      <c r="F1082" s="6"/>
      <c r="G1082" s="1" t="s">
        <v>14726</v>
      </c>
    </row>
    <row r="1083" spans="1:7" ht="21" x14ac:dyDescent="0.25">
      <c r="A1083" s="2" t="str">
        <f>HYPERLINK("https://rth.dk/resources/bsgatlas/details.php?id=BSGatlas-TSS-1082","BSGatlas-TSS-1082")</f>
        <v>BSGatlas-TSS-1082</v>
      </c>
      <c r="B1083" s="3">
        <v>1346693</v>
      </c>
      <c r="C1083" s="1" t="s">
        <v>9</v>
      </c>
      <c r="D1083" s="1">
        <v>22</v>
      </c>
      <c r="E1083" s="1" t="s">
        <v>14720</v>
      </c>
      <c r="F1083" s="6"/>
      <c r="G1083" s="1" t="s">
        <v>14726</v>
      </c>
    </row>
    <row r="1084" spans="1:7" ht="21" x14ac:dyDescent="0.25">
      <c r="A1084" s="2" t="str">
        <f>HYPERLINK("https://rth.dk/resources/bsgatlas/details.php?id=BSGatlas-TSS-1083","BSGatlas-TSS-1083")</f>
        <v>BSGatlas-TSS-1083</v>
      </c>
      <c r="B1084" s="3">
        <v>1349210</v>
      </c>
      <c r="C1084" s="1" t="s">
        <v>13</v>
      </c>
      <c r="D1084" s="1">
        <v>22</v>
      </c>
      <c r="E1084" s="1" t="s">
        <v>14722</v>
      </c>
      <c r="F1084" s="6"/>
      <c r="G1084" s="1" t="s">
        <v>14726</v>
      </c>
    </row>
    <row r="1085" spans="1:7" ht="21" x14ac:dyDescent="0.25">
      <c r="A1085" s="2" t="str">
        <f>HYPERLINK("https://rth.dk/resources/bsgatlas/details.php?id=BSGatlas-TSS-1084","BSGatlas-TSS-1084")</f>
        <v>BSGatlas-TSS-1084</v>
      </c>
      <c r="B1085" s="3">
        <v>1349397</v>
      </c>
      <c r="C1085" s="1" t="s">
        <v>13</v>
      </c>
      <c r="D1085" s="1">
        <v>22</v>
      </c>
      <c r="E1085" s="1" t="s">
        <v>14727</v>
      </c>
      <c r="F1085" s="6"/>
      <c r="G1085" s="1" t="s">
        <v>14726</v>
      </c>
    </row>
    <row r="1086" spans="1:7" ht="21" x14ac:dyDescent="0.25">
      <c r="A1086" s="2" t="str">
        <f>HYPERLINK("https://rth.dk/resources/bsgatlas/details.php?id=BSGatlas-TSS-1085","BSGatlas-TSS-1085")</f>
        <v>BSGatlas-TSS-1085</v>
      </c>
      <c r="B1086" s="3">
        <v>1351137</v>
      </c>
      <c r="C1086" s="1" t="s">
        <v>13</v>
      </c>
      <c r="D1086" s="1">
        <v>22</v>
      </c>
      <c r="E1086" s="1" t="s">
        <v>14722</v>
      </c>
      <c r="F1086" s="6"/>
      <c r="G1086" s="1" t="s">
        <v>14726</v>
      </c>
    </row>
    <row r="1087" spans="1:7" ht="21" x14ac:dyDescent="0.25">
      <c r="A1087" s="2" t="str">
        <f>HYPERLINK("https://rth.dk/resources/bsgatlas/details.php?id=BSGatlas-TSS-1086","BSGatlas-TSS-1086")</f>
        <v>BSGatlas-TSS-1086</v>
      </c>
      <c r="B1087" s="3">
        <v>1351236</v>
      </c>
      <c r="C1087" s="1" t="s">
        <v>13</v>
      </c>
      <c r="D1087" s="1">
        <v>22</v>
      </c>
      <c r="E1087" s="1" t="s">
        <v>14722</v>
      </c>
      <c r="F1087" s="6"/>
      <c r="G1087" s="1" t="s">
        <v>14733</v>
      </c>
    </row>
    <row r="1088" spans="1:7" ht="21" x14ac:dyDescent="0.25">
      <c r="A1088" s="2" t="str">
        <f>HYPERLINK("https://rth.dk/resources/bsgatlas/details.php?id=BSGatlas-TSS-1087","BSGatlas-TSS-1087")</f>
        <v>BSGatlas-TSS-1087</v>
      </c>
      <c r="B1088" s="3">
        <v>1351293</v>
      </c>
      <c r="C1088" s="1" t="s">
        <v>13</v>
      </c>
      <c r="D1088" s="1">
        <v>22</v>
      </c>
      <c r="E1088" s="1" t="s">
        <v>14722</v>
      </c>
      <c r="F1088" s="6"/>
      <c r="G1088" s="1" t="s">
        <v>14726</v>
      </c>
    </row>
    <row r="1089" spans="1:7" ht="21" x14ac:dyDescent="0.25">
      <c r="A1089" s="2" t="str">
        <f>HYPERLINK("https://rth.dk/resources/bsgatlas/details.php?id=BSGatlas-TSS-1088","BSGatlas-TSS-1088")</f>
        <v>BSGatlas-TSS-1088</v>
      </c>
      <c r="B1089" s="3">
        <v>1352754</v>
      </c>
      <c r="C1089" s="1" t="s">
        <v>13</v>
      </c>
      <c r="D1089" s="1">
        <v>22</v>
      </c>
      <c r="E1089" s="1" t="s">
        <v>14722</v>
      </c>
      <c r="F1089" s="6"/>
      <c r="G1089" s="1" t="s">
        <v>14726</v>
      </c>
    </row>
    <row r="1090" spans="1:7" ht="21" x14ac:dyDescent="0.25">
      <c r="A1090" s="2" t="str">
        <f>HYPERLINK("https://rth.dk/resources/bsgatlas/details.php?id=BSGatlas-TSS-1089","BSGatlas-TSS-1089")</f>
        <v>BSGatlas-TSS-1089</v>
      </c>
      <c r="B1090" s="3">
        <v>1353011</v>
      </c>
      <c r="C1090" s="1" t="s">
        <v>9</v>
      </c>
      <c r="D1090" s="1">
        <v>0</v>
      </c>
      <c r="E1090" s="1" t="s">
        <v>14722</v>
      </c>
      <c r="F1090" s="6" t="s">
        <v>14811</v>
      </c>
      <c r="G1090" s="1" t="s">
        <v>14778</v>
      </c>
    </row>
    <row r="1091" spans="1:7" ht="21" x14ac:dyDescent="0.25">
      <c r="A1091" s="2" t="str">
        <f>HYPERLINK("https://rth.dk/resources/bsgatlas/details.php?id=BSGatlas-TSS-1090","BSGatlas-TSS-1090")</f>
        <v>BSGatlas-TSS-1090</v>
      </c>
      <c r="B1091" s="3">
        <v>1355234</v>
      </c>
      <c r="C1091" s="1" t="s">
        <v>9</v>
      </c>
      <c r="D1091" s="1">
        <v>22</v>
      </c>
      <c r="E1091" s="1" t="s">
        <v>14720</v>
      </c>
      <c r="F1091" s="6"/>
      <c r="G1091" s="1" t="s">
        <v>14726</v>
      </c>
    </row>
    <row r="1092" spans="1:7" ht="21" x14ac:dyDescent="0.25">
      <c r="A1092" s="2" t="str">
        <f>HYPERLINK("https://rth.dk/resources/bsgatlas/details.php?id=BSGatlas-TSS-1091","BSGatlas-TSS-1091")</f>
        <v>BSGatlas-TSS-1091</v>
      </c>
      <c r="B1092" s="3">
        <v>1357852</v>
      </c>
      <c r="C1092" s="1" t="s">
        <v>13</v>
      </c>
      <c r="D1092" s="1">
        <v>22</v>
      </c>
      <c r="E1092" s="1" t="s">
        <v>14739</v>
      </c>
      <c r="F1092" s="6"/>
      <c r="G1092" s="1" t="s">
        <v>14726</v>
      </c>
    </row>
    <row r="1093" spans="1:7" ht="21" x14ac:dyDescent="0.25">
      <c r="A1093" s="2" t="str">
        <f>HYPERLINK("https://rth.dk/resources/bsgatlas/details.php?id=BSGatlas-TSS-1092","BSGatlas-TSS-1092")</f>
        <v>BSGatlas-TSS-1092</v>
      </c>
      <c r="B1093" s="3">
        <v>1359345</v>
      </c>
      <c r="C1093" s="1" t="s">
        <v>13</v>
      </c>
      <c r="D1093" s="1">
        <v>0</v>
      </c>
      <c r="E1093" s="1" t="s">
        <v>14722</v>
      </c>
      <c r="F1093" s="6" t="s">
        <v>14887</v>
      </c>
      <c r="G1093" s="1" t="s">
        <v>14729</v>
      </c>
    </row>
    <row r="1094" spans="1:7" ht="21" x14ac:dyDescent="0.25">
      <c r="A1094" s="2" t="str">
        <f>HYPERLINK("https://rth.dk/resources/bsgatlas/details.php?id=BSGatlas-TSS-1093","BSGatlas-TSS-1093")</f>
        <v>BSGatlas-TSS-1093</v>
      </c>
      <c r="B1094" s="3">
        <v>1359345</v>
      </c>
      <c r="C1094" s="1" t="s">
        <v>9</v>
      </c>
      <c r="D1094" s="1">
        <v>22</v>
      </c>
      <c r="E1094" s="1" t="s">
        <v>14722</v>
      </c>
      <c r="F1094" s="6"/>
      <c r="G1094" s="1" t="s">
        <v>14726</v>
      </c>
    </row>
    <row r="1095" spans="1:7" ht="21" x14ac:dyDescent="0.25">
      <c r="A1095" s="2" t="str">
        <f>HYPERLINK("https://rth.dk/resources/bsgatlas/details.php?id=BSGatlas-TSS-1094","BSGatlas-TSS-1094")</f>
        <v>BSGatlas-TSS-1094</v>
      </c>
      <c r="B1095" s="3">
        <v>1359420</v>
      </c>
      <c r="C1095" s="1" t="s">
        <v>9</v>
      </c>
      <c r="D1095" s="1">
        <v>22</v>
      </c>
      <c r="E1095" s="1" t="s">
        <v>14722</v>
      </c>
      <c r="F1095" s="6"/>
      <c r="G1095" s="1" t="s">
        <v>14726</v>
      </c>
    </row>
    <row r="1096" spans="1:7" ht="21" x14ac:dyDescent="0.25">
      <c r="A1096" s="2" t="str">
        <f>HYPERLINK("https://rth.dk/resources/bsgatlas/details.php?id=BSGatlas-TSS-1095","BSGatlas-TSS-1095")</f>
        <v>BSGatlas-TSS-1095</v>
      </c>
      <c r="B1096" s="3">
        <v>1359439</v>
      </c>
      <c r="C1096" s="1" t="s">
        <v>13</v>
      </c>
      <c r="D1096" s="1">
        <v>22</v>
      </c>
      <c r="E1096" s="1" t="s">
        <v>14722</v>
      </c>
      <c r="F1096" s="6"/>
      <c r="G1096" s="1" t="s">
        <v>14733</v>
      </c>
    </row>
    <row r="1097" spans="1:7" ht="21" x14ac:dyDescent="0.25">
      <c r="A1097" s="2" t="str">
        <f>HYPERLINK("https://rth.dk/resources/bsgatlas/details.php?id=BSGatlas-TSS-1096","BSGatlas-TSS-1096")</f>
        <v>BSGatlas-TSS-1096</v>
      </c>
      <c r="B1097" s="3">
        <v>1360365</v>
      </c>
      <c r="C1097" s="1" t="s">
        <v>9</v>
      </c>
      <c r="D1097" s="1">
        <v>0</v>
      </c>
      <c r="E1097" s="1" t="s">
        <v>14722</v>
      </c>
      <c r="F1097" s="6" t="s">
        <v>14888</v>
      </c>
      <c r="G1097" s="1" t="s">
        <v>14729</v>
      </c>
    </row>
    <row r="1098" spans="1:7" ht="21" x14ac:dyDescent="0.25">
      <c r="A1098" s="2" t="str">
        <f>HYPERLINK("https://rth.dk/resources/bsgatlas/details.php?id=BSGatlas-TSS-1097","BSGatlas-TSS-1097")</f>
        <v>BSGatlas-TSS-1097</v>
      </c>
      <c r="B1098" s="3">
        <v>1362890</v>
      </c>
      <c r="C1098" s="1" t="s">
        <v>9</v>
      </c>
      <c r="D1098" s="1">
        <v>22</v>
      </c>
      <c r="E1098" s="1" t="s">
        <v>14727</v>
      </c>
      <c r="F1098" s="6"/>
      <c r="G1098" s="1" t="s">
        <v>14726</v>
      </c>
    </row>
    <row r="1099" spans="1:7" ht="21" x14ac:dyDescent="0.25">
      <c r="A1099" s="2" t="str">
        <f>HYPERLINK("https://rth.dk/resources/bsgatlas/details.php?id=BSGatlas-TSS-1098","BSGatlas-TSS-1098")</f>
        <v>BSGatlas-TSS-1098</v>
      </c>
      <c r="B1099" s="3">
        <v>1370963</v>
      </c>
      <c r="C1099" s="1" t="s">
        <v>13</v>
      </c>
      <c r="D1099" s="1">
        <v>22</v>
      </c>
      <c r="E1099" s="1" t="s">
        <v>14722</v>
      </c>
      <c r="F1099" s="6"/>
      <c r="G1099" s="1" t="s">
        <v>14726</v>
      </c>
    </row>
    <row r="1100" spans="1:7" ht="21" x14ac:dyDescent="0.25">
      <c r="A1100" s="2" t="str">
        <f>HYPERLINK("https://rth.dk/resources/bsgatlas/details.php?id=BSGatlas-TSS-1099","BSGatlas-TSS-1099")</f>
        <v>BSGatlas-TSS-1099</v>
      </c>
      <c r="B1100" s="3">
        <v>1371917</v>
      </c>
      <c r="C1100" s="1" t="s">
        <v>13</v>
      </c>
      <c r="D1100" s="1">
        <v>22</v>
      </c>
      <c r="E1100" s="1" t="s">
        <v>14734</v>
      </c>
      <c r="F1100" s="6"/>
      <c r="G1100" s="1" t="s">
        <v>14726</v>
      </c>
    </row>
    <row r="1101" spans="1:7" ht="21" x14ac:dyDescent="0.25">
      <c r="A1101" s="2" t="str">
        <f>HYPERLINK("https://rth.dk/resources/bsgatlas/details.php?id=BSGatlas-TSS-1100","BSGatlas-TSS-1100")</f>
        <v>BSGatlas-TSS-1100</v>
      </c>
      <c r="B1101" s="3">
        <v>1371977</v>
      </c>
      <c r="C1101" s="1" t="s">
        <v>9</v>
      </c>
      <c r="D1101" s="1">
        <v>22</v>
      </c>
      <c r="E1101" s="1" t="s">
        <v>14722</v>
      </c>
      <c r="F1101" s="6"/>
      <c r="G1101" s="1" t="s">
        <v>14726</v>
      </c>
    </row>
    <row r="1102" spans="1:7" ht="21" x14ac:dyDescent="0.25">
      <c r="A1102" s="2" t="str">
        <f>HYPERLINK("https://rth.dk/resources/bsgatlas/details.php?id=BSGatlas-TSS-1101","BSGatlas-TSS-1101")</f>
        <v>BSGatlas-TSS-1101</v>
      </c>
      <c r="B1102" s="3">
        <v>1372636</v>
      </c>
      <c r="C1102" s="1" t="s">
        <v>9</v>
      </c>
      <c r="D1102" s="1">
        <v>22</v>
      </c>
      <c r="E1102" s="1" t="s">
        <v>14732</v>
      </c>
      <c r="F1102" s="6"/>
      <c r="G1102" s="1" t="s">
        <v>14733</v>
      </c>
    </row>
    <row r="1103" spans="1:7" ht="21" x14ac:dyDescent="0.25">
      <c r="A1103" s="2" t="str">
        <f>HYPERLINK("https://rth.dk/resources/bsgatlas/details.php?id=BSGatlas-TSS-1102","BSGatlas-TSS-1102")</f>
        <v>BSGatlas-TSS-1102</v>
      </c>
      <c r="B1103" s="3">
        <v>1372753</v>
      </c>
      <c r="C1103" s="1" t="s">
        <v>9</v>
      </c>
      <c r="D1103" s="1">
        <v>0</v>
      </c>
      <c r="E1103" s="1" t="s">
        <v>14722</v>
      </c>
      <c r="F1103" s="6" t="s">
        <v>14889</v>
      </c>
      <c r="G1103" s="1" t="s">
        <v>14729</v>
      </c>
    </row>
    <row r="1104" spans="1:7" ht="21" x14ac:dyDescent="0.25">
      <c r="A1104" s="2" t="str">
        <f>HYPERLINK("https://rth.dk/resources/bsgatlas/details.php?id=BSGatlas-TSS-1103","BSGatlas-TSS-1103")</f>
        <v>BSGatlas-TSS-1103</v>
      </c>
      <c r="B1104" s="3">
        <v>1374398</v>
      </c>
      <c r="C1104" s="1" t="s">
        <v>9</v>
      </c>
      <c r="D1104" s="1">
        <v>22</v>
      </c>
      <c r="E1104" s="1" t="s">
        <v>14732</v>
      </c>
      <c r="F1104" s="6"/>
      <c r="G1104" s="1" t="s">
        <v>14726</v>
      </c>
    </row>
    <row r="1105" spans="1:7" ht="21" x14ac:dyDescent="0.25">
      <c r="A1105" s="2" t="str">
        <f>HYPERLINK("https://rth.dk/resources/bsgatlas/details.php?id=BSGatlas-TSS-1104","BSGatlas-TSS-1104")</f>
        <v>BSGatlas-TSS-1104</v>
      </c>
      <c r="B1105" s="3">
        <v>1375234</v>
      </c>
      <c r="C1105" s="1" t="s">
        <v>9</v>
      </c>
      <c r="D1105" s="1">
        <v>22</v>
      </c>
      <c r="E1105" s="1" t="s">
        <v>14745</v>
      </c>
      <c r="F1105" s="6"/>
      <c r="G1105" s="1" t="s">
        <v>14726</v>
      </c>
    </row>
    <row r="1106" spans="1:7" ht="21" x14ac:dyDescent="0.25">
      <c r="A1106" s="2" t="str">
        <f>HYPERLINK("https://rth.dk/resources/bsgatlas/details.php?id=BSGatlas-TSS-1105","BSGatlas-TSS-1105")</f>
        <v>BSGatlas-TSS-1105</v>
      </c>
      <c r="B1106" s="3">
        <v>1376313</v>
      </c>
      <c r="C1106" s="1" t="s">
        <v>9</v>
      </c>
      <c r="D1106" s="1">
        <v>22</v>
      </c>
      <c r="E1106" s="1" t="s">
        <v>14722</v>
      </c>
      <c r="F1106" s="6"/>
      <c r="G1106" s="1" t="s">
        <v>14726</v>
      </c>
    </row>
    <row r="1107" spans="1:7" ht="21" x14ac:dyDescent="0.25">
      <c r="A1107" s="2" t="str">
        <f>HYPERLINK("https://rth.dk/resources/bsgatlas/details.php?id=BSGatlas-TSS-1106","BSGatlas-TSS-1106")</f>
        <v>BSGatlas-TSS-1106</v>
      </c>
      <c r="B1107" s="3">
        <v>1377203</v>
      </c>
      <c r="C1107" s="1" t="s">
        <v>9</v>
      </c>
      <c r="D1107" s="1">
        <v>22</v>
      </c>
      <c r="E1107" s="1" t="s">
        <v>14722</v>
      </c>
      <c r="F1107" s="6"/>
      <c r="G1107" s="1" t="s">
        <v>14726</v>
      </c>
    </row>
    <row r="1108" spans="1:7" ht="21" x14ac:dyDescent="0.25">
      <c r="A1108" s="2" t="str">
        <f>HYPERLINK("https://rth.dk/resources/bsgatlas/details.php?id=BSGatlas-TSS-1107","BSGatlas-TSS-1107")</f>
        <v>BSGatlas-TSS-1107</v>
      </c>
      <c r="B1108" s="3">
        <v>1378226</v>
      </c>
      <c r="C1108" s="1" t="s">
        <v>9</v>
      </c>
      <c r="D1108" s="1">
        <v>0</v>
      </c>
      <c r="E1108" s="1" t="s">
        <v>14722</v>
      </c>
      <c r="F1108" s="6">
        <v>21233158</v>
      </c>
      <c r="G1108" s="1" t="s">
        <v>14747</v>
      </c>
    </row>
    <row r="1109" spans="1:7" ht="21" x14ac:dyDescent="0.25">
      <c r="A1109" s="2" t="str">
        <f>HYPERLINK("https://rth.dk/resources/bsgatlas/details.php?id=BSGatlas-TSS-1108","BSGatlas-TSS-1108")</f>
        <v>BSGatlas-TSS-1108</v>
      </c>
      <c r="B1109" s="3">
        <v>1378687</v>
      </c>
      <c r="C1109" s="1" t="s">
        <v>9</v>
      </c>
      <c r="D1109" s="1">
        <v>22</v>
      </c>
      <c r="E1109" s="1" t="s">
        <v>14720</v>
      </c>
      <c r="F1109" s="6"/>
      <c r="G1109" s="1" t="s">
        <v>14726</v>
      </c>
    </row>
    <row r="1110" spans="1:7" ht="21" x14ac:dyDescent="0.25">
      <c r="A1110" s="2" t="str">
        <f>HYPERLINK("https://rth.dk/resources/bsgatlas/details.php?id=BSGatlas-TSS-1109","BSGatlas-TSS-1109")</f>
        <v>BSGatlas-TSS-1109</v>
      </c>
      <c r="B1110" s="3">
        <v>1380951</v>
      </c>
      <c r="C1110" s="1" t="s">
        <v>9</v>
      </c>
      <c r="D1110" s="1">
        <v>0</v>
      </c>
      <c r="E1110" s="1" t="s">
        <v>14722</v>
      </c>
      <c r="F1110" s="6" t="s">
        <v>14890</v>
      </c>
      <c r="G1110" s="1" t="s">
        <v>14729</v>
      </c>
    </row>
    <row r="1111" spans="1:7" ht="21" x14ac:dyDescent="0.25">
      <c r="A1111" s="2" t="str">
        <f>HYPERLINK("https://rth.dk/resources/bsgatlas/details.php?id=BSGatlas-TSS-1110","BSGatlas-TSS-1110")</f>
        <v>BSGatlas-TSS-1110</v>
      </c>
      <c r="B1111" s="3">
        <v>1381910</v>
      </c>
      <c r="C1111" s="1" t="s">
        <v>13</v>
      </c>
      <c r="D1111" s="1">
        <v>22</v>
      </c>
      <c r="E1111" s="1" t="s">
        <v>14722</v>
      </c>
      <c r="F1111" s="6"/>
      <c r="G1111" s="1" t="s">
        <v>14726</v>
      </c>
    </row>
    <row r="1112" spans="1:7" ht="21" x14ac:dyDescent="0.25">
      <c r="A1112" s="2" t="str">
        <f>HYPERLINK("https://rth.dk/resources/bsgatlas/details.php?id=BSGatlas-TSS-1111","BSGatlas-TSS-1111")</f>
        <v>BSGatlas-TSS-1111</v>
      </c>
      <c r="B1112" s="3">
        <v>1381994</v>
      </c>
      <c r="C1112" s="1" t="s">
        <v>9</v>
      </c>
      <c r="D1112" s="1">
        <v>0</v>
      </c>
      <c r="E1112" s="1" t="s">
        <v>14734</v>
      </c>
      <c r="F1112" s="6" t="s">
        <v>14890</v>
      </c>
      <c r="G1112" s="1" t="s">
        <v>14729</v>
      </c>
    </row>
    <row r="1113" spans="1:7" ht="21" x14ac:dyDescent="0.25">
      <c r="A1113" s="2" t="str">
        <f>HYPERLINK("https://rth.dk/resources/bsgatlas/details.php?id=BSGatlas-TSS-1112","BSGatlas-TSS-1112")</f>
        <v>BSGatlas-TSS-1112</v>
      </c>
      <c r="B1113" s="3">
        <v>1383171</v>
      </c>
      <c r="C1113" s="1" t="s">
        <v>13</v>
      </c>
      <c r="D1113" s="1">
        <v>0</v>
      </c>
      <c r="E1113" s="1" t="s">
        <v>14722</v>
      </c>
      <c r="F1113" s="6" t="s">
        <v>14891</v>
      </c>
      <c r="G1113" s="1" t="s">
        <v>14729</v>
      </c>
    </row>
    <row r="1114" spans="1:7" ht="21" x14ac:dyDescent="0.25">
      <c r="A1114" s="2" t="str">
        <f>HYPERLINK("https://rth.dk/resources/bsgatlas/details.php?id=BSGatlas-TSS-1113","BSGatlas-TSS-1113")</f>
        <v>BSGatlas-TSS-1113</v>
      </c>
      <c r="B1114" s="3">
        <v>1385671</v>
      </c>
      <c r="C1114" s="1" t="s">
        <v>13</v>
      </c>
      <c r="D1114" s="1">
        <v>22</v>
      </c>
      <c r="E1114" s="1" t="s">
        <v>14720</v>
      </c>
      <c r="F1114" s="6"/>
      <c r="G1114" s="1" t="s">
        <v>14733</v>
      </c>
    </row>
    <row r="1115" spans="1:7" ht="21" x14ac:dyDescent="0.25">
      <c r="A1115" s="2" t="str">
        <f>HYPERLINK("https://rth.dk/resources/bsgatlas/details.php?id=BSGatlas-TSS-1114","BSGatlas-TSS-1114")</f>
        <v>BSGatlas-TSS-1114</v>
      </c>
      <c r="B1115" s="3">
        <v>1385936</v>
      </c>
      <c r="C1115" s="1" t="s">
        <v>13</v>
      </c>
      <c r="D1115" s="1">
        <v>22</v>
      </c>
      <c r="E1115" s="1" t="s">
        <v>14722</v>
      </c>
      <c r="F1115" s="6"/>
      <c r="G1115" s="1" t="s">
        <v>14726</v>
      </c>
    </row>
    <row r="1116" spans="1:7" ht="21" x14ac:dyDescent="0.25">
      <c r="A1116" s="2" t="str">
        <f>HYPERLINK("https://rth.dk/resources/bsgatlas/details.php?id=BSGatlas-TSS-1115","BSGatlas-TSS-1115")</f>
        <v>BSGatlas-TSS-1115</v>
      </c>
      <c r="B1116" s="3">
        <v>1387028</v>
      </c>
      <c r="C1116" s="1" t="s">
        <v>13</v>
      </c>
      <c r="D1116" s="1">
        <v>0</v>
      </c>
      <c r="E1116" s="1" t="s">
        <v>14722</v>
      </c>
      <c r="F1116" s="6">
        <v>3087947</v>
      </c>
      <c r="G1116" s="1" t="s">
        <v>14737</v>
      </c>
    </row>
    <row r="1117" spans="1:7" ht="21" x14ac:dyDescent="0.25">
      <c r="A1117" s="2" t="str">
        <f>HYPERLINK("https://rth.dk/resources/bsgatlas/details.php?id=BSGatlas-TSS-1116","BSGatlas-TSS-1116")</f>
        <v>BSGatlas-TSS-1116</v>
      </c>
      <c r="B1117" s="3">
        <v>1387168</v>
      </c>
      <c r="C1117" s="1" t="s">
        <v>9</v>
      </c>
      <c r="D1117" s="1">
        <v>22</v>
      </c>
      <c r="E1117" s="1" t="s">
        <v>14722</v>
      </c>
      <c r="F1117" s="6"/>
      <c r="G1117" s="1" t="s">
        <v>14726</v>
      </c>
    </row>
    <row r="1118" spans="1:7" ht="21" x14ac:dyDescent="0.25">
      <c r="A1118" s="2" t="str">
        <f>HYPERLINK("https://rth.dk/resources/bsgatlas/details.php?id=BSGatlas-TSS-1117","BSGatlas-TSS-1117")</f>
        <v>BSGatlas-TSS-1117</v>
      </c>
      <c r="B1118" s="3">
        <v>1391882</v>
      </c>
      <c r="C1118" s="1" t="s">
        <v>9</v>
      </c>
      <c r="D1118" s="1">
        <v>22</v>
      </c>
      <c r="E1118" s="1" t="s">
        <v>14722</v>
      </c>
      <c r="F1118" s="6"/>
      <c r="G1118" s="1" t="s">
        <v>14726</v>
      </c>
    </row>
    <row r="1119" spans="1:7" ht="21" x14ac:dyDescent="0.25">
      <c r="A1119" s="2" t="str">
        <f>HYPERLINK("https://rth.dk/resources/bsgatlas/details.php?id=BSGatlas-TSS-1118","BSGatlas-TSS-1118")</f>
        <v>BSGatlas-TSS-1118</v>
      </c>
      <c r="B1119" s="3">
        <v>1391887</v>
      </c>
      <c r="C1119" s="1" t="s">
        <v>13</v>
      </c>
      <c r="D1119" s="1">
        <v>22</v>
      </c>
      <c r="E1119" s="1" t="s">
        <v>14722</v>
      </c>
      <c r="F1119" s="6"/>
      <c r="G1119" s="1" t="s">
        <v>14726</v>
      </c>
    </row>
    <row r="1120" spans="1:7" ht="21" x14ac:dyDescent="0.25">
      <c r="A1120" s="2" t="str">
        <f>HYPERLINK("https://rth.dk/resources/bsgatlas/details.php?id=BSGatlas-TSS-1119","BSGatlas-TSS-1119")</f>
        <v>BSGatlas-TSS-1119</v>
      </c>
      <c r="B1120" s="3">
        <v>1394737</v>
      </c>
      <c r="C1120" s="1" t="s">
        <v>9</v>
      </c>
      <c r="D1120" s="1">
        <v>22</v>
      </c>
      <c r="E1120" s="1" t="s">
        <v>14722</v>
      </c>
      <c r="F1120" s="6"/>
      <c r="G1120" s="1" t="s">
        <v>14726</v>
      </c>
    </row>
    <row r="1121" spans="1:7" ht="21" x14ac:dyDescent="0.25">
      <c r="A1121" s="2" t="str">
        <f>HYPERLINK("https://rth.dk/resources/bsgatlas/details.php?id=BSGatlas-TSS-1120","BSGatlas-TSS-1120")</f>
        <v>BSGatlas-TSS-1120</v>
      </c>
      <c r="B1121" s="3">
        <v>1395340</v>
      </c>
      <c r="C1121" s="1" t="s">
        <v>9</v>
      </c>
      <c r="D1121" s="1">
        <v>22</v>
      </c>
      <c r="E1121" s="1" t="s">
        <v>14732</v>
      </c>
      <c r="F1121" s="6"/>
      <c r="G1121" s="1" t="s">
        <v>14726</v>
      </c>
    </row>
    <row r="1122" spans="1:7" ht="21" x14ac:dyDescent="0.25">
      <c r="A1122" s="2" t="str">
        <f>HYPERLINK("https://rth.dk/resources/bsgatlas/details.php?id=BSGatlas-TSS-1121","BSGatlas-TSS-1121")</f>
        <v>BSGatlas-TSS-1121</v>
      </c>
      <c r="B1122" s="3">
        <v>1395590</v>
      </c>
      <c r="C1122" s="1" t="s">
        <v>9</v>
      </c>
      <c r="D1122" s="1">
        <v>22</v>
      </c>
      <c r="E1122" s="1" t="s">
        <v>14722</v>
      </c>
      <c r="F1122" s="6"/>
      <c r="G1122" s="1" t="s">
        <v>14733</v>
      </c>
    </row>
    <row r="1123" spans="1:7" ht="21" x14ac:dyDescent="0.25">
      <c r="A1123" s="2" t="str">
        <f>HYPERLINK("https://rth.dk/resources/bsgatlas/details.php?id=BSGatlas-TSS-1122","BSGatlas-TSS-1122")</f>
        <v>BSGatlas-TSS-1122</v>
      </c>
      <c r="B1123" s="3">
        <v>1395911</v>
      </c>
      <c r="C1123" s="1" t="s">
        <v>9</v>
      </c>
      <c r="D1123" s="1">
        <v>22</v>
      </c>
      <c r="E1123" s="1" t="s">
        <v>14725</v>
      </c>
      <c r="F1123" s="6"/>
      <c r="G1123" s="1" t="s">
        <v>14733</v>
      </c>
    </row>
    <row r="1124" spans="1:7" ht="21" x14ac:dyDescent="0.25">
      <c r="A1124" s="2" t="str">
        <f>HYPERLINK("https://rth.dk/resources/bsgatlas/details.php?id=BSGatlas-TSS-1123","BSGatlas-TSS-1123")</f>
        <v>BSGatlas-TSS-1123</v>
      </c>
      <c r="B1124" s="3">
        <v>1397769</v>
      </c>
      <c r="C1124" s="1" t="s">
        <v>13</v>
      </c>
      <c r="D1124" s="1">
        <v>22</v>
      </c>
      <c r="E1124" s="1" t="s">
        <v>14722</v>
      </c>
      <c r="F1124" s="6"/>
      <c r="G1124" s="1" t="s">
        <v>14726</v>
      </c>
    </row>
    <row r="1125" spans="1:7" ht="21" x14ac:dyDescent="0.25">
      <c r="A1125" s="2" t="str">
        <f>HYPERLINK("https://rth.dk/resources/bsgatlas/details.php?id=BSGatlas-TSS-1124","BSGatlas-TSS-1124")</f>
        <v>BSGatlas-TSS-1124</v>
      </c>
      <c r="B1125" s="3">
        <v>1397909</v>
      </c>
      <c r="C1125" s="1" t="s">
        <v>9</v>
      </c>
      <c r="D1125" s="1">
        <v>0</v>
      </c>
      <c r="E1125" s="1" t="s">
        <v>14720</v>
      </c>
      <c r="F1125" s="6">
        <v>10671441</v>
      </c>
      <c r="G1125" s="1" t="s">
        <v>14730</v>
      </c>
    </row>
    <row r="1126" spans="1:7" ht="21" x14ac:dyDescent="0.25">
      <c r="A1126" s="2" t="str">
        <f>HYPERLINK("https://rth.dk/resources/bsgatlas/details.php?id=BSGatlas-TSS-1125","BSGatlas-TSS-1125")</f>
        <v>BSGatlas-TSS-1125</v>
      </c>
      <c r="B1126" s="3">
        <v>1398153</v>
      </c>
      <c r="C1126" s="1" t="s">
        <v>9</v>
      </c>
      <c r="D1126" s="1">
        <v>0</v>
      </c>
      <c r="E1126" s="1" t="s">
        <v>14722</v>
      </c>
      <c r="F1126" s="6">
        <v>10671441</v>
      </c>
      <c r="G1126" s="1" t="s">
        <v>14730</v>
      </c>
    </row>
    <row r="1127" spans="1:7" ht="21" x14ac:dyDescent="0.25">
      <c r="A1127" s="2" t="str">
        <f>HYPERLINK("https://rth.dk/resources/bsgatlas/details.php?id=BSGatlas-TSS-1126","BSGatlas-TSS-1126")</f>
        <v>BSGatlas-TSS-1126</v>
      </c>
      <c r="B1127" s="3">
        <v>1398159</v>
      </c>
      <c r="C1127" s="1" t="s">
        <v>13</v>
      </c>
      <c r="D1127" s="1">
        <v>22</v>
      </c>
      <c r="E1127" s="1" t="s">
        <v>14722</v>
      </c>
      <c r="F1127" s="6"/>
      <c r="G1127" s="1" t="s">
        <v>14733</v>
      </c>
    </row>
    <row r="1128" spans="1:7" ht="21" x14ac:dyDescent="0.25">
      <c r="A1128" s="2" t="str">
        <f>HYPERLINK("https://rth.dk/resources/bsgatlas/details.php?id=BSGatlas-TSS-1127","BSGatlas-TSS-1127")</f>
        <v>BSGatlas-TSS-1127</v>
      </c>
      <c r="B1128" s="3">
        <v>1398413</v>
      </c>
      <c r="C1128" s="1" t="s">
        <v>9</v>
      </c>
      <c r="D1128" s="1">
        <v>22</v>
      </c>
      <c r="E1128" s="1" t="s">
        <v>14745</v>
      </c>
      <c r="F1128" s="6"/>
      <c r="G1128" s="1" t="s">
        <v>14733</v>
      </c>
    </row>
    <row r="1129" spans="1:7" ht="21" x14ac:dyDescent="0.25">
      <c r="A1129" s="2" t="str">
        <f>HYPERLINK("https://rth.dk/resources/bsgatlas/details.php?id=BSGatlas-TSS-1128","BSGatlas-TSS-1128")</f>
        <v>BSGatlas-TSS-1128</v>
      </c>
      <c r="B1129" s="3">
        <v>1399409</v>
      </c>
      <c r="C1129" s="1" t="s">
        <v>9</v>
      </c>
      <c r="D1129" s="1">
        <v>22</v>
      </c>
      <c r="E1129" s="1" t="s">
        <v>14725</v>
      </c>
      <c r="F1129" s="6"/>
      <c r="G1129" s="1" t="s">
        <v>14733</v>
      </c>
    </row>
    <row r="1130" spans="1:7" ht="21" x14ac:dyDescent="0.25">
      <c r="A1130" s="2" t="str">
        <f>HYPERLINK("https://rth.dk/resources/bsgatlas/details.php?id=BSGatlas-TSS-1129","BSGatlas-TSS-1129")</f>
        <v>BSGatlas-TSS-1129</v>
      </c>
      <c r="B1130" s="3">
        <v>1400145</v>
      </c>
      <c r="C1130" s="1" t="s">
        <v>13</v>
      </c>
      <c r="D1130" s="1">
        <v>22</v>
      </c>
      <c r="E1130" s="1" t="s">
        <v>14732</v>
      </c>
      <c r="F1130" s="6"/>
      <c r="G1130" s="1" t="s">
        <v>14726</v>
      </c>
    </row>
    <row r="1131" spans="1:7" ht="21" x14ac:dyDescent="0.25">
      <c r="A1131" s="2" t="str">
        <f>HYPERLINK("https://rth.dk/resources/bsgatlas/details.php?id=BSGatlas-TSS-1130","BSGatlas-TSS-1130")</f>
        <v>BSGatlas-TSS-1130</v>
      </c>
      <c r="B1131" s="3">
        <v>1401553</v>
      </c>
      <c r="C1131" s="1" t="s">
        <v>13</v>
      </c>
      <c r="D1131" s="1">
        <v>22</v>
      </c>
      <c r="E1131" s="1" t="s">
        <v>14722</v>
      </c>
      <c r="F1131" s="6"/>
      <c r="G1131" s="1" t="s">
        <v>14726</v>
      </c>
    </row>
    <row r="1132" spans="1:7" ht="21" x14ac:dyDescent="0.25">
      <c r="A1132" s="2" t="str">
        <f>HYPERLINK("https://rth.dk/resources/bsgatlas/details.php?id=BSGatlas-TSS-1131","BSGatlas-TSS-1131")</f>
        <v>BSGatlas-TSS-1131</v>
      </c>
      <c r="B1132" s="3">
        <v>1401697</v>
      </c>
      <c r="C1132" s="1" t="s">
        <v>9</v>
      </c>
      <c r="D1132" s="1">
        <v>22</v>
      </c>
      <c r="E1132" s="1" t="s">
        <v>14732</v>
      </c>
      <c r="F1132" s="6"/>
      <c r="G1132" s="1" t="s">
        <v>14733</v>
      </c>
    </row>
    <row r="1133" spans="1:7" ht="21" x14ac:dyDescent="0.25">
      <c r="A1133" s="2" t="str">
        <f>HYPERLINK("https://rth.dk/resources/bsgatlas/details.php?id=BSGatlas-TSS-1132","BSGatlas-TSS-1132")</f>
        <v>BSGatlas-TSS-1132</v>
      </c>
      <c r="B1133" s="3">
        <v>1407273</v>
      </c>
      <c r="C1133" s="1" t="s">
        <v>13</v>
      </c>
      <c r="D1133" s="1">
        <v>22</v>
      </c>
      <c r="E1133" s="1" t="s">
        <v>14732</v>
      </c>
      <c r="F1133" s="6"/>
      <c r="G1133" s="1" t="s">
        <v>14726</v>
      </c>
    </row>
    <row r="1134" spans="1:7" ht="21" x14ac:dyDescent="0.25">
      <c r="A1134" s="2" t="str">
        <f>HYPERLINK("https://rth.dk/resources/bsgatlas/details.php?id=BSGatlas-TSS-1133","BSGatlas-TSS-1133")</f>
        <v>BSGatlas-TSS-1133</v>
      </c>
      <c r="B1134" s="3">
        <v>1409781</v>
      </c>
      <c r="C1134" s="1" t="s">
        <v>13</v>
      </c>
      <c r="D1134" s="1">
        <v>22</v>
      </c>
      <c r="E1134" s="1" t="s">
        <v>14752</v>
      </c>
      <c r="F1134" s="6"/>
      <c r="G1134" s="1" t="s">
        <v>14733</v>
      </c>
    </row>
    <row r="1135" spans="1:7" ht="21" x14ac:dyDescent="0.25">
      <c r="A1135" s="2" t="str">
        <f>HYPERLINK("https://rth.dk/resources/bsgatlas/details.php?id=BSGatlas-TSS-1134","BSGatlas-TSS-1134")</f>
        <v>BSGatlas-TSS-1134</v>
      </c>
      <c r="B1135" s="3">
        <v>1409881</v>
      </c>
      <c r="C1135" s="1" t="s">
        <v>9</v>
      </c>
      <c r="D1135" s="1">
        <v>22</v>
      </c>
      <c r="E1135" s="1" t="s">
        <v>14722</v>
      </c>
      <c r="F1135" s="6"/>
      <c r="G1135" s="1" t="s">
        <v>14726</v>
      </c>
    </row>
    <row r="1136" spans="1:7" ht="21" x14ac:dyDescent="0.25">
      <c r="A1136" s="2" t="str">
        <f>HYPERLINK("https://rth.dk/resources/bsgatlas/details.php?id=BSGatlas-TSS-1135","BSGatlas-TSS-1135")</f>
        <v>BSGatlas-TSS-1135</v>
      </c>
      <c r="B1136" s="3">
        <v>1410463</v>
      </c>
      <c r="C1136" s="1" t="s">
        <v>13</v>
      </c>
      <c r="D1136" s="1">
        <v>22</v>
      </c>
      <c r="E1136" s="1" t="s">
        <v>14725</v>
      </c>
      <c r="F1136" s="6"/>
      <c r="G1136" s="1" t="s">
        <v>14726</v>
      </c>
    </row>
    <row r="1137" spans="1:7" ht="21" x14ac:dyDescent="0.25">
      <c r="A1137" s="2" t="str">
        <f>HYPERLINK("https://rth.dk/resources/bsgatlas/details.php?id=BSGatlas-TSS-1136","BSGatlas-TSS-1136")</f>
        <v>BSGatlas-TSS-1136</v>
      </c>
      <c r="B1137" s="3">
        <v>1410607</v>
      </c>
      <c r="C1137" s="1" t="s">
        <v>9</v>
      </c>
      <c r="D1137" s="1">
        <v>22</v>
      </c>
      <c r="E1137" s="1" t="s">
        <v>14722</v>
      </c>
      <c r="F1137" s="6"/>
      <c r="G1137" s="1" t="s">
        <v>14726</v>
      </c>
    </row>
    <row r="1138" spans="1:7" ht="21" x14ac:dyDescent="0.25">
      <c r="A1138" s="2" t="str">
        <f>HYPERLINK("https://rth.dk/resources/bsgatlas/details.php?id=BSGatlas-TSS-1137","BSGatlas-TSS-1137")</f>
        <v>BSGatlas-TSS-1137</v>
      </c>
      <c r="B1138" s="3">
        <v>1411776</v>
      </c>
      <c r="C1138" s="1" t="s">
        <v>9</v>
      </c>
      <c r="D1138" s="1">
        <v>0</v>
      </c>
      <c r="E1138" s="1" t="s">
        <v>14758</v>
      </c>
      <c r="F1138" s="6" t="s">
        <v>14892</v>
      </c>
      <c r="G1138" s="1" t="s">
        <v>14724</v>
      </c>
    </row>
    <row r="1139" spans="1:7" ht="21" x14ac:dyDescent="0.25">
      <c r="A1139" s="2" t="str">
        <f>HYPERLINK("https://rth.dk/resources/bsgatlas/details.php?id=BSGatlas-TSS-1138","BSGatlas-TSS-1138")</f>
        <v>BSGatlas-TSS-1138</v>
      </c>
      <c r="B1139" s="3">
        <v>1411861</v>
      </c>
      <c r="C1139" s="1" t="s">
        <v>9</v>
      </c>
      <c r="D1139" s="1">
        <v>22</v>
      </c>
      <c r="E1139" s="1" t="s">
        <v>14722</v>
      </c>
      <c r="F1139" s="6"/>
      <c r="G1139" s="1" t="s">
        <v>14726</v>
      </c>
    </row>
    <row r="1140" spans="1:7" ht="21" x14ac:dyDescent="0.25">
      <c r="A1140" s="2" t="str">
        <f>HYPERLINK("https://rth.dk/resources/bsgatlas/details.php?id=BSGatlas-TSS-1139","BSGatlas-TSS-1139")</f>
        <v>BSGatlas-TSS-1139</v>
      </c>
      <c r="B1140" s="3">
        <v>1414033</v>
      </c>
      <c r="C1140" s="1" t="s">
        <v>13</v>
      </c>
      <c r="D1140" s="1">
        <v>0</v>
      </c>
      <c r="E1140" s="1" t="s">
        <v>14743</v>
      </c>
      <c r="F1140" s="6" t="s">
        <v>14893</v>
      </c>
      <c r="G1140" s="1" t="s">
        <v>14729</v>
      </c>
    </row>
    <row r="1141" spans="1:7" ht="21" x14ac:dyDescent="0.25">
      <c r="A1141" s="2" t="str">
        <f>HYPERLINK("https://rth.dk/resources/bsgatlas/details.php?id=BSGatlas-TSS-1140","BSGatlas-TSS-1140")</f>
        <v>BSGatlas-TSS-1140</v>
      </c>
      <c r="B1141" s="3">
        <v>1414907</v>
      </c>
      <c r="C1141" s="1" t="s">
        <v>13</v>
      </c>
      <c r="D1141" s="1">
        <v>22</v>
      </c>
      <c r="E1141" s="1" t="s">
        <v>14722</v>
      </c>
      <c r="F1141" s="6"/>
      <c r="G1141" s="1" t="s">
        <v>14733</v>
      </c>
    </row>
    <row r="1142" spans="1:7" ht="21" x14ac:dyDescent="0.25">
      <c r="A1142" s="2" t="str">
        <f>HYPERLINK("https://rth.dk/resources/bsgatlas/details.php?id=BSGatlas-TSS-1141","BSGatlas-TSS-1141")</f>
        <v>BSGatlas-TSS-1141</v>
      </c>
      <c r="B1142" s="3">
        <v>1414951</v>
      </c>
      <c r="C1142" s="1" t="s">
        <v>9</v>
      </c>
      <c r="D1142" s="1">
        <v>22</v>
      </c>
      <c r="E1142" s="1" t="s">
        <v>14722</v>
      </c>
      <c r="F1142" s="6"/>
      <c r="G1142" s="1" t="s">
        <v>14726</v>
      </c>
    </row>
    <row r="1143" spans="1:7" ht="21" x14ac:dyDescent="0.25">
      <c r="A1143" s="2" t="str">
        <f>HYPERLINK("https://rth.dk/resources/bsgatlas/details.php?id=BSGatlas-TSS-1142","BSGatlas-TSS-1142")</f>
        <v>BSGatlas-TSS-1142</v>
      </c>
      <c r="B1143" s="3">
        <v>1416022</v>
      </c>
      <c r="C1143" s="1" t="s">
        <v>9</v>
      </c>
      <c r="D1143" s="1">
        <v>22</v>
      </c>
      <c r="E1143" s="1" t="s">
        <v>14722</v>
      </c>
      <c r="F1143" s="6"/>
      <c r="G1143" s="1" t="s">
        <v>14726</v>
      </c>
    </row>
    <row r="1144" spans="1:7" ht="21" x14ac:dyDescent="0.25">
      <c r="A1144" s="2" t="str">
        <f>HYPERLINK("https://rth.dk/resources/bsgatlas/details.php?id=BSGatlas-TSS-1143","BSGatlas-TSS-1143")</f>
        <v>BSGatlas-TSS-1143</v>
      </c>
      <c r="B1144" s="3">
        <v>1417493</v>
      </c>
      <c r="C1144" s="1" t="s">
        <v>9</v>
      </c>
      <c r="D1144" s="1">
        <v>22</v>
      </c>
      <c r="E1144" s="1" t="s">
        <v>14732</v>
      </c>
      <c r="F1144" s="6"/>
      <c r="G1144" s="1" t="s">
        <v>14733</v>
      </c>
    </row>
    <row r="1145" spans="1:7" ht="21" x14ac:dyDescent="0.25">
      <c r="A1145" s="2" t="str">
        <f>HYPERLINK("https://rth.dk/resources/bsgatlas/details.php?id=BSGatlas-TSS-1144","BSGatlas-TSS-1144")</f>
        <v>BSGatlas-TSS-1144</v>
      </c>
      <c r="B1145" s="3">
        <v>1417845</v>
      </c>
      <c r="C1145" s="1" t="s">
        <v>9</v>
      </c>
      <c r="D1145" s="1">
        <v>22</v>
      </c>
      <c r="E1145" s="1" t="s">
        <v>14720</v>
      </c>
      <c r="F1145" s="6"/>
      <c r="G1145" s="1" t="s">
        <v>14726</v>
      </c>
    </row>
    <row r="1146" spans="1:7" ht="21" x14ac:dyDescent="0.25">
      <c r="A1146" s="2" t="str">
        <f>HYPERLINK("https://rth.dk/resources/bsgatlas/details.php?id=BSGatlas-TSS-1145","BSGatlas-TSS-1145")</f>
        <v>BSGatlas-TSS-1145</v>
      </c>
      <c r="B1146" s="3">
        <v>1419021</v>
      </c>
      <c r="C1146" s="1" t="s">
        <v>13</v>
      </c>
      <c r="D1146" s="1">
        <v>22</v>
      </c>
      <c r="E1146" s="1" t="s">
        <v>14722</v>
      </c>
      <c r="F1146" s="6"/>
      <c r="G1146" s="1" t="s">
        <v>14726</v>
      </c>
    </row>
    <row r="1147" spans="1:7" ht="21" x14ac:dyDescent="0.25">
      <c r="A1147" s="2" t="str">
        <f>HYPERLINK("https://rth.dk/resources/bsgatlas/details.php?id=BSGatlas-TSS-1146","BSGatlas-TSS-1146")</f>
        <v>BSGatlas-TSS-1146</v>
      </c>
      <c r="B1147" s="3">
        <v>1419165</v>
      </c>
      <c r="C1147" s="1" t="s">
        <v>9</v>
      </c>
      <c r="D1147" s="1">
        <v>22</v>
      </c>
      <c r="E1147" s="1" t="s">
        <v>14745</v>
      </c>
      <c r="F1147" s="6"/>
      <c r="G1147" s="1" t="s">
        <v>14726</v>
      </c>
    </row>
    <row r="1148" spans="1:7" ht="21" x14ac:dyDescent="0.25">
      <c r="A1148" s="2" t="str">
        <f>HYPERLINK("https://rth.dk/resources/bsgatlas/details.php?id=BSGatlas-TSS-1147","BSGatlas-TSS-1147")</f>
        <v>BSGatlas-TSS-1147</v>
      </c>
      <c r="B1148" s="3">
        <v>1421326</v>
      </c>
      <c r="C1148" s="1" t="s">
        <v>9</v>
      </c>
      <c r="D1148" s="1">
        <v>0</v>
      </c>
      <c r="E1148" s="1" t="s">
        <v>14722</v>
      </c>
      <c r="F1148" s="6">
        <v>2506524</v>
      </c>
      <c r="G1148" s="1" t="s">
        <v>14730</v>
      </c>
    </row>
    <row r="1149" spans="1:7" ht="21" x14ac:dyDescent="0.25">
      <c r="A1149" s="2" t="str">
        <f>HYPERLINK("https://rth.dk/resources/bsgatlas/details.php?id=BSGatlas-TSS-1148","BSGatlas-TSS-1148")</f>
        <v>BSGatlas-TSS-1148</v>
      </c>
      <c r="B1149" s="3">
        <v>1424721</v>
      </c>
      <c r="C1149" s="1" t="s">
        <v>13</v>
      </c>
      <c r="D1149" s="1">
        <v>0</v>
      </c>
      <c r="E1149" s="1" t="s">
        <v>14722</v>
      </c>
      <c r="F1149" s="6" t="s">
        <v>14894</v>
      </c>
      <c r="G1149" s="1" t="s">
        <v>14729</v>
      </c>
    </row>
    <row r="1150" spans="1:7" ht="21" x14ac:dyDescent="0.25">
      <c r="A1150" s="2" t="str">
        <f>HYPERLINK("https://rth.dk/resources/bsgatlas/details.php?id=BSGatlas-TSS-1149","BSGatlas-TSS-1149")</f>
        <v>BSGatlas-TSS-1149</v>
      </c>
      <c r="B1150" s="3">
        <v>1424791</v>
      </c>
      <c r="C1150" s="1" t="s">
        <v>9</v>
      </c>
      <c r="D1150" s="1">
        <v>22</v>
      </c>
      <c r="E1150" s="1" t="s">
        <v>14722</v>
      </c>
      <c r="F1150" s="6"/>
      <c r="G1150" s="1" t="s">
        <v>14726</v>
      </c>
    </row>
    <row r="1151" spans="1:7" ht="21" x14ac:dyDescent="0.25">
      <c r="A1151" s="2" t="str">
        <f>HYPERLINK("https://rth.dk/resources/bsgatlas/details.php?id=BSGatlas-TSS-1150","BSGatlas-TSS-1150")</f>
        <v>BSGatlas-TSS-1150</v>
      </c>
      <c r="B1151" s="3">
        <v>1425274</v>
      </c>
      <c r="C1151" s="1" t="s">
        <v>9</v>
      </c>
      <c r="D1151" s="1">
        <v>22</v>
      </c>
      <c r="E1151" s="1" t="s">
        <v>14722</v>
      </c>
      <c r="F1151" s="6"/>
      <c r="G1151" s="1" t="s">
        <v>14733</v>
      </c>
    </row>
    <row r="1152" spans="1:7" ht="21" x14ac:dyDescent="0.25">
      <c r="A1152" s="2" t="str">
        <f>HYPERLINK("https://rth.dk/resources/bsgatlas/details.php?id=BSGatlas-TSS-1151","BSGatlas-TSS-1151")</f>
        <v>BSGatlas-TSS-1151</v>
      </c>
      <c r="B1152" s="3">
        <v>1425576</v>
      </c>
      <c r="C1152" s="1" t="s">
        <v>13</v>
      </c>
      <c r="D1152" s="1">
        <v>0</v>
      </c>
      <c r="E1152" s="1" t="s">
        <v>14722</v>
      </c>
      <c r="F1152" s="6" t="s">
        <v>14894</v>
      </c>
      <c r="G1152" s="1" t="s">
        <v>14729</v>
      </c>
    </row>
    <row r="1153" spans="1:7" ht="21" x14ac:dyDescent="0.25">
      <c r="A1153" s="2" t="str">
        <f>HYPERLINK("https://rth.dk/resources/bsgatlas/details.php?id=BSGatlas-TSS-1152","BSGatlas-TSS-1152")</f>
        <v>BSGatlas-TSS-1152</v>
      </c>
      <c r="B1153" s="3">
        <v>1425607</v>
      </c>
      <c r="C1153" s="1" t="s">
        <v>9</v>
      </c>
      <c r="D1153" s="1">
        <v>0</v>
      </c>
      <c r="E1153" s="1" t="s">
        <v>14722</v>
      </c>
      <c r="F1153" s="6" t="s">
        <v>14894</v>
      </c>
      <c r="G1153" s="1" t="s">
        <v>14729</v>
      </c>
    </row>
    <row r="1154" spans="1:7" ht="21" x14ac:dyDescent="0.25">
      <c r="A1154" s="2" t="str">
        <f>HYPERLINK("https://rth.dk/resources/bsgatlas/details.php?id=BSGatlas-TSS-1153","BSGatlas-TSS-1153")</f>
        <v>BSGatlas-TSS-1153</v>
      </c>
      <c r="B1154" s="3">
        <v>1426857</v>
      </c>
      <c r="C1154" s="1" t="s">
        <v>9</v>
      </c>
      <c r="D1154" s="1">
        <v>0</v>
      </c>
      <c r="E1154" s="1" t="s">
        <v>14722</v>
      </c>
      <c r="F1154" s="6" t="s">
        <v>14894</v>
      </c>
      <c r="G1154" s="1" t="s">
        <v>14729</v>
      </c>
    </row>
    <row r="1155" spans="1:7" ht="21" x14ac:dyDescent="0.25">
      <c r="A1155" s="2" t="str">
        <f>HYPERLINK("https://rth.dk/resources/bsgatlas/details.php?id=BSGatlas-TSS-1154","BSGatlas-TSS-1154")</f>
        <v>BSGatlas-TSS-1154</v>
      </c>
      <c r="B1155" s="3">
        <v>1426876</v>
      </c>
      <c r="C1155" s="1" t="s">
        <v>9</v>
      </c>
      <c r="D1155" s="1">
        <v>0</v>
      </c>
      <c r="E1155" s="1" t="s">
        <v>14722</v>
      </c>
      <c r="F1155" s="6" t="s">
        <v>14894</v>
      </c>
      <c r="G1155" s="1" t="s">
        <v>14729</v>
      </c>
    </row>
    <row r="1156" spans="1:7" ht="21" x14ac:dyDescent="0.25">
      <c r="A1156" s="2" t="str">
        <f>HYPERLINK("https://rth.dk/resources/bsgatlas/details.php?id=BSGatlas-TSS-1155","BSGatlas-TSS-1155")</f>
        <v>BSGatlas-TSS-1155</v>
      </c>
      <c r="B1156" s="3">
        <v>1430538</v>
      </c>
      <c r="C1156" s="1" t="s">
        <v>9</v>
      </c>
      <c r="D1156" s="1">
        <v>22</v>
      </c>
      <c r="E1156" s="1" t="s">
        <v>14734</v>
      </c>
      <c r="F1156" s="6"/>
      <c r="G1156" s="1" t="s">
        <v>14733</v>
      </c>
    </row>
    <row r="1157" spans="1:7" ht="21" x14ac:dyDescent="0.25">
      <c r="A1157" s="2" t="str">
        <f>HYPERLINK("https://rth.dk/resources/bsgatlas/details.php?id=BSGatlas-TSS-1156","BSGatlas-TSS-1156")</f>
        <v>BSGatlas-TSS-1156</v>
      </c>
      <c r="B1157" s="3">
        <v>1430570</v>
      </c>
      <c r="C1157" s="1" t="s">
        <v>13</v>
      </c>
      <c r="D1157" s="1">
        <v>22</v>
      </c>
      <c r="E1157" s="1" t="s">
        <v>14722</v>
      </c>
      <c r="F1157" s="6"/>
      <c r="G1157" s="1" t="s">
        <v>14733</v>
      </c>
    </row>
    <row r="1158" spans="1:7" ht="21" x14ac:dyDescent="0.25">
      <c r="A1158" s="2" t="str">
        <f>HYPERLINK("https://rth.dk/resources/bsgatlas/details.php?id=BSGatlas-TSS-1157","BSGatlas-TSS-1157")</f>
        <v>BSGatlas-TSS-1157</v>
      </c>
      <c r="B1158" s="3">
        <v>1430636</v>
      </c>
      <c r="C1158" s="1" t="s">
        <v>9</v>
      </c>
      <c r="D1158" s="1">
        <v>0</v>
      </c>
      <c r="E1158" s="1" t="s">
        <v>14722</v>
      </c>
      <c r="F1158" s="6" t="s">
        <v>14895</v>
      </c>
      <c r="G1158" s="1" t="s">
        <v>14724</v>
      </c>
    </row>
    <row r="1159" spans="1:7" ht="21" x14ac:dyDescent="0.25">
      <c r="A1159" s="2" t="str">
        <f>HYPERLINK("https://rth.dk/resources/bsgatlas/details.php?id=BSGatlas-TSS-1158","BSGatlas-TSS-1158")</f>
        <v>BSGatlas-TSS-1158</v>
      </c>
      <c r="B1159" s="3">
        <v>1432233</v>
      </c>
      <c r="C1159" s="1" t="s">
        <v>9</v>
      </c>
      <c r="D1159" s="1">
        <v>22</v>
      </c>
      <c r="E1159" s="1" t="s">
        <v>14732</v>
      </c>
      <c r="F1159" s="6"/>
      <c r="G1159" s="1" t="s">
        <v>14726</v>
      </c>
    </row>
    <row r="1160" spans="1:7" ht="21" x14ac:dyDescent="0.25">
      <c r="A1160" s="2" t="str">
        <f>HYPERLINK("https://rth.dk/resources/bsgatlas/details.php?id=BSGatlas-TSS-1159","BSGatlas-TSS-1159")</f>
        <v>BSGatlas-TSS-1159</v>
      </c>
      <c r="B1160" s="3">
        <v>1433035</v>
      </c>
      <c r="C1160" s="1" t="s">
        <v>13</v>
      </c>
      <c r="D1160" s="1">
        <v>22</v>
      </c>
      <c r="E1160" s="1" t="s">
        <v>14722</v>
      </c>
      <c r="F1160" s="6"/>
      <c r="G1160" s="1" t="s">
        <v>14726</v>
      </c>
    </row>
    <row r="1161" spans="1:7" ht="21" x14ac:dyDescent="0.25">
      <c r="A1161" s="2" t="str">
        <f>HYPERLINK("https://rth.dk/resources/bsgatlas/details.php?id=BSGatlas-TSS-1160","BSGatlas-TSS-1160")</f>
        <v>BSGatlas-TSS-1160</v>
      </c>
      <c r="B1161" s="3">
        <v>1433157</v>
      </c>
      <c r="C1161" s="1" t="s">
        <v>9</v>
      </c>
      <c r="D1161" s="1">
        <v>22</v>
      </c>
      <c r="E1161" s="1" t="s">
        <v>14722</v>
      </c>
      <c r="F1161" s="6"/>
      <c r="G1161" s="1" t="s">
        <v>14726</v>
      </c>
    </row>
    <row r="1162" spans="1:7" ht="21" x14ac:dyDescent="0.25">
      <c r="A1162" s="2" t="str">
        <f>HYPERLINK("https://rth.dk/resources/bsgatlas/details.php?id=BSGatlas-TSS-1161","BSGatlas-TSS-1161")</f>
        <v>BSGatlas-TSS-1161</v>
      </c>
      <c r="B1162" s="3">
        <v>1435279</v>
      </c>
      <c r="C1162" s="1" t="s">
        <v>13</v>
      </c>
      <c r="D1162" s="1">
        <v>0</v>
      </c>
      <c r="E1162" s="1" t="s">
        <v>14752</v>
      </c>
      <c r="F1162" s="6" t="s">
        <v>14896</v>
      </c>
      <c r="G1162" s="1" t="s">
        <v>14729</v>
      </c>
    </row>
    <row r="1163" spans="1:7" ht="21" x14ac:dyDescent="0.25">
      <c r="A1163" s="2" t="str">
        <f>HYPERLINK("https://rth.dk/resources/bsgatlas/details.php?id=BSGatlas-TSS-1162","BSGatlas-TSS-1162")</f>
        <v>BSGatlas-TSS-1162</v>
      </c>
      <c r="B1163" s="3">
        <v>1437808</v>
      </c>
      <c r="C1163" s="1" t="s">
        <v>13</v>
      </c>
      <c r="D1163" s="1">
        <v>0</v>
      </c>
      <c r="E1163" s="1" t="s">
        <v>14722</v>
      </c>
      <c r="F1163" s="6" t="s">
        <v>14897</v>
      </c>
      <c r="G1163" s="1" t="s">
        <v>4382</v>
      </c>
    </row>
    <row r="1164" spans="1:7" ht="21" x14ac:dyDescent="0.25">
      <c r="A1164" s="2" t="str">
        <f>HYPERLINK("https://rth.dk/resources/bsgatlas/details.php?id=BSGatlas-TSS-1163","BSGatlas-TSS-1163")</f>
        <v>BSGatlas-TSS-1163</v>
      </c>
      <c r="B1164" s="3">
        <v>1437927</v>
      </c>
      <c r="C1164" s="1" t="s">
        <v>13</v>
      </c>
      <c r="D1164" s="1">
        <v>0</v>
      </c>
      <c r="E1164" s="1" t="s">
        <v>14722</v>
      </c>
      <c r="F1164" s="6" t="s">
        <v>14897</v>
      </c>
      <c r="G1164" s="1" t="s">
        <v>4382</v>
      </c>
    </row>
    <row r="1165" spans="1:7" ht="21" x14ac:dyDescent="0.25">
      <c r="A1165" s="2" t="str">
        <f>HYPERLINK("https://rth.dk/resources/bsgatlas/details.php?id=BSGatlas-TSS-1164","BSGatlas-TSS-1164")</f>
        <v>BSGatlas-TSS-1164</v>
      </c>
      <c r="B1165" s="3">
        <v>1437978</v>
      </c>
      <c r="C1165" s="1" t="s">
        <v>13</v>
      </c>
      <c r="D1165" s="1">
        <v>22</v>
      </c>
      <c r="E1165" s="1" t="s">
        <v>14722</v>
      </c>
      <c r="F1165" s="6"/>
      <c r="G1165" s="1" t="s">
        <v>14733</v>
      </c>
    </row>
    <row r="1166" spans="1:7" ht="21" x14ac:dyDescent="0.25">
      <c r="A1166" s="2" t="str">
        <f>HYPERLINK("https://rth.dk/resources/bsgatlas/details.php?id=BSGatlas-TSS-1165","BSGatlas-TSS-1165")</f>
        <v>BSGatlas-TSS-1165</v>
      </c>
      <c r="B1166" s="3">
        <v>1438046</v>
      </c>
      <c r="C1166" s="1" t="s">
        <v>9</v>
      </c>
      <c r="D1166" s="1">
        <v>0</v>
      </c>
      <c r="E1166" s="1" t="s">
        <v>14735</v>
      </c>
      <c r="F1166" s="6" t="s">
        <v>14767</v>
      </c>
      <c r="G1166" s="1" t="s">
        <v>14729</v>
      </c>
    </row>
    <row r="1167" spans="1:7" ht="21" x14ac:dyDescent="0.25">
      <c r="A1167" s="2" t="str">
        <f>HYPERLINK("https://rth.dk/resources/bsgatlas/details.php?id=BSGatlas-TSS-1166","BSGatlas-TSS-1166")</f>
        <v>BSGatlas-TSS-1166</v>
      </c>
      <c r="B1167" s="3">
        <v>1439229</v>
      </c>
      <c r="C1167" s="1" t="s">
        <v>9</v>
      </c>
      <c r="D1167" s="1">
        <v>22</v>
      </c>
      <c r="E1167" s="1" t="s">
        <v>14722</v>
      </c>
      <c r="F1167" s="6"/>
      <c r="G1167" s="1" t="s">
        <v>14726</v>
      </c>
    </row>
    <row r="1168" spans="1:7" ht="21" x14ac:dyDescent="0.25">
      <c r="A1168" s="2" t="str">
        <f>HYPERLINK("https://rth.dk/resources/bsgatlas/details.php?id=BSGatlas-TSS-1167","BSGatlas-TSS-1167")</f>
        <v>BSGatlas-TSS-1167</v>
      </c>
      <c r="B1168" s="3">
        <v>1442751</v>
      </c>
      <c r="C1168" s="1" t="s">
        <v>13</v>
      </c>
      <c r="D1168" s="1">
        <v>22</v>
      </c>
      <c r="E1168" s="1" t="s">
        <v>14722</v>
      </c>
      <c r="F1168" s="6"/>
      <c r="G1168" s="1" t="s">
        <v>14726</v>
      </c>
    </row>
    <row r="1169" spans="1:7" ht="21" x14ac:dyDescent="0.25">
      <c r="A1169" s="2" t="str">
        <f>HYPERLINK("https://rth.dk/resources/bsgatlas/details.php?id=BSGatlas-TSS-1168","BSGatlas-TSS-1168")</f>
        <v>BSGatlas-TSS-1168</v>
      </c>
      <c r="B1169" s="3">
        <v>1442793</v>
      </c>
      <c r="C1169" s="1" t="s">
        <v>9</v>
      </c>
      <c r="D1169" s="1">
        <v>22</v>
      </c>
      <c r="E1169" s="1" t="s">
        <v>14722</v>
      </c>
      <c r="F1169" s="6"/>
      <c r="G1169" s="1" t="s">
        <v>14726</v>
      </c>
    </row>
    <row r="1170" spans="1:7" ht="21" x14ac:dyDescent="0.25">
      <c r="A1170" s="2" t="str">
        <f>HYPERLINK("https://rth.dk/resources/bsgatlas/details.php?id=BSGatlas-TSS-1169","BSGatlas-TSS-1169")</f>
        <v>BSGatlas-TSS-1169</v>
      </c>
      <c r="B1170" s="3">
        <v>1444047</v>
      </c>
      <c r="C1170" s="1" t="s">
        <v>9</v>
      </c>
      <c r="D1170" s="1">
        <v>22</v>
      </c>
      <c r="E1170" s="1" t="s">
        <v>14725</v>
      </c>
      <c r="F1170" s="6"/>
      <c r="G1170" s="1" t="s">
        <v>14726</v>
      </c>
    </row>
    <row r="1171" spans="1:7" ht="21" x14ac:dyDescent="0.25">
      <c r="A1171" s="2" t="str">
        <f>HYPERLINK("https://rth.dk/resources/bsgatlas/details.php?id=BSGatlas-TSS-1170","BSGatlas-TSS-1170")</f>
        <v>BSGatlas-TSS-1170</v>
      </c>
      <c r="B1171" s="3">
        <v>1444208</v>
      </c>
      <c r="C1171" s="1" t="s">
        <v>9</v>
      </c>
      <c r="D1171" s="1">
        <v>22</v>
      </c>
      <c r="E1171" s="1" t="s">
        <v>14734</v>
      </c>
      <c r="F1171" s="6"/>
      <c r="G1171" s="1" t="s">
        <v>14726</v>
      </c>
    </row>
    <row r="1172" spans="1:7" ht="21" x14ac:dyDescent="0.25">
      <c r="A1172" s="2" t="str">
        <f>HYPERLINK("https://rth.dk/resources/bsgatlas/details.php?id=BSGatlas-TSS-1171","BSGatlas-TSS-1171")</f>
        <v>BSGatlas-TSS-1171</v>
      </c>
      <c r="B1172" s="3">
        <v>1445301</v>
      </c>
      <c r="C1172" s="1" t="s">
        <v>9</v>
      </c>
      <c r="D1172" s="1">
        <v>22</v>
      </c>
      <c r="E1172" s="1" t="s">
        <v>14722</v>
      </c>
      <c r="F1172" s="6"/>
      <c r="G1172" s="1" t="s">
        <v>14726</v>
      </c>
    </row>
    <row r="1173" spans="1:7" ht="21" x14ac:dyDescent="0.25">
      <c r="A1173" s="2" t="str">
        <f>HYPERLINK("https://rth.dk/resources/bsgatlas/details.php?id=BSGatlas-TSS-1172","BSGatlas-TSS-1172")</f>
        <v>BSGatlas-TSS-1172</v>
      </c>
      <c r="B1173" s="3">
        <v>1445399</v>
      </c>
      <c r="C1173" s="1" t="s">
        <v>13</v>
      </c>
      <c r="D1173" s="1">
        <v>22</v>
      </c>
      <c r="E1173" s="1" t="s">
        <v>14722</v>
      </c>
      <c r="F1173" s="6"/>
      <c r="G1173" s="1" t="s">
        <v>14726</v>
      </c>
    </row>
    <row r="1174" spans="1:7" ht="21" x14ac:dyDescent="0.25">
      <c r="A1174" s="2" t="str">
        <f>HYPERLINK("https://rth.dk/resources/bsgatlas/details.php?id=BSGatlas-TSS-1173","BSGatlas-TSS-1173")</f>
        <v>BSGatlas-TSS-1173</v>
      </c>
      <c r="B1174" s="3">
        <v>1446841</v>
      </c>
      <c r="C1174" s="1" t="s">
        <v>9</v>
      </c>
      <c r="D1174" s="1">
        <v>22</v>
      </c>
      <c r="E1174" s="1" t="s">
        <v>14825</v>
      </c>
      <c r="F1174" s="6"/>
      <c r="G1174" s="1" t="s">
        <v>14726</v>
      </c>
    </row>
    <row r="1175" spans="1:7" ht="21" x14ac:dyDescent="0.25">
      <c r="A1175" s="2" t="str">
        <f>HYPERLINK("https://rth.dk/resources/bsgatlas/details.php?id=BSGatlas-TSS-1174","BSGatlas-TSS-1174")</f>
        <v>BSGatlas-TSS-1174</v>
      </c>
      <c r="B1175" s="3">
        <v>1447126</v>
      </c>
      <c r="C1175" s="1" t="s">
        <v>13</v>
      </c>
      <c r="D1175" s="1">
        <v>22</v>
      </c>
      <c r="E1175" s="1" t="s">
        <v>14722</v>
      </c>
      <c r="F1175" s="6"/>
      <c r="G1175" s="1" t="s">
        <v>14726</v>
      </c>
    </row>
    <row r="1176" spans="1:7" ht="21" x14ac:dyDescent="0.25">
      <c r="A1176" s="2" t="str">
        <f>HYPERLINK("https://rth.dk/resources/bsgatlas/details.php?id=BSGatlas-TSS-1175","BSGatlas-TSS-1175")</f>
        <v>BSGatlas-TSS-1175</v>
      </c>
      <c r="B1176" s="3">
        <v>1447215</v>
      </c>
      <c r="C1176" s="1" t="s">
        <v>9</v>
      </c>
      <c r="D1176" s="1">
        <v>22</v>
      </c>
      <c r="E1176" s="1" t="s">
        <v>14722</v>
      </c>
      <c r="F1176" s="6"/>
      <c r="G1176" s="1" t="s">
        <v>14726</v>
      </c>
    </row>
    <row r="1177" spans="1:7" ht="21" x14ac:dyDescent="0.25">
      <c r="A1177" s="2" t="str">
        <f>HYPERLINK("https://rth.dk/resources/bsgatlas/details.php?id=BSGatlas-TSS-1176","BSGatlas-TSS-1176")</f>
        <v>BSGatlas-TSS-1176</v>
      </c>
      <c r="B1177" s="3">
        <v>1447891</v>
      </c>
      <c r="C1177" s="1" t="s">
        <v>13</v>
      </c>
      <c r="D1177" s="1">
        <v>22</v>
      </c>
      <c r="E1177" s="1" t="s">
        <v>14722</v>
      </c>
      <c r="F1177" s="6"/>
      <c r="G1177" s="1" t="s">
        <v>14726</v>
      </c>
    </row>
    <row r="1178" spans="1:7" ht="21" x14ac:dyDescent="0.25">
      <c r="A1178" s="2" t="str">
        <f>HYPERLINK("https://rth.dk/resources/bsgatlas/details.php?id=BSGatlas-TSS-1177","BSGatlas-TSS-1177")</f>
        <v>BSGatlas-TSS-1177</v>
      </c>
      <c r="B1178" s="3">
        <v>1447974</v>
      </c>
      <c r="C1178" s="1" t="s">
        <v>9</v>
      </c>
      <c r="D1178" s="1">
        <v>22</v>
      </c>
      <c r="E1178" s="1" t="s">
        <v>14722</v>
      </c>
      <c r="F1178" s="6"/>
      <c r="G1178" s="1" t="s">
        <v>14726</v>
      </c>
    </row>
    <row r="1179" spans="1:7" ht="21" x14ac:dyDescent="0.25">
      <c r="A1179" s="2" t="str">
        <f>HYPERLINK("https://rth.dk/resources/bsgatlas/details.php?id=BSGatlas-TSS-1178","BSGatlas-TSS-1178")</f>
        <v>BSGatlas-TSS-1178</v>
      </c>
      <c r="B1179" s="3">
        <v>1448244</v>
      </c>
      <c r="C1179" s="1" t="s">
        <v>13</v>
      </c>
      <c r="D1179" s="1">
        <v>22</v>
      </c>
      <c r="E1179" s="1" t="s">
        <v>14727</v>
      </c>
      <c r="F1179" s="6"/>
      <c r="G1179" s="1" t="s">
        <v>14733</v>
      </c>
    </row>
    <row r="1180" spans="1:7" ht="21" x14ac:dyDescent="0.25">
      <c r="A1180" s="2" t="str">
        <f>HYPERLINK("https://rth.dk/resources/bsgatlas/details.php?id=BSGatlas-TSS-1179","BSGatlas-TSS-1179")</f>
        <v>BSGatlas-TSS-1179</v>
      </c>
      <c r="B1180" s="3">
        <v>1449201</v>
      </c>
      <c r="C1180" s="1" t="s">
        <v>9</v>
      </c>
      <c r="D1180" s="1">
        <v>22</v>
      </c>
      <c r="E1180" s="1" t="s">
        <v>14727</v>
      </c>
      <c r="F1180" s="6"/>
      <c r="G1180" s="1" t="s">
        <v>14726</v>
      </c>
    </row>
    <row r="1181" spans="1:7" ht="21" x14ac:dyDescent="0.25">
      <c r="A1181" s="2" t="str">
        <f>HYPERLINK("https://rth.dk/resources/bsgatlas/details.php?id=BSGatlas-TSS-1180","BSGatlas-TSS-1180")</f>
        <v>BSGatlas-TSS-1180</v>
      </c>
      <c r="B1181" s="3">
        <v>1449225</v>
      </c>
      <c r="C1181" s="1" t="s">
        <v>9</v>
      </c>
      <c r="D1181" s="1">
        <v>0</v>
      </c>
      <c r="E1181" s="1" t="s">
        <v>14735</v>
      </c>
      <c r="F1181" s="6" t="s">
        <v>14767</v>
      </c>
      <c r="G1181" s="1" t="s">
        <v>4382</v>
      </c>
    </row>
    <row r="1182" spans="1:7" ht="21" x14ac:dyDescent="0.25">
      <c r="A1182" s="2" t="str">
        <f>HYPERLINK("https://rth.dk/resources/bsgatlas/details.php?id=BSGatlas-TSS-1181","BSGatlas-TSS-1181")</f>
        <v>BSGatlas-TSS-1181</v>
      </c>
      <c r="B1182" s="3">
        <v>1450613</v>
      </c>
      <c r="C1182" s="1" t="s">
        <v>9</v>
      </c>
      <c r="D1182" s="1">
        <v>0</v>
      </c>
      <c r="E1182" s="1" t="s">
        <v>14743</v>
      </c>
      <c r="F1182" s="6">
        <v>15292147</v>
      </c>
      <c r="G1182" s="1" t="s">
        <v>4684</v>
      </c>
    </row>
    <row r="1183" spans="1:7" ht="21" x14ac:dyDescent="0.25">
      <c r="A1183" s="2" t="str">
        <f>HYPERLINK("https://rth.dk/resources/bsgatlas/details.php?id=BSGatlas-TSS-1182","BSGatlas-TSS-1182")</f>
        <v>BSGatlas-TSS-1182</v>
      </c>
      <c r="B1183" s="3">
        <v>1450999</v>
      </c>
      <c r="C1183" s="1" t="s">
        <v>9</v>
      </c>
      <c r="D1183" s="1">
        <v>22</v>
      </c>
      <c r="E1183" s="1" t="s">
        <v>14734</v>
      </c>
      <c r="F1183" s="6"/>
      <c r="G1183" s="1" t="s">
        <v>14726</v>
      </c>
    </row>
    <row r="1184" spans="1:7" ht="21" x14ac:dyDescent="0.25">
      <c r="A1184" s="2" t="str">
        <f>HYPERLINK("https://rth.dk/resources/bsgatlas/details.php?id=BSGatlas-TSS-1183","BSGatlas-TSS-1183")</f>
        <v>BSGatlas-TSS-1183</v>
      </c>
      <c r="B1184" s="3">
        <v>1451264</v>
      </c>
      <c r="C1184" s="1" t="s">
        <v>9</v>
      </c>
      <c r="D1184" s="1">
        <v>0</v>
      </c>
      <c r="E1184" s="1" t="s">
        <v>14722</v>
      </c>
      <c r="F1184" s="6" t="s">
        <v>14898</v>
      </c>
      <c r="G1184" s="1" t="s">
        <v>14724</v>
      </c>
    </row>
    <row r="1185" spans="1:7" ht="21" x14ac:dyDescent="0.25">
      <c r="A1185" s="2" t="str">
        <f>HYPERLINK("https://rth.dk/resources/bsgatlas/details.php?id=BSGatlas-TSS-1184","BSGatlas-TSS-1184")</f>
        <v>BSGatlas-TSS-1184</v>
      </c>
      <c r="B1185" s="3">
        <v>1451537</v>
      </c>
      <c r="C1185" s="1" t="s">
        <v>13</v>
      </c>
      <c r="D1185" s="1">
        <v>22</v>
      </c>
      <c r="E1185" s="1" t="s">
        <v>14725</v>
      </c>
      <c r="F1185" s="6"/>
      <c r="G1185" s="1" t="s">
        <v>14726</v>
      </c>
    </row>
    <row r="1186" spans="1:7" ht="21" x14ac:dyDescent="0.25">
      <c r="A1186" s="2" t="str">
        <f>HYPERLINK("https://rth.dk/resources/bsgatlas/details.php?id=BSGatlas-TSS-1185","BSGatlas-TSS-1185")</f>
        <v>BSGatlas-TSS-1185</v>
      </c>
      <c r="B1186" s="3">
        <v>1451713</v>
      </c>
      <c r="C1186" s="1" t="s">
        <v>13</v>
      </c>
      <c r="D1186" s="1">
        <v>22</v>
      </c>
      <c r="E1186" s="1" t="s">
        <v>14734</v>
      </c>
      <c r="F1186" s="6"/>
      <c r="G1186" s="1" t="s">
        <v>14726</v>
      </c>
    </row>
    <row r="1187" spans="1:7" ht="21" x14ac:dyDescent="0.25">
      <c r="A1187" s="2" t="str">
        <f>HYPERLINK("https://rth.dk/resources/bsgatlas/details.php?id=BSGatlas-TSS-1186","BSGatlas-TSS-1186")</f>
        <v>BSGatlas-TSS-1186</v>
      </c>
      <c r="B1187" s="3">
        <v>1453561</v>
      </c>
      <c r="C1187" s="1" t="s">
        <v>13</v>
      </c>
      <c r="D1187" s="1">
        <v>22</v>
      </c>
      <c r="E1187" s="1" t="s">
        <v>14722</v>
      </c>
      <c r="F1187" s="6"/>
      <c r="G1187" s="1" t="s">
        <v>14726</v>
      </c>
    </row>
    <row r="1188" spans="1:7" ht="21" x14ac:dyDescent="0.25">
      <c r="A1188" s="2" t="str">
        <f>HYPERLINK("https://rth.dk/resources/bsgatlas/details.php?id=BSGatlas-TSS-1187","BSGatlas-TSS-1187")</f>
        <v>BSGatlas-TSS-1187</v>
      </c>
      <c r="B1188" s="3">
        <v>1453646</v>
      </c>
      <c r="C1188" s="1" t="s">
        <v>9</v>
      </c>
      <c r="D1188" s="1">
        <v>22</v>
      </c>
      <c r="E1188" s="1" t="s">
        <v>14722</v>
      </c>
      <c r="F1188" s="6"/>
      <c r="G1188" s="1" t="s">
        <v>14726</v>
      </c>
    </row>
    <row r="1189" spans="1:7" ht="21" x14ac:dyDescent="0.25">
      <c r="A1189" s="2" t="str">
        <f>HYPERLINK("https://rth.dk/resources/bsgatlas/details.php?id=BSGatlas-TSS-1188","BSGatlas-TSS-1188")</f>
        <v>BSGatlas-TSS-1188</v>
      </c>
      <c r="B1189" s="3">
        <v>1455013</v>
      </c>
      <c r="C1189" s="1" t="s">
        <v>13</v>
      </c>
      <c r="D1189" s="1">
        <v>22</v>
      </c>
      <c r="E1189" s="1" t="s">
        <v>14722</v>
      </c>
      <c r="F1189" s="6"/>
      <c r="G1189" s="1" t="s">
        <v>14726</v>
      </c>
    </row>
    <row r="1190" spans="1:7" ht="21" x14ac:dyDescent="0.25">
      <c r="A1190" s="2" t="str">
        <f>HYPERLINK("https://rth.dk/resources/bsgatlas/details.php?id=BSGatlas-TSS-1189","BSGatlas-TSS-1189")</f>
        <v>BSGatlas-TSS-1189</v>
      </c>
      <c r="B1190" s="3">
        <v>1456081</v>
      </c>
      <c r="C1190" s="1" t="s">
        <v>9</v>
      </c>
      <c r="D1190" s="1">
        <v>22</v>
      </c>
      <c r="E1190" s="1" t="s">
        <v>14722</v>
      </c>
      <c r="F1190" s="6"/>
      <c r="G1190" s="1" t="s">
        <v>14726</v>
      </c>
    </row>
    <row r="1191" spans="1:7" ht="21" x14ac:dyDescent="0.25">
      <c r="A1191" s="2" t="str">
        <f>HYPERLINK("https://rth.dk/resources/bsgatlas/details.php?id=BSGatlas-TSS-1190","BSGatlas-TSS-1190")</f>
        <v>BSGatlas-TSS-1190</v>
      </c>
      <c r="B1191" s="3">
        <v>1456852</v>
      </c>
      <c r="C1191" s="1" t="s">
        <v>9</v>
      </c>
      <c r="D1191" s="1">
        <v>0</v>
      </c>
      <c r="E1191" s="1" t="s">
        <v>14722</v>
      </c>
      <c r="F1191" s="6">
        <v>11902727</v>
      </c>
      <c r="G1191" s="1" t="s">
        <v>14730</v>
      </c>
    </row>
    <row r="1192" spans="1:7" ht="21" x14ac:dyDescent="0.25">
      <c r="A1192" s="2" t="str">
        <f>HYPERLINK("https://rth.dk/resources/bsgatlas/details.php?id=BSGatlas-TSS-1191","BSGatlas-TSS-1191")</f>
        <v>BSGatlas-TSS-1191</v>
      </c>
      <c r="B1192" s="3">
        <v>1457158</v>
      </c>
      <c r="C1192" s="1" t="s">
        <v>9</v>
      </c>
      <c r="D1192" s="1">
        <v>22</v>
      </c>
      <c r="E1192" s="1" t="s">
        <v>14732</v>
      </c>
      <c r="F1192" s="6"/>
      <c r="G1192" s="1" t="s">
        <v>14726</v>
      </c>
    </row>
    <row r="1193" spans="1:7" ht="21" x14ac:dyDescent="0.25">
      <c r="A1193" s="2" t="str">
        <f>HYPERLINK("https://rth.dk/resources/bsgatlas/details.php?id=BSGatlas-TSS-1192","BSGatlas-TSS-1192")</f>
        <v>BSGatlas-TSS-1192</v>
      </c>
      <c r="B1193" s="3">
        <v>1459340</v>
      </c>
      <c r="C1193" s="1" t="s">
        <v>9</v>
      </c>
      <c r="D1193" s="1">
        <v>0</v>
      </c>
      <c r="E1193" s="1" t="s">
        <v>14722</v>
      </c>
      <c r="F1193" s="6">
        <v>11902727</v>
      </c>
      <c r="G1193" s="1" t="s">
        <v>14730</v>
      </c>
    </row>
    <row r="1194" spans="1:7" ht="21" x14ac:dyDescent="0.25">
      <c r="A1194" s="2" t="str">
        <f>HYPERLINK("https://rth.dk/resources/bsgatlas/details.php?id=BSGatlas-TSS-1193","BSGatlas-TSS-1193")</f>
        <v>BSGatlas-TSS-1193</v>
      </c>
      <c r="B1194" s="3">
        <v>1461437</v>
      </c>
      <c r="C1194" s="1" t="s">
        <v>9</v>
      </c>
      <c r="D1194" s="1">
        <v>0</v>
      </c>
      <c r="E1194" s="1" t="s">
        <v>14743</v>
      </c>
      <c r="F1194" s="6" t="s">
        <v>14899</v>
      </c>
      <c r="G1194" s="1" t="s">
        <v>14729</v>
      </c>
    </row>
    <row r="1195" spans="1:7" ht="21" x14ac:dyDescent="0.25">
      <c r="A1195" s="2" t="str">
        <f>HYPERLINK("https://rth.dk/resources/bsgatlas/details.php?id=BSGatlas-TSS-1194","BSGatlas-TSS-1194")</f>
        <v>BSGatlas-TSS-1194</v>
      </c>
      <c r="B1195" s="3">
        <v>1461746</v>
      </c>
      <c r="C1195" s="1" t="s">
        <v>9</v>
      </c>
      <c r="D1195" s="1">
        <v>0</v>
      </c>
      <c r="E1195" s="1" t="s">
        <v>14743</v>
      </c>
      <c r="F1195" s="6" t="s">
        <v>14900</v>
      </c>
      <c r="G1195" s="1" t="s">
        <v>4684</v>
      </c>
    </row>
    <row r="1196" spans="1:7" ht="21" x14ac:dyDescent="0.25">
      <c r="A1196" s="2" t="str">
        <f>HYPERLINK("https://rth.dk/resources/bsgatlas/details.php?id=BSGatlas-TSS-1195","BSGatlas-TSS-1195")</f>
        <v>BSGatlas-TSS-1195</v>
      </c>
      <c r="B1196" s="3">
        <v>1463526</v>
      </c>
      <c r="C1196" s="1" t="s">
        <v>13</v>
      </c>
      <c r="D1196" s="1">
        <v>22</v>
      </c>
      <c r="E1196" s="1" t="s">
        <v>14722</v>
      </c>
      <c r="F1196" s="6"/>
      <c r="G1196" s="1" t="s">
        <v>14726</v>
      </c>
    </row>
    <row r="1197" spans="1:7" ht="21" x14ac:dyDescent="0.25">
      <c r="A1197" s="2" t="str">
        <f>HYPERLINK("https://rth.dk/resources/bsgatlas/details.php?id=BSGatlas-TSS-1196","BSGatlas-TSS-1196")</f>
        <v>BSGatlas-TSS-1196</v>
      </c>
      <c r="B1197" s="3">
        <v>1463614</v>
      </c>
      <c r="C1197" s="1" t="s">
        <v>9</v>
      </c>
      <c r="D1197" s="1">
        <v>0</v>
      </c>
      <c r="E1197" s="1" t="s">
        <v>14752</v>
      </c>
      <c r="F1197" s="6" t="s">
        <v>14901</v>
      </c>
      <c r="G1197" s="1" t="s">
        <v>14729</v>
      </c>
    </row>
    <row r="1198" spans="1:7" ht="21" x14ac:dyDescent="0.25">
      <c r="A1198" s="2" t="str">
        <f>HYPERLINK("https://rth.dk/resources/bsgatlas/details.php?id=BSGatlas-TSS-1197","BSGatlas-TSS-1197")</f>
        <v>BSGatlas-TSS-1197</v>
      </c>
      <c r="B1198" s="3">
        <v>1464080</v>
      </c>
      <c r="C1198" s="1" t="s">
        <v>13</v>
      </c>
      <c r="D1198" s="1">
        <v>22</v>
      </c>
      <c r="E1198" s="1" t="s">
        <v>14720</v>
      </c>
      <c r="F1198" s="6"/>
      <c r="G1198" s="1" t="s">
        <v>14726</v>
      </c>
    </row>
    <row r="1199" spans="1:7" ht="21" x14ac:dyDescent="0.25">
      <c r="A1199" s="2" t="str">
        <f>HYPERLINK("https://rth.dk/resources/bsgatlas/details.php?id=BSGatlas-TSS-1198","BSGatlas-TSS-1198")</f>
        <v>BSGatlas-TSS-1198</v>
      </c>
      <c r="B1199" s="3">
        <v>1465667</v>
      </c>
      <c r="C1199" s="1" t="s">
        <v>9</v>
      </c>
      <c r="D1199" s="1">
        <v>22</v>
      </c>
      <c r="E1199" s="1" t="s">
        <v>14722</v>
      </c>
      <c r="F1199" s="6"/>
      <c r="G1199" s="1" t="s">
        <v>14726</v>
      </c>
    </row>
    <row r="1200" spans="1:7" ht="21" x14ac:dyDescent="0.25">
      <c r="A1200" s="2" t="str">
        <f>HYPERLINK("https://rth.dk/resources/bsgatlas/details.php?id=BSGatlas-TSS-1199","BSGatlas-TSS-1199")</f>
        <v>BSGatlas-TSS-1199</v>
      </c>
      <c r="B1200" s="3">
        <v>1467453</v>
      </c>
      <c r="C1200" s="1" t="s">
        <v>13</v>
      </c>
      <c r="D1200" s="1">
        <v>22</v>
      </c>
      <c r="E1200" s="1" t="s">
        <v>14722</v>
      </c>
      <c r="F1200" s="6"/>
      <c r="G1200" s="1" t="s">
        <v>14726</v>
      </c>
    </row>
    <row r="1201" spans="1:7" ht="21" x14ac:dyDescent="0.25">
      <c r="A1201" s="2" t="str">
        <f>HYPERLINK("https://rth.dk/resources/bsgatlas/details.php?id=BSGatlas-TSS-1200","BSGatlas-TSS-1200")</f>
        <v>BSGatlas-TSS-1200</v>
      </c>
      <c r="B1201" s="3">
        <v>1467699</v>
      </c>
      <c r="C1201" s="1" t="s">
        <v>9</v>
      </c>
      <c r="D1201" s="1">
        <v>22</v>
      </c>
      <c r="E1201" s="1" t="s">
        <v>14722</v>
      </c>
      <c r="F1201" s="6"/>
      <c r="G1201" s="1" t="s">
        <v>14733</v>
      </c>
    </row>
    <row r="1202" spans="1:7" ht="21" x14ac:dyDescent="0.25">
      <c r="A1202" s="2" t="str">
        <f>HYPERLINK("https://rth.dk/resources/bsgatlas/details.php?id=BSGatlas-TSS-1201","BSGatlas-TSS-1201")</f>
        <v>BSGatlas-TSS-1201</v>
      </c>
      <c r="B1202" s="3">
        <v>1469053</v>
      </c>
      <c r="C1202" s="1" t="s">
        <v>13</v>
      </c>
      <c r="D1202" s="1">
        <v>22</v>
      </c>
      <c r="E1202" s="1" t="s">
        <v>14727</v>
      </c>
      <c r="F1202" s="6"/>
      <c r="G1202" s="1" t="s">
        <v>14726</v>
      </c>
    </row>
    <row r="1203" spans="1:7" ht="21" x14ac:dyDescent="0.25">
      <c r="A1203" s="2" t="str">
        <f>HYPERLINK("https://rth.dk/resources/bsgatlas/details.php?id=BSGatlas-TSS-1202","BSGatlas-TSS-1202")</f>
        <v>BSGatlas-TSS-1202</v>
      </c>
      <c r="B1203" s="3">
        <v>1469969</v>
      </c>
      <c r="C1203" s="1" t="s">
        <v>9</v>
      </c>
      <c r="D1203" s="1">
        <v>0</v>
      </c>
      <c r="E1203" s="1" t="s">
        <v>14745</v>
      </c>
      <c r="F1203" s="6" t="s">
        <v>14902</v>
      </c>
      <c r="G1203" s="1" t="s">
        <v>14729</v>
      </c>
    </row>
    <row r="1204" spans="1:7" ht="21" x14ac:dyDescent="0.25">
      <c r="A1204" s="2" t="str">
        <f>HYPERLINK("https://rth.dk/resources/bsgatlas/details.php?id=BSGatlas-TSS-1203","BSGatlas-TSS-1203")</f>
        <v>BSGatlas-TSS-1203</v>
      </c>
      <c r="B1204" s="3">
        <v>1473082</v>
      </c>
      <c r="C1204" s="1" t="s">
        <v>13</v>
      </c>
      <c r="D1204" s="1">
        <v>22</v>
      </c>
      <c r="E1204" s="1" t="s">
        <v>14722</v>
      </c>
      <c r="F1204" s="6"/>
      <c r="G1204" s="1" t="s">
        <v>14726</v>
      </c>
    </row>
    <row r="1205" spans="1:7" ht="21" x14ac:dyDescent="0.25">
      <c r="A1205" s="2" t="str">
        <f>HYPERLINK("https://rth.dk/resources/bsgatlas/details.php?id=BSGatlas-TSS-1204","BSGatlas-TSS-1204")</f>
        <v>BSGatlas-TSS-1204</v>
      </c>
      <c r="B1205" s="3">
        <v>1473126</v>
      </c>
      <c r="C1205" s="1" t="s">
        <v>13</v>
      </c>
      <c r="D1205" s="1">
        <v>22</v>
      </c>
      <c r="E1205" s="1" t="s">
        <v>14727</v>
      </c>
      <c r="F1205" s="6"/>
      <c r="G1205" s="1" t="s">
        <v>14726</v>
      </c>
    </row>
    <row r="1206" spans="1:7" ht="21" x14ac:dyDescent="0.25">
      <c r="A1206" s="2" t="str">
        <f>HYPERLINK("https://rth.dk/resources/bsgatlas/details.php?id=BSGatlas-TSS-1205","BSGatlas-TSS-1205")</f>
        <v>BSGatlas-TSS-1205</v>
      </c>
      <c r="B1206" s="3">
        <v>1473196</v>
      </c>
      <c r="C1206" s="1" t="s">
        <v>13</v>
      </c>
      <c r="D1206" s="1">
        <v>22</v>
      </c>
      <c r="E1206" s="1" t="s">
        <v>14722</v>
      </c>
      <c r="F1206" s="6"/>
      <c r="G1206" s="1" t="s">
        <v>14733</v>
      </c>
    </row>
    <row r="1207" spans="1:7" ht="21" x14ac:dyDescent="0.25">
      <c r="A1207" s="2" t="str">
        <f>HYPERLINK("https://rth.dk/resources/bsgatlas/details.php?id=BSGatlas-TSS-1206","BSGatlas-TSS-1206")</f>
        <v>BSGatlas-TSS-1206</v>
      </c>
      <c r="B1207" s="3">
        <v>1473437</v>
      </c>
      <c r="C1207" s="1" t="s">
        <v>13</v>
      </c>
      <c r="D1207" s="1">
        <v>22</v>
      </c>
      <c r="E1207" s="1" t="s">
        <v>14722</v>
      </c>
      <c r="F1207" s="6"/>
      <c r="G1207" s="1" t="s">
        <v>14726</v>
      </c>
    </row>
    <row r="1208" spans="1:7" ht="21" x14ac:dyDescent="0.25">
      <c r="A1208" s="2" t="str">
        <f>HYPERLINK("https://rth.dk/resources/bsgatlas/details.php?id=BSGatlas-TSS-1207","BSGatlas-TSS-1207")</f>
        <v>BSGatlas-TSS-1207</v>
      </c>
      <c r="B1208" s="3">
        <v>1473573</v>
      </c>
      <c r="C1208" s="1" t="s">
        <v>9</v>
      </c>
      <c r="D1208" s="1">
        <v>0</v>
      </c>
      <c r="E1208" s="1" t="s">
        <v>14752</v>
      </c>
      <c r="F1208" s="6" t="s">
        <v>14903</v>
      </c>
      <c r="G1208" s="1" t="s">
        <v>14729</v>
      </c>
    </row>
    <row r="1209" spans="1:7" ht="21" x14ac:dyDescent="0.25">
      <c r="A1209" s="2" t="str">
        <f>HYPERLINK("https://rth.dk/resources/bsgatlas/details.php?id=BSGatlas-TSS-1208","BSGatlas-TSS-1208")</f>
        <v>BSGatlas-TSS-1208</v>
      </c>
      <c r="B1209" s="3">
        <v>1474084</v>
      </c>
      <c r="C1209" s="1" t="s">
        <v>9</v>
      </c>
      <c r="D1209" s="1">
        <v>22</v>
      </c>
      <c r="E1209" s="1" t="s">
        <v>14725</v>
      </c>
      <c r="F1209" s="6"/>
      <c r="G1209" s="1" t="s">
        <v>14726</v>
      </c>
    </row>
    <row r="1210" spans="1:7" ht="21" x14ac:dyDescent="0.25">
      <c r="A1210" s="2" t="str">
        <f>HYPERLINK("https://rth.dk/resources/bsgatlas/details.php?id=BSGatlas-TSS-1209","BSGatlas-TSS-1209")</f>
        <v>BSGatlas-TSS-1209</v>
      </c>
      <c r="B1210" s="3">
        <v>1475064</v>
      </c>
      <c r="C1210" s="1" t="s">
        <v>13</v>
      </c>
      <c r="D1210" s="1">
        <v>22</v>
      </c>
      <c r="E1210" s="1" t="s">
        <v>14722</v>
      </c>
      <c r="F1210" s="6"/>
      <c r="G1210" s="1" t="s">
        <v>14726</v>
      </c>
    </row>
    <row r="1211" spans="1:7" ht="21" x14ac:dyDescent="0.25">
      <c r="A1211" s="2" t="str">
        <f>HYPERLINK("https://rth.dk/resources/bsgatlas/details.php?id=BSGatlas-TSS-1210","BSGatlas-TSS-1210")</f>
        <v>BSGatlas-TSS-1210</v>
      </c>
      <c r="B1211" s="3">
        <v>1476470</v>
      </c>
      <c r="C1211" s="1" t="s">
        <v>13</v>
      </c>
      <c r="D1211" s="1">
        <v>22</v>
      </c>
      <c r="E1211" s="1" t="s">
        <v>14722</v>
      </c>
      <c r="F1211" s="6"/>
      <c r="G1211" s="1" t="s">
        <v>14726</v>
      </c>
    </row>
    <row r="1212" spans="1:7" ht="21" x14ac:dyDescent="0.25">
      <c r="A1212" s="2" t="str">
        <f>HYPERLINK("https://rth.dk/resources/bsgatlas/details.php?id=BSGatlas-TSS-1211","BSGatlas-TSS-1211")</f>
        <v>BSGatlas-TSS-1211</v>
      </c>
      <c r="B1212" s="3">
        <v>1477032</v>
      </c>
      <c r="C1212" s="1" t="s">
        <v>13</v>
      </c>
      <c r="D1212" s="1">
        <v>0</v>
      </c>
      <c r="E1212" s="1" t="s">
        <v>14725</v>
      </c>
      <c r="F1212" s="6" t="s">
        <v>14904</v>
      </c>
      <c r="G1212" s="1" t="s">
        <v>14730</v>
      </c>
    </row>
    <row r="1213" spans="1:7" ht="21" x14ac:dyDescent="0.25">
      <c r="A1213" s="2" t="str">
        <f>HYPERLINK("https://rth.dk/resources/bsgatlas/details.php?id=BSGatlas-TSS-1212","BSGatlas-TSS-1212")</f>
        <v>BSGatlas-TSS-1212</v>
      </c>
      <c r="B1213" s="3">
        <v>1477963</v>
      </c>
      <c r="C1213" s="1" t="s">
        <v>13</v>
      </c>
      <c r="D1213" s="1">
        <v>22</v>
      </c>
      <c r="E1213" s="1" t="s">
        <v>14722</v>
      </c>
      <c r="F1213" s="6"/>
      <c r="G1213" s="1" t="s">
        <v>14726</v>
      </c>
    </row>
    <row r="1214" spans="1:7" ht="21" x14ac:dyDescent="0.25">
      <c r="A1214" s="2" t="str">
        <f>HYPERLINK("https://rth.dk/resources/bsgatlas/details.php?id=BSGatlas-TSS-1213","BSGatlas-TSS-1213")</f>
        <v>BSGatlas-TSS-1213</v>
      </c>
      <c r="B1214" s="3">
        <v>1478034</v>
      </c>
      <c r="C1214" s="1" t="s">
        <v>9</v>
      </c>
      <c r="D1214" s="1">
        <v>0</v>
      </c>
      <c r="E1214" s="1" t="s">
        <v>14722</v>
      </c>
      <c r="F1214" s="6" t="s">
        <v>14866</v>
      </c>
      <c r="G1214" s="1" t="s">
        <v>14729</v>
      </c>
    </row>
    <row r="1215" spans="1:7" ht="21" x14ac:dyDescent="0.25">
      <c r="A1215" s="2" t="str">
        <f>HYPERLINK("https://rth.dk/resources/bsgatlas/details.php?id=BSGatlas-TSS-1214","BSGatlas-TSS-1214")</f>
        <v>BSGatlas-TSS-1214</v>
      </c>
      <c r="B1215" s="3">
        <v>1478987</v>
      </c>
      <c r="C1215" s="1" t="s">
        <v>9</v>
      </c>
      <c r="D1215" s="1">
        <v>22</v>
      </c>
      <c r="E1215" s="1" t="s">
        <v>14720</v>
      </c>
      <c r="F1215" s="6"/>
      <c r="G1215" s="1" t="s">
        <v>14733</v>
      </c>
    </row>
    <row r="1216" spans="1:7" ht="21" x14ac:dyDescent="0.25">
      <c r="A1216" s="2" t="str">
        <f>HYPERLINK("https://rth.dk/resources/bsgatlas/details.php?id=BSGatlas-TSS-1215","BSGatlas-TSS-1215")</f>
        <v>BSGatlas-TSS-1215</v>
      </c>
      <c r="B1216" s="3">
        <v>1481515</v>
      </c>
      <c r="C1216" s="1" t="s">
        <v>9</v>
      </c>
      <c r="D1216" s="1">
        <v>22</v>
      </c>
      <c r="E1216" s="1" t="s">
        <v>14722</v>
      </c>
      <c r="F1216" s="6"/>
      <c r="G1216" s="1" t="s">
        <v>14726</v>
      </c>
    </row>
    <row r="1217" spans="1:7" ht="21" x14ac:dyDescent="0.25">
      <c r="A1217" s="2" t="str">
        <f>HYPERLINK("https://rth.dk/resources/bsgatlas/details.php?id=BSGatlas-TSS-1216","BSGatlas-TSS-1216")</f>
        <v>BSGatlas-TSS-1216</v>
      </c>
      <c r="B1217" s="3">
        <v>1483444</v>
      </c>
      <c r="C1217" s="1" t="s">
        <v>13</v>
      </c>
      <c r="D1217" s="1">
        <v>22</v>
      </c>
      <c r="E1217" s="1" t="s">
        <v>14727</v>
      </c>
      <c r="F1217" s="6"/>
      <c r="G1217" s="1" t="s">
        <v>14726</v>
      </c>
    </row>
    <row r="1218" spans="1:7" ht="21" x14ac:dyDescent="0.25">
      <c r="A1218" s="2" t="str">
        <f>HYPERLINK("https://rth.dk/resources/bsgatlas/details.php?id=BSGatlas-TSS-1217","BSGatlas-TSS-1217")</f>
        <v>BSGatlas-TSS-1217</v>
      </c>
      <c r="B1218" s="3">
        <v>1483539</v>
      </c>
      <c r="C1218" s="1" t="s">
        <v>9</v>
      </c>
      <c r="D1218" s="1">
        <v>22</v>
      </c>
      <c r="E1218" s="1" t="s">
        <v>14722</v>
      </c>
      <c r="F1218" s="6"/>
      <c r="G1218" s="1" t="s">
        <v>14726</v>
      </c>
    </row>
    <row r="1219" spans="1:7" ht="21" x14ac:dyDescent="0.25">
      <c r="A1219" s="2" t="str">
        <f>HYPERLINK("https://rth.dk/resources/bsgatlas/details.php?id=BSGatlas-TSS-1218","BSGatlas-TSS-1218")</f>
        <v>BSGatlas-TSS-1218</v>
      </c>
      <c r="B1219" s="3">
        <v>1483671</v>
      </c>
      <c r="C1219" s="1" t="s">
        <v>9</v>
      </c>
      <c r="D1219" s="1">
        <v>22</v>
      </c>
      <c r="E1219" s="1" t="s">
        <v>14727</v>
      </c>
      <c r="F1219" s="6"/>
      <c r="G1219" s="1" t="s">
        <v>14726</v>
      </c>
    </row>
    <row r="1220" spans="1:7" ht="21" x14ac:dyDescent="0.25">
      <c r="A1220" s="2" t="str">
        <f>HYPERLINK("https://rth.dk/resources/bsgatlas/details.php?id=BSGatlas-TSS-1219","BSGatlas-TSS-1219")</f>
        <v>BSGatlas-TSS-1219</v>
      </c>
      <c r="B1220" s="3">
        <v>1483957</v>
      </c>
      <c r="C1220" s="1" t="s">
        <v>9</v>
      </c>
      <c r="D1220" s="1">
        <v>22</v>
      </c>
      <c r="E1220" s="1" t="s">
        <v>14732</v>
      </c>
      <c r="F1220" s="6"/>
      <c r="G1220" s="1" t="s">
        <v>14733</v>
      </c>
    </row>
    <row r="1221" spans="1:7" ht="21" x14ac:dyDescent="0.25">
      <c r="A1221" s="2" t="str">
        <f>HYPERLINK("https://rth.dk/resources/bsgatlas/details.php?id=BSGatlas-TSS-1220","BSGatlas-TSS-1220")</f>
        <v>BSGatlas-TSS-1220</v>
      </c>
      <c r="B1221" s="3">
        <v>1484046</v>
      </c>
      <c r="C1221" s="1" t="s">
        <v>9</v>
      </c>
      <c r="D1221" s="1">
        <v>22</v>
      </c>
      <c r="E1221" s="1" t="s">
        <v>14722</v>
      </c>
      <c r="F1221" s="6"/>
      <c r="G1221" s="1" t="s">
        <v>14726</v>
      </c>
    </row>
    <row r="1222" spans="1:7" ht="21" x14ac:dyDescent="0.25">
      <c r="A1222" s="2" t="str">
        <f>HYPERLINK("https://rth.dk/resources/bsgatlas/details.php?id=BSGatlas-TSS-1221","BSGatlas-TSS-1221")</f>
        <v>BSGatlas-TSS-1221</v>
      </c>
      <c r="B1222" s="3">
        <v>1485056</v>
      </c>
      <c r="C1222" s="1" t="s">
        <v>9</v>
      </c>
      <c r="D1222" s="1">
        <v>22</v>
      </c>
      <c r="E1222" s="1" t="s">
        <v>14722</v>
      </c>
      <c r="F1222" s="6"/>
      <c r="G1222" s="1" t="s">
        <v>14726</v>
      </c>
    </row>
    <row r="1223" spans="1:7" ht="21" x14ac:dyDescent="0.25">
      <c r="A1223" s="2" t="str">
        <f>HYPERLINK("https://rth.dk/resources/bsgatlas/details.php?id=BSGatlas-TSS-1222","BSGatlas-TSS-1222")</f>
        <v>BSGatlas-TSS-1222</v>
      </c>
      <c r="B1223" s="3">
        <v>1486013</v>
      </c>
      <c r="C1223" s="1" t="s">
        <v>9</v>
      </c>
      <c r="D1223" s="1">
        <v>0</v>
      </c>
      <c r="E1223" s="1" t="s">
        <v>14722</v>
      </c>
      <c r="F1223" s="6">
        <v>11985717</v>
      </c>
      <c r="G1223" s="1" t="s">
        <v>14730</v>
      </c>
    </row>
    <row r="1224" spans="1:7" ht="21" x14ac:dyDescent="0.25">
      <c r="A1224" s="2" t="str">
        <f>HYPERLINK("https://rth.dk/resources/bsgatlas/details.php?id=BSGatlas-TSS-1223","BSGatlas-TSS-1223")</f>
        <v>BSGatlas-TSS-1223</v>
      </c>
      <c r="B1224" s="3">
        <v>1486997</v>
      </c>
      <c r="C1224" s="1" t="s">
        <v>9</v>
      </c>
      <c r="D1224" s="1">
        <v>0</v>
      </c>
      <c r="E1224" s="1" t="s">
        <v>14722</v>
      </c>
      <c r="F1224" s="6" t="s">
        <v>14905</v>
      </c>
      <c r="G1224" s="1" t="s">
        <v>14729</v>
      </c>
    </row>
    <row r="1225" spans="1:7" ht="21" x14ac:dyDescent="0.25">
      <c r="A1225" s="2" t="str">
        <f>HYPERLINK("https://rth.dk/resources/bsgatlas/details.php?id=BSGatlas-TSS-1224","BSGatlas-TSS-1224")</f>
        <v>BSGatlas-TSS-1224</v>
      </c>
      <c r="B1225" s="3">
        <v>1488697</v>
      </c>
      <c r="C1225" s="1" t="s">
        <v>13</v>
      </c>
      <c r="D1225" s="1">
        <v>22</v>
      </c>
      <c r="E1225" s="1" t="s">
        <v>14725</v>
      </c>
      <c r="F1225" s="6"/>
      <c r="G1225" s="1" t="s">
        <v>14726</v>
      </c>
    </row>
    <row r="1226" spans="1:7" ht="21" x14ac:dyDescent="0.25">
      <c r="A1226" s="2" t="str">
        <f>HYPERLINK("https://rth.dk/resources/bsgatlas/details.php?id=BSGatlas-TSS-1225","BSGatlas-TSS-1225")</f>
        <v>BSGatlas-TSS-1225</v>
      </c>
      <c r="B1226" s="3">
        <v>1488929</v>
      </c>
      <c r="C1226" s="1" t="s">
        <v>9</v>
      </c>
      <c r="D1226" s="1">
        <v>22</v>
      </c>
      <c r="E1226" s="1" t="s">
        <v>14722</v>
      </c>
      <c r="F1226" s="6"/>
      <c r="G1226" s="1" t="s">
        <v>14726</v>
      </c>
    </row>
    <row r="1227" spans="1:7" ht="21" x14ac:dyDescent="0.25">
      <c r="A1227" s="2" t="str">
        <f>HYPERLINK("https://rth.dk/resources/bsgatlas/details.php?id=BSGatlas-TSS-1226","BSGatlas-TSS-1226")</f>
        <v>BSGatlas-TSS-1226</v>
      </c>
      <c r="B1227" s="3">
        <v>1489092</v>
      </c>
      <c r="C1227" s="1" t="s">
        <v>13</v>
      </c>
      <c r="D1227" s="1">
        <v>22</v>
      </c>
      <c r="E1227" s="1" t="s">
        <v>14720</v>
      </c>
      <c r="F1227" s="6"/>
      <c r="G1227" s="1" t="s">
        <v>14726</v>
      </c>
    </row>
    <row r="1228" spans="1:7" ht="21" x14ac:dyDescent="0.25">
      <c r="A1228" s="2" t="str">
        <f>HYPERLINK("https://rth.dk/resources/bsgatlas/details.php?id=BSGatlas-TSS-1227","BSGatlas-TSS-1227")</f>
        <v>BSGatlas-TSS-1227</v>
      </c>
      <c r="B1228" s="3">
        <v>1490911</v>
      </c>
      <c r="C1228" s="1" t="s">
        <v>9</v>
      </c>
      <c r="D1228" s="1">
        <v>22</v>
      </c>
      <c r="E1228" s="1" t="s">
        <v>14732</v>
      </c>
      <c r="F1228" s="6"/>
      <c r="G1228" s="1" t="s">
        <v>14726</v>
      </c>
    </row>
    <row r="1229" spans="1:7" ht="21" x14ac:dyDescent="0.25">
      <c r="A1229" s="2" t="str">
        <f>HYPERLINK("https://rth.dk/resources/bsgatlas/details.php?id=BSGatlas-TSS-1228","BSGatlas-TSS-1228")</f>
        <v>BSGatlas-TSS-1228</v>
      </c>
      <c r="B1229" s="3">
        <v>1490940</v>
      </c>
      <c r="C1229" s="1" t="s">
        <v>13</v>
      </c>
      <c r="D1229" s="1">
        <v>22</v>
      </c>
      <c r="E1229" s="1" t="s">
        <v>14720</v>
      </c>
      <c r="F1229" s="6"/>
      <c r="G1229" s="1" t="s">
        <v>14726</v>
      </c>
    </row>
    <row r="1230" spans="1:7" ht="21" x14ac:dyDescent="0.25">
      <c r="A1230" s="2" t="str">
        <f>HYPERLINK("https://rth.dk/resources/bsgatlas/details.php?id=BSGatlas-TSS-1229","BSGatlas-TSS-1229")</f>
        <v>BSGatlas-TSS-1229</v>
      </c>
      <c r="B1230" s="3">
        <v>1492084</v>
      </c>
      <c r="C1230" s="1" t="s">
        <v>13</v>
      </c>
      <c r="D1230" s="1">
        <v>22</v>
      </c>
      <c r="E1230" s="1" t="s">
        <v>14722</v>
      </c>
      <c r="F1230" s="6"/>
      <c r="G1230" s="1" t="s">
        <v>14726</v>
      </c>
    </row>
    <row r="1231" spans="1:7" ht="21" x14ac:dyDescent="0.25">
      <c r="A1231" s="2" t="str">
        <f>HYPERLINK("https://rth.dk/resources/bsgatlas/details.php?id=BSGatlas-TSS-1230","BSGatlas-TSS-1230")</f>
        <v>BSGatlas-TSS-1230</v>
      </c>
      <c r="B1231" s="3">
        <v>1492169</v>
      </c>
      <c r="C1231" s="1" t="s">
        <v>9</v>
      </c>
      <c r="D1231" s="1">
        <v>22</v>
      </c>
      <c r="E1231" s="1" t="s">
        <v>14722</v>
      </c>
      <c r="F1231" s="6"/>
      <c r="G1231" s="1" t="s">
        <v>14733</v>
      </c>
    </row>
    <row r="1232" spans="1:7" ht="21" x14ac:dyDescent="0.25">
      <c r="A1232" s="2" t="str">
        <f>HYPERLINK("https://rth.dk/resources/bsgatlas/details.php?id=BSGatlas-TSS-1231","BSGatlas-TSS-1231")</f>
        <v>BSGatlas-TSS-1231</v>
      </c>
      <c r="B1232" s="3">
        <v>1493734</v>
      </c>
      <c r="C1232" s="1" t="s">
        <v>9</v>
      </c>
      <c r="D1232" s="1">
        <v>22</v>
      </c>
      <c r="E1232" s="1" t="s">
        <v>14722</v>
      </c>
      <c r="F1232" s="6"/>
      <c r="G1232" s="1" t="s">
        <v>14726</v>
      </c>
    </row>
    <row r="1233" spans="1:7" ht="21" x14ac:dyDescent="0.25">
      <c r="A1233" s="2" t="str">
        <f>HYPERLINK("https://rth.dk/resources/bsgatlas/details.php?id=BSGatlas-TSS-1232","BSGatlas-TSS-1232")</f>
        <v>BSGatlas-TSS-1232</v>
      </c>
      <c r="B1233" s="3">
        <v>1494737</v>
      </c>
      <c r="C1233" s="1" t="s">
        <v>9</v>
      </c>
      <c r="D1233" s="1">
        <v>22</v>
      </c>
      <c r="E1233" s="1" t="s">
        <v>14722</v>
      </c>
      <c r="F1233" s="6"/>
      <c r="G1233" s="1" t="s">
        <v>14733</v>
      </c>
    </row>
    <row r="1234" spans="1:7" ht="21" x14ac:dyDescent="0.25">
      <c r="A1234" s="2" t="str">
        <f>HYPERLINK("https://rth.dk/resources/bsgatlas/details.php?id=BSGatlas-TSS-1233","BSGatlas-TSS-1233")</f>
        <v>BSGatlas-TSS-1233</v>
      </c>
      <c r="B1234" s="3">
        <v>1495388</v>
      </c>
      <c r="C1234" s="1" t="s">
        <v>13</v>
      </c>
      <c r="D1234" s="1">
        <v>0</v>
      </c>
      <c r="E1234" s="1" t="s">
        <v>14735</v>
      </c>
      <c r="F1234" s="6" t="s">
        <v>14906</v>
      </c>
      <c r="G1234" s="1" t="s">
        <v>14729</v>
      </c>
    </row>
    <row r="1235" spans="1:7" ht="21" x14ac:dyDescent="0.25">
      <c r="A1235" s="2" t="str">
        <f>HYPERLINK("https://rth.dk/resources/bsgatlas/details.php?id=BSGatlas-TSS-1234","BSGatlas-TSS-1234")</f>
        <v>BSGatlas-TSS-1234</v>
      </c>
      <c r="B1235" s="3">
        <v>1495464</v>
      </c>
      <c r="C1235" s="1" t="s">
        <v>9</v>
      </c>
      <c r="D1235" s="1">
        <v>22</v>
      </c>
      <c r="E1235" s="1" t="s">
        <v>14722</v>
      </c>
      <c r="F1235" s="6"/>
      <c r="G1235" s="1" t="s">
        <v>14726</v>
      </c>
    </row>
    <row r="1236" spans="1:7" ht="21" x14ac:dyDescent="0.25">
      <c r="A1236" s="2" t="str">
        <f>HYPERLINK("https://rth.dk/resources/bsgatlas/details.php?id=BSGatlas-TSS-1235","BSGatlas-TSS-1235")</f>
        <v>BSGatlas-TSS-1235</v>
      </c>
      <c r="B1236" s="3">
        <v>1499740</v>
      </c>
      <c r="C1236" s="1" t="s">
        <v>9</v>
      </c>
      <c r="D1236" s="1">
        <v>22</v>
      </c>
      <c r="E1236" s="1" t="s">
        <v>14727</v>
      </c>
      <c r="F1236" s="6"/>
      <c r="G1236" s="1" t="s">
        <v>14733</v>
      </c>
    </row>
    <row r="1237" spans="1:7" ht="21" x14ac:dyDescent="0.25">
      <c r="A1237" s="2" t="str">
        <f>HYPERLINK("https://rth.dk/resources/bsgatlas/details.php?id=BSGatlas-TSS-1236","BSGatlas-TSS-1236")</f>
        <v>BSGatlas-TSS-1236</v>
      </c>
      <c r="B1237" s="3">
        <v>1499840</v>
      </c>
      <c r="C1237" s="1" t="s">
        <v>9</v>
      </c>
      <c r="D1237" s="1">
        <v>22</v>
      </c>
      <c r="E1237" s="1" t="s">
        <v>14722</v>
      </c>
      <c r="F1237" s="6"/>
      <c r="G1237" s="1" t="s">
        <v>14726</v>
      </c>
    </row>
    <row r="1238" spans="1:7" ht="21" x14ac:dyDescent="0.25">
      <c r="A1238" s="2" t="str">
        <f>HYPERLINK("https://rth.dk/resources/bsgatlas/details.php?id=BSGatlas-TSS-1237","BSGatlas-TSS-1237")</f>
        <v>BSGatlas-TSS-1237</v>
      </c>
      <c r="B1238" s="3">
        <v>1502105</v>
      </c>
      <c r="C1238" s="1" t="s">
        <v>13</v>
      </c>
      <c r="D1238" s="1">
        <v>22</v>
      </c>
      <c r="E1238" s="1" t="s">
        <v>14722</v>
      </c>
      <c r="F1238" s="6"/>
      <c r="G1238" s="1" t="s">
        <v>14726</v>
      </c>
    </row>
    <row r="1239" spans="1:7" ht="21" x14ac:dyDescent="0.25">
      <c r="A1239" s="2" t="str">
        <f>HYPERLINK("https://rth.dk/resources/bsgatlas/details.php?id=BSGatlas-TSS-1238","BSGatlas-TSS-1238")</f>
        <v>BSGatlas-TSS-1238</v>
      </c>
      <c r="B1239" s="3">
        <v>1503557</v>
      </c>
      <c r="C1239" s="1" t="s">
        <v>9</v>
      </c>
      <c r="D1239" s="1">
        <v>0</v>
      </c>
      <c r="E1239" s="1" t="s">
        <v>14770</v>
      </c>
      <c r="F1239" s="6" t="s">
        <v>14771</v>
      </c>
      <c r="G1239" s="1" t="s">
        <v>14729</v>
      </c>
    </row>
    <row r="1240" spans="1:7" ht="21" x14ac:dyDescent="0.25">
      <c r="A1240" s="2" t="str">
        <f>HYPERLINK("https://rth.dk/resources/bsgatlas/details.php?id=BSGatlas-TSS-1239","BSGatlas-TSS-1239")</f>
        <v>BSGatlas-TSS-1239</v>
      </c>
      <c r="B1240" s="3">
        <v>1507375</v>
      </c>
      <c r="C1240" s="1" t="s">
        <v>9</v>
      </c>
      <c r="D1240" s="1">
        <v>22</v>
      </c>
      <c r="E1240" s="1" t="s">
        <v>14732</v>
      </c>
      <c r="F1240" s="6"/>
      <c r="G1240" s="1" t="s">
        <v>14726</v>
      </c>
    </row>
    <row r="1241" spans="1:7" ht="21" x14ac:dyDescent="0.25">
      <c r="A1241" s="2" t="str">
        <f>HYPERLINK("https://rth.dk/resources/bsgatlas/details.php?id=BSGatlas-TSS-1240","BSGatlas-TSS-1240")</f>
        <v>BSGatlas-TSS-1240</v>
      </c>
      <c r="B1241" s="3">
        <v>1507447</v>
      </c>
      <c r="C1241" s="1" t="s">
        <v>9</v>
      </c>
      <c r="D1241" s="1">
        <v>22</v>
      </c>
      <c r="E1241" s="1" t="s">
        <v>14722</v>
      </c>
      <c r="F1241" s="6"/>
      <c r="G1241" s="1" t="s">
        <v>14733</v>
      </c>
    </row>
    <row r="1242" spans="1:7" ht="21" x14ac:dyDescent="0.25">
      <c r="A1242" s="2" t="str">
        <f>HYPERLINK("https://rth.dk/resources/bsgatlas/details.php?id=BSGatlas-TSS-1241","BSGatlas-TSS-1241")</f>
        <v>BSGatlas-TSS-1241</v>
      </c>
      <c r="B1242" s="3">
        <v>1507540</v>
      </c>
      <c r="C1242" s="1" t="s">
        <v>9</v>
      </c>
      <c r="D1242" s="1">
        <v>22</v>
      </c>
      <c r="E1242" s="1" t="s">
        <v>14722</v>
      </c>
      <c r="F1242" s="6"/>
      <c r="G1242" s="1" t="s">
        <v>14726</v>
      </c>
    </row>
    <row r="1243" spans="1:7" ht="21" x14ac:dyDescent="0.25">
      <c r="A1243" s="2" t="str">
        <f>HYPERLINK("https://rth.dk/resources/bsgatlas/details.php?id=BSGatlas-TSS-1242","BSGatlas-TSS-1242")</f>
        <v>BSGatlas-TSS-1242</v>
      </c>
      <c r="B1243" s="3">
        <v>1507726</v>
      </c>
      <c r="C1243" s="1" t="s">
        <v>13</v>
      </c>
      <c r="D1243" s="1">
        <v>22</v>
      </c>
      <c r="E1243" s="1" t="s">
        <v>14720</v>
      </c>
      <c r="F1243" s="6"/>
      <c r="G1243" s="1" t="s">
        <v>14726</v>
      </c>
    </row>
    <row r="1244" spans="1:7" ht="21" x14ac:dyDescent="0.25">
      <c r="A1244" s="2" t="str">
        <f>HYPERLINK("https://rth.dk/resources/bsgatlas/details.php?id=BSGatlas-TSS-1243","BSGatlas-TSS-1243")</f>
        <v>BSGatlas-TSS-1243</v>
      </c>
      <c r="B1244" s="3">
        <v>1511253</v>
      </c>
      <c r="C1244" s="1" t="s">
        <v>9</v>
      </c>
      <c r="D1244" s="1">
        <v>22</v>
      </c>
      <c r="E1244" s="1" t="s">
        <v>14722</v>
      </c>
      <c r="F1244" s="6"/>
      <c r="G1244" s="1" t="s">
        <v>14726</v>
      </c>
    </row>
    <row r="1245" spans="1:7" ht="21" x14ac:dyDescent="0.25">
      <c r="A1245" s="2" t="str">
        <f>HYPERLINK("https://rth.dk/resources/bsgatlas/details.php?id=BSGatlas-TSS-1244","BSGatlas-TSS-1244")</f>
        <v>BSGatlas-TSS-1244</v>
      </c>
      <c r="B1245" s="3">
        <v>1512258</v>
      </c>
      <c r="C1245" s="1" t="s">
        <v>13</v>
      </c>
      <c r="D1245" s="1">
        <v>22</v>
      </c>
      <c r="E1245" s="1" t="s">
        <v>14722</v>
      </c>
      <c r="F1245" s="6"/>
      <c r="G1245" s="1" t="s">
        <v>14733</v>
      </c>
    </row>
    <row r="1246" spans="1:7" ht="21" x14ac:dyDescent="0.25">
      <c r="A1246" s="2" t="str">
        <f>HYPERLINK("https://rth.dk/resources/bsgatlas/details.php?id=BSGatlas-TSS-1245","BSGatlas-TSS-1245")</f>
        <v>BSGatlas-TSS-1245</v>
      </c>
      <c r="B1246" s="3">
        <v>1512333</v>
      </c>
      <c r="C1246" s="1" t="s">
        <v>9</v>
      </c>
      <c r="D1246" s="1">
        <v>22</v>
      </c>
      <c r="E1246" s="1" t="s">
        <v>14722</v>
      </c>
      <c r="F1246" s="6"/>
      <c r="G1246" s="1" t="s">
        <v>14726</v>
      </c>
    </row>
    <row r="1247" spans="1:7" ht="21" x14ac:dyDescent="0.25">
      <c r="A1247" s="2" t="str">
        <f>HYPERLINK("https://rth.dk/resources/bsgatlas/details.php?id=BSGatlas-TSS-1246","BSGatlas-TSS-1246")</f>
        <v>BSGatlas-TSS-1246</v>
      </c>
      <c r="B1247" s="3">
        <v>1516271</v>
      </c>
      <c r="C1247" s="1" t="s">
        <v>13</v>
      </c>
      <c r="D1247" s="1">
        <v>22</v>
      </c>
      <c r="E1247" s="1" t="s">
        <v>14722</v>
      </c>
      <c r="F1247" s="6"/>
      <c r="G1247" s="1" t="s">
        <v>14726</v>
      </c>
    </row>
    <row r="1248" spans="1:7" ht="21" x14ac:dyDescent="0.25">
      <c r="A1248" s="2" t="str">
        <f>HYPERLINK("https://rth.dk/resources/bsgatlas/details.php?id=BSGatlas-TSS-1247","BSGatlas-TSS-1247")</f>
        <v>BSGatlas-TSS-1247</v>
      </c>
      <c r="B1248" s="3">
        <v>1516506</v>
      </c>
      <c r="C1248" s="1" t="s">
        <v>13</v>
      </c>
      <c r="D1248" s="1">
        <v>22</v>
      </c>
      <c r="E1248" s="1" t="s">
        <v>14727</v>
      </c>
      <c r="F1248" s="6"/>
      <c r="G1248" s="1" t="s">
        <v>14726</v>
      </c>
    </row>
    <row r="1249" spans="1:7" ht="21" x14ac:dyDescent="0.25">
      <c r="A1249" s="2" t="str">
        <f>HYPERLINK("https://rth.dk/resources/bsgatlas/details.php?id=BSGatlas-TSS-1248","BSGatlas-TSS-1248")</f>
        <v>BSGatlas-TSS-1248</v>
      </c>
      <c r="B1249" s="3">
        <v>1517627</v>
      </c>
      <c r="C1249" s="1" t="s">
        <v>13</v>
      </c>
      <c r="D1249" s="1">
        <v>22</v>
      </c>
      <c r="E1249" s="1" t="s">
        <v>14758</v>
      </c>
      <c r="F1249" s="6"/>
      <c r="G1249" s="1" t="s">
        <v>14726</v>
      </c>
    </row>
    <row r="1250" spans="1:7" ht="21" x14ac:dyDescent="0.25">
      <c r="A1250" s="2" t="str">
        <f>HYPERLINK("https://rth.dk/resources/bsgatlas/details.php?id=BSGatlas-TSS-1249","BSGatlas-TSS-1249")</f>
        <v>BSGatlas-TSS-1249</v>
      </c>
      <c r="B1250" s="3">
        <v>1517802</v>
      </c>
      <c r="C1250" s="1" t="s">
        <v>9</v>
      </c>
      <c r="D1250" s="1">
        <v>0</v>
      </c>
      <c r="E1250" s="1" t="s">
        <v>14770</v>
      </c>
      <c r="F1250" s="6" t="s">
        <v>14907</v>
      </c>
      <c r="G1250" s="1" t="s">
        <v>14724</v>
      </c>
    </row>
    <row r="1251" spans="1:7" ht="21" x14ac:dyDescent="0.25">
      <c r="A1251" s="2" t="str">
        <f>HYPERLINK("https://rth.dk/resources/bsgatlas/details.php?id=BSGatlas-TSS-1250","BSGatlas-TSS-1250")</f>
        <v>BSGatlas-TSS-1250</v>
      </c>
      <c r="B1251" s="3">
        <v>1517806</v>
      </c>
      <c r="C1251" s="1" t="s">
        <v>9</v>
      </c>
      <c r="D1251" s="1">
        <v>0</v>
      </c>
      <c r="E1251" s="1" t="s">
        <v>14776</v>
      </c>
      <c r="F1251" s="6" t="s">
        <v>14907</v>
      </c>
      <c r="G1251" s="1" t="s">
        <v>14724</v>
      </c>
    </row>
    <row r="1252" spans="1:7" ht="21" x14ac:dyDescent="0.25">
      <c r="A1252" s="2" t="str">
        <f>HYPERLINK("https://rth.dk/resources/bsgatlas/details.php?id=BSGatlas-TSS-1251","BSGatlas-TSS-1251")</f>
        <v>BSGatlas-TSS-1251</v>
      </c>
      <c r="B1252" s="3">
        <v>1518308</v>
      </c>
      <c r="C1252" s="1" t="s">
        <v>9</v>
      </c>
      <c r="D1252" s="1">
        <v>0</v>
      </c>
      <c r="E1252" s="1" t="s">
        <v>14722</v>
      </c>
      <c r="F1252" s="6" t="s">
        <v>14908</v>
      </c>
      <c r="G1252" s="1" t="s">
        <v>14729</v>
      </c>
    </row>
    <row r="1253" spans="1:7" ht="21" x14ac:dyDescent="0.25">
      <c r="A1253" s="2" t="str">
        <f>HYPERLINK("https://rth.dk/resources/bsgatlas/details.php?id=BSGatlas-TSS-1252","BSGatlas-TSS-1252")</f>
        <v>BSGatlas-TSS-1252</v>
      </c>
      <c r="B1253" s="3">
        <v>1519816</v>
      </c>
      <c r="C1253" s="1" t="s">
        <v>13</v>
      </c>
      <c r="D1253" s="1">
        <v>22</v>
      </c>
      <c r="E1253" s="1" t="s">
        <v>14727</v>
      </c>
      <c r="F1253" s="6"/>
      <c r="G1253" s="1" t="s">
        <v>14726</v>
      </c>
    </row>
    <row r="1254" spans="1:7" ht="21" x14ac:dyDescent="0.25">
      <c r="A1254" s="2" t="str">
        <f>HYPERLINK("https://rth.dk/resources/bsgatlas/details.php?id=BSGatlas-TSS-1253","BSGatlas-TSS-1253")</f>
        <v>BSGatlas-TSS-1253</v>
      </c>
      <c r="B1254" s="3">
        <v>1521320</v>
      </c>
      <c r="C1254" s="1" t="s">
        <v>9</v>
      </c>
      <c r="D1254" s="1">
        <v>22</v>
      </c>
      <c r="E1254" s="1" t="s">
        <v>14722</v>
      </c>
      <c r="F1254" s="6"/>
      <c r="G1254" s="1" t="s">
        <v>14726</v>
      </c>
    </row>
    <row r="1255" spans="1:7" ht="21" x14ac:dyDescent="0.25">
      <c r="A1255" s="2" t="str">
        <f>HYPERLINK("https://rth.dk/resources/bsgatlas/details.php?id=BSGatlas-TSS-1254","BSGatlas-TSS-1254")</f>
        <v>BSGatlas-TSS-1254</v>
      </c>
      <c r="B1255" s="3">
        <v>1521322</v>
      </c>
      <c r="C1255" s="1" t="s">
        <v>13</v>
      </c>
      <c r="D1255" s="1">
        <v>22</v>
      </c>
      <c r="E1255" s="1" t="s">
        <v>14722</v>
      </c>
      <c r="F1255" s="6"/>
      <c r="G1255" s="1" t="s">
        <v>14726</v>
      </c>
    </row>
    <row r="1256" spans="1:7" ht="21" x14ac:dyDescent="0.25">
      <c r="A1256" s="2" t="str">
        <f>HYPERLINK("https://rth.dk/resources/bsgatlas/details.php?id=BSGatlas-TSS-1255","BSGatlas-TSS-1255")</f>
        <v>BSGatlas-TSS-1255</v>
      </c>
      <c r="B1256" s="3">
        <v>1525039</v>
      </c>
      <c r="C1256" s="1" t="s">
        <v>13</v>
      </c>
      <c r="D1256" s="1">
        <v>0</v>
      </c>
      <c r="E1256" s="1" t="s">
        <v>14722</v>
      </c>
      <c r="F1256" s="6">
        <v>24187087</v>
      </c>
      <c r="G1256" s="1" t="s">
        <v>14747</v>
      </c>
    </row>
    <row r="1257" spans="1:7" ht="21" x14ac:dyDescent="0.25">
      <c r="A1257" s="2" t="str">
        <f>HYPERLINK("https://rth.dk/resources/bsgatlas/details.php?id=BSGatlas-TSS-1256","BSGatlas-TSS-1256")</f>
        <v>BSGatlas-TSS-1256</v>
      </c>
      <c r="B1257" s="3">
        <v>1525239</v>
      </c>
      <c r="C1257" s="1" t="s">
        <v>13</v>
      </c>
      <c r="D1257" s="1">
        <v>22</v>
      </c>
      <c r="E1257" s="1" t="s">
        <v>14732</v>
      </c>
      <c r="F1257" s="6"/>
      <c r="G1257" s="1" t="s">
        <v>14733</v>
      </c>
    </row>
    <row r="1258" spans="1:7" ht="21" x14ac:dyDescent="0.25">
      <c r="A1258" s="2" t="str">
        <f>HYPERLINK("https://rth.dk/resources/bsgatlas/details.php?id=BSGatlas-TSS-1257","BSGatlas-TSS-1257")</f>
        <v>BSGatlas-TSS-1257</v>
      </c>
      <c r="B1258" s="3">
        <v>1525348</v>
      </c>
      <c r="C1258" s="1" t="s">
        <v>9</v>
      </c>
      <c r="D1258" s="1">
        <v>22</v>
      </c>
      <c r="E1258" s="1" t="s">
        <v>14722</v>
      </c>
      <c r="F1258" s="6"/>
      <c r="G1258" s="1" t="s">
        <v>14726</v>
      </c>
    </row>
    <row r="1259" spans="1:7" ht="21" x14ac:dyDescent="0.25">
      <c r="A1259" s="2" t="str">
        <f>HYPERLINK("https://rth.dk/resources/bsgatlas/details.php?id=BSGatlas-TSS-1258","BSGatlas-TSS-1258")</f>
        <v>BSGatlas-TSS-1258</v>
      </c>
      <c r="B1259" s="3">
        <v>1526781</v>
      </c>
      <c r="C1259" s="1" t="s">
        <v>13</v>
      </c>
      <c r="D1259" s="1">
        <v>22</v>
      </c>
      <c r="E1259" s="1" t="s">
        <v>14722</v>
      </c>
      <c r="F1259" s="6"/>
      <c r="G1259" s="1" t="s">
        <v>14726</v>
      </c>
    </row>
    <row r="1260" spans="1:7" ht="21" x14ac:dyDescent="0.25">
      <c r="A1260" s="2" t="str">
        <f>HYPERLINK("https://rth.dk/resources/bsgatlas/details.php?id=BSGatlas-TSS-1259","BSGatlas-TSS-1259")</f>
        <v>BSGatlas-TSS-1259</v>
      </c>
      <c r="B1260" s="3">
        <v>1527054</v>
      </c>
      <c r="C1260" s="1" t="s">
        <v>9</v>
      </c>
      <c r="D1260" s="1">
        <v>22</v>
      </c>
      <c r="E1260" s="1" t="s">
        <v>14720</v>
      </c>
      <c r="F1260" s="6"/>
      <c r="G1260" s="1" t="s">
        <v>14726</v>
      </c>
    </row>
    <row r="1261" spans="1:7" ht="21" x14ac:dyDescent="0.25">
      <c r="A1261" s="2" t="str">
        <f>HYPERLINK("https://rth.dk/resources/bsgatlas/details.php?id=BSGatlas-TSS-1260","BSGatlas-TSS-1260")</f>
        <v>BSGatlas-TSS-1260</v>
      </c>
      <c r="B1261" s="3">
        <v>1527099</v>
      </c>
      <c r="C1261" s="1" t="s">
        <v>13</v>
      </c>
      <c r="D1261" s="1">
        <v>22</v>
      </c>
      <c r="E1261" s="1" t="s">
        <v>14725</v>
      </c>
      <c r="F1261" s="6"/>
      <c r="G1261" s="1" t="s">
        <v>14733</v>
      </c>
    </row>
    <row r="1262" spans="1:7" ht="21" x14ac:dyDescent="0.25">
      <c r="A1262" s="2" t="str">
        <f>HYPERLINK("https://rth.dk/resources/bsgatlas/details.php?id=BSGatlas-TSS-1261","BSGatlas-TSS-1261")</f>
        <v>BSGatlas-TSS-1261</v>
      </c>
      <c r="B1262" s="3">
        <v>1527198</v>
      </c>
      <c r="C1262" s="1" t="s">
        <v>9</v>
      </c>
      <c r="D1262" s="1">
        <v>22</v>
      </c>
      <c r="E1262" s="1" t="s">
        <v>14722</v>
      </c>
      <c r="F1262" s="6"/>
      <c r="G1262" s="1" t="s">
        <v>14726</v>
      </c>
    </row>
    <row r="1263" spans="1:7" ht="21" x14ac:dyDescent="0.25">
      <c r="A1263" s="2" t="str">
        <f>HYPERLINK("https://rth.dk/resources/bsgatlas/details.php?id=BSGatlas-TSS-1262","BSGatlas-TSS-1262")</f>
        <v>BSGatlas-TSS-1262</v>
      </c>
      <c r="B1263" s="3">
        <v>1527604</v>
      </c>
      <c r="C1263" s="1" t="s">
        <v>9</v>
      </c>
      <c r="D1263" s="1">
        <v>22</v>
      </c>
      <c r="E1263" s="1" t="s">
        <v>14725</v>
      </c>
      <c r="F1263" s="6"/>
      <c r="G1263" s="1" t="s">
        <v>14726</v>
      </c>
    </row>
    <row r="1264" spans="1:7" ht="21" x14ac:dyDescent="0.25">
      <c r="A1264" s="2" t="str">
        <f>HYPERLINK("https://rth.dk/resources/bsgatlas/details.php?id=BSGatlas-TSS-1263","BSGatlas-TSS-1263")</f>
        <v>BSGatlas-TSS-1263</v>
      </c>
      <c r="B1264" s="3">
        <v>1528100</v>
      </c>
      <c r="C1264" s="1" t="s">
        <v>9</v>
      </c>
      <c r="D1264" s="1">
        <v>22</v>
      </c>
      <c r="E1264" s="1" t="s">
        <v>14722</v>
      </c>
      <c r="F1264" s="6"/>
      <c r="G1264" s="1" t="s">
        <v>14733</v>
      </c>
    </row>
    <row r="1265" spans="1:7" ht="21" x14ac:dyDescent="0.25">
      <c r="A1265" s="2" t="str">
        <f>HYPERLINK("https://rth.dk/resources/bsgatlas/details.php?id=BSGatlas-TSS-1264","BSGatlas-TSS-1264")</f>
        <v>BSGatlas-TSS-1264</v>
      </c>
      <c r="B1265" s="3">
        <v>1528120</v>
      </c>
      <c r="C1265" s="1" t="s">
        <v>13</v>
      </c>
      <c r="D1265" s="1">
        <v>22</v>
      </c>
      <c r="E1265" s="1" t="s">
        <v>14722</v>
      </c>
      <c r="F1265" s="6"/>
      <c r="G1265" s="1" t="s">
        <v>14726</v>
      </c>
    </row>
    <row r="1266" spans="1:7" ht="21" x14ac:dyDescent="0.25">
      <c r="A1266" s="2" t="str">
        <f>HYPERLINK("https://rth.dk/resources/bsgatlas/details.php?id=BSGatlas-TSS-1265","BSGatlas-TSS-1265")</f>
        <v>BSGatlas-TSS-1265</v>
      </c>
      <c r="B1266" s="3">
        <v>1528230</v>
      </c>
      <c r="C1266" s="1" t="s">
        <v>13</v>
      </c>
      <c r="D1266" s="1">
        <v>22</v>
      </c>
      <c r="E1266" s="1" t="s">
        <v>14758</v>
      </c>
      <c r="F1266" s="6"/>
      <c r="G1266" s="1" t="s">
        <v>14726</v>
      </c>
    </row>
    <row r="1267" spans="1:7" ht="21" x14ac:dyDescent="0.25">
      <c r="A1267" s="2" t="str">
        <f>HYPERLINK("https://rth.dk/resources/bsgatlas/details.php?id=BSGatlas-TSS-1266","BSGatlas-TSS-1266")</f>
        <v>BSGatlas-TSS-1266</v>
      </c>
      <c r="B1267" s="3">
        <v>1528255</v>
      </c>
      <c r="C1267" s="1" t="s">
        <v>9</v>
      </c>
      <c r="D1267" s="1">
        <v>0</v>
      </c>
      <c r="E1267" s="1" t="s">
        <v>14722</v>
      </c>
      <c r="F1267" s="6" t="s">
        <v>14909</v>
      </c>
      <c r="G1267" s="1" t="s">
        <v>4382</v>
      </c>
    </row>
    <row r="1268" spans="1:7" ht="21" x14ac:dyDescent="0.25">
      <c r="A1268" s="2" t="str">
        <f>HYPERLINK("https://rth.dk/resources/bsgatlas/details.php?id=BSGatlas-TSS-1267","BSGatlas-TSS-1267")</f>
        <v>BSGatlas-TSS-1267</v>
      </c>
      <c r="B1268" s="3">
        <v>1530453</v>
      </c>
      <c r="C1268" s="1" t="s">
        <v>9</v>
      </c>
      <c r="D1268" s="1">
        <v>0</v>
      </c>
      <c r="E1268" s="1" t="s">
        <v>14722</v>
      </c>
      <c r="F1268" s="6" t="s">
        <v>14910</v>
      </c>
      <c r="G1268" s="1" t="s">
        <v>4684</v>
      </c>
    </row>
    <row r="1269" spans="1:7" ht="21" x14ac:dyDescent="0.25">
      <c r="A1269" s="2" t="str">
        <f>HYPERLINK("https://rth.dk/resources/bsgatlas/details.php?id=BSGatlas-TSS-1268","BSGatlas-TSS-1268")</f>
        <v>BSGatlas-TSS-1268</v>
      </c>
      <c r="B1269" s="3">
        <v>1530474</v>
      </c>
      <c r="C1269" s="1" t="s">
        <v>13</v>
      </c>
      <c r="D1269" s="1">
        <v>22</v>
      </c>
      <c r="E1269" s="1" t="s">
        <v>14722</v>
      </c>
      <c r="F1269" s="6"/>
      <c r="G1269" s="1" t="s">
        <v>14726</v>
      </c>
    </row>
    <row r="1270" spans="1:7" ht="21" x14ac:dyDescent="0.25">
      <c r="A1270" s="2" t="str">
        <f>HYPERLINK("https://rth.dk/resources/bsgatlas/details.php?id=BSGatlas-TSS-1269","BSGatlas-TSS-1269")</f>
        <v>BSGatlas-TSS-1269</v>
      </c>
      <c r="B1270" s="3">
        <v>1530706</v>
      </c>
      <c r="C1270" s="1" t="s">
        <v>9</v>
      </c>
      <c r="D1270" s="1">
        <v>22</v>
      </c>
      <c r="E1270" s="1" t="s">
        <v>14722</v>
      </c>
      <c r="F1270" s="6"/>
      <c r="G1270" s="1" t="s">
        <v>14726</v>
      </c>
    </row>
    <row r="1271" spans="1:7" ht="21" x14ac:dyDescent="0.25">
      <c r="A1271" s="2" t="str">
        <f>HYPERLINK("https://rth.dk/resources/bsgatlas/details.php?id=BSGatlas-TSS-1270","BSGatlas-TSS-1270")</f>
        <v>BSGatlas-TSS-1270</v>
      </c>
      <c r="B1271" s="3">
        <v>1533742</v>
      </c>
      <c r="C1271" s="1" t="s">
        <v>13</v>
      </c>
      <c r="D1271" s="1">
        <v>22</v>
      </c>
      <c r="E1271" s="1" t="s">
        <v>14722</v>
      </c>
      <c r="F1271" s="6"/>
      <c r="G1271" s="1" t="s">
        <v>14726</v>
      </c>
    </row>
    <row r="1272" spans="1:7" ht="21" x14ac:dyDescent="0.25">
      <c r="A1272" s="2" t="str">
        <f>HYPERLINK("https://rth.dk/resources/bsgatlas/details.php?id=BSGatlas-TSS-1271","BSGatlas-TSS-1271")</f>
        <v>BSGatlas-TSS-1271</v>
      </c>
      <c r="B1272" s="3">
        <v>1533936</v>
      </c>
      <c r="C1272" s="1" t="s">
        <v>9</v>
      </c>
      <c r="D1272" s="1">
        <v>22</v>
      </c>
      <c r="E1272" s="1" t="s">
        <v>14727</v>
      </c>
      <c r="F1272" s="6"/>
      <c r="G1272" s="1" t="s">
        <v>14733</v>
      </c>
    </row>
    <row r="1273" spans="1:7" ht="21" x14ac:dyDescent="0.25">
      <c r="A1273" s="2" t="str">
        <f>HYPERLINK("https://rth.dk/resources/bsgatlas/details.php?id=BSGatlas-TSS-1272","BSGatlas-TSS-1272")</f>
        <v>BSGatlas-TSS-1272</v>
      </c>
      <c r="B1273" s="3">
        <v>1534051</v>
      </c>
      <c r="C1273" s="1" t="s">
        <v>9</v>
      </c>
      <c r="D1273" s="1">
        <v>22</v>
      </c>
      <c r="E1273" s="1" t="s">
        <v>14722</v>
      </c>
      <c r="F1273" s="6"/>
      <c r="G1273" s="1" t="s">
        <v>14726</v>
      </c>
    </row>
    <row r="1274" spans="1:7" ht="21" x14ac:dyDescent="0.25">
      <c r="A1274" s="2" t="str">
        <f>HYPERLINK("https://rth.dk/resources/bsgatlas/details.php?id=BSGatlas-TSS-1273","BSGatlas-TSS-1273")</f>
        <v>BSGatlas-TSS-1273</v>
      </c>
      <c r="B1274" s="3">
        <v>1535847</v>
      </c>
      <c r="C1274" s="1" t="s">
        <v>13</v>
      </c>
      <c r="D1274" s="1">
        <v>22</v>
      </c>
      <c r="E1274" s="1" t="s">
        <v>14722</v>
      </c>
      <c r="F1274" s="6"/>
      <c r="G1274" s="1" t="s">
        <v>14733</v>
      </c>
    </row>
    <row r="1275" spans="1:7" ht="21" x14ac:dyDescent="0.25">
      <c r="A1275" s="2" t="str">
        <f>HYPERLINK("https://rth.dk/resources/bsgatlas/details.php?id=BSGatlas-TSS-1274","BSGatlas-TSS-1274")</f>
        <v>BSGatlas-TSS-1274</v>
      </c>
      <c r="B1275" s="3">
        <v>1535876</v>
      </c>
      <c r="C1275" s="1" t="s">
        <v>9</v>
      </c>
      <c r="D1275" s="1">
        <v>22</v>
      </c>
      <c r="E1275" s="1" t="s">
        <v>14722</v>
      </c>
      <c r="F1275" s="6"/>
      <c r="G1275" s="1" t="s">
        <v>14726</v>
      </c>
    </row>
    <row r="1276" spans="1:7" ht="21" x14ac:dyDescent="0.25">
      <c r="A1276" s="2" t="str">
        <f>HYPERLINK("https://rth.dk/resources/bsgatlas/details.php?id=BSGatlas-TSS-1275","BSGatlas-TSS-1275")</f>
        <v>BSGatlas-TSS-1275</v>
      </c>
      <c r="B1276" s="3">
        <v>1536918</v>
      </c>
      <c r="C1276" s="1" t="s">
        <v>13</v>
      </c>
      <c r="D1276" s="1">
        <v>22</v>
      </c>
      <c r="E1276" s="1" t="s">
        <v>14722</v>
      </c>
      <c r="F1276" s="6"/>
      <c r="G1276" s="1" t="s">
        <v>14726</v>
      </c>
    </row>
    <row r="1277" spans="1:7" ht="21" x14ac:dyDescent="0.25">
      <c r="A1277" s="2" t="str">
        <f>HYPERLINK("https://rth.dk/resources/bsgatlas/details.php?id=BSGatlas-TSS-1276","BSGatlas-TSS-1276")</f>
        <v>BSGatlas-TSS-1276</v>
      </c>
      <c r="B1277" s="3">
        <v>1536965</v>
      </c>
      <c r="C1277" s="1" t="s">
        <v>9</v>
      </c>
      <c r="D1277" s="1">
        <v>22</v>
      </c>
      <c r="E1277" s="1" t="s">
        <v>14734</v>
      </c>
      <c r="F1277" s="6"/>
      <c r="G1277" s="1" t="s">
        <v>14726</v>
      </c>
    </row>
    <row r="1278" spans="1:7" ht="21" x14ac:dyDescent="0.25">
      <c r="A1278" s="2" t="str">
        <f>HYPERLINK("https://rth.dk/resources/bsgatlas/details.php?id=BSGatlas-TSS-1277","BSGatlas-TSS-1277")</f>
        <v>BSGatlas-TSS-1277</v>
      </c>
      <c r="B1278" s="3">
        <v>1537029</v>
      </c>
      <c r="C1278" s="1" t="s">
        <v>9</v>
      </c>
      <c r="D1278" s="1">
        <v>22</v>
      </c>
      <c r="E1278" s="1" t="s">
        <v>14725</v>
      </c>
      <c r="F1278" s="6"/>
      <c r="G1278" s="1" t="s">
        <v>14733</v>
      </c>
    </row>
    <row r="1279" spans="1:7" ht="21" x14ac:dyDescent="0.25">
      <c r="A1279" s="2" t="str">
        <f>HYPERLINK("https://rth.dk/resources/bsgatlas/details.php?id=BSGatlas-TSS-1278","BSGatlas-TSS-1278")</f>
        <v>BSGatlas-TSS-1278</v>
      </c>
      <c r="B1279" s="3">
        <v>1537316</v>
      </c>
      <c r="C1279" s="1" t="s">
        <v>13</v>
      </c>
      <c r="D1279" s="1">
        <v>22</v>
      </c>
      <c r="E1279" s="1" t="s">
        <v>14720</v>
      </c>
      <c r="F1279" s="6"/>
      <c r="G1279" s="1" t="s">
        <v>14726</v>
      </c>
    </row>
    <row r="1280" spans="1:7" ht="21" x14ac:dyDescent="0.25">
      <c r="A1280" s="2" t="str">
        <f>HYPERLINK("https://rth.dk/resources/bsgatlas/details.php?id=BSGatlas-TSS-1279","BSGatlas-TSS-1279")</f>
        <v>BSGatlas-TSS-1279</v>
      </c>
      <c r="B1280" s="3">
        <v>1537394</v>
      </c>
      <c r="C1280" s="1" t="s">
        <v>9</v>
      </c>
      <c r="D1280" s="1">
        <v>22</v>
      </c>
      <c r="E1280" s="1" t="s">
        <v>14722</v>
      </c>
      <c r="F1280" s="6"/>
      <c r="G1280" s="1" t="s">
        <v>14726</v>
      </c>
    </row>
    <row r="1281" spans="1:7" ht="21" x14ac:dyDescent="0.25">
      <c r="A1281" s="2" t="str">
        <f>HYPERLINK("https://rth.dk/resources/bsgatlas/details.php?id=BSGatlas-TSS-1280","BSGatlas-TSS-1280")</f>
        <v>BSGatlas-TSS-1280</v>
      </c>
      <c r="B1281" s="3">
        <v>1539758</v>
      </c>
      <c r="C1281" s="1" t="s">
        <v>13</v>
      </c>
      <c r="D1281" s="1">
        <v>22</v>
      </c>
      <c r="E1281" s="1" t="s">
        <v>14722</v>
      </c>
      <c r="F1281" s="6"/>
      <c r="G1281" s="1" t="s">
        <v>14726</v>
      </c>
    </row>
    <row r="1282" spans="1:7" ht="21" x14ac:dyDescent="0.25">
      <c r="A1282" s="2" t="str">
        <f>HYPERLINK("https://rth.dk/resources/bsgatlas/details.php?id=BSGatlas-TSS-1281","BSGatlas-TSS-1281")</f>
        <v>BSGatlas-TSS-1281</v>
      </c>
      <c r="B1282" s="3">
        <v>1541647</v>
      </c>
      <c r="C1282" s="1" t="s">
        <v>13</v>
      </c>
      <c r="D1282" s="1">
        <v>22</v>
      </c>
      <c r="E1282" s="1" t="s">
        <v>14722</v>
      </c>
      <c r="F1282" s="6"/>
      <c r="G1282" s="1" t="s">
        <v>14726</v>
      </c>
    </row>
    <row r="1283" spans="1:7" ht="21" x14ac:dyDescent="0.25">
      <c r="A1283" s="2" t="str">
        <f>HYPERLINK("https://rth.dk/resources/bsgatlas/details.php?id=BSGatlas-TSS-1282","BSGatlas-TSS-1282")</f>
        <v>BSGatlas-TSS-1282</v>
      </c>
      <c r="B1283" s="3">
        <v>1541862</v>
      </c>
      <c r="C1283" s="1" t="s">
        <v>9</v>
      </c>
      <c r="D1283" s="1">
        <v>0</v>
      </c>
      <c r="E1283" s="1" t="s">
        <v>14911</v>
      </c>
      <c r="F1283" s="6" t="s">
        <v>14912</v>
      </c>
      <c r="G1283" s="1" t="s">
        <v>4382</v>
      </c>
    </row>
    <row r="1284" spans="1:7" ht="21" x14ac:dyDescent="0.25">
      <c r="A1284" s="2" t="str">
        <f>HYPERLINK("https://rth.dk/resources/bsgatlas/details.php?id=BSGatlas-TSS-1283","BSGatlas-TSS-1283")</f>
        <v>BSGatlas-TSS-1283</v>
      </c>
      <c r="B1284" s="3">
        <v>1544087</v>
      </c>
      <c r="C1284" s="1" t="s">
        <v>9</v>
      </c>
      <c r="D1284" s="1">
        <v>0</v>
      </c>
      <c r="E1284" s="1" t="s">
        <v>14722</v>
      </c>
      <c r="F1284" s="6">
        <v>16501307</v>
      </c>
      <c r="G1284" s="1" t="s">
        <v>14730</v>
      </c>
    </row>
    <row r="1285" spans="1:7" ht="21" x14ac:dyDescent="0.25">
      <c r="A1285" s="2" t="str">
        <f>HYPERLINK("https://rth.dk/resources/bsgatlas/details.php?id=BSGatlas-TSS-1284","BSGatlas-TSS-1284")</f>
        <v>BSGatlas-TSS-1284</v>
      </c>
      <c r="B1285" s="3">
        <v>1545588</v>
      </c>
      <c r="C1285" s="1" t="s">
        <v>13</v>
      </c>
      <c r="D1285" s="1">
        <v>22</v>
      </c>
      <c r="E1285" s="1" t="s">
        <v>14722</v>
      </c>
      <c r="F1285" s="6"/>
      <c r="G1285" s="1" t="s">
        <v>14726</v>
      </c>
    </row>
    <row r="1286" spans="1:7" ht="21" x14ac:dyDescent="0.25">
      <c r="A1286" s="2" t="str">
        <f>HYPERLINK("https://rth.dk/resources/bsgatlas/details.php?id=BSGatlas-TSS-1285","BSGatlas-TSS-1285")</f>
        <v>BSGatlas-TSS-1285</v>
      </c>
      <c r="B1286" s="3">
        <v>1546047</v>
      </c>
      <c r="C1286" s="1" t="s">
        <v>13</v>
      </c>
      <c r="D1286" s="1">
        <v>22</v>
      </c>
      <c r="E1286" s="1" t="s">
        <v>14722</v>
      </c>
      <c r="F1286" s="6"/>
      <c r="G1286" s="1" t="s">
        <v>14726</v>
      </c>
    </row>
    <row r="1287" spans="1:7" ht="21" x14ac:dyDescent="0.25">
      <c r="A1287" s="2" t="str">
        <f>HYPERLINK("https://rth.dk/resources/bsgatlas/details.php?id=BSGatlas-TSS-1286","BSGatlas-TSS-1286")</f>
        <v>BSGatlas-TSS-1286</v>
      </c>
      <c r="B1287" s="3">
        <v>1546082</v>
      </c>
      <c r="C1287" s="1" t="s">
        <v>9</v>
      </c>
      <c r="D1287" s="1">
        <v>22</v>
      </c>
      <c r="E1287" s="1" t="s">
        <v>14722</v>
      </c>
      <c r="F1287" s="6"/>
      <c r="G1287" s="1" t="s">
        <v>14726</v>
      </c>
    </row>
    <row r="1288" spans="1:7" ht="21" x14ac:dyDescent="0.25">
      <c r="A1288" s="2" t="str">
        <f>HYPERLINK("https://rth.dk/resources/bsgatlas/details.php?id=BSGatlas-TSS-1287","BSGatlas-TSS-1287")</f>
        <v>BSGatlas-TSS-1287</v>
      </c>
      <c r="B1288" s="3">
        <v>1548627</v>
      </c>
      <c r="C1288" s="1" t="s">
        <v>13</v>
      </c>
      <c r="D1288" s="1">
        <v>22</v>
      </c>
      <c r="E1288" s="1" t="s">
        <v>14722</v>
      </c>
      <c r="F1288" s="6"/>
      <c r="G1288" s="1" t="s">
        <v>14726</v>
      </c>
    </row>
    <row r="1289" spans="1:7" ht="21" x14ac:dyDescent="0.25">
      <c r="A1289" s="2" t="str">
        <f>HYPERLINK("https://rth.dk/resources/bsgatlas/details.php?id=BSGatlas-TSS-1288","BSGatlas-TSS-1288")</f>
        <v>BSGatlas-TSS-1288</v>
      </c>
      <c r="B1289" s="3">
        <v>1549218</v>
      </c>
      <c r="C1289" s="1" t="s">
        <v>13</v>
      </c>
      <c r="D1289" s="1">
        <v>22</v>
      </c>
      <c r="E1289" s="1" t="s">
        <v>14745</v>
      </c>
      <c r="F1289" s="6"/>
      <c r="G1289" s="1" t="s">
        <v>14726</v>
      </c>
    </row>
    <row r="1290" spans="1:7" ht="21" x14ac:dyDescent="0.25">
      <c r="A1290" s="2" t="str">
        <f>HYPERLINK("https://rth.dk/resources/bsgatlas/details.php?id=BSGatlas-TSS-1289","BSGatlas-TSS-1289")</f>
        <v>BSGatlas-TSS-1289</v>
      </c>
      <c r="B1290" s="3">
        <v>1549350</v>
      </c>
      <c r="C1290" s="1" t="s">
        <v>13</v>
      </c>
      <c r="D1290" s="1">
        <v>22</v>
      </c>
      <c r="E1290" s="1" t="s">
        <v>14732</v>
      </c>
      <c r="F1290" s="6"/>
      <c r="G1290" s="1" t="s">
        <v>14726</v>
      </c>
    </row>
    <row r="1291" spans="1:7" ht="21" x14ac:dyDescent="0.25">
      <c r="A1291" s="2" t="str">
        <f>HYPERLINK("https://rth.dk/resources/bsgatlas/details.php?id=BSGatlas-TSS-1290","BSGatlas-TSS-1290")</f>
        <v>BSGatlas-TSS-1290</v>
      </c>
      <c r="B1291" s="3">
        <v>1549383</v>
      </c>
      <c r="C1291" s="1" t="s">
        <v>9</v>
      </c>
      <c r="D1291" s="1">
        <v>22</v>
      </c>
      <c r="E1291" s="1" t="s">
        <v>14727</v>
      </c>
      <c r="F1291" s="6"/>
      <c r="G1291" s="1" t="s">
        <v>14733</v>
      </c>
    </row>
    <row r="1292" spans="1:7" ht="21" x14ac:dyDescent="0.25">
      <c r="A1292" s="2" t="str">
        <f>HYPERLINK("https://rth.dk/resources/bsgatlas/details.php?id=BSGatlas-TSS-1291","BSGatlas-TSS-1291")</f>
        <v>BSGatlas-TSS-1291</v>
      </c>
      <c r="B1292" s="3">
        <v>1551322</v>
      </c>
      <c r="C1292" s="1" t="s">
        <v>13</v>
      </c>
      <c r="D1292" s="1">
        <v>22</v>
      </c>
      <c r="E1292" s="1" t="s">
        <v>14722</v>
      </c>
      <c r="F1292" s="6"/>
      <c r="G1292" s="1" t="s">
        <v>14726</v>
      </c>
    </row>
    <row r="1293" spans="1:7" ht="21" x14ac:dyDescent="0.25">
      <c r="A1293" s="2" t="str">
        <f>HYPERLINK("https://rth.dk/resources/bsgatlas/details.php?id=BSGatlas-TSS-1292","BSGatlas-TSS-1292")</f>
        <v>BSGatlas-TSS-1292</v>
      </c>
      <c r="B1293" s="3">
        <v>1551908</v>
      </c>
      <c r="C1293" s="1" t="s">
        <v>9</v>
      </c>
      <c r="D1293" s="1">
        <v>22</v>
      </c>
      <c r="E1293" s="1" t="s">
        <v>14722</v>
      </c>
      <c r="F1293" s="6"/>
      <c r="G1293" s="1" t="s">
        <v>14726</v>
      </c>
    </row>
    <row r="1294" spans="1:7" ht="21" x14ac:dyDescent="0.25">
      <c r="A1294" s="2" t="str">
        <f>HYPERLINK("https://rth.dk/resources/bsgatlas/details.php?id=BSGatlas-TSS-1293","BSGatlas-TSS-1293")</f>
        <v>BSGatlas-TSS-1293</v>
      </c>
      <c r="B1294" s="3">
        <v>1552364</v>
      </c>
      <c r="C1294" s="1" t="s">
        <v>9</v>
      </c>
      <c r="D1294" s="1">
        <v>22</v>
      </c>
      <c r="E1294" s="1" t="s">
        <v>14722</v>
      </c>
      <c r="F1294" s="6"/>
      <c r="G1294" s="1" t="s">
        <v>14726</v>
      </c>
    </row>
    <row r="1295" spans="1:7" ht="21" x14ac:dyDescent="0.25">
      <c r="A1295" s="2" t="str">
        <f>HYPERLINK("https://rth.dk/resources/bsgatlas/details.php?id=BSGatlas-TSS-1294","BSGatlas-TSS-1294")</f>
        <v>BSGatlas-TSS-1294</v>
      </c>
      <c r="B1295" s="3">
        <v>1552772</v>
      </c>
      <c r="C1295" s="1" t="s">
        <v>9</v>
      </c>
      <c r="D1295" s="1">
        <v>22</v>
      </c>
      <c r="E1295" s="1" t="s">
        <v>14758</v>
      </c>
      <c r="F1295" s="6"/>
      <c r="G1295" s="1" t="s">
        <v>14733</v>
      </c>
    </row>
    <row r="1296" spans="1:7" ht="21" x14ac:dyDescent="0.25">
      <c r="A1296" s="2" t="str">
        <f>HYPERLINK("https://rth.dk/resources/bsgatlas/details.php?id=BSGatlas-TSS-1295","BSGatlas-TSS-1295")</f>
        <v>BSGatlas-TSS-1295</v>
      </c>
      <c r="B1296" s="3">
        <v>1554158</v>
      </c>
      <c r="C1296" s="1" t="s">
        <v>9</v>
      </c>
      <c r="D1296" s="1">
        <v>22</v>
      </c>
      <c r="E1296" s="1" t="s">
        <v>14722</v>
      </c>
      <c r="F1296" s="6"/>
      <c r="G1296" s="1" t="s">
        <v>14726</v>
      </c>
    </row>
    <row r="1297" spans="1:7" ht="21" x14ac:dyDescent="0.25">
      <c r="A1297" s="2" t="str">
        <f>HYPERLINK("https://rth.dk/resources/bsgatlas/details.php?id=BSGatlas-TSS-1296","BSGatlas-TSS-1296")</f>
        <v>BSGatlas-TSS-1296</v>
      </c>
      <c r="B1297" s="3">
        <v>1557217</v>
      </c>
      <c r="C1297" s="1" t="s">
        <v>13</v>
      </c>
      <c r="D1297" s="1">
        <v>22</v>
      </c>
      <c r="E1297" s="1" t="s">
        <v>14727</v>
      </c>
      <c r="F1297" s="6"/>
      <c r="G1297" s="1" t="s">
        <v>14726</v>
      </c>
    </row>
    <row r="1298" spans="1:7" ht="21" x14ac:dyDescent="0.25">
      <c r="A1298" s="2" t="str">
        <f>HYPERLINK("https://rth.dk/resources/bsgatlas/details.php?id=BSGatlas-TSS-1297","BSGatlas-TSS-1297")</f>
        <v>BSGatlas-TSS-1297</v>
      </c>
      <c r="B1298" s="3">
        <v>1558982</v>
      </c>
      <c r="C1298" s="1" t="s">
        <v>13</v>
      </c>
      <c r="D1298" s="1">
        <v>0</v>
      </c>
      <c r="E1298" s="1" t="s">
        <v>14735</v>
      </c>
      <c r="F1298" s="6" t="s">
        <v>14913</v>
      </c>
      <c r="G1298" s="1" t="s">
        <v>4382</v>
      </c>
    </row>
    <row r="1299" spans="1:7" ht="21" x14ac:dyDescent="0.25">
      <c r="A1299" s="2" t="str">
        <f>HYPERLINK("https://rth.dk/resources/bsgatlas/details.php?id=BSGatlas-TSS-1298","BSGatlas-TSS-1298")</f>
        <v>BSGatlas-TSS-1298</v>
      </c>
      <c r="B1299" s="3">
        <v>1558996</v>
      </c>
      <c r="C1299" s="1" t="s">
        <v>13</v>
      </c>
      <c r="D1299" s="1">
        <v>0</v>
      </c>
      <c r="E1299" s="1" t="s">
        <v>14722</v>
      </c>
      <c r="F1299" s="6" t="s">
        <v>14914</v>
      </c>
      <c r="G1299" s="1" t="s">
        <v>14729</v>
      </c>
    </row>
    <row r="1300" spans="1:7" ht="21" x14ac:dyDescent="0.25">
      <c r="A1300" s="2" t="str">
        <f>HYPERLINK("https://rth.dk/resources/bsgatlas/details.php?id=BSGatlas-TSS-1299","BSGatlas-TSS-1299")</f>
        <v>BSGatlas-TSS-1299</v>
      </c>
      <c r="B1300" s="3">
        <v>1559111</v>
      </c>
      <c r="C1300" s="1" t="s">
        <v>9</v>
      </c>
      <c r="D1300" s="1">
        <v>22</v>
      </c>
      <c r="E1300" s="1" t="s">
        <v>14722</v>
      </c>
      <c r="F1300" s="6"/>
      <c r="G1300" s="1" t="s">
        <v>14733</v>
      </c>
    </row>
    <row r="1301" spans="1:7" ht="21" x14ac:dyDescent="0.25">
      <c r="A1301" s="2" t="str">
        <f>HYPERLINK("https://rth.dk/resources/bsgatlas/details.php?id=BSGatlas-TSS-1300","BSGatlas-TSS-1300")</f>
        <v>BSGatlas-TSS-1300</v>
      </c>
      <c r="B1301" s="3">
        <v>1559218</v>
      </c>
      <c r="C1301" s="1" t="s">
        <v>9</v>
      </c>
      <c r="D1301" s="1">
        <v>22</v>
      </c>
      <c r="E1301" s="1" t="s">
        <v>14722</v>
      </c>
      <c r="F1301" s="6"/>
      <c r="G1301" s="1" t="s">
        <v>14733</v>
      </c>
    </row>
    <row r="1302" spans="1:7" ht="21" x14ac:dyDescent="0.25">
      <c r="A1302" s="2" t="str">
        <f>HYPERLINK("https://rth.dk/resources/bsgatlas/details.php?id=BSGatlas-TSS-1301","BSGatlas-TSS-1301")</f>
        <v>BSGatlas-TSS-1301</v>
      </c>
      <c r="B1302" s="3">
        <v>1560274</v>
      </c>
      <c r="C1302" s="1" t="s">
        <v>9</v>
      </c>
      <c r="D1302" s="1">
        <v>22</v>
      </c>
      <c r="E1302" s="1" t="s">
        <v>14720</v>
      </c>
      <c r="F1302" s="6"/>
      <c r="G1302" s="1" t="s">
        <v>14726</v>
      </c>
    </row>
    <row r="1303" spans="1:7" ht="21" x14ac:dyDescent="0.25">
      <c r="A1303" s="2" t="str">
        <f>HYPERLINK("https://rth.dk/resources/bsgatlas/details.php?id=BSGatlas-TSS-1302","BSGatlas-TSS-1302")</f>
        <v>BSGatlas-TSS-1302</v>
      </c>
      <c r="B1303" s="3">
        <v>1560362</v>
      </c>
      <c r="C1303" s="1" t="s">
        <v>9</v>
      </c>
      <c r="D1303" s="1">
        <v>22</v>
      </c>
      <c r="E1303" s="1" t="s">
        <v>14720</v>
      </c>
      <c r="F1303" s="6"/>
      <c r="G1303" s="1" t="s">
        <v>14733</v>
      </c>
    </row>
    <row r="1304" spans="1:7" ht="21" x14ac:dyDescent="0.25">
      <c r="A1304" s="2" t="str">
        <f>HYPERLINK("https://rth.dk/resources/bsgatlas/details.php?id=BSGatlas-TSS-1303","BSGatlas-TSS-1303")</f>
        <v>BSGatlas-TSS-1303</v>
      </c>
      <c r="B1304" s="3">
        <v>1565745</v>
      </c>
      <c r="C1304" s="1" t="s">
        <v>13</v>
      </c>
      <c r="D1304" s="1">
        <v>22</v>
      </c>
      <c r="E1304" s="1" t="s">
        <v>14722</v>
      </c>
      <c r="F1304" s="6"/>
      <c r="G1304" s="1" t="s">
        <v>14726</v>
      </c>
    </row>
    <row r="1305" spans="1:7" ht="21" x14ac:dyDescent="0.25">
      <c r="A1305" s="2" t="str">
        <f>HYPERLINK("https://rth.dk/resources/bsgatlas/details.php?id=BSGatlas-TSS-1304","BSGatlas-TSS-1304")</f>
        <v>BSGatlas-TSS-1304</v>
      </c>
      <c r="B1305" s="3">
        <v>1565755</v>
      </c>
      <c r="C1305" s="1" t="s">
        <v>9</v>
      </c>
      <c r="D1305" s="1">
        <v>0</v>
      </c>
      <c r="E1305" s="1" t="s">
        <v>14849</v>
      </c>
      <c r="F1305" s="6" t="s">
        <v>14813</v>
      </c>
      <c r="G1305" s="1" t="s">
        <v>14724</v>
      </c>
    </row>
    <row r="1306" spans="1:7" ht="21" x14ac:dyDescent="0.25">
      <c r="A1306" s="2" t="str">
        <f>HYPERLINK("https://rth.dk/resources/bsgatlas/details.php?id=BSGatlas-TSS-1305","BSGatlas-TSS-1305")</f>
        <v>BSGatlas-TSS-1305</v>
      </c>
      <c r="B1306" s="3">
        <v>1565905</v>
      </c>
      <c r="C1306" s="1" t="s">
        <v>9</v>
      </c>
      <c r="D1306" s="1">
        <v>22</v>
      </c>
      <c r="E1306" s="1" t="s">
        <v>14722</v>
      </c>
      <c r="F1306" s="6"/>
      <c r="G1306" s="1" t="s">
        <v>14726</v>
      </c>
    </row>
    <row r="1307" spans="1:7" ht="21" x14ac:dyDescent="0.25">
      <c r="A1307" s="2" t="str">
        <f>HYPERLINK("https://rth.dk/resources/bsgatlas/details.php?id=BSGatlas-TSS-1306","BSGatlas-TSS-1306")</f>
        <v>BSGatlas-TSS-1306</v>
      </c>
      <c r="B1307" s="3">
        <v>1566336</v>
      </c>
      <c r="C1307" s="1" t="s">
        <v>9</v>
      </c>
      <c r="D1307" s="1">
        <v>22</v>
      </c>
      <c r="E1307" s="1" t="s">
        <v>14722</v>
      </c>
      <c r="F1307" s="6"/>
      <c r="G1307" s="1" t="s">
        <v>14726</v>
      </c>
    </row>
    <row r="1308" spans="1:7" ht="21" x14ac:dyDescent="0.25">
      <c r="A1308" s="2" t="str">
        <f>HYPERLINK("https://rth.dk/resources/bsgatlas/details.php?id=BSGatlas-TSS-1307","BSGatlas-TSS-1307")</f>
        <v>BSGatlas-TSS-1307</v>
      </c>
      <c r="B1308" s="3">
        <v>1567347</v>
      </c>
      <c r="C1308" s="1" t="s">
        <v>13</v>
      </c>
      <c r="D1308" s="1">
        <v>22</v>
      </c>
      <c r="E1308" s="1" t="s">
        <v>14727</v>
      </c>
      <c r="F1308" s="6"/>
      <c r="G1308" s="1" t="s">
        <v>14726</v>
      </c>
    </row>
    <row r="1309" spans="1:7" ht="21" x14ac:dyDescent="0.25">
      <c r="A1309" s="2" t="str">
        <f>HYPERLINK("https://rth.dk/resources/bsgatlas/details.php?id=BSGatlas-TSS-1308","BSGatlas-TSS-1308")</f>
        <v>BSGatlas-TSS-1308</v>
      </c>
      <c r="B1309" s="3">
        <v>1567621</v>
      </c>
      <c r="C1309" s="1" t="s">
        <v>9</v>
      </c>
      <c r="D1309" s="1">
        <v>0</v>
      </c>
      <c r="E1309" s="1" t="s">
        <v>14725</v>
      </c>
      <c r="F1309" s="6" t="s">
        <v>14829</v>
      </c>
      <c r="G1309" s="1" t="s">
        <v>14729</v>
      </c>
    </row>
    <row r="1310" spans="1:7" ht="21" x14ac:dyDescent="0.25">
      <c r="A1310" s="2" t="str">
        <f>HYPERLINK("https://rth.dk/resources/bsgatlas/details.php?id=BSGatlas-TSS-1309","BSGatlas-TSS-1309")</f>
        <v>BSGatlas-TSS-1309</v>
      </c>
      <c r="B1310" s="3">
        <v>1568394</v>
      </c>
      <c r="C1310" s="1" t="s">
        <v>9</v>
      </c>
      <c r="D1310" s="1">
        <v>22</v>
      </c>
      <c r="E1310" s="1" t="s">
        <v>14722</v>
      </c>
      <c r="F1310" s="6"/>
      <c r="G1310" s="1" t="s">
        <v>14726</v>
      </c>
    </row>
    <row r="1311" spans="1:7" ht="21" x14ac:dyDescent="0.25">
      <c r="A1311" s="2" t="str">
        <f>HYPERLINK("https://rth.dk/resources/bsgatlas/details.php?id=BSGatlas-TSS-1310","BSGatlas-TSS-1310")</f>
        <v>BSGatlas-TSS-1310</v>
      </c>
      <c r="B1311" s="3">
        <v>1569357</v>
      </c>
      <c r="C1311" s="1" t="s">
        <v>13</v>
      </c>
      <c r="D1311" s="1">
        <v>22</v>
      </c>
      <c r="E1311" s="1" t="s">
        <v>14732</v>
      </c>
      <c r="F1311" s="6"/>
      <c r="G1311" s="1" t="s">
        <v>14726</v>
      </c>
    </row>
    <row r="1312" spans="1:7" ht="21" x14ac:dyDescent="0.25">
      <c r="A1312" s="2" t="str">
        <f>HYPERLINK("https://rth.dk/resources/bsgatlas/details.php?id=BSGatlas-TSS-1311","BSGatlas-TSS-1311")</f>
        <v>BSGatlas-TSS-1311</v>
      </c>
      <c r="B1312" s="3">
        <v>1569427</v>
      </c>
      <c r="C1312" s="1" t="s">
        <v>9</v>
      </c>
      <c r="D1312" s="1">
        <v>22</v>
      </c>
      <c r="E1312" s="1" t="s">
        <v>14722</v>
      </c>
      <c r="F1312" s="6"/>
      <c r="G1312" s="1" t="s">
        <v>14733</v>
      </c>
    </row>
    <row r="1313" spans="1:7" ht="21" x14ac:dyDescent="0.25">
      <c r="A1313" s="2" t="str">
        <f>HYPERLINK("https://rth.dk/resources/bsgatlas/details.php?id=BSGatlas-TSS-1312","BSGatlas-TSS-1312")</f>
        <v>BSGatlas-TSS-1312</v>
      </c>
      <c r="B1313" s="3">
        <v>1571851</v>
      </c>
      <c r="C1313" s="1" t="s">
        <v>9</v>
      </c>
      <c r="D1313" s="1">
        <v>22</v>
      </c>
      <c r="E1313" s="1" t="s">
        <v>14722</v>
      </c>
      <c r="F1313" s="6"/>
      <c r="G1313" s="1" t="s">
        <v>14733</v>
      </c>
    </row>
    <row r="1314" spans="1:7" ht="21" x14ac:dyDescent="0.25">
      <c r="A1314" s="2" t="str">
        <f>HYPERLINK("https://rth.dk/resources/bsgatlas/details.php?id=BSGatlas-TSS-1313","BSGatlas-TSS-1313")</f>
        <v>BSGatlas-TSS-1313</v>
      </c>
      <c r="B1314" s="3">
        <v>1571901</v>
      </c>
      <c r="C1314" s="1" t="s">
        <v>13</v>
      </c>
      <c r="D1314" s="1">
        <v>0</v>
      </c>
      <c r="E1314" s="1" t="s">
        <v>14735</v>
      </c>
      <c r="F1314" s="6" t="s">
        <v>14767</v>
      </c>
      <c r="G1314" s="1" t="s">
        <v>14724</v>
      </c>
    </row>
    <row r="1315" spans="1:7" ht="21" x14ac:dyDescent="0.25">
      <c r="A1315" s="2" t="str">
        <f>HYPERLINK("https://rth.dk/resources/bsgatlas/details.php?id=BSGatlas-TSS-1314","BSGatlas-TSS-1314")</f>
        <v>BSGatlas-TSS-1314</v>
      </c>
      <c r="B1315" s="3">
        <v>1572574</v>
      </c>
      <c r="C1315" s="1" t="s">
        <v>9</v>
      </c>
      <c r="D1315" s="1">
        <v>22</v>
      </c>
      <c r="E1315" s="1" t="s">
        <v>14732</v>
      </c>
      <c r="F1315" s="6"/>
      <c r="G1315" s="1" t="s">
        <v>14726</v>
      </c>
    </row>
    <row r="1316" spans="1:7" ht="21" x14ac:dyDescent="0.25">
      <c r="A1316" s="2" t="str">
        <f>HYPERLINK("https://rth.dk/resources/bsgatlas/details.php?id=BSGatlas-TSS-1315","BSGatlas-TSS-1315")</f>
        <v>BSGatlas-TSS-1315</v>
      </c>
      <c r="B1316" s="3">
        <v>1574995</v>
      </c>
      <c r="C1316" s="1" t="s">
        <v>9</v>
      </c>
      <c r="D1316" s="1">
        <v>22</v>
      </c>
      <c r="E1316" s="1" t="s">
        <v>14732</v>
      </c>
      <c r="F1316" s="6"/>
      <c r="G1316" s="1" t="s">
        <v>14726</v>
      </c>
    </row>
    <row r="1317" spans="1:7" ht="21" x14ac:dyDescent="0.25">
      <c r="A1317" s="2" t="str">
        <f>HYPERLINK("https://rth.dk/resources/bsgatlas/details.php?id=BSGatlas-TSS-1316","BSGatlas-TSS-1316")</f>
        <v>BSGatlas-TSS-1316</v>
      </c>
      <c r="B1317" s="3">
        <v>1575098</v>
      </c>
      <c r="C1317" s="1" t="s">
        <v>9</v>
      </c>
      <c r="D1317" s="1">
        <v>22</v>
      </c>
      <c r="E1317" s="1" t="s">
        <v>14722</v>
      </c>
      <c r="F1317" s="6"/>
      <c r="G1317" s="1" t="s">
        <v>14733</v>
      </c>
    </row>
    <row r="1318" spans="1:7" ht="21" x14ac:dyDescent="0.25">
      <c r="A1318" s="2" t="str">
        <f>HYPERLINK("https://rth.dk/resources/bsgatlas/details.php?id=BSGatlas-TSS-1317","BSGatlas-TSS-1317")</f>
        <v>BSGatlas-TSS-1317</v>
      </c>
      <c r="B1318" s="3">
        <v>1575137</v>
      </c>
      <c r="C1318" s="1" t="s">
        <v>13</v>
      </c>
      <c r="D1318" s="1">
        <v>22</v>
      </c>
      <c r="E1318" s="1" t="s">
        <v>14722</v>
      </c>
      <c r="F1318" s="6"/>
      <c r="G1318" s="1" t="s">
        <v>14726</v>
      </c>
    </row>
    <row r="1319" spans="1:7" ht="21" x14ac:dyDescent="0.25">
      <c r="A1319" s="2" t="str">
        <f>HYPERLINK("https://rth.dk/resources/bsgatlas/details.php?id=BSGatlas-TSS-1318","BSGatlas-TSS-1318")</f>
        <v>BSGatlas-TSS-1318</v>
      </c>
      <c r="B1319" s="3">
        <v>1575235</v>
      </c>
      <c r="C1319" s="1" t="s">
        <v>9</v>
      </c>
      <c r="D1319" s="1">
        <v>22</v>
      </c>
      <c r="E1319" s="1" t="s">
        <v>14722</v>
      </c>
      <c r="F1319" s="6"/>
      <c r="G1319" s="1" t="s">
        <v>14726</v>
      </c>
    </row>
    <row r="1320" spans="1:7" ht="21" x14ac:dyDescent="0.25">
      <c r="A1320" s="2" t="str">
        <f>HYPERLINK("https://rth.dk/resources/bsgatlas/details.php?id=BSGatlas-TSS-1319","BSGatlas-TSS-1319")</f>
        <v>BSGatlas-TSS-1319</v>
      </c>
      <c r="B1320" s="3">
        <v>1576006</v>
      </c>
      <c r="C1320" s="1" t="s">
        <v>13</v>
      </c>
      <c r="D1320" s="1">
        <v>22</v>
      </c>
      <c r="E1320" s="1" t="s">
        <v>14720</v>
      </c>
      <c r="F1320" s="6"/>
      <c r="G1320" s="1" t="s">
        <v>14726</v>
      </c>
    </row>
    <row r="1321" spans="1:7" ht="21" x14ac:dyDescent="0.25">
      <c r="A1321" s="2" t="str">
        <f>HYPERLINK("https://rth.dk/resources/bsgatlas/details.php?id=BSGatlas-TSS-1320","BSGatlas-TSS-1320")</f>
        <v>BSGatlas-TSS-1320</v>
      </c>
      <c r="B1321" s="3">
        <v>1576086</v>
      </c>
      <c r="C1321" s="1" t="s">
        <v>9</v>
      </c>
      <c r="D1321" s="1">
        <v>22</v>
      </c>
      <c r="E1321" s="1" t="s">
        <v>14727</v>
      </c>
      <c r="F1321" s="6"/>
      <c r="G1321" s="1" t="s">
        <v>14726</v>
      </c>
    </row>
    <row r="1322" spans="1:7" ht="21" x14ac:dyDescent="0.25">
      <c r="A1322" s="2" t="str">
        <f>HYPERLINK("https://rth.dk/resources/bsgatlas/details.php?id=BSGatlas-TSS-1321","BSGatlas-TSS-1321")</f>
        <v>BSGatlas-TSS-1321</v>
      </c>
      <c r="B1322" s="3">
        <v>1577291</v>
      </c>
      <c r="C1322" s="1" t="s">
        <v>13</v>
      </c>
      <c r="D1322" s="1">
        <v>22</v>
      </c>
      <c r="E1322" s="1" t="s">
        <v>14722</v>
      </c>
      <c r="F1322" s="6"/>
      <c r="G1322" s="1" t="s">
        <v>14726</v>
      </c>
    </row>
    <row r="1323" spans="1:7" ht="21" x14ac:dyDescent="0.25">
      <c r="A1323" s="2" t="str">
        <f>HYPERLINK("https://rth.dk/resources/bsgatlas/details.php?id=BSGatlas-TSS-1322","BSGatlas-TSS-1322")</f>
        <v>BSGatlas-TSS-1322</v>
      </c>
      <c r="B1323" s="3">
        <v>1577385</v>
      </c>
      <c r="C1323" s="1" t="s">
        <v>9</v>
      </c>
      <c r="D1323" s="1">
        <v>0</v>
      </c>
      <c r="E1323" s="1" t="s">
        <v>14722</v>
      </c>
      <c r="F1323" s="6">
        <v>23894131</v>
      </c>
      <c r="G1323" s="1" t="s">
        <v>14747</v>
      </c>
    </row>
    <row r="1324" spans="1:7" ht="21" x14ac:dyDescent="0.25">
      <c r="A1324" s="2" t="str">
        <f>HYPERLINK("https://rth.dk/resources/bsgatlas/details.php?id=BSGatlas-TSS-1323","BSGatlas-TSS-1323")</f>
        <v>BSGatlas-TSS-1323</v>
      </c>
      <c r="B1324" s="3">
        <v>1578337</v>
      </c>
      <c r="C1324" s="1" t="s">
        <v>9</v>
      </c>
      <c r="D1324" s="1">
        <v>0</v>
      </c>
      <c r="E1324" s="1" t="s">
        <v>14722</v>
      </c>
      <c r="F1324" s="6">
        <v>23894131</v>
      </c>
      <c r="G1324" s="1" t="s">
        <v>4547</v>
      </c>
    </row>
    <row r="1325" spans="1:7" ht="21" x14ac:dyDescent="0.25">
      <c r="A1325" s="2" t="str">
        <f>HYPERLINK("https://rth.dk/resources/bsgatlas/details.php?id=BSGatlas-TSS-1324","BSGatlas-TSS-1324")</f>
        <v>BSGatlas-TSS-1324</v>
      </c>
      <c r="B1325" s="3">
        <v>1580047</v>
      </c>
      <c r="C1325" s="1" t="s">
        <v>9</v>
      </c>
      <c r="D1325" s="1">
        <v>22</v>
      </c>
      <c r="E1325" s="1" t="s">
        <v>14722</v>
      </c>
      <c r="F1325" s="6"/>
      <c r="G1325" s="1" t="s">
        <v>14733</v>
      </c>
    </row>
    <row r="1326" spans="1:7" ht="21" x14ac:dyDescent="0.25">
      <c r="A1326" s="2" t="str">
        <f>HYPERLINK("https://rth.dk/resources/bsgatlas/details.php?id=BSGatlas-TSS-1325","BSGatlas-TSS-1325")</f>
        <v>BSGatlas-TSS-1325</v>
      </c>
      <c r="B1326" s="3">
        <v>1582676</v>
      </c>
      <c r="C1326" s="1" t="s">
        <v>13</v>
      </c>
      <c r="D1326" s="1">
        <v>22</v>
      </c>
      <c r="E1326" s="1" t="s">
        <v>14734</v>
      </c>
      <c r="F1326" s="6"/>
      <c r="G1326" s="1" t="s">
        <v>14726</v>
      </c>
    </row>
    <row r="1327" spans="1:7" ht="21" x14ac:dyDescent="0.25">
      <c r="A1327" s="2" t="str">
        <f>HYPERLINK("https://rth.dk/resources/bsgatlas/details.php?id=BSGatlas-TSS-1326","BSGatlas-TSS-1326")</f>
        <v>BSGatlas-TSS-1326</v>
      </c>
      <c r="B1327" s="3">
        <v>1584186</v>
      </c>
      <c r="C1327" s="1" t="s">
        <v>9</v>
      </c>
      <c r="D1327" s="1">
        <v>0</v>
      </c>
      <c r="E1327" s="1" t="s">
        <v>14735</v>
      </c>
      <c r="F1327" s="6" t="s">
        <v>14915</v>
      </c>
      <c r="G1327" s="1" t="s">
        <v>14729</v>
      </c>
    </row>
    <row r="1328" spans="1:7" ht="21" x14ac:dyDescent="0.25">
      <c r="A1328" s="2" t="str">
        <f>HYPERLINK("https://rth.dk/resources/bsgatlas/details.php?id=BSGatlas-TSS-1327","BSGatlas-TSS-1327")</f>
        <v>BSGatlas-TSS-1327</v>
      </c>
      <c r="B1328" s="3">
        <v>1585977</v>
      </c>
      <c r="C1328" s="1" t="s">
        <v>9</v>
      </c>
      <c r="D1328" s="1">
        <v>22</v>
      </c>
      <c r="E1328" s="1" t="s">
        <v>14720</v>
      </c>
      <c r="F1328" s="6"/>
      <c r="G1328" s="1" t="s">
        <v>14726</v>
      </c>
    </row>
    <row r="1329" spans="1:7" ht="21" x14ac:dyDescent="0.25">
      <c r="A1329" s="2" t="str">
        <f>HYPERLINK("https://rth.dk/resources/bsgatlas/details.php?id=BSGatlas-TSS-1328","BSGatlas-TSS-1328")</f>
        <v>BSGatlas-TSS-1328</v>
      </c>
      <c r="B1329" s="3">
        <v>1586241</v>
      </c>
      <c r="C1329" s="1" t="s">
        <v>9</v>
      </c>
      <c r="D1329" s="1">
        <v>22</v>
      </c>
      <c r="E1329" s="1" t="s">
        <v>14722</v>
      </c>
      <c r="F1329" s="6"/>
      <c r="G1329" s="1" t="s">
        <v>14733</v>
      </c>
    </row>
    <row r="1330" spans="1:7" ht="21" x14ac:dyDescent="0.25">
      <c r="A1330" s="2" t="str">
        <f>HYPERLINK("https://rth.dk/resources/bsgatlas/details.php?id=BSGatlas-TSS-1329","BSGatlas-TSS-1329")</f>
        <v>BSGatlas-TSS-1329</v>
      </c>
      <c r="B1330" s="3">
        <v>1590117</v>
      </c>
      <c r="C1330" s="1" t="s">
        <v>9</v>
      </c>
      <c r="D1330" s="1">
        <v>0</v>
      </c>
      <c r="E1330" s="1" t="s">
        <v>14735</v>
      </c>
      <c r="F1330" s="6" t="s">
        <v>14916</v>
      </c>
      <c r="G1330" s="1" t="s">
        <v>14730</v>
      </c>
    </row>
    <row r="1331" spans="1:7" ht="21" x14ac:dyDescent="0.25">
      <c r="A1331" s="2" t="str">
        <f>HYPERLINK("https://rth.dk/resources/bsgatlas/details.php?id=BSGatlas-TSS-1330","BSGatlas-TSS-1330")</f>
        <v>BSGatlas-TSS-1330</v>
      </c>
      <c r="B1331" s="3">
        <v>1590255</v>
      </c>
      <c r="C1331" s="1" t="s">
        <v>9</v>
      </c>
      <c r="D1331" s="1">
        <v>0</v>
      </c>
      <c r="E1331" s="1" t="s">
        <v>14735</v>
      </c>
      <c r="F1331" s="6" t="s">
        <v>14916</v>
      </c>
      <c r="G1331" s="1" t="s">
        <v>4684</v>
      </c>
    </row>
    <row r="1332" spans="1:7" ht="21" x14ac:dyDescent="0.25">
      <c r="A1332" s="2" t="str">
        <f>HYPERLINK("https://rth.dk/resources/bsgatlas/details.php?id=BSGatlas-TSS-1331","BSGatlas-TSS-1331")</f>
        <v>BSGatlas-TSS-1331</v>
      </c>
      <c r="B1332" s="3">
        <v>1592047</v>
      </c>
      <c r="C1332" s="1" t="s">
        <v>9</v>
      </c>
      <c r="D1332" s="1">
        <v>22</v>
      </c>
      <c r="E1332" s="1" t="s">
        <v>14739</v>
      </c>
      <c r="F1332" s="6"/>
      <c r="G1332" s="1" t="s">
        <v>14726</v>
      </c>
    </row>
    <row r="1333" spans="1:7" ht="21" x14ac:dyDescent="0.25">
      <c r="A1333" s="2" t="str">
        <f>HYPERLINK("https://rth.dk/resources/bsgatlas/details.php?id=BSGatlas-TSS-1332","BSGatlas-TSS-1332")</f>
        <v>BSGatlas-TSS-1332</v>
      </c>
      <c r="B1333" s="3">
        <v>1592113</v>
      </c>
      <c r="C1333" s="1" t="s">
        <v>9</v>
      </c>
      <c r="D1333" s="1">
        <v>22</v>
      </c>
      <c r="E1333" s="1" t="s">
        <v>14720</v>
      </c>
      <c r="F1333" s="6"/>
      <c r="G1333" s="1" t="s">
        <v>14726</v>
      </c>
    </row>
    <row r="1334" spans="1:7" ht="21" x14ac:dyDescent="0.25">
      <c r="A1334" s="2" t="str">
        <f>HYPERLINK("https://rth.dk/resources/bsgatlas/details.php?id=BSGatlas-TSS-1333","BSGatlas-TSS-1333")</f>
        <v>BSGatlas-TSS-1333</v>
      </c>
      <c r="B1334" s="3">
        <v>1596188</v>
      </c>
      <c r="C1334" s="1" t="s">
        <v>9</v>
      </c>
      <c r="D1334" s="1">
        <v>0</v>
      </c>
      <c r="E1334" s="1" t="s">
        <v>14722</v>
      </c>
      <c r="F1334" s="6" t="s">
        <v>14917</v>
      </c>
      <c r="G1334" s="1" t="s">
        <v>14729</v>
      </c>
    </row>
    <row r="1335" spans="1:7" ht="21" x14ac:dyDescent="0.25">
      <c r="A1335" s="2" t="str">
        <f>HYPERLINK("https://rth.dk/resources/bsgatlas/details.php?id=BSGatlas-TSS-1334","BSGatlas-TSS-1334")</f>
        <v>BSGatlas-TSS-1334</v>
      </c>
      <c r="B1335" s="3">
        <v>1596301</v>
      </c>
      <c r="C1335" s="1" t="s">
        <v>9</v>
      </c>
      <c r="D1335" s="1">
        <v>33</v>
      </c>
      <c r="E1335" s="1" t="s">
        <v>14720</v>
      </c>
      <c r="F1335" s="6"/>
      <c r="G1335" s="1" t="s">
        <v>14721</v>
      </c>
    </row>
    <row r="1336" spans="1:7" ht="21" x14ac:dyDescent="0.25">
      <c r="A1336" s="2" t="str">
        <f>HYPERLINK("https://rth.dk/resources/bsgatlas/details.php?id=BSGatlas-TSS-1335","BSGatlas-TSS-1335")</f>
        <v>BSGatlas-TSS-1335</v>
      </c>
      <c r="B1336" s="3">
        <v>1596336</v>
      </c>
      <c r="C1336" s="1" t="s">
        <v>9</v>
      </c>
      <c r="D1336" s="1">
        <v>0</v>
      </c>
      <c r="E1336" s="1" t="s">
        <v>14745</v>
      </c>
      <c r="F1336" s="6" t="s">
        <v>14918</v>
      </c>
      <c r="G1336" s="1" t="s">
        <v>4382</v>
      </c>
    </row>
    <row r="1337" spans="1:7" ht="21" x14ac:dyDescent="0.25">
      <c r="A1337" s="2" t="str">
        <f>HYPERLINK("https://rth.dk/resources/bsgatlas/details.php?id=BSGatlas-TSS-1336","BSGatlas-TSS-1336")</f>
        <v>BSGatlas-TSS-1336</v>
      </c>
      <c r="B1337" s="3">
        <v>1596447</v>
      </c>
      <c r="C1337" s="1" t="s">
        <v>9</v>
      </c>
      <c r="D1337" s="1">
        <v>0</v>
      </c>
      <c r="E1337" s="1" t="s">
        <v>14722</v>
      </c>
      <c r="F1337" s="6" t="s">
        <v>14919</v>
      </c>
      <c r="G1337" s="1" t="s">
        <v>4684</v>
      </c>
    </row>
    <row r="1338" spans="1:7" ht="21" x14ac:dyDescent="0.25">
      <c r="A1338" s="2" t="str">
        <f>HYPERLINK("https://rth.dk/resources/bsgatlas/details.php?id=BSGatlas-TSS-1337","BSGatlas-TSS-1337")</f>
        <v>BSGatlas-TSS-1337</v>
      </c>
      <c r="B1338" s="3">
        <v>1596681</v>
      </c>
      <c r="C1338" s="1" t="s">
        <v>13</v>
      </c>
      <c r="D1338" s="1">
        <v>22</v>
      </c>
      <c r="E1338" s="1" t="s">
        <v>14720</v>
      </c>
      <c r="F1338" s="6"/>
      <c r="G1338" s="1" t="s">
        <v>14726</v>
      </c>
    </row>
    <row r="1339" spans="1:7" ht="21" x14ac:dyDescent="0.25">
      <c r="A1339" s="2" t="str">
        <f>HYPERLINK("https://rth.dk/resources/bsgatlas/details.php?id=BSGatlas-TSS-1338","BSGatlas-TSS-1338")</f>
        <v>BSGatlas-TSS-1338</v>
      </c>
      <c r="B1339" s="3">
        <v>1599179</v>
      </c>
      <c r="C1339" s="1" t="s">
        <v>9</v>
      </c>
      <c r="D1339" s="1">
        <v>22</v>
      </c>
      <c r="E1339" s="1" t="s">
        <v>14722</v>
      </c>
      <c r="F1339" s="6"/>
      <c r="G1339" s="1" t="s">
        <v>14733</v>
      </c>
    </row>
    <row r="1340" spans="1:7" ht="21" x14ac:dyDescent="0.25">
      <c r="A1340" s="2" t="str">
        <f>HYPERLINK("https://rth.dk/resources/bsgatlas/details.php?id=BSGatlas-TSS-1339","BSGatlas-TSS-1339")</f>
        <v>BSGatlas-TSS-1339</v>
      </c>
      <c r="B1340" s="3">
        <v>1603734</v>
      </c>
      <c r="C1340" s="1" t="s">
        <v>9</v>
      </c>
      <c r="D1340" s="1">
        <v>0</v>
      </c>
      <c r="E1340" s="1" t="s">
        <v>14722</v>
      </c>
      <c r="F1340" s="6" t="s">
        <v>14920</v>
      </c>
      <c r="G1340" s="1" t="s">
        <v>14724</v>
      </c>
    </row>
    <row r="1341" spans="1:7" ht="21" x14ac:dyDescent="0.25">
      <c r="A1341" s="2" t="str">
        <f>HYPERLINK("https://rth.dk/resources/bsgatlas/details.php?id=BSGatlas-TSS-1340","BSGatlas-TSS-1340")</f>
        <v>BSGatlas-TSS-1340</v>
      </c>
      <c r="B1341" s="3">
        <v>1603744</v>
      </c>
      <c r="C1341" s="1" t="s">
        <v>13</v>
      </c>
      <c r="D1341" s="1">
        <v>22</v>
      </c>
      <c r="E1341" s="1" t="s">
        <v>14720</v>
      </c>
      <c r="F1341" s="6"/>
      <c r="G1341" s="1" t="s">
        <v>14726</v>
      </c>
    </row>
    <row r="1342" spans="1:7" ht="21" x14ac:dyDescent="0.25">
      <c r="A1342" s="2" t="str">
        <f>HYPERLINK("https://rth.dk/resources/bsgatlas/details.php?id=BSGatlas-TSS-1341","BSGatlas-TSS-1341")</f>
        <v>BSGatlas-TSS-1341</v>
      </c>
      <c r="B1342" s="3">
        <v>1604736</v>
      </c>
      <c r="C1342" s="1" t="s">
        <v>13</v>
      </c>
      <c r="D1342" s="1">
        <v>22</v>
      </c>
      <c r="E1342" s="1" t="s">
        <v>14722</v>
      </c>
      <c r="F1342" s="6"/>
      <c r="G1342" s="1" t="s">
        <v>14726</v>
      </c>
    </row>
    <row r="1343" spans="1:7" ht="21" x14ac:dyDescent="0.25">
      <c r="A1343" s="2" t="str">
        <f>HYPERLINK("https://rth.dk/resources/bsgatlas/details.php?id=BSGatlas-TSS-1342","BSGatlas-TSS-1342")</f>
        <v>BSGatlas-TSS-1342</v>
      </c>
      <c r="B1343" s="3">
        <v>1605600</v>
      </c>
      <c r="C1343" s="1" t="s">
        <v>9</v>
      </c>
      <c r="D1343" s="1">
        <v>0</v>
      </c>
      <c r="E1343" s="1" t="s">
        <v>14849</v>
      </c>
      <c r="F1343" s="6">
        <v>1902213</v>
      </c>
      <c r="G1343" s="1" t="s">
        <v>14730</v>
      </c>
    </row>
    <row r="1344" spans="1:7" ht="21" x14ac:dyDescent="0.25">
      <c r="A1344" s="2" t="str">
        <f>HYPERLINK("https://rth.dk/resources/bsgatlas/details.php?id=BSGatlas-TSS-1343","BSGatlas-TSS-1343")</f>
        <v>BSGatlas-TSS-1343</v>
      </c>
      <c r="B1344" s="3">
        <v>1606506</v>
      </c>
      <c r="C1344" s="1" t="s">
        <v>9</v>
      </c>
      <c r="D1344" s="1">
        <v>0</v>
      </c>
      <c r="E1344" s="1" t="s">
        <v>14722</v>
      </c>
      <c r="F1344" s="6">
        <v>18083814</v>
      </c>
      <c r="G1344" s="1" t="s">
        <v>14747</v>
      </c>
    </row>
    <row r="1345" spans="1:7" ht="21" x14ac:dyDescent="0.25">
      <c r="A1345" s="2" t="str">
        <f>HYPERLINK("https://rth.dk/resources/bsgatlas/details.php?id=BSGatlas-TSS-1344","BSGatlas-TSS-1344")</f>
        <v>BSGatlas-TSS-1344</v>
      </c>
      <c r="B1345" s="3">
        <v>1607298</v>
      </c>
      <c r="C1345" s="1" t="s">
        <v>9</v>
      </c>
      <c r="D1345" s="1">
        <v>22</v>
      </c>
      <c r="E1345" s="1" t="s">
        <v>14722</v>
      </c>
      <c r="F1345" s="6"/>
      <c r="G1345" s="1" t="s">
        <v>14726</v>
      </c>
    </row>
    <row r="1346" spans="1:7" ht="21" x14ac:dyDescent="0.25">
      <c r="A1346" s="2" t="str">
        <f>HYPERLINK("https://rth.dk/resources/bsgatlas/details.php?id=BSGatlas-TSS-1345","BSGatlas-TSS-1345")</f>
        <v>BSGatlas-TSS-1345</v>
      </c>
      <c r="B1346" s="3">
        <v>1608782</v>
      </c>
      <c r="C1346" s="1" t="s">
        <v>13</v>
      </c>
      <c r="D1346" s="1">
        <v>22</v>
      </c>
      <c r="E1346" s="1" t="s">
        <v>14722</v>
      </c>
      <c r="F1346" s="6"/>
      <c r="G1346" s="1" t="s">
        <v>14726</v>
      </c>
    </row>
    <row r="1347" spans="1:7" ht="21" x14ac:dyDescent="0.25">
      <c r="A1347" s="2" t="str">
        <f>HYPERLINK("https://rth.dk/resources/bsgatlas/details.php?id=BSGatlas-TSS-1346","BSGatlas-TSS-1346")</f>
        <v>BSGatlas-TSS-1346</v>
      </c>
      <c r="B1347" s="3">
        <v>1608882</v>
      </c>
      <c r="C1347" s="1" t="s">
        <v>9</v>
      </c>
      <c r="D1347" s="1">
        <v>22</v>
      </c>
      <c r="E1347" s="1" t="s">
        <v>14727</v>
      </c>
      <c r="F1347" s="6"/>
      <c r="G1347" s="1" t="s">
        <v>14726</v>
      </c>
    </row>
    <row r="1348" spans="1:7" ht="21" x14ac:dyDescent="0.25">
      <c r="A1348" s="2" t="str">
        <f>HYPERLINK("https://rth.dk/resources/bsgatlas/details.php?id=BSGatlas-TSS-1347","BSGatlas-TSS-1347")</f>
        <v>BSGatlas-TSS-1347</v>
      </c>
      <c r="B1348" s="3">
        <v>1609107</v>
      </c>
      <c r="C1348" s="1" t="s">
        <v>9</v>
      </c>
      <c r="D1348" s="1">
        <v>22</v>
      </c>
      <c r="E1348" s="1" t="s">
        <v>14745</v>
      </c>
      <c r="F1348" s="6"/>
      <c r="G1348" s="1" t="s">
        <v>14726</v>
      </c>
    </row>
    <row r="1349" spans="1:7" ht="21" x14ac:dyDescent="0.25">
      <c r="A1349" s="2" t="str">
        <f>HYPERLINK("https://rth.dk/resources/bsgatlas/details.php?id=BSGatlas-TSS-1348","BSGatlas-TSS-1348")</f>
        <v>BSGatlas-TSS-1348</v>
      </c>
      <c r="B1349" s="3">
        <v>1609165</v>
      </c>
      <c r="C1349" s="1" t="s">
        <v>9</v>
      </c>
      <c r="D1349" s="1">
        <v>33</v>
      </c>
      <c r="E1349" s="1" t="s">
        <v>14720</v>
      </c>
      <c r="F1349" s="6"/>
      <c r="G1349" s="1" t="s">
        <v>14721</v>
      </c>
    </row>
    <row r="1350" spans="1:7" ht="21" x14ac:dyDescent="0.25">
      <c r="A1350" s="2" t="str">
        <f>HYPERLINK("https://rth.dk/resources/bsgatlas/details.php?id=BSGatlas-TSS-1349","BSGatlas-TSS-1349")</f>
        <v>BSGatlas-TSS-1349</v>
      </c>
      <c r="B1350" s="3">
        <v>1609277</v>
      </c>
      <c r="C1350" s="1" t="s">
        <v>9</v>
      </c>
      <c r="D1350" s="1">
        <v>22</v>
      </c>
      <c r="E1350" s="1" t="s">
        <v>14722</v>
      </c>
      <c r="F1350" s="6"/>
      <c r="G1350" s="1" t="s">
        <v>14726</v>
      </c>
    </row>
    <row r="1351" spans="1:7" ht="21" x14ac:dyDescent="0.25">
      <c r="A1351" s="2" t="str">
        <f>HYPERLINK("https://rth.dk/resources/bsgatlas/details.php?id=BSGatlas-TSS-1350","BSGatlas-TSS-1350")</f>
        <v>BSGatlas-TSS-1350</v>
      </c>
      <c r="B1351" s="3">
        <v>1612187</v>
      </c>
      <c r="C1351" s="1" t="s">
        <v>9</v>
      </c>
      <c r="D1351" s="1">
        <v>22</v>
      </c>
      <c r="E1351" s="1" t="s">
        <v>14752</v>
      </c>
      <c r="F1351" s="6"/>
      <c r="G1351" s="1" t="s">
        <v>14726</v>
      </c>
    </row>
    <row r="1352" spans="1:7" ht="21" x14ac:dyDescent="0.25">
      <c r="A1352" s="2" t="str">
        <f>HYPERLINK("https://rth.dk/resources/bsgatlas/details.php?id=BSGatlas-TSS-1351","BSGatlas-TSS-1351")</f>
        <v>BSGatlas-TSS-1351</v>
      </c>
      <c r="B1352" s="3">
        <v>1613056</v>
      </c>
      <c r="C1352" s="1" t="s">
        <v>9</v>
      </c>
      <c r="D1352" s="1">
        <v>22</v>
      </c>
      <c r="E1352" s="1" t="s">
        <v>14722</v>
      </c>
      <c r="F1352" s="6"/>
      <c r="G1352" s="1" t="s">
        <v>14726</v>
      </c>
    </row>
    <row r="1353" spans="1:7" ht="21" x14ac:dyDescent="0.25">
      <c r="A1353" s="2" t="str">
        <f>HYPERLINK("https://rth.dk/resources/bsgatlas/details.php?id=BSGatlas-TSS-1352","BSGatlas-TSS-1352")</f>
        <v>BSGatlas-TSS-1352</v>
      </c>
      <c r="B1353" s="3">
        <v>1616224</v>
      </c>
      <c r="C1353" s="1" t="s">
        <v>9</v>
      </c>
      <c r="D1353" s="1">
        <v>22</v>
      </c>
      <c r="E1353" s="1" t="s">
        <v>14732</v>
      </c>
      <c r="F1353" s="6"/>
      <c r="G1353" s="1" t="s">
        <v>14726</v>
      </c>
    </row>
    <row r="1354" spans="1:7" ht="21" x14ac:dyDescent="0.25">
      <c r="A1354" s="2" t="str">
        <f>HYPERLINK("https://rth.dk/resources/bsgatlas/details.php?id=BSGatlas-TSS-1353","BSGatlas-TSS-1353")</f>
        <v>BSGatlas-TSS-1353</v>
      </c>
      <c r="B1354" s="3">
        <v>1616692</v>
      </c>
      <c r="C1354" s="1" t="s">
        <v>9</v>
      </c>
      <c r="D1354" s="1">
        <v>22</v>
      </c>
      <c r="E1354" s="1" t="s">
        <v>14722</v>
      </c>
      <c r="F1354" s="6"/>
      <c r="G1354" s="1" t="s">
        <v>14726</v>
      </c>
    </row>
    <row r="1355" spans="1:7" ht="21" x14ac:dyDescent="0.25">
      <c r="A1355" s="2" t="str">
        <f>HYPERLINK("https://rth.dk/resources/bsgatlas/details.php?id=BSGatlas-TSS-1354","BSGatlas-TSS-1354")</f>
        <v>BSGatlas-TSS-1354</v>
      </c>
      <c r="B1355" s="3">
        <v>1618154</v>
      </c>
      <c r="C1355" s="1" t="s">
        <v>9</v>
      </c>
      <c r="D1355" s="1">
        <v>0</v>
      </c>
      <c r="E1355" s="1" t="s">
        <v>14722</v>
      </c>
      <c r="F1355" s="6" t="s">
        <v>14921</v>
      </c>
      <c r="G1355" s="1" t="s">
        <v>14729</v>
      </c>
    </row>
    <row r="1356" spans="1:7" ht="21" x14ac:dyDescent="0.25">
      <c r="A1356" s="2" t="str">
        <f>HYPERLINK("https://rth.dk/resources/bsgatlas/details.php?id=BSGatlas-TSS-1355","BSGatlas-TSS-1355")</f>
        <v>BSGatlas-TSS-1355</v>
      </c>
      <c r="B1356" s="3">
        <v>1630103</v>
      </c>
      <c r="C1356" s="1" t="s">
        <v>9</v>
      </c>
      <c r="D1356" s="1">
        <v>0</v>
      </c>
      <c r="E1356" s="1" t="s">
        <v>14722</v>
      </c>
      <c r="F1356" s="6" t="s">
        <v>14922</v>
      </c>
      <c r="G1356" s="1" t="s">
        <v>14729</v>
      </c>
    </row>
    <row r="1357" spans="1:7" ht="21" x14ac:dyDescent="0.25">
      <c r="A1357" s="2" t="str">
        <f>HYPERLINK("https://rth.dk/resources/bsgatlas/details.php?id=BSGatlas-TSS-1356","BSGatlas-TSS-1356")</f>
        <v>BSGatlas-TSS-1356</v>
      </c>
      <c r="B1357" s="3">
        <v>1632297</v>
      </c>
      <c r="C1357" s="1" t="s">
        <v>13</v>
      </c>
      <c r="D1357" s="1">
        <v>22</v>
      </c>
      <c r="E1357" s="1" t="s">
        <v>14720</v>
      </c>
      <c r="F1357" s="6"/>
      <c r="G1357" s="1" t="s">
        <v>14726</v>
      </c>
    </row>
    <row r="1358" spans="1:7" ht="21" x14ac:dyDescent="0.25">
      <c r="A1358" s="2" t="str">
        <f>HYPERLINK("https://rth.dk/resources/bsgatlas/details.php?id=BSGatlas-TSS-1357","BSGatlas-TSS-1357")</f>
        <v>BSGatlas-TSS-1357</v>
      </c>
      <c r="B1358" s="3">
        <v>1634762</v>
      </c>
      <c r="C1358" s="1" t="s">
        <v>9</v>
      </c>
      <c r="D1358" s="1">
        <v>22</v>
      </c>
      <c r="E1358" s="1" t="s">
        <v>14722</v>
      </c>
      <c r="F1358" s="6"/>
      <c r="G1358" s="1" t="s">
        <v>14726</v>
      </c>
    </row>
    <row r="1359" spans="1:7" ht="21" x14ac:dyDescent="0.25">
      <c r="A1359" s="2" t="str">
        <f>HYPERLINK("https://rth.dk/resources/bsgatlas/details.php?id=BSGatlas-TSS-1358","BSGatlas-TSS-1358")</f>
        <v>BSGatlas-TSS-1358</v>
      </c>
      <c r="B1359" s="3">
        <v>1637885</v>
      </c>
      <c r="C1359" s="1" t="s">
        <v>13</v>
      </c>
      <c r="D1359" s="1">
        <v>22</v>
      </c>
      <c r="E1359" s="1" t="s">
        <v>14722</v>
      </c>
      <c r="F1359" s="6"/>
      <c r="G1359" s="1" t="s">
        <v>14726</v>
      </c>
    </row>
    <row r="1360" spans="1:7" ht="21" x14ac:dyDescent="0.25">
      <c r="A1360" s="2" t="str">
        <f>HYPERLINK("https://rth.dk/resources/bsgatlas/details.php?id=BSGatlas-TSS-1359","BSGatlas-TSS-1359")</f>
        <v>BSGatlas-TSS-1359</v>
      </c>
      <c r="B1360" s="3">
        <v>1637910</v>
      </c>
      <c r="C1360" s="1" t="s">
        <v>9</v>
      </c>
      <c r="D1360" s="1">
        <v>22</v>
      </c>
      <c r="E1360" s="1" t="s">
        <v>14727</v>
      </c>
      <c r="F1360" s="6"/>
      <c r="G1360" s="1" t="s">
        <v>14726</v>
      </c>
    </row>
    <row r="1361" spans="1:7" ht="21" x14ac:dyDescent="0.25">
      <c r="A1361" s="2" t="str">
        <f>HYPERLINK("https://rth.dk/resources/bsgatlas/details.php?id=BSGatlas-TSS-1360","BSGatlas-TSS-1360")</f>
        <v>BSGatlas-TSS-1360</v>
      </c>
      <c r="B1361" s="3">
        <v>1639381</v>
      </c>
      <c r="C1361" s="1" t="s">
        <v>13</v>
      </c>
      <c r="D1361" s="1">
        <v>22</v>
      </c>
      <c r="E1361" s="1" t="s">
        <v>14722</v>
      </c>
      <c r="F1361" s="6"/>
      <c r="G1361" s="1" t="s">
        <v>14726</v>
      </c>
    </row>
    <row r="1362" spans="1:7" ht="21" x14ac:dyDescent="0.25">
      <c r="A1362" s="2" t="str">
        <f>HYPERLINK("https://rth.dk/resources/bsgatlas/details.php?id=BSGatlas-TSS-1361","BSGatlas-TSS-1361")</f>
        <v>BSGatlas-TSS-1361</v>
      </c>
      <c r="B1362" s="3">
        <v>1640646</v>
      </c>
      <c r="C1362" s="1" t="s">
        <v>9</v>
      </c>
      <c r="D1362" s="1">
        <v>22</v>
      </c>
      <c r="E1362" s="1" t="s">
        <v>14722</v>
      </c>
      <c r="F1362" s="6"/>
      <c r="G1362" s="1" t="s">
        <v>14733</v>
      </c>
    </row>
    <row r="1363" spans="1:7" ht="21" x14ac:dyDescent="0.25">
      <c r="A1363" s="2" t="str">
        <f>HYPERLINK("https://rth.dk/resources/bsgatlas/details.php?id=BSGatlas-TSS-1362","BSGatlas-TSS-1362")</f>
        <v>BSGatlas-TSS-1362</v>
      </c>
      <c r="B1363" s="3">
        <v>1641757</v>
      </c>
      <c r="C1363" s="1" t="s">
        <v>13</v>
      </c>
      <c r="D1363" s="1">
        <v>22</v>
      </c>
      <c r="E1363" s="1" t="s">
        <v>14720</v>
      </c>
      <c r="F1363" s="6"/>
      <c r="G1363" s="1" t="s">
        <v>14726</v>
      </c>
    </row>
    <row r="1364" spans="1:7" ht="21" x14ac:dyDescent="0.25">
      <c r="A1364" s="2" t="str">
        <f>HYPERLINK("https://rth.dk/resources/bsgatlas/details.php?id=BSGatlas-TSS-1363","BSGatlas-TSS-1363")</f>
        <v>BSGatlas-TSS-1363</v>
      </c>
      <c r="B1364" s="3">
        <v>1644485</v>
      </c>
      <c r="C1364" s="1" t="s">
        <v>13</v>
      </c>
      <c r="D1364" s="1">
        <v>22</v>
      </c>
      <c r="E1364" s="1" t="s">
        <v>14734</v>
      </c>
      <c r="F1364" s="6"/>
      <c r="G1364" s="1" t="s">
        <v>14726</v>
      </c>
    </row>
    <row r="1365" spans="1:7" ht="21" x14ac:dyDescent="0.25">
      <c r="A1365" s="2" t="str">
        <f>HYPERLINK("https://rth.dk/resources/bsgatlas/details.php?id=BSGatlas-TSS-1364","BSGatlas-TSS-1364")</f>
        <v>BSGatlas-TSS-1364</v>
      </c>
      <c r="B1365" s="3">
        <v>1646367</v>
      </c>
      <c r="C1365" s="1" t="s">
        <v>9</v>
      </c>
      <c r="D1365" s="1">
        <v>22</v>
      </c>
      <c r="E1365" s="1" t="s">
        <v>14722</v>
      </c>
      <c r="F1365" s="6"/>
      <c r="G1365" s="1" t="s">
        <v>14726</v>
      </c>
    </row>
    <row r="1366" spans="1:7" ht="21" x14ac:dyDescent="0.25">
      <c r="A1366" s="2" t="str">
        <f>HYPERLINK("https://rth.dk/resources/bsgatlas/details.php?id=BSGatlas-TSS-1365","BSGatlas-TSS-1365")</f>
        <v>BSGatlas-TSS-1365</v>
      </c>
      <c r="B1366" s="3">
        <v>1653033</v>
      </c>
      <c r="C1366" s="1" t="s">
        <v>9</v>
      </c>
      <c r="D1366" s="1">
        <v>22</v>
      </c>
      <c r="E1366" s="1" t="s">
        <v>14734</v>
      </c>
      <c r="F1366" s="6"/>
      <c r="G1366" s="1" t="s">
        <v>14726</v>
      </c>
    </row>
    <row r="1367" spans="1:7" ht="21" x14ac:dyDescent="0.25">
      <c r="A1367" s="2" t="str">
        <f>HYPERLINK("https://rth.dk/resources/bsgatlas/details.php?id=BSGatlas-TSS-1366","BSGatlas-TSS-1366")</f>
        <v>BSGatlas-TSS-1366</v>
      </c>
      <c r="B1367" s="3">
        <v>1654683</v>
      </c>
      <c r="C1367" s="1" t="s">
        <v>9</v>
      </c>
      <c r="D1367" s="1">
        <v>22</v>
      </c>
      <c r="E1367" s="1" t="s">
        <v>14725</v>
      </c>
      <c r="F1367" s="6"/>
      <c r="G1367" s="1" t="s">
        <v>14726</v>
      </c>
    </row>
    <row r="1368" spans="1:7" ht="21" x14ac:dyDescent="0.25">
      <c r="A1368" s="2" t="str">
        <f>HYPERLINK("https://rth.dk/resources/bsgatlas/details.php?id=BSGatlas-TSS-1367","BSGatlas-TSS-1367")</f>
        <v>BSGatlas-TSS-1367</v>
      </c>
      <c r="B1368" s="3">
        <v>1655152</v>
      </c>
      <c r="C1368" s="1" t="s">
        <v>9</v>
      </c>
      <c r="D1368" s="1">
        <v>22</v>
      </c>
      <c r="E1368" s="1" t="s">
        <v>14727</v>
      </c>
      <c r="F1368" s="6"/>
      <c r="G1368" s="1" t="s">
        <v>14726</v>
      </c>
    </row>
    <row r="1369" spans="1:7" ht="21" x14ac:dyDescent="0.25">
      <c r="A1369" s="2" t="str">
        <f>HYPERLINK("https://rth.dk/resources/bsgatlas/details.php?id=BSGatlas-TSS-1368","BSGatlas-TSS-1368")</f>
        <v>BSGatlas-TSS-1368</v>
      </c>
      <c r="B1369" s="3">
        <v>1655299</v>
      </c>
      <c r="C1369" s="1" t="s">
        <v>9</v>
      </c>
      <c r="D1369" s="1">
        <v>22</v>
      </c>
      <c r="E1369" s="1" t="s">
        <v>14727</v>
      </c>
      <c r="F1369" s="6"/>
      <c r="G1369" s="1" t="s">
        <v>14726</v>
      </c>
    </row>
    <row r="1370" spans="1:7" ht="21" x14ac:dyDescent="0.25">
      <c r="A1370" s="2" t="str">
        <f>HYPERLINK("https://rth.dk/resources/bsgatlas/details.php?id=BSGatlas-TSS-1369","BSGatlas-TSS-1369")</f>
        <v>BSGatlas-TSS-1369</v>
      </c>
      <c r="B1370" s="3">
        <v>1655359</v>
      </c>
      <c r="C1370" s="1" t="s">
        <v>9</v>
      </c>
      <c r="D1370" s="1">
        <v>0</v>
      </c>
      <c r="E1370" s="1" t="s">
        <v>14735</v>
      </c>
      <c r="F1370" s="6" t="s">
        <v>14923</v>
      </c>
      <c r="G1370" s="1" t="s">
        <v>4382</v>
      </c>
    </row>
    <row r="1371" spans="1:7" ht="21" x14ac:dyDescent="0.25">
      <c r="A1371" s="2" t="str">
        <f>HYPERLINK("https://rth.dk/resources/bsgatlas/details.php?id=BSGatlas-TSS-1370","BSGatlas-TSS-1370")</f>
        <v>BSGatlas-TSS-1370</v>
      </c>
      <c r="B1371" s="3">
        <v>1655880</v>
      </c>
      <c r="C1371" s="1" t="s">
        <v>13</v>
      </c>
      <c r="D1371" s="1">
        <v>22</v>
      </c>
      <c r="E1371" s="1" t="s">
        <v>14722</v>
      </c>
      <c r="F1371" s="6"/>
      <c r="G1371" s="1" t="s">
        <v>14733</v>
      </c>
    </row>
    <row r="1372" spans="1:7" ht="21" x14ac:dyDescent="0.25">
      <c r="A1372" s="2" t="str">
        <f>HYPERLINK("https://rth.dk/resources/bsgatlas/details.php?id=BSGatlas-TSS-1371","BSGatlas-TSS-1371")</f>
        <v>BSGatlas-TSS-1371</v>
      </c>
      <c r="B1372" s="3">
        <v>1655960</v>
      </c>
      <c r="C1372" s="1" t="s">
        <v>9</v>
      </c>
      <c r="D1372" s="1">
        <v>22</v>
      </c>
      <c r="E1372" s="1" t="s">
        <v>14722</v>
      </c>
      <c r="F1372" s="6"/>
      <c r="G1372" s="1" t="s">
        <v>14726</v>
      </c>
    </row>
    <row r="1373" spans="1:7" ht="21" x14ac:dyDescent="0.25">
      <c r="A1373" s="2" t="str">
        <f>HYPERLINK("https://rth.dk/resources/bsgatlas/details.php?id=BSGatlas-TSS-1372","BSGatlas-TSS-1372")</f>
        <v>BSGatlas-TSS-1372</v>
      </c>
      <c r="B1373" s="3">
        <v>1656025</v>
      </c>
      <c r="C1373" s="1" t="s">
        <v>9</v>
      </c>
      <c r="D1373" s="1">
        <v>22</v>
      </c>
      <c r="E1373" s="1" t="s">
        <v>14722</v>
      </c>
      <c r="F1373" s="6"/>
      <c r="G1373" s="1" t="s">
        <v>14726</v>
      </c>
    </row>
    <row r="1374" spans="1:7" ht="21" x14ac:dyDescent="0.25">
      <c r="A1374" s="2" t="str">
        <f>HYPERLINK("https://rth.dk/resources/bsgatlas/details.php?id=BSGatlas-TSS-1373","BSGatlas-TSS-1373")</f>
        <v>BSGatlas-TSS-1373</v>
      </c>
      <c r="B1374" s="3">
        <v>1658195</v>
      </c>
      <c r="C1374" s="1" t="s">
        <v>9</v>
      </c>
      <c r="D1374" s="1">
        <v>22</v>
      </c>
      <c r="E1374" s="1" t="s">
        <v>14722</v>
      </c>
      <c r="F1374" s="6"/>
      <c r="G1374" s="1" t="s">
        <v>14726</v>
      </c>
    </row>
    <row r="1375" spans="1:7" ht="21" x14ac:dyDescent="0.25">
      <c r="A1375" s="2" t="str">
        <f>HYPERLINK("https://rth.dk/resources/bsgatlas/details.php?id=BSGatlas-TSS-1374","BSGatlas-TSS-1374")</f>
        <v>BSGatlas-TSS-1374</v>
      </c>
      <c r="B1375" s="3">
        <v>1661937</v>
      </c>
      <c r="C1375" s="1" t="s">
        <v>9</v>
      </c>
      <c r="D1375" s="1">
        <v>0</v>
      </c>
      <c r="E1375" s="1" t="s">
        <v>14722</v>
      </c>
      <c r="F1375" s="6" t="s">
        <v>14924</v>
      </c>
      <c r="G1375" s="1" t="s">
        <v>14729</v>
      </c>
    </row>
    <row r="1376" spans="1:7" ht="21" x14ac:dyDescent="0.25">
      <c r="A1376" s="2" t="str">
        <f>HYPERLINK("https://rth.dk/resources/bsgatlas/details.php?id=BSGatlas-TSS-1375","BSGatlas-TSS-1375")</f>
        <v>BSGatlas-TSS-1375</v>
      </c>
      <c r="B1376" s="3">
        <v>1665309</v>
      </c>
      <c r="C1376" s="1" t="s">
        <v>9</v>
      </c>
      <c r="D1376" s="1">
        <v>22</v>
      </c>
      <c r="E1376" s="1" t="s">
        <v>14722</v>
      </c>
      <c r="F1376" s="6"/>
      <c r="G1376" s="1" t="s">
        <v>14726</v>
      </c>
    </row>
    <row r="1377" spans="1:7" ht="21" x14ac:dyDescent="0.25">
      <c r="A1377" s="2" t="str">
        <f>HYPERLINK("https://rth.dk/resources/bsgatlas/details.php?id=BSGatlas-TSS-1376","BSGatlas-TSS-1376")</f>
        <v>BSGatlas-TSS-1376</v>
      </c>
      <c r="B1377" s="3">
        <v>1665639</v>
      </c>
      <c r="C1377" s="1" t="s">
        <v>9</v>
      </c>
      <c r="D1377" s="1">
        <v>22</v>
      </c>
      <c r="E1377" s="1" t="s">
        <v>14720</v>
      </c>
      <c r="F1377" s="6"/>
      <c r="G1377" s="1" t="s">
        <v>14733</v>
      </c>
    </row>
    <row r="1378" spans="1:7" ht="21" x14ac:dyDescent="0.25">
      <c r="A1378" s="2" t="str">
        <f>HYPERLINK("https://rth.dk/resources/bsgatlas/details.php?id=BSGatlas-TSS-1377","BSGatlas-TSS-1377")</f>
        <v>BSGatlas-TSS-1377</v>
      </c>
      <c r="B1378" s="3">
        <v>1666541</v>
      </c>
      <c r="C1378" s="1" t="s">
        <v>9</v>
      </c>
      <c r="D1378" s="1">
        <v>22</v>
      </c>
      <c r="E1378" s="1" t="s">
        <v>14722</v>
      </c>
      <c r="F1378" s="6"/>
      <c r="G1378" s="1" t="s">
        <v>14726</v>
      </c>
    </row>
    <row r="1379" spans="1:7" ht="21" x14ac:dyDescent="0.25">
      <c r="A1379" s="2" t="str">
        <f>HYPERLINK("https://rth.dk/resources/bsgatlas/details.php?id=BSGatlas-TSS-1378","BSGatlas-TSS-1378")</f>
        <v>BSGatlas-TSS-1378</v>
      </c>
      <c r="B1379" s="3">
        <v>1669432</v>
      </c>
      <c r="C1379" s="1" t="s">
        <v>9</v>
      </c>
      <c r="D1379" s="1">
        <v>0</v>
      </c>
      <c r="E1379" s="1" t="s">
        <v>14725</v>
      </c>
      <c r="F1379" s="6">
        <v>11021934</v>
      </c>
      <c r="G1379" s="1" t="s">
        <v>4684</v>
      </c>
    </row>
    <row r="1380" spans="1:7" ht="21" x14ac:dyDescent="0.25">
      <c r="A1380" s="2" t="str">
        <f>HYPERLINK("https://rth.dk/resources/bsgatlas/details.php?id=BSGatlas-TSS-1379","BSGatlas-TSS-1379")</f>
        <v>BSGatlas-TSS-1379</v>
      </c>
      <c r="B1380" s="3">
        <v>1671689</v>
      </c>
      <c r="C1380" s="1" t="s">
        <v>13</v>
      </c>
      <c r="D1380" s="1">
        <v>22</v>
      </c>
      <c r="E1380" s="1" t="s">
        <v>14752</v>
      </c>
      <c r="F1380" s="6"/>
      <c r="G1380" s="1" t="s">
        <v>14726</v>
      </c>
    </row>
    <row r="1381" spans="1:7" ht="21" x14ac:dyDescent="0.25">
      <c r="A1381" s="2" t="str">
        <f>HYPERLINK("https://rth.dk/resources/bsgatlas/details.php?id=BSGatlas-TSS-1380","BSGatlas-TSS-1380")</f>
        <v>BSGatlas-TSS-1380</v>
      </c>
      <c r="B1381" s="3">
        <v>1671791</v>
      </c>
      <c r="C1381" s="1" t="s">
        <v>9</v>
      </c>
      <c r="D1381" s="1">
        <v>0</v>
      </c>
      <c r="E1381" s="1" t="s">
        <v>14722</v>
      </c>
      <c r="F1381" s="6" t="s">
        <v>14925</v>
      </c>
      <c r="G1381" s="1" t="s">
        <v>14729</v>
      </c>
    </row>
    <row r="1382" spans="1:7" ht="21" x14ac:dyDescent="0.25">
      <c r="A1382" s="2" t="str">
        <f>HYPERLINK("https://rth.dk/resources/bsgatlas/details.php?id=BSGatlas-TSS-1381","BSGatlas-TSS-1381")</f>
        <v>BSGatlas-TSS-1381</v>
      </c>
      <c r="B1382" s="3">
        <v>1675933</v>
      </c>
      <c r="C1382" s="1" t="s">
        <v>9</v>
      </c>
      <c r="D1382" s="1">
        <v>22</v>
      </c>
      <c r="E1382" s="1" t="s">
        <v>14722</v>
      </c>
      <c r="F1382" s="6"/>
      <c r="G1382" s="1" t="s">
        <v>14726</v>
      </c>
    </row>
    <row r="1383" spans="1:7" ht="21" x14ac:dyDescent="0.25">
      <c r="A1383" s="2" t="str">
        <f>HYPERLINK("https://rth.dk/resources/bsgatlas/details.php?id=BSGatlas-TSS-1382","BSGatlas-TSS-1382")</f>
        <v>BSGatlas-TSS-1382</v>
      </c>
      <c r="B1383" s="3">
        <v>1676463</v>
      </c>
      <c r="C1383" s="1" t="s">
        <v>9</v>
      </c>
      <c r="D1383" s="1">
        <v>22</v>
      </c>
      <c r="E1383" s="1" t="s">
        <v>14722</v>
      </c>
      <c r="F1383" s="6"/>
      <c r="G1383" s="1" t="s">
        <v>14733</v>
      </c>
    </row>
    <row r="1384" spans="1:7" ht="21" x14ac:dyDescent="0.25">
      <c r="A1384" s="2" t="str">
        <f>HYPERLINK("https://rth.dk/resources/bsgatlas/details.php?id=BSGatlas-TSS-1383","BSGatlas-TSS-1383")</f>
        <v>BSGatlas-TSS-1383</v>
      </c>
      <c r="B1384" s="3">
        <v>1677431</v>
      </c>
      <c r="C1384" s="1" t="s">
        <v>9</v>
      </c>
      <c r="D1384" s="1">
        <v>22</v>
      </c>
      <c r="E1384" s="1" t="s">
        <v>14752</v>
      </c>
      <c r="F1384" s="6"/>
      <c r="G1384" s="1" t="s">
        <v>14726</v>
      </c>
    </row>
    <row r="1385" spans="1:7" ht="21" x14ac:dyDescent="0.25">
      <c r="A1385" s="2" t="str">
        <f>HYPERLINK("https://rth.dk/resources/bsgatlas/details.php?id=BSGatlas-TSS-1384","BSGatlas-TSS-1384")</f>
        <v>BSGatlas-TSS-1384</v>
      </c>
      <c r="B1385" s="3">
        <v>1679487</v>
      </c>
      <c r="C1385" s="1" t="s">
        <v>13</v>
      </c>
      <c r="D1385" s="1">
        <v>22</v>
      </c>
      <c r="E1385" s="1" t="s">
        <v>14722</v>
      </c>
      <c r="F1385" s="6"/>
      <c r="G1385" s="1" t="s">
        <v>14726</v>
      </c>
    </row>
    <row r="1386" spans="1:7" ht="21" x14ac:dyDescent="0.25">
      <c r="A1386" s="2" t="str">
        <f>HYPERLINK("https://rth.dk/resources/bsgatlas/details.php?id=BSGatlas-TSS-1385","BSGatlas-TSS-1385")</f>
        <v>BSGatlas-TSS-1385</v>
      </c>
      <c r="B1386" s="3">
        <v>1680380</v>
      </c>
      <c r="C1386" s="1" t="s">
        <v>9</v>
      </c>
      <c r="D1386" s="1">
        <v>22</v>
      </c>
      <c r="E1386" s="1" t="s">
        <v>14722</v>
      </c>
      <c r="F1386" s="6"/>
      <c r="G1386" s="1" t="s">
        <v>14726</v>
      </c>
    </row>
    <row r="1387" spans="1:7" ht="21" x14ac:dyDescent="0.25">
      <c r="A1387" s="2" t="str">
        <f>HYPERLINK("https://rth.dk/resources/bsgatlas/details.php?id=BSGatlas-TSS-1386","BSGatlas-TSS-1386")</f>
        <v>BSGatlas-TSS-1386</v>
      </c>
      <c r="B1387" s="3">
        <v>1680543</v>
      </c>
      <c r="C1387" s="1" t="s">
        <v>13</v>
      </c>
      <c r="D1387" s="1">
        <v>22</v>
      </c>
      <c r="E1387" s="1" t="s">
        <v>14720</v>
      </c>
      <c r="F1387" s="6"/>
      <c r="G1387" s="1" t="s">
        <v>14726</v>
      </c>
    </row>
    <row r="1388" spans="1:7" ht="21" x14ac:dyDescent="0.25">
      <c r="A1388" s="2" t="str">
        <f>HYPERLINK("https://rth.dk/resources/bsgatlas/details.php?id=BSGatlas-TSS-1387","BSGatlas-TSS-1387")</f>
        <v>BSGatlas-TSS-1387</v>
      </c>
      <c r="B1388" s="3">
        <v>1683508</v>
      </c>
      <c r="C1388" s="1" t="s">
        <v>9</v>
      </c>
      <c r="D1388" s="1">
        <v>22</v>
      </c>
      <c r="E1388" s="1" t="s">
        <v>14722</v>
      </c>
      <c r="F1388" s="6"/>
      <c r="G1388" s="1" t="s">
        <v>14733</v>
      </c>
    </row>
    <row r="1389" spans="1:7" ht="21" x14ac:dyDescent="0.25">
      <c r="A1389" s="2" t="str">
        <f>HYPERLINK("https://rth.dk/resources/bsgatlas/details.php?id=BSGatlas-TSS-1388","BSGatlas-TSS-1388")</f>
        <v>BSGatlas-TSS-1388</v>
      </c>
      <c r="B1389" s="3">
        <v>1685780</v>
      </c>
      <c r="C1389" s="1" t="s">
        <v>9</v>
      </c>
      <c r="D1389" s="1">
        <v>22</v>
      </c>
      <c r="E1389" s="1" t="s">
        <v>14727</v>
      </c>
      <c r="F1389" s="6"/>
      <c r="G1389" s="1" t="s">
        <v>14726</v>
      </c>
    </row>
    <row r="1390" spans="1:7" ht="21" x14ac:dyDescent="0.25">
      <c r="A1390" s="2" t="str">
        <f>HYPERLINK("https://rth.dk/resources/bsgatlas/details.php?id=BSGatlas-TSS-1389","BSGatlas-TSS-1389")</f>
        <v>BSGatlas-TSS-1389</v>
      </c>
      <c r="B1390" s="3">
        <v>1687163</v>
      </c>
      <c r="C1390" s="1" t="s">
        <v>9</v>
      </c>
      <c r="D1390" s="1">
        <v>0</v>
      </c>
      <c r="E1390" s="1" t="s">
        <v>14722</v>
      </c>
      <c r="F1390" s="6" t="s">
        <v>14926</v>
      </c>
      <c r="G1390" s="1" t="s">
        <v>14729</v>
      </c>
    </row>
    <row r="1391" spans="1:7" ht="21" x14ac:dyDescent="0.25">
      <c r="A1391" s="2" t="str">
        <f>HYPERLINK("https://rth.dk/resources/bsgatlas/details.php?id=BSGatlas-TSS-1390","BSGatlas-TSS-1390")</f>
        <v>BSGatlas-TSS-1390</v>
      </c>
      <c r="B1391" s="3">
        <v>1687243</v>
      </c>
      <c r="C1391" s="1" t="s">
        <v>9</v>
      </c>
      <c r="D1391" s="1">
        <v>22</v>
      </c>
      <c r="E1391" s="1" t="s">
        <v>14722</v>
      </c>
      <c r="F1391" s="6"/>
      <c r="G1391" s="1" t="s">
        <v>14726</v>
      </c>
    </row>
    <row r="1392" spans="1:7" ht="21" x14ac:dyDescent="0.25">
      <c r="A1392" s="2" t="str">
        <f>HYPERLINK("https://rth.dk/resources/bsgatlas/details.php?id=BSGatlas-TSS-1391","BSGatlas-TSS-1391")</f>
        <v>BSGatlas-TSS-1391</v>
      </c>
      <c r="B1392" s="3">
        <v>1691052</v>
      </c>
      <c r="C1392" s="1" t="s">
        <v>9</v>
      </c>
      <c r="D1392" s="1">
        <v>0</v>
      </c>
      <c r="E1392" s="1" t="s">
        <v>14752</v>
      </c>
      <c r="F1392" s="6" t="s">
        <v>14927</v>
      </c>
      <c r="G1392" s="1" t="s">
        <v>14724</v>
      </c>
    </row>
    <row r="1393" spans="1:7" ht="21" x14ac:dyDescent="0.25">
      <c r="A1393" s="2" t="str">
        <f>HYPERLINK("https://rth.dk/resources/bsgatlas/details.php?id=BSGatlas-TSS-1392","BSGatlas-TSS-1392")</f>
        <v>BSGatlas-TSS-1392</v>
      </c>
      <c r="B1393" s="3">
        <v>1691214</v>
      </c>
      <c r="C1393" s="1" t="s">
        <v>9</v>
      </c>
      <c r="D1393" s="1">
        <v>0</v>
      </c>
      <c r="E1393" s="1" t="s">
        <v>14722</v>
      </c>
      <c r="F1393" s="6" t="s">
        <v>14928</v>
      </c>
      <c r="G1393" s="1" t="s">
        <v>14729</v>
      </c>
    </row>
    <row r="1394" spans="1:7" ht="21" x14ac:dyDescent="0.25">
      <c r="A1394" s="2" t="str">
        <f>HYPERLINK("https://rth.dk/resources/bsgatlas/details.php?id=BSGatlas-TSS-1393","BSGatlas-TSS-1393")</f>
        <v>BSGatlas-TSS-1393</v>
      </c>
      <c r="B1394" s="3">
        <v>1695239</v>
      </c>
      <c r="C1394" s="1" t="s">
        <v>13</v>
      </c>
      <c r="D1394" s="1">
        <v>22</v>
      </c>
      <c r="E1394" s="1" t="s">
        <v>14720</v>
      </c>
      <c r="F1394" s="6"/>
      <c r="G1394" s="1" t="s">
        <v>14726</v>
      </c>
    </row>
    <row r="1395" spans="1:7" ht="21" x14ac:dyDescent="0.25">
      <c r="A1395" s="2" t="str">
        <f>HYPERLINK("https://rth.dk/resources/bsgatlas/details.php?id=BSGatlas-TSS-1394","BSGatlas-TSS-1394")</f>
        <v>BSGatlas-TSS-1394</v>
      </c>
      <c r="B1395" s="3">
        <v>1710731</v>
      </c>
      <c r="C1395" s="1" t="s">
        <v>13</v>
      </c>
      <c r="D1395" s="1">
        <v>22</v>
      </c>
      <c r="E1395" s="1" t="s">
        <v>14725</v>
      </c>
      <c r="F1395" s="6"/>
      <c r="G1395" s="1" t="s">
        <v>14726</v>
      </c>
    </row>
    <row r="1396" spans="1:7" ht="21" x14ac:dyDescent="0.25">
      <c r="A1396" s="2" t="str">
        <f>HYPERLINK("https://rth.dk/resources/bsgatlas/details.php?id=BSGatlas-TSS-1395","BSGatlas-TSS-1395")</f>
        <v>BSGatlas-TSS-1395</v>
      </c>
      <c r="B1396" s="3">
        <v>1716477</v>
      </c>
      <c r="C1396" s="1" t="s">
        <v>9</v>
      </c>
      <c r="D1396" s="1">
        <v>0</v>
      </c>
      <c r="E1396" s="1" t="s">
        <v>14722</v>
      </c>
      <c r="F1396" s="6">
        <v>9335309</v>
      </c>
      <c r="G1396" s="1" t="s">
        <v>4684</v>
      </c>
    </row>
    <row r="1397" spans="1:7" ht="21" x14ac:dyDescent="0.25">
      <c r="A1397" s="2" t="str">
        <f>HYPERLINK("https://rth.dk/resources/bsgatlas/details.php?id=BSGatlas-TSS-1396","BSGatlas-TSS-1396")</f>
        <v>BSGatlas-TSS-1396</v>
      </c>
      <c r="B1397" s="3">
        <v>1717302</v>
      </c>
      <c r="C1397" s="1" t="s">
        <v>9</v>
      </c>
      <c r="D1397" s="1">
        <v>22</v>
      </c>
      <c r="E1397" s="1" t="s">
        <v>14732</v>
      </c>
      <c r="F1397" s="6"/>
      <c r="G1397" s="1" t="s">
        <v>14726</v>
      </c>
    </row>
    <row r="1398" spans="1:7" ht="21" x14ac:dyDescent="0.25">
      <c r="A1398" s="2" t="str">
        <f>HYPERLINK("https://rth.dk/resources/bsgatlas/details.php?id=BSGatlas-TSS-1397","BSGatlas-TSS-1397")</f>
        <v>BSGatlas-TSS-1397</v>
      </c>
      <c r="B1398" s="3">
        <v>1717808</v>
      </c>
      <c r="C1398" s="1" t="s">
        <v>9</v>
      </c>
      <c r="D1398" s="1">
        <v>22</v>
      </c>
      <c r="E1398" s="1" t="s">
        <v>14722</v>
      </c>
      <c r="F1398" s="6"/>
      <c r="G1398" s="1" t="s">
        <v>14733</v>
      </c>
    </row>
    <row r="1399" spans="1:7" ht="21" x14ac:dyDescent="0.25">
      <c r="A1399" s="2" t="str">
        <f>HYPERLINK("https://rth.dk/resources/bsgatlas/details.php?id=BSGatlas-TSS-1398","BSGatlas-TSS-1398")</f>
        <v>BSGatlas-TSS-1398</v>
      </c>
      <c r="B1399" s="3">
        <v>1721108</v>
      </c>
      <c r="C1399" s="1" t="s">
        <v>9</v>
      </c>
      <c r="D1399" s="1">
        <v>22</v>
      </c>
      <c r="E1399" s="1" t="s">
        <v>14722</v>
      </c>
      <c r="F1399" s="6"/>
      <c r="G1399" s="1" t="s">
        <v>14733</v>
      </c>
    </row>
    <row r="1400" spans="1:7" ht="21" x14ac:dyDescent="0.25">
      <c r="A1400" s="2" t="str">
        <f>HYPERLINK("https://rth.dk/resources/bsgatlas/details.php?id=BSGatlas-TSS-1399","BSGatlas-TSS-1399")</f>
        <v>BSGatlas-TSS-1399</v>
      </c>
      <c r="B1400" s="3">
        <v>1722813</v>
      </c>
      <c r="C1400" s="1" t="s">
        <v>9</v>
      </c>
      <c r="D1400" s="1">
        <v>22</v>
      </c>
      <c r="E1400" s="1" t="s">
        <v>14722</v>
      </c>
      <c r="F1400" s="6"/>
      <c r="G1400" s="1" t="s">
        <v>14726</v>
      </c>
    </row>
    <row r="1401" spans="1:7" ht="21" x14ac:dyDescent="0.25">
      <c r="A1401" s="2" t="str">
        <f>HYPERLINK("https://rth.dk/resources/bsgatlas/details.php?id=BSGatlas-TSS-1400","BSGatlas-TSS-1400")</f>
        <v>BSGatlas-TSS-1400</v>
      </c>
      <c r="B1401" s="3">
        <v>1731513</v>
      </c>
      <c r="C1401" s="1" t="s">
        <v>9</v>
      </c>
      <c r="D1401" s="1">
        <v>22</v>
      </c>
      <c r="E1401" s="1" t="s">
        <v>14732</v>
      </c>
      <c r="F1401" s="6"/>
      <c r="G1401" s="1" t="s">
        <v>14733</v>
      </c>
    </row>
    <row r="1402" spans="1:7" ht="21" x14ac:dyDescent="0.25">
      <c r="A1402" s="2" t="str">
        <f>HYPERLINK("https://rth.dk/resources/bsgatlas/details.php?id=BSGatlas-TSS-1401","BSGatlas-TSS-1401")</f>
        <v>BSGatlas-TSS-1401</v>
      </c>
      <c r="B1402" s="3">
        <v>1731599</v>
      </c>
      <c r="C1402" s="1" t="s">
        <v>9</v>
      </c>
      <c r="D1402" s="1">
        <v>0</v>
      </c>
      <c r="E1402" s="1" t="s">
        <v>14722</v>
      </c>
      <c r="F1402" s="6">
        <v>8491709</v>
      </c>
      <c r="G1402" s="1" t="s">
        <v>14737</v>
      </c>
    </row>
    <row r="1403" spans="1:7" ht="21" x14ac:dyDescent="0.25">
      <c r="A1403" s="2" t="str">
        <f>HYPERLINK("https://rth.dk/resources/bsgatlas/details.php?id=BSGatlas-TSS-1402","BSGatlas-TSS-1402")</f>
        <v>BSGatlas-TSS-1402</v>
      </c>
      <c r="B1403" s="3">
        <v>1732383</v>
      </c>
      <c r="C1403" s="1" t="s">
        <v>13</v>
      </c>
      <c r="D1403" s="1">
        <v>22</v>
      </c>
      <c r="E1403" s="1" t="s">
        <v>14720</v>
      </c>
      <c r="F1403" s="6"/>
      <c r="G1403" s="1" t="s">
        <v>14726</v>
      </c>
    </row>
    <row r="1404" spans="1:7" ht="21" x14ac:dyDescent="0.25">
      <c r="A1404" s="2" t="str">
        <f>HYPERLINK("https://rth.dk/resources/bsgatlas/details.php?id=BSGatlas-TSS-1403","BSGatlas-TSS-1403")</f>
        <v>BSGatlas-TSS-1403</v>
      </c>
      <c r="B1404" s="3">
        <v>1736069</v>
      </c>
      <c r="C1404" s="1" t="s">
        <v>9</v>
      </c>
      <c r="D1404" s="1">
        <v>22</v>
      </c>
      <c r="E1404" s="1" t="s">
        <v>14734</v>
      </c>
      <c r="F1404" s="6"/>
      <c r="G1404" s="1" t="s">
        <v>14726</v>
      </c>
    </row>
    <row r="1405" spans="1:7" ht="21" x14ac:dyDescent="0.25">
      <c r="A1405" s="2" t="str">
        <f>HYPERLINK("https://rth.dk/resources/bsgatlas/details.php?id=BSGatlas-TSS-1404","BSGatlas-TSS-1404")</f>
        <v>BSGatlas-TSS-1404</v>
      </c>
      <c r="B1405" s="3">
        <v>1737630</v>
      </c>
      <c r="C1405" s="1" t="s">
        <v>9</v>
      </c>
      <c r="D1405" s="1">
        <v>22</v>
      </c>
      <c r="E1405" s="1" t="s">
        <v>14722</v>
      </c>
      <c r="F1405" s="6"/>
      <c r="G1405" s="1" t="s">
        <v>14726</v>
      </c>
    </row>
    <row r="1406" spans="1:7" ht="21" x14ac:dyDescent="0.25">
      <c r="A1406" s="2" t="str">
        <f>HYPERLINK("https://rth.dk/resources/bsgatlas/details.php?id=BSGatlas-TSS-1405","BSGatlas-TSS-1405")</f>
        <v>BSGatlas-TSS-1405</v>
      </c>
      <c r="B1406" s="3">
        <v>1738824</v>
      </c>
      <c r="C1406" s="1" t="s">
        <v>9</v>
      </c>
      <c r="D1406" s="1">
        <v>22</v>
      </c>
      <c r="E1406" s="1" t="s">
        <v>14722</v>
      </c>
      <c r="F1406" s="6"/>
      <c r="G1406" s="1" t="s">
        <v>14733</v>
      </c>
    </row>
    <row r="1407" spans="1:7" ht="21" x14ac:dyDescent="0.25">
      <c r="A1407" s="2" t="str">
        <f>HYPERLINK("https://rth.dk/resources/bsgatlas/details.php?id=BSGatlas-TSS-1406","BSGatlas-TSS-1406")</f>
        <v>BSGatlas-TSS-1406</v>
      </c>
      <c r="B1407" s="3">
        <v>1739325</v>
      </c>
      <c r="C1407" s="1" t="s">
        <v>9</v>
      </c>
      <c r="D1407" s="1">
        <v>22</v>
      </c>
      <c r="E1407" s="1" t="s">
        <v>14722</v>
      </c>
      <c r="F1407" s="6"/>
      <c r="G1407" s="1" t="s">
        <v>14726</v>
      </c>
    </row>
    <row r="1408" spans="1:7" ht="21" x14ac:dyDescent="0.25">
      <c r="A1408" s="2" t="str">
        <f>HYPERLINK("https://rth.dk/resources/bsgatlas/details.php?id=BSGatlas-TSS-1407","BSGatlas-TSS-1407")</f>
        <v>BSGatlas-TSS-1407</v>
      </c>
      <c r="B1408" s="3">
        <v>1741689</v>
      </c>
      <c r="C1408" s="1" t="s">
        <v>13</v>
      </c>
      <c r="D1408" s="1">
        <v>22</v>
      </c>
      <c r="E1408" s="1" t="s">
        <v>14758</v>
      </c>
      <c r="F1408" s="6"/>
      <c r="G1408" s="1" t="s">
        <v>14726</v>
      </c>
    </row>
    <row r="1409" spans="1:7" ht="21" x14ac:dyDescent="0.25">
      <c r="A1409" s="2" t="str">
        <f>HYPERLINK("https://rth.dk/resources/bsgatlas/details.php?id=BSGatlas-TSS-1408","BSGatlas-TSS-1408")</f>
        <v>BSGatlas-TSS-1408</v>
      </c>
      <c r="B1409" s="3">
        <v>1742207</v>
      </c>
      <c r="C1409" s="1" t="s">
        <v>9</v>
      </c>
      <c r="D1409" s="1">
        <v>22</v>
      </c>
      <c r="E1409" s="1" t="s">
        <v>14727</v>
      </c>
      <c r="F1409" s="6"/>
      <c r="G1409" s="1" t="s">
        <v>14726</v>
      </c>
    </row>
    <row r="1410" spans="1:7" ht="21" x14ac:dyDescent="0.25">
      <c r="A1410" s="2" t="str">
        <f>HYPERLINK("https://rth.dk/resources/bsgatlas/details.php?id=BSGatlas-TSS-1409","BSGatlas-TSS-1409")</f>
        <v>BSGatlas-TSS-1409</v>
      </c>
      <c r="B1410" s="3">
        <v>1743890</v>
      </c>
      <c r="C1410" s="1" t="s">
        <v>9</v>
      </c>
      <c r="D1410" s="1">
        <v>22</v>
      </c>
      <c r="E1410" s="1" t="s">
        <v>14727</v>
      </c>
      <c r="F1410" s="6"/>
      <c r="G1410" s="1" t="s">
        <v>14726</v>
      </c>
    </row>
    <row r="1411" spans="1:7" ht="21" x14ac:dyDescent="0.25">
      <c r="A1411" s="2" t="str">
        <f>HYPERLINK("https://rth.dk/resources/bsgatlas/details.php?id=BSGatlas-TSS-1410","BSGatlas-TSS-1410")</f>
        <v>BSGatlas-TSS-1410</v>
      </c>
      <c r="B1411" s="3">
        <v>1744314</v>
      </c>
      <c r="C1411" s="1" t="s">
        <v>9</v>
      </c>
      <c r="D1411" s="1">
        <v>0</v>
      </c>
      <c r="E1411" s="1" t="s">
        <v>14725</v>
      </c>
      <c r="F1411" s="6" t="s">
        <v>14929</v>
      </c>
      <c r="G1411" s="1" t="s">
        <v>14724</v>
      </c>
    </row>
    <row r="1412" spans="1:7" ht="21" x14ac:dyDescent="0.25">
      <c r="A1412" s="2" t="str">
        <f>HYPERLINK("https://rth.dk/resources/bsgatlas/details.php?id=BSGatlas-TSS-1411","BSGatlas-TSS-1411")</f>
        <v>BSGatlas-TSS-1411</v>
      </c>
      <c r="B1412" s="3">
        <v>1745936</v>
      </c>
      <c r="C1412" s="1" t="s">
        <v>9</v>
      </c>
      <c r="D1412" s="1">
        <v>0</v>
      </c>
      <c r="E1412" s="1" t="s">
        <v>14722</v>
      </c>
      <c r="F1412" s="6">
        <v>8098035</v>
      </c>
      <c r="G1412" s="1" t="s">
        <v>14737</v>
      </c>
    </row>
    <row r="1413" spans="1:7" ht="21" x14ac:dyDescent="0.25">
      <c r="A1413" s="2" t="str">
        <f>HYPERLINK("https://rth.dk/resources/bsgatlas/details.php?id=BSGatlas-TSS-1412","BSGatlas-TSS-1412")</f>
        <v>BSGatlas-TSS-1412</v>
      </c>
      <c r="B1413" s="3">
        <v>1745970</v>
      </c>
      <c r="C1413" s="1" t="s">
        <v>9</v>
      </c>
      <c r="D1413" s="1">
        <v>0</v>
      </c>
      <c r="E1413" s="1" t="s">
        <v>14720</v>
      </c>
      <c r="F1413" s="6">
        <v>8098035</v>
      </c>
      <c r="G1413" s="1" t="s">
        <v>4684</v>
      </c>
    </row>
    <row r="1414" spans="1:7" ht="21" x14ac:dyDescent="0.25">
      <c r="A1414" s="2" t="str">
        <f>HYPERLINK("https://rth.dk/resources/bsgatlas/details.php?id=BSGatlas-TSS-1413","BSGatlas-TSS-1413")</f>
        <v>BSGatlas-TSS-1413</v>
      </c>
      <c r="B1414" s="3">
        <v>1749377</v>
      </c>
      <c r="C1414" s="1" t="s">
        <v>9</v>
      </c>
      <c r="D1414" s="1">
        <v>0</v>
      </c>
      <c r="E1414" s="1" t="s">
        <v>14722</v>
      </c>
      <c r="F1414" s="6">
        <v>24187087</v>
      </c>
      <c r="G1414" s="1" t="s">
        <v>14747</v>
      </c>
    </row>
    <row r="1415" spans="1:7" ht="21" x14ac:dyDescent="0.25">
      <c r="A1415" s="2" t="str">
        <f>HYPERLINK("https://rth.dk/resources/bsgatlas/details.php?id=BSGatlas-TSS-1414","BSGatlas-TSS-1414")</f>
        <v>BSGatlas-TSS-1414</v>
      </c>
      <c r="B1415" s="3">
        <v>1749899</v>
      </c>
      <c r="C1415" s="1" t="s">
        <v>13</v>
      </c>
      <c r="D1415" s="1">
        <v>22</v>
      </c>
      <c r="E1415" s="1" t="s">
        <v>14727</v>
      </c>
      <c r="F1415" s="6"/>
      <c r="G1415" s="1" t="s">
        <v>14726</v>
      </c>
    </row>
    <row r="1416" spans="1:7" ht="21" x14ac:dyDescent="0.25">
      <c r="A1416" s="2" t="str">
        <f>HYPERLINK("https://rth.dk/resources/bsgatlas/details.php?id=BSGatlas-TSS-1415","BSGatlas-TSS-1415")</f>
        <v>BSGatlas-TSS-1415</v>
      </c>
      <c r="B1416" s="3">
        <v>1751161</v>
      </c>
      <c r="C1416" s="1" t="s">
        <v>9</v>
      </c>
      <c r="D1416" s="1">
        <v>22</v>
      </c>
      <c r="E1416" s="1" t="s">
        <v>14732</v>
      </c>
      <c r="F1416" s="6"/>
      <c r="G1416" s="1" t="s">
        <v>14726</v>
      </c>
    </row>
    <row r="1417" spans="1:7" ht="21" x14ac:dyDescent="0.25">
      <c r="A1417" s="2" t="str">
        <f>HYPERLINK("https://rth.dk/resources/bsgatlas/details.php?id=BSGatlas-TSS-1416","BSGatlas-TSS-1416")</f>
        <v>BSGatlas-TSS-1416</v>
      </c>
      <c r="B1417" s="3">
        <v>1752193</v>
      </c>
      <c r="C1417" s="1" t="s">
        <v>9</v>
      </c>
      <c r="D1417" s="1">
        <v>0</v>
      </c>
      <c r="E1417" s="1" t="s">
        <v>14722</v>
      </c>
      <c r="F1417" s="6" t="s">
        <v>14930</v>
      </c>
      <c r="G1417" s="1" t="s">
        <v>14729</v>
      </c>
    </row>
    <row r="1418" spans="1:7" ht="21" x14ac:dyDescent="0.25">
      <c r="A1418" s="2" t="str">
        <f>HYPERLINK("https://rth.dk/resources/bsgatlas/details.php?id=BSGatlas-TSS-1417","BSGatlas-TSS-1417")</f>
        <v>BSGatlas-TSS-1417</v>
      </c>
      <c r="B1418" s="3">
        <v>1754743</v>
      </c>
      <c r="C1418" s="1" t="s">
        <v>9</v>
      </c>
      <c r="D1418" s="1">
        <v>22</v>
      </c>
      <c r="E1418" s="1" t="s">
        <v>14722</v>
      </c>
      <c r="F1418" s="6"/>
      <c r="G1418" s="1" t="s">
        <v>14726</v>
      </c>
    </row>
    <row r="1419" spans="1:7" ht="21" x14ac:dyDescent="0.25">
      <c r="A1419" s="2" t="str">
        <f>HYPERLINK("https://rth.dk/resources/bsgatlas/details.php?id=BSGatlas-TSS-1418","BSGatlas-TSS-1418")</f>
        <v>BSGatlas-TSS-1418</v>
      </c>
      <c r="B1419" s="3">
        <v>1755585</v>
      </c>
      <c r="C1419" s="1" t="s">
        <v>9</v>
      </c>
      <c r="D1419" s="1">
        <v>22</v>
      </c>
      <c r="E1419" s="1" t="s">
        <v>14732</v>
      </c>
      <c r="F1419" s="6"/>
      <c r="G1419" s="1" t="s">
        <v>14726</v>
      </c>
    </row>
    <row r="1420" spans="1:7" ht="21" x14ac:dyDescent="0.25">
      <c r="A1420" s="2" t="str">
        <f>HYPERLINK("https://rth.dk/resources/bsgatlas/details.php?id=BSGatlas-TSS-1419","BSGatlas-TSS-1419")</f>
        <v>BSGatlas-TSS-1419</v>
      </c>
      <c r="B1420" s="3">
        <v>1756968</v>
      </c>
      <c r="C1420" s="1" t="s">
        <v>9</v>
      </c>
      <c r="D1420" s="1">
        <v>22</v>
      </c>
      <c r="E1420" s="1" t="s">
        <v>14722</v>
      </c>
      <c r="F1420" s="6"/>
      <c r="G1420" s="1" t="s">
        <v>14726</v>
      </c>
    </row>
    <row r="1421" spans="1:7" ht="21" x14ac:dyDescent="0.25">
      <c r="A1421" s="2" t="str">
        <f>HYPERLINK("https://rth.dk/resources/bsgatlas/details.php?id=BSGatlas-TSS-1420","BSGatlas-TSS-1420")</f>
        <v>BSGatlas-TSS-1420</v>
      </c>
      <c r="B1421" s="3">
        <v>1757013</v>
      </c>
      <c r="C1421" s="1" t="s">
        <v>9</v>
      </c>
      <c r="D1421" s="1">
        <v>22</v>
      </c>
      <c r="E1421" s="1" t="s">
        <v>14720</v>
      </c>
      <c r="F1421" s="6"/>
      <c r="G1421" s="1" t="s">
        <v>14726</v>
      </c>
    </row>
    <row r="1422" spans="1:7" ht="21" x14ac:dyDescent="0.25">
      <c r="A1422" s="2" t="str">
        <f>HYPERLINK("https://rth.dk/resources/bsgatlas/details.php?id=BSGatlas-TSS-1421","BSGatlas-TSS-1421")</f>
        <v>BSGatlas-TSS-1421</v>
      </c>
      <c r="B1422" s="3">
        <v>1760417</v>
      </c>
      <c r="C1422" s="1" t="s">
        <v>9</v>
      </c>
      <c r="D1422" s="1">
        <v>22</v>
      </c>
      <c r="E1422" s="1" t="s">
        <v>14732</v>
      </c>
      <c r="F1422" s="6"/>
      <c r="G1422" s="1" t="s">
        <v>14726</v>
      </c>
    </row>
    <row r="1423" spans="1:7" ht="21" x14ac:dyDescent="0.25">
      <c r="A1423" s="2" t="str">
        <f>HYPERLINK("https://rth.dk/resources/bsgatlas/details.php?id=BSGatlas-TSS-1422","BSGatlas-TSS-1422")</f>
        <v>BSGatlas-TSS-1422</v>
      </c>
      <c r="B1423" s="3">
        <v>1760430</v>
      </c>
      <c r="C1423" s="1" t="s">
        <v>13</v>
      </c>
      <c r="D1423" s="1">
        <v>22</v>
      </c>
      <c r="E1423" s="1" t="s">
        <v>14720</v>
      </c>
      <c r="F1423" s="6"/>
      <c r="G1423" s="1" t="s">
        <v>14726</v>
      </c>
    </row>
    <row r="1424" spans="1:7" ht="21" x14ac:dyDescent="0.25">
      <c r="A1424" s="2" t="str">
        <f>HYPERLINK("https://rth.dk/resources/bsgatlas/details.php?id=BSGatlas-TSS-1423","BSGatlas-TSS-1423")</f>
        <v>BSGatlas-TSS-1423</v>
      </c>
      <c r="B1424" s="3">
        <v>1760797</v>
      </c>
      <c r="C1424" s="1" t="s">
        <v>9</v>
      </c>
      <c r="D1424" s="1">
        <v>22</v>
      </c>
      <c r="E1424" s="1" t="s">
        <v>14722</v>
      </c>
      <c r="F1424" s="6"/>
      <c r="G1424" s="1" t="s">
        <v>14726</v>
      </c>
    </row>
    <row r="1425" spans="1:7" ht="21" x14ac:dyDescent="0.25">
      <c r="A1425" s="2" t="str">
        <f>HYPERLINK("https://rth.dk/resources/bsgatlas/details.php?id=BSGatlas-TSS-1424","BSGatlas-TSS-1424")</f>
        <v>BSGatlas-TSS-1424</v>
      </c>
      <c r="B1425" s="3">
        <v>1761830</v>
      </c>
      <c r="C1425" s="1" t="s">
        <v>9</v>
      </c>
      <c r="D1425" s="1">
        <v>22</v>
      </c>
      <c r="E1425" s="1" t="s">
        <v>14720</v>
      </c>
      <c r="F1425" s="6"/>
      <c r="G1425" s="1" t="s">
        <v>14726</v>
      </c>
    </row>
    <row r="1426" spans="1:7" ht="21" x14ac:dyDescent="0.25">
      <c r="A1426" s="2" t="str">
        <f>HYPERLINK("https://rth.dk/resources/bsgatlas/details.php?id=BSGatlas-TSS-1425","BSGatlas-TSS-1425")</f>
        <v>BSGatlas-TSS-1425</v>
      </c>
      <c r="B1426" s="3">
        <v>1764614</v>
      </c>
      <c r="C1426" s="1" t="s">
        <v>9</v>
      </c>
      <c r="D1426" s="1">
        <v>0</v>
      </c>
      <c r="E1426" s="1" t="s">
        <v>14722</v>
      </c>
      <c r="F1426" s="6" t="s">
        <v>14931</v>
      </c>
      <c r="G1426" s="1" t="s">
        <v>14729</v>
      </c>
    </row>
    <row r="1427" spans="1:7" ht="21" x14ac:dyDescent="0.25">
      <c r="A1427" s="2" t="str">
        <f>HYPERLINK("https://rth.dk/resources/bsgatlas/details.php?id=BSGatlas-TSS-1426","BSGatlas-TSS-1426")</f>
        <v>BSGatlas-TSS-1426</v>
      </c>
      <c r="B1427" s="3">
        <v>1765815</v>
      </c>
      <c r="C1427" s="1" t="s">
        <v>9</v>
      </c>
      <c r="D1427" s="1">
        <v>22</v>
      </c>
      <c r="E1427" s="1" t="s">
        <v>14739</v>
      </c>
      <c r="F1427" s="6"/>
      <c r="G1427" s="1" t="s">
        <v>14726</v>
      </c>
    </row>
    <row r="1428" spans="1:7" ht="21" x14ac:dyDescent="0.25">
      <c r="A1428" s="2" t="str">
        <f>HYPERLINK("https://rth.dk/resources/bsgatlas/details.php?id=BSGatlas-TSS-1427","BSGatlas-TSS-1427")</f>
        <v>BSGatlas-TSS-1427</v>
      </c>
      <c r="B1428" s="3">
        <v>1767136</v>
      </c>
      <c r="C1428" s="1" t="s">
        <v>9</v>
      </c>
      <c r="D1428" s="1">
        <v>22</v>
      </c>
      <c r="E1428" s="1" t="s">
        <v>14722</v>
      </c>
      <c r="F1428" s="6"/>
      <c r="G1428" s="1" t="s">
        <v>14733</v>
      </c>
    </row>
    <row r="1429" spans="1:7" ht="21" x14ac:dyDescent="0.25">
      <c r="A1429" s="2" t="str">
        <f>HYPERLINK("https://rth.dk/resources/bsgatlas/details.php?id=BSGatlas-TSS-1428","BSGatlas-TSS-1428")</f>
        <v>BSGatlas-TSS-1428</v>
      </c>
      <c r="B1429" s="3">
        <v>1769531</v>
      </c>
      <c r="C1429" s="1" t="s">
        <v>9</v>
      </c>
      <c r="D1429" s="1">
        <v>22</v>
      </c>
      <c r="E1429" s="1" t="s">
        <v>14727</v>
      </c>
      <c r="F1429" s="6"/>
      <c r="G1429" s="1" t="s">
        <v>14726</v>
      </c>
    </row>
    <row r="1430" spans="1:7" ht="21" x14ac:dyDescent="0.25">
      <c r="A1430" s="2" t="str">
        <f>HYPERLINK("https://rth.dk/resources/bsgatlas/details.php?id=BSGatlas-TSS-1429","BSGatlas-TSS-1429")</f>
        <v>BSGatlas-TSS-1429</v>
      </c>
      <c r="B1430" s="3">
        <v>1769795</v>
      </c>
      <c r="C1430" s="1" t="s">
        <v>9</v>
      </c>
      <c r="D1430" s="1">
        <v>22</v>
      </c>
      <c r="E1430" s="1" t="s">
        <v>14727</v>
      </c>
      <c r="F1430" s="6"/>
      <c r="G1430" s="1" t="s">
        <v>14733</v>
      </c>
    </row>
    <row r="1431" spans="1:7" ht="21" x14ac:dyDescent="0.25">
      <c r="A1431" s="2" t="str">
        <f>HYPERLINK("https://rth.dk/resources/bsgatlas/details.php?id=BSGatlas-TSS-1430","BSGatlas-TSS-1430")</f>
        <v>BSGatlas-TSS-1430</v>
      </c>
      <c r="B1431" s="3">
        <v>1769827</v>
      </c>
      <c r="C1431" s="1" t="s">
        <v>13</v>
      </c>
      <c r="D1431" s="1">
        <v>22</v>
      </c>
      <c r="E1431" s="1" t="s">
        <v>14720</v>
      </c>
      <c r="F1431" s="6"/>
      <c r="G1431" s="1" t="s">
        <v>14726</v>
      </c>
    </row>
    <row r="1432" spans="1:7" ht="21" x14ac:dyDescent="0.25">
      <c r="A1432" s="2" t="str">
        <f>HYPERLINK("https://rth.dk/resources/bsgatlas/details.php?id=BSGatlas-TSS-1431","BSGatlas-TSS-1431")</f>
        <v>BSGatlas-TSS-1431</v>
      </c>
      <c r="B1432" s="3">
        <v>1770412</v>
      </c>
      <c r="C1432" s="1" t="s">
        <v>9</v>
      </c>
      <c r="D1432" s="1">
        <v>22</v>
      </c>
      <c r="E1432" s="1" t="s">
        <v>14722</v>
      </c>
      <c r="F1432" s="6"/>
      <c r="G1432" s="1" t="s">
        <v>14726</v>
      </c>
    </row>
    <row r="1433" spans="1:7" ht="21" x14ac:dyDescent="0.25">
      <c r="A1433" s="2" t="str">
        <f>HYPERLINK("https://rth.dk/resources/bsgatlas/details.php?id=BSGatlas-TSS-1432","BSGatlas-TSS-1432")</f>
        <v>BSGatlas-TSS-1432</v>
      </c>
      <c r="B1433" s="3">
        <v>1772787</v>
      </c>
      <c r="C1433" s="1" t="s">
        <v>9</v>
      </c>
      <c r="D1433" s="1">
        <v>22</v>
      </c>
      <c r="E1433" s="1" t="s">
        <v>14722</v>
      </c>
      <c r="F1433" s="6"/>
      <c r="G1433" s="1" t="s">
        <v>14726</v>
      </c>
    </row>
    <row r="1434" spans="1:7" ht="21" x14ac:dyDescent="0.25">
      <c r="A1434" s="2" t="str">
        <f>HYPERLINK("https://rth.dk/resources/bsgatlas/details.php?id=BSGatlas-TSS-1433","BSGatlas-TSS-1433")</f>
        <v>BSGatlas-TSS-1433</v>
      </c>
      <c r="B1434" s="3">
        <v>1774973</v>
      </c>
      <c r="C1434" s="1" t="s">
        <v>9</v>
      </c>
      <c r="D1434" s="1">
        <v>0</v>
      </c>
      <c r="E1434" s="1" t="s">
        <v>14735</v>
      </c>
      <c r="F1434" s="6" t="s">
        <v>14932</v>
      </c>
      <c r="G1434" s="1" t="s">
        <v>14724</v>
      </c>
    </row>
    <row r="1435" spans="1:7" ht="21" x14ac:dyDescent="0.25">
      <c r="A1435" s="2" t="str">
        <f>HYPERLINK("https://rth.dk/resources/bsgatlas/details.php?id=BSGatlas-TSS-1434","BSGatlas-TSS-1434")</f>
        <v>BSGatlas-TSS-1434</v>
      </c>
      <c r="B1435" s="3">
        <v>1775042</v>
      </c>
      <c r="C1435" s="1" t="s">
        <v>9</v>
      </c>
      <c r="D1435" s="1">
        <v>0</v>
      </c>
      <c r="E1435" s="1" t="s">
        <v>14725</v>
      </c>
      <c r="F1435" s="6" t="s">
        <v>14933</v>
      </c>
      <c r="G1435" s="1" t="s">
        <v>4382</v>
      </c>
    </row>
    <row r="1436" spans="1:7" ht="21" x14ac:dyDescent="0.25">
      <c r="A1436" s="2" t="str">
        <f>HYPERLINK("https://rth.dk/resources/bsgatlas/details.php?id=BSGatlas-TSS-1435","BSGatlas-TSS-1435")</f>
        <v>BSGatlas-TSS-1435</v>
      </c>
      <c r="B1436" s="3">
        <v>1775692</v>
      </c>
      <c r="C1436" s="1" t="s">
        <v>9</v>
      </c>
      <c r="D1436" s="1">
        <v>22</v>
      </c>
      <c r="E1436" s="1" t="s">
        <v>14722</v>
      </c>
      <c r="F1436" s="6"/>
      <c r="G1436" s="1" t="s">
        <v>14726</v>
      </c>
    </row>
    <row r="1437" spans="1:7" ht="21" x14ac:dyDescent="0.25">
      <c r="A1437" s="2" t="str">
        <f>HYPERLINK("https://rth.dk/resources/bsgatlas/details.php?id=BSGatlas-TSS-1436","BSGatlas-TSS-1436")</f>
        <v>BSGatlas-TSS-1436</v>
      </c>
      <c r="B1437" s="3">
        <v>1780399</v>
      </c>
      <c r="C1437" s="1" t="s">
        <v>9</v>
      </c>
      <c r="D1437" s="1">
        <v>22</v>
      </c>
      <c r="E1437" s="1" t="s">
        <v>14722</v>
      </c>
      <c r="F1437" s="6"/>
      <c r="G1437" s="1" t="s">
        <v>14726</v>
      </c>
    </row>
    <row r="1438" spans="1:7" ht="21" x14ac:dyDescent="0.25">
      <c r="A1438" s="2" t="str">
        <f>HYPERLINK("https://rth.dk/resources/bsgatlas/details.php?id=BSGatlas-TSS-1437","BSGatlas-TSS-1437")</f>
        <v>BSGatlas-TSS-1437</v>
      </c>
      <c r="B1438" s="3">
        <v>1781165</v>
      </c>
      <c r="C1438" s="1" t="s">
        <v>13</v>
      </c>
      <c r="D1438" s="1">
        <v>22</v>
      </c>
      <c r="E1438" s="1" t="s">
        <v>14722</v>
      </c>
      <c r="F1438" s="6"/>
      <c r="G1438" s="1" t="s">
        <v>14733</v>
      </c>
    </row>
    <row r="1439" spans="1:7" ht="21" x14ac:dyDescent="0.25">
      <c r="A1439" s="2" t="str">
        <f>HYPERLINK("https://rth.dk/resources/bsgatlas/details.php?id=BSGatlas-TSS-1438","BSGatlas-TSS-1438")</f>
        <v>BSGatlas-TSS-1438</v>
      </c>
      <c r="B1439" s="3">
        <v>1781894</v>
      </c>
      <c r="C1439" s="1" t="s">
        <v>9</v>
      </c>
      <c r="D1439" s="1">
        <v>22</v>
      </c>
      <c r="E1439" s="1" t="s">
        <v>14722</v>
      </c>
      <c r="F1439" s="6"/>
      <c r="G1439" s="1" t="s">
        <v>14726</v>
      </c>
    </row>
    <row r="1440" spans="1:7" ht="21" x14ac:dyDescent="0.25">
      <c r="A1440" s="2" t="str">
        <f>HYPERLINK("https://rth.dk/resources/bsgatlas/details.php?id=BSGatlas-TSS-1439","BSGatlas-TSS-1439")</f>
        <v>BSGatlas-TSS-1439</v>
      </c>
      <c r="B1440" s="3">
        <v>1781905</v>
      </c>
      <c r="C1440" s="1" t="s">
        <v>13</v>
      </c>
      <c r="D1440" s="1">
        <v>22</v>
      </c>
      <c r="E1440" s="1" t="s">
        <v>14727</v>
      </c>
      <c r="F1440" s="6"/>
      <c r="G1440" s="1" t="s">
        <v>14726</v>
      </c>
    </row>
    <row r="1441" spans="1:7" ht="21" x14ac:dyDescent="0.25">
      <c r="A1441" s="2" t="str">
        <f>HYPERLINK("https://rth.dk/resources/bsgatlas/details.php?id=BSGatlas-TSS-1440","BSGatlas-TSS-1440")</f>
        <v>BSGatlas-TSS-1440</v>
      </c>
      <c r="B1441" s="3">
        <v>1782643</v>
      </c>
      <c r="C1441" s="1" t="s">
        <v>9</v>
      </c>
      <c r="D1441" s="1">
        <v>22</v>
      </c>
      <c r="E1441" s="1" t="s">
        <v>14722</v>
      </c>
      <c r="F1441" s="6"/>
      <c r="G1441" s="1" t="s">
        <v>14733</v>
      </c>
    </row>
    <row r="1442" spans="1:7" ht="21" x14ac:dyDescent="0.25">
      <c r="A1442" s="2" t="str">
        <f>HYPERLINK("https://rth.dk/resources/bsgatlas/details.php?id=BSGatlas-TSS-1441","BSGatlas-TSS-1441")</f>
        <v>BSGatlas-TSS-1441</v>
      </c>
      <c r="B1442" s="3">
        <v>1783660</v>
      </c>
      <c r="C1442" s="1" t="s">
        <v>9</v>
      </c>
      <c r="D1442" s="1">
        <v>22</v>
      </c>
      <c r="E1442" s="1" t="s">
        <v>14722</v>
      </c>
      <c r="F1442" s="6"/>
      <c r="G1442" s="1" t="s">
        <v>14733</v>
      </c>
    </row>
    <row r="1443" spans="1:7" ht="21" x14ac:dyDescent="0.25">
      <c r="A1443" s="2" t="str">
        <f>HYPERLINK("https://rth.dk/resources/bsgatlas/details.php?id=BSGatlas-TSS-1442","BSGatlas-TSS-1442")</f>
        <v>BSGatlas-TSS-1442</v>
      </c>
      <c r="B1443" s="3">
        <v>1797667</v>
      </c>
      <c r="C1443" s="1" t="s">
        <v>13</v>
      </c>
      <c r="D1443" s="1">
        <v>22</v>
      </c>
      <c r="E1443" s="1" t="s">
        <v>14725</v>
      </c>
      <c r="F1443" s="6"/>
      <c r="G1443" s="1" t="s">
        <v>14726</v>
      </c>
    </row>
    <row r="1444" spans="1:7" ht="21" x14ac:dyDescent="0.25">
      <c r="A1444" s="2" t="str">
        <f>HYPERLINK("https://rth.dk/resources/bsgatlas/details.php?id=BSGatlas-TSS-1443","BSGatlas-TSS-1443")</f>
        <v>BSGatlas-TSS-1443</v>
      </c>
      <c r="B1444" s="3">
        <v>1859838</v>
      </c>
      <c r="C1444" s="1" t="s">
        <v>13</v>
      </c>
      <c r="D1444" s="1">
        <v>22</v>
      </c>
      <c r="E1444" s="1" t="s">
        <v>14720</v>
      </c>
      <c r="F1444" s="6"/>
      <c r="G1444" s="1" t="s">
        <v>14726</v>
      </c>
    </row>
    <row r="1445" spans="1:7" ht="21" x14ac:dyDescent="0.25">
      <c r="A1445" s="2" t="str">
        <f>HYPERLINK("https://rth.dk/resources/bsgatlas/details.php?id=BSGatlas-TSS-1444","BSGatlas-TSS-1444")</f>
        <v>BSGatlas-TSS-1444</v>
      </c>
      <c r="B1445" s="3">
        <v>1859882</v>
      </c>
      <c r="C1445" s="1" t="s">
        <v>13</v>
      </c>
      <c r="D1445" s="1">
        <v>22</v>
      </c>
      <c r="E1445" s="1" t="s">
        <v>14722</v>
      </c>
      <c r="F1445" s="6"/>
      <c r="G1445" s="1" t="s">
        <v>14726</v>
      </c>
    </row>
    <row r="1446" spans="1:7" ht="21" x14ac:dyDescent="0.25">
      <c r="A1446" s="2" t="str">
        <f>HYPERLINK("https://rth.dk/resources/bsgatlas/details.php?id=BSGatlas-TSS-1445","BSGatlas-TSS-1445")</f>
        <v>BSGatlas-TSS-1445</v>
      </c>
      <c r="B1446" s="3">
        <v>1860435</v>
      </c>
      <c r="C1446" s="1" t="s">
        <v>13</v>
      </c>
      <c r="D1446" s="1">
        <v>22</v>
      </c>
      <c r="E1446" s="1" t="s">
        <v>14720</v>
      </c>
      <c r="F1446" s="6"/>
      <c r="G1446" s="1" t="s">
        <v>14726</v>
      </c>
    </row>
    <row r="1447" spans="1:7" ht="21" x14ac:dyDescent="0.25">
      <c r="A1447" s="2" t="str">
        <f>HYPERLINK("https://rth.dk/resources/bsgatlas/details.php?id=BSGatlas-TSS-1446","BSGatlas-TSS-1446")</f>
        <v>BSGatlas-TSS-1446</v>
      </c>
      <c r="B1447" s="3">
        <v>1861311</v>
      </c>
      <c r="C1447" s="1" t="s">
        <v>13</v>
      </c>
      <c r="D1447" s="1">
        <v>22</v>
      </c>
      <c r="E1447" s="1" t="s">
        <v>14722</v>
      </c>
      <c r="F1447" s="6"/>
      <c r="G1447" s="1" t="s">
        <v>14726</v>
      </c>
    </row>
    <row r="1448" spans="1:7" ht="21" x14ac:dyDescent="0.25">
      <c r="A1448" s="2" t="str">
        <f>HYPERLINK("https://rth.dk/resources/bsgatlas/details.php?id=BSGatlas-TSS-1447","BSGatlas-TSS-1447")</f>
        <v>BSGatlas-TSS-1447</v>
      </c>
      <c r="B1448" s="3">
        <v>1862738</v>
      </c>
      <c r="C1448" s="1" t="s">
        <v>13</v>
      </c>
      <c r="D1448" s="1">
        <v>0</v>
      </c>
      <c r="E1448" s="1" t="s">
        <v>14722</v>
      </c>
      <c r="F1448" s="6" t="s">
        <v>14934</v>
      </c>
      <c r="G1448" s="1" t="s">
        <v>14729</v>
      </c>
    </row>
    <row r="1449" spans="1:7" ht="21" x14ac:dyDescent="0.25">
      <c r="A1449" s="2" t="str">
        <f>HYPERLINK("https://rth.dk/resources/bsgatlas/details.php?id=BSGatlas-TSS-1448","BSGatlas-TSS-1448")</f>
        <v>BSGatlas-TSS-1448</v>
      </c>
      <c r="B1449" s="3">
        <v>1862895</v>
      </c>
      <c r="C1449" s="1" t="s">
        <v>13</v>
      </c>
      <c r="D1449" s="1">
        <v>22</v>
      </c>
      <c r="E1449" s="1" t="s">
        <v>14722</v>
      </c>
      <c r="F1449" s="6"/>
      <c r="G1449" s="1" t="s">
        <v>14726</v>
      </c>
    </row>
    <row r="1450" spans="1:7" ht="21" x14ac:dyDescent="0.25">
      <c r="A1450" s="2" t="str">
        <f>HYPERLINK("https://rth.dk/resources/bsgatlas/details.php?id=BSGatlas-TSS-1449","BSGatlas-TSS-1449")</f>
        <v>BSGatlas-TSS-1449</v>
      </c>
      <c r="B1450" s="3">
        <v>1862898</v>
      </c>
      <c r="C1450" s="1" t="s">
        <v>9</v>
      </c>
      <c r="D1450" s="1">
        <v>22</v>
      </c>
      <c r="E1450" s="1" t="s">
        <v>14722</v>
      </c>
      <c r="F1450" s="6"/>
      <c r="G1450" s="1" t="s">
        <v>14726</v>
      </c>
    </row>
    <row r="1451" spans="1:7" ht="21" x14ac:dyDescent="0.25">
      <c r="A1451" s="2" t="str">
        <f>HYPERLINK("https://rth.dk/resources/bsgatlas/details.php?id=BSGatlas-TSS-1450","BSGatlas-TSS-1450")</f>
        <v>BSGatlas-TSS-1450</v>
      </c>
      <c r="B1451" s="3">
        <v>1863384</v>
      </c>
      <c r="C1451" s="1" t="s">
        <v>9</v>
      </c>
      <c r="D1451" s="1">
        <v>22</v>
      </c>
      <c r="E1451" s="1" t="s">
        <v>14722</v>
      </c>
      <c r="F1451" s="6"/>
      <c r="G1451" s="1" t="s">
        <v>14726</v>
      </c>
    </row>
    <row r="1452" spans="1:7" ht="21" x14ac:dyDescent="0.25">
      <c r="A1452" s="2" t="str">
        <f>HYPERLINK("https://rth.dk/resources/bsgatlas/details.php?id=BSGatlas-TSS-1451","BSGatlas-TSS-1451")</f>
        <v>BSGatlas-TSS-1451</v>
      </c>
      <c r="B1452" s="3">
        <v>1864190</v>
      </c>
      <c r="C1452" s="1" t="s">
        <v>9</v>
      </c>
      <c r="D1452" s="1">
        <v>22</v>
      </c>
      <c r="E1452" s="1" t="s">
        <v>14722</v>
      </c>
      <c r="F1452" s="6"/>
      <c r="G1452" s="1" t="s">
        <v>14726</v>
      </c>
    </row>
    <row r="1453" spans="1:7" ht="21" x14ac:dyDescent="0.25">
      <c r="A1453" s="2" t="str">
        <f>HYPERLINK("https://rth.dk/resources/bsgatlas/details.php?id=BSGatlas-TSS-1452","BSGatlas-TSS-1452")</f>
        <v>BSGatlas-TSS-1452</v>
      </c>
      <c r="B1453" s="3">
        <v>1865427</v>
      </c>
      <c r="C1453" s="1" t="s">
        <v>13</v>
      </c>
      <c r="D1453" s="1">
        <v>22</v>
      </c>
      <c r="E1453" s="1" t="s">
        <v>14722</v>
      </c>
      <c r="F1453" s="6"/>
      <c r="G1453" s="1" t="s">
        <v>14726</v>
      </c>
    </row>
    <row r="1454" spans="1:7" ht="21" x14ac:dyDescent="0.25">
      <c r="A1454" s="2" t="str">
        <f>HYPERLINK("https://rth.dk/resources/bsgatlas/details.php?id=BSGatlas-TSS-1453","BSGatlas-TSS-1453")</f>
        <v>BSGatlas-TSS-1453</v>
      </c>
      <c r="B1454" s="3">
        <v>1865824</v>
      </c>
      <c r="C1454" s="1" t="s">
        <v>9</v>
      </c>
      <c r="D1454" s="1">
        <v>22</v>
      </c>
      <c r="E1454" s="1" t="s">
        <v>14727</v>
      </c>
      <c r="F1454" s="6"/>
      <c r="G1454" s="1" t="s">
        <v>14726</v>
      </c>
    </row>
    <row r="1455" spans="1:7" ht="21" x14ac:dyDescent="0.25">
      <c r="A1455" s="2" t="str">
        <f>HYPERLINK("https://rth.dk/resources/bsgatlas/details.php?id=BSGatlas-TSS-1454","BSGatlas-TSS-1454")</f>
        <v>BSGatlas-TSS-1454</v>
      </c>
      <c r="B1455" s="3">
        <v>1865827</v>
      </c>
      <c r="C1455" s="1" t="s">
        <v>13</v>
      </c>
      <c r="D1455" s="1">
        <v>22</v>
      </c>
      <c r="E1455" s="1" t="s">
        <v>14725</v>
      </c>
      <c r="F1455" s="6"/>
      <c r="G1455" s="1" t="s">
        <v>14726</v>
      </c>
    </row>
    <row r="1456" spans="1:7" ht="21" x14ac:dyDescent="0.25">
      <c r="A1456" s="2" t="str">
        <f>HYPERLINK("https://rth.dk/resources/bsgatlas/details.php?id=BSGatlas-TSS-1455","BSGatlas-TSS-1455")</f>
        <v>BSGatlas-TSS-1455</v>
      </c>
      <c r="B1456" s="3">
        <v>1866340</v>
      </c>
      <c r="C1456" s="1" t="s">
        <v>9</v>
      </c>
      <c r="D1456" s="1">
        <v>22</v>
      </c>
      <c r="E1456" s="1" t="s">
        <v>14722</v>
      </c>
      <c r="F1456" s="6"/>
      <c r="G1456" s="1" t="s">
        <v>14726</v>
      </c>
    </row>
    <row r="1457" spans="1:7" ht="21" x14ac:dyDescent="0.25">
      <c r="A1457" s="2" t="str">
        <f>HYPERLINK("https://rth.dk/resources/bsgatlas/details.php?id=BSGatlas-TSS-1456","BSGatlas-TSS-1456")</f>
        <v>BSGatlas-TSS-1456</v>
      </c>
      <c r="B1457" s="3">
        <v>1867334</v>
      </c>
      <c r="C1457" s="1" t="s">
        <v>9</v>
      </c>
      <c r="D1457" s="1">
        <v>22</v>
      </c>
      <c r="E1457" s="1" t="s">
        <v>14745</v>
      </c>
      <c r="F1457" s="6"/>
      <c r="G1457" s="1" t="s">
        <v>14726</v>
      </c>
    </row>
    <row r="1458" spans="1:7" ht="21" x14ac:dyDescent="0.25">
      <c r="A1458" s="2" t="str">
        <f>HYPERLINK("https://rth.dk/resources/bsgatlas/details.php?id=BSGatlas-TSS-1457","BSGatlas-TSS-1457")</f>
        <v>BSGatlas-TSS-1457</v>
      </c>
      <c r="B1458" s="3">
        <v>1867450</v>
      </c>
      <c r="C1458" s="1" t="s">
        <v>13</v>
      </c>
      <c r="D1458" s="1">
        <v>22</v>
      </c>
      <c r="E1458" s="1" t="s">
        <v>14720</v>
      </c>
      <c r="F1458" s="6"/>
      <c r="G1458" s="1" t="s">
        <v>14726</v>
      </c>
    </row>
    <row r="1459" spans="1:7" ht="21" x14ac:dyDescent="0.25">
      <c r="A1459" s="2" t="str">
        <f>HYPERLINK("https://rth.dk/resources/bsgatlas/details.php?id=BSGatlas-TSS-1458","BSGatlas-TSS-1458")</f>
        <v>BSGatlas-TSS-1458</v>
      </c>
      <c r="B1459" s="3">
        <v>1868101</v>
      </c>
      <c r="C1459" s="1" t="s">
        <v>9</v>
      </c>
      <c r="D1459" s="1">
        <v>22</v>
      </c>
      <c r="E1459" s="1" t="s">
        <v>14722</v>
      </c>
      <c r="F1459" s="6"/>
      <c r="G1459" s="1" t="s">
        <v>14726</v>
      </c>
    </row>
    <row r="1460" spans="1:7" ht="21" x14ac:dyDescent="0.25">
      <c r="A1460" s="2" t="str">
        <f>HYPERLINK("https://rth.dk/resources/bsgatlas/details.php?id=BSGatlas-TSS-1459","BSGatlas-TSS-1459")</f>
        <v>BSGatlas-TSS-1459</v>
      </c>
      <c r="B1460" s="3">
        <v>1868569</v>
      </c>
      <c r="C1460" s="1" t="s">
        <v>9</v>
      </c>
      <c r="D1460" s="1">
        <v>0</v>
      </c>
      <c r="E1460" s="1" t="s">
        <v>14722</v>
      </c>
      <c r="F1460" s="6" t="s">
        <v>14935</v>
      </c>
      <c r="G1460" s="1" t="s">
        <v>14729</v>
      </c>
    </row>
    <row r="1461" spans="1:7" ht="21" x14ac:dyDescent="0.25">
      <c r="A1461" s="2" t="str">
        <f>HYPERLINK("https://rth.dk/resources/bsgatlas/details.php?id=BSGatlas-TSS-1460","BSGatlas-TSS-1460")</f>
        <v>BSGatlas-TSS-1460</v>
      </c>
      <c r="B1461" s="3">
        <v>1872786</v>
      </c>
      <c r="C1461" s="1" t="s">
        <v>9</v>
      </c>
      <c r="D1461" s="1">
        <v>22</v>
      </c>
      <c r="E1461" s="1" t="s">
        <v>14720</v>
      </c>
      <c r="F1461" s="6"/>
      <c r="G1461" s="1" t="s">
        <v>14726</v>
      </c>
    </row>
    <row r="1462" spans="1:7" ht="21" x14ac:dyDescent="0.25">
      <c r="A1462" s="2" t="str">
        <f>HYPERLINK("https://rth.dk/resources/bsgatlas/details.php?id=BSGatlas-TSS-1461","BSGatlas-TSS-1461")</f>
        <v>BSGatlas-TSS-1461</v>
      </c>
      <c r="B1462" s="3">
        <v>1873592</v>
      </c>
      <c r="C1462" s="1" t="s">
        <v>13</v>
      </c>
      <c r="D1462" s="1">
        <v>0</v>
      </c>
      <c r="E1462" s="1" t="s">
        <v>14725</v>
      </c>
      <c r="F1462" s="6" t="s">
        <v>14936</v>
      </c>
      <c r="G1462" s="1" t="s">
        <v>14729</v>
      </c>
    </row>
    <row r="1463" spans="1:7" ht="21" x14ac:dyDescent="0.25">
      <c r="A1463" s="2" t="str">
        <f>HYPERLINK("https://rth.dk/resources/bsgatlas/details.php?id=BSGatlas-TSS-1462","BSGatlas-TSS-1462")</f>
        <v>BSGatlas-TSS-1462</v>
      </c>
      <c r="B1463" s="3">
        <v>1873754</v>
      </c>
      <c r="C1463" s="1" t="s">
        <v>9</v>
      </c>
      <c r="D1463" s="1">
        <v>22</v>
      </c>
      <c r="E1463" s="1" t="s">
        <v>14727</v>
      </c>
      <c r="F1463" s="6"/>
      <c r="G1463" s="1" t="s">
        <v>14726</v>
      </c>
    </row>
    <row r="1464" spans="1:7" ht="21" x14ac:dyDescent="0.25">
      <c r="A1464" s="2" t="str">
        <f>HYPERLINK("https://rth.dk/resources/bsgatlas/details.php?id=BSGatlas-TSS-1463","BSGatlas-TSS-1463")</f>
        <v>BSGatlas-TSS-1463</v>
      </c>
      <c r="B1464" s="3">
        <v>1874073</v>
      </c>
      <c r="C1464" s="1" t="s">
        <v>9</v>
      </c>
      <c r="D1464" s="1">
        <v>0</v>
      </c>
      <c r="E1464" s="1" t="s">
        <v>14735</v>
      </c>
      <c r="F1464" s="6" t="s">
        <v>14937</v>
      </c>
      <c r="G1464" s="1" t="s">
        <v>14724</v>
      </c>
    </row>
    <row r="1465" spans="1:7" ht="21" x14ac:dyDescent="0.25">
      <c r="A1465" s="2" t="str">
        <f>HYPERLINK("https://rth.dk/resources/bsgatlas/details.php?id=BSGatlas-TSS-1464","BSGatlas-TSS-1464")</f>
        <v>BSGatlas-TSS-1464</v>
      </c>
      <c r="B1465" s="3">
        <v>1874186</v>
      </c>
      <c r="C1465" s="1" t="s">
        <v>9</v>
      </c>
      <c r="D1465" s="1">
        <v>0</v>
      </c>
      <c r="E1465" s="1" t="s">
        <v>14725</v>
      </c>
      <c r="F1465" s="6" t="s">
        <v>14938</v>
      </c>
      <c r="G1465" s="1" t="s">
        <v>4382</v>
      </c>
    </row>
    <row r="1466" spans="1:7" ht="21" x14ac:dyDescent="0.25">
      <c r="A1466" s="2" t="str">
        <f>HYPERLINK("https://rth.dk/resources/bsgatlas/details.php?id=BSGatlas-TSS-1465","BSGatlas-TSS-1465")</f>
        <v>BSGatlas-TSS-1465</v>
      </c>
      <c r="B1466" s="3">
        <v>1875250</v>
      </c>
      <c r="C1466" s="1" t="s">
        <v>9</v>
      </c>
      <c r="D1466" s="1">
        <v>22</v>
      </c>
      <c r="E1466" s="1" t="s">
        <v>14722</v>
      </c>
      <c r="F1466" s="6"/>
      <c r="G1466" s="1" t="s">
        <v>14726</v>
      </c>
    </row>
    <row r="1467" spans="1:7" ht="21" x14ac:dyDescent="0.25">
      <c r="A1467" s="2" t="str">
        <f>HYPERLINK("https://rth.dk/resources/bsgatlas/details.php?id=BSGatlas-TSS-1466","BSGatlas-TSS-1466")</f>
        <v>BSGatlas-TSS-1466</v>
      </c>
      <c r="B1467" s="3">
        <v>1877935</v>
      </c>
      <c r="C1467" s="1" t="s">
        <v>9</v>
      </c>
      <c r="D1467" s="1">
        <v>0</v>
      </c>
      <c r="E1467" s="1" t="s">
        <v>14722</v>
      </c>
      <c r="F1467" s="6" t="s">
        <v>14939</v>
      </c>
      <c r="G1467" s="1" t="s">
        <v>14729</v>
      </c>
    </row>
    <row r="1468" spans="1:7" ht="21" x14ac:dyDescent="0.25">
      <c r="A1468" s="2" t="str">
        <f>HYPERLINK("https://rth.dk/resources/bsgatlas/details.php?id=BSGatlas-TSS-1467","BSGatlas-TSS-1467")</f>
        <v>BSGatlas-TSS-1467</v>
      </c>
      <c r="B1468" s="3">
        <v>1878372</v>
      </c>
      <c r="C1468" s="1" t="s">
        <v>9</v>
      </c>
      <c r="D1468" s="1">
        <v>22</v>
      </c>
      <c r="E1468" s="1" t="s">
        <v>14825</v>
      </c>
      <c r="F1468" s="6"/>
      <c r="G1468" s="1" t="s">
        <v>14726</v>
      </c>
    </row>
    <row r="1469" spans="1:7" ht="21" x14ac:dyDescent="0.25">
      <c r="A1469" s="2" t="str">
        <f>HYPERLINK("https://rth.dk/resources/bsgatlas/details.php?id=BSGatlas-TSS-1468","BSGatlas-TSS-1468")</f>
        <v>BSGatlas-TSS-1468</v>
      </c>
      <c r="B1469" s="3">
        <v>1880043</v>
      </c>
      <c r="C1469" s="1" t="s">
        <v>9</v>
      </c>
      <c r="D1469" s="1">
        <v>22</v>
      </c>
      <c r="E1469" s="1" t="s">
        <v>14722</v>
      </c>
      <c r="F1469" s="6"/>
      <c r="G1469" s="1" t="s">
        <v>14726</v>
      </c>
    </row>
    <row r="1470" spans="1:7" ht="21" x14ac:dyDescent="0.25">
      <c r="A1470" s="2" t="str">
        <f>HYPERLINK("https://rth.dk/resources/bsgatlas/details.php?id=BSGatlas-TSS-1469","BSGatlas-TSS-1469")</f>
        <v>BSGatlas-TSS-1469</v>
      </c>
      <c r="B1470" s="3">
        <v>1881406</v>
      </c>
      <c r="C1470" s="1" t="s">
        <v>9</v>
      </c>
      <c r="D1470" s="1">
        <v>22</v>
      </c>
      <c r="E1470" s="1" t="s">
        <v>14722</v>
      </c>
      <c r="F1470" s="6"/>
      <c r="G1470" s="1" t="s">
        <v>14733</v>
      </c>
    </row>
    <row r="1471" spans="1:7" ht="21" x14ac:dyDescent="0.25">
      <c r="A1471" s="2" t="str">
        <f>HYPERLINK("https://rth.dk/resources/bsgatlas/details.php?id=BSGatlas-TSS-1470","BSGatlas-TSS-1470")</f>
        <v>BSGatlas-TSS-1470</v>
      </c>
      <c r="B1471" s="3">
        <v>1882156</v>
      </c>
      <c r="C1471" s="1" t="s">
        <v>13</v>
      </c>
      <c r="D1471" s="1">
        <v>22</v>
      </c>
      <c r="E1471" s="1" t="s">
        <v>14722</v>
      </c>
      <c r="F1471" s="6"/>
      <c r="G1471" s="1" t="s">
        <v>14726</v>
      </c>
    </row>
    <row r="1472" spans="1:7" ht="21" x14ac:dyDescent="0.25">
      <c r="A1472" s="2" t="str">
        <f>HYPERLINK("https://rth.dk/resources/bsgatlas/details.php?id=BSGatlas-TSS-1471","BSGatlas-TSS-1471")</f>
        <v>BSGatlas-TSS-1471</v>
      </c>
      <c r="B1472" s="3">
        <v>1883135</v>
      </c>
      <c r="C1472" s="1" t="s">
        <v>9</v>
      </c>
      <c r="D1472" s="1">
        <v>22</v>
      </c>
      <c r="E1472" s="1" t="s">
        <v>14745</v>
      </c>
      <c r="F1472" s="6"/>
      <c r="G1472" s="1" t="s">
        <v>14726</v>
      </c>
    </row>
    <row r="1473" spans="1:7" ht="21" x14ac:dyDescent="0.25">
      <c r="A1473" s="2" t="str">
        <f>HYPERLINK("https://rth.dk/resources/bsgatlas/details.php?id=BSGatlas-TSS-1472","BSGatlas-TSS-1472")</f>
        <v>BSGatlas-TSS-1472</v>
      </c>
      <c r="B1473" s="3">
        <v>1884125</v>
      </c>
      <c r="C1473" s="1" t="s">
        <v>9</v>
      </c>
      <c r="D1473" s="1">
        <v>22</v>
      </c>
      <c r="E1473" s="1" t="s">
        <v>14722</v>
      </c>
      <c r="F1473" s="6"/>
      <c r="G1473" s="1" t="s">
        <v>14733</v>
      </c>
    </row>
    <row r="1474" spans="1:7" ht="21" x14ac:dyDescent="0.25">
      <c r="A1474" s="2" t="str">
        <f>HYPERLINK("https://rth.dk/resources/bsgatlas/details.php?id=BSGatlas-TSS-1473","BSGatlas-TSS-1473")</f>
        <v>BSGatlas-TSS-1473</v>
      </c>
      <c r="B1474" s="3">
        <v>1884169</v>
      </c>
      <c r="C1474" s="1" t="s">
        <v>9</v>
      </c>
      <c r="D1474" s="1">
        <v>22</v>
      </c>
      <c r="E1474" s="1" t="s">
        <v>14722</v>
      </c>
      <c r="F1474" s="6"/>
      <c r="G1474" s="1" t="s">
        <v>14733</v>
      </c>
    </row>
    <row r="1475" spans="1:7" ht="21" x14ac:dyDescent="0.25">
      <c r="A1475" s="2" t="str">
        <f>HYPERLINK("https://rth.dk/resources/bsgatlas/details.php?id=BSGatlas-TSS-1474","BSGatlas-TSS-1474")</f>
        <v>BSGatlas-TSS-1474</v>
      </c>
      <c r="B1475" s="3">
        <v>1886709</v>
      </c>
      <c r="C1475" s="1" t="s">
        <v>13</v>
      </c>
      <c r="D1475" s="1">
        <v>22</v>
      </c>
      <c r="E1475" s="1" t="s">
        <v>14727</v>
      </c>
      <c r="F1475" s="6"/>
      <c r="G1475" s="1" t="s">
        <v>14726</v>
      </c>
    </row>
    <row r="1476" spans="1:7" ht="21" x14ac:dyDescent="0.25">
      <c r="A1476" s="2" t="str">
        <f>HYPERLINK("https://rth.dk/resources/bsgatlas/details.php?id=BSGatlas-TSS-1475","BSGatlas-TSS-1475")</f>
        <v>BSGatlas-TSS-1475</v>
      </c>
      <c r="B1476" s="3">
        <v>1887031</v>
      </c>
      <c r="C1476" s="1" t="s">
        <v>9</v>
      </c>
      <c r="D1476" s="1">
        <v>0</v>
      </c>
      <c r="E1476" s="1" t="s">
        <v>14722</v>
      </c>
      <c r="F1476" s="6" t="s">
        <v>14940</v>
      </c>
      <c r="G1476" s="1" t="s">
        <v>4382</v>
      </c>
    </row>
    <row r="1477" spans="1:7" ht="21" x14ac:dyDescent="0.25">
      <c r="A1477" s="2" t="str">
        <f>HYPERLINK("https://rth.dk/resources/bsgatlas/details.php?id=BSGatlas-TSS-1476","BSGatlas-TSS-1476")</f>
        <v>BSGatlas-TSS-1476</v>
      </c>
      <c r="B1477" s="3">
        <v>1889195</v>
      </c>
      <c r="C1477" s="1" t="s">
        <v>13</v>
      </c>
      <c r="D1477" s="1">
        <v>22</v>
      </c>
      <c r="E1477" s="1" t="s">
        <v>14725</v>
      </c>
      <c r="F1477" s="6"/>
      <c r="G1477" s="1" t="s">
        <v>14726</v>
      </c>
    </row>
    <row r="1478" spans="1:7" ht="21" x14ac:dyDescent="0.25">
      <c r="A1478" s="2" t="str">
        <f>HYPERLINK("https://rth.dk/resources/bsgatlas/details.php?id=BSGatlas-TSS-1477","BSGatlas-TSS-1477")</f>
        <v>BSGatlas-TSS-1477</v>
      </c>
      <c r="B1478" s="3">
        <v>1891737</v>
      </c>
      <c r="C1478" s="1" t="s">
        <v>9</v>
      </c>
      <c r="D1478" s="1">
        <v>22</v>
      </c>
      <c r="E1478" s="1" t="s">
        <v>14720</v>
      </c>
      <c r="F1478" s="6"/>
      <c r="G1478" s="1" t="s">
        <v>14726</v>
      </c>
    </row>
    <row r="1479" spans="1:7" ht="21" x14ac:dyDescent="0.25">
      <c r="A1479" s="2" t="str">
        <f>HYPERLINK("https://rth.dk/resources/bsgatlas/details.php?id=BSGatlas-TSS-1478","BSGatlas-TSS-1478")</f>
        <v>BSGatlas-TSS-1478</v>
      </c>
      <c r="B1479" s="3">
        <v>1891743</v>
      </c>
      <c r="C1479" s="1" t="s">
        <v>13</v>
      </c>
      <c r="D1479" s="1">
        <v>22</v>
      </c>
      <c r="E1479" s="1" t="s">
        <v>14722</v>
      </c>
      <c r="F1479" s="6"/>
      <c r="G1479" s="1" t="s">
        <v>14733</v>
      </c>
    </row>
    <row r="1480" spans="1:7" ht="21" x14ac:dyDescent="0.25">
      <c r="A1480" s="2" t="str">
        <f>HYPERLINK("https://rth.dk/resources/bsgatlas/details.php?id=BSGatlas-TSS-1479","BSGatlas-TSS-1479")</f>
        <v>BSGatlas-TSS-1479</v>
      </c>
      <c r="B1480" s="3">
        <v>1891804</v>
      </c>
      <c r="C1480" s="1" t="s">
        <v>9</v>
      </c>
      <c r="D1480" s="1">
        <v>0</v>
      </c>
      <c r="E1480" s="1" t="s">
        <v>14722</v>
      </c>
      <c r="F1480" s="6" t="s">
        <v>14941</v>
      </c>
      <c r="G1480" s="1" t="s">
        <v>14724</v>
      </c>
    </row>
    <row r="1481" spans="1:7" ht="21" x14ac:dyDescent="0.25">
      <c r="A1481" s="2" t="str">
        <f>HYPERLINK("https://rth.dk/resources/bsgatlas/details.php?id=BSGatlas-TSS-1480","BSGatlas-TSS-1480")</f>
        <v>BSGatlas-TSS-1480</v>
      </c>
      <c r="B1481" s="3">
        <v>1896059</v>
      </c>
      <c r="C1481" s="1" t="s">
        <v>13</v>
      </c>
      <c r="D1481" s="1">
        <v>22</v>
      </c>
      <c r="E1481" s="1" t="s">
        <v>14722</v>
      </c>
      <c r="F1481" s="6"/>
      <c r="G1481" s="1" t="s">
        <v>14726</v>
      </c>
    </row>
    <row r="1482" spans="1:7" ht="21" x14ac:dyDescent="0.25">
      <c r="A1482" s="2" t="str">
        <f>HYPERLINK("https://rth.dk/resources/bsgatlas/details.php?id=BSGatlas-TSS-1481","BSGatlas-TSS-1481")</f>
        <v>BSGatlas-TSS-1481</v>
      </c>
      <c r="B1482" s="3">
        <v>1896225</v>
      </c>
      <c r="C1482" s="1" t="s">
        <v>9</v>
      </c>
      <c r="D1482" s="1">
        <v>22</v>
      </c>
      <c r="E1482" s="1" t="s">
        <v>14722</v>
      </c>
      <c r="F1482" s="6"/>
      <c r="G1482" s="1" t="s">
        <v>14733</v>
      </c>
    </row>
    <row r="1483" spans="1:7" ht="21" x14ac:dyDescent="0.25">
      <c r="A1483" s="2" t="str">
        <f>HYPERLINK("https://rth.dk/resources/bsgatlas/details.php?id=BSGatlas-TSS-1482","BSGatlas-TSS-1482")</f>
        <v>BSGatlas-TSS-1482</v>
      </c>
      <c r="B1483" s="3">
        <v>1899209</v>
      </c>
      <c r="C1483" s="1" t="s">
        <v>13</v>
      </c>
      <c r="D1483" s="1">
        <v>22</v>
      </c>
      <c r="E1483" s="1" t="s">
        <v>14727</v>
      </c>
      <c r="F1483" s="6"/>
      <c r="G1483" s="1" t="s">
        <v>14733</v>
      </c>
    </row>
    <row r="1484" spans="1:7" ht="21" x14ac:dyDescent="0.25">
      <c r="A1484" s="2" t="str">
        <f>HYPERLINK("https://rth.dk/resources/bsgatlas/details.php?id=BSGatlas-TSS-1483","BSGatlas-TSS-1483")</f>
        <v>BSGatlas-TSS-1483</v>
      </c>
      <c r="B1484" s="3">
        <v>1899547</v>
      </c>
      <c r="C1484" s="1" t="s">
        <v>9</v>
      </c>
      <c r="D1484" s="1">
        <v>22</v>
      </c>
      <c r="E1484" s="1" t="s">
        <v>14722</v>
      </c>
      <c r="F1484" s="6"/>
      <c r="G1484" s="1" t="s">
        <v>14726</v>
      </c>
    </row>
    <row r="1485" spans="1:7" ht="21" x14ac:dyDescent="0.25">
      <c r="A1485" s="2" t="str">
        <f>HYPERLINK("https://rth.dk/resources/bsgatlas/details.php?id=BSGatlas-TSS-1484","BSGatlas-TSS-1484")</f>
        <v>BSGatlas-TSS-1484</v>
      </c>
      <c r="B1485" s="3">
        <v>1900855</v>
      </c>
      <c r="C1485" s="1" t="s">
        <v>13</v>
      </c>
      <c r="D1485" s="1">
        <v>22</v>
      </c>
      <c r="E1485" s="1" t="s">
        <v>14722</v>
      </c>
      <c r="F1485" s="6"/>
      <c r="G1485" s="1" t="s">
        <v>14726</v>
      </c>
    </row>
    <row r="1486" spans="1:7" ht="21" x14ac:dyDescent="0.25">
      <c r="A1486" s="2" t="str">
        <f>HYPERLINK("https://rth.dk/resources/bsgatlas/details.php?id=BSGatlas-TSS-1485","BSGatlas-TSS-1485")</f>
        <v>BSGatlas-TSS-1485</v>
      </c>
      <c r="B1486" s="3">
        <v>1901408</v>
      </c>
      <c r="C1486" s="1" t="s">
        <v>13</v>
      </c>
      <c r="D1486" s="1">
        <v>22</v>
      </c>
      <c r="E1486" s="1" t="s">
        <v>14725</v>
      </c>
      <c r="F1486" s="6"/>
      <c r="G1486" s="1" t="s">
        <v>14726</v>
      </c>
    </row>
    <row r="1487" spans="1:7" ht="21" x14ac:dyDescent="0.25">
      <c r="A1487" s="2" t="str">
        <f>HYPERLINK("https://rth.dk/resources/bsgatlas/details.php?id=BSGatlas-TSS-1486","BSGatlas-TSS-1486")</f>
        <v>BSGatlas-TSS-1486</v>
      </c>
      <c r="B1487" s="3">
        <v>1901856</v>
      </c>
      <c r="C1487" s="1" t="s">
        <v>9</v>
      </c>
      <c r="D1487" s="1">
        <v>22</v>
      </c>
      <c r="E1487" s="1" t="s">
        <v>14725</v>
      </c>
      <c r="F1487" s="6"/>
      <c r="G1487" s="1" t="s">
        <v>14733</v>
      </c>
    </row>
    <row r="1488" spans="1:7" ht="21" x14ac:dyDescent="0.25">
      <c r="A1488" s="2" t="str">
        <f>HYPERLINK("https://rth.dk/resources/bsgatlas/details.php?id=BSGatlas-TSS-1487","BSGatlas-TSS-1487")</f>
        <v>BSGatlas-TSS-1487</v>
      </c>
      <c r="B1488" s="3">
        <v>1902168</v>
      </c>
      <c r="C1488" s="1" t="s">
        <v>9</v>
      </c>
      <c r="D1488" s="1">
        <v>22</v>
      </c>
      <c r="E1488" s="1" t="s">
        <v>14722</v>
      </c>
      <c r="F1488" s="6"/>
      <c r="G1488" s="1" t="s">
        <v>14726</v>
      </c>
    </row>
    <row r="1489" spans="1:7" ht="21" x14ac:dyDescent="0.25">
      <c r="A1489" s="2" t="str">
        <f>HYPERLINK("https://rth.dk/resources/bsgatlas/details.php?id=BSGatlas-TSS-1488","BSGatlas-TSS-1488")</f>
        <v>BSGatlas-TSS-1488</v>
      </c>
      <c r="B1489" s="3">
        <v>1902262</v>
      </c>
      <c r="C1489" s="1" t="s">
        <v>13</v>
      </c>
      <c r="D1489" s="1">
        <v>22</v>
      </c>
      <c r="E1489" s="1" t="s">
        <v>14722</v>
      </c>
      <c r="F1489" s="6"/>
      <c r="G1489" s="1" t="s">
        <v>14726</v>
      </c>
    </row>
    <row r="1490" spans="1:7" ht="21" x14ac:dyDescent="0.25">
      <c r="A1490" s="2" t="str">
        <f>HYPERLINK("https://rth.dk/resources/bsgatlas/details.php?id=BSGatlas-TSS-1489","BSGatlas-TSS-1489")</f>
        <v>BSGatlas-TSS-1489</v>
      </c>
      <c r="B1490" s="3">
        <v>1903319</v>
      </c>
      <c r="C1490" s="1" t="s">
        <v>9</v>
      </c>
      <c r="D1490" s="1">
        <v>22</v>
      </c>
      <c r="E1490" s="1" t="s">
        <v>14725</v>
      </c>
      <c r="F1490" s="6"/>
      <c r="G1490" s="1" t="s">
        <v>14726</v>
      </c>
    </row>
    <row r="1491" spans="1:7" ht="21" x14ac:dyDescent="0.25">
      <c r="A1491" s="2" t="str">
        <f>HYPERLINK("https://rth.dk/resources/bsgatlas/details.php?id=BSGatlas-TSS-1490","BSGatlas-TSS-1490")</f>
        <v>BSGatlas-TSS-1490</v>
      </c>
      <c r="B1491" s="3">
        <v>1904266</v>
      </c>
      <c r="C1491" s="1" t="s">
        <v>13</v>
      </c>
      <c r="D1491" s="1">
        <v>22</v>
      </c>
      <c r="E1491" s="1" t="s">
        <v>14722</v>
      </c>
      <c r="F1491" s="6"/>
      <c r="G1491" s="1" t="s">
        <v>14726</v>
      </c>
    </row>
    <row r="1492" spans="1:7" ht="21" x14ac:dyDescent="0.25">
      <c r="A1492" s="2" t="str">
        <f>HYPERLINK("https://rth.dk/resources/bsgatlas/details.php?id=BSGatlas-TSS-1491","BSGatlas-TSS-1491")</f>
        <v>BSGatlas-TSS-1491</v>
      </c>
      <c r="B1492" s="3">
        <v>1904790</v>
      </c>
      <c r="C1492" s="1" t="s">
        <v>13</v>
      </c>
      <c r="D1492" s="1">
        <v>22</v>
      </c>
      <c r="E1492" s="1" t="s">
        <v>14722</v>
      </c>
      <c r="F1492" s="6"/>
      <c r="G1492" s="1" t="s">
        <v>14726</v>
      </c>
    </row>
    <row r="1493" spans="1:7" ht="21" x14ac:dyDescent="0.25">
      <c r="A1493" s="2" t="str">
        <f>HYPERLINK("https://rth.dk/resources/bsgatlas/details.php?id=BSGatlas-TSS-1492","BSGatlas-TSS-1492")</f>
        <v>BSGatlas-TSS-1492</v>
      </c>
      <c r="B1493" s="3">
        <v>1905221</v>
      </c>
      <c r="C1493" s="1" t="s">
        <v>13</v>
      </c>
      <c r="D1493" s="1">
        <v>0</v>
      </c>
      <c r="E1493" s="1" t="s">
        <v>14725</v>
      </c>
      <c r="F1493" s="6" t="s">
        <v>14942</v>
      </c>
      <c r="G1493" s="1" t="s">
        <v>14729</v>
      </c>
    </row>
    <row r="1494" spans="1:7" ht="21" x14ac:dyDescent="0.25">
      <c r="A1494" s="2" t="str">
        <f>HYPERLINK("https://rth.dk/resources/bsgatlas/details.php?id=BSGatlas-TSS-1493","BSGatlas-TSS-1493")</f>
        <v>BSGatlas-TSS-1493</v>
      </c>
      <c r="B1494" s="3">
        <v>1905540</v>
      </c>
      <c r="C1494" s="1" t="s">
        <v>13</v>
      </c>
      <c r="D1494" s="1">
        <v>22</v>
      </c>
      <c r="E1494" s="1" t="s">
        <v>14720</v>
      </c>
      <c r="F1494" s="6"/>
      <c r="G1494" s="1" t="s">
        <v>14726</v>
      </c>
    </row>
    <row r="1495" spans="1:7" ht="21" x14ac:dyDescent="0.25">
      <c r="A1495" s="2" t="str">
        <f>HYPERLINK("https://rth.dk/resources/bsgatlas/details.php?id=BSGatlas-TSS-1494","BSGatlas-TSS-1494")</f>
        <v>BSGatlas-TSS-1494</v>
      </c>
      <c r="B1495" s="3">
        <v>1905605</v>
      </c>
      <c r="C1495" s="1" t="s">
        <v>13</v>
      </c>
      <c r="D1495" s="1">
        <v>22</v>
      </c>
      <c r="E1495" s="1" t="s">
        <v>14722</v>
      </c>
      <c r="F1495" s="6"/>
      <c r="G1495" s="1" t="s">
        <v>14726</v>
      </c>
    </row>
    <row r="1496" spans="1:7" ht="21" x14ac:dyDescent="0.25">
      <c r="A1496" s="2" t="str">
        <f>HYPERLINK("https://rth.dk/resources/bsgatlas/details.php?id=BSGatlas-TSS-1495","BSGatlas-TSS-1495")</f>
        <v>BSGatlas-TSS-1495</v>
      </c>
      <c r="B1496" s="3">
        <v>1905706</v>
      </c>
      <c r="C1496" s="1" t="s">
        <v>9</v>
      </c>
      <c r="D1496" s="1">
        <v>22</v>
      </c>
      <c r="E1496" s="1" t="s">
        <v>14727</v>
      </c>
      <c r="F1496" s="6"/>
      <c r="G1496" s="1" t="s">
        <v>14733</v>
      </c>
    </row>
    <row r="1497" spans="1:7" ht="21" x14ac:dyDescent="0.25">
      <c r="A1497" s="2" t="str">
        <f>HYPERLINK("https://rth.dk/resources/bsgatlas/details.php?id=BSGatlas-TSS-1496","BSGatlas-TSS-1496")</f>
        <v>BSGatlas-TSS-1496</v>
      </c>
      <c r="B1497" s="3">
        <v>1906752</v>
      </c>
      <c r="C1497" s="1" t="s">
        <v>13</v>
      </c>
      <c r="D1497" s="1">
        <v>22</v>
      </c>
      <c r="E1497" s="1" t="s">
        <v>14722</v>
      </c>
      <c r="F1497" s="6"/>
      <c r="G1497" s="1" t="s">
        <v>14726</v>
      </c>
    </row>
    <row r="1498" spans="1:7" ht="21" x14ac:dyDescent="0.25">
      <c r="A1498" s="2" t="str">
        <f>HYPERLINK("https://rth.dk/resources/bsgatlas/details.php?id=BSGatlas-TSS-1497","BSGatlas-TSS-1497")</f>
        <v>BSGatlas-TSS-1497</v>
      </c>
      <c r="B1498" s="3">
        <v>1907351</v>
      </c>
      <c r="C1498" s="1" t="s">
        <v>9</v>
      </c>
      <c r="D1498" s="1">
        <v>0</v>
      </c>
      <c r="E1498" s="1" t="s">
        <v>14743</v>
      </c>
      <c r="F1498" s="6" t="s">
        <v>14813</v>
      </c>
      <c r="G1498" s="1" t="s">
        <v>14724</v>
      </c>
    </row>
    <row r="1499" spans="1:7" ht="21" x14ac:dyDescent="0.25">
      <c r="A1499" s="2" t="str">
        <f>HYPERLINK("https://rth.dk/resources/bsgatlas/details.php?id=BSGatlas-TSS-1498","BSGatlas-TSS-1498")</f>
        <v>BSGatlas-TSS-1498</v>
      </c>
      <c r="B1499" s="3">
        <v>1907806</v>
      </c>
      <c r="C1499" s="1" t="s">
        <v>13</v>
      </c>
      <c r="D1499" s="1">
        <v>22</v>
      </c>
      <c r="E1499" s="1" t="s">
        <v>14722</v>
      </c>
      <c r="F1499" s="6"/>
      <c r="G1499" s="1" t="s">
        <v>14726</v>
      </c>
    </row>
    <row r="1500" spans="1:7" ht="21" x14ac:dyDescent="0.25">
      <c r="A1500" s="2" t="str">
        <f>HYPERLINK("https://rth.dk/resources/bsgatlas/details.php?id=BSGatlas-TSS-1499","BSGatlas-TSS-1499")</f>
        <v>BSGatlas-TSS-1499</v>
      </c>
      <c r="B1500" s="3">
        <v>1911492</v>
      </c>
      <c r="C1500" s="1" t="s">
        <v>9</v>
      </c>
      <c r="D1500" s="1">
        <v>22</v>
      </c>
      <c r="E1500" s="1" t="s">
        <v>14722</v>
      </c>
      <c r="F1500" s="6"/>
      <c r="G1500" s="1" t="s">
        <v>14726</v>
      </c>
    </row>
    <row r="1501" spans="1:7" ht="21" x14ac:dyDescent="0.25">
      <c r="A1501" s="2" t="str">
        <f>HYPERLINK("https://rth.dk/resources/bsgatlas/details.php?id=BSGatlas-TSS-1500","BSGatlas-TSS-1500")</f>
        <v>BSGatlas-TSS-1500</v>
      </c>
      <c r="B1501" s="3">
        <v>1913240</v>
      </c>
      <c r="C1501" s="1" t="s">
        <v>13</v>
      </c>
      <c r="D1501" s="1">
        <v>22</v>
      </c>
      <c r="E1501" s="1" t="s">
        <v>14725</v>
      </c>
      <c r="F1501" s="6"/>
      <c r="G1501" s="1" t="s">
        <v>14726</v>
      </c>
    </row>
    <row r="1502" spans="1:7" ht="21" x14ac:dyDescent="0.25">
      <c r="A1502" s="2" t="str">
        <f>HYPERLINK("https://rth.dk/resources/bsgatlas/details.php?id=BSGatlas-TSS-1501","BSGatlas-TSS-1501")</f>
        <v>BSGatlas-TSS-1501</v>
      </c>
      <c r="B1502" s="3">
        <v>1915124</v>
      </c>
      <c r="C1502" s="1" t="s">
        <v>9</v>
      </c>
      <c r="D1502" s="1">
        <v>0</v>
      </c>
      <c r="E1502" s="1" t="s">
        <v>14725</v>
      </c>
      <c r="F1502" s="6" t="s">
        <v>14943</v>
      </c>
      <c r="G1502" s="1" t="s">
        <v>14724</v>
      </c>
    </row>
    <row r="1503" spans="1:7" ht="21" x14ac:dyDescent="0.25">
      <c r="A1503" s="2" t="str">
        <f>HYPERLINK("https://rth.dk/resources/bsgatlas/details.php?id=BSGatlas-TSS-1502","BSGatlas-TSS-1502")</f>
        <v>BSGatlas-TSS-1502</v>
      </c>
      <c r="B1503" s="3">
        <v>1915132</v>
      </c>
      <c r="C1503" s="1" t="s">
        <v>13</v>
      </c>
      <c r="D1503" s="1">
        <v>22</v>
      </c>
      <c r="E1503" s="1" t="s">
        <v>14720</v>
      </c>
      <c r="F1503" s="6"/>
      <c r="G1503" s="1" t="s">
        <v>14726</v>
      </c>
    </row>
    <row r="1504" spans="1:7" ht="21" x14ac:dyDescent="0.25">
      <c r="A1504" s="2" t="str">
        <f>HYPERLINK("https://rth.dk/resources/bsgatlas/details.php?id=BSGatlas-TSS-1503","BSGatlas-TSS-1503")</f>
        <v>BSGatlas-TSS-1503</v>
      </c>
      <c r="B1504" s="3">
        <v>1915254</v>
      </c>
      <c r="C1504" s="1" t="s">
        <v>9</v>
      </c>
      <c r="D1504" s="1">
        <v>22</v>
      </c>
      <c r="E1504" s="1" t="s">
        <v>14720</v>
      </c>
      <c r="F1504" s="6"/>
      <c r="G1504" s="1" t="s">
        <v>14726</v>
      </c>
    </row>
    <row r="1505" spans="1:7" ht="21" x14ac:dyDescent="0.25">
      <c r="A1505" s="2" t="str">
        <f>HYPERLINK("https://rth.dk/resources/bsgatlas/details.php?id=BSGatlas-TSS-1504","BSGatlas-TSS-1504")</f>
        <v>BSGatlas-TSS-1504</v>
      </c>
      <c r="B1505" s="3">
        <v>1915271</v>
      </c>
      <c r="C1505" s="1" t="s">
        <v>13</v>
      </c>
      <c r="D1505" s="1">
        <v>22</v>
      </c>
      <c r="E1505" s="1" t="s">
        <v>14722</v>
      </c>
      <c r="F1505" s="6"/>
      <c r="G1505" s="1" t="s">
        <v>14733</v>
      </c>
    </row>
    <row r="1506" spans="1:7" ht="21" x14ac:dyDescent="0.25">
      <c r="A1506" s="2" t="str">
        <f>HYPERLINK("https://rth.dk/resources/bsgatlas/details.php?id=BSGatlas-TSS-1505","BSGatlas-TSS-1505")</f>
        <v>BSGatlas-TSS-1505</v>
      </c>
      <c r="B1506" s="3">
        <v>1916552</v>
      </c>
      <c r="C1506" s="1" t="s">
        <v>13</v>
      </c>
      <c r="D1506" s="1">
        <v>22</v>
      </c>
      <c r="E1506" s="1" t="s">
        <v>14732</v>
      </c>
      <c r="F1506" s="6"/>
      <c r="G1506" s="1" t="s">
        <v>14726</v>
      </c>
    </row>
    <row r="1507" spans="1:7" ht="21" x14ac:dyDescent="0.25">
      <c r="A1507" s="2" t="str">
        <f>HYPERLINK("https://rth.dk/resources/bsgatlas/details.php?id=BSGatlas-TSS-1506","BSGatlas-TSS-1506")</f>
        <v>BSGatlas-TSS-1506</v>
      </c>
      <c r="B1507" s="3">
        <v>1916636</v>
      </c>
      <c r="C1507" s="1" t="s">
        <v>9</v>
      </c>
      <c r="D1507" s="1">
        <v>0</v>
      </c>
      <c r="E1507" s="1" t="s">
        <v>14770</v>
      </c>
      <c r="F1507" s="6" t="s">
        <v>14944</v>
      </c>
      <c r="G1507" s="1" t="s">
        <v>14729</v>
      </c>
    </row>
    <row r="1508" spans="1:7" ht="21" x14ac:dyDescent="0.25">
      <c r="A1508" s="2" t="str">
        <f>HYPERLINK("https://rth.dk/resources/bsgatlas/details.php?id=BSGatlas-TSS-1507","BSGatlas-TSS-1507")</f>
        <v>BSGatlas-TSS-1507</v>
      </c>
      <c r="B1508" s="3">
        <v>1917432</v>
      </c>
      <c r="C1508" s="1" t="s">
        <v>9</v>
      </c>
      <c r="D1508" s="1">
        <v>22</v>
      </c>
      <c r="E1508" s="1" t="s">
        <v>14739</v>
      </c>
      <c r="F1508" s="6"/>
      <c r="G1508" s="1" t="s">
        <v>14726</v>
      </c>
    </row>
    <row r="1509" spans="1:7" ht="21" x14ac:dyDescent="0.25">
      <c r="A1509" s="2" t="str">
        <f>HYPERLINK("https://rth.dk/resources/bsgatlas/details.php?id=BSGatlas-TSS-1508","BSGatlas-TSS-1508")</f>
        <v>BSGatlas-TSS-1508</v>
      </c>
      <c r="B1509" s="3">
        <v>1918301</v>
      </c>
      <c r="C1509" s="1" t="s">
        <v>13</v>
      </c>
      <c r="D1509" s="1">
        <v>22</v>
      </c>
      <c r="E1509" s="1" t="s">
        <v>14722</v>
      </c>
      <c r="F1509" s="6"/>
      <c r="G1509" s="1" t="s">
        <v>14726</v>
      </c>
    </row>
    <row r="1510" spans="1:7" ht="21" x14ac:dyDescent="0.25">
      <c r="A1510" s="2" t="str">
        <f>HYPERLINK("https://rth.dk/resources/bsgatlas/details.php?id=BSGatlas-TSS-1509","BSGatlas-TSS-1509")</f>
        <v>BSGatlas-TSS-1509</v>
      </c>
      <c r="B1510" s="3">
        <v>1918355</v>
      </c>
      <c r="C1510" s="1" t="s">
        <v>9</v>
      </c>
      <c r="D1510" s="1">
        <v>22</v>
      </c>
      <c r="E1510" s="1" t="s">
        <v>14722</v>
      </c>
      <c r="F1510" s="6"/>
      <c r="G1510" s="1" t="s">
        <v>14726</v>
      </c>
    </row>
    <row r="1511" spans="1:7" ht="21" x14ac:dyDescent="0.25">
      <c r="A1511" s="2" t="str">
        <f>HYPERLINK("https://rth.dk/resources/bsgatlas/details.php?id=BSGatlas-TSS-1510","BSGatlas-TSS-1510")</f>
        <v>BSGatlas-TSS-1510</v>
      </c>
      <c r="B1511" s="3">
        <v>1918426</v>
      </c>
      <c r="C1511" s="1" t="s">
        <v>13</v>
      </c>
      <c r="D1511" s="1">
        <v>22</v>
      </c>
      <c r="E1511" s="1" t="s">
        <v>14752</v>
      </c>
      <c r="F1511" s="6"/>
      <c r="G1511" s="1" t="s">
        <v>14726</v>
      </c>
    </row>
    <row r="1512" spans="1:7" ht="21" x14ac:dyDescent="0.25">
      <c r="A1512" s="2" t="str">
        <f>HYPERLINK("https://rth.dk/resources/bsgatlas/details.php?id=BSGatlas-TSS-1511","BSGatlas-TSS-1511")</f>
        <v>BSGatlas-TSS-1511</v>
      </c>
      <c r="B1512" s="3">
        <v>1919432</v>
      </c>
      <c r="C1512" s="1" t="s">
        <v>9</v>
      </c>
      <c r="D1512" s="1">
        <v>22</v>
      </c>
      <c r="E1512" s="1" t="s">
        <v>14722</v>
      </c>
      <c r="F1512" s="6"/>
      <c r="G1512" s="1" t="s">
        <v>14726</v>
      </c>
    </row>
    <row r="1513" spans="1:7" ht="21" x14ac:dyDescent="0.25">
      <c r="A1513" s="2" t="str">
        <f>HYPERLINK("https://rth.dk/resources/bsgatlas/details.php?id=BSGatlas-TSS-1512","BSGatlas-TSS-1512")</f>
        <v>BSGatlas-TSS-1512</v>
      </c>
      <c r="B1513" s="3">
        <v>1919830</v>
      </c>
      <c r="C1513" s="1" t="s">
        <v>9</v>
      </c>
      <c r="D1513" s="1">
        <v>22</v>
      </c>
      <c r="E1513" s="1" t="s">
        <v>14722</v>
      </c>
      <c r="F1513" s="6"/>
      <c r="G1513" s="1" t="s">
        <v>14726</v>
      </c>
    </row>
    <row r="1514" spans="1:7" ht="21" x14ac:dyDescent="0.25">
      <c r="A1514" s="2" t="str">
        <f>HYPERLINK("https://rth.dk/resources/bsgatlas/details.php?id=BSGatlas-TSS-1513","BSGatlas-TSS-1513")</f>
        <v>BSGatlas-TSS-1513</v>
      </c>
      <c r="B1514" s="3">
        <v>1920082</v>
      </c>
      <c r="C1514" s="1" t="s">
        <v>13</v>
      </c>
      <c r="D1514" s="1">
        <v>22</v>
      </c>
      <c r="E1514" s="1" t="s">
        <v>14722</v>
      </c>
      <c r="F1514" s="6"/>
      <c r="G1514" s="1" t="s">
        <v>14726</v>
      </c>
    </row>
    <row r="1515" spans="1:7" ht="21" x14ac:dyDescent="0.25">
      <c r="A1515" s="2" t="str">
        <f>HYPERLINK("https://rth.dk/resources/bsgatlas/details.php?id=BSGatlas-TSS-1514","BSGatlas-TSS-1514")</f>
        <v>BSGatlas-TSS-1514</v>
      </c>
      <c r="B1515" s="3">
        <v>1921964</v>
      </c>
      <c r="C1515" s="1" t="s">
        <v>9</v>
      </c>
      <c r="D1515" s="1">
        <v>22</v>
      </c>
      <c r="E1515" s="1" t="s">
        <v>14722</v>
      </c>
      <c r="F1515" s="6"/>
      <c r="G1515" s="1" t="s">
        <v>14726</v>
      </c>
    </row>
    <row r="1516" spans="1:7" ht="21" x14ac:dyDescent="0.25">
      <c r="A1516" s="2" t="str">
        <f>HYPERLINK("https://rth.dk/resources/bsgatlas/details.php?id=BSGatlas-TSS-1515","BSGatlas-TSS-1515")</f>
        <v>BSGatlas-TSS-1515</v>
      </c>
      <c r="B1516" s="3">
        <v>1922495</v>
      </c>
      <c r="C1516" s="1" t="s">
        <v>9</v>
      </c>
      <c r="D1516" s="1">
        <v>22</v>
      </c>
      <c r="E1516" s="1" t="s">
        <v>14722</v>
      </c>
      <c r="F1516" s="6"/>
      <c r="G1516" s="1" t="s">
        <v>14726</v>
      </c>
    </row>
    <row r="1517" spans="1:7" ht="21" x14ac:dyDescent="0.25">
      <c r="A1517" s="2" t="str">
        <f>HYPERLINK("https://rth.dk/resources/bsgatlas/details.php?id=BSGatlas-TSS-1516","BSGatlas-TSS-1516")</f>
        <v>BSGatlas-TSS-1516</v>
      </c>
      <c r="B1517" s="3">
        <v>1922524</v>
      </c>
      <c r="C1517" s="1" t="s">
        <v>13</v>
      </c>
      <c r="D1517" s="1">
        <v>22</v>
      </c>
      <c r="E1517" s="1" t="s">
        <v>14722</v>
      </c>
      <c r="F1517" s="6"/>
      <c r="G1517" s="1" t="s">
        <v>14726</v>
      </c>
    </row>
    <row r="1518" spans="1:7" ht="21" x14ac:dyDescent="0.25">
      <c r="A1518" s="2" t="str">
        <f>HYPERLINK("https://rth.dk/resources/bsgatlas/details.php?id=BSGatlas-TSS-1517","BSGatlas-TSS-1517")</f>
        <v>BSGatlas-TSS-1517</v>
      </c>
      <c r="B1518" s="3">
        <v>1923059</v>
      </c>
      <c r="C1518" s="1" t="s">
        <v>13</v>
      </c>
      <c r="D1518" s="1">
        <v>22</v>
      </c>
      <c r="E1518" s="1" t="s">
        <v>14722</v>
      </c>
      <c r="F1518" s="6"/>
      <c r="G1518" s="1" t="s">
        <v>14726</v>
      </c>
    </row>
    <row r="1519" spans="1:7" ht="21" x14ac:dyDescent="0.25">
      <c r="A1519" s="2" t="str">
        <f>HYPERLINK("https://rth.dk/resources/bsgatlas/details.php?id=BSGatlas-TSS-1518","BSGatlas-TSS-1518")</f>
        <v>BSGatlas-TSS-1518</v>
      </c>
      <c r="B1519" s="3">
        <v>1923126</v>
      </c>
      <c r="C1519" s="1" t="s">
        <v>13</v>
      </c>
      <c r="D1519" s="1">
        <v>22</v>
      </c>
      <c r="E1519" s="1" t="s">
        <v>14722</v>
      </c>
      <c r="F1519" s="6"/>
      <c r="G1519" s="1" t="s">
        <v>14726</v>
      </c>
    </row>
    <row r="1520" spans="1:7" ht="21" x14ac:dyDescent="0.25">
      <c r="A1520" s="2" t="str">
        <f>HYPERLINK("https://rth.dk/resources/bsgatlas/details.php?id=BSGatlas-TSS-1519","BSGatlas-TSS-1519")</f>
        <v>BSGatlas-TSS-1519</v>
      </c>
      <c r="B1520" s="3">
        <v>1923130</v>
      </c>
      <c r="C1520" s="1" t="s">
        <v>9</v>
      </c>
      <c r="D1520" s="1">
        <v>0</v>
      </c>
      <c r="E1520" s="1" t="s">
        <v>14722</v>
      </c>
      <c r="F1520" s="6" t="s">
        <v>14945</v>
      </c>
      <c r="G1520" s="1" t="s">
        <v>14724</v>
      </c>
    </row>
    <row r="1521" spans="1:7" ht="21" x14ac:dyDescent="0.25">
      <c r="A1521" s="2" t="str">
        <f>HYPERLINK("https://rth.dk/resources/bsgatlas/details.php?id=BSGatlas-TSS-1520","BSGatlas-TSS-1520")</f>
        <v>BSGatlas-TSS-1520</v>
      </c>
      <c r="B1521" s="3">
        <v>1923997</v>
      </c>
      <c r="C1521" s="1" t="s">
        <v>9</v>
      </c>
      <c r="D1521" s="1">
        <v>0</v>
      </c>
      <c r="E1521" s="1" t="s">
        <v>14722</v>
      </c>
      <c r="F1521" s="6">
        <v>10781554</v>
      </c>
      <c r="G1521" s="1" t="s">
        <v>14730</v>
      </c>
    </row>
    <row r="1522" spans="1:7" ht="21" x14ac:dyDescent="0.25">
      <c r="A1522" s="2" t="str">
        <f>HYPERLINK("https://rth.dk/resources/bsgatlas/details.php?id=BSGatlas-TSS-1521","BSGatlas-TSS-1521")</f>
        <v>BSGatlas-TSS-1521</v>
      </c>
      <c r="B1522" s="3">
        <v>1924447</v>
      </c>
      <c r="C1522" s="1" t="s">
        <v>9</v>
      </c>
      <c r="D1522" s="1">
        <v>0</v>
      </c>
      <c r="E1522" s="1" t="s">
        <v>14722</v>
      </c>
      <c r="F1522" s="6">
        <v>10781554</v>
      </c>
      <c r="G1522" s="1" t="s">
        <v>14730</v>
      </c>
    </row>
    <row r="1523" spans="1:7" ht="21" x14ac:dyDescent="0.25">
      <c r="A1523" s="2" t="str">
        <f>HYPERLINK("https://rth.dk/resources/bsgatlas/details.php?id=BSGatlas-TSS-1522","BSGatlas-TSS-1522")</f>
        <v>BSGatlas-TSS-1522</v>
      </c>
      <c r="B1523" s="3">
        <v>1925451</v>
      </c>
      <c r="C1523" s="1" t="s">
        <v>13</v>
      </c>
      <c r="D1523" s="1">
        <v>22</v>
      </c>
      <c r="E1523" s="1" t="s">
        <v>14722</v>
      </c>
      <c r="F1523" s="6"/>
      <c r="G1523" s="1" t="s">
        <v>14726</v>
      </c>
    </row>
    <row r="1524" spans="1:7" ht="21" x14ac:dyDescent="0.25">
      <c r="A1524" s="2" t="str">
        <f>HYPERLINK("https://rth.dk/resources/bsgatlas/details.php?id=BSGatlas-TSS-1523","BSGatlas-TSS-1523")</f>
        <v>BSGatlas-TSS-1523</v>
      </c>
      <c r="B1524" s="3">
        <v>1925528</v>
      </c>
      <c r="C1524" s="1" t="s">
        <v>9</v>
      </c>
      <c r="D1524" s="1">
        <v>22</v>
      </c>
      <c r="E1524" s="1" t="s">
        <v>14725</v>
      </c>
      <c r="F1524" s="6"/>
      <c r="G1524" s="1" t="s">
        <v>14726</v>
      </c>
    </row>
    <row r="1525" spans="1:7" ht="21" x14ac:dyDescent="0.25">
      <c r="A1525" s="2" t="str">
        <f>HYPERLINK("https://rth.dk/resources/bsgatlas/details.php?id=BSGatlas-TSS-1524","BSGatlas-TSS-1524")</f>
        <v>BSGatlas-TSS-1524</v>
      </c>
      <c r="B1525" s="3">
        <v>1925538</v>
      </c>
      <c r="C1525" s="1" t="s">
        <v>13</v>
      </c>
      <c r="D1525" s="1">
        <v>22</v>
      </c>
      <c r="E1525" s="1" t="s">
        <v>14722</v>
      </c>
      <c r="F1525" s="6"/>
      <c r="G1525" s="1" t="s">
        <v>14733</v>
      </c>
    </row>
    <row r="1526" spans="1:7" ht="21" x14ac:dyDescent="0.25">
      <c r="A1526" s="2" t="str">
        <f>HYPERLINK("https://rth.dk/resources/bsgatlas/details.php?id=BSGatlas-TSS-1525","BSGatlas-TSS-1525")</f>
        <v>BSGatlas-TSS-1525</v>
      </c>
      <c r="B1526" s="3">
        <v>1925915</v>
      </c>
      <c r="C1526" s="1" t="s">
        <v>9</v>
      </c>
      <c r="D1526" s="1">
        <v>22</v>
      </c>
      <c r="E1526" s="1" t="s">
        <v>14727</v>
      </c>
      <c r="F1526" s="6"/>
      <c r="G1526" s="1" t="s">
        <v>14726</v>
      </c>
    </row>
    <row r="1527" spans="1:7" ht="21" x14ac:dyDescent="0.25">
      <c r="A1527" s="2" t="str">
        <f>HYPERLINK("https://rth.dk/resources/bsgatlas/details.php?id=BSGatlas-TSS-1526","BSGatlas-TSS-1526")</f>
        <v>BSGatlas-TSS-1526</v>
      </c>
      <c r="B1527" s="3">
        <v>1926048</v>
      </c>
      <c r="C1527" s="1" t="s">
        <v>13</v>
      </c>
      <c r="D1527" s="1">
        <v>0</v>
      </c>
      <c r="E1527" s="1" t="s">
        <v>14720</v>
      </c>
      <c r="F1527" s="6" t="s">
        <v>14946</v>
      </c>
      <c r="G1527" s="1" t="s">
        <v>14730</v>
      </c>
    </row>
    <row r="1528" spans="1:7" ht="21" x14ac:dyDescent="0.25">
      <c r="A1528" s="2" t="str">
        <f>HYPERLINK("https://rth.dk/resources/bsgatlas/details.php?id=BSGatlas-TSS-1527","BSGatlas-TSS-1527")</f>
        <v>BSGatlas-TSS-1527</v>
      </c>
      <c r="B1528" s="3">
        <v>1926056</v>
      </c>
      <c r="C1528" s="1" t="s">
        <v>9</v>
      </c>
      <c r="D1528" s="1">
        <v>22</v>
      </c>
      <c r="E1528" s="1" t="s">
        <v>14720</v>
      </c>
      <c r="F1528" s="6"/>
      <c r="G1528" s="1" t="s">
        <v>14726</v>
      </c>
    </row>
    <row r="1529" spans="1:7" ht="21" x14ac:dyDescent="0.25">
      <c r="A1529" s="2" t="str">
        <f>HYPERLINK("https://rth.dk/resources/bsgatlas/details.php?id=BSGatlas-TSS-1528","BSGatlas-TSS-1528")</f>
        <v>BSGatlas-TSS-1528</v>
      </c>
      <c r="B1529" s="3">
        <v>1926452</v>
      </c>
      <c r="C1529" s="1" t="s">
        <v>9</v>
      </c>
      <c r="D1529" s="1">
        <v>22</v>
      </c>
      <c r="E1529" s="1" t="s">
        <v>14720</v>
      </c>
      <c r="F1529" s="6"/>
      <c r="G1529" s="1" t="s">
        <v>14733</v>
      </c>
    </row>
    <row r="1530" spans="1:7" ht="21" x14ac:dyDescent="0.25">
      <c r="A1530" s="2" t="str">
        <f>HYPERLINK("https://rth.dk/resources/bsgatlas/details.php?id=BSGatlas-TSS-1529","BSGatlas-TSS-1529")</f>
        <v>BSGatlas-TSS-1529</v>
      </c>
      <c r="B1530" s="3">
        <v>1926464</v>
      </c>
      <c r="C1530" s="1" t="s">
        <v>13</v>
      </c>
      <c r="D1530" s="1">
        <v>0</v>
      </c>
      <c r="E1530" s="1" t="s">
        <v>14743</v>
      </c>
      <c r="F1530" s="6" t="s">
        <v>14837</v>
      </c>
      <c r="G1530" s="1" t="s">
        <v>14729</v>
      </c>
    </row>
    <row r="1531" spans="1:7" ht="21" x14ac:dyDescent="0.25">
      <c r="A1531" s="2" t="str">
        <f>HYPERLINK("https://rth.dk/resources/bsgatlas/details.php?id=BSGatlas-TSS-1530","BSGatlas-TSS-1530")</f>
        <v>BSGatlas-TSS-1530</v>
      </c>
      <c r="B1531" s="3">
        <v>1926612</v>
      </c>
      <c r="C1531" s="1" t="s">
        <v>9</v>
      </c>
      <c r="D1531" s="1">
        <v>0</v>
      </c>
      <c r="E1531" s="1" t="s">
        <v>14722</v>
      </c>
      <c r="F1531" s="6" t="s">
        <v>14947</v>
      </c>
      <c r="G1531" s="1" t="s">
        <v>14806</v>
      </c>
    </row>
    <row r="1532" spans="1:7" ht="21" x14ac:dyDescent="0.25">
      <c r="A1532" s="2" t="str">
        <f>HYPERLINK("https://rth.dk/resources/bsgatlas/details.php?id=BSGatlas-TSS-1531","BSGatlas-TSS-1531")</f>
        <v>BSGatlas-TSS-1531</v>
      </c>
      <c r="B1532" s="3">
        <v>1926704</v>
      </c>
      <c r="C1532" s="1" t="s">
        <v>13</v>
      </c>
      <c r="D1532" s="1">
        <v>22</v>
      </c>
      <c r="E1532" s="1" t="s">
        <v>14720</v>
      </c>
      <c r="F1532" s="6"/>
      <c r="G1532" s="1" t="s">
        <v>14726</v>
      </c>
    </row>
    <row r="1533" spans="1:7" ht="21" x14ac:dyDescent="0.25">
      <c r="A1533" s="2" t="str">
        <f>HYPERLINK("https://rth.dk/resources/bsgatlas/details.php?id=BSGatlas-TSS-1532","BSGatlas-TSS-1532")</f>
        <v>BSGatlas-TSS-1532</v>
      </c>
      <c r="B1533" s="3">
        <v>1930038</v>
      </c>
      <c r="C1533" s="1" t="s">
        <v>9</v>
      </c>
      <c r="D1533" s="1">
        <v>22</v>
      </c>
      <c r="E1533" s="1" t="s">
        <v>14732</v>
      </c>
      <c r="F1533" s="6"/>
      <c r="G1533" s="1" t="s">
        <v>14726</v>
      </c>
    </row>
    <row r="1534" spans="1:7" ht="21" x14ac:dyDescent="0.25">
      <c r="A1534" s="2" t="str">
        <f>HYPERLINK("https://rth.dk/resources/bsgatlas/details.php?id=BSGatlas-TSS-1533","BSGatlas-TSS-1533")</f>
        <v>BSGatlas-TSS-1533</v>
      </c>
      <c r="B1534" s="3">
        <v>1930249</v>
      </c>
      <c r="C1534" s="1" t="s">
        <v>9</v>
      </c>
      <c r="D1534" s="1">
        <v>0</v>
      </c>
      <c r="E1534" s="1" t="s">
        <v>14849</v>
      </c>
      <c r="F1534" s="6" t="s">
        <v>14948</v>
      </c>
      <c r="G1534" s="1" t="s">
        <v>14729</v>
      </c>
    </row>
    <row r="1535" spans="1:7" ht="21" x14ac:dyDescent="0.25">
      <c r="A1535" s="2" t="str">
        <f>HYPERLINK("https://rth.dk/resources/bsgatlas/details.php?id=BSGatlas-TSS-1534","BSGatlas-TSS-1534")</f>
        <v>BSGatlas-TSS-1534</v>
      </c>
      <c r="B1535" s="3">
        <v>1930250</v>
      </c>
      <c r="C1535" s="1" t="s">
        <v>9</v>
      </c>
      <c r="D1535" s="1">
        <v>0</v>
      </c>
      <c r="E1535" s="1" t="s">
        <v>14743</v>
      </c>
      <c r="F1535" s="6" t="s">
        <v>14948</v>
      </c>
      <c r="G1535" s="1" t="s">
        <v>14729</v>
      </c>
    </row>
    <row r="1536" spans="1:7" ht="21" x14ac:dyDescent="0.25">
      <c r="A1536" s="2" t="str">
        <f>HYPERLINK("https://rth.dk/resources/bsgatlas/details.php?id=BSGatlas-TSS-1535","BSGatlas-TSS-1535")</f>
        <v>BSGatlas-TSS-1535</v>
      </c>
      <c r="B1536" s="3">
        <v>1930742</v>
      </c>
      <c r="C1536" s="1" t="s">
        <v>9</v>
      </c>
      <c r="D1536" s="1">
        <v>22</v>
      </c>
      <c r="E1536" s="1" t="s">
        <v>14722</v>
      </c>
      <c r="F1536" s="6"/>
      <c r="G1536" s="1" t="s">
        <v>14733</v>
      </c>
    </row>
    <row r="1537" spans="1:7" ht="21" x14ac:dyDescent="0.25">
      <c r="A1537" s="2" t="str">
        <f>HYPERLINK("https://rth.dk/resources/bsgatlas/details.php?id=BSGatlas-TSS-1536","BSGatlas-TSS-1536")</f>
        <v>BSGatlas-TSS-1536</v>
      </c>
      <c r="B1537" s="3">
        <v>1931874</v>
      </c>
      <c r="C1537" s="1" t="s">
        <v>13</v>
      </c>
      <c r="D1537" s="1">
        <v>22</v>
      </c>
      <c r="E1537" s="1" t="s">
        <v>14722</v>
      </c>
      <c r="F1537" s="6"/>
      <c r="G1537" s="1" t="s">
        <v>14726</v>
      </c>
    </row>
    <row r="1538" spans="1:7" ht="21" x14ac:dyDescent="0.25">
      <c r="A1538" s="2" t="str">
        <f>HYPERLINK("https://rth.dk/resources/bsgatlas/details.php?id=BSGatlas-TSS-1537","BSGatlas-TSS-1537")</f>
        <v>BSGatlas-TSS-1537</v>
      </c>
      <c r="B1538" s="3">
        <v>1932502</v>
      </c>
      <c r="C1538" s="1" t="s">
        <v>9</v>
      </c>
      <c r="D1538" s="1">
        <v>33</v>
      </c>
      <c r="E1538" s="1" t="s">
        <v>14720</v>
      </c>
      <c r="F1538" s="6"/>
      <c r="G1538" s="1" t="s">
        <v>14721</v>
      </c>
    </row>
    <row r="1539" spans="1:7" ht="21" x14ac:dyDescent="0.25">
      <c r="A1539" s="2" t="str">
        <f>HYPERLINK("https://rth.dk/resources/bsgatlas/details.php?id=BSGatlas-TSS-1538","BSGatlas-TSS-1538")</f>
        <v>BSGatlas-TSS-1538</v>
      </c>
      <c r="B1539" s="3">
        <v>1932544</v>
      </c>
      <c r="C1539" s="1" t="s">
        <v>13</v>
      </c>
      <c r="D1539" s="1">
        <v>22</v>
      </c>
      <c r="E1539" s="1" t="s">
        <v>14722</v>
      </c>
      <c r="F1539" s="6"/>
      <c r="G1539" s="1" t="s">
        <v>14726</v>
      </c>
    </row>
    <row r="1540" spans="1:7" ht="21" x14ac:dyDescent="0.25">
      <c r="A1540" s="2" t="str">
        <f>HYPERLINK("https://rth.dk/resources/bsgatlas/details.php?id=BSGatlas-TSS-1539","BSGatlas-TSS-1539")</f>
        <v>BSGatlas-TSS-1539</v>
      </c>
      <c r="B1540" s="3">
        <v>1932634</v>
      </c>
      <c r="C1540" s="1" t="s">
        <v>9</v>
      </c>
      <c r="D1540" s="1">
        <v>22</v>
      </c>
      <c r="E1540" s="1" t="s">
        <v>14722</v>
      </c>
      <c r="F1540" s="6"/>
      <c r="G1540" s="1" t="s">
        <v>14726</v>
      </c>
    </row>
    <row r="1541" spans="1:7" ht="21" x14ac:dyDescent="0.25">
      <c r="A1541" s="2" t="str">
        <f>HYPERLINK("https://rth.dk/resources/bsgatlas/details.php?id=BSGatlas-TSS-1540","BSGatlas-TSS-1540")</f>
        <v>BSGatlas-TSS-1540</v>
      </c>
      <c r="B1541" s="3">
        <v>1933162</v>
      </c>
      <c r="C1541" s="1" t="s">
        <v>9</v>
      </c>
      <c r="D1541" s="1">
        <v>22</v>
      </c>
      <c r="E1541" s="1" t="s">
        <v>14722</v>
      </c>
      <c r="F1541" s="6"/>
      <c r="G1541" s="1" t="s">
        <v>14733</v>
      </c>
    </row>
    <row r="1542" spans="1:7" ht="21" x14ac:dyDescent="0.25">
      <c r="A1542" s="2" t="str">
        <f>HYPERLINK("https://rth.dk/resources/bsgatlas/details.php?id=BSGatlas-TSS-1541","BSGatlas-TSS-1541")</f>
        <v>BSGatlas-TSS-1541</v>
      </c>
      <c r="B1542" s="3">
        <v>1938452</v>
      </c>
      <c r="C1542" s="1" t="s">
        <v>13</v>
      </c>
      <c r="D1542" s="1">
        <v>22</v>
      </c>
      <c r="E1542" s="1" t="s">
        <v>14722</v>
      </c>
      <c r="F1542" s="6"/>
      <c r="G1542" s="1" t="s">
        <v>14726</v>
      </c>
    </row>
    <row r="1543" spans="1:7" ht="21" x14ac:dyDescent="0.25">
      <c r="A1543" s="2" t="str">
        <f>HYPERLINK("https://rth.dk/resources/bsgatlas/details.php?id=BSGatlas-TSS-1542","BSGatlas-TSS-1542")</f>
        <v>BSGatlas-TSS-1542</v>
      </c>
      <c r="B1543" s="3">
        <v>1938518</v>
      </c>
      <c r="C1543" s="1" t="s">
        <v>13</v>
      </c>
      <c r="D1543" s="1">
        <v>22</v>
      </c>
      <c r="E1543" s="1" t="s">
        <v>14722</v>
      </c>
      <c r="F1543" s="6"/>
      <c r="G1543" s="1" t="s">
        <v>14726</v>
      </c>
    </row>
    <row r="1544" spans="1:7" ht="21" x14ac:dyDescent="0.25">
      <c r="A1544" s="2" t="str">
        <f>HYPERLINK("https://rth.dk/resources/bsgatlas/details.php?id=BSGatlas-TSS-1543","BSGatlas-TSS-1543")</f>
        <v>BSGatlas-TSS-1543</v>
      </c>
      <c r="B1544" s="3">
        <v>1938576</v>
      </c>
      <c r="C1544" s="1" t="s">
        <v>13</v>
      </c>
      <c r="D1544" s="1">
        <v>22</v>
      </c>
      <c r="E1544" s="1" t="s">
        <v>14725</v>
      </c>
      <c r="F1544" s="6"/>
      <c r="G1544" s="1" t="s">
        <v>14726</v>
      </c>
    </row>
    <row r="1545" spans="1:7" ht="21" x14ac:dyDescent="0.25">
      <c r="A1545" s="2" t="str">
        <f>HYPERLINK("https://rth.dk/resources/bsgatlas/details.php?id=BSGatlas-TSS-1544","BSGatlas-TSS-1544")</f>
        <v>BSGatlas-TSS-1544</v>
      </c>
      <c r="B1545" s="3">
        <v>1938847</v>
      </c>
      <c r="C1545" s="1" t="s">
        <v>9</v>
      </c>
      <c r="D1545" s="1">
        <v>22</v>
      </c>
      <c r="E1545" s="1" t="s">
        <v>14722</v>
      </c>
      <c r="F1545" s="6"/>
      <c r="G1545" s="1" t="s">
        <v>14733</v>
      </c>
    </row>
    <row r="1546" spans="1:7" ht="21" x14ac:dyDescent="0.25">
      <c r="A1546" s="2" t="str">
        <f>HYPERLINK("https://rth.dk/resources/bsgatlas/details.php?id=BSGatlas-TSS-1545","BSGatlas-TSS-1545")</f>
        <v>BSGatlas-TSS-1545</v>
      </c>
      <c r="B1546" s="3">
        <v>1940572</v>
      </c>
      <c r="C1546" s="1" t="s">
        <v>9</v>
      </c>
      <c r="D1546" s="1">
        <v>0</v>
      </c>
      <c r="E1546" s="1" t="s">
        <v>14722</v>
      </c>
      <c r="F1546" s="6">
        <v>3106328</v>
      </c>
      <c r="G1546" s="1" t="s">
        <v>14730</v>
      </c>
    </row>
    <row r="1547" spans="1:7" ht="21" x14ac:dyDescent="0.25">
      <c r="A1547" s="2" t="str">
        <f>HYPERLINK("https://rth.dk/resources/bsgatlas/details.php?id=BSGatlas-TSS-1546","BSGatlas-TSS-1546")</f>
        <v>BSGatlas-TSS-1546</v>
      </c>
      <c r="B1547" s="3">
        <v>1941180</v>
      </c>
      <c r="C1547" s="1" t="s">
        <v>13</v>
      </c>
      <c r="D1547" s="1">
        <v>22</v>
      </c>
      <c r="E1547" s="1" t="s">
        <v>14725</v>
      </c>
      <c r="F1547" s="6"/>
      <c r="G1547" s="1" t="s">
        <v>14726</v>
      </c>
    </row>
    <row r="1548" spans="1:7" ht="21" x14ac:dyDescent="0.25">
      <c r="A1548" s="2" t="str">
        <f>HYPERLINK("https://rth.dk/resources/bsgatlas/details.php?id=BSGatlas-TSS-1547","BSGatlas-TSS-1547")</f>
        <v>BSGatlas-TSS-1547</v>
      </c>
      <c r="B1548" s="3">
        <v>1945977</v>
      </c>
      <c r="C1548" s="1" t="s">
        <v>13</v>
      </c>
      <c r="D1548" s="1">
        <v>22</v>
      </c>
      <c r="E1548" s="1" t="s">
        <v>14722</v>
      </c>
      <c r="F1548" s="6"/>
      <c r="G1548" s="1" t="s">
        <v>14733</v>
      </c>
    </row>
    <row r="1549" spans="1:7" ht="21" x14ac:dyDescent="0.25">
      <c r="A1549" s="2" t="str">
        <f>HYPERLINK("https://rth.dk/resources/bsgatlas/details.php?id=BSGatlas-TSS-1548","BSGatlas-TSS-1548")</f>
        <v>BSGatlas-TSS-1548</v>
      </c>
      <c r="B1549" s="3">
        <v>1946230</v>
      </c>
      <c r="C1549" s="1" t="s">
        <v>9</v>
      </c>
      <c r="D1549" s="1">
        <v>22</v>
      </c>
      <c r="E1549" s="1" t="s">
        <v>14722</v>
      </c>
      <c r="F1549" s="6"/>
      <c r="G1549" s="1" t="s">
        <v>14726</v>
      </c>
    </row>
    <row r="1550" spans="1:7" ht="21" x14ac:dyDescent="0.25">
      <c r="A1550" s="2" t="str">
        <f>HYPERLINK("https://rth.dk/resources/bsgatlas/details.php?id=BSGatlas-TSS-1549","BSGatlas-TSS-1549")</f>
        <v>BSGatlas-TSS-1549</v>
      </c>
      <c r="B1550" s="3">
        <v>1947220</v>
      </c>
      <c r="C1550" s="1" t="s">
        <v>9</v>
      </c>
      <c r="D1550" s="1">
        <v>22</v>
      </c>
      <c r="E1550" s="1" t="s">
        <v>14722</v>
      </c>
      <c r="F1550" s="6"/>
      <c r="G1550" s="1" t="s">
        <v>14726</v>
      </c>
    </row>
    <row r="1551" spans="1:7" ht="21" x14ac:dyDescent="0.25">
      <c r="A1551" s="2" t="str">
        <f>HYPERLINK("https://rth.dk/resources/bsgatlas/details.php?id=BSGatlas-TSS-1550","BSGatlas-TSS-1550")</f>
        <v>BSGatlas-TSS-1550</v>
      </c>
      <c r="B1551" s="3">
        <v>1949584</v>
      </c>
      <c r="C1551" s="1" t="s">
        <v>13</v>
      </c>
      <c r="D1551" s="1">
        <v>22</v>
      </c>
      <c r="E1551" s="1" t="s">
        <v>14732</v>
      </c>
      <c r="F1551" s="6"/>
      <c r="G1551" s="1" t="s">
        <v>14733</v>
      </c>
    </row>
    <row r="1552" spans="1:7" ht="21" x14ac:dyDescent="0.25">
      <c r="A1552" s="2" t="str">
        <f>HYPERLINK("https://rth.dk/resources/bsgatlas/details.php?id=BSGatlas-TSS-1551","BSGatlas-TSS-1551")</f>
        <v>BSGatlas-TSS-1551</v>
      </c>
      <c r="B1552" s="3">
        <v>1954634</v>
      </c>
      <c r="C1552" s="1" t="s">
        <v>9</v>
      </c>
      <c r="D1552" s="1">
        <v>22</v>
      </c>
      <c r="E1552" s="1" t="s">
        <v>14720</v>
      </c>
      <c r="F1552" s="6"/>
      <c r="G1552" s="1" t="s">
        <v>14726</v>
      </c>
    </row>
    <row r="1553" spans="1:7" ht="21" x14ac:dyDescent="0.25">
      <c r="A1553" s="2" t="str">
        <f>HYPERLINK("https://rth.dk/resources/bsgatlas/details.php?id=BSGatlas-TSS-1552","BSGatlas-TSS-1552")</f>
        <v>BSGatlas-TSS-1552</v>
      </c>
      <c r="B1553" s="3">
        <v>1957383</v>
      </c>
      <c r="C1553" s="1" t="s">
        <v>13</v>
      </c>
      <c r="D1553" s="1">
        <v>0</v>
      </c>
      <c r="E1553" s="1" t="s">
        <v>14735</v>
      </c>
      <c r="F1553" s="6" t="s">
        <v>14767</v>
      </c>
      <c r="G1553" s="1" t="s">
        <v>14729</v>
      </c>
    </row>
    <row r="1554" spans="1:7" ht="21" x14ac:dyDescent="0.25">
      <c r="A1554" s="2" t="str">
        <f>HYPERLINK("https://rth.dk/resources/bsgatlas/details.php?id=BSGatlas-TSS-1553","BSGatlas-TSS-1553")</f>
        <v>BSGatlas-TSS-1553</v>
      </c>
      <c r="B1554" s="3">
        <v>1959597</v>
      </c>
      <c r="C1554" s="1" t="s">
        <v>13</v>
      </c>
      <c r="D1554" s="1">
        <v>0</v>
      </c>
      <c r="E1554" s="1" t="s">
        <v>14725</v>
      </c>
      <c r="F1554" s="6" t="s">
        <v>14829</v>
      </c>
      <c r="G1554" s="1" t="s">
        <v>14729</v>
      </c>
    </row>
    <row r="1555" spans="1:7" ht="21" x14ac:dyDescent="0.25">
      <c r="A1555" s="2" t="str">
        <f>HYPERLINK("https://rth.dk/resources/bsgatlas/details.php?id=BSGatlas-TSS-1554","BSGatlas-TSS-1554")</f>
        <v>BSGatlas-TSS-1554</v>
      </c>
      <c r="B1555" s="3">
        <v>1960122</v>
      </c>
      <c r="C1555" s="1" t="s">
        <v>13</v>
      </c>
      <c r="D1555" s="1">
        <v>22</v>
      </c>
      <c r="E1555" s="1" t="s">
        <v>14732</v>
      </c>
      <c r="F1555" s="6"/>
      <c r="G1555" s="1" t="s">
        <v>14726</v>
      </c>
    </row>
    <row r="1556" spans="1:7" ht="21" x14ac:dyDescent="0.25">
      <c r="A1556" s="2" t="str">
        <f>HYPERLINK("https://rth.dk/resources/bsgatlas/details.php?id=BSGatlas-TSS-1555","BSGatlas-TSS-1555")</f>
        <v>BSGatlas-TSS-1555</v>
      </c>
      <c r="B1556" s="3">
        <v>1967086</v>
      </c>
      <c r="C1556" s="1" t="s">
        <v>9</v>
      </c>
      <c r="D1556" s="1">
        <v>22</v>
      </c>
      <c r="E1556" s="1" t="s">
        <v>14722</v>
      </c>
      <c r="F1556" s="6"/>
      <c r="G1556" s="1" t="s">
        <v>14726</v>
      </c>
    </row>
    <row r="1557" spans="1:7" ht="21" x14ac:dyDescent="0.25">
      <c r="A1557" s="2" t="str">
        <f>HYPERLINK("https://rth.dk/resources/bsgatlas/details.php?id=BSGatlas-TSS-1556","BSGatlas-TSS-1556")</f>
        <v>BSGatlas-TSS-1556</v>
      </c>
      <c r="B1557" s="3">
        <v>1986280</v>
      </c>
      <c r="C1557" s="1" t="s">
        <v>13</v>
      </c>
      <c r="D1557" s="1">
        <v>22</v>
      </c>
      <c r="E1557" s="1" t="s">
        <v>14720</v>
      </c>
      <c r="F1557" s="6"/>
      <c r="G1557" s="1" t="s">
        <v>14726</v>
      </c>
    </row>
    <row r="1558" spans="1:7" ht="21" x14ac:dyDescent="0.25">
      <c r="A1558" s="2" t="str">
        <f>HYPERLINK("https://rth.dk/resources/bsgatlas/details.php?id=BSGatlas-TSS-1557","BSGatlas-TSS-1557")</f>
        <v>BSGatlas-TSS-1557</v>
      </c>
      <c r="B1558" s="3">
        <v>1986600</v>
      </c>
      <c r="C1558" s="1" t="s">
        <v>9</v>
      </c>
      <c r="D1558" s="1">
        <v>22</v>
      </c>
      <c r="E1558" s="1" t="s">
        <v>14722</v>
      </c>
      <c r="F1558" s="6"/>
      <c r="G1558" s="1" t="s">
        <v>14726</v>
      </c>
    </row>
    <row r="1559" spans="1:7" ht="21" x14ac:dyDescent="0.25">
      <c r="A1559" s="2" t="str">
        <f>HYPERLINK("https://rth.dk/resources/bsgatlas/details.php?id=BSGatlas-TSS-1558","BSGatlas-TSS-1558")</f>
        <v>BSGatlas-TSS-1558</v>
      </c>
      <c r="B1559" s="3">
        <v>1998066</v>
      </c>
      <c r="C1559" s="1" t="s">
        <v>13</v>
      </c>
      <c r="D1559" s="1">
        <v>22</v>
      </c>
      <c r="E1559" s="1" t="s">
        <v>14722</v>
      </c>
      <c r="F1559" s="6"/>
      <c r="G1559" s="1" t="s">
        <v>14733</v>
      </c>
    </row>
    <row r="1560" spans="1:7" ht="21" x14ac:dyDescent="0.25">
      <c r="A1560" s="2" t="str">
        <f>HYPERLINK("https://rth.dk/resources/bsgatlas/details.php?id=BSGatlas-TSS-1559","BSGatlas-TSS-1559")</f>
        <v>BSGatlas-TSS-1559</v>
      </c>
      <c r="B1560" s="3">
        <v>2000867</v>
      </c>
      <c r="C1560" s="1" t="s">
        <v>13</v>
      </c>
      <c r="D1560" s="1">
        <v>22</v>
      </c>
      <c r="E1560" s="1" t="s">
        <v>14745</v>
      </c>
      <c r="F1560" s="6"/>
      <c r="G1560" s="1" t="s">
        <v>14726</v>
      </c>
    </row>
    <row r="1561" spans="1:7" ht="21" x14ac:dyDescent="0.25">
      <c r="A1561" s="2" t="str">
        <f>HYPERLINK("https://rth.dk/resources/bsgatlas/details.php?id=BSGatlas-TSS-1560","BSGatlas-TSS-1560")</f>
        <v>BSGatlas-TSS-1560</v>
      </c>
      <c r="B1561" s="3">
        <v>2002172</v>
      </c>
      <c r="C1561" s="1" t="s">
        <v>9</v>
      </c>
      <c r="D1561" s="1">
        <v>22</v>
      </c>
      <c r="E1561" s="1" t="s">
        <v>14734</v>
      </c>
      <c r="F1561" s="6"/>
      <c r="G1561" s="1" t="s">
        <v>14733</v>
      </c>
    </row>
    <row r="1562" spans="1:7" ht="21" x14ac:dyDescent="0.25">
      <c r="A1562" s="2" t="str">
        <f>HYPERLINK("https://rth.dk/resources/bsgatlas/details.php?id=BSGatlas-TSS-1561","BSGatlas-TSS-1561")</f>
        <v>BSGatlas-TSS-1561</v>
      </c>
      <c r="B1562" s="3">
        <v>2002456</v>
      </c>
      <c r="C1562" s="1" t="s">
        <v>13</v>
      </c>
      <c r="D1562" s="1">
        <v>22</v>
      </c>
      <c r="E1562" s="1" t="s">
        <v>14720</v>
      </c>
      <c r="F1562" s="6"/>
      <c r="G1562" s="1" t="s">
        <v>14733</v>
      </c>
    </row>
    <row r="1563" spans="1:7" ht="21" x14ac:dyDescent="0.25">
      <c r="A1563" s="2" t="str">
        <f>HYPERLINK("https://rth.dk/resources/bsgatlas/details.php?id=BSGatlas-TSS-1562","BSGatlas-TSS-1562")</f>
        <v>BSGatlas-TSS-1562</v>
      </c>
      <c r="B1563" s="3">
        <v>2002507</v>
      </c>
      <c r="C1563" s="1" t="s">
        <v>9</v>
      </c>
      <c r="D1563" s="1">
        <v>22</v>
      </c>
      <c r="E1563" s="1" t="s">
        <v>14727</v>
      </c>
      <c r="F1563" s="6"/>
      <c r="G1563" s="1" t="s">
        <v>14726</v>
      </c>
    </row>
    <row r="1564" spans="1:7" ht="21" x14ac:dyDescent="0.25">
      <c r="A1564" s="2" t="str">
        <f>HYPERLINK("https://rth.dk/resources/bsgatlas/details.php?id=BSGatlas-TSS-1563","BSGatlas-TSS-1563")</f>
        <v>BSGatlas-TSS-1563</v>
      </c>
      <c r="B1564" s="3">
        <v>2002588</v>
      </c>
      <c r="C1564" s="1" t="s">
        <v>9</v>
      </c>
      <c r="D1564" s="1">
        <v>22</v>
      </c>
      <c r="E1564" s="1" t="s">
        <v>14722</v>
      </c>
      <c r="F1564" s="6"/>
      <c r="G1564" s="1" t="s">
        <v>14726</v>
      </c>
    </row>
    <row r="1565" spans="1:7" ht="21" x14ac:dyDescent="0.25">
      <c r="A1565" s="2" t="str">
        <f>HYPERLINK("https://rth.dk/resources/bsgatlas/details.php?id=BSGatlas-TSS-1564","BSGatlas-TSS-1564")</f>
        <v>BSGatlas-TSS-1564</v>
      </c>
      <c r="B1565" s="3">
        <v>2004000</v>
      </c>
      <c r="C1565" s="1" t="s">
        <v>13</v>
      </c>
      <c r="D1565" s="1">
        <v>22</v>
      </c>
      <c r="E1565" s="1" t="s">
        <v>14722</v>
      </c>
      <c r="F1565" s="6"/>
      <c r="G1565" s="1" t="s">
        <v>14726</v>
      </c>
    </row>
    <row r="1566" spans="1:7" ht="21" x14ac:dyDescent="0.25">
      <c r="A1566" s="2" t="str">
        <f>HYPERLINK("https://rth.dk/resources/bsgatlas/details.php?id=BSGatlas-TSS-1565","BSGatlas-TSS-1565")</f>
        <v>BSGatlas-TSS-1565</v>
      </c>
      <c r="B1566" s="3">
        <v>2004530</v>
      </c>
      <c r="C1566" s="1" t="s">
        <v>13</v>
      </c>
      <c r="D1566" s="1">
        <v>22</v>
      </c>
      <c r="E1566" s="1" t="s">
        <v>14722</v>
      </c>
      <c r="F1566" s="6"/>
      <c r="G1566" s="1" t="s">
        <v>14726</v>
      </c>
    </row>
    <row r="1567" spans="1:7" ht="21" x14ac:dyDescent="0.25">
      <c r="A1567" s="2" t="str">
        <f>HYPERLINK("https://rth.dk/resources/bsgatlas/details.php?id=BSGatlas-TSS-1566","BSGatlas-TSS-1566")</f>
        <v>BSGatlas-TSS-1566</v>
      </c>
      <c r="B1567" s="3">
        <v>2004594</v>
      </c>
      <c r="C1567" s="1" t="s">
        <v>13</v>
      </c>
      <c r="D1567" s="1">
        <v>22</v>
      </c>
      <c r="E1567" s="1" t="s">
        <v>14722</v>
      </c>
      <c r="F1567" s="6"/>
      <c r="G1567" s="1" t="s">
        <v>14726</v>
      </c>
    </row>
    <row r="1568" spans="1:7" ht="21" x14ac:dyDescent="0.25">
      <c r="A1568" s="2" t="str">
        <f>HYPERLINK("https://rth.dk/resources/bsgatlas/details.php?id=BSGatlas-TSS-1567","BSGatlas-TSS-1567")</f>
        <v>BSGatlas-TSS-1567</v>
      </c>
      <c r="B1568" s="3">
        <v>2004632</v>
      </c>
      <c r="C1568" s="1" t="s">
        <v>9</v>
      </c>
      <c r="D1568" s="1">
        <v>22</v>
      </c>
      <c r="E1568" s="1" t="s">
        <v>14722</v>
      </c>
      <c r="F1568" s="6"/>
      <c r="G1568" s="1" t="s">
        <v>14726</v>
      </c>
    </row>
    <row r="1569" spans="1:7" ht="21" x14ac:dyDescent="0.25">
      <c r="A1569" s="2" t="str">
        <f>HYPERLINK("https://rth.dk/resources/bsgatlas/details.php?id=BSGatlas-TSS-1568","BSGatlas-TSS-1568")</f>
        <v>BSGatlas-TSS-1568</v>
      </c>
      <c r="B1569" s="3">
        <v>2007464</v>
      </c>
      <c r="C1569" s="1" t="s">
        <v>13</v>
      </c>
      <c r="D1569" s="1">
        <v>22</v>
      </c>
      <c r="E1569" s="1" t="s">
        <v>14722</v>
      </c>
      <c r="F1569" s="6"/>
      <c r="G1569" s="1" t="s">
        <v>14726</v>
      </c>
    </row>
    <row r="1570" spans="1:7" ht="21" x14ac:dyDescent="0.25">
      <c r="A1570" s="2" t="str">
        <f>HYPERLINK("https://rth.dk/resources/bsgatlas/details.php?id=BSGatlas-TSS-1569","BSGatlas-TSS-1569")</f>
        <v>BSGatlas-TSS-1569</v>
      </c>
      <c r="B1570" s="3">
        <v>2013153</v>
      </c>
      <c r="C1570" s="1" t="s">
        <v>9</v>
      </c>
      <c r="D1570" s="1">
        <v>22</v>
      </c>
      <c r="E1570" s="1" t="s">
        <v>14720</v>
      </c>
      <c r="F1570" s="6"/>
      <c r="G1570" s="1" t="s">
        <v>14726</v>
      </c>
    </row>
    <row r="1571" spans="1:7" ht="21" x14ac:dyDescent="0.25">
      <c r="A1571" s="2" t="str">
        <f>HYPERLINK("https://rth.dk/resources/bsgatlas/details.php?id=BSGatlas-TSS-1570","BSGatlas-TSS-1570")</f>
        <v>BSGatlas-TSS-1570</v>
      </c>
      <c r="B1571" s="3">
        <v>2014688</v>
      </c>
      <c r="C1571" s="1" t="s">
        <v>13</v>
      </c>
      <c r="D1571" s="1">
        <v>0</v>
      </c>
      <c r="E1571" s="1" t="s">
        <v>14722</v>
      </c>
      <c r="F1571" s="6" t="s">
        <v>14949</v>
      </c>
      <c r="G1571" s="1" t="s">
        <v>14724</v>
      </c>
    </row>
    <row r="1572" spans="1:7" ht="21" x14ac:dyDescent="0.25">
      <c r="A1572" s="2" t="str">
        <f>HYPERLINK("https://rth.dk/resources/bsgatlas/details.php?id=BSGatlas-TSS-1571","BSGatlas-TSS-1571")</f>
        <v>BSGatlas-TSS-1571</v>
      </c>
      <c r="B1572" s="3">
        <v>2014739</v>
      </c>
      <c r="C1572" s="1" t="s">
        <v>9</v>
      </c>
      <c r="D1572" s="1">
        <v>0</v>
      </c>
      <c r="E1572" s="1" t="s">
        <v>14722</v>
      </c>
      <c r="F1572" s="6" t="s">
        <v>14950</v>
      </c>
      <c r="G1572" s="1" t="s">
        <v>14729</v>
      </c>
    </row>
    <row r="1573" spans="1:7" ht="21" x14ac:dyDescent="0.25">
      <c r="A1573" s="2" t="str">
        <f>HYPERLINK("https://rth.dk/resources/bsgatlas/details.php?id=BSGatlas-TSS-1572","BSGatlas-TSS-1572")</f>
        <v>BSGatlas-TSS-1572</v>
      </c>
      <c r="B1573" s="3">
        <v>2017746</v>
      </c>
      <c r="C1573" s="1" t="s">
        <v>13</v>
      </c>
      <c r="D1573" s="1">
        <v>0</v>
      </c>
      <c r="E1573" s="1" t="s">
        <v>14722</v>
      </c>
      <c r="F1573" s="6">
        <v>21784929</v>
      </c>
      <c r="G1573" s="1" t="s">
        <v>14747</v>
      </c>
    </row>
    <row r="1574" spans="1:7" ht="21" x14ac:dyDescent="0.25">
      <c r="A1574" s="2" t="str">
        <f>HYPERLINK("https://rth.dk/resources/bsgatlas/details.php?id=BSGatlas-TSS-1573","BSGatlas-TSS-1573")</f>
        <v>BSGatlas-TSS-1573</v>
      </c>
      <c r="B1574" s="3">
        <v>2017809</v>
      </c>
      <c r="C1574" s="1" t="s">
        <v>13</v>
      </c>
      <c r="D1574" s="1">
        <v>22</v>
      </c>
      <c r="E1574" s="1" t="s">
        <v>14727</v>
      </c>
      <c r="F1574" s="6"/>
      <c r="G1574" s="1" t="s">
        <v>14726</v>
      </c>
    </row>
    <row r="1575" spans="1:7" ht="21" x14ac:dyDescent="0.25">
      <c r="A1575" s="2" t="str">
        <f>HYPERLINK("https://rth.dk/resources/bsgatlas/details.php?id=BSGatlas-TSS-1574","BSGatlas-TSS-1574")</f>
        <v>BSGatlas-TSS-1574</v>
      </c>
      <c r="B1575" s="3">
        <v>2018312</v>
      </c>
      <c r="C1575" s="1" t="s">
        <v>13</v>
      </c>
      <c r="D1575" s="1">
        <v>22</v>
      </c>
      <c r="E1575" s="1" t="s">
        <v>14745</v>
      </c>
      <c r="F1575" s="6"/>
      <c r="G1575" s="1" t="s">
        <v>14726</v>
      </c>
    </row>
    <row r="1576" spans="1:7" ht="21" x14ac:dyDescent="0.25">
      <c r="A1576" s="2" t="str">
        <f>HYPERLINK("https://rth.dk/resources/bsgatlas/details.php?id=BSGatlas-TSS-1575","BSGatlas-TSS-1575")</f>
        <v>BSGatlas-TSS-1575</v>
      </c>
      <c r="B1576" s="3">
        <v>2018433</v>
      </c>
      <c r="C1576" s="1" t="s">
        <v>13</v>
      </c>
      <c r="D1576" s="1">
        <v>22</v>
      </c>
      <c r="E1576" s="1" t="s">
        <v>14722</v>
      </c>
      <c r="F1576" s="6"/>
      <c r="G1576" s="1" t="s">
        <v>14733</v>
      </c>
    </row>
    <row r="1577" spans="1:7" ht="21" x14ac:dyDescent="0.25">
      <c r="A1577" s="2" t="str">
        <f>HYPERLINK("https://rth.dk/resources/bsgatlas/details.php?id=BSGatlas-TSS-1576","BSGatlas-TSS-1576")</f>
        <v>BSGatlas-TSS-1576</v>
      </c>
      <c r="B1577" s="3">
        <v>2019317</v>
      </c>
      <c r="C1577" s="1" t="s">
        <v>13</v>
      </c>
      <c r="D1577" s="1">
        <v>22</v>
      </c>
      <c r="E1577" s="1" t="s">
        <v>14722</v>
      </c>
      <c r="F1577" s="6"/>
      <c r="G1577" s="1" t="s">
        <v>14726</v>
      </c>
    </row>
    <row r="1578" spans="1:7" ht="21" x14ac:dyDescent="0.25">
      <c r="A1578" s="2" t="str">
        <f>HYPERLINK("https://rth.dk/resources/bsgatlas/details.php?id=BSGatlas-TSS-1577","BSGatlas-TSS-1577")</f>
        <v>BSGatlas-TSS-1577</v>
      </c>
      <c r="B1578" s="3">
        <v>2019396</v>
      </c>
      <c r="C1578" s="1" t="s">
        <v>9</v>
      </c>
      <c r="D1578" s="1">
        <v>22</v>
      </c>
      <c r="E1578" s="1" t="s">
        <v>14734</v>
      </c>
      <c r="F1578" s="6"/>
      <c r="G1578" s="1" t="s">
        <v>14726</v>
      </c>
    </row>
    <row r="1579" spans="1:7" ht="21" x14ac:dyDescent="0.25">
      <c r="A1579" s="2" t="str">
        <f>HYPERLINK("https://rth.dk/resources/bsgatlas/details.php?id=BSGatlas-TSS-1578","BSGatlas-TSS-1578")</f>
        <v>BSGatlas-TSS-1578</v>
      </c>
      <c r="B1579" s="3">
        <v>2020568</v>
      </c>
      <c r="C1579" s="1" t="s">
        <v>9</v>
      </c>
      <c r="D1579" s="1">
        <v>22</v>
      </c>
      <c r="E1579" s="1" t="s">
        <v>14722</v>
      </c>
      <c r="F1579" s="6"/>
      <c r="G1579" s="1" t="s">
        <v>14726</v>
      </c>
    </row>
    <row r="1580" spans="1:7" ht="21" x14ac:dyDescent="0.25">
      <c r="A1580" s="2" t="str">
        <f>HYPERLINK("https://rth.dk/resources/bsgatlas/details.php?id=BSGatlas-TSS-1579","BSGatlas-TSS-1579")</f>
        <v>BSGatlas-TSS-1579</v>
      </c>
      <c r="B1580" s="3">
        <v>2025291</v>
      </c>
      <c r="C1580" s="1" t="s">
        <v>13</v>
      </c>
      <c r="D1580" s="1">
        <v>22</v>
      </c>
      <c r="E1580" s="1" t="s">
        <v>14722</v>
      </c>
      <c r="F1580" s="6"/>
      <c r="G1580" s="1" t="s">
        <v>14726</v>
      </c>
    </row>
    <row r="1581" spans="1:7" ht="21" x14ac:dyDescent="0.25">
      <c r="A1581" s="2" t="str">
        <f>HYPERLINK("https://rth.dk/resources/bsgatlas/details.php?id=BSGatlas-TSS-1580","BSGatlas-TSS-1580")</f>
        <v>BSGatlas-TSS-1580</v>
      </c>
      <c r="B1581" s="3">
        <v>2025358</v>
      </c>
      <c r="C1581" s="1" t="s">
        <v>9</v>
      </c>
      <c r="D1581" s="1">
        <v>22</v>
      </c>
      <c r="E1581" s="1" t="s">
        <v>14722</v>
      </c>
      <c r="F1581" s="6"/>
      <c r="G1581" s="1" t="s">
        <v>14726</v>
      </c>
    </row>
    <row r="1582" spans="1:7" ht="21" x14ac:dyDescent="0.25">
      <c r="A1582" s="2" t="str">
        <f>HYPERLINK("https://rth.dk/resources/bsgatlas/details.php?id=BSGatlas-TSS-1581","BSGatlas-TSS-1581")</f>
        <v>BSGatlas-TSS-1581</v>
      </c>
      <c r="B1582" s="3">
        <v>2027475</v>
      </c>
      <c r="C1582" s="1" t="s">
        <v>9</v>
      </c>
      <c r="D1582" s="1">
        <v>22</v>
      </c>
      <c r="E1582" s="1" t="s">
        <v>14739</v>
      </c>
      <c r="F1582" s="6"/>
      <c r="G1582" s="1" t="s">
        <v>14726</v>
      </c>
    </row>
    <row r="1583" spans="1:7" ht="21" x14ac:dyDescent="0.25">
      <c r="A1583" s="2" t="str">
        <f>HYPERLINK("https://rth.dk/resources/bsgatlas/details.php?id=BSGatlas-TSS-1582","BSGatlas-TSS-1582")</f>
        <v>BSGatlas-TSS-1582</v>
      </c>
      <c r="B1583" s="3">
        <v>2028675</v>
      </c>
      <c r="C1583" s="1" t="s">
        <v>13</v>
      </c>
      <c r="D1583" s="1">
        <v>22</v>
      </c>
      <c r="E1583" s="1" t="s">
        <v>14739</v>
      </c>
      <c r="F1583" s="6"/>
      <c r="G1583" s="1" t="s">
        <v>14733</v>
      </c>
    </row>
    <row r="1584" spans="1:7" ht="21" x14ac:dyDescent="0.25">
      <c r="A1584" s="2" t="str">
        <f>HYPERLINK("https://rth.dk/resources/bsgatlas/details.php?id=BSGatlas-TSS-1583","BSGatlas-TSS-1583")</f>
        <v>BSGatlas-TSS-1583</v>
      </c>
      <c r="B1584" s="3">
        <v>2028815</v>
      </c>
      <c r="C1584" s="1" t="s">
        <v>9</v>
      </c>
      <c r="D1584" s="1">
        <v>0</v>
      </c>
      <c r="E1584" s="1" t="s">
        <v>14743</v>
      </c>
      <c r="F1584" s="6" t="s">
        <v>14813</v>
      </c>
      <c r="G1584" s="1" t="s">
        <v>14724</v>
      </c>
    </row>
    <row r="1585" spans="1:7" ht="21" x14ac:dyDescent="0.25">
      <c r="A1585" s="2" t="str">
        <f>HYPERLINK("https://rth.dk/resources/bsgatlas/details.php?id=BSGatlas-TSS-1584","BSGatlas-TSS-1584")</f>
        <v>BSGatlas-TSS-1584</v>
      </c>
      <c r="B1585" s="3">
        <v>2031202</v>
      </c>
      <c r="C1585" s="1" t="s">
        <v>13</v>
      </c>
      <c r="D1585" s="1">
        <v>22</v>
      </c>
      <c r="E1585" s="1" t="s">
        <v>14752</v>
      </c>
      <c r="F1585" s="6"/>
      <c r="G1585" s="1" t="s">
        <v>14733</v>
      </c>
    </row>
    <row r="1586" spans="1:7" ht="21" x14ac:dyDescent="0.25">
      <c r="A1586" s="2" t="str">
        <f>HYPERLINK("https://rth.dk/resources/bsgatlas/details.php?id=BSGatlas-TSS-1585","BSGatlas-TSS-1585")</f>
        <v>BSGatlas-TSS-1585</v>
      </c>
      <c r="B1586" s="3">
        <v>2031390</v>
      </c>
      <c r="C1586" s="1" t="s">
        <v>9</v>
      </c>
      <c r="D1586" s="1">
        <v>22</v>
      </c>
      <c r="E1586" s="1" t="s">
        <v>14725</v>
      </c>
      <c r="F1586" s="6"/>
      <c r="G1586" s="1" t="s">
        <v>14726</v>
      </c>
    </row>
    <row r="1587" spans="1:7" ht="21" x14ac:dyDescent="0.25">
      <c r="A1587" s="2" t="str">
        <f>HYPERLINK("https://rth.dk/resources/bsgatlas/details.php?id=BSGatlas-TSS-1586","BSGatlas-TSS-1586")</f>
        <v>BSGatlas-TSS-1586</v>
      </c>
      <c r="B1587" s="3">
        <v>2033679</v>
      </c>
      <c r="C1587" s="1" t="s">
        <v>13</v>
      </c>
      <c r="D1587" s="1">
        <v>22</v>
      </c>
      <c r="E1587" s="1" t="s">
        <v>14722</v>
      </c>
      <c r="F1587" s="6"/>
      <c r="G1587" s="1" t="s">
        <v>14726</v>
      </c>
    </row>
    <row r="1588" spans="1:7" ht="21" x14ac:dyDescent="0.25">
      <c r="A1588" s="2" t="str">
        <f>HYPERLINK("https://rth.dk/resources/bsgatlas/details.php?id=BSGatlas-TSS-1587","BSGatlas-TSS-1587")</f>
        <v>BSGatlas-TSS-1587</v>
      </c>
      <c r="B1588" s="3">
        <v>2036012</v>
      </c>
      <c r="C1588" s="1" t="s">
        <v>9</v>
      </c>
      <c r="D1588" s="1">
        <v>22</v>
      </c>
      <c r="E1588" s="1" t="s">
        <v>14732</v>
      </c>
      <c r="F1588" s="6"/>
      <c r="G1588" s="1" t="s">
        <v>14726</v>
      </c>
    </row>
    <row r="1589" spans="1:7" ht="21" x14ac:dyDescent="0.25">
      <c r="A1589" s="2" t="str">
        <f>HYPERLINK("https://rth.dk/resources/bsgatlas/details.php?id=BSGatlas-TSS-1588","BSGatlas-TSS-1588")</f>
        <v>BSGatlas-TSS-1588</v>
      </c>
      <c r="B1589" s="3">
        <v>2037470</v>
      </c>
      <c r="C1589" s="1" t="s">
        <v>13</v>
      </c>
      <c r="D1589" s="1">
        <v>22</v>
      </c>
      <c r="E1589" s="1" t="s">
        <v>14722</v>
      </c>
      <c r="F1589" s="6"/>
      <c r="G1589" s="1" t="s">
        <v>14733</v>
      </c>
    </row>
    <row r="1590" spans="1:7" ht="21" x14ac:dyDescent="0.25">
      <c r="A1590" s="2" t="str">
        <f>HYPERLINK("https://rth.dk/resources/bsgatlas/details.php?id=BSGatlas-TSS-1589","BSGatlas-TSS-1589")</f>
        <v>BSGatlas-TSS-1589</v>
      </c>
      <c r="B1590" s="3">
        <v>2038809</v>
      </c>
      <c r="C1590" s="1" t="s">
        <v>13</v>
      </c>
      <c r="D1590" s="1">
        <v>0</v>
      </c>
      <c r="E1590" s="1" t="s">
        <v>14725</v>
      </c>
      <c r="F1590" s="6" t="s">
        <v>14951</v>
      </c>
      <c r="G1590" s="1" t="s">
        <v>14729</v>
      </c>
    </row>
    <row r="1591" spans="1:7" ht="21" x14ac:dyDescent="0.25">
      <c r="A1591" s="2" t="str">
        <f>HYPERLINK("https://rth.dk/resources/bsgatlas/details.php?id=BSGatlas-TSS-1590","BSGatlas-TSS-1590")</f>
        <v>BSGatlas-TSS-1590</v>
      </c>
      <c r="B1591" s="3">
        <v>2040654</v>
      </c>
      <c r="C1591" s="1" t="s">
        <v>9</v>
      </c>
      <c r="D1591" s="1">
        <v>22</v>
      </c>
      <c r="E1591" s="1" t="s">
        <v>14727</v>
      </c>
      <c r="F1591" s="6"/>
      <c r="G1591" s="1" t="s">
        <v>14726</v>
      </c>
    </row>
    <row r="1592" spans="1:7" ht="21" x14ac:dyDescent="0.25">
      <c r="A1592" s="2" t="str">
        <f>HYPERLINK("https://rth.dk/resources/bsgatlas/details.php?id=BSGatlas-TSS-1591","BSGatlas-TSS-1591")</f>
        <v>BSGatlas-TSS-1591</v>
      </c>
      <c r="B1592" s="3">
        <v>2042856</v>
      </c>
      <c r="C1592" s="1" t="s">
        <v>13</v>
      </c>
      <c r="D1592" s="1">
        <v>0</v>
      </c>
      <c r="E1592" s="1" t="s">
        <v>14743</v>
      </c>
      <c r="F1592" s="6">
        <v>16497325</v>
      </c>
      <c r="G1592" s="1" t="s">
        <v>14730</v>
      </c>
    </row>
    <row r="1593" spans="1:7" ht="21" x14ac:dyDescent="0.25">
      <c r="A1593" s="2" t="str">
        <f>HYPERLINK("https://rth.dk/resources/bsgatlas/details.php?id=BSGatlas-TSS-1592","BSGatlas-TSS-1592")</f>
        <v>BSGatlas-TSS-1592</v>
      </c>
      <c r="B1593" s="3">
        <v>2043139</v>
      </c>
      <c r="C1593" s="1" t="s">
        <v>9</v>
      </c>
      <c r="D1593" s="1">
        <v>22</v>
      </c>
      <c r="E1593" s="1" t="s">
        <v>14722</v>
      </c>
      <c r="F1593" s="6"/>
      <c r="G1593" s="1" t="s">
        <v>14726</v>
      </c>
    </row>
    <row r="1594" spans="1:7" ht="21" x14ac:dyDescent="0.25">
      <c r="A1594" s="2" t="str">
        <f>HYPERLINK("https://rth.dk/resources/bsgatlas/details.php?id=BSGatlas-TSS-1593","BSGatlas-TSS-1593")</f>
        <v>BSGatlas-TSS-1593</v>
      </c>
      <c r="B1594" s="3">
        <v>2047439</v>
      </c>
      <c r="C1594" s="1" t="s">
        <v>13</v>
      </c>
      <c r="D1594" s="1">
        <v>22</v>
      </c>
      <c r="E1594" s="1" t="s">
        <v>14722</v>
      </c>
      <c r="F1594" s="6"/>
      <c r="G1594" s="1" t="s">
        <v>14726</v>
      </c>
    </row>
    <row r="1595" spans="1:7" ht="21" x14ac:dyDescent="0.25">
      <c r="A1595" s="2" t="str">
        <f>HYPERLINK("https://rth.dk/resources/bsgatlas/details.php?id=BSGatlas-TSS-1594","BSGatlas-TSS-1594")</f>
        <v>BSGatlas-TSS-1594</v>
      </c>
      <c r="B1595" s="3">
        <v>2047678</v>
      </c>
      <c r="C1595" s="1" t="s">
        <v>13</v>
      </c>
      <c r="D1595" s="1">
        <v>0</v>
      </c>
      <c r="E1595" s="1" t="s">
        <v>14735</v>
      </c>
      <c r="F1595" s="6" t="s">
        <v>14952</v>
      </c>
      <c r="G1595" s="1" t="s">
        <v>14724</v>
      </c>
    </row>
    <row r="1596" spans="1:7" ht="21" x14ac:dyDescent="0.25">
      <c r="A1596" s="2" t="str">
        <f>HYPERLINK("https://rth.dk/resources/bsgatlas/details.php?id=BSGatlas-TSS-1595","BSGatlas-TSS-1595")</f>
        <v>BSGatlas-TSS-1595</v>
      </c>
      <c r="B1596" s="3">
        <v>2048471</v>
      </c>
      <c r="C1596" s="1" t="s">
        <v>9</v>
      </c>
      <c r="D1596" s="1">
        <v>22</v>
      </c>
      <c r="E1596" s="1" t="s">
        <v>14722</v>
      </c>
      <c r="F1596" s="6"/>
      <c r="G1596" s="1" t="s">
        <v>14726</v>
      </c>
    </row>
    <row r="1597" spans="1:7" ht="21" x14ac:dyDescent="0.25">
      <c r="A1597" s="2" t="str">
        <f>HYPERLINK("https://rth.dk/resources/bsgatlas/details.php?id=BSGatlas-TSS-1596","BSGatlas-TSS-1596")</f>
        <v>BSGatlas-TSS-1596</v>
      </c>
      <c r="B1597" s="3">
        <v>2048979</v>
      </c>
      <c r="C1597" s="1" t="s">
        <v>13</v>
      </c>
      <c r="D1597" s="1">
        <v>22</v>
      </c>
      <c r="E1597" s="1" t="s">
        <v>14722</v>
      </c>
      <c r="F1597" s="6"/>
      <c r="G1597" s="1" t="s">
        <v>14726</v>
      </c>
    </row>
    <row r="1598" spans="1:7" ht="21" x14ac:dyDescent="0.25">
      <c r="A1598" s="2" t="str">
        <f>HYPERLINK("https://rth.dk/resources/bsgatlas/details.php?id=BSGatlas-TSS-1597","BSGatlas-TSS-1597")</f>
        <v>BSGatlas-TSS-1597</v>
      </c>
      <c r="B1598" s="3">
        <v>2050649</v>
      </c>
      <c r="C1598" s="1" t="s">
        <v>9</v>
      </c>
      <c r="D1598" s="1">
        <v>22</v>
      </c>
      <c r="E1598" s="1" t="s">
        <v>14722</v>
      </c>
      <c r="F1598" s="6"/>
      <c r="G1598" s="1" t="s">
        <v>14726</v>
      </c>
    </row>
    <row r="1599" spans="1:7" ht="21" x14ac:dyDescent="0.25">
      <c r="A1599" s="2" t="str">
        <f>HYPERLINK("https://rth.dk/resources/bsgatlas/details.php?id=BSGatlas-TSS-1598","BSGatlas-TSS-1598")</f>
        <v>BSGatlas-TSS-1598</v>
      </c>
      <c r="B1599" s="3">
        <v>2053985</v>
      </c>
      <c r="C1599" s="1" t="s">
        <v>9</v>
      </c>
      <c r="D1599" s="1">
        <v>22</v>
      </c>
      <c r="E1599" s="1" t="s">
        <v>14722</v>
      </c>
      <c r="F1599" s="6"/>
      <c r="G1599" s="1" t="s">
        <v>14726</v>
      </c>
    </row>
    <row r="1600" spans="1:7" ht="21" x14ac:dyDescent="0.25">
      <c r="A1600" s="2" t="str">
        <f>HYPERLINK("https://rth.dk/resources/bsgatlas/details.php?id=BSGatlas-TSS-1599","BSGatlas-TSS-1599")</f>
        <v>BSGatlas-TSS-1599</v>
      </c>
      <c r="B1600" s="3">
        <v>2054039</v>
      </c>
      <c r="C1600" s="1" t="s">
        <v>13</v>
      </c>
      <c r="D1600" s="1">
        <v>22</v>
      </c>
      <c r="E1600" s="1" t="s">
        <v>14722</v>
      </c>
      <c r="F1600" s="6"/>
      <c r="G1600" s="1" t="s">
        <v>14733</v>
      </c>
    </row>
    <row r="1601" spans="1:7" ht="21" x14ac:dyDescent="0.25">
      <c r="A1601" s="2" t="str">
        <f>HYPERLINK("https://rth.dk/resources/bsgatlas/details.php?id=BSGatlas-TSS-1600","BSGatlas-TSS-1600")</f>
        <v>BSGatlas-TSS-1600</v>
      </c>
      <c r="B1601" s="3">
        <v>2055338</v>
      </c>
      <c r="C1601" s="1" t="s">
        <v>13</v>
      </c>
      <c r="D1601" s="1">
        <v>0</v>
      </c>
      <c r="E1601" s="1" t="s">
        <v>14722</v>
      </c>
      <c r="F1601" s="6" t="s">
        <v>14953</v>
      </c>
      <c r="G1601" s="1" t="s">
        <v>14724</v>
      </c>
    </row>
    <row r="1602" spans="1:7" ht="21" x14ac:dyDescent="0.25">
      <c r="A1602" s="2" t="str">
        <f>HYPERLINK("https://rth.dk/resources/bsgatlas/details.php?id=BSGatlas-TSS-1601","BSGatlas-TSS-1601")</f>
        <v>BSGatlas-TSS-1601</v>
      </c>
      <c r="B1602" s="3">
        <v>2056154</v>
      </c>
      <c r="C1602" s="1" t="s">
        <v>13</v>
      </c>
      <c r="D1602" s="1">
        <v>22</v>
      </c>
      <c r="E1602" s="1" t="s">
        <v>14722</v>
      </c>
      <c r="F1602" s="6"/>
      <c r="G1602" s="1" t="s">
        <v>14726</v>
      </c>
    </row>
    <row r="1603" spans="1:7" ht="21" x14ac:dyDescent="0.25">
      <c r="A1603" s="2" t="str">
        <f>HYPERLINK("https://rth.dk/resources/bsgatlas/details.php?id=BSGatlas-TSS-1602","BSGatlas-TSS-1602")</f>
        <v>BSGatlas-TSS-1602</v>
      </c>
      <c r="B1603" s="3">
        <v>2056242</v>
      </c>
      <c r="C1603" s="1" t="s">
        <v>9</v>
      </c>
      <c r="D1603" s="1">
        <v>22</v>
      </c>
      <c r="E1603" s="1" t="s">
        <v>14722</v>
      </c>
      <c r="F1603" s="6"/>
      <c r="G1603" s="1" t="s">
        <v>14726</v>
      </c>
    </row>
    <row r="1604" spans="1:7" ht="21" x14ac:dyDescent="0.25">
      <c r="A1604" s="2" t="str">
        <f>HYPERLINK("https://rth.dk/resources/bsgatlas/details.php?id=BSGatlas-TSS-1603","BSGatlas-TSS-1603")</f>
        <v>BSGatlas-TSS-1603</v>
      </c>
      <c r="B1604" s="3">
        <v>2059497</v>
      </c>
      <c r="C1604" s="1" t="s">
        <v>13</v>
      </c>
      <c r="D1604" s="1">
        <v>22</v>
      </c>
      <c r="E1604" s="1" t="s">
        <v>14722</v>
      </c>
      <c r="F1604" s="6"/>
      <c r="G1604" s="1" t="s">
        <v>14726</v>
      </c>
    </row>
    <row r="1605" spans="1:7" ht="21" x14ac:dyDescent="0.25">
      <c r="A1605" s="2" t="str">
        <f>HYPERLINK("https://rth.dk/resources/bsgatlas/details.php?id=BSGatlas-TSS-1604","BSGatlas-TSS-1604")</f>
        <v>BSGatlas-TSS-1604</v>
      </c>
      <c r="B1605" s="3">
        <v>2059670</v>
      </c>
      <c r="C1605" s="1" t="s">
        <v>13</v>
      </c>
      <c r="D1605" s="1">
        <v>22</v>
      </c>
      <c r="E1605" s="1" t="s">
        <v>14722</v>
      </c>
      <c r="F1605" s="6"/>
      <c r="G1605" s="1" t="s">
        <v>14726</v>
      </c>
    </row>
    <row r="1606" spans="1:7" ht="21" x14ac:dyDescent="0.25">
      <c r="A1606" s="2" t="str">
        <f>HYPERLINK("https://rth.dk/resources/bsgatlas/details.php?id=BSGatlas-TSS-1605","BSGatlas-TSS-1605")</f>
        <v>BSGatlas-TSS-1605</v>
      </c>
      <c r="B1606" s="3">
        <v>2060778</v>
      </c>
      <c r="C1606" s="1" t="s">
        <v>9</v>
      </c>
      <c r="D1606" s="1">
        <v>22</v>
      </c>
      <c r="E1606" s="1" t="s">
        <v>14722</v>
      </c>
      <c r="F1606" s="6"/>
      <c r="G1606" s="1" t="s">
        <v>14726</v>
      </c>
    </row>
    <row r="1607" spans="1:7" ht="21" x14ac:dyDescent="0.25">
      <c r="A1607" s="2" t="str">
        <f>HYPERLINK("https://rth.dk/resources/bsgatlas/details.php?id=BSGatlas-TSS-1606","BSGatlas-TSS-1606")</f>
        <v>BSGatlas-TSS-1606</v>
      </c>
      <c r="B1607" s="3">
        <v>2061526</v>
      </c>
      <c r="C1607" s="1" t="s">
        <v>9</v>
      </c>
      <c r="D1607" s="1">
        <v>22</v>
      </c>
      <c r="E1607" s="1" t="s">
        <v>14722</v>
      </c>
      <c r="F1607" s="6"/>
      <c r="G1607" s="1" t="s">
        <v>14726</v>
      </c>
    </row>
    <row r="1608" spans="1:7" ht="21" x14ac:dyDescent="0.25">
      <c r="A1608" s="2" t="str">
        <f>HYPERLINK("https://rth.dk/resources/bsgatlas/details.php?id=BSGatlas-TSS-1607","BSGatlas-TSS-1607")</f>
        <v>BSGatlas-TSS-1607</v>
      </c>
      <c r="B1608" s="3">
        <v>2062097</v>
      </c>
      <c r="C1608" s="1" t="s">
        <v>9</v>
      </c>
      <c r="D1608" s="1">
        <v>22</v>
      </c>
      <c r="E1608" s="1" t="s">
        <v>14722</v>
      </c>
      <c r="F1608" s="6"/>
      <c r="G1608" s="1" t="s">
        <v>14726</v>
      </c>
    </row>
    <row r="1609" spans="1:7" ht="21" x14ac:dyDescent="0.25">
      <c r="A1609" s="2" t="str">
        <f>HYPERLINK("https://rth.dk/resources/bsgatlas/details.php?id=BSGatlas-TSS-1608","BSGatlas-TSS-1608")</f>
        <v>BSGatlas-TSS-1608</v>
      </c>
      <c r="B1609" s="3">
        <v>2063026</v>
      </c>
      <c r="C1609" s="1" t="s">
        <v>9</v>
      </c>
      <c r="D1609" s="1">
        <v>0</v>
      </c>
      <c r="E1609" s="1" t="s">
        <v>14745</v>
      </c>
      <c r="F1609" s="6">
        <v>11466295</v>
      </c>
      <c r="G1609" s="1" t="s">
        <v>14730</v>
      </c>
    </row>
    <row r="1610" spans="1:7" ht="21" x14ac:dyDescent="0.25">
      <c r="A1610" s="2" t="str">
        <f>HYPERLINK("https://rth.dk/resources/bsgatlas/details.php?id=BSGatlas-TSS-1609","BSGatlas-TSS-1609")</f>
        <v>BSGatlas-TSS-1609</v>
      </c>
      <c r="B1610" s="3">
        <v>2064984</v>
      </c>
      <c r="C1610" s="1" t="s">
        <v>9</v>
      </c>
      <c r="D1610" s="1">
        <v>22</v>
      </c>
      <c r="E1610" s="1" t="s">
        <v>14722</v>
      </c>
      <c r="F1610" s="6"/>
      <c r="G1610" s="1" t="s">
        <v>14726</v>
      </c>
    </row>
    <row r="1611" spans="1:7" ht="21" x14ac:dyDescent="0.25">
      <c r="A1611" s="2" t="str">
        <f>HYPERLINK("https://rth.dk/resources/bsgatlas/details.php?id=BSGatlas-TSS-1610","BSGatlas-TSS-1610")</f>
        <v>BSGatlas-TSS-1610</v>
      </c>
      <c r="B1611" s="3">
        <v>2065456</v>
      </c>
      <c r="C1611" s="1" t="s">
        <v>13</v>
      </c>
      <c r="D1611" s="1">
        <v>22</v>
      </c>
      <c r="E1611" s="1" t="s">
        <v>14720</v>
      </c>
      <c r="F1611" s="6"/>
      <c r="G1611" s="1" t="s">
        <v>14726</v>
      </c>
    </row>
    <row r="1612" spans="1:7" ht="21" x14ac:dyDescent="0.25">
      <c r="A1612" s="2" t="str">
        <f>HYPERLINK("https://rth.dk/resources/bsgatlas/details.php?id=BSGatlas-TSS-1611","BSGatlas-TSS-1611")</f>
        <v>BSGatlas-TSS-1611</v>
      </c>
      <c r="B1612" s="3">
        <v>2069174</v>
      </c>
      <c r="C1612" s="1" t="s">
        <v>13</v>
      </c>
      <c r="D1612" s="1">
        <v>22</v>
      </c>
      <c r="E1612" s="1" t="s">
        <v>14722</v>
      </c>
      <c r="F1612" s="6"/>
      <c r="G1612" s="1" t="s">
        <v>14733</v>
      </c>
    </row>
    <row r="1613" spans="1:7" ht="21" x14ac:dyDescent="0.25">
      <c r="A1613" s="2" t="str">
        <f>HYPERLINK("https://rth.dk/resources/bsgatlas/details.php?id=BSGatlas-TSS-1612","BSGatlas-TSS-1612")</f>
        <v>BSGatlas-TSS-1612</v>
      </c>
      <c r="B1613" s="3">
        <v>2069699</v>
      </c>
      <c r="C1613" s="1" t="s">
        <v>13</v>
      </c>
      <c r="D1613" s="1">
        <v>22</v>
      </c>
      <c r="E1613" s="1" t="s">
        <v>14752</v>
      </c>
      <c r="F1613" s="6"/>
      <c r="G1613" s="1" t="s">
        <v>14733</v>
      </c>
    </row>
    <row r="1614" spans="1:7" ht="21" x14ac:dyDescent="0.25">
      <c r="A1614" s="2" t="str">
        <f>HYPERLINK("https://rth.dk/resources/bsgatlas/details.php?id=BSGatlas-TSS-1613","BSGatlas-TSS-1613")</f>
        <v>BSGatlas-TSS-1613</v>
      </c>
      <c r="B1614" s="3">
        <v>2069802</v>
      </c>
      <c r="C1614" s="1" t="s">
        <v>9</v>
      </c>
      <c r="D1614" s="1">
        <v>22</v>
      </c>
      <c r="E1614" s="1" t="s">
        <v>14722</v>
      </c>
      <c r="F1614" s="6"/>
      <c r="G1614" s="1" t="s">
        <v>14726</v>
      </c>
    </row>
    <row r="1615" spans="1:7" ht="21" x14ac:dyDescent="0.25">
      <c r="A1615" s="2" t="str">
        <f>HYPERLINK("https://rth.dk/resources/bsgatlas/details.php?id=BSGatlas-TSS-1614","BSGatlas-TSS-1614")</f>
        <v>BSGatlas-TSS-1614</v>
      </c>
      <c r="B1615" s="3">
        <v>2070118</v>
      </c>
      <c r="C1615" s="1" t="s">
        <v>13</v>
      </c>
      <c r="D1615" s="1">
        <v>22</v>
      </c>
      <c r="E1615" s="1" t="s">
        <v>14722</v>
      </c>
      <c r="F1615" s="6"/>
      <c r="G1615" s="1" t="s">
        <v>14726</v>
      </c>
    </row>
    <row r="1616" spans="1:7" ht="21" x14ac:dyDescent="0.25">
      <c r="A1616" s="2" t="str">
        <f>HYPERLINK("https://rth.dk/resources/bsgatlas/details.php?id=BSGatlas-TSS-1615","BSGatlas-TSS-1615")</f>
        <v>BSGatlas-TSS-1615</v>
      </c>
      <c r="B1616" s="3">
        <v>2070594</v>
      </c>
      <c r="C1616" s="1" t="s">
        <v>9</v>
      </c>
      <c r="D1616" s="1">
        <v>22</v>
      </c>
      <c r="E1616" s="1" t="s">
        <v>14720</v>
      </c>
      <c r="F1616" s="6"/>
      <c r="G1616" s="1" t="s">
        <v>14726</v>
      </c>
    </row>
    <row r="1617" spans="1:7" ht="21" x14ac:dyDescent="0.25">
      <c r="A1617" s="2" t="str">
        <f>HYPERLINK("https://rth.dk/resources/bsgatlas/details.php?id=BSGatlas-TSS-1616","BSGatlas-TSS-1616")</f>
        <v>BSGatlas-TSS-1616</v>
      </c>
      <c r="B1617" s="3">
        <v>2071114</v>
      </c>
      <c r="C1617" s="1" t="s">
        <v>13</v>
      </c>
      <c r="D1617" s="1">
        <v>0</v>
      </c>
      <c r="E1617" s="1" t="s">
        <v>14770</v>
      </c>
      <c r="F1617" s="6" t="s">
        <v>14771</v>
      </c>
      <c r="G1617" s="1" t="s">
        <v>14729</v>
      </c>
    </row>
    <row r="1618" spans="1:7" ht="21" x14ac:dyDescent="0.25">
      <c r="A1618" s="2" t="str">
        <f>HYPERLINK("https://rth.dk/resources/bsgatlas/details.php?id=BSGatlas-TSS-1617","BSGatlas-TSS-1617")</f>
        <v>BSGatlas-TSS-1617</v>
      </c>
      <c r="B1618" s="3">
        <v>2073596</v>
      </c>
      <c r="C1618" s="1" t="s">
        <v>13</v>
      </c>
      <c r="D1618" s="1">
        <v>22</v>
      </c>
      <c r="E1618" s="1" t="s">
        <v>14722</v>
      </c>
      <c r="F1618" s="6"/>
      <c r="G1618" s="1" t="s">
        <v>14726</v>
      </c>
    </row>
    <row r="1619" spans="1:7" ht="21" x14ac:dyDescent="0.25">
      <c r="A1619" s="2" t="str">
        <f>HYPERLINK("https://rth.dk/resources/bsgatlas/details.php?id=BSGatlas-TSS-1618","BSGatlas-TSS-1618")</f>
        <v>BSGatlas-TSS-1618</v>
      </c>
      <c r="B1619" s="3">
        <v>2074310</v>
      </c>
      <c r="C1619" s="1" t="s">
        <v>9</v>
      </c>
      <c r="D1619" s="1">
        <v>22</v>
      </c>
      <c r="E1619" s="1" t="s">
        <v>14727</v>
      </c>
      <c r="F1619" s="6"/>
      <c r="G1619" s="1" t="s">
        <v>14733</v>
      </c>
    </row>
    <row r="1620" spans="1:7" ht="21" x14ac:dyDescent="0.25">
      <c r="A1620" s="2" t="str">
        <f>HYPERLINK("https://rth.dk/resources/bsgatlas/details.php?id=BSGatlas-TSS-1619","BSGatlas-TSS-1619")</f>
        <v>BSGatlas-TSS-1619</v>
      </c>
      <c r="B1620" s="3">
        <v>2074617</v>
      </c>
      <c r="C1620" s="1" t="s">
        <v>13</v>
      </c>
      <c r="D1620" s="1">
        <v>22</v>
      </c>
      <c r="E1620" s="1" t="s">
        <v>14722</v>
      </c>
      <c r="F1620" s="6"/>
      <c r="G1620" s="1" t="s">
        <v>14733</v>
      </c>
    </row>
    <row r="1621" spans="1:7" ht="21" x14ac:dyDescent="0.25">
      <c r="A1621" s="2" t="str">
        <f>HYPERLINK("https://rth.dk/resources/bsgatlas/details.php?id=BSGatlas-TSS-1620","BSGatlas-TSS-1620")</f>
        <v>BSGatlas-TSS-1620</v>
      </c>
      <c r="B1621" s="3">
        <v>2076113</v>
      </c>
      <c r="C1621" s="1" t="s">
        <v>9</v>
      </c>
      <c r="D1621" s="1">
        <v>22</v>
      </c>
      <c r="E1621" s="1" t="s">
        <v>14745</v>
      </c>
      <c r="F1621" s="6"/>
      <c r="G1621" s="1" t="s">
        <v>14733</v>
      </c>
    </row>
    <row r="1622" spans="1:7" ht="21" x14ac:dyDescent="0.25">
      <c r="A1622" s="2" t="str">
        <f>HYPERLINK("https://rth.dk/resources/bsgatlas/details.php?id=BSGatlas-TSS-1621","BSGatlas-TSS-1621")</f>
        <v>BSGatlas-TSS-1621</v>
      </c>
      <c r="B1622" s="3">
        <v>2079086</v>
      </c>
      <c r="C1622" s="1" t="s">
        <v>9</v>
      </c>
      <c r="D1622" s="1">
        <v>22</v>
      </c>
      <c r="E1622" s="1" t="s">
        <v>14722</v>
      </c>
      <c r="F1622" s="6"/>
      <c r="G1622" s="1" t="s">
        <v>14726</v>
      </c>
    </row>
    <row r="1623" spans="1:7" ht="21" x14ac:dyDescent="0.25">
      <c r="A1623" s="2" t="str">
        <f>HYPERLINK("https://rth.dk/resources/bsgatlas/details.php?id=BSGatlas-TSS-1622","BSGatlas-TSS-1622")</f>
        <v>BSGatlas-TSS-1622</v>
      </c>
      <c r="B1623" s="3">
        <v>2081141</v>
      </c>
      <c r="C1623" s="1" t="s">
        <v>13</v>
      </c>
      <c r="D1623" s="1">
        <v>22</v>
      </c>
      <c r="E1623" s="1" t="s">
        <v>14722</v>
      </c>
      <c r="F1623" s="6"/>
      <c r="G1623" s="1" t="s">
        <v>14726</v>
      </c>
    </row>
    <row r="1624" spans="1:7" ht="21" x14ac:dyDescent="0.25">
      <c r="A1624" s="2" t="str">
        <f>HYPERLINK("https://rth.dk/resources/bsgatlas/details.php?id=BSGatlas-TSS-1623","BSGatlas-TSS-1623")</f>
        <v>BSGatlas-TSS-1623</v>
      </c>
      <c r="B1624" s="3">
        <v>2082484</v>
      </c>
      <c r="C1624" s="1" t="s">
        <v>13</v>
      </c>
      <c r="D1624" s="1">
        <v>22</v>
      </c>
      <c r="E1624" s="1" t="s">
        <v>14722</v>
      </c>
      <c r="F1624" s="6"/>
      <c r="G1624" s="1" t="s">
        <v>14726</v>
      </c>
    </row>
    <row r="1625" spans="1:7" ht="21" x14ac:dyDescent="0.25">
      <c r="A1625" s="2" t="str">
        <f>HYPERLINK("https://rth.dk/resources/bsgatlas/details.php?id=BSGatlas-TSS-1624","BSGatlas-TSS-1624")</f>
        <v>BSGatlas-TSS-1624</v>
      </c>
      <c r="B1625" s="3">
        <v>2082528</v>
      </c>
      <c r="C1625" s="1" t="s">
        <v>13</v>
      </c>
      <c r="D1625" s="1">
        <v>22</v>
      </c>
      <c r="E1625" s="1" t="s">
        <v>14722</v>
      </c>
      <c r="F1625" s="6"/>
      <c r="G1625" s="1" t="s">
        <v>14726</v>
      </c>
    </row>
    <row r="1626" spans="1:7" ht="21" x14ac:dyDescent="0.25">
      <c r="A1626" s="2" t="str">
        <f>HYPERLINK("https://rth.dk/resources/bsgatlas/details.php?id=BSGatlas-TSS-1625","BSGatlas-TSS-1625")</f>
        <v>BSGatlas-TSS-1625</v>
      </c>
      <c r="B1626" s="3">
        <v>2083056</v>
      </c>
      <c r="C1626" s="1" t="s">
        <v>13</v>
      </c>
      <c r="D1626" s="1">
        <v>22</v>
      </c>
      <c r="E1626" s="1" t="s">
        <v>14720</v>
      </c>
      <c r="F1626" s="6"/>
      <c r="G1626" s="1" t="s">
        <v>14726</v>
      </c>
    </row>
    <row r="1627" spans="1:7" ht="21" x14ac:dyDescent="0.25">
      <c r="A1627" s="2" t="str">
        <f>HYPERLINK("https://rth.dk/resources/bsgatlas/details.php?id=BSGatlas-TSS-1626","BSGatlas-TSS-1626")</f>
        <v>BSGatlas-TSS-1626</v>
      </c>
      <c r="B1627" s="3">
        <v>2084046</v>
      </c>
      <c r="C1627" s="1" t="s">
        <v>13</v>
      </c>
      <c r="D1627" s="1">
        <v>22</v>
      </c>
      <c r="E1627" s="1" t="s">
        <v>14722</v>
      </c>
      <c r="F1627" s="6"/>
      <c r="G1627" s="1" t="s">
        <v>14726</v>
      </c>
    </row>
    <row r="1628" spans="1:7" ht="21" x14ac:dyDescent="0.25">
      <c r="A1628" s="2" t="str">
        <f>HYPERLINK("https://rth.dk/resources/bsgatlas/details.php?id=BSGatlas-TSS-1627","BSGatlas-TSS-1627")</f>
        <v>BSGatlas-TSS-1627</v>
      </c>
      <c r="B1628" s="3">
        <v>2084109</v>
      </c>
      <c r="C1628" s="1" t="s">
        <v>9</v>
      </c>
      <c r="D1628" s="1">
        <v>22</v>
      </c>
      <c r="E1628" s="1" t="s">
        <v>14725</v>
      </c>
      <c r="F1628" s="6"/>
      <c r="G1628" s="1" t="s">
        <v>14733</v>
      </c>
    </row>
    <row r="1629" spans="1:7" ht="21" x14ac:dyDescent="0.25">
      <c r="A1629" s="2" t="str">
        <f>HYPERLINK("https://rth.dk/resources/bsgatlas/details.php?id=BSGatlas-TSS-1628","BSGatlas-TSS-1628")</f>
        <v>BSGatlas-TSS-1628</v>
      </c>
      <c r="B1629" s="3">
        <v>2084196</v>
      </c>
      <c r="C1629" s="1" t="s">
        <v>9</v>
      </c>
      <c r="D1629" s="1">
        <v>0</v>
      </c>
      <c r="E1629" s="1" t="s">
        <v>14725</v>
      </c>
      <c r="F1629" s="6" t="s">
        <v>14906</v>
      </c>
      <c r="G1629" s="1" t="s">
        <v>14729</v>
      </c>
    </row>
    <row r="1630" spans="1:7" ht="21" x14ac:dyDescent="0.25">
      <c r="A1630" s="2" t="str">
        <f>HYPERLINK("https://rth.dk/resources/bsgatlas/details.php?id=BSGatlas-TSS-1629","BSGatlas-TSS-1629")</f>
        <v>BSGatlas-TSS-1629</v>
      </c>
      <c r="B1630" s="3">
        <v>2085141</v>
      </c>
      <c r="C1630" s="1" t="s">
        <v>13</v>
      </c>
      <c r="D1630" s="1">
        <v>22</v>
      </c>
      <c r="E1630" s="1" t="s">
        <v>14722</v>
      </c>
      <c r="F1630" s="6"/>
      <c r="G1630" s="1" t="s">
        <v>14726</v>
      </c>
    </row>
    <row r="1631" spans="1:7" ht="21" x14ac:dyDescent="0.25">
      <c r="A1631" s="2" t="str">
        <f>HYPERLINK("https://rth.dk/resources/bsgatlas/details.php?id=BSGatlas-TSS-1630","BSGatlas-TSS-1630")</f>
        <v>BSGatlas-TSS-1630</v>
      </c>
      <c r="B1631" s="3">
        <v>2085247</v>
      </c>
      <c r="C1631" s="1" t="s">
        <v>9</v>
      </c>
      <c r="D1631" s="1">
        <v>22</v>
      </c>
      <c r="E1631" s="1" t="s">
        <v>14722</v>
      </c>
      <c r="F1631" s="6"/>
      <c r="G1631" s="1" t="s">
        <v>14726</v>
      </c>
    </row>
    <row r="1632" spans="1:7" ht="21" x14ac:dyDescent="0.25">
      <c r="A1632" s="2" t="str">
        <f>HYPERLINK("https://rth.dk/resources/bsgatlas/details.php?id=BSGatlas-TSS-1631","BSGatlas-TSS-1631")</f>
        <v>BSGatlas-TSS-1631</v>
      </c>
      <c r="B1632" s="3">
        <v>2086653</v>
      </c>
      <c r="C1632" s="1" t="s">
        <v>13</v>
      </c>
      <c r="D1632" s="1">
        <v>22</v>
      </c>
      <c r="E1632" s="1" t="s">
        <v>14722</v>
      </c>
      <c r="F1632" s="6"/>
      <c r="G1632" s="1" t="s">
        <v>14726</v>
      </c>
    </row>
    <row r="1633" spans="1:7" ht="21" x14ac:dyDescent="0.25">
      <c r="A1633" s="2" t="str">
        <f>HYPERLINK("https://rth.dk/resources/bsgatlas/details.php?id=BSGatlas-TSS-1632","BSGatlas-TSS-1632")</f>
        <v>BSGatlas-TSS-1632</v>
      </c>
      <c r="B1633" s="3">
        <v>2087566</v>
      </c>
      <c r="C1633" s="1" t="s">
        <v>13</v>
      </c>
      <c r="D1633" s="1">
        <v>22</v>
      </c>
      <c r="E1633" s="1" t="s">
        <v>14734</v>
      </c>
      <c r="F1633" s="6"/>
      <c r="G1633" s="1" t="s">
        <v>14726</v>
      </c>
    </row>
    <row r="1634" spans="1:7" ht="21" x14ac:dyDescent="0.25">
      <c r="A1634" s="2" t="str">
        <f>HYPERLINK("https://rth.dk/resources/bsgatlas/details.php?id=BSGatlas-TSS-1633","BSGatlas-TSS-1633")</f>
        <v>BSGatlas-TSS-1633</v>
      </c>
      <c r="B1634" s="3">
        <v>2087648</v>
      </c>
      <c r="C1634" s="1" t="s">
        <v>9</v>
      </c>
      <c r="D1634" s="1">
        <v>22</v>
      </c>
      <c r="E1634" s="1" t="s">
        <v>14722</v>
      </c>
      <c r="F1634" s="6"/>
      <c r="G1634" s="1" t="s">
        <v>14726</v>
      </c>
    </row>
    <row r="1635" spans="1:7" ht="21" x14ac:dyDescent="0.25">
      <c r="A1635" s="2" t="str">
        <f>HYPERLINK("https://rth.dk/resources/bsgatlas/details.php?id=BSGatlas-TSS-1634","BSGatlas-TSS-1634")</f>
        <v>BSGatlas-TSS-1634</v>
      </c>
      <c r="B1635" s="3">
        <v>2088221</v>
      </c>
      <c r="C1635" s="1" t="s">
        <v>9</v>
      </c>
      <c r="D1635" s="1">
        <v>22</v>
      </c>
      <c r="E1635" s="1" t="s">
        <v>14722</v>
      </c>
      <c r="F1635" s="6"/>
      <c r="G1635" s="1" t="s">
        <v>14726</v>
      </c>
    </row>
    <row r="1636" spans="1:7" ht="21" x14ac:dyDescent="0.25">
      <c r="A1636" s="2" t="str">
        <f>HYPERLINK("https://rth.dk/resources/bsgatlas/details.php?id=BSGatlas-TSS-1635","BSGatlas-TSS-1635")</f>
        <v>BSGatlas-TSS-1635</v>
      </c>
      <c r="B1636" s="3">
        <v>2089368</v>
      </c>
      <c r="C1636" s="1" t="s">
        <v>9</v>
      </c>
      <c r="D1636" s="1">
        <v>0</v>
      </c>
      <c r="E1636" s="1" t="s">
        <v>14722</v>
      </c>
      <c r="F1636" s="6" t="s">
        <v>14954</v>
      </c>
      <c r="G1636" s="1" t="s">
        <v>14729</v>
      </c>
    </row>
    <row r="1637" spans="1:7" ht="21" x14ac:dyDescent="0.25">
      <c r="A1637" s="2" t="str">
        <f>HYPERLINK("https://rth.dk/resources/bsgatlas/details.php?id=BSGatlas-TSS-1636","BSGatlas-TSS-1636")</f>
        <v>BSGatlas-TSS-1636</v>
      </c>
      <c r="B1637" s="3">
        <v>2090526</v>
      </c>
      <c r="C1637" s="1" t="s">
        <v>9</v>
      </c>
      <c r="D1637" s="1">
        <v>22</v>
      </c>
      <c r="E1637" s="1" t="s">
        <v>14722</v>
      </c>
      <c r="F1637" s="6"/>
      <c r="G1637" s="1" t="s">
        <v>14726</v>
      </c>
    </row>
    <row r="1638" spans="1:7" ht="21" x14ac:dyDescent="0.25">
      <c r="A1638" s="2" t="str">
        <f>HYPERLINK("https://rth.dk/resources/bsgatlas/details.php?id=BSGatlas-TSS-1637","BSGatlas-TSS-1637")</f>
        <v>BSGatlas-TSS-1637</v>
      </c>
      <c r="B1638" s="3">
        <v>2092817</v>
      </c>
      <c r="C1638" s="1" t="s">
        <v>9</v>
      </c>
      <c r="D1638" s="1">
        <v>22</v>
      </c>
      <c r="E1638" s="1" t="s">
        <v>14725</v>
      </c>
      <c r="F1638" s="6"/>
      <c r="G1638" s="1" t="s">
        <v>14726</v>
      </c>
    </row>
    <row r="1639" spans="1:7" ht="21" x14ac:dyDescent="0.25">
      <c r="A1639" s="2" t="str">
        <f>HYPERLINK("https://rth.dk/resources/bsgatlas/details.php?id=BSGatlas-TSS-1638","BSGatlas-TSS-1638")</f>
        <v>BSGatlas-TSS-1638</v>
      </c>
      <c r="B1639" s="3">
        <v>2092824</v>
      </c>
      <c r="C1639" s="1" t="s">
        <v>13</v>
      </c>
      <c r="D1639" s="1">
        <v>22</v>
      </c>
      <c r="E1639" s="1" t="s">
        <v>14727</v>
      </c>
      <c r="F1639" s="6"/>
      <c r="G1639" s="1" t="s">
        <v>14726</v>
      </c>
    </row>
    <row r="1640" spans="1:7" ht="21" x14ac:dyDescent="0.25">
      <c r="A1640" s="2" t="str">
        <f>HYPERLINK("https://rth.dk/resources/bsgatlas/details.php?id=BSGatlas-TSS-1639","BSGatlas-TSS-1639")</f>
        <v>BSGatlas-TSS-1639</v>
      </c>
      <c r="B1640" s="3">
        <v>2093782</v>
      </c>
      <c r="C1640" s="1" t="s">
        <v>9</v>
      </c>
      <c r="D1640" s="1">
        <v>22</v>
      </c>
      <c r="E1640" s="1" t="s">
        <v>14720</v>
      </c>
      <c r="F1640" s="6"/>
      <c r="G1640" s="1" t="s">
        <v>14726</v>
      </c>
    </row>
    <row r="1641" spans="1:7" ht="21" x14ac:dyDescent="0.25">
      <c r="A1641" s="2" t="str">
        <f>HYPERLINK("https://rth.dk/resources/bsgatlas/details.php?id=BSGatlas-TSS-1640","BSGatlas-TSS-1640")</f>
        <v>BSGatlas-TSS-1640</v>
      </c>
      <c r="B1641" s="3">
        <v>2093802</v>
      </c>
      <c r="C1641" s="1" t="s">
        <v>13</v>
      </c>
      <c r="D1641" s="1">
        <v>0</v>
      </c>
      <c r="E1641" s="1" t="s">
        <v>14722</v>
      </c>
      <c r="F1641" s="6" t="s">
        <v>14955</v>
      </c>
      <c r="G1641" s="1" t="s">
        <v>14729</v>
      </c>
    </row>
    <row r="1642" spans="1:7" ht="21" x14ac:dyDescent="0.25">
      <c r="A1642" s="2" t="str">
        <f>HYPERLINK("https://rth.dk/resources/bsgatlas/details.php?id=BSGatlas-TSS-1641","BSGatlas-TSS-1641")</f>
        <v>BSGatlas-TSS-1641</v>
      </c>
      <c r="B1642" s="3">
        <v>2096111</v>
      </c>
      <c r="C1642" s="1" t="s">
        <v>13</v>
      </c>
      <c r="D1642" s="1">
        <v>0</v>
      </c>
      <c r="E1642" s="1" t="s">
        <v>14722</v>
      </c>
      <c r="F1642" s="6">
        <v>11886746</v>
      </c>
      <c r="G1642" s="1" t="s">
        <v>14730</v>
      </c>
    </row>
    <row r="1643" spans="1:7" ht="21" x14ac:dyDescent="0.25">
      <c r="A1643" s="2" t="str">
        <f>HYPERLINK("https://rth.dk/resources/bsgatlas/details.php?id=BSGatlas-TSS-1642","BSGatlas-TSS-1642")</f>
        <v>BSGatlas-TSS-1642</v>
      </c>
      <c r="B1643" s="3">
        <v>2097023</v>
      </c>
      <c r="C1643" s="1" t="s">
        <v>13</v>
      </c>
      <c r="D1643" s="1">
        <v>22</v>
      </c>
      <c r="E1643" s="1" t="s">
        <v>14722</v>
      </c>
      <c r="F1643" s="6"/>
      <c r="G1643" s="1" t="s">
        <v>14726</v>
      </c>
    </row>
    <row r="1644" spans="1:7" ht="21" x14ac:dyDescent="0.25">
      <c r="A1644" s="2" t="str">
        <f>HYPERLINK("https://rth.dk/resources/bsgatlas/details.php?id=BSGatlas-TSS-1643","BSGatlas-TSS-1643")</f>
        <v>BSGatlas-TSS-1643</v>
      </c>
      <c r="B1644" s="3">
        <v>2097641</v>
      </c>
      <c r="C1644" s="1" t="s">
        <v>13</v>
      </c>
      <c r="D1644" s="1">
        <v>22</v>
      </c>
      <c r="E1644" s="1" t="s">
        <v>14734</v>
      </c>
      <c r="F1644" s="6"/>
      <c r="G1644" s="1" t="s">
        <v>14726</v>
      </c>
    </row>
    <row r="1645" spans="1:7" ht="21" x14ac:dyDescent="0.25">
      <c r="A1645" s="2" t="str">
        <f>HYPERLINK("https://rth.dk/resources/bsgatlas/details.php?id=BSGatlas-TSS-1644","BSGatlas-TSS-1644")</f>
        <v>BSGatlas-TSS-1644</v>
      </c>
      <c r="B1645" s="3">
        <v>2098062</v>
      </c>
      <c r="C1645" s="1" t="s">
        <v>9</v>
      </c>
      <c r="D1645" s="1">
        <v>22</v>
      </c>
      <c r="E1645" s="1" t="s">
        <v>14727</v>
      </c>
      <c r="F1645" s="6"/>
      <c r="G1645" s="1" t="s">
        <v>14726</v>
      </c>
    </row>
    <row r="1646" spans="1:7" ht="21" x14ac:dyDescent="0.25">
      <c r="A1646" s="2" t="str">
        <f>HYPERLINK("https://rth.dk/resources/bsgatlas/details.php?id=BSGatlas-TSS-1645","BSGatlas-TSS-1645")</f>
        <v>BSGatlas-TSS-1645</v>
      </c>
      <c r="B1646" s="3">
        <v>2098839</v>
      </c>
      <c r="C1646" s="1" t="s">
        <v>9</v>
      </c>
      <c r="D1646" s="1">
        <v>22</v>
      </c>
      <c r="E1646" s="1" t="s">
        <v>14727</v>
      </c>
      <c r="F1646" s="6"/>
      <c r="G1646" s="1" t="s">
        <v>14726</v>
      </c>
    </row>
    <row r="1647" spans="1:7" ht="21" x14ac:dyDescent="0.25">
      <c r="A1647" s="2" t="str">
        <f>HYPERLINK("https://rth.dk/resources/bsgatlas/details.php?id=BSGatlas-TSS-1646","BSGatlas-TSS-1646")</f>
        <v>BSGatlas-TSS-1646</v>
      </c>
      <c r="B1647" s="3">
        <v>2098895</v>
      </c>
      <c r="C1647" s="1" t="s">
        <v>13</v>
      </c>
      <c r="D1647" s="1">
        <v>22</v>
      </c>
      <c r="E1647" s="1" t="s">
        <v>14727</v>
      </c>
      <c r="F1647" s="6"/>
      <c r="G1647" s="1" t="s">
        <v>14733</v>
      </c>
    </row>
    <row r="1648" spans="1:7" ht="21" x14ac:dyDescent="0.25">
      <c r="A1648" s="2" t="str">
        <f>HYPERLINK("https://rth.dk/resources/bsgatlas/details.php?id=BSGatlas-TSS-1647","BSGatlas-TSS-1647")</f>
        <v>BSGatlas-TSS-1647</v>
      </c>
      <c r="B1648" s="3">
        <v>2099863</v>
      </c>
      <c r="C1648" s="1" t="s">
        <v>13</v>
      </c>
      <c r="D1648" s="1">
        <v>22</v>
      </c>
      <c r="E1648" s="1" t="s">
        <v>14722</v>
      </c>
      <c r="F1648" s="6"/>
      <c r="G1648" s="1" t="s">
        <v>14733</v>
      </c>
    </row>
    <row r="1649" spans="1:7" ht="21" x14ac:dyDescent="0.25">
      <c r="A1649" s="2" t="str">
        <f>HYPERLINK("https://rth.dk/resources/bsgatlas/details.php?id=BSGatlas-TSS-1648","BSGatlas-TSS-1648")</f>
        <v>BSGatlas-TSS-1648</v>
      </c>
      <c r="B1649" s="3">
        <v>2099968</v>
      </c>
      <c r="C1649" s="1" t="s">
        <v>13</v>
      </c>
      <c r="D1649" s="1">
        <v>22</v>
      </c>
      <c r="E1649" s="1" t="s">
        <v>14739</v>
      </c>
      <c r="F1649" s="6"/>
      <c r="G1649" s="1" t="s">
        <v>14733</v>
      </c>
    </row>
    <row r="1650" spans="1:7" ht="21" x14ac:dyDescent="0.25">
      <c r="A1650" s="2" t="str">
        <f>HYPERLINK("https://rth.dk/resources/bsgatlas/details.php?id=BSGatlas-TSS-1649","BSGatlas-TSS-1649")</f>
        <v>BSGatlas-TSS-1649</v>
      </c>
      <c r="B1650" s="3">
        <v>2100389</v>
      </c>
      <c r="C1650" s="1" t="s">
        <v>13</v>
      </c>
      <c r="D1650" s="1">
        <v>22</v>
      </c>
      <c r="E1650" s="1" t="s">
        <v>14722</v>
      </c>
      <c r="F1650" s="6"/>
      <c r="G1650" s="1" t="s">
        <v>14726</v>
      </c>
    </row>
    <row r="1651" spans="1:7" ht="21" x14ac:dyDescent="0.25">
      <c r="A1651" s="2" t="str">
        <f>HYPERLINK("https://rth.dk/resources/bsgatlas/details.php?id=BSGatlas-TSS-1650","BSGatlas-TSS-1650")</f>
        <v>BSGatlas-TSS-1650</v>
      </c>
      <c r="B1651" s="3">
        <v>2100442</v>
      </c>
      <c r="C1651" s="1" t="s">
        <v>9</v>
      </c>
      <c r="D1651" s="1">
        <v>22</v>
      </c>
      <c r="E1651" s="1" t="s">
        <v>14722</v>
      </c>
      <c r="F1651" s="6"/>
      <c r="G1651" s="1" t="s">
        <v>14733</v>
      </c>
    </row>
    <row r="1652" spans="1:7" ht="21" x14ac:dyDescent="0.25">
      <c r="A1652" s="2" t="str">
        <f>HYPERLINK("https://rth.dk/resources/bsgatlas/details.php?id=BSGatlas-TSS-1651","BSGatlas-TSS-1651")</f>
        <v>BSGatlas-TSS-1651</v>
      </c>
      <c r="B1652" s="3">
        <v>2100468</v>
      </c>
      <c r="C1652" s="1" t="s">
        <v>13</v>
      </c>
      <c r="D1652" s="1">
        <v>22</v>
      </c>
      <c r="E1652" s="1" t="s">
        <v>14720</v>
      </c>
      <c r="F1652" s="6"/>
      <c r="G1652" s="1" t="s">
        <v>14733</v>
      </c>
    </row>
    <row r="1653" spans="1:7" ht="21" x14ac:dyDescent="0.25">
      <c r="A1653" s="2" t="str">
        <f>HYPERLINK("https://rth.dk/resources/bsgatlas/details.php?id=BSGatlas-TSS-1652","BSGatlas-TSS-1652")</f>
        <v>BSGatlas-TSS-1652</v>
      </c>
      <c r="B1653" s="3">
        <v>2101029</v>
      </c>
      <c r="C1653" s="1" t="s">
        <v>13</v>
      </c>
      <c r="D1653" s="1">
        <v>22</v>
      </c>
      <c r="E1653" s="1" t="s">
        <v>14725</v>
      </c>
      <c r="F1653" s="6"/>
      <c r="G1653" s="1" t="s">
        <v>14726</v>
      </c>
    </row>
    <row r="1654" spans="1:7" ht="21" x14ac:dyDescent="0.25">
      <c r="A1654" s="2" t="str">
        <f>HYPERLINK("https://rth.dk/resources/bsgatlas/details.php?id=BSGatlas-TSS-1653","BSGatlas-TSS-1653")</f>
        <v>BSGatlas-TSS-1653</v>
      </c>
      <c r="B1654" s="3">
        <v>2102141</v>
      </c>
      <c r="C1654" s="1" t="s">
        <v>9</v>
      </c>
      <c r="D1654" s="1">
        <v>22</v>
      </c>
      <c r="E1654" s="1" t="s">
        <v>14727</v>
      </c>
      <c r="F1654" s="6"/>
      <c r="G1654" s="1" t="s">
        <v>14726</v>
      </c>
    </row>
    <row r="1655" spans="1:7" ht="21" x14ac:dyDescent="0.25">
      <c r="A1655" s="2" t="str">
        <f>HYPERLINK("https://rth.dk/resources/bsgatlas/details.php?id=BSGatlas-TSS-1654","BSGatlas-TSS-1654")</f>
        <v>BSGatlas-TSS-1654</v>
      </c>
      <c r="B1655" s="3">
        <v>2103119</v>
      </c>
      <c r="C1655" s="1" t="s">
        <v>13</v>
      </c>
      <c r="D1655" s="1">
        <v>22</v>
      </c>
      <c r="E1655" s="1" t="s">
        <v>14725</v>
      </c>
      <c r="F1655" s="6"/>
      <c r="G1655" s="1" t="s">
        <v>14726</v>
      </c>
    </row>
    <row r="1656" spans="1:7" ht="21" x14ac:dyDescent="0.25">
      <c r="A1656" s="2" t="str">
        <f>HYPERLINK("https://rth.dk/resources/bsgatlas/details.php?id=BSGatlas-TSS-1655","BSGatlas-TSS-1655")</f>
        <v>BSGatlas-TSS-1655</v>
      </c>
      <c r="B1656" s="3">
        <v>2106314</v>
      </c>
      <c r="C1656" s="1" t="s">
        <v>13</v>
      </c>
      <c r="D1656" s="1">
        <v>22</v>
      </c>
      <c r="E1656" s="1" t="s">
        <v>14722</v>
      </c>
      <c r="F1656" s="6"/>
      <c r="G1656" s="1" t="s">
        <v>14726</v>
      </c>
    </row>
    <row r="1657" spans="1:7" ht="21" x14ac:dyDescent="0.25">
      <c r="A1657" s="2" t="str">
        <f>HYPERLINK("https://rth.dk/resources/bsgatlas/details.php?id=BSGatlas-TSS-1656","BSGatlas-TSS-1656")</f>
        <v>BSGatlas-TSS-1656</v>
      </c>
      <c r="B1657" s="3">
        <v>2106410</v>
      </c>
      <c r="C1657" s="1" t="s">
        <v>9</v>
      </c>
      <c r="D1657" s="1">
        <v>22</v>
      </c>
      <c r="E1657" s="1" t="s">
        <v>14722</v>
      </c>
      <c r="F1657" s="6"/>
      <c r="G1657" s="1" t="s">
        <v>14726</v>
      </c>
    </row>
    <row r="1658" spans="1:7" ht="21" x14ac:dyDescent="0.25">
      <c r="A1658" s="2" t="str">
        <f>HYPERLINK("https://rth.dk/resources/bsgatlas/details.php?id=BSGatlas-TSS-1657","BSGatlas-TSS-1657")</f>
        <v>BSGatlas-TSS-1657</v>
      </c>
      <c r="B1658" s="3">
        <v>2111722</v>
      </c>
      <c r="C1658" s="1" t="s">
        <v>13</v>
      </c>
      <c r="D1658" s="1">
        <v>0</v>
      </c>
      <c r="E1658" s="1" t="s">
        <v>14722</v>
      </c>
      <c r="F1658" s="6" t="s">
        <v>14956</v>
      </c>
      <c r="G1658" s="1" t="s">
        <v>14729</v>
      </c>
    </row>
    <row r="1659" spans="1:7" ht="21" x14ac:dyDescent="0.25">
      <c r="A1659" s="2" t="str">
        <f>HYPERLINK("https://rth.dk/resources/bsgatlas/details.php?id=BSGatlas-TSS-1658","BSGatlas-TSS-1658")</f>
        <v>BSGatlas-TSS-1658</v>
      </c>
      <c r="B1659" s="3">
        <v>2114697</v>
      </c>
      <c r="C1659" s="1" t="s">
        <v>13</v>
      </c>
      <c r="D1659" s="1">
        <v>22</v>
      </c>
      <c r="E1659" s="1" t="s">
        <v>14722</v>
      </c>
      <c r="F1659" s="6"/>
      <c r="G1659" s="1" t="s">
        <v>14726</v>
      </c>
    </row>
    <row r="1660" spans="1:7" ht="21" x14ac:dyDescent="0.25">
      <c r="A1660" s="2" t="str">
        <f>HYPERLINK("https://rth.dk/resources/bsgatlas/details.php?id=BSGatlas-TSS-1659","BSGatlas-TSS-1659")</f>
        <v>BSGatlas-TSS-1659</v>
      </c>
      <c r="B1660" s="3">
        <v>2116745</v>
      </c>
      <c r="C1660" s="1" t="s">
        <v>13</v>
      </c>
      <c r="D1660" s="1">
        <v>22</v>
      </c>
      <c r="E1660" s="1" t="s">
        <v>14752</v>
      </c>
      <c r="F1660" s="6"/>
      <c r="G1660" s="1" t="s">
        <v>14726</v>
      </c>
    </row>
    <row r="1661" spans="1:7" ht="21" x14ac:dyDescent="0.25">
      <c r="A1661" s="2" t="str">
        <f>HYPERLINK("https://rth.dk/resources/bsgatlas/details.php?id=BSGatlas-TSS-1660","BSGatlas-TSS-1660")</f>
        <v>BSGatlas-TSS-1660</v>
      </c>
      <c r="B1661" s="3">
        <v>2116967</v>
      </c>
      <c r="C1661" s="1" t="s">
        <v>13</v>
      </c>
      <c r="D1661" s="1">
        <v>22</v>
      </c>
      <c r="E1661" s="1" t="s">
        <v>14745</v>
      </c>
      <c r="F1661" s="6"/>
      <c r="G1661" s="1" t="s">
        <v>14733</v>
      </c>
    </row>
    <row r="1662" spans="1:7" ht="21" x14ac:dyDescent="0.25">
      <c r="A1662" s="2" t="str">
        <f>HYPERLINK("https://rth.dk/resources/bsgatlas/details.php?id=BSGatlas-TSS-1661","BSGatlas-TSS-1661")</f>
        <v>BSGatlas-TSS-1661</v>
      </c>
      <c r="B1662" s="3">
        <v>2118309</v>
      </c>
      <c r="C1662" s="1" t="s">
        <v>13</v>
      </c>
      <c r="D1662" s="1">
        <v>22</v>
      </c>
      <c r="E1662" s="1" t="s">
        <v>14722</v>
      </c>
      <c r="F1662" s="6"/>
      <c r="G1662" s="1" t="s">
        <v>14726</v>
      </c>
    </row>
    <row r="1663" spans="1:7" ht="21" x14ac:dyDescent="0.25">
      <c r="A1663" s="2" t="str">
        <f>HYPERLINK("https://rth.dk/resources/bsgatlas/details.php?id=BSGatlas-TSS-1662","BSGatlas-TSS-1662")</f>
        <v>BSGatlas-TSS-1662</v>
      </c>
      <c r="B1663" s="3">
        <v>2119166</v>
      </c>
      <c r="C1663" s="1" t="s">
        <v>9</v>
      </c>
      <c r="D1663" s="1">
        <v>22</v>
      </c>
      <c r="E1663" s="1" t="s">
        <v>14732</v>
      </c>
      <c r="F1663" s="6"/>
      <c r="G1663" s="1" t="s">
        <v>14726</v>
      </c>
    </row>
    <row r="1664" spans="1:7" ht="21" x14ac:dyDescent="0.25">
      <c r="A1664" s="2" t="str">
        <f>HYPERLINK("https://rth.dk/resources/bsgatlas/details.php?id=BSGatlas-TSS-1663","BSGatlas-TSS-1663")</f>
        <v>BSGatlas-TSS-1663</v>
      </c>
      <c r="B1664" s="3">
        <v>2119223</v>
      </c>
      <c r="C1664" s="1" t="s">
        <v>9</v>
      </c>
      <c r="D1664" s="1">
        <v>22</v>
      </c>
      <c r="E1664" s="1" t="s">
        <v>14745</v>
      </c>
      <c r="F1664" s="6"/>
      <c r="G1664" s="1" t="s">
        <v>14733</v>
      </c>
    </row>
    <row r="1665" spans="1:7" ht="21" x14ac:dyDescent="0.25">
      <c r="A1665" s="2" t="str">
        <f>HYPERLINK("https://rth.dk/resources/bsgatlas/details.php?id=BSGatlas-TSS-1664","BSGatlas-TSS-1664")</f>
        <v>BSGatlas-TSS-1664</v>
      </c>
      <c r="B1665" s="3">
        <v>2119268</v>
      </c>
      <c r="C1665" s="1" t="s">
        <v>9</v>
      </c>
      <c r="D1665" s="1">
        <v>22</v>
      </c>
      <c r="E1665" s="1" t="s">
        <v>14720</v>
      </c>
      <c r="F1665" s="6"/>
      <c r="G1665" s="1" t="s">
        <v>14733</v>
      </c>
    </row>
    <row r="1666" spans="1:7" ht="21" x14ac:dyDescent="0.25">
      <c r="A1666" s="2" t="str">
        <f>HYPERLINK("https://rth.dk/resources/bsgatlas/details.php?id=BSGatlas-TSS-1665","BSGatlas-TSS-1665")</f>
        <v>BSGatlas-TSS-1665</v>
      </c>
      <c r="B1666" s="3">
        <v>2119278</v>
      </c>
      <c r="C1666" s="1" t="s">
        <v>13</v>
      </c>
      <c r="D1666" s="1">
        <v>22</v>
      </c>
      <c r="E1666" s="1" t="s">
        <v>14734</v>
      </c>
      <c r="F1666" s="6"/>
      <c r="G1666" s="1" t="s">
        <v>14733</v>
      </c>
    </row>
    <row r="1667" spans="1:7" ht="21" x14ac:dyDescent="0.25">
      <c r="A1667" s="2" t="str">
        <f>HYPERLINK("https://rth.dk/resources/bsgatlas/details.php?id=BSGatlas-TSS-1666","BSGatlas-TSS-1666")</f>
        <v>BSGatlas-TSS-1666</v>
      </c>
      <c r="B1667" s="3">
        <v>2119355</v>
      </c>
      <c r="C1667" s="1" t="s">
        <v>9</v>
      </c>
      <c r="D1667" s="1">
        <v>22</v>
      </c>
      <c r="E1667" s="1" t="s">
        <v>14722</v>
      </c>
      <c r="F1667" s="6"/>
      <c r="G1667" s="1" t="s">
        <v>14726</v>
      </c>
    </row>
    <row r="1668" spans="1:7" ht="21" x14ac:dyDescent="0.25">
      <c r="A1668" s="2" t="str">
        <f>HYPERLINK("https://rth.dk/resources/bsgatlas/details.php?id=BSGatlas-TSS-1667","BSGatlas-TSS-1667")</f>
        <v>BSGatlas-TSS-1667</v>
      </c>
      <c r="B1668" s="3">
        <v>2119740</v>
      </c>
      <c r="C1668" s="1" t="s">
        <v>13</v>
      </c>
      <c r="D1668" s="1">
        <v>22</v>
      </c>
      <c r="E1668" s="1" t="s">
        <v>14732</v>
      </c>
      <c r="F1668" s="6"/>
      <c r="G1668" s="1" t="s">
        <v>14726</v>
      </c>
    </row>
    <row r="1669" spans="1:7" ht="21" x14ac:dyDescent="0.25">
      <c r="A1669" s="2" t="str">
        <f>HYPERLINK("https://rth.dk/resources/bsgatlas/details.php?id=BSGatlas-TSS-1668","BSGatlas-TSS-1668")</f>
        <v>BSGatlas-TSS-1668</v>
      </c>
      <c r="B1669" s="3">
        <v>2121038</v>
      </c>
      <c r="C1669" s="1" t="s">
        <v>13</v>
      </c>
      <c r="D1669" s="1">
        <v>22</v>
      </c>
      <c r="E1669" s="1" t="s">
        <v>14725</v>
      </c>
      <c r="F1669" s="6"/>
      <c r="G1669" s="1" t="s">
        <v>14726</v>
      </c>
    </row>
    <row r="1670" spans="1:7" ht="21" x14ac:dyDescent="0.25">
      <c r="A1670" s="2" t="str">
        <f>HYPERLINK("https://rth.dk/resources/bsgatlas/details.php?id=BSGatlas-TSS-1669","BSGatlas-TSS-1669")</f>
        <v>BSGatlas-TSS-1669</v>
      </c>
      <c r="B1670" s="3">
        <v>2122979</v>
      </c>
      <c r="C1670" s="1" t="s">
        <v>13</v>
      </c>
      <c r="D1670" s="1">
        <v>0</v>
      </c>
      <c r="E1670" s="1" t="s">
        <v>14722</v>
      </c>
      <c r="F1670" s="6">
        <v>23894131</v>
      </c>
      <c r="G1670" s="1" t="s">
        <v>14747</v>
      </c>
    </row>
    <row r="1671" spans="1:7" ht="21" x14ac:dyDescent="0.25">
      <c r="A1671" s="2" t="str">
        <f>HYPERLINK("https://rth.dk/resources/bsgatlas/details.php?id=BSGatlas-TSS-1670","BSGatlas-TSS-1670")</f>
        <v>BSGatlas-TSS-1670</v>
      </c>
      <c r="B1671" s="3">
        <v>2123784</v>
      </c>
      <c r="C1671" s="1" t="s">
        <v>9</v>
      </c>
      <c r="D1671" s="1">
        <v>22</v>
      </c>
      <c r="E1671" s="1" t="s">
        <v>14725</v>
      </c>
      <c r="F1671" s="6"/>
      <c r="G1671" s="1" t="s">
        <v>14733</v>
      </c>
    </row>
    <row r="1672" spans="1:7" ht="21" x14ac:dyDescent="0.25">
      <c r="A1672" s="2" t="str">
        <f>HYPERLINK("https://rth.dk/resources/bsgatlas/details.php?id=BSGatlas-TSS-1671","BSGatlas-TSS-1671")</f>
        <v>BSGatlas-TSS-1671</v>
      </c>
      <c r="B1672" s="3">
        <v>2123947</v>
      </c>
      <c r="C1672" s="1" t="s">
        <v>13</v>
      </c>
      <c r="D1672" s="1">
        <v>0</v>
      </c>
      <c r="E1672" s="1" t="s">
        <v>14722</v>
      </c>
      <c r="F1672" s="6">
        <v>23894131</v>
      </c>
      <c r="G1672" s="1" t="s">
        <v>14747</v>
      </c>
    </row>
    <row r="1673" spans="1:7" ht="21" x14ac:dyDescent="0.25">
      <c r="A1673" s="2" t="str">
        <f>HYPERLINK("https://rth.dk/resources/bsgatlas/details.php?id=BSGatlas-TSS-1672","BSGatlas-TSS-1672")</f>
        <v>BSGatlas-TSS-1672</v>
      </c>
      <c r="B1673" s="3">
        <v>2124803</v>
      </c>
      <c r="C1673" s="1" t="s">
        <v>13</v>
      </c>
      <c r="D1673" s="1">
        <v>22</v>
      </c>
      <c r="E1673" s="1" t="s">
        <v>14725</v>
      </c>
      <c r="F1673" s="6"/>
      <c r="G1673" s="1" t="s">
        <v>14726</v>
      </c>
    </row>
    <row r="1674" spans="1:7" ht="21" x14ac:dyDescent="0.25">
      <c r="A1674" s="2" t="str">
        <f>HYPERLINK("https://rth.dk/resources/bsgatlas/details.php?id=BSGatlas-TSS-1673","BSGatlas-TSS-1673")</f>
        <v>BSGatlas-TSS-1673</v>
      </c>
      <c r="B1674" s="3">
        <v>2126327</v>
      </c>
      <c r="C1674" s="1" t="s">
        <v>13</v>
      </c>
      <c r="D1674" s="1">
        <v>22</v>
      </c>
      <c r="E1674" s="1" t="s">
        <v>14722</v>
      </c>
      <c r="F1674" s="6"/>
      <c r="G1674" s="1" t="s">
        <v>14733</v>
      </c>
    </row>
    <row r="1675" spans="1:7" ht="21" x14ac:dyDescent="0.25">
      <c r="A1675" s="2" t="str">
        <f>HYPERLINK("https://rth.dk/resources/bsgatlas/details.php?id=BSGatlas-TSS-1674","BSGatlas-TSS-1674")</f>
        <v>BSGatlas-TSS-1674</v>
      </c>
      <c r="B1675" s="3">
        <v>2126441</v>
      </c>
      <c r="C1675" s="1" t="s">
        <v>9</v>
      </c>
      <c r="D1675" s="1">
        <v>22</v>
      </c>
      <c r="E1675" s="1" t="s">
        <v>14722</v>
      </c>
      <c r="F1675" s="6"/>
      <c r="G1675" s="1" t="s">
        <v>14733</v>
      </c>
    </row>
    <row r="1676" spans="1:7" ht="21" x14ac:dyDescent="0.25">
      <c r="A1676" s="2" t="str">
        <f>HYPERLINK("https://rth.dk/resources/bsgatlas/details.php?id=BSGatlas-TSS-1675","BSGatlas-TSS-1675")</f>
        <v>BSGatlas-TSS-1675</v>
      </c>
      <c r="B1676" s="3">
        <v>2127736</v>
      </c>
      <c r="C1676" s="1" t="s">
        <v>9</v>
      </c>
      <c r="D1676" s="1">
        <v>22</v>
      </c>
      <c r="E1676" s="1" t="s">
        <v>14722</v>
      </c>
      <c r="F1676" s="6"/>
      <c r="G1676" s="1" t="s">
        <v>14733</v>
      </c>
    </row>
    <row r="1677" spans="1:7" ht="21" x14ac:dyDescent="0.25">
      <c r="A1677" s="2" t="str">
        <f>HYPERLINK("https://rth.dk/resources/bsgatlas/details.php?id=BSGatlas-TSS-1676","BSGatlas-TSS-1676")</f>
        <v>BSGatlas-TSS-1676</v>
      </c>
      <c r="B1677" s="3">
        <v>2127774</v>
      </c>
      <c r="C1677" s="1" t="s">
        <v>13</v>
      </c>
      <c r="D1677" s="1">
        <v>22</v>
      </c>
      <c r="E1677" s="1" t="s">
        <v>14722</v>
      </c>
      <c r="F1677" s="6"/>
      <c r="G1677" s="1" t="s">
        <v>14726</v>
      </c>
    </row>
    <row r="1678" spans="1:7" ht="21" x14ac:dyDescent="0.25">
      <c r="A1678" s="2" t="str">
        <f>HYPERLINK("https://rth.dk/resources/bsgatlas/details.php?id=BSGatlas-TSS-1677","BSGatlas-TSS-1677")</f>
        <v>BSGatlas-TSS-1677</v>
      </c>
      <c r="B1678" s="3">
        <v>2130025</v>
      </c>
      <c r="C1678" s="1" t="s">
        <v>13</v>
      </c>
      <c r="D1678" s="1">
        <v>0</v>
      </c>
      <c r="E1678" s="1" t="s">
        <v>14722</v>
      </c>
      <c r="F1678" s="6" t="s">
        <v>14811</v>
      </c>
      <c r="G1678" s="1" t="s">
        <v>14747</v>
      </c>
    </row>
    <row r="1679" spans="1:7" ht="21" x14ac:dyDescent="0.25">
      <c r="A1679" s="2" t="str">
        <f>HYPERLINK("https://rth.dk/resources/bsgatlas/details.php?id=BSGatlas-TSS-1678","BSGatlas-TSS-1678")</f>
        <v>BSGatlas-TSS-1678</v>
      </c>
      <c r="B1679" s="3">
        <v>2130134</v>
      </c>
      <c r="C1679" s="1" t="s">
        <v>9</v>
      </c>
      <c r="D1679" s="1">
        <v>22</v>
      </c>
      <c r="E1679" s="1" t="s">
        <v>14722</v>
      </c>
      <c r="F1679" s="6"/>
      <c r="G1679" s="1" t="s">
        <v>14726</v>
      </c>
    </row>
    <row r="1680" spans="1:7" ht="21" x14ac:dyDescent="0.25">
      <c r="A1680" s="2" t="str">
        <f>HYPERLINK("https://rth.dk/resources/bsgatlas/details.php?id=BSGatlas-TSS-1679","BSGatlas-TSS-1679")</f>
        <v>BSGatlas-TSS-1679</v>
      </c>
      <c r="B1680" s="3">
        <v>2131116</v>
      </c>
      <c r="C1680" s="1" t="s">
        <v>13</v>
      </c>
      <c r="D1680" s="1">
        <v>22</v>
      </c>
      <c r="E1680" s="1" t="s">
        <v>14732</v>
      </c>
      <c r="F1680" s="6"/>
      <c r="G1680" s="1" t="s">
        <v>14726</v>
      </c>
    </row>
    <row r="1681" spans="1:7" ht="21" x14ac:dyDescent="0.25">
      <c r="A1681" s="2" t="str">
        <f>HYPERLINK("https://rth.dk/resources/bsgatlas/details.php?id=BSGatlas-TSS-1680","BSGatlas-TSS-1680")</f>
        <v>BSGatlas-TSS-1680</v>
      </c>
      <c r="B1681" s="3">
        <v>2133108</v>
      </c>
      <c r="C1681" s="1" t="s">
        <v>9</v>
      </c>
      <c r="D1681" s="1">
        <v>22</v>
      </c>
      <c r="E1681" s="1" t="s">
        <v>14739</v>
      </c>
      <c r="F1681" s="6"/>
      <c r="G1681" s="1" t="s">
        <v>14726</v>
      </c>
    </row>
    <row r="1682" spans="1:7" ht="21" x14ac:dyDescent="0.25">
      <c r="A1682" s="2" t="str">
        <f>HYPERLINK("https://rth.dk/resources/bsgatlas/details.php?id=BSGatlas-TSS-1681","BSGatlas-TSS-1681")</f>
        <v>BSGatlas-TSS-1681</v>
      </c>
      <c r="B1682" s="3">
        <v>2133342</v>
      </c>
      <c r="C1682" s="1" t="s">
        <v>13</v>
      </c>
      <c r="D1682" s="1">
        <v>22</v>
      </c>
      <c r="E1682" s="1" t="s">
        <v>14722</v>
      </c>
      <c r="F1682" s="6"/>
      <c r="G1682" s="1" t="s">
        <v>14726</v>
      </c>
    </row>
    <row r="1683" spans="1:7" ht="21" x14ac:dyDescent="0.25">
      <c r="A1683" s="2" t="str">
        <f>HYPERLINK("https://rth.dk/resources/bsgatlas/details.php?id=BSGatlas-TSS-1682","BSGatlas-TSS-1682")</f>
        <v>BSGatlas-TSS-1682</v>
      </c>
      <c r="B1683" s="3">
        <v>2133437</v>
      </c>
      <c r="C1683" s="1" t="s">
        <v>9</v>
      </c>
      <c r="D1683" s="1">
        <v>0</v>
      </c>
      <c r="E1683" s="1" t="s">
        <v>14725</v>
      </c>
      <c r="F1683" s="6">
        <v>15383836</v>
      </c>
      <c r="G1683" s="1" t="s">
        <v>14730</v>
      </c>
    </row>
    <row r="1684" spans="1:7" ht="21" x14ac:dyDescent="0.25">
      <c r="A1684" s="2" t="str">
        <f>HYPERLINK("https://rth.dk/resources/bsgatlas/details.php?id=BSGatlas-TSS-1683","BSGatlas-TSS-1683")</f>
        <v>BSGatlas-TSS-1683</v>
      </c>
      <c r="B1684" s="3">
        <v>2134208</v>
      </c>
      <c r="C1684" s="1" t="s">
        <v>9</v>
      </c>
      <c r="D1684" s="1">
        <v>22</v>
      </c>
      <c r="E1684" s="1" t="s">
        <v>14725</v>
      </c>
      <c r="F1684" s="6"/>
      <c r="G1684" s="1" t="s">
        <v>14726</v>
      </c>
    </row>
    <row r="1685" spans="1:7" ht="21" x14ac:dyDescent="0.25">
      <c r="A1685" s="2" t="str">
        <f>HYPERLINK("https://rth.dk/resources/bsgatlas/details.php?id=BSGatlas-TSS-1684","BSGatlas-TSS-1684")</f>
        <v>BSGatlas-TSS-1684</v>
      </c>
      <c r="B1685" s="3">
        <v>2136261</v>
      </c>
      <c r="C1685" s="1" t="s">
        <v>13</v>
      </c>
      <c r="D1685" s="1">
        <v>22</v>
      </c>
      <c r="E1685" s="1" t="s">
        <v>14722</v>
      </c>
      <c r="F1685" s="6"/>
      <c r="G1685" s="1" t="s">
        <v>14733</v>
      </c>
    </row>
    <row r="1686" spans="1:7" ht="21" x14ac:dyDescent="0.25">
      <c r="A1686" s="2" t="str">
        <f>HYPERLINK("https://rth.dk/resources/bsgatlas/details.php?id=BSGatlas-TSS-1685","BSGatlas-TSS-1685")</f>
        <v>BSGatlas-TSS-1685</v>
      </c>
      <c r="B1686" s="3">
        <v>2136357</v>
      </c>
      <c r="C1686" s="1" t="s">
        <v>9</v>
      </c>
      <c r="D1686" s="1">
        <v>22</v>
      </c>
      <c r="E1686" s="1" t="s">
        <v>14732</v>
      </c>
      <c r="F1686" s="6"/>
      <c r="G1686" s="1" t="s">
        <v>14726</v>
      </c>
    </row>
    <row r="1687" spans="1:7" ht="21" x14ac:dyDescent="0.25">
      <c r="A1687" s="2" t="str">
        <f>HYPERLINK("https://rth.dk/resources/bsgatlas/details.php?id=BSGatlas-TSS-1686","BSGatlas-TSS-1686")</f>
        <v>BSGatlas-TSS-1686</v>
      </c>
      <c r="B1687" s="3">
        <v>2136880</v>
      </c>
      <c r="C1687" s="1" t="s">
        <v>13</v>
      </c>
      <c r="D1687" s="1">
        <v>22</v>
      </c>
      <c r="E1687" s="1" t="s">
        <v>14745</v>
      </c>
      <c r="F1687" s="6"/>
      <c r="G1687" s="1" t="s">
        <v>14726</v>
      </c>
    </row>
    <row r="1688" spans="1:7" ht="21" x14ac:dyDescent="0.25">
      <c r="A1688" s="2" t="str">
        <f>HYPERLINK("https://rth.dk/resources/bsgatlas/details.php?id=BSGatlas-TSS-1687","BSGatlas-TSS-1687")</f>
        <v>BSGatlas-TSS-1687</v>
      </c>
      <c r="B1688" s="3">
        <v>2137617</v>
      </c>
      <c r="C1688" s="1" t="s">
        <v>13</v>
      </c>
      <c r="D1688" s="1">
        <v>22</v>
      </c>
      <c r="E1688" s="1" t="s">
        <v>14722</v>
      </c>
      <c r="F1688" s="6"/>
      <c r="G1688" s="1" t="s">
        <v>14726</v>
      </c>
    </row>
    <row r="1689" spans="1:7" ht="21" x14ac:dyDescent="0.25">
      <c r="A1689" s="2" t="str">
        <f>HYPERLINK("https://rth.dk/resources/bsgatlas/details.php?id=BSGatlas-TSS-1688","BSGatlas-TSS-1688")</f>
        <v>BSGatlas-TSS-1688</v>
      </c>
      <c r="B1689" s="3">
        <v>2137813</v>
      </c>
      <c r="C1689" s="1" t="s">
        <v>13</v>
      </c>
      <c r="D1689" s="1">
        <v>22</v>
      </c>
      <c r="E1689" s="1" t="s">
        <v>14727</v>
      </c>
      <c r="F1689" s="6"/>
      <c r="G1689" s="1" t="s">
        <v>14726</v>
      </c>
    </row>
    <row r="1690" spans="1:7" ht="21" x14ac:dyDescent="0.25">
      <c r="A1690" s="2" t="str">
        <f>HYPERLINK("https://rth.dk/resources/bsgatlas/details.php?id=BSGatlas-TSS-1689","BSGatlas-TSS-1689")</f>
        <v>BSGatlas-TSS-1689</v>
      </c>
      <c r="B1690" s="3">
        <v>2137858</v>
      </c>
      <c r="C1690" s="1" t="s">
        <v>9</v>
      </c>
      <c r="D1690" s="1">
        <v>22</v>
      </c>
      <c r="E1690" s="1" t="s">
        <v>14727</v>
      </c>
      <c r="F1690" s="6"/>
      <c r="G1690" s="1" t="s">
        <v>14726</v>
      </c>
    </row>
    <row r="1691" spans="1:7" ht="21" x14ac:dyDescent="0.25">
      <c r="A1691" s="2" t="str">
        <f>HYPERLINK("https://rth.dk/resources/bsgatlas/details.php?id=BSGatlas-TSS-1690","BSGatlas-TSS-1690")</f>
        <v>BSGatlas-TSS-1690</v>
      </c>
      <c r="B1691" s="3">
        <v>2138750</v>
      </c>
      <c r="C1691" s="1" t="s">
        <v>13</v>
      </c>
      <c r="D1691" s="1">
        <v>22</v>
      </c>
      <c r="E1691" s="1" t="s">
        <v>14725</v>
      </c>
      <c r="F1691" s="6"/>
      <c r="G1691" s="1" t="s">
        <v>14726</v>
      </c>
    </row>
    <row r="1692" spans="1:7" ht="21" x14ac:dyDescent="0.25">
      <c r="A1692" s="2" t="str">
        <f>HYPERLINK("https://rth.dk/resources/bsgatlas/details.php?id=BSGatlas-TSS-1691","BSGatlas-TSS-1691")</f>
        <v>BSGatlas-TSS-1691</v>
      </c>
      <c r="B1692" s="3">
        <v>2139145</v>
      </c>
      <c r="C1692" s="1" t="s">
        <v>13</v>
      </c>
      <c r="D1692" s="1">
        <v>22</v>
      </c>
      <c r="E1692" s="1" t="s">
        <v>14722</v>
      </c>
      <c r="F1692" s="6"/>
      <c r="G1692" s="1" t="s">
        <v>14726</v>
      </c>
    </row>
    <row r="1693" spans="1:7" ht="21" x14ac:dyDescent="0.25">
      <c r="A1693" s="2" t="str">
        <f>HYPERLINK("https://rth.dk/resources/bsgatlas/details.php?id=BSGatlas-TSS-1692","BSGatlas-TSS-1692")</f>
        <v>BSGatlas-TSS-1692</v>
      </c>
      <c r="B1693" s="3">
        <v>2140149</v>
      </c>
      <c r="C1693" s="1" t="s">
        <v>9</v>
      </c>
      <c r="D1693" s="1">
        <v>22</v>
      </c>
      <c r="E1693" s="1" t="s">
        <v>14722</v>
      </c>
      <c r="F1693" s="6"/>
      <c r="G1693" s="1" t="s">
        <v>14726</v>
      </c>
    </row>
    <row r="1694" spans="1:7" ht="21" x14ac:dyDescent="0.25">
      <c r="A1694" s="2" t="str">
        <f>HYPERLINK("https://rth.dk/resources/bsgatlas/details.php?id=BSGatlas-TSS-1693","BSGatlas-TSS-1693")</f>
        <v>BSGatlas-TSS-1693</v>
      </c>
      <c r="B1694" s="3">
        <v>2145725</v>
      </c>
      <c r="C1694" s="1" t="s">
        <v>13</v>
      </c>
      <c r="D1694" s="1">
        <v>22</v>
      </c>
      <c r="E1694" s="1" t="s">
        <v>14727</v>
      </c>
      <c r="F1694" s="6"/>
      <c r="G1694" s="1" t="s">
        <v>14726</v>
      </c>
    </row>
    <row r="1695" spans="1:7" ht="21" x14ac:dyDescent="0.25">
      <c r="A1695" s="2" t="str">
        <f>HYPERLINK("https://rth.dk/resources/bsgatlas/details.php?id=BSGatlas-TSS-1694","BSGatlas-TSS-1694")</f>
        <v>BSGatlas-TSS-1694</v>
      </c>
      <c r="B1695" s="3">
        <v>2145957</v>
      </c>
      <c r="C1695" s="1" t="s">
        <v>9</v>
      </c>
      <c r="D1695" s="1">
        <v>22</v>
      </c>
      <c r="E1695" s="1" t="s">
        <v>14720</v>
      </c>
      <c r="F1695" s="6"/>
      <c r="G1695" s="1" t="s">
        <v>14726</v>
      </c>
    </row>
    <row r="1696" spans="1:7" ht="21" x14ac:dyDescent="0.25">
      <c r="A1696" s="2" t="str">
        <f>HYPERLINK("https://rth.dk/resources/bsgatlas/details.php?id=BSGatlas-TSS-1695","BSGatlas-TSS-1695")</f>
        <v>BSGatlas-TSS-1695</v>
      </c>
      <c r="B1696" s="3">
        <v>2145967</v>
      </c>
      <c r="C1696" s="1" t="s">
        <v>13</v>
      </c>
      <c r="D1696" s="1">
        <v>22</v>
      </c>
      <c r="E1696" s="1" t="s">
        <v>14725</v>
      </c>
      <c r="F1696" s="6"/>
      <c r="G1696" s="1" t="s">
        <v>14726</v>
      </c>
    </row>
    <row r="1697" spans="1:7" ht="21" x14ac:dyDescent="0.25">
      <c r="A1697" s="2" t="str">
        <f>HYPERLINK("https://rth.dk/resources/bsgatlas/details.php?id=BSGatlas-TSS-1696","BSGatlas-TSS-1696")</f>
        <v>BSGatlas-TSS-1696</v>
      </c>
      <c r="B1697" s="3">
        <v>2147485</v>
      </c>
      <c r="C1697" s="1" t="s">
        <v>13</v>
      </c>
      <c r="D1697" s="1">
        <v>22</v>
      </c>
      <c r="E1697" s="1" t="s">
        <v>14752</v>
      </c>
      <c r="F1697" s="6"/>
      <c r="G1697" s="1" t="s">
        <v>14726</v>
      </c>
    </row>
    <row r="1698" spans="1:7" ht="21" x14ac:dyDescent="0.25">
      <c r="A1698" s="2" t="str">
        <f>HYPERLINK("https://rth.dk/resources/bsgatlas/details.php?id=BSGatlas-TSS-1697","BSGatlas-TSS-1697")</f>
        <v>BSGatlas-TSS-1697</v>
      </c>
      <c r="B1698" s="3">
        <v>2148079</v>
      </c>
      <c r="C1698" s="1" t="s">
        <v>13</v>
      </c>
      <c r="D1698" s="1">
        <v>22</v>
      </c>
      <c r="E1698" s="1" t="s">
        <v>14727</v>
      </c>
      <c r="F1698" s="6"/>
      <c r="G1698" s="1" t="s">
        <v>14726</v>
      </c>
    </row>
    <row r="1699" spans="1:7" ht="21" x14ac:dyDescent="0.25">
      <c r="A1699" s="2" t="str">
        <f>HYPERLINK("https://rth.dk/resources/bsgatlas/details.php?id=BSGatlas-TSS-1698","BSGatlas-TSS-1698")</f>
        <v>BSGatlas-TSS-1698</v>
      </c>
      <c r="B1699" s="3">
        <v>2148498</v>
      </c>
      <c r="C1699" s="1" t="s">
        <v>13</v>
      </c>
      <c r="D1699" s="1">
        <v>0</v>
      </c>
      <c r="E1699" s="1" t="s">
        <v>14725</v>
      </c>
      <c r="F1699" s="6" t="s">
        <v>14957</v>
      </c>
      <c r="G1699" s="1" t="s">
        <v>14729</v>
      </c>
    </row>
    <row r="1700" spans="1:7" ht="21" x14ac:dyDescent="0.25">
      <c r="A1700" s="2" t="str">
        <f>HYPERLINK("https://rth.dk/resources/bsgatlas/details.php?id=BSGatlas-TSS-1699","BSGatlas-TSS-1699")</f>
        <v>BSGatlas-TSS-1699</v>
      </c>
      <c r="B1700" s="3">
        <v>2148646</v>
      </c>
      <c r="C1700" s="1" t="s">
        <v>9</v>
      </c>
      <c r="D1700" s="1">
        <v>0</v>
      </c>
      <c r="E1700" s="1" t="s">
        <v>14725</v>
      </c>
      <c r="F1700" s="6" t="s">
        <v>14957</v>
      </c>
      <c r="G1700" s="1" t="s">
        <v>14729</v>
      </c>
    </row>
    <row r="1701" spans="1:7" ht="21" x14ac:dyDescent="0.25">
      <c r="A1701" s="2" t="str">
        <f>HYPERLINK("https://rth.dk/resources/bsgatlas/details.php?id=BSGatlas-TSS-1700","BSGatlas-TSS-1700")</f>
        <v>BSGatlas-TSS-1700</v>
      </c>
      <c r="B1701" s="3">
        <v>2148651</v>
      </c>
      <c r="C1701" s="1" t="s">
        <v>13</v>
      </c>
      <c r="D1701" s="1">
        <v>22</v>
      </c>
      <c r="E1701" s="1" t="s">
        <v>14720</v>
      </c>
      <c r="F1701" s="6"/>
      <c r="G1701" s="1" t="s">
        <v>14726</v>
      </c>
    </row>
    <row r="1702" spans="1:7" ht="21" x14ac:dyDescent="0.25">
      <c r="A1702" s="2" t="str">
        <f>HYPERLINK("https://rth.dk/resources/bsgatlas/details.php?id=BSGatlas-TSS-1701","BSGatlas-TSS-1701")</f>
        <v>BSGatlas-TSS-1701</v>
      </c>
      <c r="B1702" s="3">
        <v>2151291</v>
      </c>
      <c r="C1702" s="1" t="s">
        <v>13</v>
      </c>
      <c r="D1702" s="1">
        <v>22</v>
      </c>
      <c r="E1702" s="1" t="s">
        <v>14722</v>
      </c>
      <c r="F1702" s="6"/>
      <c r="G1702" s="1" t="s">
        <v>14726</v>
      </c>
    </row>
    <row r="1703" spans="1:7" ht="21" x14ac:dyDescent="0.25">
      <c r="A1703" s="2" t="str">
        <f>HYPERLINK("https://rth.dk/resources/bsgatlas/details.php?id=BSGatlas-TSS-1702","BSGatlas-TSS-1702")</f>
        <v>BSGatlas-TSS-1702</v>
      </c>
      <c r="B1703" s="3">
        <v>2151299</v>
      </c>
      <c r="C1703" s="1" t="s">
        <v>9</v>
      </c>
      <c r="D1703" s="1">
        <v>22</v>
      </c>
      <c r="E1703" s="1" t="s">
        <v>14722</v>
      </c>
      <c r="F1703" s="6"/>
      <c r="G1703" s="1" t="s">
        <v>14726</v>
      </c>
    </row>
    <row r="1704" spans="1:7" ht="21" x14ac:dyDescent="0.25">
      <c r="A1704" s="2" t="str">
        <f>HYPERLINK("https://rth.dk/resources/bsgatlas/details.php?id=BSGatlas-TSS-1703","BSGatlas-TSS-1703")</f>
        <v>BSGatlas-TSS-1703</v>
      </c>
      <c r="B1704" s="3">
        <v>2151585</v>
      </c>
      <c r="C1704" s="1" t="s">
        <v>9</v>
      </c>
      <c r="D1704" s="1">
        <v>22</v>
      </c>
      <c r="E1704" s="1" t="s">
        <v>14725</v>
      </c>
      <c r="F1704" s="6"/>
      <c r="G1704" s="1" t="s">
        <v>14726</v>
      </c>
    </row>
    <row r="1705" spans="1:7" ht="21" x14ac:dyDescent="0.25">
      <c r="A1705" s="2" t="str">
        <f>HYPERLINK("https://rth.dk/resources/bsgatlas/details.php?id=BSGatlas-TSS-1704","BSGatlas-TSS-1704")</f>
        <v>BSGatlas-TSS-1704</v>
      </c>
      <c r="B1705" s="3">
        <v>2152299</v>
      </c>
      <c r="C1705" s="1" t="s">
        <v>13</v>
      </c>
      <c r="D1705" s="1">
        <v>22</v>
      </c>
      <c r="E1705" s="1" t="s">
        <v>14725</v>
      </c>
      <c r="F1705" s="6"/>
      <c r="G1705" s="1" t="s">
        <v>14726</v>
      </c>
    </row>
    <row r="1706" spans="1:7" ht="21" x14ac:dyDescent="0.25">
      <c r="A1706" s="2" t="str">
        <f>HYPERLINK("https://rth.dk/resources/bsgatlas/details.php?id=BSGatlas-TSS-1705","BSGatlas-TSS-1705")</f>
        <v>BSGatlas-TSS-1705</v>
      </c>
      <c r="B1706" s="3">
        <v>2152890</v>
      </c>
      <c r="C1706" s="1" t="s">
        <v>9</v>
      </c>
      <c r="D1706" s="1">
        <v>22</v>
      </c>
      <c r="E1706" s="1" t="s">
        <v>14722</v>
      </c>
      <c r="F1706" s="6"/>
      <c r="G1706" s="1" t="s">
        <v>14726</v>
      </c>
    </row>
    <row r="1707" spans="1:7" ht="21" x14ac:dyDescent="0.25">
      <c r="A1707" s="2" t="str">
        <f>HYPERLINK("https://rth.dk/resources/bsgatlas/details.php?id=BSGatlas-TSS-1706","BSGatlas-TSS-1706")</f>
        <v>BSGatlas-TSS-1706</v>
      </c>
      <c r="B1707" s="3">
        <v>2156199</v>
      </c>
      <c r="C1707" s="1" t="s">
        <v>9</v>
      </c>
      <c r="D1707" s="1">
        <v>0</v>
      </c>
      <c r="E1707" s="1" t="s">
        <v>14743</v>
      </c>
      <c r="F1707" s="6" t="s">
        <v>14893</v>
      </c>
      <c r="G1707" s="1" t="s">
        <v>14729</v>
      </c>
    </row>
    <row r="1708" spans="1:7" ht="21" x14ac:dyDescent="0.25">
      <c r="A1708" s="2" t="str">
        <f>HYPERLINK("https://rth.dk/resources/bsgatlas/details.php?id=BSGatlas-TSS-1707","BSGatlas-TSS-1707")</f>
        <v>BSGatlas-TSS-1707</v>
      </c>
      <c r="B1708" s="3">
        <v>2157231</v>
      </c>
      <c r="C1708" s="1" t="s">
        <v>13</v>
      </c>
      <c r="D1708" s="1">
        <v>22</v>
      </c>
      <c r="E1708" s="1" t="s">
        <v>14722</v>
      </c>
      <c r="F1708" s="6"/>
      <c r="G1708" s="1" t="s">
        <v>14733</v>
      </c>
    </row>
    <row r="1709" spans="1:7" ht="21" x14ac:dyDescent="0.25">
      <c r="A1709" s="2" t="str">
        <f>HYPERLINK("https://rth.dk/resources/bsgatlas/details.php?id=BSGatlas-TSS-1708","BSGatlas-TSS-1708")</f>
        <v>BSGatlas-TSS-1708</v>
      </c>
      <c r="B1709" s="3">
        <v>2158408</v>
      </c>
      <c r="C1709" s="1" t="s">
        <v>9</v>
      </c>
      <c r="D1709" s="1">
        <v>22</v>
      </c>
      <c r="E1709" s="1" t="s">
        <v>14722</v>
      </c>
      <c r="F1709" s="6"/>
      <c r="G1709" s="1" t="s">
        <v>14726</v>
      </c>
    </row>
    <row r="1710" spans="1:7" ht="21" x14ac:dyDescent="0.25">
      <c r="A1710" s="2" t="str">
        <f>HYPERLINK("https://rth.dk/resources/bsgatlas/details.php?id=BSGatlas-TSS-1709","BSGatlas-TSS-1709")</f>
        <v>BSGatlas-TSS-1709</v>
      </c>
      <c r="B1710" s="3">
        <v>2159200</v>
      </c>
      <c r="C1710" s="1" t="s">
        <v>13</v>
      </c>
      <c r="D1710" s="1">
        <v>22</v>
      </c>
      <c r="E1710" s="1" t="s">
        <v>14722</v>
      </c>
      <c r="F1710" s="6"/>
      <c r="G1710" s="1" t="s">
        <v>14726</v>
      </c>
    </row>
    <row r="1711" spans="1:7" ht="21" x14ac:dyDescent="0.25">
      <c r="A1711" s="2" t="str">
        <f>HYPERLINK("https://rth.dk/resources/bsgatlas/details.php?id=BSGatlas-TSS-1710","BSGatlas-TSS-1710")</f>
        <v>BSGatlas-TSS-1710</v>
      </c>
      <c r="B1711" s="3">
        <v>2161799</v>
      </c>
      <c r="C1711" s="1" t="s">
        <v>13</v>
      </c>
      <c r="D1711" s="1">
        <v>22</v>
      </c>
      <c r="E1711" s="1" t="s">
        <v>14722</v>
      </c>
      <c r="F1711" s="6"/>
      <c r="G1711" s="1" t="s">
        <v>14726</v>
      </c>
    </row>
    <row r="1712" spans="1:7" ht="21" x14ac:dyDescent="0.25">
      <c r="A1712" s="2" t="str">
        <f>HYPERLINK("https://rth.dk/resources/bsgatlas/details.php?id=BSGatlas-TSS-1711","BSGatlas-TSS-1711")</f>
        <v>BSGatlas-TSS-1711</v>
      </c>
      <c r="B1712" s="3">
        <v>2162025</v>
      </c>
      <c r="C1712" s="1" t="s">
        <v>9</v>
      </c>
      <c r="D1712" s="1">
        <v>22</v>
      </c>
      <c r="E1712" s="1" t="s">
        <v>14722</v>
      </c>
      <c r="F1712" s="6"/>
      <c r="G1712" s="1" t="s">
        <v>14726</v>
      </c>
    </row>
    <row r="1713" spans="1:7" ht="21" x14ac:dyDescent="0.25">
      <c r="A1713" s="2" t="str">
        <f>HYPERLINK("https://rth.dk/resources/bsgatlas/details.php?id=BSGatlas-TSS-1712","BSGatlas-TSS-1712")</f>
        <v>BSGatlas-TSS-1712</v>
      </c>
      <c r="B1713" s="3">
        <v>2164645</v>
      </c>
      <c r="C1713" s="1" t="s">
        <v>13</v>
      </c>
      <c r="D1713" s="1">
        <v>22</v>
      </c>
      <c r="E1713" s="1" t="s">
        <v>14720</v>
      </c>
      <c r="F1713" s="6"/>
      <c r="G1713" s="1" t="s">
        <v>14726</v>
      </c>
    </row>
    <row r="1714" spans="1:7" ht="21" x14ac:dyDescent="0.25">
      <c r="A1714" s="2" t="str">
        <f>HYPERLINK("https://rth.dk/resources/bsgatlas/details.php?id=BSGatlas-TSS-1713","BSGatlas-TSS-1713")</f>
        <v>BSGatlas-TSS-1713</v>
      </c>
      <c r="B1714" s="3">
        <v>2169773</v>
      </c>
      <c r="C1714" s="1" t="s">
        <v>9</v>
      </c>
      <c r="D1714" s="1">
        <v>22</v>
      </c>
      <c r="E1714" s="1" t="s">
        <v>14725</v>
      </c>
      <c r="F1714" s="6"/>
      <c r="G1714" s="1" t="s">
        <v>14726</v>
      </c>
    </row>
    <row r="1715" spans="1:7" ht="21" x14ac:dyDescent="0.25">
      <c r="A1715" s="2" t="str">
        <f>HYPERLINK("https://rth.dk/resources/bsgatlas/details.php?id=BSGatlas-TSS-1714","BSGatlas-TSS-1714")</f>
        <v>BSGatlas-TSS-1714</v>
      </c>
      <c r="B1715" s="3">
        <v>2171751</v>
      </c>
      <c r="C1715" s="1" t="s">
        <v>13</v>
      </c>
      <c r="D1715" s="1">
        <v>22</v>
      </c>
      <c r="E1715" s="1" t="s">
        <v>14720</v>
      </c>
      <c r="F1715" s="6"/>
      <c r="G1715" s="1" t="s">
        <v>14726</v>
      </c>
    </row>
    <row r="1716" spans="1:7" ht="21" x14ac:dyDescent="0.25">
      <c r="A1716" s="2" t="str">
        <f>HYPERLINK("https://rth.dk/resources/bsgatlas/details.php?id=BSGatlas-TSS-1715","BSGatlas-TSS-1715")</f>
        <v>BSGatlas-TSS-1715</v>
      </c>
      <c r="B1716" s="3">
        <v>2174792</v>
      </c>
      <c r="C1716" s="1" t="s">
        <v>13</v>
      </c>
      <c r="D1716" s="1">
        <v>22</v>
      </c>
      <c r="E1716" s="1" t="s">
        <v>14752</v>
      </c>
      <c r="F1716" s="6"/>
      <c r="G1716" s="1" t="s">
        <v>14726</v>
      </c>
    </row>
    <row r="1717" spans="1:7" ht="21" x14ac:dyDescent="0.25">
      <c r="A1717" s="2" t="str">
        <f>HYPERLINK("https://rth.dk/resources/bsgatlas/details.php?id=BSGatlas-TSS-1716","BSGatlas-TSS-1716")</f>
        <v>BSGatlas-TSS-1716</v>
      </c>
      <c r="B1717" s="3">
        <v>2175295</v>
      </c>
      <c r="C1717" s="1" t="s">
        <v>13</v>
      </c>
      <c r="D1717" s="1">
        <v>22</v>
      </c>
      <c r="E1717" s="1" t="s">
        <v>14720</v>
      </c>
      <c r="F1717" s="6"/>
      <c r="G1717" s="1" t="s">
        <v>14726</v>
      </c>
    </row>
    <row r="1718" spans="1:7" ht="21" x14ac:dyDescent="0.25">
      <c r="A1718" s="2" t="str">
        <f>HYPERLINK("https://rth.dk/resources/bsgatlas/details.php?id=BSGatlas-TSS-1717","BSGatlas-TSS-1717")</f>
        <v>BSGatlas-TSS-1717</v>
      </c>
      <c r="B1718" s="3">
        <v>2187336</v>
      </c>
      <c r="C1718" s="1" t="s">
        <v>13</v>
      </c>
      <c r="D1718" s="1">
        <v>22</v>
      </c>
      <c r="E1718" s="1" t="s">
        <v>14722</v>
      </c>
      <c r="F1718" s="6"/>
      <c r="G1718" s="1" t="s">
        <v>14726</v>
      </c>
    </row>
    <row r="1719" spans="1:7" ht="21" x14ac:dyDescent="0.25">
      <c r="A1719" s="2" t="str">
        <f>HYPERLINK("https://rth.dk/resources/bsgatlas/details.php?id=BSGatlas-TSS-1718","BSGatlas-TSS-1718")</f>
        <v>BSGatlas-TSS-1718</v>
      </c>
      <c r="B1719" s="3">
        <v>2187781</v>
      </c>
      <c r="C1719" s="1" t="s">
        <v>9</v>
      </c>
      <c r="D1719" s="1">
        <v>22</v>
      </c>
      <c r="E1719" s="1" t="s">
        <v>14720</v>
      </c>
      <c r="F1719" s="6"/>
      <c r="G1719" s="1" t="s">
        <v>14726</v>
      </c>
    </row>
    <row r="1720" spans="1:7" ht="21" x14ac:dyDescent="0.25">
      <c r="A1720" s="2" t="str">
        <f>HYPERLINK("https://rth.dk/resources/bsgatlas/details.php?id=BSGatlas-TSS-1719","BSGatlas-TSS-1719")</f>
        <v>BSGatlas-TSS-1719</v>
      </c>
      <c r="B1720" s="3">
        <v>2188165</v>
      </c>
      <c r="C1720" s="1" t="s">
        <v>13</v>
      </c>
      <c r="D1720" s="1">
        <v>22</v>
      </c>
      <c r="E1720" s="1" t="s">
        <v>14722</v>
      </c>
      <c r="F1720" s="6"/>
      <c r="G1720" s="1" t="s">
        <v>14726</v>
      </c>
    </row>
    <row r="1721" spans="1:7" ht="21" x14ac:dyDescent="0.25">
      <c r="A1721" s="2" t="str">
        <f>HYPERLINK("https://rth.dk/resources/bsgatlas/details.php?id=BSGatlas-TSS-1720","BSGatlas-TSS-1720")</f>
        <v>BSGatlas-TSS-1720</v>
      </c>
      <c r="B1721" s="3">
        <v>2190288</v>
      </c>
      <c r="C1721" s="1" t="s">
        <v>13</v>
      </c>
      <c r="D1721" s="1">
        <v>22</v>
      </c>
      <c r="E1721" s="1" t="s">
        <v>14734</v>
      </c>
      <c r="F1721" s="6"/>
      <c r="G1721" s="1" t="s">
        <v>14726</v>
      </c>
    </row>
    <row r="1722" spans="1:7" ht="21" x14ac:dyDescent="0.25">
      <c r="A1722" s="2" t="str">
        <f>HYPERLINK("https://rth.dk/resources/bsgatlas/details.php?id=BSGatlas-TSS-1721","BSGatlas-TSS-1721")</f>
        <v>BSGatlas-TSS-1721</v>
      </c>
      <c r="B1722" s="3">
        <v>2190661</v>
      </c>
      <c r="C1722" s="1" t="s">
        <v>9</v>
      </c>
      <c r="D1722" s="1">
        <v>22</v>
      </c>
      <c r="E1722" s="1" t="s">
        <v>14722</v>
      </c>
      <c r="F1722" s="6"/>
      <c r="G1722" s="1" t="s">
        <v>14733</v>
      </c>
    </row>
    <row r="1723" spans="1:7" ht="21" x14ac:dyDescent="0.25">
      <c r="A1723" s="2" t="str">
        <f>HYPERLINK("https://rth.dk/resources/bsgatlas/details.php?id=BSGatlas-TSS-1722","BSGatlas-TSS-1722")</f>
        <v>BSGatlas-TSS-1722</v>
      </c>
      <c r="B1723" s="3">
        <v>2190695</v>
      </c>
      <c r="C1723" s="1" t="s">
        <v>13</v>
      </c>
      <c r="D1723" s="1">
        <v>22</v>
      </c>
      <c r="E1723" s="1" t="s">
        <v>14720</v>
      </c>
      <c r="F1723" s="6"/>
      <c r="G1723" s="1" t="s">
        <v>14726</v>
      </c>
    </row>
    <row r="1724" spans="1:7" ht="21" x14ac:dyDescent="0.25">
      <c r="A1724" s="2" t="str">
        <f>HYPERLINK("https://rth.dk/resources/bsgatlas/details.php?id=BSGatlas-TSS-1723","BSGatlas-TSS-1723")</f>
        <v>BSGatlas-TSS-1723</v>
      </c>
      <c r="B1724" s="3">
        <v>2195135</v>
      </c>
      <c r="C1724" s="1" t="s">
        <v>9</v>
      </c>
      <c r="D1724" s="1">
        <v>22</v>
      </c>
      <c r="E1724" s="1" t="s">
        <v>14722</v>
      </c>
      <c r="F1724" s="6"/>
      <c r="G1724" s="1" t="s">
        <v>14726</v>
      </c>
    </row>
    <row r="1725" spans="1:7" ht="21" x14ac:dyDescent="0.25">
      <c r="A1725" s="2" t="str">
        <f>HYPERLINK("https://rth.dk/resources/bsgatlas/details.php?id=BSGatlas-TSS-1724","BSGatlas-TSS-1724")</f>
        <v>BSGatlas-TSS-1724</v>
      </c>
      <c r="B1725" s="3">
        <v>2195940</v>
      </c>
      <c r="C1725" s="1" t="s">
        <v>9</v>
      </c>
      <c r="D1725" s="1">
        <v>22</v>
      </c>
      <c r="E1725" s="1" t="s">
        <v>14722</v>
      </c>
      <c r="F1725" s="6"/>
      <c r="G1725" s="1" t="s">
        <v>14726</v>
      </c>
    </row>
    <row r="1726" spans="1:7" ht="21" x14ac:dyDescent="0.25">
      <c r="A1726" s="2" t="str">
        <f>HYPERLINK("https://rth.dk/resources/bsgatlas/details.php?id=BSGatlas-TSS-1725","BSGatlas-TSS-1725")</f>
        <v>BSGatlas-TSS-1725</v>
      </c>
      <c r="B1726" s="3">
        <v>2203731</v>
      </c>
      <c r="C1726" s="1" t="s">
        <v>9</v>
      </c>
      <c r="D1726" s="1">
        <v>22</v>
      </c>
      <c r="E1726" s="1" t="s">
        <v>14722</v>
      </c>
      <c r="F1726" s="6"/>
      <c r="G1726" s="1" t="s">
        <v>14726</v>
      </c>
    </row>
    <row r="1727" spans="1:7" ht="21" x14ac:dyDescent="0.25">
      <c r="A1727" s="2" t="str">
        <f>HYPERLINK("https://rth.dk/resources/bsgatlas/details.php?id=BSGatlas-TSS-1726","BSGatlas-TSS-1726")</f>
        <v>BSGatlas-TSS-1726</v>
      </c>
      <c r="B1727" s="3">
        <v>2203983</v>
      </c>
      <c r="C1727" s="1" t="s">
        <v>13</v>
      </c>
      <c r="D1727" s="1">
        <v>22</v>
      </c>
      <c r="E1727" s="1" t="s">
        <v>14720</v>
      </c>
      <c r="F1727" s="6"/>
      <c r="G1727" s="1" t="s">
        <v>14733</v>
      </c>
    </row>
    <row r="1728" spans="1:7" ht="21" x14ac:dyDescent="0.25">
      <c r="A1728" s="2" t="str">
        <f>HYPERLINK("https://rth.dk/resources/bsgatlas/details.php?id=BSGatlas-TSS-1727","BSGatlas-TSS-1727")</f>
        <v>BSGatlas-TSS-1727</v>
      </c>
      <c r="B1728" s="3">
        <v>2204050</v>
      </c>
      <c r="C1728" s="1" t="s">
        <v>13</v>
      </c>
      <c r="D1728" s="1">
        <v>22</v>
      </c>
      <c r="E1728" s="1" t="s">
        <v>14722</v>
      </c>
      <c r="F1728" s="6"/>
      <c r="G1728" s="1" t="s">
        <v>14733</v>
      </c>
    </row>
    <row r="1729" spans="1:7" ht="21" x14ac:dyDescent="0.25">
      <c r="A1729" s="2" t="str">
        <f>HYPERLINK("https://rth.dk/resources/bsgatlas/details.php?id=BSGatlas-TSS-1728","BSGatlas-TSS-1728")</f>
        <v>BSGatlas-TSS-1728</v>
      </c>
      <c r="B1729" s="3">
        <v>2206623</v>
      </c>
      <c r="C1729" s="1" t="s">
        <v>13</v>
      </c>
      <c r="D1729" s="1">
        <v>22</v>
      </c>
      <c r="E1729" s="1" t="s">
        <v>14722</v>
      </c>
      <c r="F1729" s="6"/>
      <c r="G1729" s="1" t="s">
        <v>14726</v>
      </c>
    </row>
    <row r="1730" spans="1:7" ht="21" x14ac:dyDescent="0.25">
      <c r="A1730" s="2" t="str">
        <f>HYPERLINK("https://rth.dk/resources/bsgatlas/details.php?id=BSGatlas-TSS-1729","BSGatlas-TSS-1729")</f>
        <v>BSGatlas-TSS-1729</v>
      </c>
      <c r="B1730" s="3">
        <v>2208373</v>
      </c>
      <c r="C1730" s="1" t="s">
        <v>9</v>
      </c>
      <c r="D1730" s="1">
        <v>22</v>
      </c>
      <c r="E1730" s="1" t="s">
        <v>14722</v>
      </c>
      <c r="F1730" s="6"/>
      <c r="G1730" s="1" t="s">
        <v>14726</v>
      </c>
    </row>
    <row r="1731" spans="1:7" ht="21" x14ac:dyDescent="0.25">
      <c r="A1731" s="2" t="str">
        <f>HYPERLINK("https://rth.dk/resources/bsgatlas/details.php?id=BSGatlas-TSS-1730","BSGatlas-TSS-1730")</f>
        <v>BSGatlas-TSS-1730</v>
      </c>
      <c r="B1731" s="3">
        <v>2208581</v>
      </c>
      <c r="C1731" s="1" t="s">
        <v>13</v>
      </c>
      <c r="D1731" s="1">
        <v>22</v>
      </c>
      <c r="E1731" s="1" t="s">
        <v>14722</v>
      </c>
      <c r="F1731" s="6"/>
      <c r="G1731" s="1" t="s">
        <v>14726</v>
      </c>
    </row>
    <row r="1732" spans="1:7" ht="21" x14ac:dyDescent="0.25">
      <c r="A1732" s="2" t="str">
        <f>HYPERLINK("https://rth.dk/resources/bsgatlas/details.php?id=BSGatlas-TSS-1731","BSGatlas-TSS-1731")</f>
        <v>BSGatlas-TSS-1731</v>
      </c>
      <c r="B1732" s="3">
        <v>2208955</v>
      </c>
      <c r="C1732" s="1" t="s">
        <v>13</v>
      </c>
      <c r="D1732" s="1">
        <v>22</v>
      </c>
      <c r="E1732" s="1" t="s">
        <v>14720</v>
      </c>
      <c r="F1732" s="6"/>
      <c r="G1732" s="1" t="s">
        <v>14726</v>
      </c>
    </row>
    <row r="1733" spans="1:7" ht="21" x14ac:dyDescent="0.25">
      <c r="A1733" s="2" t="str">
        <f>HYPERLINK("https://rth.dk/resources/bsgatlas/details.php?id=BSGatlas-TSS-1732","BSGatlas-TSS-1732")</f>
        <v>BSGatlas-TSS-1732</v>
      </c>
      <c r="B1733" s="3">
        <v>2209002</v>
      </c>
      <c r="C1733" s="1" t="s">
        <v>13</v>
      </c>
      <c r="D1733" s="1">
        <v>22</v>
      </c>
      <c r="E1733" s="1" t="s">
        <v>14722</v>
      </c>
      <c r="F1733" s="6"/>
      <c r="G1733" s="1" t="s">
        <v>14726</v>
      </c>
    </row>
    <row r="1734" spans="1:7" ht="21" x14ac:dyDescent="0.25">
      <c r="A1734" s="2" t="str">
        <f>HYPERLINK("https://rth.dk/resources/bsgatlas/details.php?id=BSGatlas-TSS-1733","BSGatlas-TSS-1733")</f>
        <v>BSGatlas-TSS-1733</v>
      </c>
      <c r="B1734" s="3">
        <v>2210202</v>
      </c>
      <c r="C1734" s="1" t="s">
        <v>13</v>
      </c>
      <c r="D1734" s="1">
        <v>22</v>
      </c>
      <c r="E1734" s="1" t="s">
        <v>14722</v>
      </c>
      <c r="F1734" s="6"/>
      <c r="G1734" s="1" t="s">
        <v>14726</v>
      </c>
    </row>
    <row r="1735" spans="1:7" ht="21" x14ac:dyDescent="0.25">
      <c r="A1735" s="2" t="str">
        <f>HYPERLINK("https://rth.dk/resources/bsgatlas/details.php?id=BSGatlas-TSS-1734","BSGatlas-TSS-1734")</f>
        <v>BSGatlas-TSS-1734</v>
      </c>
      <c r="B1735" s="3">
        <v>2212519</v>
      </c>
      <c r="C1735" s="1" t="s">
        <v>13</v>
      </c>
      <c r="D1735" s="1">
        <v>22</v>
      </c>
      <c r="E1735" s="1" t="s">
        <v>14752</v>
      </c>
      <c r="F1735" s="6"/>
      <c r="G1735" s="1" t="s">
        <v>14726</v>
      </c>
    </row>
    <row r="1736" spans="1:7" ht="21" x14ac:dyDescent="0.25">
      <c r="A1736" s="2" t="str">
        <f>HYPERLINK("https://rth.dk/resources/bsgatlas/details.php?id=BSGatlas-TSS-1735","BSGatlas-TSS-1735")</f>
        <v>BSGatlas-TSS-1735</v>
      </c>
      <c r="B1736" s="3">
        <v>2212531</v>
      </c>
      <c r="C1736" s="1" t="s">
        <v>9</v>
      </c>
      <c r="D1736" s="1">
        <v>22</v>
      </c>
      <c r="E1736" s="1" t="s">
        <v>14722</v>
      </c>
      <c r="F1736" s="6"/>
      <c r="G1736" s="1" t="s">
        <v>14726</v>
      </c>
    </row>
    <row r="1737" spans="1:7" ht="21" x14ac:dyDescent="0.25">
      <c r="A1737" s="2" t="str">
        <f>HYPERLINK("https://rth.dk/resources/bsgatlas/details.php?id=BSGatlas-TSS-1736","BSGatlas-TSS-1736")</f>
        <v>BSGatlas-TSS-1736</v>
      </c>
      <c r="B1737" s="3">
        <v>2214961</v>
      </c>
      <c r="C1737" s="1" t="s">
        <v>13</v>
      </c>
      <c r="D1737" s="1">
        <v>22</v>
      </c>
      <c r="E1737" s="1" t="s">
        <v>14722</v>
      </c>
      <c r="F1737" s="6"/>
      <c r="G1737" s="1" t="s">
        <v>14733</v>
      </c>
    </row>
    <row r="1738" spans="1:7" ht="21" x14ac:dyDescent="0.25">
      <c r="A1738" s="2" t="str">
        <f>HYPERLINK("https://rth.dk/resources/bsgatlas/details.php?id=BSGatlas-TSS-1737","BSGatlas-TSS-1737")</f>
        <v>BSGatlas-TSS-1737</v>
      </c>
      <c r="B1738" s="3">
        <v>2216813</v>
      </c>
      <c r="C1738" s="1" t="s">
        <v>13</v>
      </c>
      <c r="D1738" s="1">
        <v>22</v>
      </c>
      <c r="E1738" s="1" t="s">
        <v>14745</v>
      </c>
      <c r="F1738" s="6"/>
      <c r="G1738" s="1" t="s">
        <v>14726</v>
      </c>
    </row>
    <row r="1739" spans="1:7" ht="21" x14ac:dyDescent="0.25">
      <c r="A1739" s="2" t="str">
        <f>HYPERLINK("https://rth.dk/resources/bsgatlas/details.php?id=BSGatlas-TSS-1738","BSGatlas-TSS-1738")</f>
        <v>BSGatlas-TSS-1738</v>
      </c>
      <c r="B1739" s="3">
        <v>2217689</v>
      </c>
      <c r="C1739" s="1" t="s">
        <v>13</v>
      </c>
      <c r="D1739" s="1">
        <v>22</v>
      </c>
      <c r="E1739" s="1" t="s">
        <v>14722</v>
      </c>
      <c r="F1739" s="6"/>
      <c r="G1739" s="1" t="s">
        <v>14726</v>
      </c>
    </row>
    <row r="1740" spans="1:7" ht="21" x14ac:dyDescent="0.25">
      <c r="A1740" s="2" t="str">
        <f>HYPERLINK("https://rth.dk/resources/bsgatlas/details.php?id=BSGatlas-TSS-1739","BSGatlas-TSS-1739")</f>
        <v>BSGatlas-TSS-1739</v>
      </c>
      <c r="B1740" s="3">
        <v>2219493</v>
      </c>
      <c r="C1740" s="1" t="s">
        <v>13</v>
      </c>
      <c r="D1740" s="1">
        <v>22</v>
      </c>
      <c r="E1740" s="1" t="s">
        <v>14722</v>
      </c>
      <c r="F1740" s="6"/>
      <c r="G1740" s="1" t="s">
        <v>14726</v>
      </c>
    </row>
    <row r="1741" spans="1:7" ht="21" x14ac:dyDescent="0.25">
      <c r="A1741" s="2" t="str">
        <f>HYPERLINK("https://rth.dk/resources/bsgatlas/details.php?id=BSGatlas-TSS-1740","BSGatlas-TSS-1740")</f>
        <v>BSGatlas-TSS-1740</v>
      </c>
      <c r="B1741" s="3">
        <v>2219732</v>
      </c>
      <c r="C1741" s="1" t="s">
        <v>9</v>
      </c>
      <c r="D1741" s="1">
        <v>22</v>
      </c>
      <c r="E1741" s="1" t="s">
        <v>14722</v>
      </c>
      <c r="F1741" s="6"/>
      <c r="G1741" s="1" t="s">
        <v>14726</v>
      </c>
    </row>
    <row r="1742" spans="1:7" ht="21" x14ac:dyDescent="0.25">
      <c r="A1742" s="2" t="str">
        <f>HYPERLINK("https://rth.dk/resources/bsgatlas/details.php?id=BSGatlas-TSS-1741","BSGatlas-TSS-1741")</f>
        <v>BSGatlas-TSS-1741</v>
      </c>
      <c r="B1742" s="3">
        <v>2219778</v>
      </c>
      <c r="C1742" s="1" t="s">
        <v>13</v>
      </c>
      <c r="D1742" s="1">
        <v>22</v>
      </c>
      <c r="E1742" s="1" t="s">
        <v>14720</v>
      </c>
      <c r="F1742" s="6"/>
      <c r="G1742" s="1" t="s">
        <v>14726</v>
      </c>
    </row>
    <row r="1743" spans="1:7" ht="21" x14ac:dyDescent="0.25">
      <c r="A1743" s="2" t="str">
        <f>HYPERLINK("https://rth.dk/resources/bsgatlas/details.php?id=BSGatlas-TSS-1742","BSGatlas-TSS-1742")</f>
        <v>BSGatlas-TSS-1742</v>
      </c>
      <c r="B1743" s="3">
        <v>2219999</v>
      </c>
      <c r="C1743" s="1" t="s">
        <v>13</v>
      </c>
      <c r="D1743" s="1">
        <v>22</v>
      </c>
      <c r="E1743" s="1" t="s">
        <v>14722</v>
      </c>
      <c r="F1743" s="6"/>
      <c r="G1743" s="1" t="s">
        <v>14726</v>
      </c>
    </row>
    <row r="1744" spans="1:7" ht="21" x14ac:dyDescent="0.25">
      <c r="A1744" s="2" t="str">
        <f>HYPERLINK("https://rth.dk/resources/bsgatlas/details.php?id=BSGatlas-TSS-1743","BSGatlas-TSS-1743")</f>
        <v>BSGatlas-TSS-1743</v>
      </c>
      <c r="B1744" s="3">
        <v>2221418</v>
      </c>
      <c r="C1744" s="1" t="s">
        <v>13</v>
      </c>
      <c r="D1744" s="1">
        <v>22</v>
      </c>
      <c r="E1744" s="1" t="s">
        <v>14722</v>
      </c>
      <c r="F1744" s="6"/>
      <c r="G1744" s="1" t="s">
        <v>14726</v>
      </c>
    </row>
    <row r="1745" spans="1:7" ht="21" x14ac:dyDescent="0.25">
      <c r="A1745" s="2" t="str">
        <f>HYPERLINK("https://rth.dk/resources/bsgatlas/details.php?id=BSGatlas-TSS-1744","BSGatlas-TSS-1744")</f>
        <v>BSGatlas-TSS-1744</v>
      </c>
      <c r="B1745" s="3">
        <v>2221639</v>
      </c>
      <c r="C1745" s="1" t="s">
        <v>9</v>
      </c>
      <c r="D1745" s="1">
        <v>22</v>
      </c>
      <c r="E1745" s="1" t="s">
        <v>14722</v>
      </c>
      <c r="F1745" s="6"/>
      <c r="G1745" s="1" t="s">
        <v>14726</v>
      </c>
    </row>
    <row r="1746" spans="1:7" ht="21" x14ac:dyDescent="0.25">
      <c r="A1746" s="2" t="str">
        <f>HYPERLINK("https://rth.dk/resources/bsgatlas/details.php?id=BSGatlas-TSS-1745","BSGatlas-TSS-1745")</f>
        <v>BSGatlas-TSS-1745</v>
      </c>
      <c r="B1746" s="3">
        <v>2221793</v>
      </c>
      <c r="C1746" s="1" t="s">
        <v>9</v>
      </c>
      <c r="D1746" s="1">
        <v>22</v>
      </c>
      <c r="E1746" s="1" t="s">
        <v>14722</v>
      </c>
      <c r="F1746" s="6"/>
      <c r="G1746" s="1" t="s">
        <v>14726</v>
      </c>
    </row>
    <row r="1747" spans="1:7" ht="21" x14ac:dyDescent="0.25">
      <c r="A1747" s="2" t="str">
        <f>HYPERLINK("https://rth.dk/resources/bsgatlas/details.php?id=BSGatlas-TSS-1746","BSGatlas-TSS-1746")</f>
        <v>BSGatlas-TSS-1746</v>
      </c>
      <c r="B1747" s="3">
        <v>2222299</v>
      </c>
      <c r="C1747" s="1" t="s">
        <v>9</v>
      </c>
      <c r="D1747" s="1">
        <v>22</v>
      </c>
      <c r="E1747" s="1" t="s">
        <v>14722</v>
      </c>
      <c r="F1747" s="6"/>
      <c r="G1747" s="1" t="s">
        <v>14726</v>
      </c>
    </row>
    <row r="1748" spans="1:7" ht="21" x14ac:dyDescent="0.25">
      <c r="A1748" s="2" t="str">
        <f>HYPERLINK("https://rth.dk/resources/bsgatlas/details.php?id=BSGatlas-TSS-1747","BSGatlas-TSS-1747")</f>
        <v>BSGatlas-TSS-1747</v>
      </c>
      <c r="B1748" s="3">
        <v>2226061</v>
      </c>
      <c r="C1748" s="1" t="s">
        <v>9</v>
      </c>
      <c r="D1748" s="1">
        <v>22</v>
      </c>
      <c r="E1748" s="1" t="s">
        <v>14722</v>
      </c>
      <c r="F1748" s="6"/>
      <c r="G1748" s="1" t="s">
        <v>14733</v>
      </c>
    </row>
    <row r="1749" spans="1:7" ht="21" x14ac:dyDescent="0.25">
      <c r="A1749" s="2" t="str">
        <f>HYPERLINK("https://rth.dk/resources/bsgatlas/details.php?id=BSGatlas-TSS-1748","BSGatlas-TSS-1748")</f>
        <v>BSGatlas-TSS-1748</v>
      </c>
      <c r="B1749" s="3">
        <v>2229202</v>
      </c>
      <c r="C1749" s="1" t="s">
        <v>13</v>
      </c>
      <c r="D1749" s="1">
        <v>22</v>
      </c>
      <c r="E1749" s="1" t="s">
        <v>14722</v>
      </c>
      <c r="F1749" s="6"/>
      <c r="G1749" s="1" t="s">
        <v>14726</v>
      </c>
    </row>
    <row r="1750" spans="1:7" ht="21" x14ac:dyDescent="0.25">
      <c r="A1750" s="2" t="str">
        <f>HYPERLINK("https://rth.dk/resources/bsgatlas/details.php?id=BSGatlas-TSS-1749","BSGatlas-TSS-1749")</f>
        <v>BSGatlas-TSS-1749</v>
      </c>
      <c r="B1750" s="3">
        <v>2229955</v>
      </c>
      <c r="C1750" s="1" t="s">
        <v>9</v>
      </c>
      <c r="D1750" s="1">
        <v>22</v>
      </c>
      <c r="E1750" s="1" t="s">
        <v>14720</v>
      </c>
      <c r="F1750" s="6"/>
      <c r="G1750" s="1" t="s">
        <v>14726</v>
      </c>
    </row>
    <row r="1751" spans="1:7" ht="21" x14ac:dyDescent="0.25">
      <c r="A1751" s="2" t="str">
        <f>HYPERLINK("https://rth.dk/resources/bsgatlas/details.php?id=BSGatlas-TSS-1750","BSGatlas-TSS-1750")</f>
        <v>BSGatlas-TSS-1750</v>
      </c>
      <c r="B1751" s="3">
        <v>2230053</v>
      </c>
      <c r="C1751" s="1" t="s">
        <v>13</v>
      </c>
      <c r="D1751" s="1">
        <v>22</v>
      </c>
      <c r="E1751" s="1" t="s">
        <v>14752</v>
      </c>
      <c r="F1751" s="6"/>
      <c r="G1751" s="1" t="s">
        <v>14726</v>
      </c>
    </row>
    <row r="1752" spans="1:7" ht="21" x14ac:dyDescent="0.25">
      <c r="A1752" s="2" t="str">
        <f>HYPERLINK("https://rth.dk/resources/bsgatlas/details.php?id=BSGatlas-TSS-1751","BSGatlas-TSS-1751")</f>
        <v>BSGatlas-TSS-1751</v>
      </c>
      <c r="B1752" s="3">
        <v>2246517</v>
      </c>
      <c r="C1752" s="1" t="s">
        <v>13</v>
      </c>
      <c r="D1752" s="1">
        <v>22</v>
      </c>
      <c r="E1752" s="1" t="s">
        <v>14732</v>
      </c>
      <c r="F1752" s="6"/>
      <c r="G1752" s="1" t="s">
        <v>14726</v>
      </c>
    </row>
    <row r="1753" spans="1:7" ht="21" x14ac:dyDescent="0.25">
      <c r="A1753" s="2" t="str">
        <f>HYPERLINK("https://rth.dk/resources/bsgatlas/details.php?id=BSGatlas-TSS-1752","BSGatlas-TSS-1752")</f>
        <v>BSGatlas-TSS-1752</v>
      </c>
      <c r="B1753" s="3">
        <v>2247862</v>
      </c>
      <c r="C1753" s="1" t="s">
        <v>9</v>
      </c>
      <c r="D1753" s="1">
        <v>22</v>
      </c>
      <c r="E1753" s="1" t="s">
        <v>14752</v>
      </c>
      <c r="F1753" s="6"/>
      <c r="G1753" s="1" t="s">
        <v>14726</v>
      </c>
    </row>
    <row r="1754" spans="1:7" ht="21" x14ac:dyDescent="0.25">
      <c r="A1754" s="2" t="str">
        <f>HYPERLINK("https://rth.dk/resources/bsgatlas/details.php?id=BSGatlas-TSS-1753","BSGatlas-TSS-1753")</f>
        <v>BSGatlas-TSS-1753</v>
      </c>
      <c r="B1754" s="3">
        <v>2248391</v>
      </c>
      <c r="C1754" s="1" t="s">
        <v>9</v>
      </c>
      <c r="D1754" s="1">
        <v>22</v>
      </c>
      <c r="E1754" s="1" t="s">
        <v>14722</v>
      </c>
      <c r="F1754" s="6"/>
      <c r="G1754" s="1" t="s">
        <v>14726</v>
      </c>
    </row>
    <row r="1755" spans="1:7" ht="21" x14ac:dyDescent="0.25">
      <c r="A1755" s="2" t="str">
        <f>HYPERLINK("https://rth.dk/resources/bsgatlas/details.php?id=BSGatlas-TSS-1754","BSGatlas-TSS-1754")</f>
        <v>BSGatlas-TSS-1754</v>
      </c>
      <c r="B1755" s="3">
        <v>2249491</v>
      </c>
      <c r="C1755" s="1" t="s">
        <v>9</v>
      </c>
      <c r="D1755" s="1">
        <v>22</v>
      </c>
      <c r="E1755" s="1" t="s">
        <v>14739</v>
      </c>
      <c r="F1755" s="6"/>
      <c r="G1755" s="1" t="s">
        <v>14726</v>
      </c>
    </row>
    <row r="1756" spans="1:7" ht="21" x14ac:dyDescent="0.25">
      <c r="A1756" s="2" t="str">
        <f>HYPERLINK("https://rth.dk/resources/bsgatlas/details.php?id=BSGatlas-TSS-1755","BSGatlas-TSS-1755")</f>
        <v>BSGatlas-TSS-1755</v>
      </c>
      <c r="B1756" s="3">
        <v>2265111</v>
      </c>
      <c r="C1756" s="1" t="s">
        <v>9</v>
      </c>
      <c r="D1756" s="1">
        <v>22</v>
      </c>
      <c r="E1756" s="1" t="s">
        <v>14720</v>
      </c>
      <c r="F1756" s="6"/>
      <c r="G1756" s="1" t="s">
        <v>14726</v>
      </c>
    </row>
    <row r="1757" spans="1:7" ht="21" x14ac:dyDescent="0.25">
      <c r="A1757" s="2" t="str">
        <f>HYPERLINK("https://rth.dk/resources/bsgatlas/details.php?id=BSGatlas-TSS-1756","BSGatlas-TSS-1756")</f>
        <v>BSGatlas-TSS-1756</v>
      </c>
      <c r="B1757" s="3">
        <v>2266871</v>
      </c>
      <c r="C1757" s="1" t="s">
        <v>9</v>
      </c>
      <c r="D1757" s="1">
        <v>22</v>
      </c>
      <c r="E1757" s="1" t="s">
        <v>14725</v>
      </c>
      <c r="F1757" s="6"/>
      <c r="G1757" s="1" t="s">
        <v>14726</v>
      </c>
    </row>
    <row r="1758" spans="1:7" ht="21" x14ac:dyDescent="0.25">
      <c r="A1758" s="2" t="str">
        <f>HYPERLINK("https://rth.dk/resources/bsgatlas/details.php?id=BSGatlas-TSS-1757","BSGatlas-TSS-1757")</f>
        <v>BSGatlas-TSS-1757</v>
      </c>
      <c r="B1758" s="3">
        <v>2268928</v>
      </c>
      <c r="C1758" s="1" t="s">
        <v>9</v>
      </c>
      <c r="D1758" s="1">
        <v>22</v>
      </c>
      <c r="E1758" s="1" t="s">
        <v>14720</v>
      </c>
      <c r="F1758" s="6"/>
      <c r="G1758" s="1" t="s">
        <v>14726</v>
      </c>
    </row>
    <row r="1759" spans="1:7" ht="21" x14ac:dyDescent="0.25">
      <c r="A1759" s="2" t="str">
        <f>HYPERLINK("https://rth.dk/resources/bsgatlas/details.php?id=BSGatlas-TSS-1758","BSGatlas-TSS-1758")</f>
        <v>BSGatlas-TSS-1758</v>
      </c>
      <c r="B1759" s="3">
        <v>2269675</v>
      </c>
      <c r="C1759" s="1" t="s">
        <v>13</v>
      </c>
      <c r="D1759" s="1">
        <v>22</v>
      </c>
      <c r="E1759" s="1" t="s">
        <v>14722</v>
      </c>
      <c r="F1759" s="6"/>
      <c r="G1759" s="1" t="s">
        <v>14726</v>
      </c>
    </row>
    <row r="1760" spans="1:7" ht="21" x14ac:dyDescent="0.25">
      <c r="A1760" s="2" t="str">
        <f>HYPERLINK("https://rth.dk/resources/bsgatlas/details.php?id=BSGatlas-TSS-1759","BSGatlas-TSS-1759")</f>
        <v>BSGatlas-TSS-1759</v>
      </c>
      <c r="B1760" s="3">
        <v>2269709</v>
      </c>
      <c r="C1760" s="1" t="s">
        <v>9</v>
      </c>
      <c r="D1760" s="1">
        <v>22</v>
      </c>
      <c r="E1760" s="1" t="s">
        <v>14720</v>
      </c>
      <c r="F1760" s="6"/>
      <c r="G1760" s="1" t="s">
        <v>14726</v>
      </c>
    </row>
    <row r="1761" spans="1:7" ht="21" x14ac:dyDescent="0.25">
      <c r="A1761" s="2" t="str">
        <f>HYPERLINK("https://rth.dk/resources/bsgatlas/details.php?id=BSGatlas-TSS-1760","BSGatlas-TSS-1760")</f>
        <v>BSGatlas-TSS-1760</v>
      </c>
      <c r="B1761" s="3">
        <v>2269754</v>
      </c>
      <c r="C1761" s="1" t="s">
        <v>13</v>
      </c>
      <c r="D1761" s="1">
        <v>22</v>
      </c>
      <c r="E1761" s="1" t="s">
        <v>14722</v>
      </c>
      <c r="F1761" s="6"/>
      <c r="G1761" s="1" t="s">
        <v>14726</v>
      </c>
    </row>
    <row r="1762" spans="1:7" ht="21" x14ac:dyDescent="0.25">
      <c r="A1762" s="2" t="str">
        <f>HYPERLINK("https://rth.dk/resources/bsgatlas/details.php?id=BSGatlas-TSS-1761","BSGatlas-TSS-1761")</f>
        <v>BSGatlas-TSS-1761</v>
      </c>
      <c r="B1762" s="3">
        <v>2270347</v>
      </c>
      <c r="C1762" s="1" t="s">
        <v>13</v>
      </c>
      <c r="D1762" s="1">
        <v>22</v>
      </c>
      <c r="E1762" s="1" t="s">
        <v>14722</v>
      </c>
      <c r="F1762" s="6"/>
      <c r="G1762" s="1" t="s">
        <v>14726</v>
      </c>
    </row>
    <row r="1763" spans="1:7" ht="21" x14ac:dyDescent="0.25">
      <c r="A1763" s="2" t="str">
        <f>HYPERLINK("https://rth.dk/resources/bsgatlas/details.php?id=BSGatlas-TSS-1762","BSGatlas-TSS-1762")</f>
        <v>BSGatlas-TSS-1762</v>
      </c>
      <c r="B1763" s="3">
        <v>2272010</v>
      </c>
      <c r="C1763" s="1" t="s">
        <v>13</v>
      </c>
      <c r="D1763" s="1">
        <v>22</v>
      </c>
      <c r="E1763" s="1" t="s">
        <v>14722</v>
      </c>
      <c r="F1763" s="6"/>
      <c r="G1763" s="1" t="s">
        <v>14726</v>
      </c>
    </row>
    <row r="1764" spans="1:7" ht="21" x14ac:dyDescent="0.25">
      <c r="A1764" s="2" t="str">
        <f>HYPERLINK("https://rth.dk/resources/bsgatlas/details.php?id=BSGatlas-TSS-1763","BSGatlas-TSS-1763")</f>
        <v>BSGatlas-TSS-1763</v>
      </c>
      <c r="B1764" s="3">
        <v>2272107</v>
      </c>
      <c r="C1764" s="1" t="s">
        <v>9</v>
      </c>
      <c r="D1764" s="1">
        <v>22</v>
      </c>
      <c r="E1764" s="1" t="s">
        <v>14745</v>
      </c>
      <c r="F1764" s="6"/>
      <c r="G1764" s="1" t="s">
        <v>14726</v>
      </c>
    </row>
    <row r="1765" spans="1:7" ht="21" x14ac:dyDescent="0.25">
      <c r="A1765" s="2" t="str">
        <f>HYPERLINK("https://rth.dk/resources/bsgatlas/details.php?id=BSGatlas-TSS-1764","BSGatlas-TSS-1764")</f>
        <v>BSGatlas-TSS-1764</v>
      </c>
      <c r="B1765" s="3">
        <v>2273173</v>
      </c>
      <c r="C1765" s="1" t="s">
        <v>13</v>
      </c>
      <c r="D1765" s="1">
        <v>22</v>
      </c>
      <c r="E1765" s="1" t="s">
        <v>14725</v>
      </c>
      <c r="F1765" s="6"/>
      <c r="G1765" s="1" t="s">
        <v>14726</v>
      </c>
    </row>
    <row r="1766" spans="1:7" ht="21" x14ac:dyDescent="0.25">
      <c r="A1766" s="2" t="str">
        <f>HYPERLINK("https://rth.dk/resources/bsgatlas/details.php?id=BSGatlas-TSS-1765","BSGatlas-TSS-1765")</f>
        <v>BSGatlas-TSS-1765</v>
      </c>
      <c r="B1766" s="3">
        <v>2273383</v>
      </c>
      <c r="C1766" s="1" t="s">
        <v>9</v>
      </c>
      <c r="D1766" s="1">
        <v>22</v>
      </c>
      <c r="E1766" s="1" t="s">
        <v>14720</v>
      </c>
      <c r="F1766" s="6"/>
      <c r="G1766" s="1" t="s">
        <v>14726</v>
      </c>
    </row>
    <row r="1767" spans="1:7" ht="21" x14ac:dyDescent="0.25">
      <c r="A1767" s="2" t="str">
        <f>HYPERLINK("https://rth.dk/resources/bsgatlas/details.php?id=BSGatlas-TSS-1766","BSGatlas-TSS-1766")</f>
        <v>BSGatlas-TSS-1766</v>
      </c>
      <c r="B1767" s="3">
        <v>2273404</v>
      </c>
      <c r="C1767" s="1" t="s">
        <v>13</v>
      </c>
      <c r="D1767" s="1">
        <v>22</v>
      </c>
      <c r="E1767" s="1" t="s">
        <v>14752</v>
      </c>
      <c r="F1767" s="6"/>
      <c r="G1767" s="1" t="s">
        <v>14726</v>
      </c>
    </row>
    <row r="1768" spans="1:7" ht="21" x14ac:dyDescent="0.25">
      <c r="A1768" s="2" t="str">
        <f>HYPERLINK("https://rth.dk/resources/bsgatlas/details.php?id=BSGatlas-TSS-1767","BSGatlas-TSS-1767")</f>
        <v>BSGatlas-TSS-1767</v>
      </c>
      <c r="B1768" s="3">
        <v>2273427</v>
      </c>
      <c r="C1768" s="1" t="s">
        <v>9</v>
      </c>
      <c r="D1768" s="1">
        <v>22</v>
      </c>
      <c r="E1768" s="1" t="s">
        <v>14734</v>
      </c>
      <c r="F1768" s="6"/>
      <c r="G1768" s="1" t="s">
        <v>14726</v>
      </c>
    </row>
    <row r="1769" spans="1:7" ht="21" x14ac:dyDescent="0.25">
      <c r="A1769" s="2" t="str">
        <f>HYPERLINK("https://rth.dk/resources/bsgatlas/details.php?id=BSGatlas-TSS-1768","BSGatlas-TSS-1768")</f>
        <v>BSGatlas-TSS-1768</v>
      </c>
      <c r="B1769" s="3">
        <v>2273515</v>
      </c>
      <c r="C1769" s="1" t="s">
        <v>9</v>
      </c>
      <c r="D1769" s="1">
        <v>22</v>
      </c>
      <c r="E1769" s="1" t="s">
        <v>14722</v>
      </c>
      <c r="F1769" s="6"/>
      <c r="G1769" s="1" t="s">
        <v>14726</v>
      </c>
    </row>
    <row r="1770" spans="1:7" ht="21" x14ac:dyDescent="0.25">
      <c r="A1770" s="2" t="str">
        <f>HYPERLINK("https://rth.dk/resources/bsgatlas/details.php?id=BSGatlas-TSS-1769","BSGatlas-TSS-1769")</f>
        <v>BSGatlas-TSS-1769</v>
      </c>
      <c r="B1770" s="3">
        <v>2273801</v>
      </c>
      <c r="C1770" s="1" t="s">
        <v>9</v>
      </c>
      <c r="D1770" s="1">
        <v>22</v>
      </c>
      <c r="E1770" s="1" t="s">
        <v>14720</v>
      </c>
      <c r="F1770" s="6"/>
      <c r="G1770" s="1" t="s">
        <v>14726</v>
      </c>
    </row>
    <row r="1771" spans="1:7" ht="21" x14ac:dyDescent="0.25">
      <c r="A1771" s="2" t="str">
        <f>HYPERLINK("https://rth.dk/resources/bsgatlas/details.php?id=BSGatlas-TSS-1770","BSGatlas-TSS-1770")</f>
        <v>BSGatlas-TSS-1770</v>
      </c>
      <c r="B1771" s="3">
        <v>2277463</v>
      </c>
      <c r="C1771" s="1" t="s">
        <v>13</v>
      </c>
      <c r="D1771" s="1">
        <v>22</v>
      </c>
      <c r="E1771" s="1" t="s">
        <v>14722</v>
      </c>
      <c r="F1771" s="6"/>
      <c r="G1771" s="1" t="s">
        <v>14726</v>
      </c>
    </row>
    <row r="1772" spans="1:7" ht="21" x14ac:dyDescent="0.25">
      <c r="A1772" s="2" t="str">
        <f>HYPERLINK("https://rth.dk/resources/bsgatlas/details.php?id=BSGatlas-TSS-1771","BSGatlas-TSS-1771")</f>
        <v>BSGatlas-TSS-1771</v>
      </c>
      <c r="B1772" s="3">
        <v>2279729</v>
      </c>
      <c r="C1772" s="1" t="s">
        <v>13</v>
      </c>
      <c r="D1772" s="1">
        <v>22</v>
      </c>
      <c r="E1772" s="1" t="s">
        <v>14722</v>
      </c>
      <c r="F1772" s="6"/>
      <c r="G1772" s="1" t="s">
        <v>14726</v>
      </c>
    </row>
    <row r="1773" spans="1:7" ht="21" x14ac:dyDescent="0.25">
      <c r="A1773" s="2" t="str">
        <f>HYPERLINK("https://rth.dk/resources/bsgatlas/details.php?id=BSGatlas-TSS-1772","BSGatlas-TSS-1772")</f>
        <v>BSGatlas-TSS-1772</v>
      </c>
      <c r="B1773" s="3">
        <v>2279919</v>
      </c>
      <c r="C1773" s="1" t="s">
        <v>9</v>
      </c>
      <c r="D1773" s="1">
        <v>22</v>
      </c>
      <c r="E1773" s="1" t="s">
        <v>14722</v>
      </c>
      <c r="F1773" s="6"/>
      <c r="G1773" s="1" t="s">
        <v>14726</v>
      </c>
    </row>
    <row r="1774" spans="1:7" ht="21" x14ac:dyDescent="0.25">
      <c r="A1774" s="2" t="str">
        <f>HYPERLINK("https://rth.dk/resources/bsgatlas/details.php?id=BSGatlas-TSS-1773","BSGatlas-TSS-1773")</f>
        <v>BSGatlas-TSS-1773</v>
      </c>
      <c r="B1774" s="3">
        <v>2281501</v>
      </c>
      <c r="C1774" s="1" t="s">
        <v>9</v>
      </c>
      <c r="D1774" s="1">
        <v>22</v>
      </c>
      <c r="E1774" s="1" t="s">
        <v>14722</v>
      </c>
      <c r="F1774" s="6"/>
      <c r="G1774" s="1" t="s">
        <v>14733</v>
      </c>
    </row>
    <row r="1775" spans="1:7" ht="21" x14ac:dyDescent="0.25">
      <c r="A1775" s="2" t="str">
        <f>HYPERLINK("https://rth.dk/resources/bsgatlas/details.php?id=BSGatlas-TSS-1774","BSGatlas-TSS-1774")</f>
        <v>BSGatlas-TSS-1774</v>
      </c>
      <c r="B1775" s="3">
        <v>2283755</v>
      </c>
      <c r="C1775" s="1" t="s">
        <v>13</v>
      </c>
      <c r="D1775" s="1">
        <v>22</v>
      </c>
      <c r="E1775" s="1" t="s">
        <v>14722</v>
      </c>
      <c r="F1775" s="6"/>
      <c r="G1775" s="1" t="s">
        <v>14733</v>
      </c>
    </row>
    <row r="1776" spans="1:7" ht="21" x14ac:dyDescent="0.25">
      <c r="A1776" s="2" t="str">
        <f>HYPERLINK("https://rth.dk/resources/bsgatlas/details.php?id=BSGatlas-TSS-1775","BSGatlas-TSS-1775")</f>
        <v>BSGatlas-TSS-1775</v>
      </c>
      <c r="B1776" s="3">
        <v>2284613</v>
      </c>
      <c r="C1776" s="1" t="s">
        <v>13</v>
      </c>
      <c r="D1776" s="1">
        <v>22</v>
      </c>
      <c r="E1776" s="1" t="s">
        <v>14722</v>
      </c>
      <c r="F1776" s="6"/>
      <c r="G1776" s="1" t="s">
        <v>14726</v>
      </c>
    </row>
    <row r="1777" spans="1:7" ht="21" x14ac:dyDescent="0.25">
      <c r="A1777" s="2" t="str">
        <f>HYPERLINK("https://rth.dk/resources/bsgatlas/details.php?id=BSGatlas-TSS-1776","BSGatlas-TSS-1776")</f>
        <v>BSGatlas-TSS-1776</v>
      </c>
      <c r="B1777" s="3">
        <v>2284713</v>
      </c>
      <c r="C1777" s="1" t="s">
        <v>9</v>
      </c>
      <c r="D1777" s="1">
        <v>22</v>
      </c>
      <c r="E1777" s="1" t="s">
        <v>14722</v>
      </c>
      <c r="F1777" s="6"/>
      <c r="G1777" s="1" t="s">
        <v>14726</v>
      </c>
    </row>
    <row r="1778" spans="1:7" ht="21" x14ac:dyDescent="0.25">
      <c r="A1778" s="2" t="str">
        <f>HYPERLINK("https://rth.dk/resources/bsgatlas/details.php?id=BSGatlas-TSS-1777","BSGatlas-TSS-1777")</f>
        <v>BSGatlas-TSS-1777</v>
      </c>
      <c r="B1778" s="3">
        <v>2286429</v>
      </c>
      <c r="C1778" s="1" t="s">
        <v>9</v>
      </c>
      <c r="D1778" s="1">
        <v>22</v>
      </c>
      <c r="E1778" s="1" t="s">
        <v>14725</v>
      </c>
      <c r="F1778" s="6"/>
      <c r="G1778" s="1" t="s">
        <v>14726</v>
      </c>
    </row>
    <row r="1779" spans="1:7" ht="21" x14ac:dyDescent="0.25">
      <c r="A1779" s="2" t="str">
        <f>HYPERLINK("https://rth.dk/resources/bsgatlas/details.php?id=BSGatlas-TSS-1778","BSGatlas-TSS-1778")</f>
        <v>BSGatlas-TSS-1778</v>
      </c>
      <c r="B1779" s="3">
        <v>2288083</v>
      </c>
      <c r="C1779" s="1" t="s">
        <v>9</v>
      </c>
      <c r="D1779" s="1">
        <v>22</v>
      </c>
      <c r="E1779" s="1" t="s">
        <v>14722</v>
      </c>
      <c r="F1779" s="6"/>
      <c r="G1779" s="1" t="s">
        <v>14733</v>
      </c>
    </row>
    <row r="1780" spans="1:7" ht="21" x14ac:dyDescent="0.25">
      <c r="A1780" s="2" t="str">
        <f>HYPERLINK("https://rth.dk/resources/bsgatlas/details.php?id=BSGatlas-TSS-1779","BSGatlas-TSS-1779")</f>
        <v>BSGatlas-TSS-1779</v>
      </c>
      <c r="B1780" s="3">
        <v>2288110</v>
      </c>
      <c r="C1780" s="1" t="s">
        <v>13</v>
      </c>
      <c r="D1780" s="1">
        <v>22</v>
      </c>
      <c r="E1780" s="1" t="s">
        <v>14722</v>
      </c>
      <c r="F1780" s="6"/>
      <c r="G1780" s="1" t="s">
        <v>14726</v>
      </c>
    </row>
    <row r="1781" spans="1:7" ht="21" x14ac:dyDescent="0.25">
      <c r="A1781" s="2" t="str">
        <f>HYPERLINK("https://rth.dk/resources/bsgatlas/details.php?id=BSGatlas-TSS-1780","BSGatlas-TSS-1780")</f>
        <v>BSGatlas-TSS-1780</v>
      </c>
      <c r="B1781" s="3">
        <v>2291666</v>
      </c>
      <c r="C1781" s="1" t="s">
        <v>13</v>
      </c>
      <c r="D1781" s="1">
        <v>22</v>
      </c>
      <c r="E1781" s="1" t="s">
        <v>14722</v>
      </c>
      <c r="F1781" s="6"/>
      <c r="G1781" s="1" t="s">
        <v>14726</v>
      </c>
    </row>
    <row r="1782" spans="1:7" ht="21" x14ac:dyDescent="0.25">
      <c r="A1782" s="2" t="str">
        <f>HYPERLINK("https://rth.dk/resources/bsgatlas/details.php?id=BSGatlas-TSS-1781","BSGatlas-TSS-1781")</f>
        <v>BSGatlas-TSS-1781</v>
      </c>
      <c r="B1782" s="3">
        <v>2292720</v>
      </c>
      <c r="C1782" s="1" t="s">
        <v>13</v>
      </c>
      <c r="D1782" s="1">
        <v>22</v>
      </c>
      <c r="E1782" s="1" t="s">
        <v>14722</v>
      </c>
      <c r="F1782" s="6"/>
      <c r="G1782" s="1" t="s">
        <v>14726</v>
      </c>
    </row>
    <row r="1783" spans="1:7" ht="21" x14ac:dyDescent="0.25">
      <c r="A1783" s="2" t="str">
        <f>HYPERLINK("https://rth.dk/resources/bsgatlas/details.php?id=BSGatlas-TSS-1782","BSGatlas-TSS-1782")</f>
        <v>BSGatlas-TSS-1782</v>
      </c>
      <c r="B1783" s="3">
        <v>2294090</v>
      </c>
      <c r="C1783" s="1" t="s">
        <v>13</v>
      </c>
      <c r="D1783" s="1">
        <v>22</v>
      </c>
      <c r="E1783" s="1" t="s">
        <v>14722</v>
      </c>
      <c r="F1783" s="6"/>
      <c r="G1783" s="1" t="s">
        <v>14726</v>
      </c>
    </row>
    <row r="1784" spans="1:7" ht="21" x14ac:dyDescent="0.25">
      <c r="A1784" s="2" t="str">
        <f>HYPERLINK("https://rth.dk/resources/bsgatlas/details.php?id=BSGatlas-TSS-1783","BSGatlas-TSS-1783")</f>
        <v>BSGatlas-TSS-1783</v>
      </c>
      <c r="B1784" s="3">
        <v>2294247</v>
      </c>
      <c r="C1784" s="1" t="s">
        <v>9</v>
      </c>
      <c r="D1784" s="1">
        <v>22</v>
      </c>
      <c r="E1784" s="1" t="s">
        <v>14722</v>
      </c>
      <c r="F1784" s="6"/>
      <c r="G1784" s="1" t="s">
        <v>14726</v>
      </c>
    </row>
    <row r="1785" spans="1:7" ht="21" x14ac:dyDescent="0.25">
      <c r="A1785" s="2" t="str">
        <f>HYPERLINK("https://rth.dk/resources/bsgatlas/details.php?id=BSGatlas-TSS-1784","BSGatlas-TSS-1784")</f>
        <v>BSGatlas-TSS-1784</v>
      </c>
      <c r="B1785" s="3">
        <v>2298465</v>
      </c>
      <c r="C1785" s="1" t="s">
        <v>9</v>
      </c>
      <c r="D1785" s="1">
        <v>22</v>
      </c>
      <c r="E1785" s="1" t="s">
        <v>14727</v>
      </c>
      <c r="F1785" s="6"/>
      <c r="G1785" s="1" t="s">
        <v>14726</v>
      </c>
    </row>
    <row r="1786" spans="1:7" ht="21" x14ac:dyDescent="0.25">
      <c r="A1786" s="2" t="str">
        <f>HYPERLINK("https://rth.dk/resources/bsgatlas/details.php?id=BSGatlas-TSS-1785","BSGatlas-TSS-1785")</f>
        <v>BSGatlas-TSS-1785</v>
      </c>
      <c r="B1786" s="3">
        <v>2299197</v>
      </c>
      <c r="C1786" s="1" t="s">
        <v>13</v>
      </c>
      <c r="D1786" s="1">
        <v>22</v>
      </c>
      <c r="E1786" s="1" t="s">
        <v>14722</v>
      </c>
      <c r="F1786" s="6"/>
      <c r="G1786" s="1" t="s">
        <v>14726</v>
      </c>
    </row>
    <row r="1787" spans="1:7" ht="21" x14ac:dyDescent="0.25">
      <c r="A1787" s="2" t="str">
        <f>HYPERLINK("https://rth.dk/resources/bsgatlas/details.php?id=BSGatlas-TSS-1786","BSGatlas-TSS-1786")</f>
        <v>BSGatlas-TSS-1786</v>
      </c>
      <c r="B1787" s="3">
        <v>2300695</v>
      </c>
      <c r="C1787" s="1" t="s">
        <v>13</v>
      </c>
      <c r="D1787" s="1">
        <v>22</v>
      </c>
      <c r="E1787" s="1" t="s">
        <v>14722</v>
      </c>
      <c r="F1787" s="6"/>
      <c r="G1787" s="1" t="s">
        <v>14726</v>
      </c>
    </row>
    <row r="1788" spans="1:7" ht="21" x14ac:dyDescent="0.25">
      <c r="A1788" s="2" t="str">
        <f>HYPERLINK("https://rth.dk/resources/bsgatlas/details.php?id=BSGatlas-TSS-1787","BSGatlas-TSS-1787")</f>
        <v>BSGatlas-TSS-1787</v>
      </c>
      <c r="B1788" s="3">
        <v>2302629</v>
      </c>
      <c r="C1788" s="1" t="s">
        <v>13</v>
      </c>
      <c r="D1788" s="1">
        <v>22</v>
      </c>
      <c r="E1788" s="1" t="s">
        <v>14722</v>
      </c>
      <c r="F1788" s="6"/>
      <c r="G1788" s="1" t="s">
        <v>14733</v>
      </c>
    </row>
    <row r="1789" spans="1:7" ht="21" x14ac:dyDescent="0.25">
      <c r="A1789" s="2" t="str">
        <f>HYPERLINK("https://rth.dk/resources/bsgatlas/details.php?id=BSGatlas-TSS-1788","BSGatlas-TSS-1788")</f>
        <v>BSGatlas-TSS-1788</v>
      </c>
      <c r="B1789" s="3">
        <v>2303885</v>
      </c>
      <c r="C1789" s="1" t="s">
        <v>13</v>
      </c>
      <c r="D1789" s="1">
        <v>22</v>
      </c>
      <c r="E1789" s="1" t="s">
        <v>14722</v>
      </c>
      <c r="F1789" s="6"/>
      <c r="G1789" s="1" t="s">
        <v>14726</v>
      </c>
    </row>
    <row r="1790" spans="1:7" ht="21" x14ac:dyDescent="0.25">
      <c r="A1790" s="2" t="str">
        <f>HYPERLINK("https://rth.dk/resources/bsgatlas/details.php?id=BSGatlas-TSS-1789","BSGatlas-TSS-1789")</f>
        <v>BSGatlas-TSS-1789</v>
      </c>
      <c r="B1790" s="3">
        <v>2305184</v>
      </c>
      <c r="C1790" s="1" t="s">
        <v>13</v>
      </c>
      <c r="D1790" s="1">
        <v>22</v>
      </c>
      <c r="E1790" s="1" t="s">
        <v>14745</v>
      </c>
      <c r="F1790" s="6"/>
      <c r="G1790" s="1" t="s">
        <v>14733</v>
      </c>
    </row>
    <row r="1791" spans="1:7" ht="21" x14ac:dyDescent="0.25">
      <c r="A1791" s="2" t="str">
        <f>HYPERLINK("https://rth.dk/resources/bsgatlas/details.php?id=BSGatlas-TSS-1790","BSGatlas-TSS-1790")</f>
        <v>BSGatlas-TSS-1790</v>
      </c>
      <c r="B1791" s="3">
        <v>2305261</v>
      </c>
      <c r="C1791" s="1" t="s">
        <v>9</v>
      </c>
      <c r="D1791" s="1">
        <v>22</v>
      </c>
      <c r="E1791" s="1" t="s">
        <v>14739</v>
      </c>
      <c r="F1791" s="6"/>
      <c r="G1791" s="1" t="s">
        <v>14733</v>
      </c>
    </row>
    <row r="1792" spans="1:7" ht="21" x14ac:dyDescent="0.25">
      <c r="A1792" s="2" t="str">
        <f>HYPERLINK("https://rth.dk/resources/bsgatlas/details.php?id=BSGatlas-TSS-1791","BSGatlas-TSS-1791")</f>
        <v>BSGatlas-TSS-1791</v>
      </c>
      <c r="B1792" s="3">
        <v>2305349</v>
      </c>
      <c r="C1792" s="1" t="s">
        <v>9</v>
      </c>
      <c r="D1792" s="1">
        <v>22</v>
      </c>
      <c r="E1792" s="1" t="s">
        <v>14722</v>
      </c>
      <c r="F1792" s="6"/>
      <c r="G1792" s="1" t="s">
        <v>14726</v>
      </c>
    </row>
    <row r="1793" spans="1:7" ht="21" x14ac:dyDescent="0.25">
      <c r="A1793" s="2" t="str">
        <f>HYPERLINK("https://rth.dk/resources/bsgatlas/details.php?id=BSGatlas-TSS-1792","BSGatlas-TSS-1792")</f>
        <v>BSGatlas-TSS-1792</v>
      </c>
      <c r="B1793" s="3">
        <v>2306332</v>
      </c>
      <c r="C1793" s="1" t="s">
        <v>9</v>
      </c>
      <c r="D1793" s="1">
        <v>22</v>
      </c>
      <c r="E1793" s="1" t="s">
        <v>14722</v>
      </c>
      <c r="F1793" s="6"/>
      <c r="G1793" s="1" t="s">
        <v>14733</v>
      </c>
    </row>
    <row r="1794" spans="1:7" ht="21" x14ac:dyDescent="0.25">
      <c r="A1794" s="2" t="str">
        <f>HYPERLINK("https://rth.dk/resources/bsgatlas/details.php?id=BSGatlas-TSS-1793","BSGatlas-TSS-1793")</f>
        <v>BSGatlas-TSS-1793</v>
      </c>
      <c r="B1794" s="3">
        <v>2307712</v>
      </c>
      <c r="C1794" s="1" t="s">
        <v>13</v>
      </c>
      <c r="D1794" s="1">
        <v>22</v>
      </c>
      <c r="E1794" s="1" t="s">
        <v>14725</v>
      </c>
      <c r="F1794" s="6"/>
      <c r="G1794" s="1" t="s">
        <v>14726</v>
      </c>
    </row>
    <row r="1795" spans="1:7" ht="21" x14ac:dyDescent="0.25">
      <c r="A1795" s="2" t="str">
        <f>HYPERLINK("https://rth.dk/resources/bsgatlas/details.php?id=BSGatlas-TSS-1794","BSGatlas-TSS-1794")</f>
        <v>BSGatlas-TSS-1794</v>
      </c>
      <c r="B1795" s="3">
        <v>2307814</v>
      </c>
      <c r="C1795" s="1" t="s">
        <v>9</v>
      </c>
      <c r="D1795" s="1">
        <v>22</v>
      </c>
      <c r="E1795" s="1" t="s">
        <v>14722</v>
      </c>
      <c r="F1795" s="6"/>
      <c r="G1795" s="1" t="s">
        <v>14733</v>
      </c>
    </row>
    <row r="1796" spans="1:7" ht="21" x14ac:dyDescent="0.25">
      <c r="A1796" s="2" t="str">
        <f>HYPERLINK("https://rth.dk/resources/bsgatlas/details.php?id=BSGatlas-TSS-1795","BSGatlas-TSS-1795")</f>
        <v>BSGatlas-TSS-1795</v>
      </c>
      <c r="B1796" s="3">
        <v>2308403</v>
      </c>
      <c r="C1796" s="1" t="s">
        <v>13</v>
      </c>
      <c r="D1796" s="1">
        <v>0</v>
      </c>
      <c r="E1796" s="1" t="s">
        <v>14752</v>
      </c>
      <c r="F1796" s="6" t="s">
        <v>14958</v>
      </c>
      <c r="G1796" s="1" t="s">
        <v>4382</v>
      </c>
    </row>
    <row r="1797" spans="1:7" ht="21" x14ac:dyDescent="0.25">
      <c r="A1797" s="2" t="str">
        <f>HYPERLINK("https://rth.dk/resources/bsgatlas/details.php?id=BSGatlas-TSS-1796","BSGatlas-TSS-1796")</f>
        <v>BSGatlas-TSS-1796</v>
      </c>
      <c r="B1797" s="3">
        <v>2308436</v>
      </c>
      <c r="C1797" s="1" t="s">
        <v>13</v>
      </c>
      <c r="D1797" s="1">
        <v>22</v>
      </c>
      <c r="E1797" s="1" t="s">
        <v>14752</v>
      </c>
      <c r="F1797" s="6"/>
      <c r="G1797" s="1" t="s">
        <v>14726</v>
      </c>
    </row>
    <row r="1798" spans="1:7" ht="21" x14ac:dyDescent="0.25">
      <c r="A1798" s="2" t="str">
        <f>HYPERLINK("https://rth.dk/resources/bsgatlas/details.php?id=BSGatlas-TSS-1797","BSGatlas-TSS-1797")</f>
        <v>BSGatlas-TSS-1797</v>
      </c>
      <c r="B1798" s="3">
        <v>2308482</v>
      </c>
      <c r="C1798" s="1" t="s">
        <v>9</v>
      </c>
      <c r="D1798" s="1">
        <v>0</v>
      </c>
      <c r="E1798" s="1" t="s">
        <v>14743</v>
      </c>
      <c r="F1798" s="6">
        <v>16497325</v>
      </c>
      <c r="G1798" s="1" t="s">
        <v>14730</v>
      </c>
    </row>
    <row r="1799" spans="1:7" ht="21" x14ac:dyDescent="0.25">
      <c r="A1799" s="2" t="str">
        <f>HYPERLINK("https://rth.dk/resources/bsgatlas/details.php?id=BSGatlas-TSS-1798","BSGatlas-TSS-1798")</f>
        <v>BSGatlas-TSS-1798</v>
      </c>
      <c r="B1799" s="3">
        <v>2309687</v>
      </c>
      <c r="C1799" s="1" t="s">
        <v>9</v>
      </c>
      <c r="D1799" s="1">
        <v>22</v>
      </c>
      <c r="E1799" s="1" t="s">
        <v>14722</v>
      </c>
      <c r="F1799" s="6"/>
      <c r="G1799" s="1" t="s">
        <v>14726</v>
      </c>
    </row>
    <row r="1800" spans="1:7" ht="21" x14ac:dyDescent="0.25">
      <c r="A1800" s="2" t="str">
        <f>HYPERLINK("https://rth.dk/resources/bsgatlas/details.php?id=BSGatlas-TSS-1799","BSGatlas-TSS-1799")</f>
        <v>BSGatlas-TSS-1799</v>
      </c>
      <c r="B1800" s="3">
        <v>2309786</v>
      </c>
      <c r="C1800" s="1" t="s">
        <v>13</v>
      </c>
      <c r="D1800" s="1">
        <v>22</v>
      </c>
      <c r="E1800" s="1" t="s">
        <v>14722</v>
      </c>
      <c r="F1800" s="6"/>
      <c r="G1800" s="1" t="s">
        <v>14733</v>
      </c>
    </row>
    <row r="1801" spans="1:7" ht="21" x14ac:dyDescent="0.25">
      <c r="A1801" s="2" t="str">
        <f>HYPERLINK("https://rth.dk/resources/bsgatlas/details.php?id=BSGatlas-TSS-1800","BSGatlas-TSS-1800")</f>
        <v>BSGatlas-TSS-1800</v>
      </c>
      <c r="B1801" s="3">
        <v>2310174</v>
      </c>
      <c r="C1801" s="1" t="s">
        <v>13</v>
      </c>
      <c r="D1801" s="1">
        <v>22</v>
      </c>
      <c r="E1801" s="1" t="s">
        <v>14745</v>
      </c>
      <c r="F1801" s="6"/>
      <c r="G1801" s="1" t="s">
        <v>14733</v>
      </c>
    </row>
    <row r="1802" spans="1:7" ht="21" x14ac:dyDescent="0.25">
      <c r="A1802" s="2" t="str">
        <f>HYPERLINK("https://rth.dk/resources/bsgatlas/details.php?id=BSGatlas-TSS-1801","BSGatlas-TSS-1801")</f>
        <v>BSGatlas-TSS-1801</v>
      </c>
      <c r="B1802" s="3">
        <v>2310846</v>
      </c>
      <c r="C1802" s="1" t="s">
        <v>9</v>
      </c>
      <c r="D1802" s="1">
        <v>0</v>
      </c>
      <c r="E1802" s="1" t="s">
        <v>14743</v>
      </c>
      <c r="F1802" s="6" t="s">
        <v>14948</v>
      </c>
      <c r="G1802" s="1" t="s">
        <v>14729</v>
      </c>
    </row>
    <row r="1803" spans="1:7" ht="21" x14ac:dyDescent="0.25">
      <c r="A1803" s="2" t="str">
        <f>HYPERLINK("https://rth.dk/resources/bsgatlas/details.php?id=BSGatlas-TSS-1802","BSGatlas-TSS-1802")</f>
        <v>BSGatlas-TSS-1802</v>
      </c>
      <c r="B1803" s="3">
        <v>2311914</v>
      </c>
      <c r="C1803" s="1" t="s">
        <v>13</v>
      </c>
      <c r="D1803" s="1">
        <v>22</v>
      </c>
      <c r="E1803" s="1" t="s">
        <v>14722</v>
      </c>
      <c r="F1803" s="6"/>
      <c r="G1803" s="1" t="s">
        <v>14726</v>
      </c>
    </row>
    <row r="1804" spans="1:7" ht="21" x14ac:dyDescent="0.25">
      <c r="A1804" s="2" t="str">
        <f>HYPERLINK("https://rth.dk/resources/bsgatlas/details.php?id=BSGatlas-TSS-1803","BSGatlas-TSS-1803")</f>
        <v>BSGatlas-TSS-1803</v>
      </c>
      <c r="B1804" s="3">
        <v>2312156</v>
      </c>
      <c r="C1804" s="1" t="s">
        <v>13</v>
      </c>
      <c r="D1804" s="1">
        <v>22</v>
      </c>
      <c r="E1804" s="1" t="s">
        <v>14732</v>
      </c>
      <c r="F1804" s="6"/>
      <c r="G1804" s="1" t="s">
        <v>14726</v>
      </c>
    </row>
    <row r="1805" spans="1:7" ht="21" x14ac:dyDescent="0.25">
      <c r="A1805" s="2" t="str">
        <f>HYPERLINK("https://rth.dk/resources/bsgatlas/details.php?id=BSGatlas-TSS-1804","BSGatlas-TSS-1804")</f>
        <v>BSGatlas-TSS-1804</v>
      </c>
      <c r="B1805" s="3">
        <v>2312499</v>
      </c>
      <c r="C1805" s="1" t="s">
        <v>13</v>
      </c>
      <c r="D1805" s="1">
        <v>22</v>
      </c>
      <c r="E1805" s="1" t="s">
        <v>14722</v>
      </c>
      <c r="F1805" s="6"/>
      <c r="G1805" s="1" t="s">
        <v>14726</v>
      </c>
    </row>
    <row r="1806" spans="1:7" ht="21" x14ac:dyDescent="0.25">
      <c r="A1806" s="2" t="str">
        <f>HYPERLINK("https://rth.dk/resources/bsgatlas/details.php?id=BSGatlas-TSS-1805","BSGatlas-TSS-1805")</f>
        <v>BSGatlas-TSS-1805</v>
      </c>
      <c r="B1806" s="3">
        <v>2316182</v>
      </c>
      <c r="C1806" s="1" t="s">
        <v>13</v>
      </c>
      <c r="D1806" s="1">
        <v>22</v>
      </c>
      <c r="E1806" s="1" t="s">
        <v>14722</v>
      </c>
      <c r="F1806" s="6"/>
      <c r="G1806" s="1" t="s">
        <v>14733</v>
      </c>
    </row>
    <row r="1807" spans="1:7" ht="21" x14ac:dyDescent="0.25">
      <c r="A1807" s="2" t="str">
        <f>HYPERLINK("https://rth.dk/resources/bsgatlas/details.php?id=BSGatlas-TSS-1806","BSGatlas-TSS-1806")</f>
        <v>BSGatlas-TSS-1806</v>
      </c>
      <c r="B1807" s="3">
        <v>2316424</v>
      </c>
      <c r="C1807" s="1" t="s">
        <v>13</v>
      </c>
      <c r="D1807" s="1">
        <v>22</v>
      </c>
      <c r="E1807" s="1" t="s">
        <v>14722</v>
      </c>
      <c r="F1807" s="6"/>
      <c r="G1807" s="1" t="s">
        <v>14726</v>
      </c>
    </row>
    <row r="1808" spans="1:7" ht="21" x14ac:dyDescent="0.25">
      <c r="A1808" s="2" t="str">
        <f>HYPERLINK("https://rth.dk/resources/bsgatlas/details.php?id=BSGatlas-TSS-1807","BSGatlas-TSS-1807")</f>
        <v>BSGatlas-TSS-1807</v>
      </c>
      <c r="B1808" s="3">
        <v>2318074</v>
      </c>
      <c r="C1808" s="1" t="s">
        <v>13</v>
      </c>
      <c r="D1808" s="1">
        <v>22</v>
      </c>
      <c r="E1808" s="1" t="s">
        <v>14732</v>
      </c>
      <c r="F1808" s="6"/>
      <c r="G1808" s="1" t="s">
        <v>14726</v>
      </c>
    </row>
    <row r="1809" spans="1:7" ht="21" x14ac:dyDescent="0.25">
      <c r="A1809" s="2" t="str">
        <f>HYPERLINK("https://rth.dk/resources/bsgatlas/details.php?id=BSGatlas-TSS-1808","BSGatlas-TSS-1808")</f>
        <v>BSGatlas-TSS-1808</v>
      </c>
      <c r="B1809" s="3">
        <v>2320210</v>
      </c>
      <c r="C1809" s="1" t="s">
        <v>13</v>
      </c>
      <c r="D1809" s="1">
        <v>0</v>
      </c>
      <c r="E1809" s="1" t="s">
        <v>14722</v>
      </c>
      <c r="F1809" s="6" t="s">
        <v>14959</v>
      </c>
      <c r="G1809" s="1" t="s">
        <v>4382</v>
      </c>
    </row>
    <row r="1810" spans="1:7" ht="21" x14ac:dyDescent="0.25">
      <c r="A1810" s="2" t="str">
        <f>HYPERLINK("https://rth.dk/resources/bsgatlas/details.php?id=BSGatlas-TSS-1809","BSGatlas-TSS-1809")</f>
        <v>BSGatlas-TSS-1809</v>
      </c>
      <c r="B1810" s="3">
        <v>2321836</v>
      </c>
      <c r="C1810" s="1" t="s">
        <v>13</v>
      </c>
      <c r="D1810" s="1">
        <v>22</v>
      </c>
      <c r="E1810" s="1" t="s">
        <v>14720</v>
      </c>
      <c r="F1810" s="6"/>
      <c r="G1810" s="1" t="s">
        <v>14726</v>
      </c>
    </row>
    <row r="1811" spans="1:7" ht="21" x14ac:dyDescent="0.25">
      <c r="A1811" s="2" t="str">
        <f>HYPERLINK("https://rth.dk/resources/bsgatlas/details.php?id=BSGatlas-TSS-1810","BSGatlas-TSS-1810")</f>
        <v>BSGatlas-TSS-1810</v>
      </c>
      <c r="B1811" s="3">
        <v>2321902</v>
      </c>
      <c r="C1811" s="1" t="s">
        <v>13</v>
      </c>
      <c r="D1811" s="1">
        <v>22</v>
      </c>
      <c r="E1811" s="1" t="s">
        <v>14722</v>
      </c>
      <c r="F1811" s="6"/>
      <c r="G1811" s="1" t="s">
        <v>14726</v>
      </c>
    </row>
    <row r="1812" spans="1:7" ht="21" x14ac:dyDescent="0.25">
      <c r="A1812" s="2" t="str">
        <f>HYPERLINK("https://rth.dk/resources/bsgatlas/details.php?id=BSGatlas-TSS-1811","BSGatlas-TSS-1811")</f>
        <v>BSGatlas-TSS-1811</v>
      </c>
      <c r="B1812" s="3">
        <v>2325682</v>
      </c>
      <c r="C1812" s="1" t="s">
        <v>13</v>
      </c>
      <c r="D1812" s="1">
        <v>0</v>
      </c>
      <c r="E1812" s="1" t="s">
        <v>14722</v>
      </c>
      <c r="F1812" s="6" t="s">
        <v>14960</v>
      </c>
      <c r="G1812" s="1" t="s">
        <v>14729</v>
      </c>
    </row>
    <row r="1813" spans="1:7" ht="21" x14ac:dyDescent="0.25">
      <c r="A1813" s="2" t="str">
        <f>HYPERLINK("https://rth.dk/resources/bsgatlas/details.php?id=BSGatlas-TSS-1812","BSGatlas-TSS-1812")</f>
        <v>BSGatlas-TSS-1812</v>
      </c>
      <c r="B1813" s="3">
        <v>2325774</v>
      </c>
      <c r="C1813" s="1" t="s">
        <v>9</v>
      </c>
      <c r="D1813" s="1">
        <v>22</v>
      </c>
      <c r="E1813" s="1" t="s">
        <v>14722</v>
      </c>
      <c r="F1813" s="6"/>
      <c r="G1813" s="1" t="s">
        <v>14733</v>
      </c>
    </row>
    <row r="1814" spans="1:7" ht="21" x14ac:dyDescent="0.25">
      <c r="A1814" s="2" t="str">
        <f>HYPERLINK("https://rth.dk/resources/bsgatlas/details.php?id=BSGatlas-TSS-1813","BSGatlas-TSS-1813")</f>
        <v>BSGatlas-TSS-1813</v>
      </c>
      <c r="B1814" s="3">
        <v>2329448</v>
      </c>
      <c r="C1814" s="1" t="s">
        <v>13</v>
      </c>
      <c r="D1814" s="1">
        <v>22</v>
      </c>
      <c r="E1814" s="1" t="s">
        <v>14722</v>
      </c>
      <c r="F1814" s="6"/>
      <c r="G1814" s="1" t="s">
        <v>14726</v>
      </c>
    </row>
    <row r="1815" spans="1:7" ht="21" x14ac:dyDescent="0.25">
      <c r="A1815" s="2" t="str">
        <f>HYPERLINK("https://rth.dk/resources/bsgatlas/details.php?id=BSGatlas-TSS-1814","BSGatlas-TSS-1814")</f>
        <v>BSGatlas-TSS-1814</v>
      </c>
      <c r="B1815" s="3">
        <v>2329734</v>
      </c>
      <c r="C1815" s="1" t="s">
        <v>13</v>
      </c>
      <c r="D1815" s="1">
        <v>22</v>
      </c>
      <c r="E1815" s="1" t="s">
        <v>14727</v>
      </c>
      <c r="F1815" s="6"/>
      <c r="G1815" s="1" t="s">
        <v>14726</v>
      </c>
    </row>
    <row r="1816" spans="1:7" ht="21" x14ac:dyDescent="0.25">
      <c r="A1816" s="2" t="str">
        <f>HYPERLINK("https://rth.dk/resources/bsgatlas/details.php?id=BSGatlas-TSS-1815","BSGatlas-TSS-1815")</f>
        <v>BSGatlas-TSS-1815</v>
      </c>
      <c r="B1816" s="3">
        <v>2329803</v>
      </c>
      <c r="C1816" s="1" t="s">
        <v>9</v>
      </c>
      <c r="D1816" s="1">
        <v>22</v>
      </c>
      <c r="E1816" s="1" t="s">
        <v>14732</v>
      </c>
      <c r="F1816" s="6"/>
      <c r="G1816" s="1" t="s">
        <v>14726</v>
      </c>
    </row>
    <row r="1817" spans="1:7" ht="21" x14ac:dyDescent="0.25">
      <c r="A1817" s="2" t="str">
        <f>HYPERLINK("https://rth.dk/resources/bsgatlas/details.php?id=BSGatlas-TSS-1816","BSGatlas-TSS-1816")</f>
        <v>BSGatlas-TSS-1816</v>
      </c>
      <c r="B1817" s="3">
        <v>2331735</v>
      </c>
      <c r="C1817" s="1" t="s">
        <v>13</v>
      </c>
      <c r="D1817" s="1">
        <v>22</v>
      </c>
      <c r="E1817" s="1" t="s">
        <v>14722</v>
      </c>
      <c r="F1817" s="6"/>
      <c r="G1817" s="1" t="s">
        <v>14726</v>
      </c>
    </row>
    <row r="1818" spans="1:7" ht="21" x14ac:dyDescent="0.25">
      <c r="A1818" s="2" t="str">
        <f>HYPERLINK("https://rth.dk/resources/bsgatlas/details.php?id=BSGatlas-TSS-1817","BSGatlas-TSS-1817")</f>
        <v>BSGatlas-TSS-1817</v>
      </c>
      <c r="B1818" s="3">
        <v>2332110</v>
      </c>
      <c r="C1818" s="1" t="s">
        <v>13</v>
      </c>
      <c r="D1818" s="1">
        <v>22</v>
      </c>
      <c r="E1818" s="1" t="s">
        <v>14722</v>
      </c>
      <c r="F1818" s="6"/>
      <c r="G1818" s="1" t="s">
        <v>14726</v>
      </c>
    </row>
    <row r="1819" spans="1:7" ht="21" x14ac:dyDescent="0.25">
      <c r="A1819" s="2" t="str">
        <f>HYPERLINK("https://rth.dk/resources/bsgatlas/details.php?id=BSGatlas-TSS-1818","BSGatlas-TSS-1818")</f>
        <v>BSGatlas-TSS-1818</v>
      </c>
      <c r="B1819" s="3">
        <v>2333042</v>
      </c>
      <c r="C1819" s="1" t="s">
        <v>13</v>
      </c>
      <c r="D1819" s="1">
        <v>0</v>
      </c>
      <c r="E1819" s="1" t="s">
        <v>14725</v>
      </c>
      <c r="F1819" s="6" t="s">
        <v>14932</v>
      </c>
      <c r="G1819" s="1" t="s">
        <v>14729</v>
      </c>
    </row>
    <row r="1820" spans="1:7" ht="21" x14ac:dyDescent="0.25">
      <c r="A1820" s="2" t="str">
        <f>HYPERLINK("https://rth.dk/resources/bsgatlas/details.php?id=BSGatlas-TSS-1819","BSGatlas-TSS-1819")</f>
        <v>BSGatlas-TSS-1819</v>
      </c>
      <c r="B1820" s="3">
        <v>2333210</v>
      </c>
      <c r="C1820" s="1" t="s">
        <v>13</v>
      </c>
      <c r="D1820" s="1">
        <v>22</v>
      </c>
      <c r="E1820" s="1" t="s">
        <v>14722</v>
      </c>
      <c r="F1820" s="6"/>
      <c r="G1820" s="1" t="s">
        <v>14733</v>
      </c>
    </row>
    <row r="1821" spans="1:7" ht="21" x14ac:dyDescent="0.25">
      <c r="A1821" s="2" t="str">
        <f>HYPERLINK("https://rth.dk/resources/bsgatlas/details.php?id=BSGatlas-TSS-1820","BSGatlas-TSS-1820")</f>
        <v>BSGatlas-TSS-1820</v>
      </c>
      <c r="B1821" s="3">
        <v>2334288</v>
      </c>
      <c r="C1821" s="1" t="s">
        <v>13</v>
      </c>
      <c r="D1821" s="1">
        <v>22</v>
      </c>
      <c r="E1821" s="1" t="s">
        <v>14720</v>
      </c>
      <c r="F1821" s="6"/>
      <c r="G1821" s="1" t="s">
        <v>14726</v>
      </c>
    </row>
    <row r="1822" spans="1:7" ht="21" x14ac:dyDescent="0.25">
      <c r="A1822" s="2" t="str">
        <f>HYPERLINK("https://rth.dk/resources/bsgatlas/details.php?id=BSGatlas-TSS-1821","BSGatlas-TSS-1821")</f>
        <v>BSGatlas-TSS-1821</v>
      </c>
      <c r="B1822" s="3">
        <v>2336862</v>
      </c>
      <c r="C1822" s="1" t="s">
        <v>13</v>
      </c>
      <c r="D1822" s="1">
        <v>22</v>
      </c>
      <c r="E1822" s="1" t="s">
        <v>14722</v>
      </c>
      <c r="F1822" s="6"/>
      <c r="G1822" s="1" t="s">
        <v>14726</v>
      </c>
    </row>
    <row r="1823" spans="1:7" ht="21" x14ac:dyDescent="0.25">
      <c r="A1823" s="2" t="str">
        <f>HYPERLINK("https://rth.dk/resources/bsgatlas/details.php?id=BSGatlas-TSS-1822","BSGatlas-TSS-1822")</f>
        <v>BSGatlas-TSS-1822</v>
      </c>
      <c r="B1823" s="3">
        <v>2337500</v>
      </c>
      <c r="C1823" s="1" t="s">
        <v>13</v>
      </c>
      <c r="D1823" s="1">
        <v>22</v>
      </c>
      <c r="E1823" s="1" t="s">
        <v>14722</v>
      </c>
      <c r="F1823" s="6"/>
      <c r="G1823" s="1" t="s">
        <v>14726</v>
      </c>
    </row>
    <row r="1824" spans="1:7" ht="21" x14ac:dyDescent="0.25">
      <c r="A1824" s="2" t="str">
        <f>HYPERLINK("https://rth.dk/resources/bsgatlas/details.php?id=BSGatlas-TSS-1823","BSGatlas-TSS-1823")</f>
        <v>BSGatlas-TSS-1823</v>
      </c>
      <c r="B1824" s="3">
        <v>2337558</v>
      </c>
      <c r="C1824" s="1" t="s">
        <v>9</v>
      </c>
      <c r="D1824" s="1">
        <v>0</v>
      </c>
      <c r="E1824" s="1" t="s">
        <v>14830</v>
      </c>
      <c r="F1824" s="6" t="s">
        <v>14829</v>
      </c>
      <c r="G1824" s="1" t="s">
        <v>14729</v>
      </c>
    </row>
    <row r="1825" spans="1:7" ht="21" x14ac:dyDescent="0.25">
      <c r="A1825" s="2" t="str">
        <f>HYPERLINK("https://rth.dk/resources/bsgatlas/details.php?id=BSGatlas-TSS-1824","BSGatlas-TSS-1824")</f>
        <v>BSGatlas-TSS-1824</v>
      </c>
      <c r="B1825" s="3">
        <v>2338392</v>
      </c>
      <c r="C1825" s="1" t="s">
        <v>9</v>
      </c>
      <c r="D1825" s="1">
        <v>33</v>
      </c>
      <c r="E1825" s="1" t="s">
        <v>14720</v>
      </c>
      <c r="F1825" s="6"/>
      <c r="G1825" s="1" t="s">
        <v>14721</v>
      </c>
    </row>
    <row r="1826" spans="1:7" ht="21" x14ac:dyDescent="0.25">
      <c r="A1826" s="2" t="str">
        <f>HYPERLINK("https://rth.dk/resources/bsgatlas/details.php?id=BSGatlas-TSS-1825","BSGatlas-TSS-1825")</f>
        <v>BSGatlas-TSS-1825</v>
      </c>
      <c r="B1826" s="3">
        <v>2338443</v>
      </c>
      <c r="C1826" s="1" t="s">
        <v>13</v>
      </c>
      <c r="D1826" s="1">
        <v>22</v>
      </c>
      <c r="E1826" s="1" t="s">
        <v>14725</v>
      </c>
      <c r="F1826" s="6"/>
      <c r="G1826" s="1" t="s">
        <v>14726</v>
      </c>
    </row>
    <row r="1827" spans="1:7" ht="21" x14ac:dyDescent="0.25">
      <c r="A1827" s="2" t="str">
        <f>HYPERLINK("https://rth.dk/resources/bsgatlas/details.php?id=BSGatlas-TSS-1826","BSGatlas-TSS-1826")</f>
        <v>BSGatlas-TSS-1826</v>
      </c>
      <c r="B1827" s="3">
        <v>2338539</v>
      </c>
      <c r="C1827" s="1" t="s">
        <v>9</v>
      </c>
      <c r="D1827" s="1">
        <v>22</v>
      </c>
      <c r="E1827" s="1" t="s">
        <v>14722</v>
      </c>
      <c r="F1827" s="6"/>
      <c r="G1827" s="1" t="s">
        <v>14726</v>
      </c>
    </row>
    <row r="1828" spans="1:7" ht="21" x14ac:dyDescent="0.25">
      <c r="A1828" s="2" t="str">
        <f>HYPERLINK("https://rth.dk/resources/bsgatlas/details.php?id=BSGatlas-TSS-1827","BSGatlas-TSS-1827")</f>
        <v>BSGatlas-TSS-1827</v>
      </c>
      <c r="B1828" s="3">
        <v>2339205</v>
      </c>
      <c r="C1828" s="1" t="s">
        <v>13</v>
      </c>
      <c r="D1828" s="1">
        <v>22</v>
      </c>
      <c r="E1828" s="1" t="s">
        <v>14722</v>
      </c>
      <c r="F1828" s="6"/>
      <c r="G1828" s="1" t="s">
        <v>14726</v>
      </c>
    </row>
    <row r="1829" spans="1:7" ht="21" x14ac:dyDescent="0.25">
      <c r="A1829" s="2" t="str">
        <f>HYPERLINK("https://rth.dk/resources/bsgatlas/details.php?id=BSGatlas-TSS-1828","BSGatlas-TSS-1828")</f>
        <v>BSGatlas-TSS-1828</v>
      </c>
      <c r="B1829" s="3">
        <v>2339502</v>
      </c>
      <c r="C1829" s="1" t="s">
        <v>13</v>
      </c>
      <c r="D1829" s="1">
        <v>22</v>
      </c>
      <c r="E1829" s="1" t="s">
        <v>14745</v>
      </c>
      <c r="F1829" s="6"/>
      <c r="G1829" s="1" t="s">
        <v>14726</v>
      </c>
    </row>
    <row r="1830" spans="1:7" ht="21" x14ac:dyDescent="0.25">
      <c r="A1830" s="2" t="str">
        <f>HYPERLINK("https://rth.dk/resources/bsgatlas/details.php?id=BSGatlas-TSS-1829","BSGatlas-TSS-1829")</f>
        <v>BSGatlas-TSS-1829</v>
      </c>
      <c r="B1830" s="3">
        <v>2339656</v>
      </c>
      <c r="C1830" s="1" t="s">
        <v>9</v>
      </c>
      <c r="D1830" s="1">
        <v>0</v>
      </c>
      <c r="E1830" s="1" t="s">
        <v>14743</v>
      </c>
      <c r="F1830" s="6" t="s">
        <v>14837</v>
      </c>
      <c r="G1830" s="1" t="s">
        <v>14729</v>
      </c>
    </row>
    <row r="1831" spans="1:7" ht="21" x14ac:dyDescent="0.25">
      <c r="A1831" s="2" t="str">
        <f>HYPERLINK("https://rth.dk/resources/bsgatlas/details.php?id=BSGatlas-TSS-1830","BSGatlas-TSS-1830")</f>
        <v>BSGatlas-TSS-1830</v>
      </c>
      <c r="B1831" s="3">
        <v>2339950</v>
      </c>
      <c r="C1831" s="1" t="s">
        <v>9</v>
      </c>
      <c r="D1831" s="1">
        <v>22</v>
      </c>
      <c r="E1831" s="1" t="s">
        <v>14739</v>
      </c>
      <c r="F1831" s="6"/>
      <c r="G1831" s="1" t="s">
        <v>14733</v>
      </c>
    </row>
    <row r="1832" spans="1:7" ht="21" x14ac:dyDescent="0.25">
      <c r="A1832" s="2" t="str">
        <f>HYPERLINK("https://rth.dk/resources/bsgatlas/details.php?id=BSGatlas-TSS-1831","BSGatlas-TSS-1831")</f>
        <v>BSGatlas-TSS-1831</v>
      </c>
      <c r="B1832" s="3">
        <v>2340291</v>
      </c>
      <c r="C1832" s="1" t="s">
        <v>9</v>
      </c>
      <c r="D1832" s="1">
        <v>22</v>
      </c>
      <c r="E1832" s="1" t="s">
        <v>14722</v>
      </c>
      <c r="F1832" s="6"/>
      <c r="G1832" s="1" t="s">
        <v>14733</v>
      </c>
    </row>
    <row r="1833" spans="1:7" ht="21" x14ac:dyDescent="0.25">
      <c r="A1833" s="2" t="str">
        <f>HYPERLINK("https://rth.dk/resources/bsgatlas/details.php?id=BSGatlas-TSS-1832","BSGatlas-TSS-1832")</f>
        <v>BSGatlas-TSS-1832</v>
      </c>
      <c r="B1833" s="3">
        <v>2341218</v>
      </c>
      <c r="C1833" s="1" t="s">
        <v>13</v>
      </c>
      <c r="D1833" s="1">
        <v>22</v>
      </c>
      <c r="E1833" s="1" t="s">
        <v>14732</v>
      </c>
      <c r="F1833" s="6"/>
      <c r="G1833" s="1" t="s">
        <v>14733</v>
      </c>
    </row>
    <row r="1834" spans="1:7" ht="21" x14ac:dyDescent="0.25">
      <c r="A1834" s="2" t="str">
        <f>HYPERLINK("https://rth.dk/resources/bsgatlas/details.php?id=BSGatlas-TSS-1833","BSGatlas-TSS-1833")</f>
        <v>BSGatlas-TSS-1833</v>
      </c>
      <c r="B1834" s="3">
        <v>2347578</v>
      </c>
      <c r="C1834" s="1" t="s">
        <v>13</v>
      </c>
      <c r="D1834" s="1">
        <v>22</v>
      </c>
      <c r="E1834" s="1" t="s">
        <v>14722</v>
      </c>
      <c r="F1834" s="6"/>
      <c r="G1834" s="1" t="s">
        <v>14733</v>
      </c>
    </row>
    <row r="1835" spans="1:7" ht="21" x14ac:dyDescent="0.25">
      <c r="A1835" s="2" t="str">
        <f>HYPERLINK("https://rth.dk/resources/bsgatlas/details.php?id=BSGatlas-TSS-1834","BSGatlas-TSS-1834")</f>
        <v>BSGatlas-TSS-1834</v>
      </c>
      <c r="B1835" s="3">
        <v>2349314</v>
      </c>
      <c r="C1835" s="1" t="s">
        <v>13</v>
      </c>
      <c r="D1835" s="1">
        <v>22</v>
      </c>
      <c r="E1835" s="1" t="s">
        <v>14722</v>
      </c>
      <c r="F1835" s="6"/>
      <c r="G1835" s="1" t="s">
        <v>14726</v>
      </c>
    </row>
    <row r="1836" spans="1:7" ht="21" x14ac:dyDescent="0.25">
      <c r="A1836" s="2" t="str">
        <f>HYPERLINK("https://rth.dk/resources/bsgatlas/details.php?id=BSGatlas-TSS-1835","BSGatlas-TSS-1835")</f>
        <v>BSGatlas-TSS-1835</v>
      </c>
      <c r="B1836" s="3">
        <v>2349590</v>
      </c>
      <c r="C1836" s="1" t="s">
        <v>9</v>
      </c>
      <c r="D1836" s="1">
        <v>22</v>
      </c>
      <c r="E1836" s="1" t="s">
        <v>14732</v>
      </c>
      <c r="F1836" s="6"/>
      <c r="G1836" s="1" t="s">
        <v>14726</v>
      </c>
    </row>
    <row r="1837" spans="1:7" ht="21" x14ac:dyDescent="0.25">
      <c r="A1837" s="2" t="str">
        <f>HYPERLINK("https://rth.dk/resources/bsgatlas/details.php?id=BSGatlas-TSS-1836","BSGatlas-TSS-1836")</f>
        <v>BSGatlas-TSS-1836</v>
      </c>
      <c r="B1837" s="3">
        <v>2349600</v>
      </c>
      <c r="C1837" s="1" t="s">
        <v>13</v>
      </c>
      <c r="D1837" s="1">
        <v>22</v>
      </c>
      <c r="E1837" s="1" t="s">
        <v>14722</v>
      </c>
      <c r="F1837" s="6"/>
      <c r="G1837" s="1" t="s">
        <v>14733</v>
      </c>
    </row>
    <row r="1838" spans="1:7" ht="21" x14ac:dyDescent="0.25">
      <c r="A1838" s="2" t="str">
        <f>HYPERLINK("https://rth.dk/resources/bsgatlas/details.php?id=BSGatlas-TSS-1837","BSGatlas-TSS-1837")</f>
        <v>BSGatlas-TSS-1837</v>
      </c>
      <c r="B1838" s="3">
        <v>2350140</v>
      </c>
      <c r="C1838" s="1" t="s">
        <v>9</v>
      </c>
      <c r="D1838" s="1">
        <v>22</v>
      </c>
      <c r="E1838" s="1" t="s">
        <v>14720</v>
      </c>
      <c r="F1838" s="6"/>
      <c r="G1838" s="1" t="s">
        <v>14726</v>
      </c>
    </row>
    <row r="1839" spans="1:7" ht="21" x14ac:dyDescent="0.25">
      <c r="A1839" s="2" t="str">
        <f>HYPERLINK("https://rth.dk/resources/bsgatlas/details.php?id=BSGatlas-TSS-1838","BSGatlas-TSS-1838")</f>
        <v>BSGatlas-TSS-1838</v>
      </c>
      <c r="B1839" s="3">
        <v>2350810</v>
      </c>
      <c r="C1839" s="1" t="s">
        <v>13</v>
      </c>
      <c r="D1839" s="1">
        <v>22</v>
      </c>
      <c r="E1839" s="1" t="s">
        <v>14739</v>
      </c>
      <c r="F1839" s="6"/>
      <c r="G1839" s="1" t="s">
        <v>14726</v>
      </c>
    </row>
    <row r="1840" spans="1:7" ht="21" x14ac:dyDescent="0.25">
      <c r="A1840" s="2" t="str">
        <f>HYPERLINK("https://rth.dk/resources/bsgatlas/details.php?id=BSGatlas-TSS-1839","BSGatlas-TSS-1839")</f>
        <v>BSGatlas-TSS-1839</v>
      </c>
      <c r="B1840" s="3">
        <v>2354880</v>
      </c>
      <c r="C1840" s="1" t="s">
        <v>13</v>
      </c>
      <c r="D1840" s="1">
        <v>22</v>
      </c>
      <c r="E1840" s="1" t="s">
        <v>14722</v>
      </c>
      <c r="F1840" s="6"/>
      <c r="G1840" s="1" t="s">
        <v>14733</v>
      </c>
    </row>
    <row r="1841" spans="1:7" ht="21" x14ac:dyDescent="0.25">
      <c r="A1841" s="2" t="str">
        <f>HYPERLINK("https://rth.dk/resources/bsgatlas/details.php?id=BSGatlas-TSS-1840","BSGatlas-TSS-1840")</f>
        <v>BSGatlas-TSS-1840</v>
      </c>
      <c r="B1841" s="3">
        <v>2360512</v>
      </c>
      <c r="C1841" s="1" t="s">
        <v>13</v>
      </c>
      <c r="D1841" s="1">
        <v>0</v>
      </c>
      <c r="E1841" s="1" t="s">
        <v>14722</v>
      </c>
      <c r="F1841" s="6">
        <v>23894131</v>
      </c>
      <c r="G1841" s="1" t="s">
        <v>14747</v>
      </c>
    </row>
    <row r="1842" spans="1:7" ht="21" x14ac:dyDescent="0.25">
      <c r="A1842" s="2" t="str">
        <f>HYPERLINK("https://rth.dk/resources/bsgatlas/details.php?id=BSGatlas-TSS-1841","BSGatlas-TSS-1841")</f>
        <v>BSGatlas-TSS-1841</v>
      </c>
      <c r="B1842" s="3">
        <v>2360586</v>
      </c>
      <c r="C1842" s="1" t="s">
        <v>9</v>
      </c>
      <c r="D1842" s="1">
        <v>22</v>
      </c>
      <c r="E1842" s="1" t="s">
        <v>14722</v>
      </c>
      <c r="F1842" s="6"/>
      <c r="G1842" s="1" t="s">
        <v>14726</v>
      </c>
    </row>
    <row r="1843" spans="1:7" ht="21" x14ac:dyDescent="0.25">
      <c r="A1843" s="2" t="str">
        <f>HYPERLINK("https://rth.dk/resources/bsgatlas/details.php?id=BSGatlas-TSS-1842","BSGatlas-TSS-1842")</f>
        <v>BSGatlas-TSS-1842</v>
      </c>
      <c r="B1843" s="3">
        <v>2360594</v>
      </c>
      <c r="C1843" s="1" t="s">
        <v>13</v>
      </c>
      <c r="D1843" s="1">
        <v>22</v>
      </c>
      <c r="E1843" s="1" t="s">
        <v>14722</v>
      </c>
      <c r="F1843" s="6"/>
      <c r="G1843" s="1" t="s">
        <v>14726</v>
      </c>
    </row>
    <row r="1844" spans="1:7" ht="21" x14ac:dyDescent="0.25">
      <c r="A1844" s="2" t="str">
        <f>HYPERLINK("https://rth.dk/resources/bsgatlas/details.php?id=BSGatlas-TSS-1843","BSGatlas-TSS-1843")</f>
        <v>BSGatlas-TSS-1843</v>
      </c>
      <c r="B1844" s="3">
        <v>2362360</v>
      </c>
      <c r="C1844" s="1" t="s">
        <v>13</v>
      </c>
      <c r="D1844" s="1">
        <v>0</v>
      </c>
      <c r="E1844" s="1" t="s">
        <v>14735</v>
      </c>
      <c r="F1844" s="6" t="s">
        <v>14767</v>
      </c>
      <c r="G1844" s="1" t="s">
        <v>4382</v>
      </c>
    </row>
    <row r="1845" spans="1:7" ht="21" x14ac:dyDescent="0.25">
      <c r="A1845" s="2" t="str">
        <f>HYPERLINK("https://rth.dk/resources/bsgatlas/details.php?id=BSGatlas-TSS-1844","BSGatlas-TSS-1844")</f>
        <v>BSGatlas-TSS-1844</v>
      </c>
      <c r="B1845" s="3">
        <v>2365160</v>
      </c>
      <c r="C1845" s="1" t="s">
        <v>13</v>
      </c>
      <c r="D1845" s="1">
        <v>0</v>
      </c>
      <c r="E1845" s="1" t="s">
        <v>14722</v>
      </c>
      <c r="F1845" s="6" t="s">
        <v>14961</v>
      </c>
      <c r="G1845" s="1" t="s">
        <v>14729</v>
      </c>
    </row>
    <row r="1846" spans="1:7" ht="21" x14ac:dyDescent="0.25">
      <c r="A1846" s="2" t="str">
        <f>HYPERLINK("https://rth.dk/resources/bsgatlas/details.php?id=BSGatlas-TSS-1845","BSGatlas-TSS-1845")</f>
        <v>BSGatlas-TSS-1845</v>
      </c>
      <c r="B1846" s="3">
        <v>2366319</v>
      </c>
      <c r="C1846" s="1" t="s">
        <v>13</v>
      </c>
      <c r="D1846" s="1">
        <v>22</v>
      </c>
      <c r="E1846" s="1" t="s">
        <v>14745</v>
      </c>
      <c r="F1846" s="6"/>
      <c r="G1846" s="1" t="s">
        <v>14726</v>
      </c>
    </row>
    <row r="1847" spans="1:7" ht="21" x14ac:dyDescent="0.25">
      <c r="A1847" s="2" t="str">
        <f>HYPERLINK("https://rth.dk/resources/bsgatlas/details.php?id=BSGatlas-TSS-1846","BSGatlas-TSS-1846")</f>
        <v>BSGatlas-TSS-1846</v>
      </c>
      <c r="B1847" s="3">
        <v>2367686</v>
      </c>
      <c r="C1847" s="1" t="s">
        <v>13</v>
      </c>
      <c r="D1847" s="1">
        <v>22</v>
      </c>
      <c r="E1847" s="1" t="s">
        <v>14722</v>
      </c>
      <c r="F1847" s="6"/>
      <c r="G1847" s="1" t="s">
        <v>14733</v>
      </c>
    </row>
    <row r="1848" spans="1:7" ht="21" x14ac:dyDescent="0.25">
      <c r="A1848" s="2" t="str">
        <f>HYPERLINK("https://rth.dk/resources/bsgatlas/details.php?id=BSGatlas-TSS-1847","BSGatlas-TSS-1847")</f>
        <v>BSGatlas-TSS-1847</v>
      </c>
      <c r="B1848" s="3">
        <v>2367759</v>
      </c>
      <c r="C1848" s="1" t="s">
        <v>13</v>
      </c>
      <c r="D1848" s="1">
        <v>22</v>
      </c>
      <c r="E1848" s="1" t="s">
        <v>14722</v>
      </c>
      <c r="F1848" s="6"/>
      <c r="G1848" s="1" t="s">
        <v>14726</v>
      </c>
    </row>
    <row r="1849" spans="1:7" ht="21" x14ac:dyDescent="0.25">
      <c r="A1849" s="2" t="str">
        <f>HYPERLINK("https://rth.dk/resources/bsgatlas/details.php?id=BSGatlas-TSS-1848","BSGatlas-TSS-1848")</f>
        <v>BSGatlas-TSS-1848</v>
      </c>
      <c r="B1849" s="3">
        <v>2367905</v>
      </c>
      <c r="C1849" s="1" t="s">
        <v>13</v>
      </c>
      <c r="D1849" s="1">
        <v>22</v>
      </c>
      <c r="E1849" s="1" t="s">
        <v>14727</v>
      </c>
      <c r="F1849" s="6"/>
      <c r="G1849" s="1" t="s">
        <v>14733</v>
      </c>
    </row>
    <row r="1850" spans="1:7" ht="21" x14ac:dyDescent="0.25">
      <c r="A1850" s="2" t="str">
        <f>HYPERLINK("https://rth.dk/resources/bsgatlas/details.php?id=BSGatlas-TSS-1849","BSGatlas-TSS-1849")</f>
        <v>BSGatlas-TSS-1849</v>
      </c>
      <c r="B1850" s="3">
        <v>2372013</v>
      </c>
      <c r="C1850" s="1" t="s">
        <v>13</v>
      </c>
      <c r="D1850" s="1">
        <v>22</v>
      </c>
      <c r="E1850" s="1" t="s">
        <v>14722</v>
      </c>
      <c r="F1850" s="6"/>
      <c r="G1850" s="1" t="s">
        <v>14726</v>
      </c>
    </row>
    <row r="1851" spans="1:7" ht="21" x14ac:dyDescent="0.25">
      <c r="A1851" s="2" t="str">
        <f>HYPERLINK("https://rth.dk/resources/bsgatlas/details.php?id=BSGatlas-TSS-1850","BSGatlas-TSS-1850")</f>
        <v>BSGatlas-TSS-1850</v>
      </c>
      <c r="B1851" s="3">
        <v>2373757</v>
      </c>
      <c r="C1851" s="1" t="s">
        <v>13</v>
      </c>
      <c r="D1851" s="1">
        <v>22</v>
      </c>
      <c r="E1851" s="1" t="s">
        <v>14720</v>
      </c>
      <c r="F1851" s="6"/>
      <c r="G1851" s="1" t="s">
        <v>14726</v>
      </c>
    </row>
    <row r="1852" spans="1:7" ht="21" x14ac:dyDescent="0.25">
      <c r="A1852" s="2" t="str">
        <f>HYPERLINK("https://rth.dk/resources/bsgatlas/details.php?id=BSGatlas-TSS-1851","BSGatlas-TSS-1851")</f>
        <v>BSGatlas-TSS-1851</v>
      </c>
      <c r="B1852" s="3">
        <v>2374175</v>
      </c>
      <c r="C1852" s="1" t="s">
        <v>13</v>
      </c>
      <c r="D1852" s="1">
        <v>22</v>
      </c>
      <c r="E1852" s="1" t="s">
        <v>14720</v>
      </c>
      <c r="F1852" s="6"/>
      <c r="G1852" s="1" t="s">
        <v>14726</v>
      </c>
    </row>
    <row r="1853" spans="1:7" ht="21" x14ac:dyDescent="0.25">
      <c r="A1853" s="2" t="str">
        <f>HYPERLINK("https://rth.dk/resources/bsgatlas/details.php?id=BSGatlas-TSS-1852","BSGatlas-TSS-1852")</f>
        <v>BSGatlas-TSS-1852</v>
      </c>
      <c r="B1853" s="3">
        <v>2377619</v>
      </c>
      <c r="C1853" s="1" t="s">
        <v>13</v>
      </c>
      <c r="D1853" s="1">
        <v>0</v>
      </c>
      <c r="E1853" s="1" t="s">
        <v>14722</v>
      </c>
      <c r="F1853" s="6" t="s">
        <v>14962</v>
      </c>
      <c r="G1853" s="1" t="s">
        <v>14729</v>
      </c>
    </row>
    <row r="1854" spans="1:7" ht="21" x14ac:dyDescent="0.25">
      <c r="A1854" s="2" t="str">
        <f>HYPERLINK("https://rth.dk/resources/bsgatlas/details.php?id=BSGatlas-TSS-1853","BSGatlas-TSS-1853")</f>
        <v>BSGatlas-TSS-1853</v>
      </c>
      <c r="B1854" s="3">
        <v>2378154</v>
      </c>
      <c r="C1854" s="1" t="s">
        <v>13</v>
      </c>
      <c r="D1854" s="1">
        <v>22</v>
      </c>
      <c r="E1854" s="1" t="s">
        <v>14739</v>
      </c>
      <c r="F1854" s="6"/>
      <c r="G1854" s="1" t="s">
        <v>14726</v>
      </c>
    </row>
    <row r="1855" spans="1:7" ht="21" x14ac:dyDescent="0.25">
      <c r="A1855" s="2" t="str">
        <f>HYPERLINK("https://rth.dk/resources/bsgatlas/details.php?id=BSGatlas-TSS-1854","BSGatlas-TSS-1854")</f>
        <v>BSGatlas-TSS-1854</v>
      </c>
      <c r="B1855" s="3">
        <v>2380324</v>
      </c>
      <c r="C1855" s="1" t="s">
        <v>13</v>
      </c>
      <c r="D1855" s="1">
        <v>22</v>
      </c>
      <c r="E1855" s="1" t="s">
        <v>14722</v>
      </c>
      <c r="F1855" s="6"/>
      <c r="G1855" s="1" t="s">
        <v>14726</v>
      </c>
    </row>
    <row r="1856" spans="1:7" ht="21" x14ac:dyDescent="0.25">
      <c r="A1856" s="2" t="str">
        <f>HYPERLINK("https://rth.dk/resources/bsgatlas/details.php?id=BSGatlas-TSS-1855","BSGatlas-TSS-1855")</f>
        <v>BSGatlas-TSS-1855</v>
      </c>
      <c r="B1856" s="3">
        <v>2381160</v>
      </c>
      <c r="C1856" s="1" t="s">
        <v>13</v>
      </c>
      <c r="D1856" s="1">
        <v>22</v>
      </c>
      <c r="E1856" s="1" t="s">
        <v>14722</v>
      </c>
      <c r="F1856" s="6"/>
      <c r="G1856" s="1" t="s">
        <v>14726</v>
      </c>
    </row>
    <row r="1857" spans="1:7" ht="21" x14ac:dyDescent="0.25">
      <c r="A1857" s="2" t="str">
        <f>HYPERLINK("https://rth.dk/resources/bsgatlas/details.php?id=BSGatlas-TSS-1856","BSGatlas-TSS-1856")</f>
        <v>BSGatlas-TSS-1856</v>
      </c>
      <c r="B1857" s="3">
        <v>2381853</v>
      </c>
      <c r="C1857" s="1" t="s">
        <v>13</v>
      </c>
      <c r="D1857" s="1">
        <v>22</v>
      </c>
      <c r="E1857" s="1" t="s">
        <v>14722</v>
      </c>
      <c r="F1857" s="6"/>
      <c r="G1857" s="1" t="s">
        <v>14726</v>
      </c>
    </row>
    <row r="1858" spans="1:7" ht="21" x14ac:dyDescent="0.25">
      <c r="A1858" s="2" t="str">
        <f>HYPERLINK("https://rth.dk/resources/bsgatlas/details.php?id=BSGatlas-TSS-1857","BSGatlas-TSS-1857")</f>
        <v>BSGatlas-TSS-1857</v>
      </c>
      <c r="B1858" s="3">
        <v>2384456</v>
      </c>
      <c r="C1858" s="1" t="s">
        <v>13</v>
      </c>
      <c r="D1858" s="1">
        <v>22</v>
      </c>
      <c r="E1858" s="1" t="s">
        <v>14722</v>
      </c>
      <c r="F1858" s="6"/>
      <c r="G1858" s="1" t="s">
        <v>14733</v>
      </c>
    </row>
    <row r="1859" spans="1:7" ht="21" x14ac:dyDescent="0.25">
      <c r="A1859" s="2" t="str">
        <f>HYPERLINK("https://rth.dk/resources/bsgatlas/details.php?id=BSGatlas-TSS-1858","BSGatlas-TSS-1858")</f>
        <v>BSGatlas-TSS-1858</v>
      </c>
      <c r="B1859" s="3">
        <v>2385394</v>
      </c>
      <c r="C1859" s="1" t="s">
        <v>13</v>
      </c>
      <c r="D1859" s="1">
        <v>22</v>
      </c>
      <c r="E1859" s="1" t="s">
        <v>14722</v>
      </c>
      <c r="F1859" s="6"/>
      <c r="G1859" s="1" t="s">
        <v>14726</v>
      </c>
    </row>
    <row r="1860" spans="1:7" ht="21" x14ac:dyDescent="0.25">
      <c r="A1860" s="2" t="str">
        <f>HYPERLINK("https://rth.dk/resources/bsgatlas/details.php?id=BSGatlas-TSS-1859","BSGatlas-TSS-1859")</f>
        <v>BSGatlas-TSS-1859</v>
      </c>
      <c r="B1860" s="3">
        <v>2385842</v>
      </c>
      <c r="C1860" s="1" t="s">
        <v>13</v>
      </c>
      <c r="D1860" s="1">
        <v>0</v>
      </c>
      <c r="E1860" s="1" t="s">
        <v>14745</v>
      </c>
      <c r="F1860" s="6" t="s">
        <v>14963</v>
      </c>
      <c r="G1860" s="1" t="s">
        <v>4382</v>
      </c>
    </row>
    <row r="1861" spans="1:7" ht="21" x14ac:dyDescent="0.25">
      <c r="A1861" s="2" t="str">
        <f>HYPERLINK("https://rth.dk/resources/bsgatlas/details.php?id=BSGatlas-TSS-1860","BSGatlas-TSS-1860")</f>
        <v>BSGatlas-TSS-1860</v>
      </c>
      <c r="B1861" s="3">
        <v>2386002</v>
      </c>
      <c r="C1861" s="1" t="s">
        <v>13</v>
      </c>
      <c r="D1861" s="1">
        <v>0</v>
      </c>
      <c r="E1861" s="1" t="s">
        <v>14722</v>
      </c>
      <c r="F1861" s="6" t="s">
        <v>14964</v>
      </c>
      <c r="G1861" s="1" t="s">
        <v>4684</v>
      </c>
    </row>
    <row r="1862" spans="1:7" ht="21" x14ac:dyDescent="0.25">
      <c r="A1862" s="2" t="str">
        <f>HYPERLINK("https://rth.dk/resources/bsgatlas/details.php?id=BSGatlas-TSS-1861","BSGatlas-TSS-1861")</f>
        <v>BSGatlas-TSS-1861</v>
      </c>
      <c r="B1862" s="3">
        <v>2386034</v>
      </c>
      <c r="C1862" s="1" t="s">
        <v>13</v>
      </c>
      <c r="D1862" s="1">
        <v>0</v>
      </c>
      <c r="E1862" s="1" t="s">
        <v>14722</v>
      </c>
      <c r="F1862" s="6" t="s">
        <v>14965</v>
      </c>
      <c r="G1862" s="1" t="s">
        <v>14724</v>
      </c>
    </row>
    <row r="1863" spans="1:7" ht="21" x14ac:dyDescent="0.25">
      <c r="A1863" s="2" t="str">
        <f>HYPERLINK("https://rth.dk/resources/bsgatlas/details.php?id=BSGatlas-TSS-1862","BSGatlas-TSS-1862")</f>
        <v>BSGatlas-TSS-1862</v>
      </c>
      <c r="B1863" s="3">
        <v>2387738</v>
      </c>
      <c r="C1863" s="1" t="s">
        <v>13</v>
      </c>
      <c r="D1863" s="1">
        <v>0</v>
      </c>
      <c r="E1863" s="1" t="s">
        <v>14735</v>
      </c>
      <c r="F1863" s="6" t="s">
        <v>14966</v>
      </c>
      <c r="G1863" s="1" t="s">
        <v>4382</v>
      </c>
    </row>
    <row r="1864" spans="1:7" ht="21" x14ac:dyDescent="0.25">
      <c r="A1864" s="2" t="str">
        <f>HYPERLINK("https://rth.dk/resources/bsgatlas/details.php?id=BSGatlas-TSS-1863","BSGatlas-TSS-1863")</f>
        <v>BSGatlas-TSS-1863</v>
      </c>
      <c r="B1864" s="3">
        <v>2387825</v>
      </c>
      <c r="C1864" s="1" t="s">
        <v>13</v>
      </c>
      <c r="D1864" s="1">
        <v>0</v>
      </c>
      <c r="E1864" s="1" t="s">
        <v>14735</v>
      </c>
      <c r="F1864" s="6" t="s">
        <v>14966</v>
      </c>
      <c r="G1864" s="1" t="s">
        <v>14724</v>
      </c>
    </row>
    <row r="1865" spans="1:7" ht="21" x14ac:dyDescent="0.25">
      <c r="A1865" s="2" t="str">
        <f>HYPERLINK("https://rth.dk/resources/bsgatlas/details.php?id=BSGatlas-TSS-1864","BSGatlas-TSS-1864")</f>
        <v>BSGatlas-TSS-1864</v>
      </c>
      <c r="B1865" s="3">
        <v>2388870</v>
      </c>
      <c r="C1865" s="1" t="s">
        <v>13</v>
      </c>
      <c r="D1865" s="1">
        <v>22</v>
      </c>
      <c r="E1865" s="1" t="s">
        <v>14722</v>
      </c>
      <c r="F1865" s="6"/>
      <c r="G1865" s="1" t="s">
        <v>14726</v>
      </c>
    </row>
    <row r="1866" spans="1:7" ht="21" x14ac:dyDescent="0.25">
      <c r="A1866" s="2" t="str">
        <f>HYPERLINK("https://rth.dk/resources/bsgatlas/details.php?id=BSGatlas-TSS-1865","BSGatlas-TSS-1865")</f>
        <v>BSGatlas-TSS-1865</v>
      </c>
      <c r="B1866" s="3">
        <v>2389134</v>
      </c>
      <c r="C1866" s="1" t="s">
        <v>13</v>
      </c>
      <c r="D1866" s="1">
        <v>22</v>
      </c>
      <c r="E1866" s="1" t="s">
        <v>14725</v>
      </c>
      <c r="F1866" s="6"/>
      <c r="G1866" s="1" t="s">
        <v>14726</v>
      </c>
    </row>
    <row r="1867" spans="1:7" ht="21" x14ac:dyDescent="0.25">
      <c r="A1867" s="2" t="str">
        <f>HYPERLINK("https://rth.dk/resources/bsgatlas/details.php?id=BSGatlas-TSS-1866","BSGatlas-TSS-1866")</f>
        <v>BSGatlas-TSS-1866</v>
      </c>
      <c r="B1867" s="3">
        <v>2391641</v>
      </c>
      <c r="C1867" s="1" t="s">
        <v>13</v>
      </c>
      <c r="D1867" s="1">
        <v>22</v>
      </c>
      <c r="E1867" s="1" t="s">
        <v>14722</v>
      </c>
      <c r="F1867" s="6"/>
      <c r="G1867" s="1" t="s">
        <v>14733</v>
      </c>
    </row>
    <row r="1868" spans="1:7" ht="21" x14ac:dyDescent="0.25">
      <c r="A1868" s="2" t="str">
        <f>HYPERLINK("https://rth.dk/resources/bsgatlas/details.php?id=BSGatlas-TSS-1867","BSGatlas-TSS-1867")</f>
        <v>BSGatlas-TSS-1867</v>
      </c>
      <c r="B1868" s="3">
        <v>2393240</v>
      </c>
      <c r="C1868" s="1" t="s">
        <v>9</v>
      </c>
      <c r="D1868" s="1">
        <v>22</v>
      </c>
      <c r="E1868" s="1" t="s">
        <v>14732</v>
      </c>
      <c r="F1868" s="6"/>
      <c r="G1868" s="1" t="s">
        <v>14733</v>
      </c>
    </row>
    <row r="1869" spans="1:7" ht="21" x14ac:dyDescent="0.25">
      <c r="A1869" s="2" t="str">
        <f>HYPERLINK("https://rth.dk/resources/bsgatlas/details.php?id=BSGatlas-TSS-1868","BSGatlas-TSS-1868")</f>
        <v>BSGatlas-TSS-1868</v>
      </c>
      <c r="B1869" s="3">
        <v>2393380</v>
      </c>
      <c r="C1869" s="1" t="s">
        <v>13</v>
      </c>
      <c r="D1869" s="1">
        <v>22</v>
      </c>
      <c r="E1869" s="1" t="s">
        <v>14720</v>
      </c>
      <c r="F1869" s="6"/>
      <c r="G1869" s="1" t="s">
        <v>14726</v>
      </c>
    </row>
    <row r="1870" spans="1:7" ht="21" x14ac:dyDescent="0.25">
      <c r="A1870" s="2" t="str">
        <f>HYPERLINK("https://rth.dk/resources/bsgatlas/details.php?id=BSGatlas-TSS-1869","BSGatlas-TSS-1869")</f>
        <v>BSGatlas-TSS-1869</v>
      </c>
      <c r="B1870" s="3">
        <v>2395020</v>
      </c>
      <c r="C1870" s="1" t="s">
        <v>9</v>
      </c>
      <c r="D1870" s="1">
        <v>22</v>
      </c>
      <c r="E1870" s="1" t="s">
        <v>14720</v>
      </c>
      <c r="F1870" s="6"/>
      <c r="G1870" s="1" t="s">
        <v>14726</v>
      </c>
    </row>
    <row r="1871" spans="1:7" ht="21" x14ac:dyDescent="0.25">
      <c r="A1871" s="2" t="str">
        <f>HYPERLINK("https://rth.dk/resources/bsgatlas/details.php?id=BSGatlas-TSS-1870","BSGatlas-TSS-1870")</f>
        <v>BSGatlas-TSS-1870</v>
      </c>
      <c r="B1871" s="3">
        <v>2395952</v>
      </c>
      <c r="C1871" s="1" t="s">
        <v>13</v>
      </c>
      <c r="D1871" s="1">
        <v>22</v>
      </c>
      <c r="E1871" s="1" t="s">
        <v>14722</v>
      </c>
      <c r="F1871" s="6"/>
      <c r="G1871" s="1" t="s">
        <v>14733</v>
      </c>
    </row>
    <row r="1872" spans="1:7" ht="21" x14ac:dyDescent="0.25">
      <c r="A1872" s="2" t="str">
        <f>HYPERLINK("https://rth.dk/resources/bsgatlas/details.php?id=BSGatlas-TSS-1871","BSGatlas-TSS-1871")</f>
        <v>BSGatlas-TSS-1871</v>
      </c>
      <c r="B1872" s="3">
        <v>2397003</v>
      </c>
      <c r="C1872" s="1" t="s">
        <v>13</v>
      </c>
      <c r="D1872" s="1">
        <v>22</v>
      </c>
      <c r="E1872" s="1" t="s">
        <v>14727</v>
      </c>
      <c r="F1872" s="6"/>
      <c r="G1872" s="1" t="s">
        <v>14726</v>
      </c>
    </row>
    <row r="1873" spans="1:7" ht="21" x14ac:dyDescent="0.25">
      <c r="A1873" s="2" t="str">
        <f>HYPERLINK("https://rth.dk/resources/bsgatlas/details.php?id=BSGatlas-TSS-1872","BSGatlas-TSS-1872")</f>
        <v>BSGatlas-TSS-1872</v>
      </c>
      <c r="B1873" s="3">
        <v>2397715</v>
      </c>
      <c r="C1873" s="1" t="s">
        <v>13</v>
      </c>
      <c r="D1873" s="1">
        <v>22</v>
      </c>
      <c r="E1873" s="1" t="s">
        <v>14722</v>
      </c>
      <c r="F1873" s="6"/>
      <c r="G1873" s="1" t="s">
        <v>14726</v>
      </c>
    </row>
    <row r="1874" spans="1:7" ht="21" x14ac:dyDescent="0.25">
      <c r="A1874" s="2" t="str">
        <f>HYPERLINK("https://rth.dk/resources/bsgatlas/details.php?id=BSGatlas-TSS-1873","BSGatlas-TSS-1873")</f>
        <v>BSGatlas-TSS-1873</v>
      </c>
      <c r="B1874" s="3">
        <v>2399694</v>
      </c>
      <c r="C1874" s="1" t="s">
        <v>13</v>
      </c>
      <c r="D1874" s="1">
        <v>22</v>
      </c>
      <c r="E1874" s="1" t="s">
        <v>14720</v>
      </c>
      <c r="F1874" s="6"/>
      <c r="G1874" s="1" t="s">
        <v>14726</v>
      </c>
    </row>
    <row r="1875" spans="1:7" ht="21" x14ac:dyDescent="0.25">
      <c r="A1875" s="2" t="str">
        <f>HYPERLINK("https://rth.dk/resources/bsgatlas/details.php?id=BSGatlas-TSS-1874","BSGatlas-TSS-1874")</f>
        <v>BSGatlas-TSS-1874</v>
      </c>
      <c r="B1875" s="3">
        <v>2400103</v>
      </c>
      <c r="C1875" s="1" t="s">
        <v>13</v>
      </c>
      <c r="D1875" s="1">
        <v>0</v>
      </c>
      <c r="E1875" s="1" t="s">
        <v>14743</v>
      </c>
      <c r="F1875" s="6" t="s">
        <v>14967</v>
      </c>
      <c r="G1875" s="1" t="s">
        <v>14729</v>
      </c>
    </row>
    <row r="1876" spans="1:7" ht="21" x14ac:dyDescent="0.25">
      <c r="A1876" s="2" t="str">
        <f>HYPERLINK("https://rth.dk/resources/bsgatlas/details.php?id=BSGatlas-TSS-1875","BSGatlas-TSS-1875")</f>
        <v>BSGatlas-TSS-1875</v>
      </c>
      <c r="B1876" s="3">
        <v>2400904</v>
      </c>
      <c r="C1876" s="1" t="s">
        <v>13</v>
      </c>
      <c r="D1876" s="1">
        <v>22</v>
      </c>
      <c r="E1876" s="1" t="s">
        <v>14722</v>
      </c>
      <c r="F1876" s="6"/>
      <c r="G1876" s="1" t="s">
        <v>14726</v>
      </c>
    </row>
    <row r="1877" spans="1:7" ht="21" x14ac:dyDescent="0.25">
      <c r="A1877" s="2" t="str">
        <f>HYPERLINK("https://rth.dk/resources/bsgatlas/details.php?id=BSGatlas-TSS-1876","BSGatlas-TSS-1876")</f>
        <v>BSGatlas-TSS-1876</v>
      </c>
      <c r="B1877" s="3">
        <v>2401843</v>
      </c>
      <c r="C1877" s="1" t="s">
        <v>9</v>
      </c>
      <c r="D1877" s="1">
        <v>22</v>
      </c>
      <c r="E1877" s="1" t="s">
        <v>14727</v>
      </c>
      <c r="F1877" s="6"/>
      <c r="G1877" s="1" t="s">
        <v>14726</v>
      </c>
    </row>
    <row r="1878" spans="1:7" ht="21" x14ac:dyDescent="0.25">
      <c r="A1878" s="2" t="str">
        <f>HYPERLINK("https://rth.dk/resources/bsgatlas/details.php?id=BSGatlas-TSS-1877","BSGatlas-TSS-1877")</f>
        <v>BSGatlas-TSS-1877</v>
      </c>
      <c r="B1878" s="3">
        <v>2402126</v>
      </c>
      <c r="C1878" s="1" t="s">
        <v>9</v>
      </c>
      <c r="D1878" s="1">
        <v>22</v>
      </c>
      <c r="E1878" s="1" t="s">
        <v>14720</v>
      </c>
      <c r="F1878" s="6"/>
      <c r="G1878" s="1" t="s">
        <v>14726</v>
      </c>
    </row>
    <row r="1879" spans="1:7" ht="21" x14ac:dyDescent="0.25">
      <c r="A1879" s="2" t="str">
        <f>HYPERLINK("https://rth.dk/resources/bsgatlas/details.php?id=BSGatlas-TSS-1878","BSGatlas-TSS-1878")</f>
        <v>BSGatlas-TSS-1878</v>
      </c>
      <c r="B1879" s="3">
        <v>2403396</v>
      </c>
      <c r="C1879" s="1" t="s">
        <v>13</v>
      </c>
      <c r="D1879" s="1">
        <v>0</v>
      </c>
      <c r="E1879" s="1" t="s">
        <v>14722</v>
      </c>
      <c r="F1879" s="6" t="s">
        <v>14968</v>
      </c>
      <c r="G1879" s="1" t="s">
        <v>14729</v>
      </c>
    </row>
    <row r="1880" spans="1:7" ht="21" x14ac:dyDescent="0.25">
      <c r="A1880" s="2" t="str">
        <f>HYPERLINK("https://rth.dk/resources/bsgatlas/details.php?id=BSGatlas-TSS-1879","BSGatlas-TSS-1879")</f>
        <v>BSGatlas-TSS-1879</v>
      </c>
      <c r="B1880" s="3">
        <v>2404172</v>
      </c>
      <c r="C1880" s="1" t="s">
        <v>13</v>
      </c>
      <c r="D1880" s="1">
        <v>22</v>
      </c>
      <c r="E1880" s="1" t="s">
        <v>14722</v>
      </c>
      <c r="F1880" s="6"/>
      <c r="G1880" s="1" t="s">
        <v>14733</v>
      </c>
    </row>
    <row r="1881" spans="1:7" ht="21" x14ac:dyDescent="0.25">
      <c r="A1881" s="2" t="str">
        <f>HYPERLINK("https://rth.dk/resources/bsgatlas/details.php?id=BSGatlas-TSS-1880","BSGatlas-TSS-1880")</f>
        <v>BSGatlas-TSS-1880</v>
      </c>
      <c r="B1881" s="3">
        <v>2405065</v>
      </c>
      <c r="C1881" s="1" t="s">
        <v>13</v>
      </c>
      <c r="D1881" s="1">
        <v>22</v>
      </c>
      <c r="E1881" s="1" t="s">
        <v>14739</v>
      </c>
      <c r="F1881" s="6"/>
      <c r="G1881" s="1" t="s">
        <v>14726</v>
      </c>
    </row>
    <row r="1882" spans="1:7" ht="21" x14ac:dyDescent="0.25">
      <c r="A1882" s="2" t="str">
        <f>HYPERLINK("https://rth.dk/resources/bsgatlas/details.php?id=BSGatlas-TSS-1881","BSGatlas-TSS-1881")</f>
        <v>BSGatlas-TSS-1881</v>
      </c>
      <c r="B1882" s="3">
        <v>2406627</v>
      </c>
      <c r="C1882" s="1" t="s">
        <v>13</v>
      </c>
      <c r="D1882" s="1">
        <v>22</v>
      </c>
      <c r="E1882" s="1" t="s">
        <v>14720</v>
      </c>
      <c r="F1882" s="6"/>
      <c r="G1882" s="1" t="s">
        <v>14726</v>
      </c>
    </row>
    <row r="1883" spans="1:7" ht="21" x14ac:dyDescent="0.25">
      <c r="A1883" s="2" t="str">
        <f>HYPERLINK("https://rth.dk/resources/bsgatlas/details.php?id=BSGatlas-TSS-1882","BSGatlas-TSS-1882")</f>
        <v>BSGatlas-TSS-1882</v>
      </c>
      <c r="B1883" s="3">
        <v>2408773</v>
      </c>
      <c r="C1883" s="1" t="s">
        <v>9</v>
      </c>
      <c r="D1883" s="1">
        <v>22</v>
      </c>
      <c r="E1883" s="1" t="s">
        <v>14725</v>
      </c>
      <c r="F1883" s="6"/>
      <c r="G1883" s="1" t="s">
        <v>14733</v>
      </c>
    </row>
    <row r="1884" spans="1:7" ht="21" x14ac:dyDescent="0.25">
      <c r="A1884" s="2" t="str">
        <f>HYPERLINK("https://rth.dk/resources/bsgatlas/details.php?id=BSGatlas-TSS-1883","BSGatlas-TSS-1883")</f>
        <v>BSGatlas-TSS-1883</v>
      </c>
      <c r="B1884" s="3">
        <v>2409527</v>
      </c>
      <c r="C1884" s="1" t="s">
        <v>13</v>
      </c>
      <c r="D1884" s="1">
        <v>22</v>
      </c>
      <c r="E1884" s="1" t="s">
        <v>14722</v>
      </c>
      <c r="F1884" s="6"/>
      <c r="G1884" s="1" t="s">
        <v>14726</v>
      </c>
    </row>
    <row r="1885" spans="1:7" ht="21" x14ac:dyDescent="0.25">
      <c r="A1885" s="2" t="str">
        <f>HYPERLINK("https://rth.dk/resources/bsgatlas/details.php?id=BSGatlas-TSS-1884","BSGatlas-TSS-1884")</f>
        <v>BSGatlas-TSS-1884</v>
      </c>
      <c r="B1885" s="3">
        <v>2409565</v>
      </c>
      <c r="C1885" s="1" t="s">
        <v>9</v>
      </c>
      <c r="D1885" s="1">
        <v>22</v>
      </c>
      <c r="E1885" s="1" t="s">
        <v>14734</v>
      </c>
      <c r="F1885" s="6"/>
      <c r="G1885" s="1" t="s">
        <v>14733</v>
      </c>
    </row>
    <row r="1886" spans="1:7" ht="21" x14ac:dyDescent="0.25">
      <c r="A1886" s="2" t="str">
        <f>HYPERLINK("https://rth.dk/resources/bsgatlas/details.php?id=BSGatlas-TSS-1885","BSGatlas-TSS-1885")</f>
        <v>BSGatlas-TSS-1885</v>
      </c>
      <c r="B1886" s="3">
        <v>2409636</v>
      </c>
      <c r="C1886" s="1" t="s">
        <v>9</v>
      </c>
      <c r="D1886" s="1">
        <v>22</v>
      </c>
      <c r="E1886" s="1" t="s">
        <v>14722</v>
      </c>
      <c r="F1886" s="6"/>
      <c r="G1886" s="1" t="s">
        <v>14733</v>
      </c>
    </row>
    <row r="1887" spans="1:7" ht="21" x14ac:dyDescent="0.25">
      <c r="A1887" s="2" t="str">
        <f>HYPERLINK("https://rth.dk/resources/bsgatlas/details.php?id=BSGatlas-TSS-1886","BSGatlas-TSS-1886")</f>
        <v>BSGatlas-TSS-1886</v>
      </c>
      <c r="B1887" s="3">
        <v>2410903</v>
      </c>
      <c r="C1887" s="1" t="s">
        <v>13</v>
      </c>
      <c r="D1887" s="1">
        <v>22</v>
      </c>
      <c r="E1887" s="1" t="s">
        <v>14722</v>
      </c>
      <c r="F1887" s="6"/>
      <c r="G1887" s="1" t="s">
        <v>14726</v>
      </c>
    </row>
    <row r="1888" spans="1:7" ht="21" x14ac:dyDescent="0.25">
      <c r="A1888" s="2" t="str">
        <f>HYPERLINK("https://rth.dk/resources/bsgatlas/details.php?id=BSGatlas-TSS-1887","BSGatlas-TSS-1887")</f>
        <v>BSGatlas-TSS-1887</v>
      </c>
      <c r="B1888" s="3">
        <v>2411033</v>
      </c>
      <c r="C1888" s="1" t="s">
        <v>9</v>
      </c>
      <c r="D1888" s="1">
        <v>22</v>
      </c>
      <c r="E1888" s="1" t="s">
        <v>14722</v>
      </c>
      <c r="F1888" s="6"/>
      <c r="G1888" s="1" t="s">
        <v>14726</v>
      </c>
    </row>
    <row r="1889" spans="1:7" ht="21" x14ac:dyDescent="0.25">
      <c r="A1889" s="2" t="str">
        <f>HYPERLINK("https://rth.dk/resources/bsgatlas/details.php?id=BSGatlas-TSS-1888","BSGatlas-TSS-1888")</f>
        <v>BSGatlas-TSS-1888</v>
      </c>
      <c r="B1889" s="3">
        <v>2413513</v>
      </c>
      <c r="C1889" s="1" t="s">
        <v>13</v>
      </c>
      <c r="D1889" s="1">
        <v>22</v>
      </c>
      <c r="E1889" s="1" t="s">
        <v>14722</v>
      </c>
      <c r="F1889" s="6"/>
      <c r="G1889" s="1" t="s">
        <v>14726</v>
      </c>
    </row>
    <row r="1890" spans="1:7" ht="21" x14ac:dyDescent="0.25">
      <c r="A1890" s="2" t="str">
        <f>HYPERLINK("https://rth.dk/resources/bsgatlas/details.php?id=BSGatlas-TSS-1889","BSGatlas-TSS-1889")</f>
        <v>BSGatlas-TSS-1889</v>
      </c>
      <c r="B1890" s="3">
        <v>2415021</v>
      </c>
      <c r="C1890" s="1" t="s">
        <v>9</v>
      </c>
      <c r="D1890" s="1">
        <v>22</v>
      </c>
      <c r="E1890" s="1" t="s">
        <v>14720</v>
      </c>
      <c r="F1890" s="6"/>
      <c r="G1890" s="1" t="s">
        <v>14726</v>
      </c>
    </row>
    <row r="1891" spans="1:7" ht="21" x14ac:dyDescent="0.25">
      <c r="A1891" s="2" t="str">
        <f>HYPERLINK("https://rth.dk/resources/bsgatlas/details.php?id=BSGatlas-TSS-1890","BSGatlas-TSS-1890")</f>
        <v>BSGatlas-TSS-1890</v>
      </c>
      <c r="B1891" s="3">
        <v>2415179</v>
      </c>
      <c r="C1891" s="1" t="s">
        <v>9</v>
      </c>
      <c r="D1891" s="1">
        <v>22</v>
      </c>
      <c r="E1891" s="1" t="s">
        <v>14727</v>
      </c>
      <c r="F1891" s="6"/>
      <c r="G1891" s="1" t="s">
        <v>14726</v>
      </c>
    </row>
    <row r="1892" spans="1:7" ht="21" x14ac:dyDescent="0.25">
      <c r="A1892" s="2" t="str">
        <f>HYPERLINK("https://rth.dk/resources/bsgatlas/details.php?id=BSGatlas-TSS-1891","BSGatlas-TSS-1891")</f>
        <v>BSGatlas-TSS-1891</v>
      </c>
      <c r="B1892" s="3">
        <v>2415228</v>
      </c>
      <c r="C1892" s="1" t="s">
        <v>13</v>
      </c>
      <c r="D1892" s="1">
        <v>0</v>
      </c>
      <c r="E1892" s="1" t="s">
        <v>14776</v>
      </c>
      <c r="F1892" s="6" t="s">
        <v>14969</v>
      </c>
      <c r="G1892" s="1" t="s">
        <v>4382</v>
      </c>
    </row>
    <row r="1893" spans="1:7" ht="21" x14ac:dyDescent="0.25">
      <c r="A1893" s="2" t="str">
        <f>HYPERLINK("https://rth.dk/resources/bsgatlas/details.php?id=BSGatlas-TSS-1892","BSGatlas-TSS-1892")</f>
        <v>BSGatlas-TSS-1892</v>
      </c>
      <c r="B1893" s="3">
        <v>2415262</v>
      </c>
      <c r="C1893" s="1" t="s">
        <v>13</v>
      </c>
      <c r="D1893" s="1">
        <v>0</v>
      </c>
      <c r="E1893" s="1" t="s">
        <v>14722</v>
      </c>
      <c r="F1893" s="6" t="s">
        <v>14969</v>
      </c>
      <c r="G1893" s="1" t="s">
        <v>14729</v>
      </c>
    </row>
    <row r="1894" spans="1:7" ht="21" x14ac:dyDescent="0.25">
      <c r="A1894" s="2" t="str">
        <f>HYPERLINK("https://rth.dk/resources/bsgatlas/details.php?id=BSGatlas-TSS-1893","BSGatlas-TSS-1893")</f>
        <v>BSGatlas-TSS-1893</v>
      </c>
      <c r="B1894" s="3">
        <v>2417927</v>
      </c>
      <c r="C1894" s="1" t="s">
        <v>13</v>
      </c>
      <c r="D1894" s="1">
        <v>0</v>
      </c>
      <c r="E1894" s="1" t="s">
        <v>14722</v>
      </c>
      <c r="F1894" s="6">
        <v>8631715</v>
      </c>
      <c r="G1894" s="1" t="s">
        <v>4684</v>
      </c>
    </row>
    <row r="1895" spans="1:7" ht="21" x14ac:dyDescent="0.25">
      <c r="A1895" s="2" t="str">
        <f>HYPERLINK("https://rth.dk/resources/bsgatlas/details.php?id=BSGatlas-TSS-1894","BSGatlas-TSS-1894")</f>
        <v>BSGatlas-TSS-1894</v>
      </c>
      <c r="B1895" s="3">
        <v>2421374</v>
      </c>
      <c r="C1895" s="1" t="s">
        <v>13</v>
      </c>
      <c r="D1895" s="1">
        <v>0</v>
      </c>
      <c r="E1895" s="1" t="s">
        <v>14722</v>
      </c>
      <c r="F1895" s="6" t="s">
        <v>14970</v>
      </c>
      <c r="G1895" s="1" t="s">
        <v>4382</v>
      </c>
    </row>
    <row r="1896" spans="1:7" ht="21" x14ac:dyDescent="0.25">
      <c r="A1896" s="2" t="str">
        <f>HYPERLINK("https://rth.dk/resources/bsgatlas/details.php?id=BSGatlas-TSS-1895","BSGatlas-TSS-1895")</f>
        <v>BSGatlas-TSS-1895</v>
      </c>
      <c r="B1896" s="3">
        <v>2422204</v>
      </c>
      <c r="C1896" s="1" t="s">
        <v>13</v>
      </c>
      <c r="D1896" s="1">
        <v>22</v>
      </c>
      <c r="E1896" s="1" t="s">
        <v>14722</v>
      </c>
      <c r="F1896" s="6"/>
      <c r="G1896" s="1" t="s">
        <v>14726</v>
      </c>
    </row>
    <row r="1897" spans="1:7" ht="21" x14ac:dyDescent="0.25">
      <c r="A1897" s="2" t="str">
        <f>HYPERLINK("https://rth.dk/resources/bsgatlas/details.php?id=BSGatlas-TSS-1896","BSGatlas-TSS-1896")</f>
        <v>BSGatlas-TSS-1896</v>
      </c>
      <c r="B1897" s="3">
        <v>2422273</v>
      </c>
      <c r="C1897" s="1" t="s">
        <v>13</v>
      </c>
      <c r="D1897" s="1">
        <v>22</v>
      </c>
      <c r="E1897" s="1" t="s">
        <v>14722</v>
      </c>
      <c r="F1897" s="6"/>
      <c r="G1897" s="1" t="s">
        <v>14726</v>
      </c>
    </row>
    <row r="1898" spans="1:7" ht="21" x14ac:dyDescent="0.25">
      <c r="A1898" s="2" t="str">
        <f>HYPERLINK("https://rth.dk/resources/bsgatlas/details.php?id=BSGatlas-TSS-1897","BSGatlas-TSS-1897")</f>
        <v>BSGatlas-TSS-1897</v>
      </c>
      <c r="B1898" s="3">
        <v>2424558</v>
      </c>
      <c r="C1898" s="1" t="s">
        <v>13</v>
      </c>
      <c r="D1898" s="1">
        <v>0</v>
      </c>
      <c r="E1898" s="1" t="s">
        <v>14735</v>
      </c>
      <c r="F1898" s="6" t="s">
        <v>14971</v>
      </c>
      <c r="G1898" s="1" t="s">
        <v>14729</v>
      </c>
    </row>
    <row r="1899" spans="1:7" ht="21" x14ac:dyDescent="0.25">
      <c r="A1899" s="2" t="str">
        <f>HYPERLINK("https://rth.dk/resources/bsgatlas/details.php?id=BSGatlas-TSS-1898","BSGatlas-TSS-1898")</f>
        <v>BSGatlas-TSS-1898</v>
      </c>
      <c r="B1899" s="3">
        <v>2425217</v>
      </c>
      <c r="C1899" s="1" t="s">
        <v>13</v>
      </c>
      <c r="D1899" s="1">
        <v>22</v>
      </c>
      <c r="E1899" s="1" t="s">
        <v>14720</v>
      </c>
      <c r="F1899" s="6"/>
      <c r="G1899" s="1" t="s">
        <v>14726</v>
      </c>
    </row>
    <row r="1900" spans="1:7" ht="21" x14ac:dyDescent="0.25">
      <c r="A1900" s="2" t="str">
        <f>HYPERLINK("https://rth.dk/resources/bsgatlas/details.php?id=BSGatlas-TSS-1899","BSGatlas-TSS-1899")</f>
        <v>BSGatlas-TSS-1899</v>
      </c>
      <c r="B1900" s="3">
        <v>2426461</v>
      </c>
      <c r="C1900" s="1" t="s">
        <v>9</v>
      </c>
      <c r="D1900" s="1">
        <v>22</v>
      </c>
      <c r="E1900" s="1" t="s">
        <v>14725</v>
      </c>
      <c r="F1900" s="6"/>
      <c r="G1900" s="1" t="s">
        <v>14726</v>
      </c>
    </row>
    <row r="1901" spans="1:7" ht="21" x14ac:dyDescent="0.25">
      <c r="A1901" s="2" t="str">
        <f>HYPERLINK("https://rth.dk/resources/bsgatlas/details.php?id=BSGatlas-TSS-1900","BSGatlas-TSS-1900")</f>
        <v>BSGatlas-TSS-1900</v>
      </c>
      <c r="B1901" s="3">
        <v>2426647</v>
      </c>
      <c r="C1901" s="1" t="s">
        <v>13</v>
      </c>
      <c r="D1901" s="1">
        <v>22</v>
      </c>
      <c r="E1901" s="1" t="s">
        <v>14722</v>
      </c>
      <c r="F1901" s="6"/>
      <c r="G1901" s="1" t="s">
        <v>14726</v>
      </c>
    </row>
    <row r="1902" spans="1:7" ht="21" x14ac:dyDescent="0.25">
      <c r="A1902" s="2" t="str">
        <f>HYPERLINK("https://rth.dk/resources/bsgatlas/details.php?id=BSGatlas-TSS-1901","BSGatlas-TSS-1901")</f>
        <v>BSGatlas-TSS-1901</v>
      </c>
      <c r="B1902" s="3">
        <v>2426835</v>
      </c>
      <c r="C1902" s="1" t="s">
        <v>9</v>
      </c>
      <c r="D1902" s="1">
        <v>22</v>
      </c>
      <c r="E1902" s="1" t="s">
        <v>14722</v>
      </c>
      <c r="F1902" s="6"/>
      <c r="G1902" s="1" t="s">
        <v>14726</v>
      </c>
    </row>
    <row r="1903" spans="1:7" ht="21" x14ac:dyDescent="0.25">
      <c r="A1903" s="2" t="str">
        <f>HYPERLINK("https://rth.dk/resources/bsgatlas/details.php?id=BSGatlas-TSS-1902","BSGatlas-TSS-1902")</f>
        <v>BSGatlas-TSS-1902</v>
      </c>
      <c r="B1903" s="3">
        <v>2427853</v>
      </c>
      <c r="C1903" s="1" t="s">
        <v>13</v>
      </c>
      <c r="D1903" s="1">
        <v>22</v>
      </c>
      <c r="E1903" s="1" t="s">
        <v>14722</v>
      </c>
      <c r="F1903" s="6"/>
      <c r="G1903" s="1" t="s">
        <v>14726</v>
      </c>
    </row>
    <row r="1904" spans="1:7" ht="21" x14ac:dyDescent="0.25">
      <c r="A1904" s="2" t="str">
        <f>HYPERLINK("https://rth.dk/resources/bsgatlas/details.php?id=BSGatlas-TSS-1903","BSGatlas-TSS-1903")</f>
        <v>BSGatlas-TSS-1903</v>
      </c>
      <c r="B1904" s="3">
        <v>2428248</v>
      </c>
      <c r="C1904" s="1" t="s">
        <v>9</v>
      </c>
      <c r="D1904" s="1">
        <v>22</v>
      </c>
      <c r="E1904" s="1" t="s">
        <v>14720</v>
      </c>
      <c r="F1904" s="6"/>
      <c r="G1904" s="1" t="s">
        <v>14726</v>
      </c>
    </row>
    <row r="1905" spans="1:7" ht="21" x14ac:dyDescent="0.25">
      <c r="A1905" s="2" t="str">
        <f>HYPERLINK("https://rth.dk/resources/bsgatlas/details.php?id=BSGatlas-TSS-1904","BSGatlas-TSS-1904")</f>
        <v>BSGatlas-TSS-1904</v>
      </c>
      <c r="B1905" s="3">
        <v>2431637</v>
      </c>
      <c r="C1905" s="1" t="s">
        <v>13</v>
      </c>
      <c r="D1905" s="1">
        <v>0</v>
      </c>
      <c r="E1905" s="1" t="s">
        <v>14722</v>
      </c>
      <c r="F1905" s="6">
        <v>8159171</v>
      </c>
      <c r="G1905" s="1" t="s">
        <v>14730</v>
      </c>
    </row>
    <row r="1906" spans="1:7" ht="21" x14ac:dyDescent="0.25">
      <c r="A1906" s="2" t="str">
        <f>HYPERLINK("https://rth.dk/resources/bsgatlas/details.php?id=BSGatlas-TSS-1905","BSGatlas-TSS-1905")</f>
        <v>BSGatlas-TSS-1905</v>
      </c>
      <c r="B1906" s="3">
        <v>2432126</v>
      </c>
      <c r="C1906" s="1" t="s">
        <v>13</v>
      </c>
      <c r="D1906" s="1">
        <v>22</v>
      </c>
      <c r="E1906" s="1" t="s">
        <v>14734</v>
      </c>
      <c r="F1906" s="6"/>
      <c r="G1906" s="1" t="s">
        <v>14726</v>
      </c>
    </row>
    <row r="1907" spans="1:7" ht="21" x14ac:dyDescent="0.25">
      <c r="A1907" s="2" t="str">
        <f>HYPERLINK("https://rth.dk/resources/bsgatlas/details.php?id=BSGatlas-TSS-1906","BSGatlas-TSS-1906")</f>
        <v>BSGatlas-TSS-1906</v>
      </c>
      <c r="B1907" s="3">
        <v>2432160</v>
      </c>
      <c r="C1907" s="1" t="s">
        <v>9</v>
      </c>
      <c r="D1907" s="1">
        <v>22</v>
      </c>
      <c r="E1907" s="1" t="s">
        <v>14727</v>
      </c>
      <c r="F1907" s="6"/>
      <c r="G1907" s="1" t="s">
        <v>14726</v>
      </c>
    </row>
    <row r="1908" spans="1:7" ht="21" x14ac:dyDescent="0.25">
      <c r="A1908" s="2" t="str">
        <f>HYPERLINK("https://rth.dk/resources/bsgatlas/details.php?id=BSGatlas-TSS-1907","BSGatlas-TSS-1907")</f>
        <v>BSGatlas-TSS-1907</v>
      </c>
      <c r="B1908" s="3">
        <v>2432170</v>
      </c>
      <c r="C1908" s="1" t="s">
        <v>13</v>
      </c>
      <c r="D1908" s="1">
        <v>22</v>
      </c>
      <c r="E1908" s="1" t="s">
        <v>14739</v>
      </c>
      <c r="F1908" s="6"/>
      <c r="G1908" s="1" t="s">
        <v>14726</v>
      </c>
    </row>
    <row r="1909" spans="1:7" ht="21" x14ac:dyDescent="0.25">
      <c r="A1909" s="2" t="str">
        <f>HYPERLINK("https://rth.dk/resources/bsgatlas/details.php?id=BSGatlas-TSS-1908","BSGatlas-TSS-1908")</f>
        <v>BSGatlas-TSS-1908</v>
      </c>
      <c r="B1909" s="3">
        <v>2432238</v>
      </c>
      <c r="C1909" s="1" t="s">
        <v>13</v>
      </c>
      <c r="D1909" s="1">
        <v>22</v>
      </c>
      <c r="E1909" s="1" t="s">
        <v>14758</v>
      </c>
      <c r="F1909" s="6"/>
      <c r="G1909" s="1" t="s">
        <v>14733</v>
      </c>
    </row>
    <row r="1910" spans="1:7" ht="21" x14ac:dyDescent="0.25">
      <c r="A1910" s="2" t="str">
        <f>HYPERLINK("https://rth.dk/resources/bsgatlas/details.php?id=BSGatlas-TSS-1909","BSGatlas-TSS-1909")</f>
        <v>BSGatlas-TSS-1909</v>
      </c>
      <c r="B1910" s="3">
        <v>2432899</v>
      </c>
      <c r="C1910" s="1" t="s">
        <v>13</v>
      </c>
      <c r="D1910" s="1">
        <v>0</v>
      </c>
      <c r="E1910" s="1" t="s">
        <v>14720</v>
      </c>
      <c r="F1910" s="6">
        <v>8951809</v>
      </c>
      <c r="G1910" s="1" t="s">
        <v>14730</v>
      </c>
    </row>
    <row r="1911" spans="1:7" ht="21" x14ac:dyDescent="0.25">
      <c r="A1911" s="2" t="str">
        <f>HYPERLINK("https://rth.dk/resources/bsgatlas/details.php?id=BSGatlas-TSS-1910","BSGatlas-TSS-1910")</f>
        <v>BSGatlas-TSS-1910</v>
      </c>
      <c r="B1911" s="3">
        <v>2433586</v>
      </c>
      <c r="C1911" s="1" t="s">
        <v>13</v>
      </c>
      <c r="D1911" s="1">
        <v>0</v>
      </c>
      <c r="E1911" s="1" t="s">
        <v>14720</v>
      </c>
      <c r="F1911" s="6">
        <v>8951809</v>
      </c>
      <c r="G1911" s="1" t="s">
        <v>14730</v>
      </c>
    </row>
    <row r="1912" spans="1:7" ht="21" x14ac:dyDescent="0.25">
      <c r="A1912" s="2" t="str">
        <f>HYPERLINK("https://rth.dk/resources/bsgatlas/details.php?id=BSGatlas-TSS-1911","BSGatlas-TSS-1911")</f>
        <v>BSGatlas-TSS-1911</v>
      </c>
      <c r="B1912" s="3">
        <v>2433617</v>
      </c>
      <c r="C1912" s="1" t="s">
        <v>13</v>
      </c>
      <c r="D1912" s="1">
        <v>0</v>
      </c>
      <c r="E1912" s="1" t="s">
        <v>14722</v>
      </c>
      <c r="F1912" s="6">
        <v>8951809</v>
      </c>
      <c r="G1912" s="1" t="s">
        <v>4684</v>
      </c>
    </row>
    <row r="1913" spans="1:7" ht="21" x14ac:dyDescent="0.25">
      <c r="A1913" s="2" t="str">
        <f>HYPERLINK("https://rth.dk/resources/bsgatlas/details.php?id=BSGatlas-TSS-1912","BSGatlas-TSS-1912")</f>
        <v>BSGatlas-TSS-1912</v>
      </c>
      <c r="B1913" s="3">
        <v>2433788</v>
      </c>
      <c r="C1913" s="1" t="s">
        <v>9</v>
      </c>
      <c r="D1913" s="1">
        <v>22</v>
      </c>
      <c r="E1913" s="1" t="s">
        <v>14725</v>
      </c>
      <c r="F1913" s="6"/>
      <c r="G1913" s="1" t="s">
        <v>14726</v>
      </c>
    </row>
    <row r="1914" spans="1:7" ht="21" x14ac:dyDescent="0.25">
      <c r="A1914" s="2" t="str">
        <f>HYPERLINK("https://rth.dk/resources/bsgatlas/details.php?id=BSGatlas-TSS-1913","BSGatlas-TSS-1913")</f>
        <v>BSGatlas-TSS-1913</v>
      </c>
      <c r="B1914" s="3">
        <v>2434970</v>
      </c>
      <c r="C1914" s="1" t="s">
        <v>9</v>
      </c>
      <c r="D1914" s="1">
        <v>22</v>
      </c>
      <c r="E1914" s="1" t="s">
        <v>14725</v>
      </c>
      <c r="F1914" s="6"/>
      <c r="G1914" s="1" t="s">
        <v>14726</v>
      </c>
    </row>
    <row r="1915" spans="1:7" ht="21" x14ac:dyDescent="0.25">
      <c r="A1915" s="2" t="str">
        <f>HYPERLINK("https://rth.dk/resources/bsgatlas/details.php?id=BSGatlas-TSS-1914","BSGatlas-TSS-1914")</f>
        <v>BSGatlas-TSS-1914</v>
      </c>
      <c r="B1915" s="3">
        <v>2435822</v>
      </c>
      <c r="C1915" s="1" t="s">
        <v>13</v>
      </c>
      <c r="D1915" s="1">
        <v>0</v>
      </c>
      <c r="E1915" s="1" t="s">
        <v>14722</v>
      </c>
      <c r="F1915" s="6" t="s">
        <v>14972</v>
      </c>
      <c r="G1915" s="1" t="s">
        <v>4382</v>
      </c>
    </row>
    <row r="1916" spans="1:7" ht="21" x14ac:dyDescent="0.25">
      <c r="A1916" s="2" t="str">
        <f>HYPERLINK("https://rth.dk/resources/bsgatlas/details.php?id=BSGatlas-TSS-1915","BSGatlas-TSS-1915")</f>
        <v>BSGatlas-TSS-1915</v>
      </c>
      <c r="B1916" s="3">
        <v>2435878</v>
      </c>
      <c r="C1916" s="1" t="s">
        <v>13</v>
      </c>
      <c r="D1916" s="1">
        <v>22</v>
      </c>
      <c r="E1916" s="1" t="s">
        <v>14722</v>
      </c>
      <c r="F1916" s="6"/>
      <c r="G1916" s="1" t="s">
        <v>14733</v>
      </c>
    </row>
    <row r="1917" spans="1:7" ht="21" x14ac:dyDescent="0.25">
      <c r="A1917" s="2" t="str">
        <f>HYPERLINK("https://rth.dk/resources/bsgatlas/details.php?id=BSGatlas-TSS-1916","BSGatlas-TSS-1916")</f>
        <v>BSGatlas-TSS-1916</v>
      </c>
      <c r="B1917" s="3">
        <v>2435947</v>
      </c>
      <c r="C1917" s="1" t="s">
        <v>9</v>
      </c>
      <c r="D1917" s="1">
        <v>22</v>
      </c>
      <c r="E1917" s="1" t="s">
        <v>14739</v>
      </c>
      <c r="F1917" s="6"/>
      <c r="G1917" s="1" t="s">
        <v>14733</v>
      </c>
    </row>
    <row r="1918" spans="1:7" ht="21" x14ac:dyDescent="0.25">
      <c r="A1918" s="2" t="str">
        <f>HYPERLINK("https://rth.dk/resources/bsgatlas/details.php?id=BSGatlas-TSS-1917","BSGatlas-TSS-1917")</f>
        <v>BSGatlas-TSS-1917</v>
      </c>
      <c r="B1918" s="3">
        <v>2438331</v>
      </c>
      <c r="C1918" s="1" t="s">
        <v>13</v>
      </c>
      <c r="D1918" s="1">
        <v>22</v>
      </c>
      <c r="E1918" s="1" t="s">
        <v>14722</v>
      </c>
      <c r="F1918" s="6"/>
      <c r="G1918" s="1" t="s">
        <v>14733</v>
      </c>
    </row>
    <row r="1919" spans="1:7" ht="21" x14ac:dyDescent="0.25">
      <c r="A1919" s="2" t="str">
        <f>HYPERLINK("https://rth.dk/resources/bsgatlas/details.php?id=BSGatlas-TSS-1918","BSGatlas-TSS-1918")</f>
        <v>BSGatlas-TSS-1918</v>
      </c>
      <c r="B1919" s="3">
        <v>2439082</v>
      </c>
      <c r="C1919" s="1" t="s">
        <v>13</v>
      </c>
      <c r="D1919" s="1">
        <v>22</v>
      </c>
      <c r="E1919" s="1" t="s">
        <v>14722</v>
      </c>
      <c r="F1919" s="6"/>
      <c r="G1919" s="1" t="s">
        <v>14726</v>
      </c>
    </row>
    <row r="1920" spans="1:7" ht="21" x14ac:dyDescent="0.25">
      <c r="A1920" s="2" t="str">
        <f>HYPERLINK("https://rth.dk/resources/bsgatlas/details.php?id=BSGatlas-TSS-1919","BSGatlas-TSS-1919")</f>
        <v>BSGatlas-TSS-1919</v>
      </c>
      <c r="B1920" s="3">
        <v>2441314</v>
      </c>
      <c r="C1920" s="1" t="s">
        <v>9</v>
      </c>
      <c r="D1920" s="1">
        <v>22</v>
      </c>
      <c r="E1920" s="1" t="s">
        <v>14722</v>
      </c>
      <c r="F1920" s="6"/>
      <c r="G1920" s="1" t="s">
        <v>14726</v>
      </c>
    </row>
    <row r="1921" spans="1:7" ht="21" x14ac:dyDescent="0.25">
      <c r="A1921" s="2" t="str">
        <f>HYPERLINK("https://rth.dk/resources/bsgatlas/details.php?id=BSGatlas-TSS-1920","BSGatlas-TSS-1920")</f>
        <v>BSGatlas-TSS-1920</v>
      </c>
      <c r="B1921" s="3">
        <v>2443331</v>
      </c>
      <c r="C1921" s="1" t="s">
        <v>13</v>
      </c>
      <c r="D1921" s="1">
        <v>0</v>
      </c>
      <c r="E1921" s="1" t="s">
        <v>14743</v>
      </c>
      <c r="F1921" s="6" t="s">
        <v>14973</v>
      </c>
      <c r="G1921" s="1" t="s">
        <v>14729</v>
      </c>
    </row>
    <row r="1922" spans="1:7" ht="21" x14ac:dyDescent="0.25">
      <c r="A1922" s="2" t="str">
        <f>HYPERLINK("https://rth.dk/resources/bsgatlas/details.php?id=BSGatlas-TSS-1921","BSGatlas-TSS-1921")</f>
        <v>BSGatlas-TSS-1921</v>
      </c>
      <c r="B1922" s="3">
        <v>2445025</v>
      </c>
      <c r="C1922" s="1" t="s">
        <v>13</v>
      </c>
      <c r="D1922" s="1">
        <v>0</v>
      </c>
      <c r="E1922" s="1" t="s">
        <v>14745</v>
      </c>
      <c r="F1922" s="6" t="s">
        <v>14974</v>
      </c>
      <c r="G1922" s="1" t="s">
        <v>14730</v>
      </c>
    </row>
    <row r="1923" spans="1:7" ht="21" x14ac:dyDescent="0.25">
      <c r="A1923" s="2" t="str">
        <f>HYPERLINK("https://rth.dk/resources/bsgatlas/details.php?id=BSGatlas-TSS-1922","BSGatlas-TSS-1922")</f>
        <v>BSGatlas-TSS-1922</v>
      </c>
      <c r="B1923" s="3">
        <v>2446288</v>
      </c>
      <c r="C1923" s="1" t="s">
        <v>13</v>
      </c>
      <c r="D1923" s="1">
        <v>0</v>
      </c>
      <c r="E1923" s="1" t="s">
        <v>14849</v>
      </c>
      <c r="F1923" s="6" t="s">
        <v>14975</v>
      </c>
      <c r="G1923" s="1" t="s">
        <v>14729</v>
      </c>
    </row>
    <row r="1924" spans="1:7" ht="21" x14ac:dyDescent="0.25">
      <c r="A1924" s="2" t="str">
        <f>HYPERLINK("https://rth.dk/resources/bsgatlas/details.php?id=BSGatlas-TSS-1923","BSGatlas-TSS-1923")</f>
        <v>BSGatlas-TSS-1923</v>
      </c>
      <c r="B1924" s="3">
        <v>2448454</v>
      </c>
      <c r="C1924" s="1" t="s">
        <v>13</v>
      </c>
      <c r="D1924" s="1">
        <v>0</v>
      </c>
      <c r="E1924" s="1" t="s">
        <v>14722</v>
      </c>
      <c r="F1924" s="6" t="s">
        <v>14976</v>
      </c>
      <c r="G1924" s="1" t="s">
        <v>4382</v>
      </c>
    </row>
    <row r="1925" spans="1:7" ht="21" x14ac:dyDescent="0.25">
      <c r="A1925" s="2" t="str">
        <f>HYPERLINK("https://rth.dk/resources/bsgatlas/details.php?id=BSGatlas-TSS-1924","BSGatlas-TSS-1924")</f>
        <v>BSGatlas-TSS-1924</v>
      </c>
      <c r="B1925" s="3">
        <v>2448483</v>
      </c>
      <c r="C1925" s="1" t="s">
        <v>13</v>
      </c>
      <c r="D1925" s="1">
        <v>0</v>
      </c>
      <c r="E1925" s="1" t="s">
        <v>14722</v>
      </c>
      <c r="F1925" s="6" t="s">
        <v>14976</v>
      </c>
      <c r="G1925" s="1" t="s">
        <v>14729</v>
      </c>
    </row>
    <row r="1926" spans="1:7" ht="21" x14ac:dyDescent="0.25">
      <c r="A1926" s="2" t="str">
        <f>HYPERLINK("https://rth.dk/resources/bsgatlas/details.php?id=BSGatlas-TSS-1925","BSGatlas-TSS-1925")</f>
        <v>BSGatlas-TSS-1925</v>
      </c>
      <c r="B1926" s="3">
        <v>2449630</v>
      </c>
      <c r="C1926" s="1" t="s">
        <v>13</v>
      </c>
      <c r="D1926" s="1">
        <v>22</v>
      </c>
      <c r="E1926" s="1" t="s">
        <v>14722</v>
      </c>
      <c r="F1926" s="6"/>
      <c r="G1926" s="1" t="s">
        <v>14726</v>
      </c>
    </row>
    <row r="1927" spans="1:7" ht="21" x14ac:dyDescent="0.25">
      <c r="A1927" s="2" t="str">
        <f>HYPERLINK("https://rth.dk/resources/bsgatlas/details.php?id=BSGatlas-TSS-1926","BSGatlas-TSS-1926")</f>
        <v>BSGatlas-TSS-1926</v>
      </c>
      <c r="B1927" s="3">
        <v>2449709</v>
      </c>
      <c r="C1927" s="1" t="s">
        <v>13</v>
      </c>
      <c r="D1927" s="1">
        <v>22</v>
      </c>
      <c r="E1927" s="1" t="s">
        <v>14734</v>
      </c>
      <c r="F1927" s="6"/>
      <c r="G1927" s="1" t="s">
        <v>14726</v>
      </c>
    </row>
    <row r="1928" spans="1:7" ht="21" x14ac:dyDescent="0.25">
      <c r="A1928" s="2" t="str">
        <f>HYPERLINK("https://rth.dk/resources/bsgatlas/details.php?id=BSGatlas-TSS-1927","BSGatlas-TSS-1927")</f>
        <v>BSGatlas-TSS-1927</v>
      </c>
      <c r="B1928" s="3">
        <v>2449759</v>
      </c>
      <c r="C1928" s="1" t="s">
        <v>13</v>
      </c>
      <c r="D1928" s="1">
        <v>22</v>
      </c>
      <c r="E1928" s="1" t="s">
        <v>14727</v>
      </c>
      <c r="F1928" s="6"/>
      <c r="G1928" s="1" t="s">
        <v>14726</v>
      </c>
    </row>
    <row r="1929" spans="1:7" ht="21" x14ac:dyDescent="0.25">
      <c r="A1929" s="2" t="str">
        <f>HYPERLINK("https://rth.dk/resources/bsgatlas/details.php?id=BSGatlas-TSS-1928","BSGatlas-TSS-1928")</f>
        <v>BSGatlas-TSS-1928</v>
      </c>
      <c r="B1929" s="3">
        <v>2450317</v>
      </c>
      <c r="C1929" s="1" t="s">
        <v>13</v>
      </c>
      <c r="D1929" s="1">
        <v>0</v>
      </c>
      <c r="E1929" s="1" t="s">
        <v>14722</v>
      </c>
      <c r="F1929" s="6" t="s">
        <v>14843</v>
      </c>
      <c r="G1929" s="1" t="s">
        <v>14729</v>
      </c>
    </row>
    <row r="1930" spans="1:7" ht="21" x14ac:dyDescent="0.25">
      <c r="A1930" s="2" t="str">
        <f>HYPERLINK("https://rth.dk/resources/bsgatlas/details.php?id=BSGatlas-TSS-1929","BSGatlas-TSS-1929")</f>
        <v>BSGatlas-TSS-1929</v>
      </c>
      <c r="B1930" s="3">
        <v>2451083</v>
      </c>
      <c r="C1930" s="1" t="s">
        <v>13</v>
      </c>
      <c r="D1930" s="1">
        <v>0</v>
      </c>
      <c r="E1930" s="1" t="s">
        <v>14735</v>
      </c>
      <c r="F1930" s="6" t="s">
        <v>14977</v>
      </c>
      <c r="G1930" s="1" t="s">
        <v>14729</v>
      </c>
    </row>
    <row r="1931" spans="1:7" ht="21" x14ac:dyDescent="0.25">
      <c r="A1931" s="2" t="str">
        <f>HYPERLINK("https://rth.dk/resources/bsgatlas/details.php?id=BSGatlas-TSS-1930","BSGatlas-TSS-1930")</f>
        <v>BSGatlas-TSS-1930</v>
      </c>
      <c r="B1931" s="3">
        <v>2454263</v>
      </c>
      <c r="C1931" s="1" t="s">
        <v>13</v>
      </c>
      <c r="D1931" s="1">
        <v>22</v>
      </c>
      <c r="E1931" s="1" t="s">
        <v>14722</v>
      </c>
      <c r="F1931" s="6"/>
      <c r="G1931" s="1" t="s">
        <v>14726</v>
      </c>
    </row>
    <row r="1932" spans="1:7" ht="21" x14ac:dyDescent="0.25">
      <c r="A1932" s="2" t="str">
        <f>HYPERLINK("https://rth.dk/resources/bsgatlas/details.php?id=BSGatlas-TSS-1931","BSGatlas-TSS-1931")</f>
        <v>BSGatlas-TSS-1931</v>
      </c>
      <c r="B1932" s="3">
        <v>2456875</v>
      </c>
      <c r="C1932" s="1" t="s">
        <v>13</v>
      </c>
      <c r="D1932" s="1">
        <v>0</v>
      </c>
      <c r="E1932" s="1" t="s">
        <v>14722</v>
      </c>
      <c r="F1932" s="6" t="s">
        <v>14978</v>
      </c>
      <c r="G1932" s="1" t="s">
        <v>14724</v>
      </c>
    </row>
    <row r="1933" spans="1:7" ht="21" x14ac:dyDescent="0.25">
      <c r="A1933" s="2" t="str">
        <f>HYPERLINK("https://rth.dk/resources/bsgatlas/details.php?id=BSGatlas-TSS-1932","BSGatlas-TSS-1932")</f>
        <v>BSGatlas-TSS-1932</v>
      </c>
      <c r="B1933" s="3">
        <v>2456951</v>
      </c>
      <c r="C1933" s="1" t="s">
        <v>9</v>
      </c>
      <c r="D1933" s="1">
        <v>22</v>
      </c>
      <c r="E1933" s="1" t="s">
        <v>14722</v>
      </c>
      <c r="F1933" s="6"/>
      <c r="G1933" s="1" t="s">
        <v>14726</v>
      </c>
    </row>
    <row r="1934" spans="1:7" ht="21" x14ac:dyDescent="0.25">
      <c r="A1934" s="2" t="str">
        <f>HYPERLINK("https://rth.dk/resources/bsgatlas/details.php?id=BSGatlas-TSS-1933","BSGatlas-TSS-1933")</f>
        <v>BSGatlas-TSS-1933</v>
      </c>
      <c r="B1934" s="3">
        <v>2459036</v>
      </c>
      <c r="C1934" s="1" t="s">
        <v>13</v>
      </c>
      <c r="D1934" s="1">
        <v>22</v>
      </c>
      <c r="E1934" s="1" t="s">
        <v>14720</v>
      </c>
      <c r="F1934" s="6"/>
      <c r="G1934" s="1" t="s">
        <v>14726</v>
      </c>
    </row>
    <row r="1935" spans="1:7" ht="21" x14ac:dyDescent="0.25">
      <c r="A1935" s="2" t="str">
        <f>HYPERLINK("https://rth.dk/resources/bsgatlas/details.php?id=BSGatlas-TSS-1934","BSGatlas-TSS-1934")</f>
        <v>BSGatlas-TSS-1934</v>
      </c>
      <c r="B1935" s="3">
        <v>2459107</v>
      </c>
      <c r="C1935" s="1" t="s">
        <v>9</v>
      </c>
      <c r="D1935" s="1">
        <v>22</v>
      </c>
      <c r="E1935" s="1" t="s">
        <v>14727</v>
      </c>
      <c r="F1935" s="6"/>
      <c r="G1935" s="1" t="s">
        <v>14733</v>
      </c>
    </row>
    <row r="1936" spans="1:7" ht="21" x14ac:dyDescent="0.25">
      <c r="A1936" s="2" t="str">
        <f>HYPERLINK("https://rth.dk/resources/bsgatlas/details.php?id=BSGatlas-TSS-1935","BSGatlas-TSS-1935")</f>
        <v>BSGatlas-TSS-1935</v>
      </c>
      <c r="B1936" s="3">
        <v>2459122</v>
      </c>
      <c r="C1936" s="1" t="s">
        <v>13</v>
      </c>
      <c r="D1936" s="1">
        <v>22</v>
      </c>
      <c r="E1936" s="1" t="s">
        <v>14722</v>
      </c>
      <c r="F1936" s="6"/>
      <c r="G1936" s="1" t="s">
        <v>14726</v>
      </c>
    </row>
    <row r="1937" spans="1:7" ht="21" x14ac:dyDescent="0.25">
      <c r="A1937" s="2" t="str">
        <f>HYPERLINK("https://rth.dk/resources/bsgatlas/details.php?id=BSGatlas-TSS-1936","BSGatlas-TSS-1936")</f>
        <v>BSGatlas-TSS-1936</v>
      </c>
      <c r="B1937" s="3">
        <v>2459290</v>
      </c>
      <c r="C1937" s="1" t="s">
        <v>9</v>
      </c>
      <c r="D1937" s="1">
        <v>22</v>
      </c>
      <c r="E1937" s="1" t="s">
        <v>14722</v>
      </c>
      <c r="F1937" s="6"/>
      <c r="G1937" s="1" t="s">
        <v>14726</v>
      </c>
    </row>
    <row r="1938" spans="1:7" ht="21" x14ac:dyDescent="0.25">
      <c r="A1938" s="2" t="str">
        <f>HYPERLINK("https://rth.dk/resources/bsgatlas/details.php?id=BSGatlas-TSS-1937","BSGatlas-TSS-1937")</f>
        <v>BSGatlas-TSS-1937</v>
      </c>
      <c r="B1938" s="3">
        <v>2460532</v>
      </c>
      <c r="C1938" s="1" t="s">
        <v>13</v>
      </c>
      <c r="D1938" s="1">
        <v>22</v>
      </c>
      <c r="E1938" s="1" t="s">
        <v>14722</v>
      </c>
      <c r="F1938" s="6"/>
      <c r="G1938" s="1" t="s">
        <v>14726</v>
      </c>
    </row>
    <row r="1939" spans="1:7" ht="21" x14ac:dyDescent="0.25">
      <c r="A1939" s="2" t="str">
        <f>HYPERLINK("https://rth.dk/resources/bsgatlas/details.php?id=BSGatlas-TSS-1938","BSGatlas-TSS-1938")</f>
        <v>BSGatlas-TSS-1938</v>
      </c>
      <c r="B1939" s="3">
        <v>2460610</v>
      </c>
      <c r="C1939" s="1" t="s">
        <v>9</v>
      </c>
      <c r="D1939" s="1">
        <v>22</v>
      </c>
      <c r="E1939" s="1" t="s">
        <v>14722</v>
      </c>
      <c r="F1939" s="6"/>
      <c r="G1939" s="1" t="s">
        <v>14726</v>
      </c>
    </row>
    <row r="1940" spans="1:7" ht="21" x14ac:dyDescent="0.25">
      <c r="A1940" s="2" t="str">
        <f>HYPERLINK("https://rth.dk/resources/bsgatlas/details.php?id=BSGatlas-TSS-1939","BSGatlas-TSS-1939")</f>
        <v>BSGatlas-TSS-1939</v>
      </c>
      <c r="B1940" s="3">
        <v>2461940</v>
      </c>
      <c r="C1940" s="1" t="s">
        <v>13</v>
      </c>
      <c r="D1940" s="1">
        <v>22</v>
      </c>
      <c r="E1940" s="1" t="s">
        <v>14722</v>
      </c>
      <c r="F1940" s="6"/>
      <c r="G1940" s="1" t="s">
        <v>14726</v>
      </c>
    </row>
    <row r="1941" spans="1:7" ht="21" x14ac:dyDescent="0.25">
      <c r="A1941" s="2" t="str">
        <f>HYPERLINK("https://rth.dk/resources/bsgatlas/details.php?id=BSGatlas-TSS-1940","BSGatlas-TSS-1940")</f>
        <v>BSGatlas-TSS-1940</v>
      </c>
      <c r="B1941" s="3">
        <v>2462227</v>
      </c>
      <c r="C1941" s="1" t="s">
        <v>13</v>
      </c>
      <c r="D1941" s="1">
        <v>22</v>
      </c>
      <c r="E1941" s="1" t="s">
        <v>14722</v>
      </c>
      <c r="F1941" s="6"/>
      <c r="G1941" s="1" t="s">
        <v>14726</v>
      </c>
    </row>
    <row r="1942" spans="1:7" ht="21" x14ac:dyDescent="0.25">
      <c r="A1942" s="2" t="str">
        <f>HYPERLINK("https://rth.dk/resources/bsgatlas/details.php?id=BSGatlas-TSS-1941","BSGatlas-TSS-1941")</f>
        <v>BSGatlas-TSS-1941</v>
      </c>
      <c r="B1942" s="3">
        <v>2464118</v>
      </c>
      <c r="C1942" s="1" t="s">
        <v>13</v>
      </c>
      <c r="D1942" s="1">
        <v>22</v>
      </c>
      <c r="E1942" s="1" t="s">
        <v>14722</v>
      </c>
      <c r="F1942" s="6"/>
      <c r="G1942" s="1" t="s">
        <v>14733</v>
      </c>
    </row>
    <row r="1943" spans="1:7" ht="21" x14ac:dyDescent="0.25">
      <c r="A1943" s="2" t="str">
        <f>HYPERLINK("https://rth.dk/resources/bsgatlas/details.php?id=BSGatlas-TSS-1942","BSGatlas-TSS-1942")</f>
        <v>BSGatlas-TSS-1942</v>
      </c>
      <c r="B1943" s="3">
        <v>2464735</v>
      </c>
      <c r="C1943" s="1" t="s">
        <v>9</v>
      </c>
      <c r="D1943" s="1">
        <v>22</v>
      </c>
      <c r="E1943" s="1" t="s">
        <v>14720</v>
      </c>
      <c r="F1943" s="6"/>
      <c r="G1943" s="1" t="s">
        <v>14726</v>
      </c>
    </row>
    <row r="1944" spans="1:7" ht="21" x14ac:dyDescent="0.25">
      <c r="A1944" s="2" t="str">
        <f>HYPERLINK("https://rth.dk/resources/bsgatlas/details.php?id=BSGatlas-TSS-1943","BSGatlas-TSS-1943")</f>
        <v>BSGatlas-TSS-1943</v>
      </c>
      <c r="B1944" s="3">
        <v>2465834</v>
      </c>
      <c r="C1944" s="1" t="s">
        <v>13</v>
      </c>
      <c r="D1944" s="1">
        <v>22</v>
      </c>
      <c r="E1944" s="1" t="s">
        <v>14727</v>
      </c>
      <c r="F1944" s="6"/>
      <c r="G1944" s="1" t="s">
        <v>14726</v>
      </c>
    </row>
    <row r="1945" spans="1:7" ht="21" x14ac:dyDescent="0.25">
      <c r="A1945" s="2" t="str">
        <f>HYPERLINK("https://rth.dk/resources/bsgatlas/details.php?id=BSGatlas-TSS-1944","BSGatlas-TSS-1944")</f>
        <v>BSGatlas-TSS-1944</v>
      </c>
      <c r="B1945" s="3">
        <v>2465932</v>
      </c>
      <c r="C1945" s="1" t="s">
        <v>9</v>
      </c>
      <c r="D1945" s="1">
        <v>22</v>
      </c>
      <c r="E1945" s="1" t="s">
        <v>14722</v>
      </c>
      <c r="F1945" s="6"/>
      <c r="G1945" s="1" t="s">
        <v>14726</v>
      </c>
    </row>
    <row r="1946" spans="1:7" ht="21" x14ac:dyDescent="0.25">
      <c r="A1946" s="2" t="str">
        <f>HYPERLINK("https://rth.dk/resources/bsgatlas/details.php?id=BSGatlas-TSS-1945","BSGatlas-TSS-1945")</f>
        <v>BSGatlas-TSS-1945</v>
      </c>
      <c r="B1946" s="3">
        <v>2466689</v>
      </c>
      <c r="C1946" s="1" t="s">
        <v>9</v>
      </c>
      <c r="D1946" s="1">
        <v>22</v>
      </c>
      <c r="E1946" s="1" t="s">
        <v>14722</v>
      </c>
      <c r="F1946" s="6"/>
      <c r="G1946" s="1" t="s">
        <v>14726</v>
      </c>
    </row>
    <row r="1947" spans="1:7" ht="21" x14ac:dyDescent="0.25">
      <c r="A1947" s="2" t="str">
        <f>HYPERLINK("https://rth.dk/resources/bsgatlas/details.php?id=BSGatlas-TSS-1946","BSGatlas-TSS-1946")</f>
        <v>BSGatlas-TSS-1946</v>
      </c>
      <c r="B1947" s="3">
        <v>2472787</v>
      </c>
      <c r="C1947" s="1" t="s">
        <v>13</v>
      </c>
      <c r="D1947" s="1">
        <v>22</v>
      </c>
      <c r="E1947" s="1" t="s">
        <v>14722</v>
      </c>
      <c r="F1947" s="6"/>
      <c r="G1947" s="1" t="s">
        <v>14726</v>
      </c>
    </row>
    <row r="1948" spans="1:7" ht="21" x14ac:dyDescent="0.25">
      <c r="A1948" s="2" t="str">
        <f>HYPERLINK("https://rth.dk/resources/bsgatlas/details.php?id=BSGatlas-TSS-1947","BSGatlas-TSS-1947")</f>
        <v>BSGatlas-TSS-1947</v>
      </c>
      <c r="B1948" s="3">
        <v>2472882</v>
      </c>
      <c r="C1948" s="1" t="s">
        <v>9</v>
      </c>
      <c r="D1948" s="1">
        <v>0</v>
      </c>
      <c r="E1948" s="1" t="s">
        <v>14722</v>
      </c>
      <c r="F1948" s="6">
        <v>21233158</v>
      </c>
      <c r="G1948" s="1" t="s">
        <v>14778</v>
      </c>
    </row>
    <row r="1949" spans="1:7" ht="21" x14ac:dyDescent="0.25">
      <c r="A1949" s="2" t="str">
        <f>HYPERLINK("https://rth.dk/resources/bsgatlas/details.php?id=BSGatlas-TSS-1948","BSGatlas-TSS-1948")</f>
        <v>BSGatlas-TSS-1948</v>
      </c>
      <c r="B1949" s="3">
        <v>2475702</v>
      </c>
      <c r="C1949" s="1" t="s">
        <v>9</v>
      </c>
      <c r="D1949" s="1">
        <v>22</v>
      </c>
      <c r="E1949" s="1" t="s">
        <v>14732</v>
      </c>
      <c r="F1949" s="6"/>
      <c r="G1949" s="1" t="s">
        <v>14726</v>
      </c>
    </row>
    <row r="1950" spans="1:7" ht="21" x14ac:dyDescent="0.25">
      <c r="A1950" s="2" t="str">
        <f>HYPERLINK("https://rth.dk/resources/bsgatlas/details.php?id=BSGatlas-TSS-1949","BSGatlas-TSS-1949")</f>
        <v>BSGatlas-TSS-1949</v>
      </c>
      <c r="B1950" s="3">
        <v>2475732</v>
      </c>
      <c r="C1950" s="1" t="s">
        <v>13</v>
      </c>
      <c r="D1950" s="1">
        <v>22</v>
      </c>
      <c r="E1950" s="1" t="s">
        <v>14722</v>
      </c>
      <c r="F1950" s="6"/>
      <c r="G1950" s="1" t="s">
        <v>14726</v>
      </c>
    </row>
    <row r="1951" spans="1:7" ht="21" x14ac:dyDescent="0.25">
      <c r="A1951" s="2" t="str">
        <f>HYPERLINK("https://rth.dk/resources/bsgatlas/details.php?id=BSGatlas-TSS-1950","BSGatlas-TSS-1950")</f>
        <v>BSGatlas-TSS-1950</v>
      </c>
      <c r="B1951" s="3">
        <v>2475801</v>
      </c>
      <c r="C1951" s="1" t="s">
        <v>9</v>
      </c>
      <c r="D1951" s="1">
        <v>22</v>
      </c>
      <c r="E1951" s="1" t="s">
        <v>14722</v>
      </c>
      <c r="F1951" s="6"/>
      <c r="G1951" s="1" t="s">
        <v>14726</v>
      </c>
    </row>
    <row r="1952" spans="1:7" ht="21" x14ac:dyDescent="0.25">
      <c r="A1952" s="2" t="str">
        <f>HYPERLINK("https://rth.dk/resources/bsgatlas/details.php?id=BSGatlas-TSS-1951","BSGatlas-TSS-1951")</f>
        <v>BSGatlas-TSS-1951</v>
      </c>
      <c r="B1952" s="3">
        <v>2476934</v>
      </c>
      <c r="C1952" s="1" t="s">
        <v>9</v>
      </c>
      <c r="D1952" s="1">
        <v>22</v>
      </c>
      <c r="E1952" s="1" t="s">
        <v>14739</v>
      </c>
      <c r="F1952" s="6"/>
      <c r="G1952" s="1" t="s">
        <v>14726</v>
      </c>
    </row>
    <row r="1953" spans="1:7" ht="21" x14ac:dyDescent="0.25">
      <c r="A1953" s="2" t="str">
        <f>HYPERLINK("https://rth.dk/resources/bsgatlas/details.php?id=BSGatlas-TSS-1952","BSGatlas-TSS-1952")</f>
        <v>BSGatlas-TSS-1952</v>
      </c>
      <c r="B1953" s="3">
        <v>2477958</v>
      </c>
      <c r="C1953" s="1" t="s">
        <v>13</v>
      </c>
      <c r="D1953" s="1">
        <v>22</v>
      </c>
      <c r="E1953" s="1" t="s">
        <v>14722</v>
      </c>
      <c r="F1953" s="6"/>
      <c r="G1953" s="1" t="s">
        <v>14726</v>
      </c>
    </row>
    <row r="1954" spans="1:7" ht="21" x14ac:dyDescent="0.25">
      <c r="A1954" s="2" t="str">
        <f>HYPERLINK("https://rth.dk/resources/bsgatlas/details.php?id=BSGatlas-TSS-1953","BSGatlas-TSS-1953")</f>
        <v>BSGatlas-TSS-1953</v>
      </c>
      <c r="B1954" s="3">
        <v>2478968</v>
      </c>
      <c r="C1954" s="1" t="s">
        <v>13</v>
      </c>
      <c r="D1954" s="1">
        <v>22</v>
      </c>
      <c r="E1954" s="1" t="s">
        <v>14722</v>
      </c>
      <c r="F1954" s="6"/>
      <c r="G1954" s="1" t="s">
        <v>14726</v>
      </c>
    </row>
    <row r="1955" spans="1:7" ht="21" x14ac:dyDescent="0.25">
      <c r="A1955" s="2" t="str">
        <f>HYPERLINK("https://rth.dk/resources/bsgatlas/details.php?id=BSGatlas-TSS-1954","BSGatlas-TSS-1954")</f>
        <v>BSGatlas-TSS-1954</v>
      </c>
      <c r="B1955" s="3">
        <v>2479090</v>
      </c>
      <c r="C1955" s="1" t="s">
        <v>9</v>
      </c>
      <c r="D1955" s="1">
        <v>22</v>
      </c>
      <c r="E1955" s="1" t="s">
        <v>14722</v>
      </c>
      <c r="F1955" s="6"/>
      <c r="G1955" s="1" t="s">
        <v>14733</v>
      </c>
    </row>
    <row r="1956" spans="1:7" ht="21" x14ac:dyDescent="0.25">
      <c r="A1956" s="2" t="str">
        <f>HYPERLINK("https://rth.dk/resources/bsgatlas/details.php?id=BSGatlas-TSS-1955","BSGatlas-TSS-1955")</f>
        <v>BSGatlas-TSS-1955</v>
      </c>
      <c r="B1956" s="3">
        <v>2482225</v>
      </c>
      <c r="C1956" s="1" t="s">
        <v>13</v>
      </c>
      <c r="D1956" s="1">
        <v>22</v>
      </c>
      <c r="E1956" s="1" t="s">
        <v>14722</v>
      </c>
      <c r="F1956" s="6"/>
      <c r="G1956" s="1" t="s">
        <v>14726</v>
      </c>
    </row>
    <row r="1957" spans="1:7" ht="21" x14ac:dyDescent="0.25">
      <c r="A1957" s="2" t="str">
        <f>HYPERLINK("https://rth.dk/resources/bsgatlas/details.php?id=BSGatlas-TSS-1956","BSGatlas-TSS-1956")</f>
        <v>BSGatlas-TSS-1956</v>
      </c>
      <c r="B1957" s="3">
        <v>2483555</v>
      </c>
      <c r="C1957" s="1" t="s">
        <v>9</v>
      </c>
      <c r="D1957" s="1">
        <v>22</v>
      </c>
      <c r="E1957" s="1" t="s">
        <v>14722</v>
      </c>
      <c r="F1957" s="6"/>
      <c r="G1957" s="1" t="s">
        <v>14726</v>
      </c>
    </row>
    <row r="1958" spans="1:7" ht="21" x14ac:dyDescent="0.25">
      <c r="A1958" s="2" t="str">
        <f>HYPERLINK("https://rth.dk/resources/bsgatlas/details.php?id=BSGatlas-TSS-1957","BSGatlas-TSS-1957")</f>
        <v>BSGatlas-TSS-1957</v>
      </c>
      <c r="B1958" s="3">
        <v>2483790</v>
      </c>
      <c r="C1958" s="1" t="s">
        <v>13</v>
      </c>
      <c r="D1958" s="1">
        <v>22</v>
      </c>
      <c r="E1958" s="1" t="s">
        <v>14722</v>
      </c>
      <c r="F1958" s="6"/>
      <c r="G1958" s="1" t="s">
        <v>14733</v>
      </c>
    </row>
    <row r="1959" spans="1:7" ht="21" x14ac:dyDescent="0.25">
      <c r="A1959" s="2" t="str">
        <f>HYPERLINK("https://rth.dk/resources/bsgatlas/details.php?id=BSGatlas-TSS-1958","BSGatlas-TSS-1958")</f>
        <v>BSGatlas-TSS-1958</v>
      </c>
      <c r="B1959" s="3">
        <v>2484878</v>
      </c>
      <c r="C1959" s="1" t="s">
        <v>9</v>
      </c>
      <c r="D1959" s="1">
        <v>22</v>
      </c>
      <c r="E1959" s="1" t="s">
        <v>14734</v>
      </c>
      <c r="F1959" s="6"/>
      <c r="G1959" s="1" t="s">
        <v>14726</v>
      </c>
    </row>
    <row r="1960" spans="1:7" ht="21" x14ac:dyDescent="0.25">
      <c r="A1960" s="2" t="str">
        <f>HYPERLINK("https://rth.dk/resources/bsgatlas/details.php?id=BSGatlas-TSS-1959","BSGatlas-TSS-1959")</f>
        <v>BSGatlas-TSS-1959</v>
      </c>
      <c r="B1960" s="3">
        <v>2487941</v>
      </c>
      <c r="C1960" s="1" t="s">
        <v>13</v>
      </c>
      <c r="D1960" s="1">
        <v>22</v>
      </c>
      <c r="E1960" s="1" t="s">
        <v>14722</v>
      </c>
      <c r="F1960" s="6"/>
      <c r="G1960" s="1" t="s">
        <v>14726</v>
      </c>
    </row>
    <row r="1961" spans="1:7" ht="21" x14ac:dyDescent="0.25">
      <c r="A1961" s="2" t="str">
        <f>HYPERLINK("https://rth.dk/resources/bsgatlas/details.php?id=BSGatlas-TSS-1960","BSGatlas-TSS-1960")</f>
        <v>BSGatlas-TSS-1960</v>
      </c>
      <c r="B1961" s="3">
        <v>2488815</v>
      </c>
      <c r="C1961" s="1" t="s">
        <v>9</v>
      </c>
      <c r="D1961" s="1">
        <v>22</v>
      </c>
      <c r="E1961" s="1" t="s">
        <v>14722</v>
      </c>
      <c r="F1961" s="6"/>
      <c r="G1961" s="1" t="s">
        <v>14726</v>
      </c>
    </row>
    <row r="1962" spans="1:7" ht="21" x14ac:dyDescent="0.25">
      <c r="A1962" s="2" t="str">
        <f>HYPERLINK("https://rth.dk/resources/bsgatlas/details.php?id=BSGatlas-TSS-1961","BSGatlas-TSS-1961")</f>
        <v>BSGatlas-TSS-1961</v>
      </c>
      <c r="B1962" s="3">
        <v>2489507</v>
      </c>
      <c r="C1962" s="1" t="s">
        <v>13</v>
      </c>
      <c r="D1962" s="1">
        <v>22</v>
      </c>
      <c r="E1962" s="1" t="s">
        <v>14732</v>
      </c>
      <c r="F1962" s="6"/>
      <c r="G1962" s="1" t="s">
        <v>14726</v>
      </c>
    </row>
    <row r="1963" spans="1:7" ht="21" x14ac:dyDescent="0.25">
      <c r="A1963" s="2" t="str">
        <f>HYPERLINK("https://rth.dk/resources/bsgatlas/details.php?id=BSGatlas-TSS-1962","BSGatlas-TSS-1962")</f>
        <v>BSGatlas-TSS-1962</v>
      </c>
      <c r="B1963" s="3">
        <v>2492861</v>
      </c>
      <c r="C1963" s="1" t="s">
        <v>13</v>
      </c>
      <c r="D1963" s="1">
        <v>22</v>
      </c>
      <c r="E1963" s="1" t="s">
        <v>14722</v>
      </c>
      <c r="F1963" s="6"/>
      <c r="G1963" s="1" t="s">
        <v>14726</v>
      </c>
    </row>
    <row r="1964" spans="1:7" ht="21" x14ac:dyDescent="0.25">
      <c r="A1964" s="2" t="str">
        <f>HYPERLINK("https://rth.dk/resources/bsgatlas/details.php?id=BSGatlas-TSS-1963","BSGatlas-TSS-1963")</f>
        <v>BSGatlas-TSS-1963</v>
      </c>
      <c r="B1964" s="3">
        <v>2493546</v>
      </c>
      <c r="C1964" s="1" t="s">
        <v>13</v>
      </c>
      <c r="D1964" s="1">
        <v>22</v>
      </c>
      <c r="E1964" s="1" t="s">
        <v>14722</v>
      </c>
      <c r="F1964" s="6"/>
      <c r="G1964" s="1" t="s">
        <v>14726</v>
      </c>
    </row>
    <row r="1965" spans="1:7" ht="21" x14ac:dyDescent="0.25">
      <c r="A1965" s="2" t="str">
        <f>HYPERLINK("https://rth.dk/resources/bsgatlas/details.php?id=BSGatlas-TSS-1964","BSGatlas-TSS-1964")</f>
        <v>BSGatlas-TSS-1964</v>
      </c>
      <c r="B1965" s="3">
        <v>2493635</v>
      </c>
      <c r="C1965" s="1" t="s">
        <v>9</v>
      </c>
      <c r="D1965" s="1">
        <v>0</v>
      </c>
      <c r="E1965" s="1" t="s">
        <v>14734</v>
      </c>
      <c r="F1965" s="6" t="s">
        <v>14803</v>
      </c>
      <c r="G1965" s="1" t="s">
        <v>14729</v>
      </c>
    </row>
    <row r="1966" spans="1:7" ht="21" x14ac:dyDescent="0.25">
      <c r="A1966" s="2" t="str">
        <f>HYPERLINK("https://rth.dk/resources/bsgatlas/details.php?id=BSGatlas-TSS-1965","BSGatlas-TSS-1965")</f>
        <v>BSGatlas-TSS-1965</v>
      </c>
      <c r="B1966" s="3">
        <v>2494628</v>
      </c>
      <c r="C1966" s="1" t="s">
        <v>9</v>
      </c>
      <c r="D1966" s="1">
        <v>0</v>
      </c>
      <c r="E1966" s="1" t="s">
        <v>14722</v>
      </c>
      <c r="F1966" s="6">
        <v>10200972</v>
      </c>
      <c r="G1966" s="1" t="s">
        <v>14730</v>
      </c>
    </row>
    <row r="1967" spans="1:7" ht="21" x14ac:dyDescent="0.25">
      <c r="A1967" s="2" t="str">
        <f>HYPERLINK("https://rth.dk/resources/bsgatlas/details.php?id=BSGatlas-TSS-1966","BSGatlas-TSS-1966")</f>
        <v>BSGatlas-TSS-1966</v>
      </c>
      <c r="B1967" s="3">
        <v>2504692</v>
      </c>
      <c r="C1967" s="1" t="s">
        <v>13</v>
      </c>
      <c r="D1967" s="1">
        <v>0</v>
      </c>
      <c r="E1967" s="1" t="s">
        <v>14825</v>
      </c>
      <c r="F1967" s="6" t="s">
        <v>14979</v>
      </c>
      <c r="G1967" s="1" t="s">
        <v>14729</v>
      </c>
    </row>
    <row r="1968" spans="1:7" ht="21" x14ac:dyDescent="0.25">
      <c r="A1968" s="2" t="str">
        <f>HYPERLINK("https://rth.dk/resources/bsgatlas/details.php?id=BSGatlas-TSS-1967","BSGatlas-TSS-1967")</f>
        <v>BSGatlas-TSS-1967</v>
      </c>
      <c r="B1968" s="3">
        <v>2506944</v>
      </c>
      <c r="C1968" s="1" t="s">
        <v>13</v>
      </c>
      <c r="D1968" s="1">
        <v>22</v>
      </c>
      <c r="E1968" s="1" t="s">
        <v>14722</v>
      </c>
      <c r="F1968" s="6"/>
      <c r="G1968" s="1" t="s">
        <v>14726</v>
      </c>
    </row>
    <row r="1969" spans="1:7" ht="21" x14ac:dyDescent="0.25">
      <c r="A1969" s="2" t="str">
        <f>HYPERLINK("https://rth.dk/resources/bsgatlas/details.php?id=BSGatlas-TSS-1968","BSGatlas-TSS-1968")</f>
        <v>BSGatlas-TSS-1968</v>
      </c>
      <c r="B1969" s="3">
        <v>2506982</v>
      </c>
      <c r="C1969" s="1" t="s">
        <v>9</v>
      </c>
      <c r="D1969" s="1">
        <v>22</v>
      </c>
      <c r="E1969" s="1" t="s">
        <v>14722</v>
      </c>
      <c r="F1969" s="6"/>
      <c r="G1969" s="1" t="s">
        <v>14726</v>
      </c>
    </row>
    <row r="1970" spans="1:7" ht="21" x14ac:dyDescent="0.25">
      <c r="A1970" s="2" t="str">
        <f>HYPERLINK("https://rth.dk/resources/bsgatlas/details.php?id=BSGatlas-TSS-1969","BSGatlas-TSS-1969")</f>
        <v>BSGatlas-TSS-1969</v>
      </c>
      <c r="B1970" s="3">
        <v>2508533</v>
      </c>
      <c r="C1970" s="1" t="s">
        <v>13</v>
      </c>
      <c r="D1970" s="1">
        <v>22</v>
      </c>
      <c r="E1970" s="1" t="s">
        <v>14722</v>
      </c>
      <c r="F1970" s="6"/>
      <c r="G1970" s="1" t="s">
        <v>14726</v>
      </c>
    </row>
    <row r="1971" spans="1:7" ht="21" x14ac:dyDescent="0.25">
      <c r="A1971" s="2" t="str">
        <f>HYPERLINK("https://rth.dk/resources/bsgatlas/details.php?id=BSGatlas-TSS-1970","BSGatlas-TSS-1970")</f>
        <v>BSGatlas-TSS-1970</v>
      </c>
      <c r="B1971" s="3">
        <v>2513732</v>
      </c>
      <c r="C1971" s="1" t="s">
        <v>13</v>
      </c>
      <c r="D1971" s="1">
        <v>22</v>
      </c>
      <c r="E1971" s="1" t="s">
        <v>14720</v>
      </c>
      <c r="F1971" s="6"/>
      <c r="G1971" s="1" t="s">
        <v>14726</v>
      </c>
    </row>
    <row r="1972" spans="1:7" ht="21" x14ac:dyDescent="0.25">
      <c r="A1972" s="2" t="str">
        <f>HYPERLINK("https://rth.dk/resources/bsgatlas/details.php?id=BSGatlas-TSS-1971","BSGatlas-TSS-1971")</f>
        <v>BSGatlas-TSS-1971</v>
      </c>
      <c r="B1972" s="3">
        <v>2513996</v>
      </c>
      <c r="C1972" s="1" t="s">
        <v>13</v>
      </c>
      <c r="D1972" s="1">
        <v>22</v>
      </c>
      <c r="E1972" s="1" t="s">
        <v>14720</v>
      </c>
      <c r="F1972" s="6"/>
      <c r="G1972" s="1" t="s">
        <v>14726</v>
      </c>
    </row>
    <row r="1973" spans="1:7" ht="21" x14ac:dyDescent="0.25">
      <c r="A1973" s="2" t="str">
        <f>HYPERLINK("https://rth.dk/resources/bsgatlas/details.php?id=BSGatlas-TSS-1972","BSGatlas-TSS-1972")</f>
        <v>BSGatlas-TSS-1972</v>
      </c>
      <c r="B1973" s="3">
        <v>2514092</v>
      </c>
      <c r="C1973" s="1" t="s">
        <v>13</v>
      </c>
      <c r="D1973" s="1">
        <v>0</v>
      </c>
      <c r="E1973" s="1" t="s">
        <v>14735</v>
      </c>
      <c r="F1973" s="6" t="s">
        <v>14980</v>
      </c>
      <c r="G1973" s="1" t="s">
        <v>14729</v>
      </c>
    </row>
    <row r="1974" spans="1:7" ht="21" x14ac:dyDescent="0.25">
      <c r="A1974" s="2" t="str">
        <f>HYPERLINK("https://rth.dk/resources/bsgatlas/details.php?id=BSGatlas-TSS-1973","BSGatlas-TSS-1973")</f>
        <v>BSGatlas-TSS-1973</v>
      </c>
      <c r="B1974" s="3">
        <v>2514934</v>
      </c>
      <c r="C1974" s="1" t="s">
        <v>13</v>
      </c>
      <c r="D1974" s="1">
        <v>22</v>
      </c>
      <c r="E1974" s="1" t="s">
        <v>14722</v>
      </c>
      <c r="F1974" s="6"/>
      <c r="G1974" s="1" t="s">
        <v>14726</v>
      </c>
    </row>
    <row r="1975" spans="1:7" ht="21" x14ac:dyDescent="0.25">
      <c r="A1975" s="2" t="str">
        <f>HYPERLINK("https://rth.dk/resources/bsgatlas/details.php?id=BSGatlas-TSS-1974","BSGatlas-TSS-1974")</f>
        <v>BSGatlas-TSS-1974</v>
      </c>
      <c r="B1975" s="3">
        <v>2515932</v>
      </c>
      <c r="C1975" s="1" t="s">
        <v>13</v>
      </c>
      <c r="D1975" s="1">
        <v>0</v>
      </c>
      <c r="E1975" s="1" t="s">
        <v>14722</v>
      </c>
      <c r="F1975" s="6">
        <v>22843846</v>
      </c>
      <c r="G1975" s="1" t="s">
        <v>14747</v>
      </c>
    </row>
    <row r="1976" spans="1:7" ht="21" x14ac:dyDescent="0.25">
      <c r="A1976" s="2" t="str">
        <f>HYPERLINK("https://rth.dk/resources/bsgatlas/details.php?id=BSGatlas-TSS-1975","BSGatlas-TSS-1975")</f>
        <v>BSGatlas-TSS-1975</v>
      </c>
      <c r="B1976" s="3">
        <v>2516201</v>
      </c>
      <c r="C1976" s="1" t="s">
        <v>9</v>
      </c>
      <c r="D1976" s="1">
        <v>22</v>
      </c>
      <c r="E1976" s="1" t="s">
        <v>14722</v>
      </c>
      <c r="F1976" s="6"/>
      <c r="G1976" s="1" t="s">
        <v>14733</v>
      </c>
    </row>
    <row r="1977" spans="1:7" ht="21" x14ac:dyDescent="0.25">
      <c r="A1977" s="2" t="str">
        <f>HYPERLINK("https://rth.dk/resources/bsgatlas/details.php?id=BSGatlas-TSS-1976","BSGatlas-TSS-1976")</f>
        <v>BSGatlas-TSS-1976</v>
      </c>
      <c r="B1977" s="3">
        <v>2516408</v>
      </c>
      <c r="C1977" s="1" t="s">
        <v>9</v>
      </c>
      <c r="D1977" s="1">
        <v>22</v>
      </c>
      <c r="E1977" s="1" t="s">
        <v>14722</v>
      </c>
      <c r="F1977" s="6"/>
      <c r="G1977" s="1" t="s">
        <v>14726</v>
      </c>
    </row>
    <row r="1978" spans="1:7" ht="21" x14ac:dyDescent="0.25">
      <c r="A1978" s="2" t="str">
        <f>HYPERLINK("https://rth.dk/resources/bsgatlas/details.php?id=BSGatlas-TSS-1977","BSGatlas-TSS-1977")</f>
        <v>BSGatlas-TSS-1977</v>
      </c>
      <c r="B1978" s="3">
        <v>2517755</v>
      </c>
      <c r="C1978" s="1" t="s">
        <v>13</v>
      </c>
      <c r="D1978" s="1">
        <v>22</v>
      </c>
      <c r="E1978" s="1" t="s">
        <v>14739</v>
      </c>
      <c r="F1978" s="6"/>
      <c r="G1978" s="1" t="s">
        <v>14726</v>
      </c>
    </row>
    <row r="1979" spans="1:7" ht="21" x14ac:dyDescent="0.25">
      <c r="A1979" s="2" t="str">
        <f>HYPERLINK("https://rth.dk/resources/bsgatlas/details.php?id=BSGatlas-TSS-1978","BSGatlas-TSS-1978")</f>
        <v>BSGatlas-TSS-1978</v>
      </c>
      <c r="B1979" s="3">
        <v>2517907</v>
      </c>
      <c r="C1979" s="1" t="s">
        <v>13</v>
      </c>
      <c r="D1979" s="1">
        <v>22</v>
      </c>
      <c r="E1979" s="1" t="s">
        <v>14725</v>
      </c>
      <c r="F1979" s="6"/>
      <c r="G1979" s="1" t="s">
        <v>14733</v>
      </c>
    </row>
    <row r="1980" spans="1:7" ht="21" x14ac:dyDescent="0.25">
      <c r="A1980" s="2" t="str">
        <f>HYPERLINK("https://rth.dk/resources/bsgatlas/details.php?id=BSGatlas-TSS-1979","BSGatlas-TSS-1979")</f>
        <v>BSGatlas-TSS-1979</v>
      </c>
      <c r="B1980" s="3">
        <v>2518871</v>
      </c>
      <c r="C1980" s="1" t="s">
        <v>13</v>
      </c>
      <c r="D1980" s="1">
        <v>0</v>
      </c>
      <c r="E1980" s="1" t="s">
        <v>14745</v>
      </c>
      <c r="F1980" s="6" t="s">
        <v>14981</v>
      </c>
      <c r="G1980" s="1" t="s">
        <v>14729</v>
      </c>
    </row>
    <row r="1981" spans="1:7" ht="21" x14ac:dyDescent="0.25">
      <c r="A1981" s="2" t="str">
        <f>HYPERLINK("https://rth.dk/resources/bsgatlas/details.php?id=BSGatlas-TSS-1980","BSGatlas-TSS-1980")</f>
        <v>BSGatlas-TSS-1980</v>
      </c>
      <c r="B1981" s="3">
        <v>2519024</v>
      </c>
      <c r="C1981" s="1" t="s">
        <v>13</v>
      </c>
      <c r="D1981" s="1">
        <v>0</v>
      </c>
      <c r="E1981" s="1" t="s">
        <v>14722</v>
      </c>
      <c r="F1981" s="6" t="s">
        <v>14982</v>
      </c>
      <c r="G1981" s="1" t="s">
        <v>14737</v>
      </c>
    </row>
    <row r="1982" spans="1:7" ht="21" x14ac:dyDescent="0.25">
      <c r="A1982" s="2" t="str">
        <f>HYPERLINK("https://rth.dk/resources/bsgatlas/details.php?id=BSGatlas-TSS-1981","BSGatlas-TSS-1981")</f>
        <v>BSGatlas-TSS-1981</v>
      </c>
      <c r="B1982" s="3">
        <v>2519030</v>
      </c>
      <c r="C1982" s="1" t="s">
        <v>13</v>
      </c>
      <c r="D1982" s="1">
        <v>0</v>
      </c>
      <c r="E1982" s="1" t="s">
        <v>14722</v>
      </c>
      <c r="F1982" s="6" t="s">
        <v>14983</v>
      </c>
      <c r="G1982" s="1" t="s">
        <v>14724</v>
      </c>
    </row>
    <row r="1983" spans="1:7" ht="21" x14ac:dyDescent="0.25">
      <c r="A1983" s="2" t="str">
        <f>HYPERLINK("https://rth.dk/resources/bsgatlas/details.php?id=BSGatlas-TSS-1982","BSGatlas-TSS-1982")</f>
        <v>BSGatlas-TSS-1982</v>
      </c>
      <c r="B1983" s="3">
        <v>2520438</v>
      </c>
      <c r="C1983" s="1" t="s">
        <v>13</v>
      </c>
      <c r="D1983" s="1">
        <v>0</v>
      </c>
      <c r="E1983" s="1" t="s">
        <v>14849</v>
      </c>
      <c r="F1983" s="6" t="s">
        <v>14984</v>
      </c>
      <c r="G1983" s="1" t="s">
        <v>14729</v>
      </c>
    </row>
    <row r="1984" spans="1:7" ht="21" x14ac:dyDescent="0.25">
      <c r="A1984" s="2" t="str">
        <f>HYPERLINK("https://rth.dk/resources/bsgatlas/details.php?id=BSGatlas-TSS-1983","BSGatlas-TSS-1983")</f>
        <v>BSGatlas-TSS-1983</v>
      </c>
      <c r="B1984" s="3">
        <v>2524851</v>
      </c>
      <c r="C1984" s="1" t="s">
        <v>9</v>
      </c>
      <c r="D1984" s="1">
        <v>22</v>
      </c>
      <c r="E1984" s="1" t="s">
        <v>14732</v>
      </c>
      <c r="F1984" s="6"/>
      <c r="G1984" s="1" t="s">
        <v>14726</v>
      </c>
    </row>
    <row r="1985" spans="1:7" ht="21" x14ac:dyDescent="0.25">
      <c r="A1985" s="2" t="str">
        <f>HYPERLINK("https://rth.dk/resources/bsgatlas/details.php?id=BSGatlas-TSS-1984","BSGatlas-TSS-1984")</f>
        <v>BSGatlas-TSS-1984</v>
      </c>
      <c r="B1985" s="3">
        <v>2525743</v>
      </c>
      <c r="C1985" s="1" t="s">
        <v>13</v>
      </c>
      <c r="D1985" s="1">
        <v>22</v>
      </c>
      <c r="E1985" s="1" t="s">
        <v>14722</v>
      </c>
      <c r="F1985" s="6"/>
      <c r="G1985" s="1" t="s">
        <v>14733</v>
      </c>
    </row>
    <row r="1986" spans="1:7" ht="21" x14ac:dyDescent="0.25">
      <c r="A1986" s="2" t="str">
        <f>HYPERLINK("https://rth.dk/resources/bsgatlas/details.php?id=BSGatlas-TSS-1985","BSGatlas-TSS-1985")</f>
        <v>BSGatlas-TSS-1985</v>
      </c>
      <c r="B1986" s="3">
        <v>2529724</v>
      </c>
      <c r="C1986" s="1" t="s">
        <v>13</v>
      </c>
      <c r="D1986" s="1">
        <v>22</v>
      </c>
      <c r="E1986" s="1" t="s">
        <v>14722</v>
      </c>
      <c r="F1986" s="6"/>
      <c r="G1986" s="1" t="s">
        <v>14726</v>
      </c>
    </row>
    <row r="1987" spans="1:7" ht="21" x14ac:dyDescent="0.25">
      <c r="A1987" s="2" t="str">
        <f>HYPERLINK("https://rth.dk/resources/bsgatlas/details.php?id=BSGatlas-TSS-1986","BSGatlas-TSS-1986")</f>
        <v>BSGatlas-TSS-1986</v>
      </c>
      <c r="B1987" s="3">
        <v>2531242</v>
      </c>
      <c r="C1987" s="1" t="s">
        <v>13</v>
      </c>
      <c r="D1987" s="1">
        <v>22</v>
      </c>
      <c r="E1987" s="1" t="s">
        <v>14734</v>
      </c>
      <c r="F1987" s="6"/>
      <c r="G1987" s="1" t="s">
        <v>14726</v>
      </c>
    </row>
    <row r="1988" spans="1:7" ht="21" x14ac:dyDescent="0.25">
      <c r="A1988" s="2" t="str">
        <f>HYPERLINK("https://rth.dk/resources/bsgatlas/details.php?id=BSGatlas-TSS-1987","BSGatlas-TSS-1987")</f>
        <v>BSGatlas-TSS-1987</v>
      </c>
      <c r="B1988" s="3">
        <v>2532267</v>
      </c>
      <c r="C1988" s="1" t="s">
        <v>13</v>
      </c>
      <c r="D1988" s="1">
        <v>22</v>
      </c>
      <c r="E1988" s="1" t="s">
        <v>14722</v>
      </c>
      <c r="F1988" s="6"/>
      <c r="G1988" s="1" t="s">
        <v>14726</v>
      </c>
    </row>
    <row r="1989" spans="1:7" ht="21" x14ac:dyDescent="0.25">
      <c r="A1989" s="2" t="str">
        <f>HYPERLINK("https://rth.dk/resources/bsgatlas/details.php?id=BSGatlas-TSS-1988","BSGatlas-TSS-1988")</f>
        <v>BSGatlas-TSS-1988</v>
      </c>
      <c r="B1989" s="3">
        <v>2534022</v>
      </c>
      <c r="C1989" s="1" t="s">
        <v>13</v>
      </c>
      <c r="D1989" s="1">
        <v>0</v>
      </c>
      <c r="E1989" s="1" t="s">
        <v>14735</v>
      </c>
      <c r="F1989" s="6"/>
      <c r="G1989" s="1" t="s">
        <v>14730</v>
      </c>
    </row>
    <row r="1990" spans="1:7" ht="21" x14ac:dyDescent="0.25">
      <c r="A1990" s="2" t="str">
        <f>HYPERLINK("https://rth.dk/resources/bsgatlas/details.php?id=BSGatlas-TSS-1989","BSGatlas-TSS-1989")</f>
        <v>BSGatlas-TSS-1989</v>
      </c>
      <c r="B1990" s="3">
        <v>2537642</v>
      </c>
      <c r="C1990" s="1" t="s">
        <v>13</v>
      </c>
      <c r="D1990" s="1">
        <v>0</v>
      </c>
      <c r="E1990" s="1" t="s">
        <v>14735</v>
      </c>
      <c r="F1990" s="6">
        <v>1766372</v>
      </c>
      <c r="G1990" s="1" t="s">
        <v>4684</v>
      </c>
    </row>
    <row r="1991" spans="1:7" ht="21" x14ac:dyDescent="0.25">
      <c r="A1991" s="2" t="str">
        <f>HYPERLINK("https://rth.dk/resources/bsgatlas/details.php?id=BSGatlas-TSS-1990","BSGatlas-TSS-1990")</f>
        <v>BSGatlas-TSS-1990</v>
      </c>
      <c r="B1991" s="3">
        <v>2538013</v>
      </c>
      <c r="C1991" s="1" t="s">
        <v>13</v>
      </c>
      <c r="D1991" s="1">
        <v>22</v>
      </c>
      <c r="E1991" s="1" t="s">
        <v>14727</v>
      </c>
      <c r="F1991" s="6"/>
      <c r="G1991" s="1" t="s">
        <v>14726</v>
      </c>
    </row>
    <row r="1992" spans="1:7" ht="21" x14ac:dyDescent="0.25">
      <c r="A1992" s="2" t="str">
        <f>HYPERLINK("https://rth.dk/resources/bsgatlas/details.php?id=BSGatlas-TSS-1991","BSGatlas-TSS-1991")</f>
        <v>BSGatlas-TSS-1991</v>
      </c>
      <c r="B1992" s="3">
        <v>2540266</v>
      </c>
      <c r="C1992" s="1" t="s">
        <v>13</v>
      </c>
      <c r="D1992" s="1">
        <v>22</v>
      </c>
      <c r="E1992" s="1" t="s">
        <v>14722</v>
      </c>
      <c r="F1992" s="6"/>
      <c r="G1992" s="1" t="s">
        <v>14726</v>
      </c>
    </row>
    <row r="1993" spans="1:7" ht="21" x14ac:dyDescent="0.25">
      <c r="A1993" s="2" t="str">
        <f>HYPERLINK("https://rth.dk/resources/bsgatlas/details.php?id=BSGatlas-TSS-1992","BSGatlas-TSS-1992")</f>
        <v>BSGatlas-TSS-1992</v>
      </c>
      <c r="B1993" s="3">
        <v>2540846</v>
      </c>
      <c r="C1993" s="1" t="s">
        <v>13</v>
      </c>
      <c r="D1993" s="1">
        <v>22</v>
      </c>
      <c r="E1993" s="1" t="s">
        <v>14732</v>
      </c>
      <c r="F1993" s="6"/>
      <c r="G1993" s="1" t="s">
        <v>14726</v>
      </c>
    </row>
    <row r="1994" spans="1:7" ht="21" x14ac:dyDescent="0.25">
      <c r="A1994" s="2" t="str">
        <f>HYPERLINK("https://rth.dk/resources/bsgatlas/details.php?id=BSGatlas-TSS-1993","BSGatlas-TSS-1993")</f>
        <v>BSGatlas-TSS-1993</v>
      </c>
      <c r="B1994" s="3">
        <v>2540913</v>
      </c>
      <c r="C1994" s="1" t="s">
        <v>9</v>
      </c>
      <c r="D1994" s="1">
        <v>22</v>
      </c>
      <c r="E1994" s="1" t="s">
        <v>14734</v>
      </c>
      <c r="F1994" s="6"/>
      <c r="G1994" s="1" t="s">
        <v>14726</v>
      </c>
    </row>
    <row r="1995" spans="1:7" ht="21" x14ac:dyDescent="0.25">
      <c r="A1995" s="2" t="str">
        <f>HYPERLINK("https://rth.dk/resources/bsgatlas/details.php?id=BSGatlas-TSS-1994","BSGatlas-TSS-1994")</f>
        <v>BSGatlas-TSS-1994</v>
      </c>
      <c r="B1995" s="3">
        <v>2540999</v>
      </c>
      <c r="C1995" s="1" t="s">
        <v>9</v>
      </c>
      <c r="D1995" s="1">
        <v>22</v>
      </c>
      <c r="E1995" s="1" t="s">
        <v>14722</v>
      </c>
      <c r="F1995" s="6"/>
      <c r="G1995" s="1" t="s">
        <v>14726</v>
      </c>
    </row>
    <row r="1996" spans="1:7" ht="21" x14ac:dyDescent="0.25">
      <c r="A1996" s="2" t="str">
        <f>HYPERLINK("https://rth.dk/resources/bsgatlas/details.php?id=BSGatlas-TSS-1995","BSGatlas-TSS-1995")</f>
        <v>BSGatlas-TSS-1995</v>
      </c>
      <c r="B1996" s="3">
        <v>2542385</v>
      </c>
      <c r="C1996" s="1" t="s">
        <v>9</v>
      </c>
      <c r="D1996" s="1">
        <v>22</v>
      </c>
      <c r="E1996" s="1" t="s">
        <v>14720</v>
      </c>
      <c r="F1996" s="6"/>
      <c r="G1996" s="1" t="s">
        <v>14726</v>
      </c>
    </row>
    <row r="1997" spans="1:7" ht="21" x14ac:dyDescent="0.25">
      <c r="A1997" s="2" t="str">
        <f>HYPERLINK("https://rth.dk/resources/bsgatlas/details.php?id=BSGatlas-TSS-1996","BSGatlas-TSS-1996")</f>
        <v>BSGatlas-TSS-1996</v>
      </c>
      <c r="B1997" s="3">
        <v>2543358</v>
      </c>
      <c r="C1997" s="1" t="s">
        <v>13</v>
      </c>
      <c r="D1997" s="1">
        <v>22</v>
      </c>
      <c r="E1997" s="1" t="s">
        <v>14727</v>
      </c>
      <c r="F1997" s="6"/>
      <c r="G1997" s="1" t="s">
        <v>14726</v>
      </c>
    </row>
    <row r="1998" spans="1:7" ht="21" x14ac:dyDescent="0.25">
      <c r="A1998" s="2" t="str">
        <f>HYPERLINK("https://rth.dk/resources/bsgatlas/details.php?id=BSGatlas-TSS-1997","BSGatlas-TSS-1997")</f>
        <v>BSGatlas-TSS-1997</v>
      </c>
      <c r="B1998" s="3">
        <v>2543911</v>
      </c>
      <c r="C1998" s="1" t="s">
        <v>13</v>
      </c>
      <c r="D1998" s="1">
        <v>22</v>
      </c>
      <c r="E1998" s="1" t="s">
        <v>14722</v>
      </c>
      <c r="F1998" s="6"/>
      <c r="G1998" s="1" t="s">
        <v>14726</v>
      </c>
    </row>
    <row r="1999" spans="1:7" ht="21" x14ac:dyDescent="0.25">
      <c r="A1999" s="2" t="str">
        <f>HYPERLINK("https://rth.dk/resources/bsgatlas/details.php?id=BSGatlas-TSS-1998","BSGatlas-TSS-1998")</f>
        <v>BSGatlas-TSS-1998</v>
      </c>
      <c r="B1999" s="3">
        <v>2544839</v>
      </c>
      <c r="C1999" s="1" t="s">
        <v>13</v>
      </c>
      <c r="D1999" s="1">
        <v>22</v>
      </c>
      <c r="E1999" s="1" t="s">
        <v>14722</v>
      </c>
      <c r="F1999" s="6"/>
      <c r="G1999" s="1" t="s">
        <v>14726</v>
      </c>
    </row>
    <row r="2000" spans="1:7" ht="21" x14ac:dyDescent="0.25">
      <c r="A2000" s="2" t="str">
        <f>HYPERLINK("https://rth.dk/resources/bsgatlas/details.php?id=BSGatlas-TSS-1999","BSGatlas-TSS-1999")</f>
        <v>BSGatlas-TSS-1999</v>
      </c>
      <c r="B2000" s="3">
        <v>2544904</v>
      </c>
      <c r="C2000" s="1" t="s">
        <v>9</v>
      </c>
      <c r="D2000" s="1">
        <v>22</v>
      </c>
      <c r="E2000" s="1" t="s">
        <v>14722</v>
      </c>
      <c r="F2000" s="6"/>
      <c r="G2000" s="1" t="s">
        <v>14733</v>
      </c>
    </row>
    <row r="2001" spans="1:7" ht="21" x14ac:dyDescent="0.25">
      <c r="A2001" s="2" t="str">
        <f>HYPERLINK("https://rth.dk/resources/bsgatlas/details.php?id=BSGatlas-TSS-2000","BSGatlas-TSS-2000")</f>
        <v>BSGatlas-TSS-2000</v>
      </c>
      <c r="B2001" s="3">
        <v>2549635</v>
      </c>
      <c r="C2001" s="1" t="s">
        <v>9</v>
      </c>
      <c r="D2001" s="1">
        <v>22</v>
      </c>
      <c r="E2001" s="1" t="s">
        <v>14727</v>
      </c>
      <c r="F2001" s="6"/>
      <c r="G2001" s="1" t="s">
        <v>14733</v>
      </c>
    </row>
    <row r="2002" spans="1:7" ht="21" x14ac:dyDescent="0.25">
      <c r="A2002" s="2" t="str">
        <f>HYPERLINK("https://rth.dk/resources/bsgatlas/details.php?id=BSGatlas-TSS-2001","BSGatlas-TSS-2001")</f>
        <v>BSGatlas-TSS-2001</v>
      </c>
      <c r="B2002" s="3">
        <v>2549677</v>
      </c>
      <c r="C2002" s="1" t="s">
        <v>13</v>
      </c>
      <c r="D2002" s="1">
        <v>22</v>
      </c>
      <c r="E2002" s="1" t="s">
        <v>14722</v>
      </c>
      <c r="F2002" s="6"/>
      <c r="G2002" s="1" t="s">
        <v>14733</v>
      </c>
    </row>
    <row r="2003" spans="1:7" ht="21" x14ac:dyDescent="0.25">
      <c r="A2003" s="2" t="str">
        <f>HYPERLINK("https://rth.dk/resources/bsgatlas/details.php?id=BSGatlas-TSS-2002","BSGatlas-TSS-2002")</f>
        <v>BSGatlas-TSS-2002</v>
      </c>
      <c r="B2003" s="3">
        <v>2551805</v>
      </c>
      <c r="C2003" s="1" t="s">
        <v>9</v>
      </c>
      <c r="D2003" s="1">
        <v>22</v>
      </c>
      <c r="E2003" s="1" t="s">
        <v>14722</v>
      </c>
      <c r="F2003" s="6"/>
      <c r="G2003" s="1" t="s">
        <v>14726</v>
      </c>
    </row>
    <row r="2004" spans="1:7" ht="21" x14ac:dyDescent="0.25">
      <c r="A2004" s="2" t="str">
        <f>HYPERLINK("https://rth.dk/resources/bsgatlas/details.php?id=BSGatlas-TSS-2003","BSGatlas-TSS-2003")</f>
        <v>BSGatlas-TSS-2003</v>
      </c>
      <c r="B2004" s="3">
        <v>2552324</v>
      </c>
      <c r="C2004" s="1" t="s">
        <v>9</v>
      </c>
      <c r="D2004" s="1">
        <v>0</v>
      </c>
      <c r="E2004" s="1" t="s">
        <v>14722</v>
      </c>
      <c r="F2004" s="6" t="s">
        <v>14985</v>
      </c>
      <c r="G2004" s="1" t="s">
        <v>14724</v>
      </c>
    </row>
    <row r="2005" spans="1:7" ht="21" x14ac:dyDescent="0.25">
      <c r="A2005" s="2" t="str">
        <f>HYPERLINK("https://rth.dk/resources/bsgatlas/details.php?id=BSGatlas-TSS-2004","BSGatlas-TSS-2004")</f>
        <v>BSGatlas-TSS-2004</v>
      </c>
      <c r="B2005" s="3">
        <v>2552393</v>
      </c>
      <c r="C2005" s="1" t="s">
        <v>9</v>
      </c>
      <c r="D2005" s="1">
        <v>0</v>
      </c>
      <c r="E2005" s="1" t="s">
        <v>14722</v>
      </c>
      <c r="F2005" s="6" t="s">
        <v>14986</v>
      </c>
      <c r="G2005" s="1" t="s">
        <v>4382</v>
      </c>
    </row>
    <row r="2006" spans="1:7" ht="21" x14ac:dyDescent="0.25">
      <c r="A2006" s="2" t="str">
        <f>HYPERLINK("https://rth.dk/resources/bsgatlas/details.php?id=BSGatlas-TSS-2005","BSGatlas-TSS-2005")</f>
        <v>BSGatlas-TSS-2005</v>
      </c>
      <c r="B2006" s="3">
        <v>2552638</v>
      </c>
      <c r="C2006" s="1" t="s">
        <v>9</v>
      </c>
      <c r="D2006" s="1">
        <v>0</v>
      </c>
      <c r="E2006" s="1" t="s">
        <v>14722</v>
      </c>
      <c r="F2006" s="6" t="s">
        <v>14987</v>
      </c>
      <c r="G2006" s="1" t="s">
        <v>14730</v>
      </c>
    </row>
    <row r="2007" spans="1:7" ht="21" x14ac:dyDescent="0.25">
      <c r="A2007" s="2" t="str">
        <f>HYPERLINK("https://rth.dk/resources/bsgatlas/details.php?id=BSGatlas-TSS-2006","BSGatlas-TSS-2006")</f>
        <v>BSGatlas-TSS-2006</v>
      </c>
      <c r="B2007" s="3">
        <v>2553923</v>
      </c>
      <c r="C2007" s="1" t="s">
        <v>13</v>
      </c>
      <c r="D2007" s="1">
        <v>22</v>
      </c>
      <c r="E2007" s="1" t="s">
        <v>14720</v>
      </c>
      <c r="F2007" s="6"/>
      <c r="G2007" s="1" t="s">
        <v>14726</v>
      </c>
    </row>
    <row r="2008" spans="1:7" ht="21" x14ac:dyDescent="0.25">
      <c r="A2008" s="2" t="str">
        <f>HYPERLINK("https://rth.dk/resources/bsgatlas/details.php?id=BSGatlas-TSS-2007","BSGatlas-TSS-2007")</f>
        <v>BSGatlas-TSS-2007</v>
      </c>
      <c r="B2008" s="3">
        <v>2555307</v>
      </c>
      <c r="C2008" s="1" t="s">
        <v>13</v>
      </c>
      <c r="D2008" s="1">
        <v>0</v>
      </c>
      <c r="E2008" s="1" t="s">
        <v>14722</v>
      </c>
      <c r="F2008" s="6" t="s">
        <v>14988</v>
      </c>
      <c r="G2008" s="1" t="s">
        <v>14729</v>
      </c>
    </row>
    <row r="2009" spans="1:7" ht="21" x14ac:dyDescent="0.25">
      <c r="A2009" s="2" t="str">
        <f>HYPERLINK("https://rth.dk/resources/bsgatlas/details.php?id=BSGatlas-TSS-2008","BSGatlas-TSS-2008")</f>
        <v>BSGatlas-TSS-2008</v>
      </c>
      <c r="B2009" s="3">
        <v>2555476</v>
      </c>
      <c r="C2009" s="1" t="s">
        <v>9</v>
      </c>
      <c r="D2009" s="1">
        <v>22</v>
      </c>
      <c r="E2009" s="1" t="s">
        <v>14732</v>
      </c>
      <c r="F2009" s="6"/>
      <c r="G2009" s="1" t="s">
        <v>14726</v>
      </c>
    </row>
    <row r="2010" spans="1:7" ht="21" x14ac:dyDescent="0.25">
      <c r="A2010" s="2" t="str">
        <f>HYPERLINK("https://rth.dk/resources/bsgatlas/details.php?id=BSGatlas-TSS-2009","BSGatlas-TSS-2009")</f>
        <v>BSGatlas-TSS-2009</v>
      </c>
      <c r="B2010" s="3">
        <v>2555502</v>
      </c>
      <c r="C2010" s="1" t="s">
        <v>9</v>
      </c>
      <c r="D2010" s="1">
        <v>0</v>
      </c>
      <c r="E2010" s="1" t="s">
        <v>14867</v>
      </c>
      <c r="F2010" s="6">
        <v>16497325</v>
      </c>
      <c r="G2010" s="1" t="s">
        <v>4684</v>
      </c>
    </row>
    <row r="2011" spans="1:7" ht="21" x14ac:dyDescent="0.25">
      <c r="A2011" s="2" t="str">
        <f>HYPERLINK("https://rth.dk/resources/bsgatlas/details.php?id=BSGatlas-TSS-2010","BSGatlas-TSS-2010")</f>
        <v>BSGatlas-TSS-2010</v>
      </c>
      <c r="B2011" s="3">
        <v>2556100</v>
      </c>
      <c r="C2011" s="1" t="s">
        <v>13</v>
      </c>
      <c r="D2011" s="1">
        <v>22</v>
      </c>
      <c r="E2011" s="1" t="s">
        <v>14727</v>
      </c>
      <c r="F2011" s="6"/>
      <c r="G2011" s="1" t="s">
        <v>14726</v>
      </c>
    </row>
    <row r="2012" spans="1:7" ht="21" x14ac:dyDescent="0.25">
      <c r="A2012" s="2" t="str">
        <f>HYPERLINK("https://rth.dk/resources/bsgatlas/details.php?id=BSGatlas-TSS-2011","BSGatlas-TSS-2011")</f>
        <v>BSGatlas-TSS-2011</v>
      </c>
      <c r="B2012" s="3">
        <v>2560096</v>
      </c>
      <c r="C2012" s="1" t="s">
        <v>13</v>
      </c>
      <c r="D2012" s="1">
        <v>0</v>
      </c>
      <c r="E2012" s="1" t="s">
        <v>14722</v>
      </c>
      <c r="F2012" s="6" t="s">
        <v>14989</v>
      </c>
      <c r="G2012" s="1" t="s">
        <v>14729</v>
      </c>
    </row>
    <row r="2013" spans="1:7" ht="21" x14ac:dyDescent="0.25">
      <c r="A2013" s="2" t="str">
        <f>HYPERLINK("https://rth.dk/resources/bsgatlas/details.php?id=BSGatlas-TSS-2012","BSGatlas-TSS-2012")</f>
        <v>BSGatlas-TSS-2012</v>
      </c>
      <c r="B2013" s="3">
        <v>2561487</v>
      </c>
      <c r="C2013" s="1" t="s">
        <v>13</v>
      </c>
      <c r="D2013" s="1">
        <v>22</v>
      </c>
      <c r="E2013" s="1" t="s">
        <v>14734</v>
      </c>
      <c r="F2013" s="6"/>
      <c r="G2013" s="1" t="s">
        <v>14726</v>
      </c>
    </row>
    <row r="2014" spans="1:7" ht="21" x14ac:dyDescent="0.25">
      <c r="A2014" s="2" t="str">
        <f>HYPERLINK("https://rth.dk/resources/bsgatlas/details.php?id=BSGatlas-TSS-2013","BSGatlas-TSS-2013")</f>
        <v>BSGatlas-TSS-2013</v>
      </c>
      <c r="B2014" s="3">
        <v>2561564</v>
      </c>
      <c r="C2014" s="1" t="s">
        <v>9</v>
      </c>
      <c r="D2014" s="1">
        <v>22</v>
      </c>
      <c r="E2014" s="1" t="s">
        <v>14734</v>
      </c>
      <c r="F2014" s="6"/>
      <c r="G2014" s="1" t="s">
        <v>14726</v>
      </c>
    </row>
    <row r="2015" spans="1:7" ht="21" x14ac:dyDescent="0.25">
      <c r="A2015" s="2" t="str">
        <f>HYPERLINK("https://rth.dk/resources/bsgatlas/details.php?id=BSGatlas-TSS-2014","BSGatlas-TSS-2014")</f>
        <v>BSGatlas-TSS-2014</v>
      </c>
      <c r="B2015" s="3">
        <v>2564435</v>
      </c>
      <c r="C2015" s="1" t="s">
        <v>13</v>
      </c>
      <c r="D2015" s="1">
        <v>0</v>
      </c>
      <c r="E2015" s="1" t="s">
        <v>14734</v>
      </c>
      <c r="F2015" s="6" t="s">
        <v>14812</v>
      </c>
      <c r="G2015" s="1" t="s">
        <v>14729</v>
      </c>
    </row>
    <row r="2016" spans="1:7" ht="21" x14ac:dyDescent="0.25">
      <c r="A2016" s="2" t="str">
        <f>HYPERLINK("https://rth.dk/resources/bsgatlas/details.php?id=BSGatlas-TSS-2015","BSGatlas-TSS-2015")</f>
        <v>BSGatlas-TSS-2015</v>
      </c>
      <c r="B2016" s="3">
        <v>2564523</v>
      </c>
      <c r="C2016" s="1" t="s">
        <v>9</v>
      </c>
      <c r="D2016" s="1">
        <v>22</v>
      </c>
      <c r="E2016" s="1" t="s">
        <v>14727</v>
      </c>
      <c r="F2016" s="6"/>
      <c r="G2016" s="1" t="s">
        <v>14726</v>
      </c>
    </row>
    <row r="2017" spans="1:7" ht="21" x14ac:dyDescent="0.25">
      <c r="A2017" s="2" t="str">
        <f>HYPERLINK("https://rth.dk/resources/bsgatlas/details.php?id=BSGatlas-TSS-2016","BSGatlas-TSS-2016")</f>
        <v>BSGatlas-TSS-2016</v>
      </c>
      <c r="B2017" s="3">
        <v>2564595</v>
      </c>
      <c r="C2017" s="1" t="s">
        <v>9</v>
      </c>
      <c r="D2017" s="1">
        <v>22</v>
      </c>
      <c r="E2017" s="1" t="s">
        <v>14722</v>
      </c>
      <c r="F2017" s="6"/>
      <c r="G2017" s="1" t="s">
        <v>14726</v>
      </c>
    </row>
    <row r="2018" spans="1:7" ht="21" x14ac:dyDescent="0.25">
      <c r="A2018" s="2" t="str">
        <f>HYPERLINK("https://rth.dk/resources/bsgatlas/details.php?id=BSGatlas-TSS-2017","BSGatlas-TSS-2017")</f>
        <v>BSGatlas-TSS-2017</v>
      </c>
      <c r="B2018" s="3">
        <v>2565597</v>
      </c>
      <c r="C2018" s="1" t="s">
        <v>13</v>
      </c>
      <c r="D2018" s="1">
        <v>22</v>
      </c>
      <c r="E2018" s="1" t="s">
        <v>14722</v>
      </c>
      <c r="F2018" s="6"/>
      <c r="G2018" s="1" t="s">
        <v>14726</v>
      </c>
    </row>
    <row r="2019" spans="1:7" ht="21" x14ac:dyDescent="0.25">
      <c r="A2019" s="2" t="str">
        <f>HYPERLINK("https://rth.dk/resources/bsgatlas/details.php?id=BSGatlas-TSS-2018","BSGatlas-TSS-2018")</f>
        <v>BSGatlas-TSS-2018</v>
      </c>
      <c r="B2019" s="3">
        <v>2565671</v>
      </c>
      <c r="C2019" s="1" t="s">
        <v>9</v>
      </c>
      <c r="D2019" s="1">
        <v>22</v>
      </c>
      <c r="E2019" s="1" t="s">
        <v>14722</v>
      </c>
      <c r="F2019" s="6"/>
      <c r="G2019" s="1" t="s">
        <v>14726</v>
      </c>
    </row>
    <row r="2020" spans="1:7" ht="21" x14ac:dyDescent="0.25">
      <c r="A2020" s="2" t="str">
        <f>HYPERLINK("https://rth.dk/resources/bsgatlas/details.php?id=BSGatlas-TSS-2019","BSGatlas-TSS-2019")</f>
        <v>BSGatlas-TSS-2019</v>
      </c>
      <c r="B2020" s="3">
        <v>2565691</v>
      </c>
      <c r="C2020" s="1" t="s">
        <v>13</v>
      </c>
      <c r="D2020" s="1">
        <v>22</v>
      </c>
      <c r="E2020" s="1" t="s">
        <v>14720</v>
      </c>
      <c r="F2020" s="6"/>
      <c r="G2020" s="1" t="s">
        <v>14726</v>
      </c>
    </row>
    <row r="2021" spans="1:7" ht="21" x14ac:dyDescent="0.25">
      <c r="A2021" s="2" t="str">
        <f>HYPERLINK("https://rth.dk/resources/bsgatlas/details.php?id=BSGatlas-TSS-2020","BSGatlas-TSS-2020")</f>
        <v>BSGatlas-TSS-2020</v>
      </c>
      <c r="B2021" s="3">
        <v>2568530</v>
      </c>
      <c r="C2021" s="1" t="s">
        <v>13</v>
      </c>
      <c r="D2021" s="1">
        <v>22</v>
      </c>
      <c r="E2021" s="1" t="s">
        <v>14727</v>
      </c>
      <c r="F2021" s="6"/>
      <c r="G2021" s="1" t="s">
        <v>14726</v>
      </c>
    </row>
    <row r="2022" spans="1:7" ht="21" x14ac:dyDescent="0.25">
      <c r="A2022" s="2" t="str">
        <f>HYPERLINK("https://rth.dk/resources/bsgatlas/details.php?id=BSGatlas-TSS-2021","BSGatlas-TSS-2021")</f>
        <v>BSGatlas-TSS-2021</v>
      </c>
      <c r="B2022" s="3">
        <v>2569624</v>
      </c>
      <c r="C2022" s="1" t="s">
        <v>9</v>
      </c>
      <c r="D2022" s="1">
        <v>22</v>
      </c>
      <c r="E2022" s="1" t="s">
        <v>14734</v>
      </c>
      <c r="F2022" s="6"/>
      <c r="G2022" s="1" t="s">
        <v>14726</v>
      </c>
    </row>
    <row r="2023" spans="1:7" ht="21" x14ac:dyDescent="0.25">
      <c r="A2023" s="2" t="str">
        <f>HYPERLINK("https://rth.dk/resources/bsgatlas/details.php?id=BSGatlas-TSS-2022","BSGatlas-TSS-2022")</f>
        <v>BSGatlas-TSS-2022</v>
      </c>
      <c r="B2023" s="3">
        <v>2570556</v>
      </c>
      <c r="C2023" s="1" t="s">
        <v>13</v>
      </c>
      <c r="D2023" s="1">
        <v>22</v>
      </c>
      <c r="E2023" s="1" t="s">
        <v>14722</v>
      </c>
      <c r="F2023" s="6"/>
      <c r="G2023" s="1" t="s">
        <v>14733</v>
      </c>
    </row>
    <row r="2024" spans="1:7" ht="21" x14ac:dyDescent="0.25">
      <c r="A2024" s="2" t="str">
        <f>HYPERLINK("https://rth.dk/resources/bsgatlas/details.php?id=BSGatlas-TSS-2023","BSGatlas-TSS-2023")</f>
        <v>BSGatlas-TSS-2023</v>
      </c>
      <c r="B2024" s="3">
        <v>2573461</v>
      </c>
      <c r="C2024" s="1" t="s">
        <v>13</v>
      </c>
      <c r="D2024" s="1">
        <v>22</v>
      </c>
      <c r="E2024" s="1" t="s">
        <v>14722</v>
      </c>
      <c r="F2024" s="6"/>
      <c r="G2024" s="1" t="s">
        <v>14726</v>
      </c>
    </row>
    <row r="2025" spans="1:7" ht="21" x14ac:dyDescent="0.25">
      <c r="A2025" s="2" t="str">
        <f>HYPERLINK("https://rth.dk/resources/bsgatlas/details.php?id=BSGatlas-TSS-2024","BSGatlas-TSS-2024")</f>
        <v>BSGatlas-TSS-2024</v>
      </c>
      <c r="B2025" s="3">
        <v>2573721</v>
      </c>
      <c r="C2025" s="1" t="s">
        <v>13</v>
      </c>
      <c r="D2025" s="1">
        <v>22</v>
      </c>
      <c r="E2025" s="1" t="s">
        <v>14732</v>
      </c>
      <c r="F2025" s="6"/>
      <c r="G2025" s="1" t="s">
        <v>14726</v>
      </c>
    </row>
    <row r="2026" spans="1:7" ht="21" x14ac:dyDescent="0.25">
      <c r="A2026" s="2" t="str">
        <f>HYPERLINK("https://rth.dk/resources/bsgatlas/details.php?id=BSGatlas-TSS-2025","BSGatlas-TSS-2025")</f>
        <v>BSGatlas-TSS-2025</v>
      </c>
      <c r="B2026" s="3">
        <v>2574604</v>
      </c>
      <c r="C2026" s="1" t="s">
        <v>13</v>
      </c>
      <c r="D2026" s="1">
        <v>22</v>
      </c>
      <c r="E2026" s="1" t="s">
        <v>14722</v>
      </c>
      <c r="F2026" s="6"/>
      <c r="G2026" s="1" t="s">
        <v>14726</v>
      </c>
    </row>
    <row r="2027" spans="1:7" ht="21" x14ac:dyDescent="0.25">
      <c r="A2027" s="2" t="str">
        <f>HYPERLINK("https://rth.dk/resources/bsgatlas/details.php?id=BSGatlas-TSS-2026","BSGatlas-TSS-2026")</f>
        <v>BSGatlas-TSS-2026</v>
      </c>
      <c r="B2027" s="3">
        <v>2576156</v>
      </c>
      <c r="C2027" s="1" t="s">
        <v>9</v>
      </c>
      <c r="D2027" s="1">
        <v>22</v>
      </c>
      <c r="E2027" s="1" t="s">
        <v>14758</v>
      </c>
      <c r="F2027" s="6"/>
      <c r="G2027" s="1" t="s">
        <v>14733</v>
      </c>
    </row>
    <row r="2028" spans="1:7" ht="21" x14ac:dyDescent="0.25">
      <c r="A2028" s="2" t="str">
        <f>HYPERLINK("https://rth.dk/resources/bsgatlas/details.php?id=BSGatlas-TSS-2027","BSGatlas-TSS-2027")</f>
        <v>BSGatlas-TSS-2027</v>
      </c>
      <c r="B2028" s="3">
        <v>2576235</v>
      </c>
      <c r="C2028" s="1" t="s">
        <v>13</v>
      </c>
      <c r="D2028" s="1">
        <v>22</v>
      </c>
      <c r="E2028" s="1" t="s">
        <v>14722</v>
      </c>
      <c r="F2028" s="6"/>
      <c r="G2028" s="1" t="s">
        <v>14726</v>
      </c>
    </row>
    <row r="2029" spans="1:7" ht="21" x14ac:dyDescent="0.25">
      <c r="A2029" s="2" t="str">
        <f>HYPERLINK("https://rth.dk/resources/bsgatlas/details.php?id=BSGatlas-TSS-2028","BSGatlas-TSS-2028")</f>
        <v>BSGatlas-TSS-2028</v>
      </c>
      <c r="B2029" s="3">
        <v>2576330</v>
      </c>
      <c r="C2029" s="1" t="s">
        <v>9</v>
      </c>
      <c r="D2029" s="1">
        <v>22</v>
      </c>
      <c r="E2029" s="1" t="s">
        <v>14722</v>
      </c>
      <c r="F2029" s="6"/>
      <c r="G2029" s="1" t="s">
        <v>14726</v>
      </c>
    </row>
    <row r="2030" spans="1:7" ht="21" x14ac:dyDescent="0.25">
      <c r="A2030" s="2" t="str">
        <f>HYPERLINK("https://rth.dk/resources/bsgatlas/details.php?id=BSGatlas-TSS-2029","BSGatlas-TSS-2029")</f>
        <v>BSGatlas-TSS-2029</v>
      </c>
      <c r="B2030" s="3">
        <v>2581658</v>
      </c>
      <c r="C2030" s="1" t="s">
        <v>13</v>
      </c>
      <c r="D2030" s="1">
        <v>0</v>
      </c>
      <c r="E2030" s="1" t="s">
        <v>14722</v>
      </c>
      <c r="F2030" s="6" t="s">
        <v>14990</v>
      </c>
      <c r="G2030" s="1" t="s">
        <v>14729</v>
      </c>
    </row>
    <row r="2031" spans="1:7" ht="21" x14ac:dyDescent="0.25">
      <c r="A2031" s="2" t="str">
        <f>HYPERLINK("https://rth.dk/resources/bsgatlas/details.php?id=BSGatlas-TSS-2030","BSGatlas-TSS-2030")</f>
        <v>BSGatlas-TSS-2030</v>
      </c>
      <c r="B2031" s="3">
        <v>2582523</v>
      </c>
      <c r="C2031" s="1" t="s">
        <v>13</v>
      </c>
      <c r="D2031" s="1">
        <v>22</v>
      </c>
      <c r="E2031" s="1" t="s">
        <v>14734</v>
      </c>
      <c r="F2031" s="6"/>
      <c r="G2031" s="1" t="s">
        <v>14726</v>
      </c>
    </row>
    <row r="2032" spans="1:7" ht="21" x14ac:dyDescent="0.25">
      <c r="A2032" s="2" t="str">
        <f>HYPERLINK("https://rth.dk/resources/bsgatlas/details.php?id=BSGatlas-TSS-2031","BSGatlas-TSS-2031")</f>
        <v>BSGatlas-TSS-2031</v>
      </c>
      <c r="B2032" s="3">
        <v>2583227</v>
      </c>
      <c r="C2032" s="1" t="s">
        <v>13</v>
      </c>
      <c r="D2032" s="1">
        <v>22</v>
      </c>
      <c r="E2032" s="1" t="s">
        <v>14725</v>
      </c>
      <c r="F2032" s="6"/>
      <c r="G2032" s="1" t="s">
        <v>14726</v>
      </c>
    </row>
    <row r="2033" spans="1:7" ht="21" x14ac:dyDescent="0.25">
      <c r="A2033" s="2" t="str">
        <f>HYPERLINK("https://rth.dk/resources/bsgatlas/details.php?id=BSGatlas-TSS-2032","BSGatlas-TSS-2032")</f>
        <v>BSGatlas-TSS-2032</v>
      </c>
      <c r="B2033" s="3">
        <v>2583976</v>
      </c>
      <c r="C2033" s="1" t="s">
        <v>13</v>
      </c>
      <c r="D2033" s="1">
        <v>22</v>
      </c>
      <c r="E2033" s="1" t="s">
        <v>14722</v>
      </c>
      <c r="F2033" s="6"/>
      <c r="G2033" s="1" t="s">
        <v>14726</v>
      </c>
    </row>
    <row r="2034" spans="1:7" ht="21" x14ac:dyDescent="0.25">
      <c r="A2034" s="2" t="str">
        <f>HYPERLINK("https://rth.dk/resources/bsgatlas/details.php?id=BSGatlas-TSS-2033","BSGatlas-TSS-2033")</f>
        <v>BSGatlas-TSS-2033</v>
      </c>
      <c r="B2034" s="3">
        <v>2585361</v>
      </c>
      <c r="C2034" s="1" t="s">
        <v>13</v>
      </c>
      <c r="D2034" s="1">
        <v>22</v>
      </c>
      <c r="E2034" s="1" t="s">
        <v>14732</v>
      </c>
      <c r="F2034" s="6"/>
      <c r="G2034" s="1" t="s">
        <v>14726</v>
      </c>
    </row>
    <row r="2035" spans="1:7" ht="21" x14ac:dyDescent="0.25">
      <c r="A2035" s="2" t="str">
        <f>HYPERLINK("https://rth.dk/resources/bsgatlas/details.php?id=BSGatlas-TSS-2034","BSGatlas-TSS-2034")</f>
        <v>BSGatlas-TSS-2034</v>
      </c>
      <c r="B2035" s="3">
        <v>2586105</v>
      </c>
      <c r="C2035" s="1" t="s">
        <v>13</v>
      </c>
      <c r="D2035" s="1">
        <v>22</v>
      </c>
      <c r="E2035" s="1" t="s">
        <v>14722</v>
      </c>
      <c r="F2035" s="6"/>
      <c r="G2035" s="1" t="s">
        <v>14726</v>
      </c>
    </row>
    <row r="2036" spans="1:7" ht="21" x14ac:dyDescent="0.25">
      <c r="A2036" s="2" t="str">
        <f>HYPERLINK("https://rth.dk/resources/bsgatlas/details.php?id=BSGatlas-TSS-2035","BSGatlas-TSS-2035")</f>
        <v>BSGatlas-TSS-2035</v>
      </c>
      <c r="B2036" s="3">
        <v>2586175</v>
      </c>
      <c r="C2036" s="1" t="s">
        <v>13</v>
      </c>
      <c r="D2036" s="1">
        <v>22</v>
      </c>
      <c r="E2036" s="1" t="s">
        <v>14734</v>
      </c>
      <c r="F2036" s="6"/>
      <c r="G2036" s="1" t="s">
        <v>14733</v>
      </c>
    </row>
    <row r="2037" spans="1:7" ht="21" x14ac:dyDescent="0.25">
      <c r="A2037" s="2" t="str">
        <f>HYPERLINK("https://rth.dk/resources/bsgatlas/details.php?id=BSGatlas-TSS-2036","BSGatlas-TSS-2036")</f>
        <v>BSGatlas-TSS-2036</v>
      </c>
      <c r="B2037" s="3">
        <v>2586780</v>
      </c>
      <c r="C2037" s="1" t="s">
        <v>9</v>
      </c>
      <c r="D2037" s="1">
        <v>22</v>
      </c>
      <c r="E2037" s="1" t="s">
        <v>14722</v>
      </c>
      <c r="F2037" s="6"/>
      <c r="G2037" s="1" t="s">
        <v>14726</v>
      </c>
    </row>
    <row r="2038" spans="1:7" ht="21" x14ac:dyDescent="0.25">
      <c r="A2038" s="2" t="str">
        <f>HYPERLINK("https://rth.dk/resources/bsgatlas/details.php?id=BSGatlas-TSS-2037","BSGatlas-TSS-2037")</f>
        <v>BSGatlas-TSS-2037</v>
      </c>
      <c r="B2038" s="3">
        <v>2586996</v>
      </c>
      <c r="C2038" s="1" t="s">
        <v>13</v>
      </c>
      <c r="D2038" s="1">
        <v>22</v>
      </c>
      <c r="E2038" s="1" t="s">
        <v>14734</v>
      </c>
      <c r="F2038" s="6"/>
      <c r="G2038" s="1" t="s">
        <v>14733</v>
      </c>
    </row>
    <row r="2039" spans="1:7" ht="21" x14ac:dyDescent="0.25">
      <c r="A2039" s="2" t="str">
        <f>HYPERLINK("https://rth.dk/resources/bsgatlas/details.php?id=BSGatlas-TSS-2038","BSGatlas-TSS-2038")</f>
        <v>BSGatlas-TSS-2038</v>
      </c>
      <c r="B2039" s="3">
        <v>2588443</v>
      </c>
      <c r="C2039" s="1" t="s">
        <v>9</v>
      </c>
      <c r="D2039" s="1">
        <v>22</v>
      </c>
      <c r="E2039" s="1" t="s">
        <v>14720</v>
      </c>
      <c r="F2039" s="6"/>
      <c r="G2039" s="1" t="s">
        <v>14726</v>
      </c>
    </row>
    <row r="2040" spans="1:7" ht="21" x14ac:dyDescent="0.25">
      <c r="A2040" s="2" t="str">
        <f>HYPERLINK("https://rth.dk/resources/bsgatlas/details.php?id=BSGatlas-TSS-2039","BSGatlas-TSS-2039")</f>
        <v>BSGatlas-TSS-2039</v>
      </c>
      <c r="B2040" s="3">
        <v>2588470</v>
      </c>
      <c r="C2040" s="1" t="s">
        <v>13</v>
      </c>
      <c r="D2040" s="1">
        <v>22</v>
      </c>
      <c r="E2040" s="1" t="s">
        <v>14722</v>
      </c>
      <c r="F2040" s="6"/>
      <c r="G2040" s="1" t="s">
        <v>14726</v>
      </c>
    </row>
    <row r="2041" spans="1:7" ht="21" x14ac:dyDescent="0.25">
      <c r="A2041" s="2" t="str">
        <f>HYPERLINK("https://rth.dk/resources/bsgatlas/details.php?id=BSGatlas-TSS-2040","BSGatlas-TSS-2040")</f>
        <v>BSGatlas-TSS-2040</v>
      </c>
      <c r="B2041" s="3">
        <v>2588674</v>
      </c>
      <c r="C2041" s="1" t="s">
        <v>9</v>
      </c>
      <c r="D2041" s="1">
        <v>0</v>
      </c>
      <c r="E2041" s="1" t="s">
        <v>14735</v>
      </c>
      <c r="F2041" s="6" t="s">
        <v>14767</v>
      </c>
      <c r="G2041" s="1" t="s">
        <v>14729</v>
      </c>
    </row>
    <row r="2042" spans="1:7" ht="21" x14ac:dyDescent="0.25">
      <c r="A2042" s="2" t="str">
        <f>HYPERLINK("https://rth.dk/resources/bsgatlas/details.php?id=BSGatlas-TSS-2041","BSGatlas-TSS-2041")</f>
        <v>BSGatlas-TSS-2041</v>
      </c>
      <c r="B2042" s="3">
        <v>2589046</v>
      </c>
      <c r="C2042" s="1" t="s">
        <v>9</v>
      </c>
      <c r="D2042" s="1">
        <v>22</v>
      </c>
      <c r="E2042" s="1" t="s">
        <v>14722</v>
      </c>
      <c r="F2042" s="6"/>
      <c r="G2042" s="1" t="s">
        <v>14733</v>
      </c>
    </row>
    <row r="2043" spans="1:7" ht="21" x14ac:dyDescent="0.25">
      <c r="A2043" s="2" t="str">
        <f>HYPERLINK("https://rth.dk/resources/bsgatlas/details.php?id=BSGatlas-TSS-2042","BSGatlas-TSS-2042")</f>
        <v>BSGatlas-TSS-2042</v>
      </c>
      <c r="B2043" s="3">
        <v>2590706</v>
      </c>
      <c r="C2043" s="1" t="s">
        <v>13</v>
      </c>
      <c r="D2043" s="1">
        <v>22</v>
      </c>
      <c r="E2043" s="1" t="s">
        <v>14732</v>
      </c>
      <c r="F2043" s="6"/>
      <c r="G2043" s="1" t="s">
        <v>14726</v>
      </c>
    </row>
    <row r="2044" spans="1:7" ht="21" x14ac:dyDescent="0.25">
      <c r="A2044" s="2" t="str">
        <f>HYPERLINK("https://rth.dk/resources/bsgatlas/details.php?id=BSGatlas-TSS-2043","BSGatlas-TSS-2043")</f>
        <v>BSGatlas-TSS-2043</v>
      </c>
      <c r="B2044" s="3">
        <v>2590765</v>
      </c>
      <c r="C2044" s="1" t="s">
        <v>9</v>
      </c>
      <c r="D2044" s="1">
        <v>22</v>
      </c>
      <c r="E2044" s="1" t="s">
        <v>14722</v>
      </c>
      <c r="F2044" s="6"/>
      <c r="G2044" s="1" t="s">
        <v>14726</v>
      </c>
    </row>
    <row r="2045" spans="1:7" ht="21" x14ac:dyDescent="0.25">
      <c r="A2045" s="2" t="str">
        <f>HYPERLINK("https://rth.dk/resources/bsgatlas/details.php?id=BSGatlas-TSS-2044","BSGatlas-TSS-2044")</f>
        <v>BSGatlas-TSS-2044</v>
      </c>
      <c r="B2045" s="3">
        <v>2591960</v>
      </c>
      <c r="C2045" s="1" t="s">
        <v>13</v>
      </c>
      <c r="D2045" s="1">
        <v>22</v>
      </c>
      <c r="E2045" s="1" t="s">
        <v>14722</v>
      </c>
      <c r="F2045" s="6"/>
      <c r="G2045" s="1" t="s">
        <v>14733</v>
      </c>
    </row>
    <row r="2046" spans="1:7" ht="21" x14ac:dyDescent="0.25">
      <c r="A2046" s="2" t="str">
        <f>HYPERLINK("https://rth.dk/resources/bsgatlas/details.php?id=BSGatlas-TSS-2045","BSGatlas-TSS-2045")</f>
        <v>BSGatlas-TSS-2045</v>
      </c>
      <c r="B2046" s="3">
        <v>2592917</v>
      </c>
      <c r="C2046" s="1" t="s">
        <v>9</v>
      </c>
      <c r="D2046" s="1">
        <v>22</v>
      </c>
      <c r="E2046" s="1" t="s">
        <v>14727</v>
      </c>
      <c r="F2046" s="6"/>
      <c r="G2046" s="1" t="s">
        <v>14726</v>
      </c>
    </row>
    <row r="2047" spans="1:7" ht="21" x14ac:dyDescent="0.25">
      <c r="A2047" s="2" t="str">
        <f>HYPERLINK("https://rth.dk/resources/bsgatlas/details.php?id=BSGatlas-TSS-2046","BSGatlas-TSS-2046")</f>
        <v>BSGatlas-TSS-2046</v>
      </c>
      <c r="B2047" s="3">
        <v>2592928</v>
      </c>
      <c r="C2047" s="1" t="s">
        <v>13</v>
      </c>
      <c r="D2047" s="1">
        <v>22</v>
      </c>
      <c r="E2047" s="1" t="s">
        <v>14722</v>
      </c>
      <c r="F2047" s="6"/>
      <c r="G2047" s="1" t="s">
        <v>14726</v>
      </c>
    </row>
    <row r="2048" spans="1:7" ht="21" x14ac:dyDescent="0.25">
      <c r="A2048" s="2" t="str">
        <f>HYPERLINK("https://rth.dk/resources/bsgatlas/details.php?id=BSGatlas-TSS-2047","BSGatlas-TSS-2047")</f>
        <v>BSGatlas-TSS-2047</v>
      </c>
      <c r="B2048" s="3">
        <v>2592962</v>
      </c>
      <c r="C2048" s="1" t="s">
        <v>9</v>
      </c>
      <c r="D2048" s="1">
        <v>22</v>
      </c>
      <c r="E2048" s="1" t="s">
        <v>14725</v>
      </c>
      <c r="F2048" s="6"/>
      <c r="G2048" s="1" t="s">
        <v>14726</v>
      </c>
    </row>
    <row r="2049" spans="1:7" ht="21" x14ac:dyDescent="0.25">
      <c r="A2049" s="2" t="str">
        <f>HYPERLINK("https://rth.dk/resources/bsgatlas/details.php?id=BSGatlas-TSS-2048","BSGatlas-TSS-2048")</f>
        <v>BSGatlas-TSS-2048</v>
      </c>
      <c r="B2049" s="3">
        <v>2594229</v>
      </c>
      <c r="C2049" s="1" t="s">
        <v>13</v>
      </c>
      <c r="D2049" s="1">
        <v>0</v>
      </c>
      <c r="E2049" s="1" t="s">
        <v>14743</v>
      </c>
      <c r="F2049" s="6" t="s">
        <v>14991</v>
      </c>
      <c r="G2049" s="1" t="s">
        <v>4382</v>
      </c>
    </row>
    <row r="2050" spans="1:7" ht="21" x14ac:dyDescent="0.25">
      <c r="A2050" s="2" t="str">
        <f>HYPERLINK("https://rth.dk/resources/bsgatlas/details.php?id=BSGatlas-TSS-2049","BSGatlas-TSS-2049")</f>
        <v>BSGatlas-TSS-2049</v>
      </c>
      <c r="B2050" s="3">
        <v>2595547</v>
      </c>
      <c r="C2050" s="1" t="s">
        <v>13</v>
      </c>
      <c r="D2050" s="1">
        <v>22</v>
      </c>
      <c r="E2050" s="1" t="s">
        <v>14722</v>
      </c>
      <c r="F2050" s="6"/>
      <c r="G2050" s="1" t="s">
        <v>14726</v>
      </c>
    </row>
    <row r="2051" spans="1:7" ht="21" x14ac:dyDescent="0.25">
      <c r="A2051" s="2" t="str">
        <f>HYPERLINK("https://rth.dk/resources/bsgatlas/details.php?id=BSGatlas-TSS-2050","BSGatlas-TSS-2050")</f>
        <v>BSGatlas-TSS-2050</v>
      </c>
      <c r="B2051" s="3">
        <v>2595625</v>
      </c>
      <c r="C2051" s="1" t="s">
        <v>9</v>
      </c>
      <c r="D2051" s="1">
        <v>22</v>
      </c>
      <c r="E2051" s="1" t="s">
        <v>14725</v>
      </c>
      <c r="F2051" s="6"/>
      <c r="G2051" s="1" t="s">
        <v>14726</v>
      </c>
    </row>
    <row r="2052" spans="1:7" ht="21" x14ac:dyDescent="0.25">
      <c r="A2052" s="2" t="str">
        <f>HYPERLINK("https://rth.dk/resources/bsgatlas/details.php?id=BSGatlas-TSS-2051","BSGatlas-TSS-2051")</f>
        <v>BSGatlas-TSS-2051</v>
      </c>
      <c r="B2052" s="3">
        <v>2596439</v>
      </c>
      <c r="C2052" s="1" t="s">
        <v>9</v>
      </c>
      <c r="D2052" s="1">
        <v>22</v>
      </c>
      <c r="E2052" s="1" t="s">
        <v>14722</v>
      </c>
      <c r="F2052" s="6"/>
      <c r="G2052" s="1" t="s">
        <v>14726</v>
      </c>
    </row>
    <row r="2053" spans="1:7" ht="21" x14ac:dyDescent="0.25">
      <c r="A2053" s="2" t="str">
        <f>HYPERLINK("https://rth.dk/resources/bsgatlas/details.php?id=BSGatlas-TSS-2052","BSGatlas-TSS-2052")</f>
        <v>BSGatlas-TSS-2052</v>
      </c>
      <c r="B2053" s="3">
        <v>2599375</v>
      </c>
      <c r="C2053" s="1" t="s">
        <v>13</v>
      </c>
      <c r="D2053" s="1">
        <v>22</v>
      </c>
      <c r="E2053" s="1" t="s">
        <v>14722</v>
      </c>
      <c r="F2053" s="6"/>
      <c r="G2053" s="1" t="s">
        <v>14733</v>
      </c>
    </row>
    <row r="2054" spans="1:7" ht="21" x14ac:dyDescent="0.25">
      <c r="A2054" s="2" t="str">
        <f>HYPERLINK("https://rth.dk/resources/bsgatlas/details.php?id=BSGatlas-TSS-2053","BSGatlas-TSS-2053")</f>
        <v>BSGatlas-TSS-2053</v>
      </c>
      <c r="B2054" s="3">
        <v>2599914</v>
      </c>
      <c r="C2054" s="1" t="s">
        <v>9</v>
      </c>
      <c r="D2054" s="1">
        <v>22</v>
      </c>
      <c r="E2054" s="1" t="s">
        <v>14720</v>
      </c>
      <c r="F2054" s="6"/>
      <c r="G2054" s="1" t="s">
        <v>14726</v>
      </c>
    </row>
    <row r="2055" spans="1:7" ht="21" x14ac:dyDescent="0.25">
      <c r="A2055" s="2" t="str">
        <f>HYPERLINK("https://rth.dk/resources/bsgatlas/details.php?id=BSGatlas-TSS-2054","BSGatlas-TSS-2054")</f>
        <v>BSGatlas-TSS-2054</v>
      </c>
      <c r="B2055" s="3">
        <v>2599924</v>
      </c>
      <c r="C2055" s="1" t="s">
        <v>13</v>
      </c>
      <c r="D2055" s="1">
        <v>22</v>
      </c>
      <c r="E2055" s="1" t="s">
        <v>14722</v>
      </c>
      <c r="F2055" s="6"/>
      <c r="G2055" s="1" t="s">
        <v>14726</v>
      </c>
    </row>
    <row r="2056" spans="1:7" ht="21" x14ac:dyDescent="0.25">
      <c r="A2056" s="2" t="str">
        <f>HYPERLINK("https://rth.dk/resources/bsgatlas/details.php?id=BSGatlas-TSS-2055","BSGatlas-TSS-2055")</f>
        <v>BSGatlas-TSS-2055</v>
      </c>
      <c r="B2056" s="3">
        <v>2600047</v>
      </c>
      <c r="C2056" s="1" t="s">
        <v>13</v>
      </c>
      <c r="D2056" s="1">
        <v>22</v>
      </c>
      <c r="E2056" s="1" t="s">
        <v>14722</v>
      </c>
      <c r="F2056" s="6"/>
      <c r="G2056" s="1" t="s">
        <v>14733</v>
      </c>
    </row>
    <row r="2057" spans="1:7" ht="21" x14ac:dyDescent="0.25">
      <c r="A2057" s="2" t="str">
        <f>HYPERLINK("https://rth.dk/resources/bsgatlas/details.php?id=BSGatlas-TSS-2056","BSGatlas-TSS-2056")</f>
        <v>BSGatlas-TSS-2056</v>
      </c>
      <c r="B2057" s="3">
        <v>2600050</v>
      </c>
      <c r="C2057" s="1" t="s">
        <v>9</v>
      </c>
      <c r="D2057" s="1">
        <v>22</v>
      </c>
      <c r="E2057" s="1" t="s">
        <v>14722</v>
      </c>
      <c r="F2057" s="6"/>
      <c r="G2057" s="1" t="s">
        <v>14733</v>
      </c>
    </row>
    <row r="2058" spans="1:7" ht="21" x14ac:dyDescent="0.25">
      <c r="A2058" s="2" t="str">
        <f>HYPERLINK("https://rth.dk/resources/bsgatlas/details.php?id=BSGatlas-TSS-2057","BSGatlas-TSS-2057")</f>
        <v>BSGatlas-TSS-2057</v>
      </c>
      <c r="B2058" s="3">
        <v>2600156</v>
      </c>
      <c r="C2058" s="1" t="s">
        <v>9</v>
      </c>
      <c r="D2058" s="1">
        <v>22</v>
      </c>
      <c r="E2058" s="1" t="s">
        <v>14722</v>
      </c>
      <c r="F2058" s="6"/>
      <c r="G2058" s="1" t="s">
        <v>14726</v>
      </c>
    </row>
    <row r="2059" spans="1:7" ht="21" x14ac:dyDescent="0.25">
      <c r="A2059" s="2" t="str">
        <f>HYPERLINK("https://rth.dk/resources/bsgatlas/details.php?id=BSGatlas-TSS-2058","BSGatlas-TSS-2058")</f>
        <v>BSGatlas-TSS-2058</v>
      </c>
      <c r="B2059" s="3">
        <v>2602969</v>
      </c>
      <c r="C2059" s="1" t="s">
        <v>9</v>
      </c>
      <c r="D2059" s="1">
        <v>0</v>
      </c>
      <c r="E2059" s="1" t="s">
        <v>14722</v>
      </c>
      <c r="F2059" s="6" t="s">
        <v>14992</v>
      </c>
      <c r="G2059" s="1" t="s">
        <v>14729</v>
      </c>
    </row>
    <row r="2060" spans="1:7" ht="21" x14ac:dyDescent="0.25">
      <c r="A2060" s="2" t="str">
        <f>HYPERLINK("https://rth.dk/resources/bsgatlas/details.php?id=BSGatlas-TSS-2059","BSGatlas-TSS-2059")</f>
        <v>BSGatlas-TSS-2059</v>
      </c>
      <c r="B2060" s="3">
        <v>2603352</v>
      </c>
      <c r="C2060" s="1" t="s">
        <v>13</v>
      </c>
      <c r="D2060" s="1">
        <v>0</v>
      </c>
      <c r="E2060" s="1" t="s">
        <v>14745</v>
      </c>
      <c r="F2060" s="6">
        <v>1698762</v>
      </c>
      <c r="G2060" s="1" t="s">
        <v>4684</v>
      </c>
    </row>
    <row r="2061" spans="1:7" ht="21" x14ac:dyDescent="0.25">
      <c r="A2061" s="2" t="str">
        <f>HYPERLINK("https://rth.dk/resources/bsgatlas/details.php?id=BSGatlas-TSS-2060","BSGatlas-TSS-2060")</f>
        <v>BSGatlas-TSS-2060</v>
      </c>
      <c r="B2061" s="3">
        <v>2603840</v>
      </c>
      <c r="C2061" s="1" t="s">
        <v>13</v>
      </c>
      <c r="D2061" s="1">
        <v>0</v>
      </c>
      <c r="E2061" s="1" t="s">
        <v>14745</v>
      </c>
      <c r="F2061" s="6">
        <v>3127379</v>
      </c>
      <c r="G2061" s="1" t="s">
        <v>14730</v>
      </c>
    </row>
    <row r="2062" spans="1:7" ht="21" x14ac:dyDescent="0.25">
      <c r="A2062" s="2" t="str">
        <f>HYPERLINK("https://rth.dk/resources/bsgatlas/details.php?id=BSGatlas-TSS-2061","BSGatlas-TSS-2061")</f>
        <v>BSGatlas-TSS-2061</v>
      </c>
      <c r="B2062" s="3">
        <v>2603912</v>
      </c>
      <c r="C2062" s="1" t="s">
        <v>9</v>
      </c>
      <c r="D2062" s="1">
        <v>22</v>
      </c>
      <c r="E2062" s="1" t="s">
        <v>14727</v>
      </c>
      <c r="F2062" s="6"/>
      <c r="G2062" s="1" t="s">
        <v>14726</v>
      </c>
    </row>
    <row r="2063" spans="1:7" ht="21" x14ac:dyDescent="0.25">
      <c r="A2063" s="2" t="str">
        <f>HYPERLINK("https://rth.dk/resources/bsgatlas/details.php?id=BSGatlas-TSS-2062","BSGatlas-TSS-2062")</f>
        <v>BSGatlas-TSS-2062</v>
      </c>
      <c r="B2063" s="3">
        <v>2603970</v>
      </c>
      <c r="C2063" s="1" t="s">
        <v>13</v>
      </c>
      <c r="D2063" s="1">
        <v>0</v>
      </c>
      <c r="E2063" s="1" t="s">
        <v>14720</v>
      </c>
      <c r="F2063" s="6">
        <v>1840586</v>
      </c>
      <c r="G2063" s="1" t="s">
        <v>14737</v>
      </c>
    </row>
    <row r="2064" spans="1:7" ht="21" x14ac:dyDescent="0.25">
      <c r="A2064" s="2" t="str">
        <f>HYPERLINK("https://rth.dk/resources/bsgatlas/details.php?id=BSGatlas-TSS-2063","BSGatlas-TSS-2063")</f>
        <v>BSGatlas-TSS-2063</v>
      </c>
      <c r="B2064" s="3">
        <v>2604026</v>
      </c>
      <c r="C2064" s="1" t="s">
        <v>13</v>
      </c>
      <c r="D2064" s="1">
        <v>0</v>
      </c>
      <c r="E2064" s="1" t="s">
        <v>14722</v>
      </c>
      <c r="F2064" s="6">
        <v>3298998</v>
      </c>
      <c r="G2064" s="1" t="s">
        <v>4684</v>
      </c>
    </row>
    <row r="2065" spans="1:7" ht="21" x14ac:dyDescent="0.25">
      <c r="A2065" s="2" t="str">
        <f>HYPERLINK("https://rth.dk/resources/bsgatlas/details.php?id=BSGatlas-TSS-2064","BSGatlas-TSS-2064")</f>
        <v>BSGatlas-TSS-2064</v>
      </c>
      <c r="B2065" s="3">
        <v>2604053</v>
      </c>
      <c r="C2065" s="1" t="s">
        <v>13</v>
      </c>
      <c r="D2065" s="1">
        <v>0</v>
      </c>
      <c r="E2065" s="1" t="s">
        <v>14722</v>
      </c>
      <c r="F2065" s="6">
        <v>3298998</v>
      </c>
      <c r="G2065" s="1" t="s">
        <v>14737</v>
      </c>
    </row>
    <row r="2066" spans="1:7" ht="21" x14ac:dyDescent="0.25">
      <c r="A2066" s="2" t="str">
        <f>HYPERLINK("https://rth.dk/resources/bsgatlas/details.php?id=BSGatlas-TSS-2065","BSGatlas-TSS-2065")</f>
        <v>BSGatlas-TSS-2065</v>
      </c>
      <c r="B2066" s="3">
        <v>2604066</v>
      </c>
      <c r="C2066" s="1" t="s">
        <v>13</v>
      </c>
      <c r="D2066" s="1">
        <v>0</v>
      </c>
      <c r="E2066" s="1" t="s">
        <v>14734</v>
      </c>
      <c r="F2066" s="6" t="s">
        <v>14993</v>
      </c>
      <c r="G2066" s="1" t="s">
        <v>14724</v>
      </c>
    </row>
    <row r="2067" spans="1:7" ht="21" x14ac:dyDescent="0.25">
      <c r="A2067" s="2" t="str">
        <f>HYPERLINK("https://rth.dk/resources/bsgatlas/details.php?id=BSGatlas-TSS-2066","BSGatlas-TSS-2066")</f>
        <v>BSGatlas-TSS-2066</v>
      </c>
      <c r="B2067" s="3">
        <v>2605732</v>
      </c>
      <c r="C2067" s="1" t="s">
        <v>13</v>
      </c>
      <c r="D2067" s="1">
        <v>22</v>
      </c>
      <c r="E2067" s="1" t="s">
        <v>14722</v>
      </c>
      <c r="F2067" s="6"/>
      <c r="G2067" s="1" t="s">
        <v>14733</v>
      </c>
    </row>
    <row r="2068" spans="1:7" ht="21" x14ac:dyDescent="0.25">
      <c r="A2068" s="2" t="str">
        <f>HYPERLINK("https://rth.dk/resources/bsgatlas/details.php?id=BSGatlas-TSS-2067","BSGatlas-TSS-2067")</f>
        <v>BSGatlas-TSS-2067</v>
      </c>
      <c r="B2068" s="3">
        <v>2608912</v>
      </c>
      <c r="C2068" s="1" t="s">
        <v>9</v>
      </c>
      <c r="D2068" s="1">
        <v>22</v>
      </c>
      <c r="E2068" s="1" t="s">
        <v>14727</v>
      </c>
      <c r="F2068" s="6"/>
      <c r="G2068" s="1" t="s">
        <v>14726</v>
      </c>
    </row>
    <row r="2069" spans="1:7" ht="21" x14ac:dyDescent="0.25">
      <c r="A2069" s="2" t="str">
        <f>HYPERLINK("https://rth.dk/resources/bsgatlas/details.php?id=BSGatlas-TSS-2068","BSGatlas-TSS-2068")</f>
        <v>BSGatlas-TSS-2068</v>
      </c>
      <c r="B2069" s="3">
        <v>2608922</v>
      </c>
      <c r="C2069" s="1" t="s">
        <v>13</v>
      </c>
      <c r="D2069" s="1">
        <v>22</v>
      </c>
      <c r="E2069" s="1" t="s">
        <v>14722</v>
      </c>
      <c r="F2069" s="6"/>
      <c r="G2069" s="1" t="s">
        <v>14726</v>
      </c>
    </row>
    <row r="2070" spans="1:7" ht="21" x14ac:dyDescent="0.25">
      <c r="A2070" s="2" t="str">
        <f>HYPERLINK("https://rth.dk/resources/bsgatlas/details.php?id=BSGatlas-TSS-2069","BSGatlas-TSS-2069")</f>
        <v>BSGatlas-TSS-2069</v>
      </c>
      <c r="B2070" s="3">
        <v>2611378</v>
      </c>
      <c r="C2070" s="1" t="s">
        <v>13</v>
      </c>
      <c r="D2070" s="1">
        <v>0</v>
      </c>
      <c r="E2070" s="1" t="s">
        <v>14994</v>
      </c>
      <c r="F2070" s="6" t="s">
        <v>14995</v>
      </c>
      <c r="G2070" s="1" t="s">
        <v>14729</v>
      </c>
    </row>
    <row r="2071" spans="1:7" ht="21" x14ac:dyDescent="0.25">
      <c r="A2071" s="2" t="str">
        <f>HYPERLINK("https://rth.dk/resources/bsgatlas/details.php?id=BSGatlas-TSS-2070","BSGatlas-TSS-2070")</f>
        <v>BSGatlas-TSS-2070</v>
      </c>
      <c r="B2071" s="3">
        <v>2614281</v>
      </c>
      <c r="C2071" s="1" t="s">
        <v>9</v>
      </c>
      <c r="D2071" s="1">
        <v>22</v>
      </c>
      <c r="E2071" s="1" t="s">
        <v>14727</v>
      </c>
      <c r="F2071" s="6"/>
      <c r="G2071" s="1" t="s">
        <v>14726</v>
      </c>
    </row>
    <row r="2072" spans="1:7" ht="21" x14ac:dyDescent="0.25">
      <c r="A2072" s="2" t="str">
        <f>HYPERLINK("https://rth.dk/resources/bsgatlas/details.php?id=BSGatlas-TSS-2071","BSGatlas-TSS-2071")</f>
        <v>BSGatlas-TSS-2071</v>
      </c>
      <c r="B2072" s="3">
        <v>2615524</v>
      </c>
      <c r="C2072" s="1" t="s">
        <v>13</v>
      </c>
      <c r="D2072" s="1">
        <v>22</v>
      </c>
      <c r="E2072" s="1" t="s">
        <v>14722</v>
      </c>
      <c r="F2072" s="6"/>
      <c r="G2072" s="1" t="s">
        <v>14726</v>
      </c>
    </row>
    <row r="2073" spans="1:7" ht="21" x14ac:dyDescent="0.25">
      <c r="A2073" s="2" t="str">
        <f>HYPERLINK("https://rth.dk/resources/bsgatlas/details.php?id=BSGatlas-TSS-2072","BSGatlas-TSS-2072")</f>
        <v>BSGatlas-TSS-2072</v>
      </c>
      <c r="B2073" s="3">
        <v>2615611</v>
      </c>
      <c r="C2073" s="1" t="s">
        <v>13</v>
      </c>
      <c r="D2073" s="1">
        <v>22</v>
      </c>
      <c r="E2073" s="1" t="s">
        <v>14734</v>
      </c>
      <c r="F2073" s="6"/>
      <c r="G2073" s="1" t="s">
        <v>14726</v>
      </c>
    </row>
    <row r="2074" spans="1:7" ht="21" x14ac:dyDescent="0.25">
      <c r="A2074" s="2" t="str">
        <f>HYPERLINK("https://rth.dk/resources/bsgatlas/details.php?id=BSGatlas-TSS-2073","BSGatlas-TSS-2073")</f>
        <v>BSGatlas-TSS-2073</v>
      </c>
      <c r="B2074" s="3">
        <v>2615826</v>
      </c>
      <c r="C2074" s="1" t="s">
        <v>13</v>
      </c>
      <c r="D2074" s="1">
        <v>22</v>
      </c>
      <c r="E2074" s="1" t="s">
        <v>14732</v>
      </c>
      <c r="F2074" s="6"/>
      <c r="G2074" s="1" t="s">
        <v>14726</v>
      </c>
    </row>
    <row r="2075" spans="1:7" ht="21" x14ac:dyDescent="0.25">
      <c r="A2075" s="2" t="str">
        <f>HYPERLINK("https://rth.dk/resources/bsgatlas/details.php?id=BSGatlas-TSS-2074","BSGatlas-TSS-2074")</f>
        <v>BSGatlas-TSS-2074</v>
      </c>
      <c r="B2075" s="3">
        <v>2619832</v>
      </c>
      <c r="C2075" s="1" t="s">
        <v>13</v>
      </c>
      <c r="D2075" s="1">
        <v>22</v>
      </c>
      <c r="E2075" s="1" t="s">
        <v>14739</v>
      </c>
      <c r="F2075" s="6"/>
      <c r="G2075" s="1" t="s">
        <v>14726</v>
      </c>
    </row>
    <row r="2076" spans="1:7" ht="21" x14ac:dyDescent="0.25">
      <c r="A2076" s="2" t="str">
        <f>HYPERLINK("https://rth.dk/resources/bsgatlas/details.php?id=BSGatlas-TSS-2075","BSGatlas-TSS-2075")</f>
        <v>BSGatlas-TSS-2075</v>
      </c>
      <c r="B2076" s="3">
        <v>2620485</v>
      </c>
      <c r="C2076" s="1" t="s">
        <v>9</v>
      </c>
      <c r="D2076" s="1">
        <v>22</v>
      </c>
      <c r="E2076" s="1" t="s">
        <v>14720</v>
      </c>
      <c r="F2076" s="6"/>
      <c r="G2076" s="1" t="s">
        <v>14726</v>
      </c>
    </row>
    <row r="2077" spans="1:7" ht="21" x14ac:dyDescent="0.25">
      <c r="A2077" s="2" t="str">
        <f>HYPERLINK("https://rth.dk/resources/bsgatlas/details.php?id=BSGatlas-TSS-2076","BSGatlas-TSS-2076")</f>
        <v>BSGatlas-TSS-2076</v>
      </c>
      <c r="B2077" s="3">
        <v>2620620</v>
      </c>
      <c r="C2077" s="1" t="s">
        <v>13</v>
      </c>
      <c r="D2077" s="1">
        <v>22</v>
      </c>
      <c r="E2077" s="1" t="s">
        <v>14722</v>
      </c>
      <c r="F2077" s="6"/>
      <c r="G2077" s="1" t="s">
        <v>14726</v>
      </c>
    </row>
    <row r="2078" spans="1:7" ht="21" x14ac:dyDescent="0.25">
      <c r="A2078" s="2" t="str">
        <f>HYPERLINK("https://rth.dk/resources/bsgatlas/details.php?id=BSGatlas-TSS-2077","BSGatlas-TSS-2077")</f>
        <v>BSGatlas-TSS-2077</v>
      </c>
      <c r="B2078" s="3">
        <v>2620683</v>
      </c>
      <c r="C2078" s="1" t="s">
        <v>9</v>
      </c>
      <c r="D2078" s="1">
        <v>22</v>
      </c>
      <c r="E2078" s="1" t="s">
        <v>14727</v>
      </c>
      <c r="F2078" s="6"/>
      <c r="G2078" s="1" t="s">
        <v>14726</v>
      </c>
    </row>
    <row r="2079" spans="1:7" ht="21" x14ac:dyDescent="0.25">
      <c r="A2079" s="2" t="str">
        <f>HYPERLINK("https://rth.dk/resources/bsgatlas/details.php?id=BSGatlas-TSS-2078","BSGatlas-TSS-2078")</f>
        <v>BSGatlas-TSS-2078</v>
      </c>
      <c r="B2079" s="3">
        <v>2625840</v>
      </c>
      <c r="C2079" s="1" t="s">
        <v>9</v>
      </c>
      <c r="D2079" s="1">
        <v>22</v>
      </c>
      <c r="E2079" s="1" t="s">
        <v>14720</v>
      </c>
      <c r="F2079" s="6"/>
      <c r="G2079" s="1" t="s">
        <v>14726</v>
      </c>
    </row>
    <row r="2080" spans="1:7" ht="21" x14ac:dyDescent="0.25">
      <c r="A2080" s="2" t="str">
        <f>HYPERLINK("https://rth.dk/resources/bsgatlas/details.php?id=BSGatlas-TSS-2079","BSGatlas-TSS-2079")</f>
        <v>BSGatlas-TSS-2079</v>
      </c>
      <c r="B2080" s="3">
        <v>2628555</v>
      </c>
      <c r="C2080" s="1" t="s">
        <v>13</v>
      </c>
      <c r="D2080" s="1">
        <v>0</v>
      </c>
      <c r="E2080" s="1" t="s">
        <v>14720</v>
      </c>
      <c r="F2080" s="6" t="s">
        <v>14996</v>
      </c>
      <c r="G2080" s="1" t="s">
        <v>4684</v>
      </c>
    </row>
    <row r="2081" spans="1:7" ht="21" x14ac:dyDescent="0.25">
      <c r="A2081" s="2" t="str">
        <f>HYPERLINK("https://rth.dk/resources/bsgatlas/details.php?id=BSGatlas-TSS-2080","BSGatlas-TSS-2080")</f>
        <v>BSGatlas-TSS-2080</v>
      </c>
      <c r="B2081" s="3">
        <v>2629682</v>
      </c>
      <c r="C2081" s="1" t="s">
        <v>13</v>
      </c>
      <c r="D2081" s="1">
        <v>0</v>
      </c>
      <c r="E2081" s="1" t="s">
        <v>14722</v>
      </c>
      <c r="F2081" s="6" t="s">
        <v>14997</v>
      </c>
      <c r="G2081" s="1" t="s">
        <v>14730</v>
      </c>
    </row>
    <row r="2082" spans="1:7" ht="21" x14ac:dyDescent="0.25">
      <c r="A2082" s="2" t="str">
        <f>HYPERLINK("https://rth.dk/resources/bsgatlas/details.php?id=BSGatlas-TSS-2081","BSGatlas-TSS-2081")</f>
        <v>BSGatlas-TSS-2081</v>
      </c>
      <c r="B2082" s="3">
        <v>2629819</v>
      </c>
      <c r="C2082" s="1" t="s">
        <v>13</v>
      </c>
      <c r="D2082" s="1">
        <v>0</v>
      </c>
      <c r="E2082" s="1" t="s">
        <v>14720</v>
      </c>
      <c r="F2082" s="6">
        <v>1339421</v>
      </c>
      <c r="G2082" s="1" t="s">
        <v>4684</v>
      </c>
    </row>
    <row r="2083" spans="1:7" ht="21" x14ac:dyDescent="0.25">
      <c r="A2083" s="2" t="str">
        <f>HYPERLINK("https://rth.dk/resources/bsgatlas/details.php?id=BSGatlas-TSS-2082","BSGatlas-TSS-2082")</f>
        <v>BSGatlas-TSS-2082</v>
      </c>
      <c r="B2083" s="3">
        <v>2630734</v>
      </c>
      <c r="C2083" s="1" t="s">
        <v>13</v>
      </c>
      <c r="D2083" s="1">
        <v>22</v>
      </c>
      <c r="E2083" s="1" t="s">
        <v>14732</v>
      </c>
      <c r="F2083" s="6"/>
      <c r="G2083" s="1" t="s">
        <v>14726</v>
      </c>
    </row>
    <row r="2084" spans="1:7" ht="21" x14ac:dyDescent="0.25">
      <c r="A2084" s="2" t="str">
        <f>HYPERLINK("https://rth.dk/resources/bsgatlas/details.php?id=BSGatlas-TSS-2083","BSGatlas-TSS-2083")</f>
        <v>BSGatlas-TSS-2083</v>
      </c>
      <c r="B2084" s="3">
        <v>2632785</v>
      </c>
      <c r="C2084" s="1" t="s">
        <v>13</v>
      </c>
      <c r="D2084" s="1">
        <v>0</v>
      </c>
      <c r="E2084" s="1" t="s">
        <v>14722</v>
      </c>
      <c r="F2084" s="6" t="s">
        <v>14998</v>
      </c>
      <c r="G2084" s="1" t="s">
        <v>14729</v>
      </c>
    </row>
    <row r="2085" spans="1:7" ht="21" x14ac:dyDescent="0.25">
      <c r="A2085" s="2" t="str">
        <f>HYPERLINK("https://rth.dk/resources/bsgatlas/details.php?id=BSGatlas-TSS-2084","BSGatlas-TSS-2084")</f>
        <v>BSGatlas-TSS-2084</v>
      </c>
      <c r="B2085" s="3">
        <v>2634464</v>
      </c>
      <c r="C2085" s="1" t="s">
        <v>13</v>
      </c>
      <c r="D2085" s="1">
        <v>0</v>
      </c>
      <c r="E2085" s="1" t="s">
        <v>14735</v>
      </c>
      <c r="F2085" s="6" t="s">
        <v>14999</v>
      </c>
      <c r="G2085" s="1" t="s">
        <v>14729</v>
      </c>
    </row>
    <row r="2086" spans="1:7" ht="21" x14ac:dyDescent="0.25">
      <c r="A2086" s="2" t="str">
        <f>HYPERLINK("https://rth.dk/resources/bsgatlas/details.php?id=BSGatlas-TSS-2085","BSGatlas-TSS-2085")</f>
        <v>BSGatlas-TSS-2085</v>
      </c>
      <c r="B2086" s="3">
        <v>2635635</v>
      </c>
      <c r="C2086" s="1" t="s">
        <v>13</v>
      </c>
      <c r="D2086" s="1">
        <v>0</v>
      </c>
      <c r="E2086" s="1" t="s">
        <v>14849</v>
      </c>
      <c r="F2086" s="6" t="s">
        <v>15000</v>
      </c>
      <c r="G2086" s="1" t="s">
        <v>14729</v>
      </c>
    </row>
    <row r="2087" spans="1:7" ht="21" x14ac:dyDescent="0.25">
      <c r="A2087" s="2" t="str">
        <f>HYPERLINK("https://rth.dk/resources/bsgatlas/details.php?id=BSGatlas-TSS-2086","BSGatlas-TSS-2086")</f>
        <v>BSGatlas-TSS-2086</v>
      </c>
      <c r="B2087" s="3">
        <v>2635726</v>
      </c>
      <c r="C2087" s="1" t="s">
        <v>9</v>
      </c>
      <c r="D2087" s="1">
        <v>22</v>
      </c>
      <c r="E2087" s="1" t="s">
        <v>14722</v>
      </c>
      <c r="F2087" s="6"/>
      <c r="G2087" s="1" t="s">
        <v>14733</v>
      </c>
    </row>
    <row r="2088" spans="1:7" ht="21" x14ac:dyDescent="0.25">
      <c r="A2088" s="2" t="str">
        <f>HYPERLINK("https://rth.dk/resources/bsgatlas/details.php?id=BSGatlas-TSS-2087","BSGatlas-TSS-2087")</f>
        <v>BSGatlas-TSS-2087</v>
      </c>
      <c r="B2088" s="3">
        <v>2637180</v>
      </c>
      <c r="C2088" s="1" t="s">
        <v>13</v>
      </c>
      <c r="D2088" s="1">
        <v>22</v>
      </c>
      <c r="E2088" s="1" t="s">
        <v>14722</v>
      </c>
      <c r="F2088" s="6"/>
      <c r="G2088" s="1" t="s">
        <v>14726</v>
      </c>
    </row>
    <row r="2089" spans="1:7" ht="21" x14ac:dyDescent="0.25">
      <c r="A2089" s="2" t="str">
        <f>HYPERLINK("https://rth.dk/resources/bsgatlas/details.php?id=BSGatlas-TSS-2088","BSGatlas-TSS-2088")</f>
        <v>BSGatlas-TSS-2088</v>
      </c>
      <c r="B2089" s="3">
        <v>2637336</v>
      </c>
      <c r="C2089" s="1" t="s">
        <v>9</v>
      </c>
      <c r="D2089" s="1">
        <v>22</v>
      </c>
      <c r="E2089" s="1" t="s">
        <v>14722</v>
      </c>
      <c r="F2089" s="6"/>
      <c r="G2089" s="1" t="s">
        <v>14726</v>
      </c>
    </row>
    <row r="2090" spans="1:7" ht="21" x14ac:dyDescent="0.25">
      <c r="A2090" s="2" t="str">
        <f>HYPERLINK("https://rth.dk/resources/bsgatlas/details.php?id=BSGatlas-TSS-2089","BSGatlas-TSS-2089")</f>
        <v>BSGatlas-TSS-2089</v>
      </c>
      <c r="B2090" s="3">
        <v>2637576</v>
      </c>
      <c r="C2090" s="1" t="s">
        <v>13</v>
      </c>
      <c r="D2090" s="1">
        <v>22</v>
      </c>
      <c r="E2090" s="1" t="s">
        <v>14725</v>
      </c>
      <c r="F2090" s="6"/>
      <c r="G2090" s="1" t="s">
        <v>14726</v>
      </c>
    </row>
    <row r="2091" spans="1:7" ht="21" x14ac:dyDescent="0.25">
      <c r="A2091" s="2" t="str">
        <f>HYPERLINK("https://rth.dk/resources/bsgatlas/details.php?id=BSGatlas-TSS-2090","BSGatlas-TSS-2090")</f>
        <v>BSGatlas-TSS-2090</v>
      </c>
      <c r="B2091" s="3">
        <v>2640483</v>
      </c>
      <c r="C2091" s="1" t="s">
        <v>13</v>
      </c>
      <c r="D2091" s="1">
        <v>22</v>
      </c>
      <c r="E2091" s="1" t="s">
        <v>14722</v>
      </c>
      <c r="F2091" s="6"/>
      <c r="G2091" s="1" t="s">
        <v>14726</v>
      </c>
    </row>
    <row r="2092" spans="1:7" ht="21" x14ac:dyDescent="0.25">
      <c r="A2092" s="2" t="str">
        <f>HYPERLINK("https://rth.dk/resources/bsgatlas/details.php?id=BSGatlas-TSS-2091","BSGatlas-TSS-2091")</f>
        <v>BSGatlas-TSS-2091</v>
      </c>
      <c r="B2092" s="3">
        <v>2641168</v>
      </c>
      <c r="C2092" s="1" t="s">
        <v>9</v>
      </c>
      <c r="D2092" s="1">
        <v>22</v>
      </c>
      <c r="E2092" s="1" t="s">
        <v>14727</v>
      </c>
      <c r="F2092" s="6"/>
      <c r="G2092" s="1" t="s">
        <v>14726</v>
      </c>
    </row>
    <row r="2093" spans="1:7" ht="21" x14ac:dyDescent="0.25">
      <c r="A2093" s="2" t="str">
        <f>HYPERLINK("https://rth.dk/resources/bsgatlas/details.php?id=BSGatlas-TSS-2092","BSGatlas-TSS-2092")</f>
        <v>BSGatlas-TSS-2092</v>
      </c>
      <c r="B2093" s="3">
        <v>2641193</v>
      </c>
      <c r="C2093" s="1" t="s">
        <v>13</v>
      </c>
      <c r="D2093" s="1">
        <v>22</v>
      </c>
      <c r="E2093" s="1" t="s">
        <v>14720</v>
      </c>
      <c r="F2093" s="6"/>
      <c r="G2093" s="1" t="s">
        <v>14726</v>
      </c>
    </row>
    <row r="2094" spans="1:7" ht="21" x14ac:dyDescent="0.25">
      <c r="A2094" s="2" t="str">
        <f>HYPERLINK("https://rth.dk/resources/bsgatlas/details.php?id=BSGatlas-TSS-2093","BSGatlas-TSS-2093")</f>
        <v>BSGatlas-TSS-2093</v>
      </c>
      <c r="B2094" s="3">
        <v>2642033</v>
      </c>
      <c r="C2094" s="1" t="s">
        <v>13</v>
      </c>
      <c r="D2094" s="1">
        <v>0</v>
      </c>
      <c r="E2094" s="1" t="s">
        <v>14722</v>
      </c>
      <c r="F2094" s="6" t="s">
        <v>15001</v>
      </c>
      <c r="G2094" s="1" t="s">
        <v>14724</v>
      </c>
    </row>
    <row r="2095" spans="1:7" ht="21" x14ac:dyDescent="0.25">
      <c r="A2095" s="2" t="str">
        <f>HYPERLINK("https://rth.dk/resources/bsgatlas/details.php?id=BSGatlas-TSS-2094","BSGatlas-TSS-2094")</f>
        <v>BSGatlas-TSS-2094</v>
      </c>
      <c r="B2095" s="3">
        <v>2647036</v>
      </c>
      <c r="C2095" s="1" t="s">
        <v>13</v>
      </c>
      <c r="D2095" s="1">
        <v>22</v>
      </c>
      <c r="E2095" s="1" t="s">
        <v>14720</v>
      </c>
      <c r="F2095" s="6"/>
      <c r="G2095" s="1" t="s">
        <v>14726</v>
      </c>
    </row>
    <row r="2096" spans="1:7" ht="21" x14ac:dyDescent="0.25">
      <c r="A2096" s="2" t="str">
        <f>HYPERLINK("https://rth.dk/resources/bsgatlas/details.php?id=BSGatlas-TSS-2095","BSGatlas-TSS-2095")</f>
        <v>BSGatlas-TSS-2095</v>
      </c>
      <c r="B2096" s="3">
        <v>2647372</v>
      </c>
      <c r="C2096" s="1" t="s">
        <v>9</v>
      </c>
      <c r="D2096" s="1">
        <v>0</v>
      </c>
      <c r="E2096" s="1" t="s">
        <v>14722</v>
      </c>
      <c r="F2096" s="6" t="s">
        <v>15002</v>
      </c>
      <c r="G2096" s="1" t="s">
        <v>14724</v>
      </c>
    </row>
    <row r="2097" spans="1:7" ht="21" x14ac:dyDescent="0.25">
      <c r="A2097" s="2" t="str">
        <f>HYPERLINK("https://rth.dk/resources/bsgatlas/details.php?id=BSGatlas-TSS-2096","BSGatlas-TSS-2096")</f>
        <v>BSGatlas-TSS-2096</v>
      </c>
      <c r="B2097" s="3">
        <v>2647673</v>
      </c>
      <c r="C2097" s="1" t="s">
        <v>13</v>
      </c>
      <c r="D2097" s="1">
        <v>22</v>
      </c>
      <c r="E2097" s="1" t="s">
        <v>14722</v>
      </c>
      <c r="F2097" s="6"/>
      <c r="G2097" s="1" t="s">
        <v>14733</v>
      </c>
    </row>
    <row r="2098" spans="1:7" ht="21" x14ac:dyDescent="0.25">
      <c r="A2098" s="2" t="str">
        <f>HYPERLINK("https://rth.dk/resources/bsgatlas/details.php?id=BSGatlas-TSS-2097","BSGatlas-TSS-2097")</f>
        <v>BSGatlas-TSS-2097</v>
      </c>
      <c r="B2098" s="3">
        <v>2647872</v>
      </c>
      <c r="C2098" s="1" t="s">
        <v>13</v>
      </c>
      <c r="D2098" s="1">
        <v>22</v>
      </c>
      <c r="E2098" s="1" t="s">
        <v>14725</v>
      </c>
      <c r="F2098" s="6"/>
      <c r="G2098" s="1" t="s">
        <v>14726</v>
      </c>
    </row>
    <row r="2099" spans="1:7" ht="21" x14ac:dyDescent="0.25">
      <c r="A2099" s="2" t="str">
        <f>HYPERLINK("https://rth.dk/resources/bsgatlas/details.php?id=BSGatlas-TSS-2098","BSGatlas-TSS-2098")</f>
        <v>BSGatlas-TSS-2098</v>
      </c>
      <c r="B2099" s="3">
        <v>2648686</v>
      </c>
      <c r="C2099" s="1" t="s">
        <v>13</v>
      </c>
      <c r="D2099" s="1">
        <v>22</v>
      </c>
      <c r="E2099" s="1" t="s">
        <v>14722</v>
      </c>
      <c r="F2099" s="6"/>
      <c r="G2099" s="1" t="s">
        <v>14726</v>
      </c>
    </row>
    <row r="2100" spans="1:7" ht="21" x14ac:dyDescent="0.25">
      <c r="A2100" s="2" t="str">
        <f>HYPERLINK("https://rth.dk/resources/bsgatlas/details.php?id=BSGatlas-TSS-2099","BSGatlas-TSS-2099")</f>
        <v>BSGatlas-TSS-2099</v>
      </c>
      <c r="B2100" s="3">
        <v>2648818</v>
      </c>
      <c r="C2100" s="1" t="s">
        <v>13</v>
      </c>
      <c r="D2100" s="1">
        <v>22</v>
      </c>
      <c r="E2100" s="1" t="s">
        <v>14734</v>
      </c>
      <c r="F2100" s="6"/>
      <c r="G2100" s="1" t="s">
        <v>14733</v>
      </c>
    </row>
    <row r="2101" spans="1:7" ht="21" x14ac:dyDescent="0.25">
      <c r="A2101" s="2" t="str">
        <f>HYPERLINK("https://rth.dk/resources/bsgatlas/details.php?id=BSGatlas-TSS-2100","BSGatlas-TSS-2100")</f>
        <v>BSGatlas-TSS-2100</v>
      </c>
      <c r="B2101" s="3">
        <v>2649061</v>
      </c>
      <c r="C2101" s="1" t="s">
        <v>9</v>
      </c>
      <c r="D2101" s="1">
        <v>22</v>
      </c>
      <c r="E2101" s="1" t="s">
        <v>14734</v>
      </c>
      <c r="F2101" s="6"/>
      <c r="G2101" s="1" t="s">
        <v>14726</v>
      </c>
    </row>
    <row r="2102" spans="1:7" ht="21" x14ac:dyDescent="0.25">
      <c r="A2102" s="2" t="str">
        <f>HYPERLINK("https://rth.dk/resources/bsgatlas/details.php?id=BSGatlas-TSS-2101","BSGatlas-TSS-2101")</f>
        <v>BSGatlas-TSS-2101</v>
      </c>
      <c r="B2102" s="3">
        <v>2649669</v>
      </c>
      <c r="C2102" s="1" t="s">
        <v>13</v>
      </c>
      <c r="D2102" s="1">
        <v>0</v>
      </c>
      <c r="E2102" s="1" t="s">
        <v>14725</v>
      </c>
      <c r="F2102" s="6" t="s">
        <v>15003</v>
      </c>
      <c r="G2102" s="1" t="s">
        <v>14729</v>
      </c>
    </row>
    <row r="2103" spans="1:7" ht="21" x14ac:dyDescent="0.25">
      <c r="A2103" s="2" t="str">
        <f>HYPERLINK("https://rth.dk/resources/bsgatlas/details.php?id=BSGatlas-TSS-2102","BSGatlas-TSS-2102")</f>
        <v>BSGatlas-TSS-2102</v>
      </c>
      <c r="B2103" s="3">
        <v>2649776</v>
      </c>
      <c r="C2103" s="1" t="s">
        <v>9</v>
      </c>
      <c r="D2103" s="1">
        <v>22</v>
      </c>
      <c r="E2103" s="1" t="s">
        <v>14722</v>
      </c>
      <c r="F2103" s="6"/>
      <c r="G2103" s="1" t="s">
        <v>14733</v>
      </c>
    </row>
    <row r="2104" spans="1:7" ht="21" x14ac:dyDescent="0.25">
      <c r="A2104" s="2" t="str">
        <f>HYPERLINK("https://rth.dk/resources/bsgatlas/details.php?id=BSGatlas-TSS-2103","BSGatlas-TSS-2103")</f>
        <v>BSGatlas-TSS-2103</v>
      </c>
      <c r="B2104" s="3">
        <v>2651581</v>
      </c>
      <c r="C2104" s="1" t="s">
        <v>9</v>
      </c>
      <c r="D2104" s="1">
        <v>22</v>
      </c>
      <c r="E2104" s="1" t="s">
        <v>14722</v>
      </c>
      <c r="F2104" s="6"/>
      <c r="G2104" s="1" t="s">
        <v>14726</v>
      </c>
    </row>
    <row r="2105" spans="1:7" ht="21" x14ac:dyDescent="0.25">
      <c r="A2105" s="2" t="str">
        <f>HYPERLINK("https://rth.dk/resources/bsgatlas/details.php?id=BSGatlas-TSS-2104","BSGatlas-TSS-2104")</f>
        <v>BSGatlas-TSS-2104</v>
      </c>
      <c r="B2105" s="3">
        <v>2652819</v>
      </c>
      <c r="C2105" s="1" t="s">
        <v>13</v>
      </c>
      <c r="D2105" s="1">
        <v>22</v>
      </c>
      <c r="E2105" s="1" t="s">
        <v>14727</v>
      </c>
      <c r="F2105" s="6"/>
      <c r="G2105" s="1" t="s">
        <v>14726</v>
      </c>
    </row>
    <row r="2106" spans="1:7" ht="21" x14ac:dyDescent="0.25">
      <c r="A2106" s="2" t="str">
        <f>HYPERLINK("https://rth.dk/resources/bsgatlas/details.php?id=BSGatlas-TSS-2105","BSGatlas-TSS-2105")</f>
        <v>BSGatlas-TSS-2105</v>
      </c>
      <c r="B2106" s="3">
        <v>2652954</v>
      </c>
      <c r="C2106" s="1" t="s">
        <v>9</v>
      </c>
      <c r="D2106" s="1">
        <v>0</v>
      </c>
      <c r="E2106" s="1" t="s">
        <v>14830</v>
      </c>
      <c r="F2106" s="6" t="s">
        <v>15004</v>
      </c>
      <c r="G2106" s="1" t="s">
        <v>14729</v>
      </c>
    </row>
    <row r="2107" spans="1:7" ht="21" x14ac:dyDescent="0.25">
      <c r="A2107" s="2" t="str">
        <f>HYPERLINK("https://rth.dk/resources/bsgatlas/details.php?id=BSGatlas-TSS-2106","BSGatlas-TSS-2106")</f>
        <v>BSGatlas-TSS-2106</v>
      </c>
      <c r="B2107" s="3">
        <v>2654984</v>
      </c>
      <c r="C2107" s="1" t="s">
        <v>13</v>
      </c>
      <c r="D2107" s="1">
        <v>0</v>
      </c>
      <c r="E2107" s="1" t="s">
        <v>14735</v>
      </c>
      <c r="F2107" s="6" t="s">
        <v>15005</v>
      </c>
      <c r="G2107" s="1" t="s">
        <v>14729</v>
      </c>
    </row>
    <row r="2108" spans="1:7" ht="21" x14ac:dyDescent="0.25">
      <c r="A2108" s="2" t="str">
        <f>HYPERLINK("https://rth.dk/resources/bsgatlas/details.php?id=BSGatlas-TSS-2107","BSGatlas-TSS-2107")</f>
        <v>BSGatlas-TSS-2107</v>
      </c>
      <c r="B2108" s="3">
        <v>2657687</v>
      </c>
      <c r="C2108" s="1" t="s">
        <v>13</v>
      </c>
      <c r="D2108" s="1">
        <v>22</v>
      </c>
      <c r="E2108" s="1" t="s">
        <v>14722</v>
      </c>
      <c r="F2108" s="6"/>
      <c r="G2108" s="1" t="s">
        <v>14726</v>
      </c>
    </row>
    <row r="2109" spans="1:7" ht="21" x14ac:dyDescent="0.25">
      <c r="A2109" s="2" t="str">
        <f>HYPERLINK("https://rth.dk/resources/bsgatlas/details.php?id=BSGatlas-TSS-2108","BSGatlas-TSS-2108")</f>
        <v>BSGatlas-TSS-2108</v>
      </c>
      <c r="B2109" s="3">
        <v>2658803</v>
      </c>
      <c r="C2109" s="1" t="s">
        <v>13</v>
      </c>
      <c r="D2109" s="1">
        <v>22</v>
      </c>
      <c r="E2109" s="1" t="s">
        <v>14725</v>
      </c>
      <c r="F2109" s="6"/>
      <c r="G2109" s="1" t="s">
        <v>14726</v>
      </c>
    </row>
    <row r="2110" spans="1:7" ht="21" x14ac:dyDescent="0.25">
      <c r="A2110" s="2" t="str">
        <f>HYPERLINK("https://rth.dk/resources/bsgatlas/details.php?id=BSGatlas-TSS-2109","BSGatlas-TSS-2109")</f>
        <v>BSGatlas-TSS-2109</v>
      </c>
      <c r="B2110" s="3">
        <v>2659166</v>
      </c>
      <c r="C2110" s="1" t="s">
        <v>9</v>
      </c>
      <c r="D2110" s="1">
        <v>22</v>
      </c>
      <c r="E2110" s="1" t="s">
        <v>14722</v>
      </c>
      <c r="F2110" s="6"/>
      <c r="G2110" s="1" t="s">
        <v>14726</v>
      </c>
    </row>
    <row r="2111" spans="1:7" ht="21" x14ac:dyDescent="0.25">
      <c r="A2111" s="2" t="str">
        <f>HYPERLINK("https://rth.dk/resources/bsgatlas/details.php?id=BSGatlas-TSS-2110","BSGatlas-TSS-2110")</f>
        <v>BSGatlas-TSS-2110</v>
      </c>
      <c r="B2111" s="3">
        <v>2660244</v>
      </c>
      <c r="C2111" s="1" t="s">
        <v>9</v>
      </c>
      <c r="D2111" s="1">
        <v>22</v>
      </c>
      <c r="E2111" s="1" t="s">
        <v>14722</v>
      </c>
      <c r="F2111" s="6"/>
      <c r="G2111" s="1" t="s">
        <v>14726</v>
      </c>
    </row>
    <row r="2112" spans="1:7" ht="21" x14ac:dyDescent="0.25">
      <c r="A2112" s="2" t="str">
        <f>HYPERLINK("https://rth.dk/resources/bsgatlas/details.php?id=BSGatlas-TSS-2111","BSGatlas-TSS-2111")</f>
        <v>BSGatlas-TSS-2111</v>
      </c>
      <c r="B2112" s="3">
        <v>2660296</v>
      </c>
      <c r="C2112" s="1" t="s">
        <v>9</v>
      </c>
      <c r="D2112" s="1">
        <v>0</v>
      </c>
      <c r="E2112" s="1" t="s">
        <v>14745</v>
      </c>
      <c r="F2112" s="6">
        <v>11466295</v>
      </c>
      <c r="G2112" s="1" t="s">
        <v>4684</v>
      </c>
    </row>
    <row r="2113" spans="1:7" ht="21" x14ac:dyDescent="0.25">
      <c r="A2113" s="2" t="str">
        <f>HYPERLINK("https://rth.dk/resources/bsgatlas/details.php?id=BSGatlas-TSS-2112","BSGatlas-TSS-2112")</f>
        <v>BSGatlas-TSS-2112</v>
      </c>
      <c r="B2113" s="3">
        <v>2661062</v>
      </c>
      <c r="C2113" s="1" t="s">
        <v>9</v>
      </c>
      <c r="D2113" s="1">
        <v>22</v>
      </c>
      <c r="E2113" s="1" t="s">
        <v>14722</v>
      </c>
      <c r="F2113" s="6"/>
      <c r="G2113" s="1" t="s">
        <v>14726</v>
      </c>
    </row>
    <row r="2114" spans="1:7" ht="21" x14ac:dyDescent="0.25">
      <c r="A2114" s="2" t="str">
        <f>HYPERLINK("https://rth.dk/resources/bsgatlas/details.php?id=BSGatlas-TSS-2113","BSGatlas-TSS-2113")</f>
        <v>BSGatlas-TSS-2113</v>
      </c>
      <c r="B2114" s="3">
        <v>2664454</v>
      </c>
      <c r="C2114" s="1" t="s">
        <v>13</v>
      </c>
      <c r="D2114" s="1">
        <v>22</v>
      </c>
      <c r="E2114" s="1" t="s">
        <v>14722</v>
      </c>
      <c r="F2114" s="6"/>
      <c r="G2114" s="1" t="s">
        <v>14726</v>
      </c>
    </row>
    <row r="2115" spans="1:7" ht="21" x14ac:dyDescent="0.25">
      <c r="A2115" s="2" t="str">
        <f>HYPERLINK("https://rth.dk/resources/bsgatlas/details.php?id=BSGatlas-TSS-2114","BSGatlas-TSS-2114")</f>
        <v>BSGatlas-TSS-2114</v>
      </c>
      <c r="B2115" s="3">
        <v>2664530</v>
      </c>
      <c r="C2115" s="1" t="s">
        <v>9</v>
      </c>
      <c r="D2115" s="1">
        <v>22</v>
      </c>
      <c r="E2115" s="1" t="s">
        <v>14727</v>
      </c>
      <c r="F2115" s="6"/>
      <c r="G2115" s="1" t="s">
        <v>14733</v>
      </c>
    </row>
    <row r="2116" spans="1:7" ht="21" x14ac:dyDescent="0.25">
      <c r="A2116" s="2" t="str">
        <f>HYPERLINK("https://rth.dk/resources/bsgatlas/details.php?id=BSGatlas-TSS-2115","BSGatlas-TSS-2115")</f>
        <v>BSGatlas-TSS-2115</v>
      </c>
      <c r="B2116" s="3">
        <v>2664732</v>
      </c>
      <c r="C2116" s="1" t="s">
        <v>9</v>
      </c>
      <c r="D2116" s="1">
        <v>22</v>
      </c>
      <c r="E2116" s="1" t="s">
        <v>14734</v>
      </c>
      <c r="F2116" s="6"/>
      <c r="G2116" s="1" t="s">
        <v>14726</v>
      </c>
    </row>
    <row r="2117" spans="1:7" ht="21" x14ac:dyDescent="0.25">
      <c r="A2117" s="2" t="str">
        <f>HYPERLINK("https://rth.dk/resources/bsgatlas/details.php?id=BSGatlas-TSS-2116","BSGatlas-TSS-2116")</f>
        <v>BSGatlas-TSS-2116</v>
      </c>
      <c r="B2117" s="3">
        <v>2672596</v>
      </c>
      <c r="C2117" s="1" t="s">
        <v>13</v>
      </c>
      <c r="D2117" s="1">
        <v>22</v>
      </c>
      <c r="E2117" s="1" t="s">
        <v>14720</v>
      </c>
      <c r="F2117" s="6"/>
      <c r="G2117" s="1" t="s">
        <v>14726</v>
      </c>
    </row>
    <row r="2118" spans="1:7" ht="21" x14ac:dyDescent="0.25">
      <c r="A2118" s="2" t="str">
        <f>HYPERLINK("https://rth.dk/resources/bsgatlas/details.php?id=BSGatlas-TSS-2117","BSGatlas-TSS-2117")</f>
        <v>BSGatlas-TSS-2117</v>
      </c>
      <c r="B2118" s="3">
        <v>2678195</v>
      </c>
      <c r="C2118" s="1" t="s">
        <v>9</v>
      </c>
      <c r="D2118" s="1">
        <v>0</v>
      </c>
      <c r="E2118" s="1" t="s">
        <v>14722</v>
      </c>
      <c r="F2118" s="6">
        <v>16166525</v>
      </c>
      <c r="G2118" s="1" t="s">
        <v>14730</v>
      </c>
    </row>
    <row r="2119" spans="1:7" ht="21" x14ac:dyDescent="0.25">
      <c r="A2119" s="2" t="str">
        <f>HYPERLINK("https://rth.dk/resources/bsgatlas/details.php?id=BSGatlas-TSS-2118","BSGatlas-TSS-2118")</f>
        <v>BSGatlas-TSS-2118</v>
      </c>
      <c r="B2119" s="3">
        <v>2678565</v>
      </c>
      <c r="C2119" s="1" t="s">
        <v>13</v>
      </c>
      <c r="D2119" s="1">
        <v>0</v>
      </c>
      <c r="E2119" s="1" t="s">
        <v>14722</v>
      </c>
      <c r="F2119" s="6">
        <v>16166525</v>
      </c>
      <c r="G2119" s="1" t="s">
        <v>14747</v>
      </c>
    </row>
    <row r="2120" spans="1:7" ht="21" x14ac:dyDescent="0.25">
      <c r="A2120" s="2" t="str">
        <f>HYPERLINK("https://rth.dk/resources/bsgatlas/details.php?id=BSGatlas-TSS-2119","BSGatlas-TSS-2119")</f>
        <v>BSGatlas-TSS-2119</v>
      </c>
      <c r="B2120" s="3">
        <v>2678724</v>
      </c>
      <c r="C2120" s="1" t="s">
        <v>9</v>
      </c>
      <c r="D2120" s="1">
        <v>22</v>
      </c>
      <c r="E2120" s="1" t="s">
        <v>14722</v>
      </c>
      <c r="F2120" s="6"/>
      <c r="G2120" s="1" t="s">
        <v>14726</v>
      </c>
    </row>
    <row r="2121" spans="1:7" ht="21" x14ac:dyDescent="0.25">
      <c r="A2121" s="2" t="str">
        <f>HYPERLINK("https://rth.dk/resources/bsgatlas/details.php?id=BSGatlas-TSS-2120","BSGatlas-TSS-2120")</f>
        <v>BSGatlas-TSS-2120</v>
      </c>
      <c r="B2121" s="3">
        <v>2679086</v>
      </c>
      <c r="C2121" s="1" t="s">
        <v>13</v>
      </c>
      <c r="D2121" s="1">
        <v>22</v>
      </c>
      <c r="E2121" s="1" t="s">
        <v>14722</v>
      </c>
      <c r="F2121" s="6"/>
      <c r="G2121" s="1" t="s">
        <v>14726</v>
      </c>
    </row>
    <row r="2122" spans="1:7" ht="21" x14ac:dyDescent="0.25">
      <c r="A2122" s="2" t="str">
        <f>HYPERLINK("https://rth.dk/resources/bsgatlas/details.php?id=BSGatlas-TSS-2121","BSGatlas-TSS-2121")</f>
        <v>BSGatlas-TSS-2121</v>
      </c>
      <c r="B2122" s="3">
        <v>2680187</v>
      </c>
      <c r="C2122" s="1" t="s">
        <v>13</v>
      </c>
      <c r="D2122" s="1">
        <v>22</v>
      </c>
      <c r="E2122" s="1" t="s">
        <v>14734</v>
      </c>
      <c r="F2122" s="6"/>
      <c r="G2122" s="1" t="s">
        <v>14726</v>
      </c>
    </row>
    <row r="2123" spans="1:7" ht="21" x14ac:dyDescent="0.25">
      <c r="A2123" s="2" t="str">
        <f>HYPERLINK("https://rth.dk/resources/bsgatlas/details.php?id=BSGatlas-TSS-2122","BSGatlas-TSS-2122")</f>
        <v>BSGatlas-TSS-2122</v>
      </c>
      <c r="B2123" s="3">
        <v>2683035</v>
      </c>
      <c r="C2123" s="1" t="s">
        <v>13</v>
      </c>
      <c r="D2123" s="1">
        <v>22</v>
      </c>
      <c r="E2123" s="1" t="s">
        <v>14752</v>
      </c>
      <c r="F2123" s="6"/>
      <c r="G2123" s="1" t="s">
        <v>14726</v>
      </c>
    </row>
    <row r="2124" spans="1:7" ht="21" x14ac:dyDescent="0.25">
      <c r="A2124" s="2" t="str">
        <f>HYPERLINK("https://rth.dk/resources/bsgatlas/details.php?id=BSGatlas-TSS-2123","BSGatlas-TSS-2123")</f>
        <v>BSGatlas-TSS-2123</v>
      </c>
      <c r="B2124" s="3">
        <v>2684367</v>
      </c>
      <c r="C2124" s="1" t="s">
        <v>13</v>
      </c>
      <c r="D2124" s="1">
        <v>22</v>
      </c>
      <c r="E2124" s="1" t="s">
        <v>14720</v>
      </c>
      <c r="F2124" s="6"/>
      <c r="G2124" s="1" t="s">
        <v>14726</v>
      </c>
    </row>
    <row r="2125" spans="1:7" ht="21" x14ac:dyDescent="0.25">
      <c r="A2125" s="2" t="str">
        <f>HYPERLINK("https://rth.dk/resources/bsgatlas/details.php?id=BSGatlas-TSS-2124","BSGatlas-TSS-2124")</f>
        <v>BSGatlas-TSS-2124</v>
      </c>
      <c r="B2125" s="3">
        <v>2685841</v>
      </c>
      <c r="C2125" s="1" t="s">
        <v>13</v>
      </c>
      <c r="D2125" s="1">
        <v>22</v>
      </c>
      <c r="E2125" s="1" t="s">
        <v>14722</v>
      </c>
      <c r="F2125" s="6"/>
      <c r="G2125" s="1" t="s">
        <v>14726</v>
      </c>
    </row>
    <row r="2126" spans="1:7" ht="21" x14ac:dyDescent="0.25">
      <c r="A2126" s="2" t="str">
        <f>HYPERLINK("https://rth.dk/resources/bsgatlas/details.php?id=BSGatlas-TSS-2125","BSGatlas-TSS-2125")</f>
        <v>BSGatlas-TSS-2125</v>
      </c>
      <c r="B2126" s="3">
        <v>2688173</v>
      </c>
      <c r="C2126" s="1" t="s">
        <v>13</v>
      </c>
      <c r="D2126" s="1">
        <v>22</v>
      </c>
      <c r="E2126" s="1" t="s">
        <v>14739</v>
      </c>
      <c r="F2126" s="6"/>
      <c r="G2126" s="1" t="s">
        <v>14726</v>
      </c>
    </row>
    <row r="2127" spans="1:7" ht="21" x14ac:dyDescent="0.25">
      <c r="A2127" s="2" t="str">
        <f>HYPERLINK("https://rth.dk/resources/bsgatlas/details.php?id=BSGatlas-TSS-2126","BSGatlas-TSS-2126")</f>
        <v>BSGatlas-TSS-2126</v>
      </c>
      <c r="B2127" s="3">
        <v>2690878</v>
      </c>
      <c r="C2127" s="1" t="s">
        <v>13</v>
      </c>
      <c r="D2127" s="1">
        <v>22</v>
      </c>
      <c r="E2127" s="1" t="s">
        <v>14752</v>
      </c>
      <c r="F2127" s="6"/>
      <c r="G2127" s="1" t="s">
        <v>14726</v>
      </c>
    </row>
    <row r="2128" spans="1:7" ht="21" x14ac:dyDescent="0.25">
      <c r="A2128" s="2" t="str">
        <f>HYPERLINK("https://rth.dk/resources/bsgatlas/details.php?id=BSGatlas-TSS-2127","BSGatlas-TSS-2127")</f>
        <v>BSGatlas-TSS-2127</v>
      </c>
      <c r="B2128" s="3">
        <v>2690989</v>
      </c>
      <c r="C2128" s="1" t="s">
        <v>13</v>
      </c>
      <c r="D2128" s="1">
        <v>22</v>
      </c>
      <c r="E2128" s="1" t="s">
        <v>14722</v>
      </c>
      <c r="F2128" s="6"/>
      <c r="G2128" s="1" t="s">
        <v>14726</v>
      </c>
    </row>
    <row r="2129" spans="1:7" ht="21" x14ac:dyDescent="0.25">
      <c r="A2129" s="2" t="str">
        <f>HYPERLINK("https://rth.dk/resources/bsgatlas/details.php?id=BSGatlas-TSS-2128","BSGatlas-TSS-2128")</f>
        <v>BSGatlas-TSS-2128</v>
      </c>
      <c r="B2129" s="3">
        <v>2691590</v>
      </c>
      <c r="C2129" s="1" t="s">
        <v>9</v>
      </c>
      <c r="D2129" s="1">
        <v>22</v>
      </c>
      <c r="E2129" s="1" t="s">
        <v>14722</v>
      </c>
      <c r="F2129" s="6"/>
      <c r="G2129" s="1" t="s">
        <v>14726</v>
      </c>
    </row>
    <row r="2130" spans="1:7" ht="21" x14ac:dyDescent="0.25">
      <c r="A2130" s="2" t="str">
        <f>HYPERLINK("https://rth.dk/resources/bsgatlas/details.php?id=BSGatlas-TSS-2129","BSGatlas-TSS-2129")</f>
        <v>BSGatlas-TSS-2129</v>
      </c>
      <c r="B2130" s="3">
        <v>2693656</v>
      </c>
      <c r="C2130" s="1" t="s">
        <v>13</v>
      </c>
      <c r="D2130" s="1">
        <v>22</v>
      </c>
      <c r="E2130" s="1" t="s">
        <v>14725</v>
      </c>
      <c r="F2130" s="6"/>
      <c r="G2130" s="1" t="s">
        <v>14726</v>
      </c>
    </row>
    <row r="2131" spans="1:7" ht="21" x14ac:dyDescent="0.25">
      <c r="A2131" s="2" t="str">
        <f>HYPERLINK("https://rth.dk/resources/bsgatlas/details.php?id=BSGatlas-TSS-2130","BSGatlas-TSS-2130")</f>
        <v>BSGatlas-TSS-2130</v>
      </c>
      <c r="B2131" s="3">
        <v>2698855</v>
      </c>
      <c r="C2131" s="1" t="s">
        <v>9</v>
      </c>
      <c r="D2131" s="1">
        <v>22</v>
      </c>
      <c r="E2131" s="1" t="s">
        <v>14722</v>
      </c>
      <c r="F2131" s="6"/>
      <c r="G2131" s="1" t="s">
        <v>14726</v>
      </c>
    </row>
    <row r="2132" spans="1:7" ht="21" x14ac:dyDescent="0.25">
      <c r="A2132" s="2" t="str">
        <f>HYPERLINK("https://rth.dk/resources/bsgatlas/details.php?id=BSGatlas-TSS-2131","BSGatlas-TSS-2131")</f>
        <v>BSGatlas-TSS-2131</v>
      </c>
      <c r="B2132" s="3">
        <v>2700625</v>
      </c>
      <c r="C2132" s="1" t="s">
        <v>13</v>
      </c>
      <c r="D2132" s="1">
        <v>22</v>
      </c>
      <c r="E2132" s="1" t="s">
        <v>14745</v>
      </c>
      <c r="F2132" s="6"/>
      <c r="G2132" s="1" t="s">
        <v>14726</v>
      </c>
    </row>
    <row r="2133" spans="1:7" ht="21" x14ac:dyDescent="0.25">
      <c r="A2133" s="2" t="str">
        <f>HYPERLINK("https://rth.dk/resources/bsgatlas/details.php?id=BSGatlas-TSS-2132","BSGatlas-TSS-2132")</f>
        <v>BSGatlas-TSS-2132</v>
      </c>
      <c r="B2133" s="3">
        <v>2700681</v>
      </c>
      <c r="C2133" s="1" t="s">
        <v>9</v>
      </c>
      <c r="D2133" s="1">
        <v>22</v>
      </c>
      <c r="E2133" s="1" t="s">
        <v>14722</v>
      </c>
      <c r="F2133" s="6"/>
      <c r="G2133" s="1" t="s">
        <v>14726</v>
      </c>
    </row>
    <row r="2134" spans="1:7" ht="21" x14ac:dyDescent="0.25">
      <c r="A2134" s="2" t="str">
        <f>HYPERLINK("https://rth.dk/resources/bsgatlas/details.php?id=BSGatlas-TSS-2133","BSGatlas-TSS-2133")</f>
        <v>BSGatlas-TSS-2133</v>
      </c>
      <c r="B2134" s="3">
        <v>2701351</v>
      </c>
      <c r="C2134" s="1" t="s">
        <v>13</v>
      </c>
      <c r="D2134" s="1">
        <v>22</v>
      </c>
      <c r="E2134" s="1" t="s">
        <v>14727</v>
      </c>
      <c r="F2134" s="6"/>
      <c r="G2134" s="1" t="s">
        <v>14726</v>
      </c>
    </row>
    <row r="2135" spans="1:7" ht="21" x14ac:dyDescent="0.25">
      <c r="A2135" s="2" t="str">
        <f>HYPERLINK("https://rth.dk/resources/bsgatlas/details.php?id=BSGatlas-TSS-2134","BSGatlas-TSS-2134")</f>
        <v>BSGatlas-TSS-2134</v>
      </c>
      <c r="B2135" s="3">
        <v>2701362</v>
      </c>
      <c r="C2135" s="1" t="s">
        <v>9</v>
      </c>
      <c r="D2135" s="1">
        <v>22</v>
      </c>
      <c r="E2135" s="1" t="s">
        <v>14720</v>
      </c>
      <c r="F2135" s="6"/>
      <c r="G2135" s="1" t="s">
        <v>14726</v>
      </c>
    </row>
    <row r="2136" spans="1:7" ht="21" x14ac:dyDescent="0.25">
      <c r="A2136" s="2" t="str">
        <f>HYPERLINK("https://rth.dk/resources/bsgatlas/details.php?id=BSGatlas-TSS-2135","BSGatlas-TSS-2135")</f>
        <v>BSGatlas-TSS-2135</v>
      </c>
      <c r="B2136" s="3">
        <v>2702099</v>
      </c>
      <c r="C2136" s="1" t="s">
        <v>13</v>
      </c>
      <c r="D2136" s="1">
        <v>22</v>
      </c>
      <c r="E2136" s="1" t="s">
        <v>14722</v>
      </c>
      <c r="F2136" s="6"/>
      <c r="G2136" s="1" t="s">
        <v>14726</v>
      </c>
    </row>
    <row r="2137" spans="1:7" ht="21" x14ac:dyDescent="0.25">
      <c r="A2137" s="2" t="str">
        <f>HYPERLINK("https://rth.dk/resources/bsgatlas/details.php?id=BSGatlas-TSS-2136","BSGatlas-TSS-2136")</f>
        <v>BSGatlas-TSS-2136</v>
      </c>
      <c r="B2137" s="3">
        <v>2705205</v>
      </c>
      <c r="C2137" s="1" t="s">
        <v>13</v>
      </c>
      <c r="D2137" s="1">
        <v>22</v>
      </c>
      <c r="E2137" s="1" t="s">
        <v>14722</v>
      </c>
      <c r="F2137" s="6"/>
      <c r="G2137" s="1" t="s">
        <v>14726</v>
      </c>
    </row>
    <row r="2138" spans="1:7" ht="21" x14ac:dyDescent="0.25">
      <c r="A2138" s="2" t="str">
        <f>HYPERLINK("https://rth.dk/resources/bsgatlas/details.php?id=BSGatlas-TSS-2137","BSGatlas-TSS-2137")</f>
        <v>BSGatlas-TSS-2137</v>
      </c>
      <c r="B2138" s="3">
        <v>2705319</v>
      </c>
      <c r="C2138" s="1" t="s">
        <v>9</v>
      </c>
      <c r="D2138" s="1">
        <v>22</v>
      </c>
      <c r="E2138" s="1" t="s">
        <v>14720</v>
      </c>
      <c r="F2138" s="6"/>
      <c r="G2138" s="1" t="s">
        <v>14726</v>
      </c>
    </row>
    <row r="2139" spans="1:7" ht="21" x14ac:dyDescent="0.25">
      <c r="A2139" s="2" t="str">
        <f>HYPERLINK("https://rth.dk/resources/bsgatlas/details.php?id=BSGatlas-TSS-2138","BSGatlas-TSS-2138")</f>
        <v>BSGatlas-TSS-2138</v>
      </c>
      <c r="B2139" s="3">
        <v>2705895</v>
      </c>
      <c r="C2139" s="1" t="s">
        <v>9</v>
      </c>
      <c r="D2139" s="1">
        <v>22</v>
      </c>
      <c r="E2139" s="1" t="s">
        <v>14722</v>
      </c>
      <c r="F2139" s="6"/>
      <c r="G2139" s="1" t="s">
        <v>14726</v>
      </c>
    </row>
    <row r="2140" spans="1:7" ht="21" x14ac:dyDescent="0.25">
      <c r="A2140" s="2" t="str">
        <f>HYPERLINK("https://rth.dk/resources/bsgatlas/details.php?id=BSGatlas-TSS-2139","BSGatlas-TSS-2139")</f>
        <v>BSGatlas-TSS-2139</v>
      </c>
      <c r="B2140" s="3">
        <v>2708579</v>
      </c>
      <c r="C2140" s="1" t="s">
        <v>9</v>
      </c>
      <c r="D2140" s="1">
        <v>22</v>
      </c>
      <c r="E2140" s="1" t="s">
        <v>14722</v>
      </c>
      <c r="F2140" s="6"/>
      <c r="G2140" s="1" t="s">
        <v>14726</v>
      </c>
    </row>
    <row r="2141" spans="1:7" ht="21" x14ac:dyDescent="0.25">
      <c r="A2141" s="2" t="str">
        <f>HYPERLINK("https://rth.dk/resources/bsgatlas/details.php?id=BSGatlas-TSS-2140","BSGatlas-TSS-2140")</f>
        <v>BSGatlas-TSS-2140</v>
      </c>
      <c r="B2141" s="3">
        <v>2708787</v>
      </c>
      <c r="C2141" s="1" t="s">
        <v>13</v>
      </c>
      <c r="D2141" s="1">
        <v>22</v>
      </c>
      <c r="E2141" s="1" t="s">
        <v>14722</v>
      </c>
      <c r="F2141" s="6"/>
      <c r="G2141" s="1" t="s">
        <v>14733</v>
      </c>
    </row>
    <row r="2142" spans="1:7" ht="21" x14ac:dyDescent="0.25">
      <c r="A2142" s="2" t="str">
        <f>HYPERLINK("https://rth.dk/resources/bsgatlas/details.php?id=BSGatlas-TSS-2141","BSGatlas-TSS-2141")</f>
        <v>BSGatlas-TSS-2141</v>
      </c>
      <c r="B2142" s="3">
        <v>2709469</v>
      </c>
      <c r="C2142" s="1" t="s">
        <v>13</v>
      </c>
      <c r="D2142" s="1">
        <v>22</v>
      </c>
      <c r="E2142" s="1" t="s">
        <v>14722</v>
      </c>
      <c r="F2142" s="6"/>
      <c r="G2142" s="1" t="s">
        <v>14726</v>
      </c>
    </row>
    <row r="2143" spans="1:7" ht="21" x14ac:dyDescent="0.25">
      <c r="A2143" s="2" t="str">
        <f>HYPERLINK("https://rth.dk/resources/bsgatlas/details.php?id=BSGatlas-TSS-2142","BSGatlas-TSS-2142")</f>
        <v>BSGatlas-TSS-2142</v>
      </c>
      <c r="B2143" s="3">
        <v>2711955</v>
      </c>
      <c r="C2143" s="1" t="s">
        <v>13</v>
      </c>
      <c r="D2143" s="1">
        <v>22</v>
      </c>
      <c r="E2143" s="1" t="s">
        <v>14720</v>
      </c>
      <c r="F2143" s="6"/>
      <c r="G2143" s="1" t="s">
        <v>14726</v>
      </c>
    </row>
    <row r="2144" spans="1:7" ht="21" x14ac:dyDescent="0.25">
      <c r="A2144" s="2" t="str">
        <f>HYPERLINK("https://rth.dk/resources/bsgatlas/details.php?id=BSGatlas-TSS-2143","BSGatlas-TSS-2143")</f>
        <v>BSGatlas-TSS-2143</v>
      </c>
      <c r="B2144" s="3">
        <v>2714353</v>
      </c>
      <c r="C2144" s="1" t="s">
        <v>13</v>
      </c>
      <c r="D2144" s="1">
        <v>22</v>
      </c>
      <c r="E2144" s="1" t="s">
        <v>14722</v>
      </c>
      <c r="F2144" s="6"/>
      <c r="G2144" s="1" t="s">
        <v>14726</v>
      </c>
    </row>
    <row r="2145" spans="1:7" ht="21" x14ac:dyDescent="0.25">
      <c r="A2145" s="2" t="str">
        <f>HYPERLINK("https://rth.dk/resources/bsgatlas/details.php?id=BSGatlas-TSS-2144","BSGatlas-TSS-2144")</f>
        <v>BSGatlas-TSS-2144</v>
      </c>
      <c r="B2145" s="3">
        <v>2714632</v>
      </c>
      <c r="C2145" s="1" t="s">
        <v>13</v>
      </c>
      <c r="D2145" s="1">
        <v>22</v>
      </c>
      <c r="E2145" s="1" t="s">
        <v>14722</v>
      </c>
      <c r="F2145" s="6"/>
      <c r="G2145" s="1" t="s">
        <v>14726</v>
      </c>
    </row>
    <row r="2146" spans="1:7" ht="21" x14ac:dyDescent="0.25">
      <c r="A2146" s="2" t="str">
        <f>HYPERLINK("https://rth.dk/resources/bsgatlas/details.php?id=BSGatlas-TSS-2145","BSGatlas-TSS-2145")</f>
        <v>BSGatlas-TSS-2145</v>
      </c>
      <c r="B2146" s="3">
        <v>2715523</v>
      </c>
      <c r="C2146" s="1" t="s">
        <v>13</v>
      </c>
      <c r="D2146" s="1">
        <v>0</v>
      </c>
      <c r="E2146" s="1" t="s">
        <v>14725</v>
      </c>
      <c r="F2146" s="6" t="s">
        <v>15006</v>
      </c>
      <c r="G2146" s="1" t="s">
        <v>14729</v>
      </c>
    </row>
    <row r="2147" spans="1:7" ht="21" x14ac:dyDescent="0.25">
      <c r="A2147" s="2" t="str">
        <f>HYPERLINK("https://rth.dk/resources/bsgatlas/details.php?id=BSGatlas-TSS-2146","BSGatlas-TSS-2146")</f>
        <v>BSGatlas-TSS-2146</v>
      </c>
      <c r="B2147" s="3">
        <v>2716883</v>
      </c>
      <c r="C2147" s="1" t="s">
        <v>13</v>
      </c>
      <c r="D2147" s="1">
        <v>22</v>
      </c>
      <c r="E2147" s="1" t="s">
        <v>14722</v>
      </c>
      <c r="F2147" s="6"/>
      <c r="G2147" s="1" t="s">
        <v>14726</v>
      </c>
    </row>
    <row r="2148" spans="1:7" ht="21" x14ac:dyDescent="0.25">
      <c r="A2148" s="2" t="str">
        <f>HYPERLINK("https://rth.dk/resources/bsgatlas/details.php?id=BSGatlas-TSS-2147","BSGatlas-TSS-2147")</f>
        <v>BSGatlas-TSS-2147</v>
      </c>
      <c r="B2148" s="3">
        <v>2716904</v>
      </c>
      <c r="C2148" s="1" t="s">
        <v>9</v>
      </c>
      <c r="D2148" s="1">
        <v>0</v>
      </c>
      <c r="E2148" s="1" t="s">
        <v>14722</v>
      </c>
      <c r="F2148" s="6" t="s">
        <v>14810</v>
      </c>
      <c r="G2148" s="1" t="s">
        <v>14729</v>
      </c>
    </row>
    <row r="2149" spans="1:7" ht="21" x14ac:dyDescent="0.25">
      <c r="A2149" s="2" t="str">
        <f>HYPERLINK("https://rth.dk/resources/bsgatlas/details.php?id=BSGatlas-TSS-2148","BSGatlas-TSS-2148")</f>
        <v>BSGatlas-TSS-2148</v>
      </c>
      <c r="B2149" s="3">
        <v>2720343</v>
      </c>
      <c r="C2149" s="1" t="s">
        <v>13</v>
      </c>
      <c r="D2149" s="1">
        <v>22</v>
      </c>
      <c r="E2149" s="1" t="s">
        <v>14722</v>
      </c>
      <c r="F2149" s="6"/>
      <c r="G2149" s="1" t="s">
        <v>14733</v>
      </c>
    </row>
    <row r="2150" spans="1:7" ht="21" x14ac:dyDescent="0.25">
      <c r="A2150" s="2" t="str">
        <f>HYPERLINK("https://rth.dk/resources/bsgatlas/details.php?id=BSGatlas-TSS-2149","BSGatlas-TSS-2149")</f>
        <v>BSGatlas-TSS-2149</v>
      </c>
      <c r="B2150" s="3">
        <v>2721735</v>
      </c>
      <c r="C2150" s="1" t="s">
        <v>9</v>
      </c>
      <c r="D2150" s="1">
        <v>22</v>
      </c>
      <c r="E2150" s="1" t="s">
        <v>14722</v>
      </c>
      <c r="F2150" s="6"/>
      <c r="G2150" s="1" t="s">
        <v>14726</v>
      </c>
    </row>
    <row r="2151" spans="1:7" ht="21" x14ac:dyDescent="0.25">
      <c r="A2151" s="2" t="str">
        <f>HYPERLINK("https://rth.dk/resources/bsgatlas/details.php?id=BSGatlas-TSS-2150","BSGatlas-TSS-2150")</f>
        <v>BSGatlas-TSS-2150</v>
      </c>
      <c r="B2151" s="3">
        <v>2724869</v>
      </c>
      <c r="C2151" s="1" t="s">
        <v>13</v>
      </c>
      <c r="D2151" s="1">
        <v>22</v>
      </c>
      <c r="E2151" s="1" t="s">
        <v>14722</v>
      </c>
      <c r="F2151" s="6"/>
      <c r="G2151" s="1" t="s">
        <v>14726</v>
      </c>
    </row>
    <row r="2152" spans="1:7" ht="21" x14ac:dyDescent="0.25">
      <c r="A2152" s="2" t="str">
        <f>HYPERLINK("https://rth.dk/resources/bsgatlas/details.php?id=BSGatlas-TSS-2151","BSGatlas-TSS-2151")</f>
        <v>BSGatlas-TSS-2151</v>
      </c>
      <c r="B2152" s="3">
        <v>2724954</v>
      </c>
      <c r="C2152" s="1" t="s">
        <v>13</v>
      </c>
      <c r="D2152" s="1">
        <v>22</v>
      </c>
      <c r="E2152" s="1" t="s">
        <v>14722</v>
      </c>
      <c r="F2152" s="6"/>
      <c r="G2152" s="1" t="s">
        <v>14733</v>
      </c>
    </row>
    <row r="2153" spans="1:7" ht="21" x14ac:dyDescent="0.25">
      <c r="A2153" s="2" t="str">
        <f>HYPERLINK("https://rth.dk/resources/bsgatlas/details.php?id=BSGatlas-TSS-2152","BSGatlas-TSS-2152")</f>
        <v>BSGatlas-TSS-2152</v>
      </c>
      <c r="B2153" s="3">
        <v>2725791</v>
      </c>
      <c r="C2153" s="1" t="s">
        <v>9</v>
      </c>
      <c r="D2153" s="1">
        <v>0</v>
      </c>
      <c r="E2153" s="1" t="s">
        <v>14722</v>
      </c>
      <c r="F2153" s="6" t="s">
        <v>15007</v>
      </c>
      <c r="G2153" s="1" t="s">
        <v>14729</v>
      </c>
    </row>
    <row r="2154" spans="1:7" ht="21" x14ac:dyDescent="0.25">
      <c r="A2154" s="2" t="str">
        <f>HYPERLINK("https://rth.dk/resources/bsgatlas/details.php?id=BSGatlas-TSS-2153","BSGatlas-TSS-2153")</f>
        <v>BSGatlas-TSS-2153</v>
      </c>
      <c r="B2154" s="3">
        <v>2726443</v>
      </c>
      <c r="C2154" s="1" t="s">
        <v>9</v>
      </c>
      <c r="D2154" s="1">
        <v>22</v>
      </c>
      <c r="E2154" s="1" t="s">
        <v>14727</v>
      </c>
      <c r="F2154" s="6"/>
      <c r="G2154" s="1" t="s">
        <v>14726</v>
      </c>
    </row>
    <row r="2155" spans="1:7" ht="21" x14ac:dyDescent="0.25">
      <c r="A2155" s="2" t="str">
        <f>HYPERLINK("https://rth.dk/resources/bsgatlas/details.php?id=BSGatlas-TSS-2154","BSGatlas-TSS-2154")</f>
        <v>BSGatlas-TSS-2154</v>
      </c>
      <c r="B2155" s="3">
        <v>2730853</v>
      </c>
      <c r="C2155" s="1" t="s">
        <v>13</v>
      </c>
      <c r="D2155" s="1">
        <v>22</v>
      </c>
      <c r="E2155" s="1" t="s">
        <v>14722</v>
      </c>
      <c r="F2155" s="6"/>
      <c r="G2155" s="1" t="s">
        <v>14726</v>
      </c>
    </row>
    <row r="2156" spans="1:7" ht="21" x14ac:dyDescent="0.25">
      <c r="A2156" s="2" t="str">
        <f>HYPERLINK("https://rth.dk/resources/bsgatlas/details.php?id=BSGatlas-TSS-2155","BSGatlas-TSS-2155")</f>
        <v>BSGatlas-TSS-2155</v>
      </c>
      <c r="B2156" s="3">
        <v>2732725</v>
      </c>
      <c r="C2156" s="1" t="s">
        <v>13</v>
      </c>
      <c r="D2156" s="1">
        <v>22</v>
      </c>
      <c r="E2156" s="1" t="s">
        <v>14727</v>
      </c>
      <c r="F2156" s="6"/>
      <c r="G2156" s="1" t="s">
        <v>14726</v>
      </c>
    </row>
    <row r="2157" spans="1:7" ht="21" x14ac:dyDescent="0.25">
      <c r="A2157" s="2" t="str">
        <f>HYPERLINK("https://rth.dk/resources/bsgatlas/details.php?id=BSGatlas-TSS-2156","BSGatlas-TSS-2156")</f>
        <v>BSGatlas-TSS-2156</v>
      </c>
      <c r="B2157" s="3">
        <v>2733581</v>
      </c>
      <c r="C2157" s="1" t="s">
        <v>13</v>
      </c>
      <c r="D2157" s="1">
        <v>22</v>
      </c>
      <c r="E2157" s="1" t="s">
        <v>14722</v>
      </c>
      <c r="F2157" s="6"/>
      <c r="G2157" s="1" t="s">
        <v>14726</v>
      </c>
    </row>
    <row r="2158" spans="1:7" ht="21" x14ac:dyDescent="0.25">
      <c r="A2158" s="2" t="str">
        <f>HYPERLINK("https://rth.dk/resources/bsgatlas/details.php?id=BSGatlas-TSS-2157","BSGatlas-TSS-2157")</f>
        <v>BSGatlas-TSS-2157</v>
      </c>
      <c r="B2158" s="3">
        <v>2734371</v>
      </c>
      <c r="C2158" s="1" t="s">
        <v>13</v>
      </c>
      <c r="D2158" s="1">
        <v>22</v>
      </c>
      <c r="E2158" s="1" t="s">
        <v>14722</v>
      </c>
      <c r="F2158" s="6"/>
      <c r="G2158" s="1" t="s">
        <v>14733</v>
      </c>
    </row>
    <row r="2159" spans="1:7" ht="21" x14ac:dyDescent="0.25">
      <c r="A2159" s="2" t="str">
        <f>HYPERLINK("https://rth.dk/resources/bsgatlas/details.php?id=BSGatlas-TSS-2158","BSGatlas-TSS-2158")</f>
        <v>BSGatlas-TSS-2158</v>
      </c>
      <c r="B2159" s="3">
        <v>2736637</v>
      </c>
      <c r="C2159" s="1" t="s">
        <v>13</v>
      </c>
      <c r="D2159" s="1">
        <v>22</v>
      </c>
      <c r="E2159" s="1" t="s">
        <v>14722</v>
      </c>
      <c r="F2159" s="6"/>
      <c r="G2159" s="1" t="s">
        <v>14733</v>
      </c>
    </row>
    <row r="2160" spans="1:7" ht="21" x14ac:dyDescent="0.25">
      <c r="A2160" s="2" t="str">
        <f>HYPERLINK("https://rth.dk/resources/bsgatlas/details.php?id=BSGatlas-TSS-2159","BSGatlas-TSS-2159")</f>
        <v>BSGatlas-TSS-2159</v>
      </c>
      <c r="B2160" s="3">
        <v>2736844</v>
      </c>
      <c r="C2160" s="1" t="s">
        <v>9</v>
      </c>
      <c r="D2160" s="1">
        <v>22</v>
      </c>
      <c r="E2160" s="1" t="s">
        <v>14722</v>
      </c>
      <c r="F2160" s="6"/>
      <c r="G2160" s="1" t="s">
        <v>14733</v>
      </c>
    </row>
    <row r="2161" spans="1:7" ht="21" x14ac:dyDescent="0.25">
      <c r="A2161" s="2" t="str">
        <f>HYPERLINK("https://rth.dk/resources/bsgatlas/details.php?id=BSGatlas-TSS-2160","BSGatlas-TSS-2160")</f>
        <v>BSGatlas-TSS-2160</v>
      </c>
      <c r="B2161" s="3">
        <v>2738257</v>
      </c>
      <c r="C2161" s="1" t="s">
        <v>9</v>
      </c>
      <c r="D2161" s="1">
        <v>22</v>
      </c>
      <c r="E2161" s="1" t="s">
        <v>14722</v>
      </c>
      <c r="F2161" s="6"/>
      <c r="G2161" s="1" t="s">
        <v>14726</v>
      </c>
    </row>
    <row r="2162" spans="1:7" ht="21" x14ac:dyDescent="0.25">
      <c r="A2162" s="2" t="str">
        <f>HYPERLINK("https://rth.dk/resources/bsgatlas/details.php?id=BSGatlas-TSS-2161","BSGatlas-TSS-2161")</f>
        <v>BSGatlas-TSS-2161</v>
      </c>
      <c r="B2162" s="3">
        <v>2739439</v>
      </c>
      <c r="C2162" s="1" t="s">
        <v>9</v>
      </c>
      <c r="D2162" s="1">
        <v>22</v>
      </c>
      <c r="E2162" s="1" t="s">
        <v>14722</v>
      </c>
      <c r="F2162" s="6"/>
      <c r="G2162" s="1" t="s">
        <v>14726</v>
      </c>
    </row>
    <row r="2163" spans="1:7" ht="21" x14ac:dyDescent="0.25">
      <c r="A2163" s="2" t="str">
        <f>HYPERLINK("https://rth.dk/resources/bsgatlas/details.php?id=BSGatlas-TSS-2162","BSGatlas-TSS-2162")</f>
        <v>BSGatlas-TSS-2162</v>
      </c>
      <c r="B2163" s="3">
        <v>2739477</v>
      </c>
      <c r="C2163" s="1" t="s">
        <v>13</v>
      </c>
      <c r="D2163" s="1">
        <v>22</v>
      </c>
      <c r="E2163" s="1" t="s">
        <v>14720</v>
      </c>
      <c r="F2163" s="6"/>
      <c r="G2163" s="1" t="s">
        <v>14726</v>
      </c>
    </row>
    <row r="2164" spans="1:7" ht="21" x14ac:dyDescent="0.25">
      <c r="A2164" s="2" t="str">
        <f>HYPERLINK("https://rth.dk/resources/bsgatlas/details.php?id=BSGatlas-TSS-2163","BSGatlas-TSS-2163")</f>
        <v>BSGatlas-TSS-2163</v>
      </c>
      <c r="B2164" s="3">
        <v>2740413</v>
      </c>
      <c r="C2164" s="1" t="s">
        <v>9</v>
      </c>
      <c r="D2164" s="1">
        <v>22</v>
      </c>
      <c r="E2164" s="1" t="s">
        <v>14722</v>
      </c>
      <c r="F2164" s="6"/>
      <c r="G2164" s="1" t="s">
        <v>14733</v>
      </c>
    </row>
    <row r="2165" spans="1:7" ht="21" x14ac:dyDescent="0.25">
      <c r="A2165" s="2" t="str">
        <f>HYPERLINK("https://rth.dk/resources/bsgatlas/details.php?id=BSGatlas-TSS-2164","BSGatlas-TSS-2164")</f>
        <v>BSGatlas-TSS-2164</v>
      </c>
      <c r="B2165" s="3">
        <v>2740743</v>
      </c>
      <c r="C2165" s="1" t="s">
        <v>9</v>
      </c>
      <c r="D2165" s="1">
        <v>22</v>
      </c>
      <c r="E2165" s="1" t="s">
        <v>14725</v>
      </c>
      <c r="F2165" s="6"/>
      <c r="G2165" s="1" t="s">
        <v>14726</v>
      </c>
    </row>
    <row r="2166" spans="1:7" ht="21" x14ac:dyDescent="0.25">
      <c r="A2166" s="2" t="str">
        <f>HYPERLINK("https://rth.dk/resources/bsgatlas/details.php?id=BSGatlas-TSS-2165","BSGatlas-TSS-2165")</f>
        <v>BSGatlas-TSS-2165</v>
      </c>
      <c r="B2166" s="3">
        <v>2742159</v>
      </c>
      <c r="C2166" s="1" t="s">
        <v>13</v>
      </c>
      <c r="D2166" s="1">
        <v>22</v>
      </c>
      <c r="E2166" s="1" t="s">
        <v>14722</v>
      </c>
      <c r="F2166" s="6"/>
      <c r="G2166" s="1" t="s">
        <v>14726</v>
      </c>
    </row>
    <row r="2167" spans="1:7" ht="21" x14ac:dyDescent="0.25">
      <c r="A2167" s="2" t="str">
        <f>HYPERLINK("https://rth.dk/resources/bsgatlas/details.php?id=BSGatlas-TSS-2166","BSGatlas-TSS-2166")</f>
        <v>BSGatlas-TSS-2166</v>
      </c>
      <c r="B2167" s="3">
        <v>2742843</v>
      </c>
      <c r="C2167" s="1" t="s">
        <v>13</v>
      </c>
      <c r="D2167" s="1">
        <v>22</v>
      </c>
      <c r="E2167" s="1" t="s">
        <v>14722</v>
      </c>
      <c r="F2167" s="6"/>
      <c r="G2167" s="1" t="s">
        <v>14726</v>
      </c>
    </row>
    <row r="2168" spans="1:7" ht="21" x14ac:dyDescent="0.25">
      <c r="A2168" s="2" t="str">
        <f>HYPERLINK("https://rth.dk/resources/bsgatlas/details.php?id=BSGatlas-TSS-2167","BSGatlas-TSS-2167")</f>
        <v>BSGatlas-TSS-2167</v>
      </c>
      <c r="B2168" s="3">
        <v>2746503</v>
      </c>
      <c r="C2168" s="1" t="s">
        <v>13</v>
      </c>
      <c r="D2168" s="1">
        <v>22</v>
      </c>
      <c r="E2168" s="1" t="s">
        <v>14722</v>
      </c>
      <c r="F2168" s="6"/>
      <c r="G2168" s="1" t="s">
        <v>14726</v>
      </c>
    </row>
    <row r="2169" spans="1:7" ht="21" x14ac:dyDescent="0.25">
      <c r="A2169" s="2" t="str">
        <f>HYPERLINK("https://rth.dk/resources/bsgatlas/details.php?id=BSGatlas-TSS-2168","BSGatlas-TSS-2168")</f>
        <v>BSGatlas-TSS-2168</v>
      </c>
      <c r="B2169" s="3">
        <v>2746578</v>
      </c>
      <c r="C2169" s="1" t="s">
        <v>13</v>
      </c>
      <c r="D2169" s="1">
        <v>22</v>
      </c>
      <c r="E2169" s="1" t="s">
        <v>14722</v>
      </c>
      <c r="F2169" s="6"/>
      <c r="G2169" s="1" t="s">
        <v>14726</v>
      </c>
    </row>
    <row r="2170" spans="1:7" ht="21" x14ac:dyDescent="0.25">
      <c r="A2170" s="2" t="str">
        <f>HYPERLINK("https://rth.dk/resources/bsgatlas/details.php?id=BSGatlas-TSS-2169","BSGatlas-TSS-2169")</f>
        <v>BSGatlas-TSS-2169</v>
      </c>
      <c r="B2170" s="3">
        <v>2747607</v>
      </c>
      <c r="C2170" s="1" t="s">
        <v>9</v>
      </c>
      <c r="D2170" s="1">
        <v>22</v>
      </c>
      <c r="E2170" s="1" t="s">
        <v>14722</v>
      </c>
      <c r="F2170" s="6"/>
      <c r="G2170" s="1" t="s">
        <v>14726</v>
      </c>
    </row>
    <row r="2171" spans="1:7" ht="21" x14ac:dyDescent="0.25">
      <c r="A2171" s="2" t="str">
        <f>HYPERLINK("https://rth.dk/resources/bsgatlas/details.php?id=BSGatlas-TSS-2170","BSGatlas-TSS-2170")</f>
        <v>BSGatlas-TSS-2170</v>
      </c>
      <c r="B2171" s="3">
        <v>2748856</v>
      </c>
      <c r="C2171" s="1" t="s">
        <v>13</v>
      </c>
      <c r="D2171" s="1">
        <v>22</v>
      </c>
      <c r="E2171" s="1" t="s">
        <v>14722</v>
      </c>
      <c r="F2171" s="6"/>
      <c r="G2171" s="1" t="s">
        <v>14726</v>
      </c>
    </row>
    <row r="2172" spans="1:7" ht="21" x14ac:dyDescent="0.25">
      <c r="A2172" s="2" t="str">
        <f>HYPERLINK("https://rth.dk/resources/bsgatlas/details.php?id=BSGatlas-TSS-2171","BSGatlas-TSS-2171")</f>
        <v>BSGatlas-TSS-2171</v>
      </c>
      <c r="B2172" s="3">
        <v>2749037</v>
      </c>
      <c r="C2172" s="1" t="s">
        <v>9</v>
      </c>
      <c r="D2172" s="1">
        <v>22</v>
      </c>
      <c r="E2172" s="1" t="s">
        <v>14722</v>
      </c>
      <c r="F2172" s="6"/>
      <c r="G2172" s="1" t="s">
        <v>14733</v>
      </c>
    </row>
    <row r="2173" spans="1:7" ht="21" x14ac:dyDescent="0.25">
      <c r="A2173" s="2" t="str">
        <f>HYPERLINK("https://rth.dk/resources/bsgatlas/details.php?id=BSGatlas-TSS-2172","BSGatlas-TSS-2172")</f>
        <v>BSGatlas-TSS-2172</v>
      </c>
      <c r="B2173" s="3">
        <v>2751754</v>
      </c>
      <c r="C2173" s="1" t="s">
        <v>13</v>
      </c>
      <c r="D2173" s="1">
        <v>22</v>
      </c>
      <c r="E2173" s="1" t="s">
        <v>14722</v>
      </c>
      <c r="F2173" s="6"/>
      <c r="G2173" s="1" t="s">
        <v>14726</v>
      </c>
    </row>
    <row r="2174" spans="1:7" ht="21" x14ac:dyDescent="0.25">
      <c r="A2174" s="2" t="str">
        <f>HYPERLINK("https://rth.dk/resources/bsgatlas/details.php?id=BSGatlas-TSS-2173","BSGatlas-TSS-2173")</f>
        <v>BSGatlas-TSS-2173</v>
      </c>
      <c r="B2174" s="3">
        <v>2752611</v>
      </c>
      <c r="C2174" s="1" t="s">
        <v>13</v>
      </c>
      <c r="D2174" s="1">
        <v>22</v>
      </c>
      <c r="E2174" s="1" t="s">
        <v>14722</v>
      </c>
      <c r="F2174" s="6"/>
      <c r="G2174" s="1" t="s">
        <v>14726</v>
      </c>
    </row>
    <row r="2175" spans="1:7" ht="21" x14ac:dyDescent="0.25">
      <c r="A2175" s="2" t="str">
        <f>HYPERLINK("https://rth.dk/resources/bsgatlas/details.php?id=BSGatlas-TSS-2174","BSGatlas-TSS-2174")</f>
        <v>BSGatlas-TSS-2174</v>
      </c>
      <c r="B2175" s="3">
        <v>2752780</v>
      </c>
      <c r="C2175" s="1" t="s">
        <v>9</v>
      </c>
      <c r="D2175" s="1">
        <v>0</v>
      </c>
      <c r="E2175" s="1" t="s">
        <v>14743</v>
      </c>
      <c r="F2175" s="6">
        <v>16497325</v>
      </c>
      <c r="G2175" s="1" t="s">
        <v>14730</v>
      </c>
    </row>
    <row r="2176" spans="1:7" ht="21" x14ac:dyDescent="0.25">
      <c r="A2176" s="2" t="str">
        <f>HYPERLINK("https://rth.dk/resources/bsgatlas/details.php?id=BSGatlas-TSS-2175","BSGatlas-TSS-2175")</f>
        <v>BSGatlas-TSS-2175</v>
      </c>
      <c r="B2176" s="3">
        <v>2755836</v>
      </c>
      <c r="C2176" s="1" t="s">
        <v>9</v>
      </c>
      <c r="D2176" s="1">
        <v>22</v>
      </c>
      <c r="E2176" s="1" t="s">
        <v>14722</v>
      </c>
      <c r="F2176" s="6"/>
      <c r="G2176" s="1" t="s">
        <v>14733</v>
      </c>
    </row>
    <row r="2177" spans="1:7" ht="21" x14ac:dyDescent="0.25">
      <c r="A2177" s="2" t="str">
        <f>HYPERLINK("https://rth.dk/resources/bsgatlas/details.php?id=BSGatlas-TSS-2176","BSGatlas-TSS-2176")</f>
        <v>BSGatlas-TSS-2176</v>
      </c>
      <c r="B2177" s="3">
        <v>2755846</v>
      </c>
      <c r="C2177" s="1" t="s">
        <v>13</v>
      </c>
      <c r="D2177" s="1">
        <v>22</v>
      </c>
      <c r="E2177" s="1" t="s">
        <v>14722</v>
      </c>
      <c r="F2177" s="6"/>
      <c r="G2177" s="1" t="s">
        <v>14726</v>
      </c>
    </row>
    <row r="2178" spans="1:7" ht="21" x14ac:dyDescent="0.25">
      <c r="A2178" s="2" t="str">
        <f>HYPERLINK("https://rth.dk/resources/bsgatlas/details.php?id=BSGatlas-TSS-2177","BSGatlas-TSS-2177")</f>
        <v>BSGatlas-TSS-2177</v>
      </c>
      <c r="B2178" s="3">
        <v>2755963</v>
      </c>
      <c r="C2178" s="1" t="s">
        <v>13</v>
      </c>
      <c r="D2178" s="1">
        <v>22</v>
      </c>
      <c r="E2178" s="1" t="s">
        <v>14722</v>
      </c>
      <c r="F2178" s="6"/>
      <c r="G2178" s="1" t="s">
        <v>14726</v>
      </c>
    </row>
    <row r="2179" spans="1:7" ht="21" x14ac:dyDescent="0.25">
      <c r="A2179" s="2" t="str">
        <f>HYPERLINK("https://rth.dk/resources/bsgatlas/details.php?id=BSGatlas-TSS-2178","BSGatlas-TSS-2178")</f>
        <v>BSGatlas-TSS-2178</v>
      </c>
      <c r="B2179" s="3">
        <v>2756226</v>
      </c>
      <c r="C2179" s="1" t="s">
        <v>9</v>
      </c>
      <c r="D2179" s="1">
        <v>22</v>
      </c>
      <c r="E2179" s="1" t="s">
        <v>14722</v>
      </c>
      <c r="F2179" s="6"/>
      <c r="G2179" s="1" t="s">
        <v>14733</v>
      </c>
    </row>
    <row r="2180" spans="1:7" ht="21" x14ac:dyDescent="0.25">
      <c r="A2180" s="2" t="str">
        <f>HYPERLINK("https://rth.dk/resources/bsgatlas/details.php?id=BSGatlas-TSS-2179","BSGatlas-TSS-2179")</f>
        <v>BSGatlas-TSS-2179</v>
      </c>
      <c r="B2180" s="3">
        <v>2757464</v>
      </c>
      <c r="C2180" s="1" t="s">
        <v>9</v>
      </c>
      <c r="D2180" s="1">
        <v>22</v>
      </c>
      <c r="E2180" s="1" t="s">
        <v>14722</v>
      </c>
      <c r="F2180" s="6"/>
      <c r="G2180" s="1" t="s">
        <v>14726</v>
      </c>
    </row>
    <row r="2181" spans="1:7" ht="21" x14ac:dyDescent="0.25">
      <c r="A2181" s="2" t="str">
        <f>HYPERLINK("https://rth.dk/resources/bsgatlas/details.php?id=BSGatlas-TSS-2180","BSGatlas-TSS-2180")</f>
        <v>BSGatlas-TSS-2180</v>
      </c>
      <c r="B2181" s="3">
        <v>2762862</v>
      </c>
      <c r="C2181" s="1" t="s">
        <v>13</v>
      </c>
      <c r="D2181" s="1">
        <v>0</v>
      </c>
      <c r="E2181" s="1" t="s">
        <v>14825</v>
      </c>
      <c r="F2181" s="6" t="s">
        <v>15008</v>
      </c>
      <c r="G2181" s="1" t="s">
        <v>14729</v>
      </c>
    </row>
    <row r="2182" spans="1:7" ht="21" x14ac:dyDescent="0.25">
      <c r="A2182" s="2" t="str">
        <f>HYPERLINK("https://rth.dk/resources/bsgatlas/details.php?id=BSGatlas-TSS-2181","BSGatlas-TSS-2181")</f>
        <v>BSGatlas-TSS-2181</v>
      </c>
      <c r="B2182" s="3">
        <v>2766054</v>
      </c>
      <c r="C2182" s="1" t="s">
        <v>13</v>
      </c>
      <c r="D2182" s="1">
        <v>22</v>
      </c>
      <c r="E2182" s="1" t="s">
        <v>14722</v>
      </c>
      <c r="F2182" s="6"/>
      <c r="G2182" s="1" t="s">
        <v>14726</v>
      </c>
    </row>
    <row r="2183" spans="1:7" ht="21" x14ac:dyDescent="0.25">
      <c r="A2183" s="2" t="str">
        <f>HYPERLINK("https://rth.dk/resources/bsgatlas/details.php?id=BSGatlas-TSS-2182","BSGatlas-TSS-2182")</f>
        <v>BSGatlas-TSS-2182</v>
      </c>
      <c r="B2183" s="3">
        <v>2766510</v>
      </c>
      <c r="C2183" s="1" t="s">
        <v>9</v>
      </c>
      <c r="D2183" s="1">
        <v>22</v>
      </c>
      <c r="E2183" s="1" t="s">
        <v>14722</v>
      </c>
      <c r="F2183" s="6"/>
      <c r="G2183" s="1" t="s">
        <v>14726</v>
      </c>
    </row>
    <row r="2184" spans="1:7" ht="21" x14ac:dyDescent="0.25">
      <c r="A2184" s="2" t="str">
        <f>HYPERLINK("https://rth.dk/resources/bsgatlas/details.php?id=BSGatlas-TSS-2183","BSGatlas-TSS-2183")</f>
        <v>BSGatlas-TSS-2183</v>
      </c>
      <c r="B2184" s="3">
        <v>2768739</v>
      </c>
      <c r="C2184" s="1" t="s">
        <v>13</v>
      </c>
      <c r="D2184" s="1">
        <v>22</v>
      </c>
      <c r="E2184" s="1" t="s">
        <v>14722</v>
      </c>
      <c r="F2184" s="6"/>
      <c r="G2184" s="1" t="s">
        <v>14726</v>
      </c>
    </row>
    <row r="2185" spans="1:7" ht="21" x14ac:dyDescent="0.25">
      <c r="A2185" s="2" t="str">
        <f>HYPERLINK("https://rth.dk/resources/bsgatlas/details.php?id=BSGatlas-TSS-2184","BSGatlas-TSS-2184")</f>
        <v>BSGatlas-TSS-2184</v>
      </c>
      <c r="B2185" s="3">
        <v>2768778</v>
      </c>
      <c r="C2185" s="1" t="s">
        <v>9</v>
      </c>
      <c r="D2185" s="1">
        <v>22</v>
      </c>
      <c r="E2185" s="1" t="s">
        <v>14722</v>
      </c>
      <c r="F2185" s="6"/>
      <c r="G2185" s="1" t="s">
        <v>14726</v>
      </c>
    </row>
    <row r="2186" spans="1:7" ht="21" x14ac:dyDescent="0.25">
      <c r="A2186" s="2" t="str">
        <f>HYPERLINK("https://rth.dk/resources/bsgatlas/details.php?id=BSGatlas-TSS-2185","BSGatlas-TSS-2185")</f>
        <v>BSGatlas-TSS-2185</v>
      </c>
      <c r="B2186" s="3">
        <v>2769794</v>
      </c>
      <c r="C2186" s="1" t="s">
        <v>9</v>
      </c>
      <c r="D2186" s="1">
        <v>22</v>
      </c>
      <c r="E2186" s="1" t="s">
        <v>14739</v>
      </c>
      <c r="F2186" s="6"/>
      <c r="G2186" s="1" t="s">
        <v>14726</v>
      </c>
    </row>
    <row r="2187" spans="1:7" ht="21" x14ac:dyDescent="0.25">
      <c r="A2187" s="2" t="str">
        <f>HYPERLINK("https://rth.dk/resources/bsgatlas/details.php?id=BSGatlas-TSS-2186","BSGatlas-TSS-2186")</f>
        <v>BSGatlas-TSS-2186</v>
      </c>
      <c r="B2187" s="3">
        <v>2771244</v>
      </c>
      <c r="C2187" s="1" t="s">
        <v>13</v>
      </c>
      <c r="D2187" s="1">
        <v>22</v>
      </c>
      <c r="E2187" s="1" t="s">
        <v>14732</v>
      </c>
      <c r="F2187" s="6"/>
      <c r="G2187" s="1" t="s">
        <v>14726</v>
      </c>
    </row>
    <row r="2188" spans="1:7" ht="21" x14ac:dyDescent="0.25">
      <c r="A2188" s="2" t="str">
        <f>HYPERLINK("https://rth.dk/resources/bsgatlas/details.php?id=BSGatlas-TSS-2187","BSGatlas-TSS-2187")</f>
        <v>BSGatlas-TSS-2187</v>
      </c>
      <c r="B2188" s="3">
        <v>2773331</v>
      </c>
      <c r="C2188" s="1" t="s">
        <v>9</v>
      </c>
      <c r="D2188" s="1">
        <v>22</v>
      </c>
      <c r="E2188" s="1" t="s">
        <v>14734</v>
      </c>
      <c r="F2188" s="6"/>
      <c r="G2188" s="1" t="s">
        <v>14726</v>
      </c>
    </row>
    <row r="2189" spans="1:7" ht="21" x14ac:dyDescent="0.25">
      <c r="A2189" s="2" t="str">
        <f>HYPERLINK("https://rth.dk/resources/bsgatlas/details.php?id=BSGatlas-TSS-2188","BSGatlas-TSS-2188")</f>
        <v>BSGatlas-TSS-2188</v>
      </c>
      <c r="B2189" s="3">
        <v>2773764</v>
      </c>
      <c r="C2189" s="1" t="s">
        <v>9</v>
      </c>
      <c r="D2189" s="1">
        <v>22</v>
      </c>
      <c r="E2189" s="1" t="s">
        <v>14752</v>
      </c>
      <c r="F2189" s="6"/>
      <c r="G2189" s="1" t="s">
        <v>14726</v>
      </c>
    </row>
    <row r="2190" spans="1:7" ht="21" x14ac:dyDescent="0.25">
      <c r="A2190" s="2" t="str">
        <f>HYPERLINK("https://rth.dk/resources/bsgatlas/details.php?id=BSGatlas-TSS-2189","BSGatlas-TSS-2189")</f>
        <v>BSGatlas-TSS-2189</v>
      </c>
      <c r="B2190" s="3">
        <v>2775084</v>
      </c>
      <c r="C2190" s="1" t="s">
        <v>9</v>
      </c>
      <c r="D2190" s="1">
        <v>22</v>
      </c>
      <c r="E2190" s="1" t="s">
        <v>14725</v>
      </c>
      <c r="F2190" s="6"/>
      <c r="G2190" s="1" t="s">
        <v>14726</v>
      </c>
    </row>
    <row r="2191" spans="1:7" ht="21" x14ac:dyDescent="0.25">
      <c r="A2191" s="2" t="str">
        <f>HYPERLINK("https://rth.dk/resources/bsgatlas/details.php?id=BSGatlas-TSS-2190","BSGatlas-TSS-2190")</f>
        <v>BSGatlas-TSS-2190</v>
      </c>
      <c r="B2191" s="3">
        <v>2778506</v>
      </c>
      <c r="C2191" s="1" t="s">
        <v>13</v>
      </c>
      <c r="D2191" s="1">
        <v>0</v>
      </c>
      <c r="E2191" s="1" t="s">
        <v>14753</v>
      </c>
      <c r="F2191" s="6" t="s">
        <v>15009</v>
      </c>
      <c r="G2191" s="1" t="s">
        <v>14724</v>
      </c>
    </row>
    <row r="2192" spans="1:7" ht="21" x14ac:dyDescent="0.25">
      <c r="A2192" s="2" t="str">
        <f>HYPERLINK("https://rth.dk/resources/bsgatlas/details.php?id=BSGatlas-TSS-2191","BSGatlas-TSS-2191")</f>
        <v>BSGatlas-TSS-2191</v>
      </c>
      <c r="B2192" s="3">
        <v>2778790</v>
      </c>
      <c r="C2192" s="1" t="s">
        <v>13</v>
      </c>
      <c r="D2192" s="1">
        <v>22</v>
      </c>
      <c r="E2192" s="1" t="s">
        <v>14725</v>
      </c>
      <c r="F2192" s="6"/>
      <c r="G2192" s="1" t="s">
        <v>14726</v>
      </c>
    </row>
    <row r="2193" spans="1:7" ht="21" x14ac:dyDescent="0.25">
      <c r="A2193" s="2" t="str">
        <f>HYPERLINK("https://rth.dk/resources/bsgatlas/details.php?id=BSGatlas-TSS-2192","BSGatlas-TSS-2192")</f>
        <v>BSGatlas-TSS-2192</v>
      </c>
      <c r="B2193" s="3">
        <v>2779384</v>
      </c>
      <c r="C2193" s="1" t="s">
        <v>13</v>
      </c>
      <c r="D2193" s="1">
        <v>22</v>
      </c>
      <c r="E2193" s="1" t="s">
        <v>14722</v>
      </c>
      <c r="F2193" s="6"/>
      <c r="G2193" s="1" t="s">
        <v>14726</v>
      </c>
    </row>
    <row r="2194" spans="1:7" ht="21" x14ac:dyDescent="0.25">
      <c r="A2194" s="2" t="str">
        <f>HYPERLINK("https://rth.dk/resources/bsgatlas/details.php?id=BSGatlas-TSS-2193","BSGatlas-TSS-2193")</f>
        <v>BSGatlas-TSS-2193</v>
      </c>
      <c r="B2194" s="3">
        <v>2780484</v>
      </c>
      <c r="C2194" s="1" t="s">
        <v>13</v>
      </c>
      <c r="D2194" s="1">
        <v>22</v>
      </c>
      <c r="E2194" s="1" t="s">
        <v>14722</v>
      </c>
      <c r="F2194" s="6"/>
      <c r="G2194" s="1" t="s">
        <v>14726</v>
      </c>
    </row>
    <row r="2195" spans="1:7" ht="21" x14ac:dyDescent="0.25">
      <c r="A2195" s="2" t="str">
        <f>HYPERLINK("https://rth.dk/resources/bsgatlas/details.php?id=BSGatlas-TSS-2194","BSGatlas-TSS-2194")</f>
        <v>BSGatlas-TSS-2194</v>
      </c>
      <c r="B2195" s="3">
        <v>2780996</v>
      </c>
      <c r="C2195" s="1" t="s">
        <v>13</v>
      </c>
      <c r="D2195" s="1">
        <v>22</v>
      </c>
      <c r="E2195" s="1" t="s">
        <v>14722</v>
      </c>
      <c r="F2195" s="6"/>
      <c r="G2195" s="1" t="s">
        <v>14733</v>
      </c>
    </row>
    <row r="2196" spans="1:7" ht="21" x14ac:dyDescent="0.25">
      <c r="A2196" s="2" t="str">
        <f>HYPERLINK("https://rth.dk/resources/bsgatlas/details.php?id=BSGatlas-TSS-2195","BSGatlas-TSS-2195")</f>
        <v>BSGatlas-TSS-2195</v>
      </c>
      <c r="B2196" s="3">
        <v>2781001</v>
      </c>
      <c r="C2196" s="1" t="s">
        <v>9</v>
      </c>
      <c r="D2196" s="1">
        <v>22</v>
      </c>
      <c r="E2196" s="1" t="s">
        <v>14722</v>
      </c>
      <c r="F2196" s="6"/>
      <c r="G2196" s="1" t="s">
        <v>14733</v>
      </c>
    </row>
    <row r="2197" spans="1:7" ht="21" x14ac:dyDescent="0.25">
      <c r="A2197" s="2" t="str">
        <f>HYPERLINK("https://rth.dk/resources/bsgatlas/details.php?id=BSGatlas-TSS-2196","BSGatlas-TSS-2196")</f>
        <v>BSGatlas-TSS-2196</v>
      </c>
      <c r="B2197" s="3">
        <v>2787583</v>
      </c>
      <c r="C2197" s="1" t="s">
        <v>13</v>
      </c>
      <c r="D2197" s="1">
        <v>22</v>
      </c>
      <c r="E2197" s="1" t="s">
        <v>14725</v>
      </c>
      <c r="F2197" s="6"/>
      <c r="G2197" s="1" t="s">
        <v>14726</v>
      </c>
    </row>
    <row r="2198" spans="1:7" ht="21" x14ac:dyDescent="0.25">
      <c r="A2198" s="2" t="str">
        <f>HYPERLINK("https://rth.dk/resources/bsgatlas/details.php?id=BSGatlas-TSS-2197","BSGatlas-TSS-2197")</f>
        <v>BSGatlas-TSS-2197</v>
      </c>
      <c r="B2198" s="3">
        <v>2788073</v>
      </c>
      <c r="C2198" s="1" t="s">
        <v>13</v>
      </c>
      <c r="D2198" s="1">
        <v>22</v>
      </c>
      <c r="E2198" s="1" t="s">
        <v>14722</v>
      </c>
      <c r="F2198" s="6"/>
      <c r="G2198" s="1" t="s">
        <v>14726</v>
      </c>
    </row>
    <row r="2199" spans="1:7" ht="21" x14ac:dyDescent="0.25">
      <c r="A2199" s="2" t="str">
        <f>HYPERLINK("https://rth.dk/resources/bsgatlas/details.php?id=BSGatlas-TSS-2198","BSGatlas-TSS-2198")</f>
        <v>BSGatlas-TSS-2198</v>
      </c>
      <c r="B2199" s="3">
        <v>2788546</v>
      </c>
      <c r="C2199" s="1" t="s">
        <v>13</v>
      </c>
      <c r="D2199" s="1">
        <v>0</v>
      </c>
      <c r="E2199" s="1" t="s">
        <v>14722</v>
      </c>
      <c r="F2199" s="6" t="s">
        <v>14848</v>
      </c>
      <c r="G2199" s="1" t="s">
        <v>14729</v>
      </c>
    </row>
    <row r="2200" spans="1:7" ht="21" x14ac:dyDescent="0.25">
      <c r="A2200" s="2" t="str">
        <f>HYPERLINK("https://rth.dk/resources/bsgatlas/details.php?id=BSGatlas-TSS-2199","BSGatlas-TSS-2199")</f>
        <v>BSGatlas-TSS-2199</v>
      </c>
      <c r="B2200" s="3">
        <v>2788570</v>
      </c>
      <c r="C2200" s="1" t="s">
        <v>9</v>
      </c>
      <c r="D2200" s="1">
        <v>22</v>
      </c>
      <c r="E2200" s="1" t="s">
        <v>14725</v>
      </c>
      <c r="F2200" s="6"/>
      <c r="G2200" s="1" t="s">
        <v>14733</v>
      </c>
    </row>
    <row r="2201" spans="1:7" ht="21" x14ac:dyDescent="0.25">
      <c r="A2201" s="2" t="str">
        <f>HYPERLINK("https://rth.dk/resources/bsgatlas/details.php?id=BSGatlas-TSS-2200","BSGatlas-TSS-2200")</f>
        <v>BSGatlas-TSS-2200</v>
      </c>
      <c r="B2201" s="3">
        <v>2788636</v>
      </c>
      <c r="C2201" s="1" t="s">
        <v>9</v>
      </c>
      <c r="D2201" s="1">
        <v>22</v>
      </c>
      <c r="E2201" s="1" t="s">
        <v>14722</v>
      </c>
      <c r="F2201" s="6"/>
      <c r="G2201" s="1" t="s">
        <v>14726</v>
      </c>
    </row>
    <row r="2202" spans="1:7" ht="21" x14ac:dyDescent="0.25">
      <c r="A2202" s="2" t="str">
        <f>HYPERLINK("https://rth.dk/resources/bsgatlas/details.php?id=BSGatlas-TSS-2201","BSGatlas-TSS-2201")</f>
        <v>BSGatlas-TSS-2201</v>
      </c>
      <c r="B2202" s="3">
        <v>2789724</v>
      </c>
      <c r="C2202" s="1" t="s">
        <v>13</v>
      </c>
      <c r="D2202" s="1">
        <v>22</v>
      </c>
      <c r="E2202" s="1" t="s">
        <v>14722</v>
      </c>
      <c r="F2202" s="6"/>
      <c r="G2202" s="1" t="s">
        <v>14726</v>
      </c>
    </row>
    <row r="2203" spans="1:7" ht="21" x14ac:dyDescent="0.25">
      <c r="A2203" s="2" t="str">
        <f>HYPERLINK("https://rth.dk/resources/bsgatlas/details.php?id=BSGatlas-TSS-2202","BSGatlas-TSS-2202")</f>
        <v>BSGatlas-TSS-2202</v>
      </c>
      <c r="B2203" s="3">
        <v>2790758</v>
      </c>
      <c r="C2203" s="1" t="s">
        <v>13</v>
      </c>
      <c r="D2203" s="1">
        <v>22</v>
      </c>
      <c r="E2203" s="1" t="s">
        <v>14739</v>
      </c>
      <c r="F2203" s="6"/>
      <c r="G2203" s="1" t="s">
        <v>14726</v>
      </c>
    </row>
    <row r="2204" spans="1:7" ht="21" x14ac:dyDescent="0.25">
      <c r="A2204" s="2" t="str">
        <f>HYPERLINK("https://rth.dk/resources/bsgatlas/details.php?id=BSGatlas-TSS-2203","BSGatlas-TSS-2203")</f>
        <v>BSGatlas-TSS-2203</v>
      </c>
      <c r="B2204" s="3">
        <v>2791000</v>
      </c>
      <c r="C2204" s="1" t="s">
        <v>13</v>
      </c>
      <c r="D2204" s="1">
        <v>22</v>
      </c>
      <c r="E2204" s="1" t="s">
        <v>14727</v>
      </c>
      <c r="F2204" s="6"/>
      <c r="G2204" s="1" t="s">
        <v>14726</v>
      </c>
    </row>
    <row r="2205" spans="1:7" ht="21" x14ac:dyDescent="0.25">
      <c r="A2205" s="2" t="str">
        <f>HYPERLINK("https://rth.dk/resources/bsgatlas/details.php?id=BSGatlas-TSS-2204","BSGatlas-TSS-2204")</f>
        <v>BSGatlas-TSS-2204</v>
      </c>
      <c r="B2205" s="3">
        <v>2791046</v>
      </c>
      <c r="C2205" s="1" t="s">
        <v>9</v>
      </c>
      <c r="D2205" s="1">
        <v>22</v>
      </c>
      <c r="E2205" s="1" t="s">
        <v>14722</v>
      </c>
      <c r="F2205" s="6"/>
      <c r="G2205" s="1" t="s">
        <v>14726</v>
      </c>
    </row>
    <row r="2206" spans="1:7" ht="21" x14ac:dyDescent="0.25">
      <c r="A2206" s="2" t="str">
        <f>HYPERLINK("https://rth.dk/resources/bsgatlas/details.php?id=BSGatlas-TSS-2205","BSGatlas-TSS-2205")</f>
        <v>BSGatlas-TSS-2205</v>
      </c>
      <c r="B2206" s="3">
        <v>2791453</v>
      </c>
      <c r="C2206" s="1" t="s">
        <v>13</v>
      </c>
      <c r="D2206" s="1">
        <v>0</v>
      </c>
      <c r="E2206" s="1" t="s">
        <v>14867</v>
      </c>
      <c r="F2206" s="6">
        <v>16497325</v>
      </c>
      <c r="G2206" s="1" t="s">
        <v>4684</v>
      </c>
    </row>
    <row r="2207" spans="1:7" ht="21" x14ac:dyDescent="0.25">
      <c r="A2207" s="2" t="str">
        <f>HYPERLINK("https://rth.dk/resources/bsgatlas/details.php?id=BSGatlas-TSS-2206","BSGatlas-TSS-2206")</f>
        <v>BSGatlas-TSS-2206</v>
      </c>
      <c r="B2207" s="3">
        <v>2792100</v>
      </c>
      <c r="C2207" s="1" t="s">
        <v>13</v>
      </c>
      <c r="D2207" s="1">
        <v>22</v>
      </c>
      <c r="E2207" s="1" t="s">
        <v>14722</v>
      </c>
      <c r="F2207" s="6"/>
      <c r="G2207" s="1" t="s">
        <v>14733</v>
      </c>
    </row>
    <row r="2208" spans="1:7" ht="21" x14ac:dyDescent="0.25">
      <c r="A2208" s="2" t="str">
        <f>HYPERLINK("https://rth.dk/resources/bsgatlas/details.php?id=BSGatlas-TSS-2207","BSGatlas-TSS-2207")</f>
        <v>BSGatlas-TSS-2207</v>
      </c>
      <c r="B2208" s="3">
        <v>2792210</v>
      </c>
      <c r="C2208" s="1" t="s">
        <v>13</v>
      </c>
      <c r="D2208" s="1">
        <v>22</v>
      </c>
      <c r="E2208" s="1" t="s">
        <v>14722</v>
      </c>
      <c r="F2208" s="6"/>
      <c r="G2208" s="1" t="s">
        <v>14733</v>
      </c>
    </row>
    <row r="2209" spans="1:7" ht="21" x14ac:dyDescent="0.25">
      <c r="A2209" s="2" t="str">
        <f>HYPERLINK("https://rth.dk/resources/bsgatlas/details.php?id=BSGatlas-TSS-2208","BSGatlas-TSS-2208")</f>
        <v>BSGatlas-TSS-2208</v>
      </c>
      <c r="B2209" s="3">
        <v>2792376</v>
      </c>
      <c r="C2209" s="1" t="s">
        <v>9</v>
      </c>
      <c r="D2209" s="1">
        <v>22</v>
      </c>
      <c r="E2209" s="1" t="s">
        <v>14727</v>
      </c>
      <c r="F2209" s="6"/>
      <c r="G2209" s="1" t="s">
        <v>14726</v>
      </c>
    </row>
    <row r="2210" spans="1:7" ht="21" x14ac:dyDescent="0.25">
      <c r="A2210" s="2" t="str">
        <f>HYPERLINK("https://rth.dk/resources/bsgatlas/details.php?id=BSGatlas-TSS-2209","BSGatlas-TSS-2209")</f>
        <v>BSGatlas-TSS-2209</v>
      </c>
      <c r="B2210" s="3">
        <v>2795840</v>
      </c>
      <c r="C2210" s="1" t="s">
        <v>13</v>
      </c>
      <c r="D2210" s="1">
        <v>22</v>
      </c>
      <c r="E2210" s="1" t="s">
        <v>14722</v>
      </c>
      <c r="F2210" s="6"/>
      <c r="G2210" s="1" t="s">
        <v>14733</v>
      </c>
    </row>
    <row r="2211" spans="1:7" ht="21" x14ac:dyDescent="0.25">
      <c r="A2211" s="2" t="str">
        <f>HYPERLINK("https://rth.dk/resources/bsgatlas/details.php?id=BSGatlas-TSS-2210","BSGatlas-TSS-2210")</f>
        <v>BSGatlas-TSS-2210</v>
      </c>
      <c r="B2211" s="3">
        <v>2797005</v>
      </c>
      <c r="C2211" s="1" t="s">
        <v>13</v>
      </c>
      <c r="D2211" s="1">
        <v>22</v>
      </c>
      <c r="E2211" s="1" t="s">
        <v>14722</v>
      </c>
      <c r="F2211" s="6"/>
      <c r="G2211" s="1" t="s">
        <v>14726</v>
      </c>
    </row>
    <row r="2212" spans="1:7" ht="21" x14ac:dyDescent="0.25">
      <c r="A2212" s="2" t="str">
        <f>HYPERLINK("https://rth.dk/resources/bsgatlas/details.php?id=BSGatlas-TSS-2211","BSGatlas-TSS-2211")</f>
        <v>BSGatlas-TSS-2211</v>
      </c>
      <c r="B2212" s="3">
        <v>2797666</v>
      </c>
      <c r="C2212" s="1" t="s">
        <v>13</v>
      </c>
      <c r="D2212" s="1">
        <v>22</v>
      </c>
      <c r="E2212" s="1" t="s">
        <v>14727</v>
      </c>
      <c r="F2212" s="6"/>
      <c r="G2212" s="1" t="s">
        <v>14726</v>
      </c>
    </row>
    <row r="2213" spans="1:7" ht="21" x14ac:dyDescent="0.25">
      <c r="A2213" s="2" t="str">
        <f>HYPERLINK("https://rth.dk/resources/bsgatlas/details.php?id=BSGatlas-TSS-2212","BSGatlas-TSS-2212")</f>
        <v>BSGatlas-TSS-2212</v>
      </c>
      <c r="B2213" s="3">
        <v>2798008</v>
      </c>
      <c r="C2213" s="1" t="s">
        <v>9</v>
      </c>
      <c r="D2213" s="1">
        <v>22</v>
      </c>
      <c r="E2213" s="1" t="s">
        <v>14725</v>
      </c>
      <c r="F2213" s="6"/>
      <c r="G2213" s="1" t="s">
        <v>14726</v>
      </c>
    </row>
    <row r="2214" spans="1:7" ht="21" x14ac:dyDescent="0.25">
      <c r="A2214" s="2" t="str">
        <f>HYPERLINK("https://rth.dk/resources/bsgatlas/details.php?id=BSGatlas-TSS-2213","BSGatlas-TSS-2213")</f>
        <v>BSGatlas-TSS-2213</v>
      </c>
      <c r="B2214" s="3">
        <v>2798150</v>
      </c>
      <c r="C2214" s="1" t="s">
        <v>13</v>
      </c>
      <c r="D2214" s="1">
        <v>22</v>
      </c>
      <c r="E2214" s="1" t="s">
        <v>14722</v>
      </c>
      <c r="F2214" s="6"/>
      <c r="G2214" s="1" t="s">
        <v>14733</v>
      </c>
    </row>
    <row r="2215" spans="1:7" ht="21" x14ac:dyDescent="0.25">
      <c r="A2215" s="2" t="str">
        <f>HYPERLINK("https://rth.dk/resources/bsgatlas/details.php?id=BSGatlas-TSS-2214","BSGatlas-TSS-2214")</f>
        <v>BSGatlas-TSS-2214</v>
      </c>
      <c r="B2215" s="3">
        <v>2800592</v>
      </c>
      <c r="C2215" s="1" t="s">
        <v>13</v>
      </c>
      <c r="D2215" s="1">
        <v>22</v>
      </c>
      <c r="E2215" s="1" t="s">
        <v>14752</v>
      </c>
      <c r="F2215" s="6"/>
      <c r="G2215" s="1" t="s">
        <v>14726</v>
      </c>
    </row>
    <row r="2216" spans="1:7" ht="21" x14ac:dyDescent="0.25">
      <c r="A2216" s="2" t="str">
        <f>HYPERLINK("https://rth.dk/resources/bsgatlas/details.php?id=BSGatlas-TSS-2215","BSGatlas-TSS-2215")</f>
        <v>BSGatlas-TSS-2215</v>
      </c>
      <c r="B2216" s="3">
        <v>2801120</v>
      </c>
      <c r="C2216" s="1" t="s">
        <v>13</v>
      </c>
      <c r="D2216" s="1">
        <v>22</v>
      </c>
      <c r="E2216" s="1" t="s">
        <v>14722</v>
      </c>
      <c r="F2216" s="6"/>
      <c r="G2216" s="1" t="s">
        <v>14726</v>
      </c>
    </row>
    <row r="2217" spans="1:7" ht="21" x14ac:dyDescent="0.25">
      <c r="A2217" s="2" t="str">
        <f>HYPERLINK("https://rth.dk/resources/bsgatlas/details.php?id=BSGatlas-TSS-2216","BSGatlas-TSS-2216")</f>
        <v>BSGatlas-TSS-2216</v>
      </c>
      <c r="B2217" s="3">
        <v>2802123</v>
      </c>
      <c r="C2217" s="1" t="s">
        <v>9</v>
      </c>
      <c r="D2217" s="1">
        <v>22</v>
      </c>
      <c r="E2217" s="1" t="s">
        <v>14727</v>
      </c>
      <c r="F2217" s="6"/>
      <c r="G2217" s="1" t="s">
        <v>14733</v>
      </c>
    </row>
    <row r="2218" spans="1:7" ht="21" x14ac:dyDescent="0.25">
      <c r="A2218" s="2" t="str">
        <f>HYPERLINK("https://rth.dk/resources/bsgatlas/details.php?id=BSGatlas-TSS-2217","BSGatlas-TSS-2217")</f>
        <v>BSGatlas-TSS-2217</v>
      </c>
      <c r="B2218" s="3">
        <v>2802220</v>
      </c>
      <c r="C2218" s="1" t="s">
        <v>13</v>
      </c>
      <c r="D2218" s="1">
        <v>22</v>
      </c>
      <c r="E2218" s="1" t="s">
        <v>14732</v>
      </c>
      <c r="F2218" s="6"/>
      <c r="G2218" s="1" t="s">
        <v>14726</v>
      </c>
    </row>
    <row r="2219" spans="1:7" ht="21" x14ac:dyDescent="0.25">
      <c r="A2219" s="2" t="str">
        <f>HYPERLINK("https://rth.dk/resources/bsgatlas/details.php?id=BSGatlas-TSS-2218","BSGatlas-TSS-2218")</f>
        <v>BSGatlas-TSS-2218</v>
      </c>
      <c r="B2219" s="3">
        <v>2805815</v>
      </c>
      <c r="C2219" s="1" t="s">
        <v>13</v>
      </c>
      <c r="D2219" s="1">
        <v>22</v>
      </c>
      <c r="E2219" s="1" t="s">
        <v>14732</v>
      </c>
      <c r="F2219" s="6"/>
      <c r="G2219" s="1" t="s">
        <v>14726</v>
      </c>
    </row>
    <row r="2220" spans="1:7" ht="21" x14ac:dyDescent="0.25">
      <c r="A2220" s="2" t="str">
        <f>HYPERLINK("https://rth.dk/resources/bsgatlas/details.php?id=BSGatlas-TSS-2219","BSGatlas-TSS-2219")</f>
        <v>BSGatlas-TSS-2219</v>
      </c>
      <c r="B2220" s="3">
        <v>2806195</v>
      </c>
      <c r="C2220" s="1" t="s">
        <v>13</v>
      </c>
      <c r="D2220" s="1">
        <v>0</v>
      </c>
      <c r="E2220" s="1" t="s">
        <v>14743</v>
      </c>
      <c r="F2220" s="6">
        <v>16497325</v>
      </c>
      <c r="G2220" s="1" t="s">
        <v>14730</v>
      </c>
    </row>
    <row r="2221" spans="1:7" ht="21" x14ac:dyDescent="0.25">
      <c r="A2221" s="2" t="str">
        <f>HYPERLINK("https://rth.dk/resources/bsgatlas/details.php?id=BSGatlas-TSS-2220","BSGatlas-TSS-2220")</f>
        <v>BSGatlas-TSS-2220</v>
      </c>
      <c r="B2221" s="3">
        <v>2806546</v>
      </c>
      <c r="C2221" s="1" t="s">
        <v>9</v>
      </c>
      <c r="D2221" s="1">
        <v>22</v>
      </c>
      <c r="E2221" s="1" t="s">
        <v>14732</v>
      </c>
      <c r="F2221" s="6"/>
      <c r="G2221" s="1" t="s">
        <v>14726</v>
      </c>
    </row>
    <row r="2222" spans="1:7" ht="21" x14ac:dyDescent="0.25">
      <c r="A2222" s="2" t="str">
        <f>HYPERLINK("https://rth.dk/resources/bsgatlas/details.php?id=BSGatlas-TSS-2221","BSGatlas-TSS-2221")</f>
        <v>BSGatlas-TSS-2221</v>
      </c>
      <c r="B2222" s="3">
        <v>2811277</v>
      </c>
      <c r="C2222" s="1" t="s">
        <v>13</v>
      </c>
      <c r="D2222" s="1">
        <v>22</v>
      </c>
      <c r="E2222" s="1" t="s">
        <v>14722</v>
      </c>
      <c r="F2222" s="6"/>
      <c r="G2222" s="1" t="s">
        <v>14726</v>
      </c>
    </row>
    <row r="2223" spans="1:7" ht="21" x14ac:dyDescent="0.25">
      <c r="A2223" s="2" t="str">
        <f>HYPERLINK("https://rth.dk/resources/bsgatlas/details.php?id=BSGatlas-TSS-2222","BSGatlas-TSS-2222")</f>
        <v>BSGatlas-TSS-2222</v>
      </c>
      <c r="B2223" s="3">
        <v>2812216</v>
      </c>
      <c r="C2223" s="1" t="s">
        <v>13</v>
      </c>
      <c r="D2223" s="1">
        <v>0</v>
      </c>
      <c r="E2223" s="1" t="s">
        <v>14722</v>
      </c>
      <c r="F2223" s="6" t="s">
        <v>15010</v>
      </c>
      <c r="G2223" s="1" t="s">
        <v>14724</v>
      </c>
    </row>
    <row r="2224" spans="1:7" ht="21" x14ac:dyDescent="0.25">
      <c r="A2224" s="2" t="str">
        <f>HYPERLINK("https://rth.dk/resources/bsgatlas/details.php?id=BSGatlas-TSS-2223","BSGatlas-TSS-2223")</f>
        <v>BSGatlas-TSS-2223</v>
      </c>
      <c r="B2224" s="3">
        <v>2812308</v>
      </c>
      <c r="C2224" s="1" t="s">
        <v>9</v>
      </c>
      <c r="D2224" s="1">
        <v>22</v>
      </c>
      <c r="E2224" s="1" t="s">
        <v>14722</v>
      </c>
      <c r="F2224" s="6"/>
      <c r="G2224" s="1" t="s">
        <v>14726</v>
      </c>
    </row>
    <row r="2225" spans="1:7" ht="21" x14ac:dyDescent="0.25">
      <c r="A2225" s="2" t="str">
        <f>HYPERLINK("https://rth.dk/resources/bsgatlas/details.php?id=BSGatlas-TSS-2224","BSGatlas-TSS-2224")</f>
        <v>BSGatlas-TSS-2224</v>
      </c>
      <c r="B2225" s="3">
        <v>2814678</v>
      </c>
      <c r="C2225" s="1" t="s">
        <v>9</v>
      </c>
      <c r="D2225" s="1">
        <v>22</v>
      </c>
      <c r="E2225" s="1" t="s">
        <v>14720</v>
      </c>
      <c r="F2225" s="6"/>
      <c r="G2225" s="1" t="s">
        <v>14726</v>
      </c>
    </row>
    <row r="2226" spans="1:7" ht="21" x14ac:dyDescent="0.25">
      <c r="A2226" s="2" t="str">
        <f>HYPERLINK("https://rth.dk/resources/bsgatlas/details.php?id=BSGatlas-TSS-2225","BSGatlas-TSS-2225")</f>
        <v>BSGatlas-TSS-2225</v>
      </c>
      <c r="B2226" s="3">
        <v>2814700</v>
      </c>
      <c r="C2226" s="1" t="s">
        <v>13</v>
      </c>
      <c r="D2226" s="1">
        <v>22</v>
      </c>
      <c r="E2226" s="1" t="s">
        <v>14722</v>
      </c>
      <c r="F2226" s="6"/>
      <c r="G2226" s="1" t="s">
        <v>14726</v>
      </c>
    </row>
    <row r="2227" spans="1:7" ht="21" x14ac:dyDescent="0.25">
      <c r="A2227" s="2" t="str">
        <f>HYPERLINK("https://rth.dk/resources/bsgatlas/details.php?id=BSGatlas-TSS-2226","BSGatlas-TSS-2226")</f>
        <v>BSGatlas-TSS-2226</v>
      </c>
      <c r="B2227" s="3">
        <v>2818161</v>
      </c>
      <c r="C2227" s="1" t="s">
        <v>9</v>
      </c>
      <c r="D2227" s="1">
        <v>22</v>
      </c>
      <c r="E2227" s="1" t="s">
        <v>14722</v>
      </c>
      <c r="F2227" s="6"/>
      <c r="G2227" s="1" t="s">
        <v>14733</v>
      </c>
    </row>
    <row r="2228" spans="1:7" ht="21" x14ac:dyDescent="0.25">
      <c r="A2228" s="2" t="str">
        <f>HYPERLINK("https://rth.dk/resources/bsgatlas/details.php?id=BSGatlas-TSS-2227","BSGatlas-TSS-2227")</f>
        <v>BSGatlas-TSS-2227</v>
      </c>
      <c r="B2228" s="3">
        <v>2818174</v>
      </c>
      <c r="C2228" s="1" t="s">
        <v>13</v>
      </c>
      <c r="D2228" s="1">
        <v>22</v>
      </c>
      <c r="E2228" s="1" t="s">
        <v>14722</v>
      </c>
      <c r="F2228" s="6"/>
      <c r="G2228" s="1" t="s">
        <v>14726</v>
      </c>
    </row>
    <row r="2229" spans="1:7" ht="21" x14ac:dyDescent="0.25">
      <c r="A2229" s="2" t="str">
        <f>HYPERLINK("https://rth.dk/resources/bsgatlas/details.php?id=BSGatlas-TSS-2228","BSGatlas-TSS-2228")</f>
        <v>BSGatlas-TSS-2228</v>
      </c>
      <c r="B2229" s="3">
        <v>2818409</v>
      </c>
      <c r="C2229" s="1" t="s">
        <v>13</v>
      </c>
      <c r="D2229" s="1">
        <v>22</v>
      </c>
      <c r="E2229" s="1" t="s">
        <v>14732</v>
      </c>
      <c r="F2229" s="6"/>
      <c r="G2229" s="1" t="s">
        <v>14726</v>
      </c>
    </row>
    <row r="2230" spans="1:7" ht="21" x14ac:dyDescent="0.25">
      <c r="A2230" s="2" t="str">
        <f>HYPERLINK("https://rth.dk/resources/bsgatlas/details.php?id=BSGatlas-TSS-2229","BSGatlas-TSS-2229")</f>
        <v>BSGatlas-TSS-2229</v>
      </c>
      <c r="B2230" s="3">
        <v>2818447</v>
      </c>
      <c r="C2230" s="1" t="s">
        <v>9</v>
      </c>
      <c r="D2230" s="1">
        <v>22</v>
      </c>
      <c r="E2230" s="1" t="s">
        <v>14752</v>
      </c>
      <c r="F2230" s="6"/>
      <c r="G2230" s="1" t="s">
        <v>14726</v>
      </c>
    </row>
    <row r="2231" spans="1:7" ht="21" x14ac:dyDescent="0.25">
      <c r="A2231" s="2" t="str">
        <f>HYPERLINK("https://rth.dk/resources/bsgatlas/details.php?id=BSGatlas-TSS-2230","BSGatlas-TSS-2230")</f>
        <v>BSGatlas-TSS-2230</v>
      </c>
      <c r="B2231" s="3">
        <v>2822769</v>
      </c>
      <c r="C2231" s="1" t="s">
        <v>13</v>
      </c>
      <c r="D2231" s="1">
        <v>22</v>
      </c>
      <c r="E2231" s="1" t="s">
        <v>14722</v>
      </c>
      <c r="F2231" s="6"/>
      <c r="G2231" s="1" t="s">
        <v>14726</v>
      </c>
    </row>
    <row r="2232" spans="1:7" ht="21" x14ac:dyDescent="0.25">
      <c r="A2232" s="2" t="str">
        <f>HYPERLINK("https://rth.dk/resources/bsgatlas/details.php?id=BSGatlas-TSS-2231","BSGatlas-TSS-2231")</f>
        <v>BSGatlas-TSS-2231</v>
      </c>
      <c r="B2232" s="3">
        <v>2822806</v>
      </c>
      <c r="C2232" s="1" t="s">
        <v>13</v>
      </c>
      <c r="D2232" s="1">
        <v>0</v>
      </c>
      <c r="E2232" s="1" t="s">
        <v>14734</v>
      </c>
      <c r="F2232" s="6" t="s">
        <v>15011</v>
      </c>
      <c r="G2232" s="1" t="s">
        <v>4382</v>
      </c>
    </row>
    <row r="2233" spans="1:7" ht="21" x14ac:dyDescent="0.25">
      <c r="A2233" s="2" t="str">
        <f>HYPERLINK("https://rth.dk/resources/bsgatlas/details.php?id=BSGatlas-TSS-2232","BSGatlas-TSS-2232")</f>
        <v>BSGatlas-TSS-2232</v>
      </c>
      <c r="B2233" s="3">
        <v>2823891</v>
      </c>
      <c r="C2233" s="1" t="s">
        <v>13</v>
      </c>
      <c r="D2233" s="1">
        <v>22</v>
      </c>
      <c r="E2233" s="1" t="s">
        <v>14725</v>
      </c>
      <c r="F2233" s="6"/>
      <c r="G2233" s="1" t="s">
        <v>14726</v>
      </c>
    </row>
    <row r="2234" spans="1:7" ht="21" x14ac:dyDescent="0.25">
      <c r="A2234" s="2" t="str">
        <f>HYPERLINK("https://rth.dk/resources/bsgatlas/details.php?id=BSGatlas-TSS-2233","BSGatlas-TSS-2233")</f>
        <v>BSGatlas-TSS-2233</v>
      </c>
      <c r="B2234" s="3">
        <v>2825804</v>
      </c>
      <c r="C2234" s="1" t="s">
        <v>13</v>
      </c>
      <c r="D2234" s="1">
        <v>22</v>
      </c>
      <c r="E2234" s="1" t="s">
        <v>14722</v>
      </c>
      <c r="F2234" s="6"/>
      <c r="G2234" s="1" t="s">
        <v>14726</v>
      </c>
    </row>
    <row r="2235" spans="1:7" ht="21" x14ac:dyDescent="0.25">
      <c r="A2235" s="2" t="str">
        <f>HYPERLINK("https://rth.dk/resources/bsgatlas/details.php?id=BSGatlas-TSS-2234","BSGatlas-TSS-2234")</f>
        <v>BSGatlas-TSS-2234</v>
      </c>
      <c r="B2235" s="3">
        <v>2826201</v>
      </c>
      <c r="C2235" s="1" t="s">
        <v>13</v>
      </c>
      <c r="D2235" s="1">
        <v>22</v>
      </c>
      <c r="E2235" s="1" t="s">
        <v>14734</v>
      </c>
      <c r="F2235" s="6"/>
      <c r="G2235" s="1" t="s">
        <v>14726</v>
      </c>
    </row>
    <row r="2236" spans="1:7" ht="21" x14ac:dyDescent="0.25">
      <c r="A2236" s="2" t="str">
        <f>HYPERLINK("https://rth.dk/resources/bsgatlas/details.php?id=BSGatlas-TSS-2235","BSGatlas-TSS-2235")</f>
        <v>BSGatlas-TSS-2235</v>
      </c>
      <c r="B2236" s="3">
        <v>2826818</v>
      </c>
      <c r="C2236" s="1" t="s">
        <v>13</v>
      </c>
      <c r="D2236" s="1">
        <v>22</v>
      </c>
      <c r="E2236" s="1" t="s">
        <v>14722</v>
      </c>
      <c r="F2236" s="6"/>
      <c r="G2236" s="1" t="s">
        <v>14733</v>
      </c>
    </row>
    <row r="2237" spans="1:7" ht="21" x14ac:dyDescent="0.25">
      <c r="A2237" s="2" t="str">
        <f>HYPERLINK("https://rth.dk/resources/bsgatlas/details.php?id=BSGatlas-TSS-2236","BSGatlas-TSS-2236")</f>
        <v>BSGatlas-TSS-2236</v>
      </c>
      <c r="B2237" s="3">
        <v>2828699</v>
      </c>
      <c r="C2237" s="1" t="s">
        <v>9</v>
      </c>
      <c r="D2237" s="1">
        <v>22</v>
      </c>
      <c r="E2237" s="1" t="s">
        <v>14722</v>
      </c>
      <c r="F2237" s="6"/>
      <c r="G2237" s="1" t="s">
        <v>14726</v>
      </c>
    </row>
    <row r="2238" spans="1:7" ht="21" x14ac:dyDescent="0.25">
      <c r="A2238" s="2" t="str">
        <f>HYPERLINK("https://rth.dk/resources/bsgatlas/details.php?id=BSGatlas-TSS-2237","BSGatlas-TSS-2237")</f>
        <v>BSGatlas-TSS-2237</v>
      </c>
      <c r="B2238" s="3">
        <v>2829513</v>
      </c>
      <c r="C2238" s="1" t="s">
        <v>9</v>
      </c>
      <c r="D2238" s="1">
        <v>22</v>
      </c>
      <c r="E2238" s="1" t="s">
        <v>14727</v>
      </c>
      <c r="F2238" s="6"/>
      <c r="G2238" s="1" t="s">
        <v>14726</v>
      </c>
    </row>
    <row r="2239" spans="1:7" ht="21" x14ac:dyDescent="0.25">
      <c r="A2239" s="2" t="str">
        <f>HYPERLINK("https://rth.dk/resources/bsgatlas/details.php?id=BSGatlas-TSS-2238","BSGatlas-TSS-2238")</f>
        <v>BSGatlas-TSS-2238</v>
      </c>
      <c r="B2239" s="3">
        <v>2829527</v>
      </c>
      <c r="C2239" s="1" t="s">
        <v>13</v>
      </c>
      <c r="D2239" s="1">
        <v>22</v>
      </c>
      <c r="E2239" s="1" t="s">
        <v>14722</v>
      </c>
      <c r="F2239" s="6"/>
      <c r="G2239" s="1" t="s">
        <v>14733</v>
      </c>
    </row>
    <row r="2240" spans="1:7" ht="21" x14ac:dyDescent="0.25">
      <c r="A2240" s="2" t="str">
        <f>HYPERLINK("https://rth.dk/resources/bsgatlas/details.php?id=BSGatlas-TSS-2239","BSGatlas-TSS-2239")</f>
        <v>BSGatlas-TSS-2239</v>
      </c>
      <c r="B2240" s="3">
        <v>2830447</v>
      </c>
      <c r="C2240" s="1" t="s">
        <v>13</v>
      </c>
      <c r="D2240" s="1">
        <v>22</v>
      </c>
      <c r="E2240" s="1" t="s">
        <v>14745</v>
      </c>
      <c r="F2240" s="6"/>
      <c r="G2240" s="1" t="s">
        <v>14733</v>
      </c>
    </row>
    <row r="2241" spans="1:7" ht="21" x14ac:dyDescent="0.25">
      <c r="A2241" s="2" t="str">
        <f>HYPERLINK("https://rth.dk/resources/bsgatlas/details.php?id=BSGatlas-TSS-2240","BSGatlas-TSS-2240")</f>
        <v>BSGatlas-TSS-2240</v>
      </c>
      <c r="B2241" s="3">
        <v>2831811</v>
      </c>
      <c r="C2241" s="1" t="s">
        <v>13</v>
      </c>
      <c r="D2241" s="1">
        <v>22</v>
      </c>
      <c r="E2241" s="1" t="s">
        <v>14732</v>
      </c>
      <c r="F2241" s="6"/>
      <c r="G2241" s="1" t="s">
        <v>14726</v>
      </c>
    </row>
    <row r="2242" spans="1:7" ht="21" x14ac:dyDescent="0.25">
      <c r="A2242" s="2" t="str">
        <f>HYPERLINK("https://rth.dk/resources/bsgatlas/details.php?id=BSGatlas-TSS-2241","BSGatlas-TSS-2241")</f>
        <v>BSGatlas-TSS-2241</v>
      </c>
      <c r="B2242" s="3">
        <v>2831887</v>
      </c>
      <c r="C2242" s="1" t="s">
        <v>9</v>
      </c>
      <c r="D2242" s="1">
        <v>22</v>
      </c>
      <c r="E2242" s="1" t="s">
        <v>14727</v>
      </c>
      <c r="F2242" s="6"/>
      <c r="G2242" s="1" t="s">
        <v>14726</v>
      </c>
    </row>
    <row r="2243" spans="1:7" ht="21" x14ac:dyDescent="0.25">
      <c r="A2243" s="2" t="str">
        <f>HYPERLINK("https://rth.dk/resources/bsgatlas/details.php?id=BSGatlas-TSS-2242","BSGatlas-TSS-2242")</f>
        <v>BSGatlas-TSS-2242</v>
      </c>
      <c r="B2243" s="3">
        <v>2832779</v>
      </c>
      <c r="C2243" s="1" t="s">
        <v>13</v>
      </c>
      <c r="D2243" s="1">
        <v>22</v>
      </c>
      <c r="E2243" s="1" t="s">
        <v>14720</v>
      </c>
      <c r="F2243" s="6"/>
      <c r="G2243" s="1" t="s">
        <v>14726</v>
      </c>
    </row>
    <row r="2244" spans="1:7" ht="21" x14ac:dyDescent="0.25">
      <c r="A2244" s="2" t="str">
        <f>HYPERLINK("https://rth.dk/resources/bsgatlas/details.php?id=BSGatlas-TSS-2243","BSGatlas-TSS-2243")</f>
        <v>BSGatlas-TSS-2243</v>
      </c>
      <c r="B2244" s="3">
        <v>2832823</v>
      </c>
      <c r="C2244" s="1" t="s">
        <v>13</v>
      </c>
      <c r="D2244" s="1">
        <v>22</v>
      </c>
      <c r="E2244" s="1" t="s">
        <v>14722</v>
      </c>
      <c r="F2244" s="6"/>
      <c r="G2244" s="1" t="s">
        <v>14726</v>
      </c>
    </row>
    <row r="2245" spans="1:7" ht="21" x14ac:dyDescent="0.25">
      <c r="A2245" s="2" t="str">
        <f>HYPERLINK("https://rth.dk/resources/bsgatlas/details.php?id=BSGatlas-TSS-2244","BSGatlas-TSS-2244")</f>
        <v>BSGatlas-TSS-2244</v>
      </c>
      <c r="B2245" s="3">
        <v>2836805</v>
      </c>
      <c r="C2245" s="1" t="s">
        <v>13</v>
      </c>
      <c r="D2245" s="1">
        <v>22</v>
      </c>
      <c r="E2245" s="1" t="s">
        <v>14722</v>
      </c>
      <c r="F2245" s="6"/>
      <c r="G2245" s="1" t="s">
        <v>14726</v>
      </c>
    </row>
    <row r="2246" spans="1:7" ht="21" x14ac:dyDescent="0.25">
      <c r="A2246" s="2" t="str">
        <f>HYPERLINK("https://rth.dk/resources/bsgatlas/details.php?id=BSGatlas-TSS-2245","BSGatlas-TSS-2245")</f>
        <v>BSGatlas-TSS-2245</v>
      </c>
      <c r="B2246" s="3">
        <v>2837446</v>
      </c>
      <c r="C2246" s="1" t="s">
        <v>13</v>
      </c>
      <c r="D2246" s="1">
        <v>0</v>
      </c>
      <c r="E2246" s="1" t="s">
        <v>14849</v>
      </c>
      <c r="F2246" s="6">
        <v>9025289</v>
      </c>
      <c r="G2246" s="1" t="s">
        <v>14730</v>
      </c>
    </row>
    <row r="2247" spans="1:7" ht="21" x14ac:dyDescent="0.25">
      <c r="A2247" s="2" t="str">
        <f>HYPERLINK("https://rth.dk/resources/bsgatlas/details.php?id=BSGatlas-TSS-2246","BSGatlas-TSS-2246")</f>
        <v>BSGatlas-TSS-2246</v>
      </c>
      <c r="B2247" s="3">
        <v>2838815</v>
      </c>
      <c r="C2247" s="1" t="s">
        <v>13</v>
      </c>
      <c r="D2247" s="1">
        <v>22</v>
      </c>
      <c r="E2247" s="1" t="s">
        <v>14734</v>
      </c>
      <c r="F2247" s="6"/>
      <c r="G2247" s="1" t="s">
        <v>14726</v>
      </c>
    </row>
    <row r="2248" spans="1:7" ht="21" x14ac:dyDescent="0.25">
      <c r="A2248" s="2" t="str">
        <f>HYPERLINK("https://rth.dk/resources/bsgatlas/details.php?id=BSGatlas-TSS-2247","BSGatlas-TSS-2247")</f>
        <v>BSGatlas-TSS-2247</v>
      </c>
      <c r="B2248" s="3">
        <v>2839929</v>
      </c>
      <c r="C2248" s="1" t="s">
        <v>13</v>
      </c>
      <c r="D2248" s="1">
        <v>22</v>
      </c>
      <c r="E2248" s="1" t="s">
        <v>14722</v>
      </c>
      <c r="F2248" s="6"/>
      <c r="G2248" s="1" t="s">
        <v>14726</v>
      </c>
    </row>
    <row r="2249" spans="1:7" ht="21" x14ac:dyDescent="0.25">
      <c r="A2249" s="2" t="str">
        <f>HYPERLINK("https://rth.dk/resources/bsgatlas/details.php?id=BSGatlas-TSS-2248","BSGatlas-TSS-2248")</f>
        <v>BSGatlas-TSS-2248</v>
      </c>
      <c r="B2249" s="3">
        <v>2840027</v>
      </c>
      <c r="C2249" s="1" t="s">
        <v>9</v>
      </c>
      <c r="D2249" s="1">
        <v>22</v>
      </c>
      <c r="E2249" s="1" t="s">
        <v>14722</v>
      </c>
      <c r="F2249" s="6"/>
      <c r="G2249" s="1" t="s">
        <v>14726</v>
      </c>
    </row>
    <row r="2250" spans="1:7" ht="21" x14ac:dyDescent="0.25">
      <c r="A2250" s="2" t="str">
        <f>HYPERLINK("https://rth.dk/resources/bsgatlas/details.php?id=BSGatlas-TSS-2249","BSGatlas-TSS-2249")</f>
        <v>BSGatlas-TSS-2249</v>
      </c>
      <c r="B2250" s="3">
        <v>2840073</v>
      </c>
      <c r="C2250" s="1" t="s">
        <v>9</v>
      </c>
      <c r="D2250" s="1">
        <v>22</v>
      </c>
      <c r="E2250" s="1" t="s">
        <v>14727</v>
      </c>
      <c r="F2250" s="6"/>
      <c r="G2250" s="1" t="s">
        <v>14726</v>
      </c>
    </row>
    <row r="2251" spans="1:7" ht="21" x14ac:dyDescent="0.25">
      <c r="A2251" s="2" t="str">
        <f>HYPERLINK("https://rth.dk/resources/bsgatlas/details.php?id=BSGatlas-TSS-2250","BSGatlas-TSS-2250")</f>
        <v>BSGatlas-TSS-2250</v>
      </c>
      <c r="B2251" s="3">
        <v>2840973</v>
      </c>
      <c r="C2251" s="1" t="s">
        <v>13</v>
      </c>
      <c r="D2251" s="1">
        <v>22</v>
      </c>
      <c r="E2251" s="1" t="s">
        <v>14720</v>
      </c>
      <c r="F2251" s="6"/>
      <c r="G2251" s="1" t="s">
        <v>14726</v>
      </c>
    </row>
    <row r="2252" spans="1:7" ht="21" x14ac:dyDescent="0.25">
      <c r="A2252" s="2" t="str">
        <f>HYPERLINK("https://rth.dk/resources/bsgatlas/details.php?id=BSGatlas-TSS-2251","BSGatlas-TSS-2251")</f>
        <v>BSGatlas-TSS-2251</v>
      </c>
      <c r="B2252" s="3">
        <v>2841021</v>
      </c>
      <c r="C2252" s="1" t="s">
        <v>9</v>
      </c>
      <c r="D2252" s="1">
        <v>22</v>
      </c>
      <c r="E2252" s="1" t="s">
        <v>14722</v>
      </c>
      <c r="F2252" s="6"/>
      <c r="G2252" s="1" t="s">
        <v>14733</v>
      </c>
    </row>
    <row r="2253" spans="1:7" ht="21" x14ac:dyDescent="0.25">
      <c r="A2253" s="2" t="str">
        <f>HYPERLINK("https://rth.dk/resources/bsgatlas/details.php?id=BSGatlas-TSS-2252","BSGatlas-TSS-2252")</f>
        <v>BSGatlas-TSS-2252</v>
      </c>
      <c r="B2253" s="3">
        <v>2841518</v>
      </c>
      <c r="C2253" s="1" t="s">
        <v>9</v>
      </c>
      <c r="D2253" s="1">
        <v>22</v>
      </c>
      <c r="E2253" s="1" t="s">
        <v>14727</v>
      </c>
      <c r="F2253" s="6"/>
      <c r="G2253" s="1" t="s">
        <v>14726</v>
      </c>
    </row>
    <row r="2254" spans="1:7" ht="21" x14ac:dyDescent="0.25">
      <c r="A2254" s="2" t="str">
        <f>HYPERLINK("https://rth.dk/resources/bsgatlas/details.php?id=BSGatlas-TSS-2253","BSGatlas-TSS-2253")</f>
        <v>BSGatlas-TSS-2253</v>
      </c>
      <c r="B2254" s="3">
        <v>2841570</v>
      </c>
      <c r="C2254" s="1" t="s">
        <v>9</v>
      </c>
      <c r="D2254" s="1">
        <v>22</v>
      </c>
      <c r="E2254" s="1" t="s">
        <v>14720</v>
      </c>
      <c r="F2254" s="6"/>
      <c r="G2254" s="1" t="s">
        <v>14726</v>
      </c>
    </row>
    <row r="2255" spans="1:7" ht="21" x14ac:dyDescent="0.25">
      <c r="A2255" s="2" t="str">
        <f>HYPERLINK("https://rth.dk/resources/bsgatlas/details.php?id=BSGatlas-TSS-2254","BSGatlas-TSS-2254")</f>
        <v>BSGatlas-TSS-2254</v>
      </c>
      <c r="B2255" s="3">
        <v>2843868</v>
      </c>
      <c r="C2255" s="1" t="s">
        <v>13</v>
      </c>
      <c r="D2255" s="1">
        <v>22</v>
      </c>
      <c r="E2255" s="1" t="s">
        <v>14722</v>
      </c>
      <c r="F2255" s="6"/>
      <c r="G2255" s="1" t="s">
        <v>14726</v>
      </c>
    </row>
    <row r="2256" spans="1:7" ht="21" x14ac:dyDescent="0.25">
      <c r="A2256" s="2" t="str">
        <f>HYPERLINK("https://rth.dk/resources/bsgatlas/details.php?id=BSGatlas-TSS-2255","BSGatlas-TSS-2255")</f>
        <v>BSGatlas-TSS-2255</v>
      </c>
      <c r="B2256" s="3">
        <v>2844572</v>
      </c>
      <c r="C2256" s="1" t="s">
        <v>13</v>
      </c>
      <c r="D2256" s="1">
        <v>22</v>
      </c>
      <c r="E2256" s="1" t="s">
        <v>14732</v>
      </c>
      <c r="F2256" s="6"/>
      <c r="G2256" s="1" t="s">
        <v>14726</v>
      </c>
    </row>
    <row r="2257" spans="1:7" ht="21" x14ac:dyDescent="0.25">
      <c r="A2257" s="2" t="str">
        <f>HYPERLINK("https://rth.dk/resources/bsgatlas/details.php?id=BSGatlas-TSS-2256","BSGatlas-TSS-2256")</f>
        <v>BSGatlas-TSS-2256</v>
      </c>
      <c r="B2257" s="3">
        <v>2845894</v>
      </c>
      <c r="C2257" s="1" t="s">
        <v>13</v>
      </c>
      <c r="D2257" s="1">
        <v>0</v>
      </c>
      <c r="E2257" s="1" t="s">
        <v>14735</v>
      </c>
      <c r="F2257" s="6" t="s">
        <v>15012</v>
      </c>
      <c r="G2257" s="1" t="s">
        <v>14724</v>
      </c>
    </row>
    <row r="2258" spans="1:7" ht="21" x14ac:dyDescent="0.25">
      <c r="A2258" s="2" t="str">
        <f>HYPERLINK("https://rth.dk/resources/bsgatlas/details.php?id=BSGatlas-TSS-2257","BSGatlas-TSS-2257")</f>
        <v>BSGatlas-TSS-2257</v>
      </c>
      <c r="B2258" s="3">
        <v>2846662</v>
      </c>
      <c r="C2258" s="1" t="s">
        <v>13</v>
      </c>
      <c r="D2258" s="1">
        <v>22</v>
      </c>
      <c r="E2258" s="1" t="s">
        <v>14727</v>
      </c>
      <c r="F2258" s="6"/>
      <c r="G2258" s="1" t="s">
        <v>14726</v>
      </c>
    </row>
    <row r="2259" spans="1:7" ht="21" x14ac:dyDescent="0.25">
      <c r="A2259" s="2" t="str">
        <f>HYPERLINK("https://rth.dk/resources/bsgatlas/details.php?id=BSGatlas-TSS-2258","BSGatlas-TSS-2258")</f>
        <v>BSGatlas-TSS-2258</v>
      </c>
      <c r="B2259" s="3">
        <v>2846973</v>
      </c>
      <c r="C2259" s="1" t="s">
        <v>9</v>
      </c>
      <c r="D2259" s="1">
        <v>22</v>
      </c>
      <c r="E2259" s="1" t="s">
        <v>14720</v>
      </c>
      <c r="F2259" s="6"/>
      <c r="G2259" s="1" t="s">
        <v>14726</v>
      </c>
    </row>
    <row r="2260" spans="1:7" ht="21" x14ac:dyDescent="0.25">
      <c r="A2260" s="2" t="str">
        <f>HYPERLINK("https://rth.dk/resources/bsgatlas/details.php?id=BSGatlas-TSS-2259","BSGatlas-TSS-2259")</f>
        <v>BSGatlas-TSS-2259</v>
      </c>
      <c r="B2260" s="3">
        <v>2849497</v>
      </c>
      <c r="C2260" s="1" t="s">
        <v>13</v>
      </c>
      <c r="D2260" s="1">
        <v>0</v>
      </c>
      <c r="E2260" s="1" t="s">
        <v>14722</v>
      </c>
      <c r="F2260" s="6" t="s">
        <v>15013</v>
      </c>
      <c r="G2260" s="1" t="s">
        <v>14729</v>
      </c>
    </row>
    <row r="2261" spans="1:7" ht="21" x14ac:dyDescent="0.25">
      <c r="A2261" s="2" t="str">
        <f>HYPERLINK("https://rth.dk/resources/bsgatlas/details.php?id=BSGatlas-TSS-2260","BSGatlas-TSS-2260")</f>
        <v>BSGatlas-TSS-2260</v>
      </c>
      <c r="B2261" s="3">
        <v>2849532</v>
      </c>
      <c r="C2261" s="1" t="s">
        <v>9</v>
      </c>
      <c r="D2261" s="1">
        <v>0</v>
      </c>
      <c r="E2261" s="1" t="s">
        <v>14722</v>
      </c>
      <c r="F2261" s="6" t="s">
        <v>15013</v>
      </c>
      <c r="G2261" s="1" t="s">
        <v>14729</v>
      </c>
    </row>
    <row r="2262" spans="1:7" ht="21" x14ac:dyDescent="0.25">
      <c r="A2262" s="2" t="str">
        <f>HYPERLINK("https://rth.dk/resources/bsgatlas/details.php?id=BSGatlas-TSS-2261","BSGatlas-TSS-2261")</f>
        <v>BSGatlas-TSS-2261</v>
      </c>
      <c r="B2262" s="3">
        <v>2849588</v>
      </c>
      <c r="C2262" s="1" t="s">
        <v>13</v>
      </c>
      <c r="D2262" s="1">
        <v>22</v>
      </c>
      <c r="E2262" s="1" t="s">
        <v>14725</v>
      </c>
      <c r="F2262" s="6"/>
      <c r="G2262" s="1" t="s">
        <v>14726</v>
      </c>
    </row>
    <row r="2263" spans="1:7" ht="21" x14ac:dyDescent="0.25">
      <c r="A2263" s="2" t="str">
        <f>HYPERLINK("https://rth.dk/resources/bsgatlas/details.php?id=BSGatlas-TSS-2262","BSGatlas-TSS-2262")</f>
        <v>BSGatlas-TSS-2262</v>
      </c>
      <c r="B2263" s="3">
        <v>2850485</v>
      </c>
      <c r="C2263" s="1" t="s">
        <v>9</v>
      </c>
      <c r="D2263" s="1">
        <v>22</v>
      </c>
      <c r="E2263" s="1" t="s">
        <v>14722</v>
      </c>
      <c r="F2263" s="6"/>
      <c r="G2263" s="1" t="s">
        <v>14726</v>
      </c>
    </row>
    <row r="2264" spans="1:7" ht="21" x14ac:dyDescent="0.25">
      <c r="A2264" s="2" t="str">
        <f>HYPERLINK("https://rth.dk/resources/bsgatlas/details.php?id=BSGatlas-TSS-2263","BSGatlas-TSS-2263")</f>
        <v>BSGatlas-TSS-2263</v>
      </c>
      <c r="B2264" s="3">
        <v>2854611</v>
      </c>
      <c r="C2264" s="1" t="s">
        <v>13</v>
      </c>
      <c r="D2264" s="1">
        <v>0</v>
      </c>
      <c r="E2264" s="1" t="s">
        <v>14722</v>
      </c>
      <c r="F2264" s="6" t="s">
        <v>15014</v>
      </c>
      <c r="G2264" s="1" t="s">
        <v>14724</v>
      </c>
    </row>
    <row r="2265" spans="1:7" ht="21" x14ac:dyDescent="0.25">
      <c r="A2265" s="2" t="str">
        <f>HYPERLINK("https://rth.dk/resources/bsgatlas/details.php?id=BSGatlas-TSS-2264","BSGatlas-TSS-2264")</f>
        <v>BSGatlas-TSS-2264</v>
      </c>
      <c r="B2265" s="3">
        <v>2855947</v>
      </c>
      <c r="C2265" s="1" t="s">
        <v>13</v>
      </c>
      <c r="D2265" s="1">
        <v>22</v>
      </c>
      <c r="E2265" s="1" t="s">
        <v>14722</v>
      </c>
      <c r="F2265" s="6"/>
      <c r="G2265" s="1" t="s">
        <v>14726</v>
      </c>
    </row>
    <row r="2266" spans="1:7" ht="21" x14ac:dyDescent="0.25">
      <c r="A2266" s="2" t="str">
        <f>HYPERLINK("https://rth.dk/resources/bsgatlas/details.php?id=BSGatlas-TSS-2265","BSGatlas-TSS-2265")</f>
        <v>BSGatlas-TSS-2265</v>
      </c>
      <c r="B2266" s="3">
        <v>2857656</v>
      </c>
      <c r="C2266" s="1" t="s">
        <v>13</v>
      </c>
      <c r="D2266" s="1">
        <v>0</v>
      </c>
      <c r="E2266" s="1" t="s">
        <v>14735</v>
      </c>
      <c r="F2266" s="6" t="s">
        <v>15015</v>
      </c>
      <c r="G2266" s="1" t="s">
        <v>14729</v>
      </c>
    </row>
    <row r="2267" spans="1:7" ht="21" x14ac:dyDescent="0.25">
      <c r="A2267" s="2" t="str">
        <f>HYPERLINK("https://rth.dk/resources/bsgatlas/details.php?id=BSGatlas-TSS-2266","BSGatlas-TSS-2266")</f>
        <v>BSGatlas-TSS-2266</v>
      </c>
      <c r="B2267" s="3">
        <v>2857695</v>
      </c>
      <c r="C2267" s="1" t="s">
        <v>9</v>
      </c>
      <c r="D2267" s="1">
        <v>22</v>
      </c>
      <c r="E2267" s="1" t="s">
        <v>14720</v>
      </c>
      <c r="F2267" s="6"/>
      <c r="G2267" s="1" t="s">
        <v>14726</v>
      </c>
    </row>
    <row r="2268" spans="1:7" ht="21" x14ac:dyDescent="0.25">
      <c r="A2268" s="2" t="str">
        <f>HYPERLINK("https://rth.dk/resources/bsgatlas/details.php?id=BSGatlas-TSS-2267","BSGatlas-TSS-2267")</f>
        <v>BSGatlas-TSS-2267</v>
      </c>
      <c r="B2268" s="3">
        <v>2861789</v>
      </c>
      <c r="C2268" s="1" t="s">
        <v>13</v>
      </c>
      <c r="D2268" s="1">
        <v>22</v>
      </c>
      <c r="E2268" s="1" t="s">
        <v>14722</v>
      </c>
      <c r="F2268" s="6"/>
      <c r="G2268" s="1" t="s">
        <v>14726</v>
      </c>
    </row>
    <row r="2269" spans="1:7" ht="21" x14ac:dyDescent="0.25">
      <c r="A2269" s="2" t="str">
        <f>HYPERLINK("https://rth.dk/resources/bsgatlas/details.php?id=BSGatlas-TSS-2268","BSGatlas-TSS-2268")</f>
        <v>BSGatlas-TSS-2268</v>
      </c>
      <c r="B2269" s="3">
        <v>2863002</v>
      </c>
      <c r="C2269" s="1" t="s">
        <v>13</v>
      </c>
      <c r="D2269" s="1">
        <v>22</v>
      </c>
      <c r="E2269" s="1" t="s">
        <v>14739</v>
      </c>
      <c r="F2269" s="6"/>
      <c r="G2269" s="1" t="s">
        <v>14726</v>
      </c>
    </row>
    <row r="2270" spans="1:7" ht="21" x14ac:dyDescent="0.25">
      <c r="A2270" s="2" t="str">
        <f>HYPERLINK("https://rth.dk/resources/bsgatlas/details.php?id=BSGatlas-TSS-2269","BSGatlas-TSS-2269")</f>
        <v>BSGatlas-TSS-2269</v>
      </c>
      <c r="B2270" s="3">
        <v>2863196</v>
      </c>
      <c r="C2270" s="1" t="s">
        <v>13</v>
      </c>
      <c r="D2270" s="1">
        <v>22</v>
      </c>
      <c r="E2270" s="1" t="s">
        <v>14722</v>
      </c>
      <c r="F2270" s="6"/>
      <c r="G2270" s="1" t="s">
        <v>14726</v>
      </c>
    </row>
    <row r="2271" spans="1:7" ht="21" x14ac:dyDescent="0.25">
      <c r="A2271" s="2" t="str">
        <f>HYPERLINK("https://rth.dk/resources/bsgatlas/details.php?id=BSGatlas-TSS-2270","BSGatlas-TSS-2270")</f>
        <v>BSGatlas-TSS-2270</v>
      </c>
      <c r="B2271" s="3">
        <v>2864347</v>
      </c>
      <c r="C2271" s="1" t="s">
        <v>13</v>
      </c>
      <c r="D2271" s="1">
        <v>22</v>
      </c>
      <c r="E2271" s="1" t="s">
        <v>14722</v>
      </c>
      <c r="F2271" s="6"/>
      <c r="G2271" s="1" t="s">
        <v>14726</v>
      </c>
    </row>
    <row r="2272" spans="1:7" ht="21" x14ac:dyDescent="0.25">
      <c r="A2272" s="2" t="str">
        <f>HYPERLINK("https://rth.dk/resources/bsgatlas/details.php?id=BSGatlas-TSS-2271","BSGatlas-TSS-2271")</f>
        <v>BSGatlas-TSS-2271</v>
      </c>
      <c r="B2272" s="3">
        <v>2865200</v>
      </c>
      <c r="C2272" s="1" t="s">
        <v>13</v>
      </c>
      <c r="D2272" s="1">
        <v>0</v>
      </c>
      <c r="E2272" s="1" t="s">
        <v>14722</v>
      </c>
      <c r="F2272" s="6" t="s">
        <v>15016</v>
      </c>
      <c r="G2272" s="1" t="s">
        <v>14729</v>
      </c>
    </row>
    <row r="2273" spans="1:7" ht="21" x14ac:dyDescent="0.25">
      <c r="A2273" s="2" t="str">
        <f>HYPERLINK("https://rth.dk/resources/bsgatlas/details.php?id=BSGatlas-TSS-2272","BSGatlas-TSS-2272")</f>
        <v>BSGatlas-TSS-2272</v>
      </c>
      <c r="B2273" s="3">
        <v>2869618</v>
      </c>
      <c r="C2273" s="1" t="s">
        <v>13</v>
      </c>
      <c r="D2273" s="1">
        <v>0</v>
      </c>
      <c r="E2273" s="1" t="s">
        <v>14722</v>
      </c>
      <c r="F2273" s="6" t="s">
        <v>15017</v>
      </c>
      <c r="G2273" s="1" t="s">
        <v>14729</v>
      </c>
    </row>
    <row r="2274" spans="1:7" ht="21" x14ac:dyDescent="0.25">
      <c r="A2274" s="2" t="str">
        <f>HYPERLINK("https://rth.dk/resources/bsgatlas/details.php?id=BSGatlas-TSS-2273","BSGatlas-TSS-2273")</f>
        <v>BSGatlas-TSS-2273</v>
      </c>
      <c r="B2274" s="3">
        <v>2869716</v>
      </c>
      <c r="C2274" s="1" t="s">
        <v>9</v>
      </c>
      <c r="D2274" s="1">
        <v>22</v>
      </c>
      <c r="E2274" s="1" t="s">
        <v>14725</v>
      </c>
      <c r="F2274" s="6"/>
      <c r="G2274" s="1" t="s">
        <v>14726</v>
      </c>
    </row>
    <row r="2275" spans="1:7" ht="21" x14ac:dyDescent="0.25">
      <c r="A2275" s="2" t="str">
        <f>HYPERLINK("https://rth.dk/resources/bsgatlas/details.php?id=BSGatlas-TSS-2274","BSGatlas-TSS-2274")</f>
        <v>BSGatlas-TSS-2274</v>
      </c>
      <c r="B2275" s="3">
        <v>2869739</v>
      </c>
      <c r="C2275" s="1" t="s">
        <v>13</v>
      </c>
      <c r="D2275" s="1">
        <v>22</v>
      </c>
      <c r="E2275" s="1" t="s">
        <v>14720</v>
      </c>
      <c r="F2275" s="6"/>
      <c r="G2275" s="1" t="s">
        <v>14733</v>
      </c>
    </row>
    <row r="2276" spans="1:7" ht="21" x14ac:dyDescent="0.25">
      <c r="A2276" s="2" t="str">
        <f>HYPERLINK("https://rth.dk/resources/bsgatlas/details.php?id=BSGatlas-TSS-2275","BSGatlas-TSS-2275")</f>
        <v>BSGatlas-TSS-2275</v>
      </c>
      <c r="B2276" s="3">
        <v>2872376</v>
      </c>
      <c r="C2276" s="1" t="s">
        <v>9</v>
      </c>
      <c r="D2276" s="1">
        <v>22</v>
      </c>
      <c r="E2276" s="1" t="s">
        <v>14722</v>
      </c>
      <c r="F2276" s="6"/>
      <c r="G2276" s="1" t="s">
        <v>14726</v>
      </c>
    </row>
    <row r="2277" spans="1:7" ht="21" x14ac:dyDescent="0.25">
      <c r="A2277" s="2" t="str">
        <f>HYPERLINK("https://rth.dk/resources/bsgatlas/details.php?id=BSGatlas-TSS-2276","BSGatlas-TSS-2276")</f>
        <v>BSGatlas-TSS-2276</v>
      </c>
      <c r="B2277" s="3">
        <v>2872772</v>
      </c>
      <c r="C2277" s="1" t="s">
        <v>9</v>
      </c>
      <c r="D2277" s="1">
        <v>22</v>
      </c>
      <c r="E2277" s="1" t="s">
        <v>14720</v>
      </c>
      <c r="F2277" s="6"/>
      <c r="G2277" s="1" t="s">
        <v>14726</v>
      </c>
    </row>
    <row r="2278" spans="1:7" ht="21" x14ac:dyDescent="0.25">
      <c r="A2278" s="2" t="str">
        <f>HYPERLINK("https://rth.dk/resources/bsgatlas/details.php?id=BSGatlas-TSS-2277","BSGatlas-TSS-2277")</f>
        <v>BSGatlas-TSS-2277</v>
      </c>
      <c r="B2278" s="3">
        <v>2872790</v>
      </c>
      <c r="C2278" s="1" t="s">
        <v>13</v>
      </c>
      <c r="D2278" s="1">
        <v>0</v>
      </c>
      <c r="E2278" s="1" t="s">
        <v>14735</v>
      </c>
      <c r="F2278" s="6" t="s">
        <v>15018</v>
      </c>
      <c r="G2278" s="1" t="s">
        <v>14729</v>
      </c>
    </row>
    <row r="2279" spans="1:7" ht="21" x14ac:dyDescent="0.25">
      <c r="A2279" s="2" t="str">
        <f>HYPERLINK("https://rth.dk/resources/bsgatlas/details.php?id=BSGatlas-TSS-2278","BSGatlas-TSS-2278")</f>
        <v>BSGatlas-TSS-2278</v>
      </c>
      <c r="B2279" s="3">
        <v>2879203</v>
      </c>
      <c r="C2279" s="1" t="s">
        <v>13</v>
      </c>
      <c r="D2279" s="1">
        <v>22</v>
      </c>
      <c r="E2279" s="1" t="s">
        <v>14722</v>
      </c>
      <c r="F2279" s="6"/>
      <c r="G2279" s="1" t="s">
        <v>14726</v>
      </c>
    </row>
    <row r="2280" spans="1:7" ht="21" x14ac:dyDescent="0.25">
      <c r="A2280" s="2" t="str">
        <f>HYPERLINK("https://rth.dk/resources/bsgatlas/details.php?id=BSGatlas-TSS-2279","BSGatlas-TSS-2279")</f>
        <v>BSGatlas-TSS-2279</v>
      </c>
      <c r="B2280" s="3">
        <v>2879262</v>
      </c>
      <c r="C2280" s="1" t="s">
        <v>9</v>
      </c>
      <c r="D2280" s="1">
        <v>22</v>
      </c>
      <c r="E2280" s="1" t="s">
        <v>14722</v>
      </c>
      <c r="F2280" s="6"/>
      <c r="G2280" s="1" t="s">
        <v>14726</v>
      </c>
    </row>
    <row r="2281" spans="1:7" ht="21" x14ac:dyDescent="0.25">
      <c r="A2281" s="2" t="str">
        <f>HYPERLINK("https://rth.dk/resources/bsgatlas/details.php?id=BSGatlas-TSS-2280","BSGatlas-TSS-2280")</f>
        <v>BSGatlas-TSS-2280</v>
      </c>
      <c r="B2281" s="3">
        <v>2879294</v>
      </c>
      <c r="C2281" s="1" t="s">
        <v>13</v>
      </c>
      <c r="D2281" s="1">
        <v>22</v>
      </c>
      <c r="E2281" s="1" t="s">
        <v>14722</v>
      </c>
      <c r="F2281" s="6"/>
      <c r="G2281" s="1" t="s">
        <v>14733</v>
      </c>
    </row>
    <row r="2282" spans="1:7" ht="21" x14ac:dyDescent="0.25">
      <c r="A2282" s="2" t="str">
        <f>HYPERLINK("https://rth.dk/resources/bsgatlas/details.php?id=BSGatlas-TSS-2281","BSGatlas-TSS-2281")</f>
        <v>BSGatlas-TSS-2281</v>
      </c>
      <c r="B2282" s="3">
        <v>2879712</v>
      </c>
      <c r="C2282" s="1" t="s">
        <v>13</v>
      </c>
      <c r="D2282" s="1">
        <v>22</v>
      </c>
      <c r="E2282" s="1" t="s">
        <v>14734</v>
      </c>
      <c r="F2282" s="6"/>
      <c r="G2282" s="1" t="s">
        <v>14733</v>
      </c>
    </row>
    <row r="2283" spans="1:7" ht="21" x14ac:dyDescent="0.25">
      <c r="A2283" s="2" t="str">
        <f>HYPERLINK("https://rth.dk/resources/bsgatlas/details.php?id=BSGatlas-TSS-2282","BSGatlas-TSS-2282")</f>
        <v>BSGatlas-TSS-2282</v>
      </c>
      <c r="B2283" s="3">
        <v>2879844</v>
      </c>
      <c r="C2283" s="1" t="s">
        <v>13</v>
      </c>
      <c r="D2283" s="1">
        <v>22</v>
      </c>
      <c r="E2283" s="1" t="s">
        <v>14732</v>
      </c>
      <c r="F2283" s="6"/>
      <c r="G2283" s="1" t="s">
        <v>14733</v>
      </c>
    </row>
    <row r="2284" spans="1:7" ht="21" x14ac:dyDescent="0.25">
      <c r="A2284" s="2" t="str">
        <f>HYPERLINK("https://rth.dk/resources/bsgatlas/details.php?id=BSGatlas-TSS-2283","BSGatlas-TSS-2283")</f>
        <v>BSGatlas-TSS-2283</v>
      </c>
      <c r="B2284" s="3">
        <v>2882816</v>
      </c>
      <c r="C2284" s="1" t="s">
        <v>13</v>
      </c>
      <c r="D2284" s="1">
        <v>0</v>
      </c>
      <c r="E2284" s="1" t="s">
        <v>14722</v>
      </c>
      <c r="F2284" s="6" t="s">
        <v>15019</v>
      </c>
      <c r="G2284" s="1" t="s">
        <v>4382</v>
      </c>
    </row>
    <row r="2285" spans="1:7" ht="21" x14ac:dyDescent="0.25">
      <c r="A2285" s="2" t="str">
        <f>HYPERLINK("https://rth.dk/resources/bsgatlas/details.php?id=BSGatlas-TSS-2284","BSGatlas-TSS-2284")</f>
        <v>BSGatlas-TSS-2284</v>
      </c>
      <c r="B2285" s="3">
        <v>2882888</v>
      </c>
      <c r="C2285" s="1" t="s">
        <v>13</v>
      </c>
      <c r="D2285" s="1">
        <v>0</v>
      </c>
      <c r="E2285" s="1" t="s">
        <v>14722</v>
      </c>
      <c r="F2285" s="6" t="s">
        <v>15019</v>
      </c>
      <c r="G2285" s="1" t="s">
        <v>14724</v>
      </c>
    </row>
    <row r="2286" spans="1:7" ht="21" x14ac:dyDescent="0.25">
      <c r="A2286" s="2" t="str">
        <f>HYPERLINK("https://rth.dk/resources/bsgatlas/details.php?id=BSGatlas-TSS-2285","BSGatlas-TSS-2285")</f>
        <v>BSGatlas-TSS-2285</v>
      </c>
      <c r="B2286" s="3">
        <v>2884676</v>
      </c>
      <c r="C2286" s="1" t="s">
        <v>13</v>
      </c>
      <c r="D2286" s="1">
        <v>0</v>
      </c>
      <c r="E2286" s="1" t="s">
        <v>14849</v>
      </c>
      <c r="F2286" s="6" t="s">
        <v>15020</v>
      </c>
      <c r="G2286" s="1" t="s">
        <v>14729</v>
      </c>
    </row>
    <row r="2287" spans="1:7" ht="21" x14ac:dyDescent="0.25">
      <c r="A2287" s="2" t="str">
        <f>HYPERLINK("https://rth.dk/resources/bsgatlas/details.php?id=BSGatlas-TSS-2286","BSGatlas-TSS-2286")</f>
        <v>BSGatlas-TSS-2286</v>
      </c>
      <c r="B2287" s="3">
        <v>2886122</v>
      </c>
      <c r="C2287" s="1" t="s">
        <v>13</v>
      </c>
      <c r="D2287" s="1">
        <v>0</v>
      </c>
      <c r="E2287" s="1" t="s">
        <v>14722</v>
      </c>
      <c r="F2287" s="6" t="s">
        <v>15021</v>
      </c>
      <c r="G2287" s="1" t="s">
        <v>14724</v>
      </c>
    </row>
    <row r="2288" spans="1:7" ht="21" x14ac:dyDescent="0.25">
      <c r="A2288" s="2" t="str">
        <f>HYPERLINK("https://rth.dk/resources/bsgatlas/details.php?id=BSGatlas-TSS-2287","BSGatlas-TSS-2287")</f>
        <v>BSGatlas-TSS-2287</v>
      </c>
      <c r="B2288" s="3">
        <v>2887779</v>
      </c>
      <c r="C2288" s="1" t="s">
        <v>13</v>
      </c>
      <c r="D2288" s="1">
        <v>22</v>
      </c>
      <c r="E2288" s="1" t="s">
        <v>14722</v>
      </c>
      <c r="F2288" s="6"/>
      <c r="G2288" s="1" t="s">
        <v>14733</v>
      </c>
    </row>
    <row r="2289" spans="1:7" ht="21" x14ac:dyDescent="0.25">
      <c r="A2289" s="2" t="str">
        <f>HYPERLINK("https://rth.dk/resources/bsgatlas/details.php?id=BSGatlas-TSS-2288","BSGatlas-TSS-2288")</f>
        <v>BSGatlas-TSS-2288</v>
      </c>
      <c r="B2289" s="3">
        <v>2888864</v>
      </c>
      <c r="C2289" s="1" t="s">
        <v>13</v>
      </c>
      <c r="D2289" s="1">
        <v>22</v>
      </c>
      <c r="E2289" s="1" t="s">
        <v>14722</v>
      </c>
      <c r="F2289" s="6"/>
      <c r="G2289" s="1" t="s">
        <v>14726</v>
      </c>
    </row>
    <row r="2290" spans="1:7" ht="21" x14ac:dyDescent="0.25">
      <c r="A2290" s="2" t="str">
        <f>HYPERLINK("https://rth.dk/resources/bsgatlas/details.php?id=BSGatlas-TSS-2289","BSGatlas-TSS-2289")</f>
        <v>BSGatlas-TSS-2289</v>
      </c>
      <c r="B2290" s="3">
        <v>2890878</v>
      </c>
      <c r="C2290" s="1" t="s">
        <v>9</v>
      </c>
      <c r="D2290" s="1">
        <v>22</v>
      </c>
      <c r="E2290" s="1" t="s">
        <v>14720</v>
      </c>
      <c r="F2290" s="6"/>
      <c r="G2290" s="1" t="s">
        <v>14726</v>
      </c>
    </row>
    <row r="2291" spans="1:7" ht="21" x14ac:dyDescent="0.25">
      <c r="A2291" s="2" t="str">
        <f>HYPERLINK("https://rth.dk/resources/bsgatlas/details.php?id=BSGatlas-TSS-2290","BSGatlas-TSS-2290")</f>
        <v>BSGatlas-TSS-2290</v>
      </c>
      <c r="B2291" s="3">
        <v>2892550</v>
      </c>
      <c r="C2291" s="1" t="s">
        <v>9</v>
      </c>
      <c r="D2291" s="1">
        <v>22</v>
      </c>
      <c r="E2291" s="1" t="s">
        <v>14722</v>
      </c>
      <c r="F2291" s="6"/>
      <c r="G2291" s="1" t="s">
        <v>14726</v>
      </c>
    </row>
    <row r="2292" spans="1:7" ht="21" x14ac:dyDescent="0.25">
      <c r="A2292" s="2" t="str">
        <f>HYPERLINK("https://rth.dk/resources/bsgatlas/details.php?id=BSGatlas-TSS-2291","BSGatlas-TSS-2291")</f>
        <v>BSGatlas-TSS-2291</v>
      </c>
      <c r="B2292" s="3">
        <v>2894993</v>
      </c>
      <c r="C2292" s="1" t="s">
        <v>9</v>
      </c>
      <c r="D2292" s="1">
        <v>22</v>
      </c>
      <c r="E2292" s="1" t="s">
        <v>14720</v>
      </c>
      <c r="F2292" s="6"/>
      <c r="G2292" s="1" t="s">
        <v>14726</v>
      </c>
    </row>
    <row r="2293" spans="1:7" ht="21" x14ac:dyDescent="0.25">
      <c r="A2293" s="2" t="str">
        <f>HYPERLINK("https://rth.dk/resources/bsgatlas/details.php?id=BSGatlas-TSS-2292","BSGatlas-TSS-2292")</f>
        <v>BSGatlas-TSS-2292</v>
      </c>
      <c r="B2293" s="3">
        <v>2897454</v>
      </c>
      <c r="C2293" s="1" t="s">
        <v>13</v>
      </c>
      <c r="D2293" s="1">
        <v>0</v>
      </c>
      <c r="E2293" s="1" t="s">
        <v>14722</v>
      </c>
      <c r="F2293" s="6" t="s">
        <v>15022</v>
      </c>
      <c r="G2293" s="1" t="s">
        <v>14724</v>
      </c>
    </row>
    <row r="2294" spans="1:7" ht="21" x14ac:dyDescent="0.25">
      <c r="A2294" s="2" t="str">
        <f>HYPERLINK("https://rth.dk/resources/bsgatlas/details.php?id=BSGatlas-TSS-2293","BSGatlas-TSS-2293")</f>
        <v>BSGatlas-TSS-2293</v>
      </c>
      <c r="B2294" s="3">
        <v>2897603</v>
      </c>
      <c r="C2294" s="1" t="s">
        <v>13</v>
      </c>
      <c r="D2294" s="1">
        <v>22</v>
      </c>
      <c r="E2294" s="1" t="s">
        <v>14722</v>
      </c>
      <c r="F2294" s="6"/>
      <c r="G2294" s="1" t="s">
        <v>14733</v>
      </c>
    </row>
    <row r="2295" spans="1:7" ht="21" x14ac:dyDescent="0.25">
      <c r="A2295" s="2" t="str">
        <f>HYPERLINK("https://rth.dk/resources/bsgatlas/details.php?id=BSGatlas-TSS-2294","BSGatlas-TSS-2294")</f>
        <v>BSGatlas-TSS-2294</v>
      </c>
      <c r="B2295" s="3">
        <v>2897762</v>
      </c>
      <c r="C2295" s="1" t="s">
        <v>9</v>
      </c>
      <c r="D2295" s="1">
        <v>0</v>
      </c>
      <c r="E2295" s="1" t="s">
        <v>14725</v>
      </c>
      <c r="F2295" s="6" t="s">
        <v>14829</v>
      </c>
      <c r="G2295" s="1" t="s">
        <v>14729</v>
      </c>
    </row>
    <row r="2296" spans="1:7" ht="21" x14ac:dyDescent="0.25">
      <c r="A2296" s="2" t="str">
        <f>HYPERLINK("https://rth.dk/resources/bsgatlas/details.php?id=BSGatlas-TSS-2295","BSGatlas-TSS-2295")</f>
        <v>BSGatlas-TSS-2295</v>
      </c>
      <c r="B2296" s="3">
        <v>2898227</v>
      </c>
      <c r="C2296" s="1" t="s">
        <v>9</v>
      </c>
      <c r="D2296" s="1">
        <v>22</v>
      </c>
      <c r="E2296" s="1" t="s">
        <v>14722</v>
      </c>
      <c r="F2296" s="6"/>
      <c r="G2296" s="1" t="s">
        <v>14733</v>
      </c>
    </row>
    <row r="2297" spans="1:7" ht="21" x14ac:dyDescent="0.25">
      <c r="A2297" s="2" t="str">
        <f>HYPERLINK("https://rth.dk/resources/bsgatlas/details.php?id=BSGatlas-TSS-2296","BSGatlas-TSS-2296")</f>
        <v>BSGatlas-TSS-2296</v>
      </c>
      <c r="B2297" s="3">
        <v>2898882</v>
      </c>
      <c r="C2297" s="1" t="s">
        <v>9</v>
      </c>
      <c r="D2297" s="1">
        <v>22</v>
      </c>
      <c r="E2297" s="1" t="s">
        <v>14734</v>
      </c>
      <c r="F2297" s="6"/>
      <c r="G2297" s="1" t="s">
        <v>14726</v>
      </c>
    </row>
    <row r="2298" spans="1:7" ht="21" x14ac:dyDescent="0.25">
      <c r="A2298" s="2" t="str">
        <f>HYPERLINK("https://rth.dk/resources/bsgatlas/details.php?id=BSGatlas-TSS-2297","BSGatlas-TSS-2297")</f>
        <v>BSGatlas-TSS-2297</v>
      </c>
      <c r="B2298" s="3">
        <v>2899929</v>
      </c>
      <c r="C2298" s="1" t="s">
        <v>13</v>
      </c>
      <c r="D2298" s="1">
        <v>22</v>
      </c>
      <c r="E2298" s="1" t="s">
        <v>14722</v>
      </c>
      <c r="F2298" s="6"/>
      <c r="G2298" s="1" t="s">
        <v>14726</v>
      </c>
    </row>
    <row r="2299" spans="1:7" ht="21" x14ac:dyDescent="0.25">
      <c r="A2299" s="2" t="str">
        <f>HYPERLINK("https://rth.dk/resources/bsgatlas/details.php?id=BSGatlas-TSS-2298","BSGatlas-TSS-2298")</f>
        <v>BSGatlas-TSS-2298</v>
      </c>
      <c r="B2299" s="3">
        <v>2901989</v>
      </c>
      <c r="C2299" s="1" t="s">
        <v>13</v>
      </c>
      <c r="D2299" s="1">
        <v>22</v>
      </c>
      <c r="E2299" s="1" t="s">
        <v>14722</v>
      </c>
      <c r="F2299" s="6"/>
      <c r="G2299" s="1" t="s">
        <v>14726</v>
      </c>
    </row>
    <row r="2300" spans="1:7" ht="21" x14ac:dyDescent="0.25">
      <c r="A2300" s="2" t="str">
        <f>HYPERLINK("https://rth.dk/resources/bsgatlas/details.php?id=BSGatlas-TSS-2299","BSGatlas-TSS-2299")</f>
        <v>BSGatlas-TSS-2299</v>
      </c>
      <c r="B2300" s="3">
        <v>2903127</v>
      </c>
      <c r="C2300" s="1" t="s">
        <v>13</v>
      </c>
      <c r="D2300" s="1">
        <v>0</v>
      </c>
      <c r="E2300" s="1" t="s">
        <v>14735</v>
      </c>
      <c r="F2300" s="6" t="s">
        <v>14767</v>
      </c>
      <c r="G2300" s="1" t="s">
        <v>14729</v>
      </c>
    </row>
    <row r="2301" spans="1:7" ht="21" x14ac:dyDescent="0.25">
      <c r="A2301" s="2" t="str">
        <f>HYPERLINK("https://rth.dk/resources/bsgatlas/details.php?id=BSGatlas-TSS-2300","BSGatlas-TSS-2300")</f>
        <v>BSGatlas-TSS-2300</v>
      </c>
      <c r="B2301" s="3">
        <v>2904535</v>
      </c>
      <c r="C2301" s="1" t="s">
        <v>13</v>
      </c>
      <c r="D2301" s="1">
        <v>22</v>
      </c>
      <c r="E2301" s="1" t="s">
        <v>14722</v>
      </c>
      <c r="F2301" s="6"/>
      <c r="G2301" s="1" t="s">
        <v>14726</v>
      </c>
    </row>
    <row r="2302" spans="1:7" ht="21" x14ac:dyDescent="0.25">
      <c r="A2302" s="2" t="str">
        <f>HYPERLINK("https://rth.dk/resources/bsgatlas/details.php?id=BSGatlas-TSS-2301","BSGatlas-TSS-2301")</f>
        <v>BSGatlas-TSS-2301</v>
      </c>
      <c r="B2302" s="3">
        <v>2905000</v>
      </c>
      <c r="C2302" s="1" t="s">
        <v>9</v>
      </c>
      <c r="D2302" s="1">
        <v>22</v>
      </c>
      <c r="E2302" s="1" t="s">
        <v>14722</v>
      </c>
      <c r="F2302" s="6"/>
      <c r="G2302" s="1" t="s">
        <v>14726</v>
      </c>
    </row>
    <row r="2303" spans="1:7" ht="21" x14ac:dyDescent="0.25">
      <c r="A2303" s="2" t="str">
        <f>HYPERLINK("https://rth.dk/resources/bsgatlas/details.php?id=BSGatlas-TSS-2302","BSGatlas-TSS-2302")</f>
        <v>BSGatlas-TSS-2302</v>
      </c>
      <c r="B2303" s="3">
        <v>2905013</v>
      </c>
      <c r="C2303" s="1" t="s">
        <v>13</v>
      </c>
      <c r="D2303" s="1">
        <v>0</v>
      </c>
      <c r="E2303" s="1" t="s">
        <v>14725</v>
      </c>
      <c r="F2303" s="6" t="s">
        <v>15023</v>
      </c>
      <c r="G2303" s="1" t="s">
        <v>14729</v>
      </c>
    </row>
    <row r="2304" spans="1:7" ht="21" x14ac:dyDescent="0.25">
      <c r="A2304" s="2" t="str">
        <f>HYPERLINK("https://rth.dk/resources/bsgatlas/details.php?id=BSGatlas-TSS-2303","BSGatlas-TSS-2303")</f>
        <v>BSGatlas-TSS-2303</v>
      </c>
      <c r="B2304" s="3">
        <v>2908529</v>
      </c>
      <c r="C2304" s="1" t="s">
        <v>9</v>
      </c>
      <c r="D2304" s="1">
        <v>22</v>
      </c>
      <c r="E2304" s="1" t="s">
        <v>14722</v>
      </c>
      <c r="F2304" s="6"/>
      <c r="G2304" s="1" t="s">
        <v>14726</v>
      </c>
    </row>
    <row r="2305" spans="1:7" ht="21" x14ac:dyDescent="0.25">
      <c r="A2305" s="2" t="str">
        <f>HYPERLINK("https://rth.dk/resources/bsgatlas/details.php?id=BSGatlas-TSS-2304","BSGatlas-TSS-2304")</f>
        <v>BSGatlas-TSS-2304</v>
      </c>
      <c r="B2305" s="3">
        <v>2908827</v>
      </c>
      <c r="C2305" s="1" t="s">
        <v>13</v>
      </c>
      <c r="D2305" s="1">
        <v>0</v>
      </c>
      <c r="E2305" s="1" t="s">
        <v>14722</v>
      </c>
      <c r="F2305" s="6">
        <v>2495271</v>
      </c>
      <c r="G2305" s="1" t="s">
        <v>14724</v>
      </c>
    </row>
    <row r="2306" spans="1:7" ht="21" x14ac:dyDescent="0.25">
      <c r="A2306" s="2" t="str">
        <f>HYPERLINK("https://rth.dk/resources/bsgatlas/details.php?id=BSGatlas-TSS-2305","BSGatlas-TSS-2305")</f>
        <v>BSGatlas-TSS-2305</v>
      </c>
      <c r="B2306" s="3">
        <v>2909002</v>
      </c>
      <c r="C2306" s="1" t="s">
        <v>9</v>
      </c>
      <c r="D2306" s="1">
        <v>22</v>
      </c>
      <c r="E2306" s="1" t="s">
        <v>14722</v>
      </c>
      <c r="F2306" s="6"/>
      <c r="G2306" s="1" t="s">
        <v>14726</v>
      </c>
    </row>
    <row r="2307" spans="1:7" ht="21" x14ac:dyDescent="0.25">
      <c r="A2307" s="2" t="str">
        <f>HYPERLINK("https://rth.dk/resources/bsgatlas/details.php?id=BSGatlas-TSS-2306","BSGatlas-TSS-2306")</f>
        <v>BSGatlas-TSS-2306</v>
      </c>
      <c r="B2307" s="3">
        <v>2909046</v>
      </c>
      <c r="C2307" s="1" t="s">
        <v>9</v>
      </c>
      <c r="D2307" s="1">
        <v>22</v>
      </c>
      <c r="E2307" s="1" t="s">
        <v>14720</v>
      </c>
      <c r="F2307" s="6"/>
      <c r="G2307" s="1" t="s">
        <v>14726</v>
      </c>
    </row>
    <row r="2308" spans="1:7" ht="21" x14ac:dyDescent="0.25">
      <c r="A2308" s="2" t="str">
        <f>HYPERLINK("https://rth.dk/resources/bsgatlas/details.php?id=BSGatlas-TSS-2307","BSGatlas-TSS-2307")</f>
        <v>BSGatlas-TSS-2307</v>
      </c>
      <c r="B2308" s="3">
        <v>2911077</v>
      </c>
      <c r="C2308" s="1" t="s">
        <v>13</v>
      </c>
      <c r="D2308" s="1">
        <v>0</v>
      </c>
      <c r="E2308" s="1" t="s">
        <v>14722</v>
      </c>
      <c r="F2308" s="6" t="s">
        <v>15024</v>
      </c>
      <c r="G2308" s="1" t="s">
        <v>14729</v>
      </c>
    </row>
    <row r="2309" spans="1:7" ht="21" x14ac:dyDescent="0.25">
      <c r="A2309" s="2" t="str">
        <f>HYPERLINK("https://rth.dk/resources/bsgatlas/details.php?id=BSGatlas-TSS-2308","BSGatlas-TSS-2308")</f>
        <v>BSGatlas-TSS-2308</v>
      </c>
      <c r="B2309" s="3">
        <v>2912929</v>
      </c>
      <c r="C2309" s="1" t="s">
        <v>13</v>
      </c>
      <c r="D2309" s="1">
        <v>22</v>
      </c>
      <c r="E2309" s="1" t="s">
        <v>14722</v>
      </c>
      <c r="F2309" s="6"/>
      <c r="G2309" s="1" t="s">
        <v>14726</v>
      </c>
    </row>
    <row r="2310" spans="1:7" ht="21" x14ac:dyDescent="0.25">
      <c r="A2310" s="2" t="str">
        <f>HYPERLINK("https://rth.dk/resources/bsgatlas/details.php?id=BSGatlas-TSS-2309","BSGatlas-TSS-2309")</f>
        <v>BSGatlas-TSS-2309</v>
      </c>
      <c r="B2310" s="3">
        <v>2913368</v>
      </c>
      <c r="C2310" s="1" t="s">
        <v>13</v>
      </c>
      <c r="D2310" s="1">
        <v>0</v>
      </c>
      <c r="E2310" s="1" t="s">
        <v>14722</v>
      </c>
      <c r="F2310" s="6" t="s">
        <v>15025</v>
      </c>
      <c r="G2310" s="1" t="s">
        <v>14729</v>
      </c>
    </row>
    <row r="2311" spans="1:7" ht="21" x14ac:dyDescent="0.25">
      <c r="A2311" s="2" t="str">
        <f>HYPERLINK("https://rth.dk/resources/bsgatlas/details.php?id=BSGatlas-TSS-2310","BSGatlas-TSS-2310")</f>
        <v>BSGatlas-TSS-2310</v>
      </c>
      <c r="B2311" s="3">
        <v>2913581</v>
      </c>
      <c r="C2311" s="1" t="s">
        <v>13</v>
      </c>
      <c r="D2311" s="1">
        <v>0</v>
      </c>
      <c r="E2311" s="1" t="s">
        <v>14734</v>
      </c>
      <c r="F2311" s="6" t="s">
        <v>15026</v>
      </c>
      <c r="G2311" s="1" t="s">
        <v>14724</v>
      </c>
    </row>
    <row r="2312" spans="1:7" ht="21" x14ac:dyDescent="0.25">
      <c r="A2312" s="2" t="str">
        <f>HYPERLINK("https://rth.dk/resources/bsgatlas/details.php?id=BSGatlas-TSS-2311","BSGatlas-TSS-2311")</f>
        <v>BSGatlas-TSS-2311</v>
      </c>
      <c r="B2312" s="3">
        <v>2915247</v>
      </c>
      <c r="C2312" s="1" t="s">
        <v>13</v>
      </c>
      <c r="D2312" s="1">
        <v>0</v>
      </c>
      <c r="E2312" s="1" t="s">
        <v>14722</v>
      </c>
      <c r="F2312" s="6" t="s">
        <v>15027</v>
      </c>
      <c r="G2312" s="1" t="s">
        <v>14724</v>
      </c>
    </row>
    <row r="2313" spans="1:7" ht="21" x14ac:dyDescent="0.25">
      <c r="A2313" s="2" t="str">
        <f>HYPERLINK("https://rth.dk/resources/bsgatlas/details.php?id=BSGatlas-TSS-2312","BSGatlas-TSS-2312")</f>
        <v>BSGatlas-TSS-2312</v>
      </c>
      <c r="B2313" s="3">
        <v>2918585</v>
      </c>
      <c r="C2313" s="1" t="s">
        <v>13</v>
      </c>
      <c r="D2313" s="1">
        <v>0</v>
      </c>
      <c r="E2313" s="1" t="s">
        <v>14722</v>
      </c>
      <c r="F2313" s="6">
        <v>17189250</v>
      </c>
      <c r="G2313" s="1" t="s">
        <v>14730</v>
      </c>
    </row>
    <row r="2314" spans="1:7" ht="21" x14ac:dyDescent="0.25">
      <c r="A2314" s="2" t="str">
        <f>HYPERLINK("https://rth.dk/resources/bsgatlas/details.php?id=BSGatlas-TSS-2313","BSGatlas-TSS-2313")</f>
        <v>BSGatlas-TSS-2313</v>
      </c>
      <c r="B2314" s="3">
        <v>2920365</v>
      </c>
      <c r="C2314" s="1" t="s">
        <v>13</v>
      </c>
      <c r="D2314" s="1">
        <v>22</v>
      </c>
      <c r="E2314" s="1" t="s">
        <v>14722</v>
      </c>
      <c r="F2314" s="6"/>
      <c r="G2314" s="1" t="s">
        <v>14726</v>
      </c>
    </row>
    <row r="2315" spans="1:7" ht="21" x14ac:dyDescent="0.25">
      <c r="A2315" s="2" t="str">
        <f>HYPERLINK("https://rth.dk/resources/bsgatlas/details.php?id=BSGatlas-TSS-2314","BSGatlas-TSS-2314")</f>
        <v>BSGatlas-TSS-2314</v>
      </c>
      <c r="B2315" s="3">
        <v>2925940</v>
      </c>
      <c r="C2315" s="1" t="s">
        <v>13</v>
      </c>
      <c r="D2315" s="1">
        <v>22</v>
      </c>
      <c r="E2315" s="1" t="s">
        <v>14722</v>
      </c>
      <c r="F2315" s="6"/>
      <c r="G2315" s="1" t="s">
        <v>14726</v>
      </c>
    </row>
    <row r="2316" spans="1:7" ht="21" x14ac:dyDescent="0.25">
      <c r="A2316" s="2" t="str">
        <f>HYPERLINK("https://rth.dk/resources/bsgatlas/details.php?id=BSGatlas-TSS-2315","BSGatlas-TSS-2315")</f>
        <v>BSGatlas-TSS-2315</v>
      </c>
      <c r="B2316" s="3">
        <v>2925987</v>
      </c>
      <c r="C2316" s="1" t="s">
        <v>9</v>
      </c>
      <c r="D2316" s="1">
        <v>22</v>
      </c>
      <c r="E2316" s="1" t="s">
        <v>14722</v>
      </c>
      <c r="F2316" s="6"/>
      <c r="G2316" s="1" t="s">
        <v>14726</v>
      </c>
    </row>
    <row r="2317" spans="1:7" ht="21" x14ac:dyDescent="0.25">
      <c r="A2317" s="2" t="str">
        <f>HYPERLINK("https://rth.dk/resources/bsgatlas/details.php?id=BSGatlas-TSS-2316","BSGatlas-TSS-2316")</f>
        <v>BSGatlas-TSS-2316</v>
      </c>
      <c r="B2317" s="3">
        <v>2926719</v>
      </c>
      <c r="C2317" s="1" t="s">
        <v>13</v>
      </c>
      <c r="D2317" s="1">
        <v>22</v>
      </c>
      <c r="E2317" s="1" t="s">
        <v>14722</v>
      </c>
      <c r="F2317" s="6"/>
      <c r="G2317" s="1" t="s">
        <v>14726</v>
      </c>
    </row>
    <row r="2318" spans="1:7" ht="21" x14ac:dyDescent="0.25">
      <c r="A2318" s="2" t="str">
        <f>HYPERLINK("https://rth.dk/resources/bsgatlas/details.php?id=BSGatlas-TSS-2317","BSGatlas-TSS-2317")</f>
        <v>BSGatlas-TSS-2317</v>
      </c>
      <c r="B2318" s="3">
        <v>2930783</v>
      </c>
      <c r="C2318" s="1" t="s">
        <v>9</v>
      </c>
      <c r="D2318" s="1">
        <v>22</v>
      </c>
      <c r="E2318" s="1" t="s">
        <v>14722</v>
      </c>
      <c r="F2318" s="6"/>
      <c r="G2318" s="1" t="s">
        <v>14726</v>
      </c>
    </row>
    <row r="2319" spans="1:7" ht="21" x14ac:dyDescent="0.25">
      <c r="A2319" s="2" t="str">
        <f>HYPERLINK("https://rth.dk/resources/bsgatlas/details.php?id=BSGatlas-TSS-2318","BSGatlas-TSS-2318")</f>
        <v>BSGatlas-TSS-2318</v>
      </c>
      <c r="B2319" s="3">
        <v>2930790</v>
      </c>
      <c r="C2319" s="1" t="s">
        <v>13</v>
      </c>
      <c r="D2319" s="1">
        <v>0</v>
      </c>
      <c r="E2319" s="1" t="s">
        <v>14722</v>
      </c>
      <c r="F2319" s="6" t="s">
        <v>15028</v>
      </c>
      <c r="G2319" s="1" t="s">
        <v>14724</v>
      </c>
    </row>
    <row r="2320" spans="1:7" ht="21" x14ac:dyDescent="0.25">
      <c r="A2320" s="2" t="str">
        <f>HYPERLINK("https://rth.dk/resources/bsgatlas/details.php?id=BSGatlas-TSS-2319","BSGatlas-TSS-2319")</f>
        <v>BSGatlas-TSS-2319</v>
      </c>
      <c r="B2320" s="3">
        <v>2931613</v>
      </c>
      <c r="C2320" s="1" t="s">
        <v>13</v>
      </c>
      <c r="D2320" s="1">
        <v>22</v>
      </c>
      <c r="E2320" s="1" t="s">
        <v>14722</v>
      </c>
      <c r="F2320" s="6"/>
      <c r="G2320" s="1" t="s">
        <v>14726</v>
      </c>
    </row>
    <row r="2321" spans="1:7" ht="21" x14ac:dyDescent="0.25">
      <c r="A2321" s="2" t="str">
        <f>HYPERLINK("https://rth.dk/resources/bsgatlas/details.php?id=BSGatlas-TSS-2320","BSGatlas-TSS-2320")</f>
        <v>BSGatlas-TSS-2320</v>
      </c>
      <c r="B2321" s="3">
        <v>2931642</v>
      </c>
      <c r="C2321" s="1" t="s">
        <v>9</v>
      </c>
      <c r="D2321" s="1">
        <v>0</v>
      </c>
      <c r="E2321" s="1" t="s">
        <v>14743</v>
      </c>
      <c r="F2321" s="6" t="s">
        <v>14837</v>
      </c>
      <c r="G2321" s="1" t="s">
        <v>14729</v>
      </c>
    </row>
    <row r="2322" spans="1:7" ht="21" x14ac:dyDescent="0.25">
      <c r="A2322" s="2" t="str">
        <f>HYPERLINK("https://rth.dk/resources/bsgatlas/details.php?id=BSGatlas-TSS-2321","BSGatlas-TSS-2321")</f>
        <v>BSGatlas-TSS-2321</v>
      </c>
      <c r="B2322" s="3">
        <v>2931663</v>
      </c>
      <c r="C2322" s="1" t="s">
        <v>9</v>
      </c>
      <c r="D2322" s="1">
        <v>0</v>
      </c>
      <c r="E2322" s="1" t="s">
        <v>14743</v>
      </c>
      <c r="F2322" s="6" t="s">
        <v>14837</v>
      </c>
      <c r="G2322" s="1" t="s">
        <v>4382</v>
      </c>
    </row>
    <row r="2323" spans="1:7" ht="21" x14ac:dyDescent="0.25">
      <c r="A2323" s="2" t="str">
        <f>HYPERLINK("https://rth.dk/resources/bsgatlas/details.php?id=BSGatlas-TSS-2322","BSGatlas-TSS-2322")</f>
        <v>BSGatlas-TSS-2322</v>
      </c>
      <c r="B2323" s="3">
        <v>2931949</v>
      </c>
      <c r="C2323" s="1" t="s">
        <v>9</v>
      </c>
      <c r="D2323" s="1">
        <v>22</v>
      </c>
      <c r="E2323" s="1" t="s">
        <v>14722</v>
      </c>
      <c r="F2323" s="6"/>
      <c r="G2323" s="1" t="s">
        <v>14726</v>
      </c>
    </row>
    <row r="2324" spans="1:7" ht="21" x14ac:dyDescent="0.25">
      <c r="A2324" s="2" t="str">
        <f>HYPERLINK("https://rth.dk/resources/bsgatlas/details.php?id=BSGatlas-TSS-2323","BSGatlas-TSS-2323")</f>
        <v>BSGatlas-TSS-2323</v>
      </c>
      <c r="B2324" s="3">
        <v>2933141</v>
      </c>
      <c r="C2324" s="1" t="s">
        <v>9</v>
      </c>
      <c r="D2324" s="1">
        <v>22</v>
      </c>
      <c r="E2324" s="1" t="s">
        <v>14722</v>
      </c>
      <c r="F2324" s="6"/>
      <c r="G2324" s="1" t="s">
        <v>14726</v>
      </c>
    </row>
    <row r="2325" spans="1:7" ht="21" x14ac:dyDescent="0.25">
      <c r="A2325" s="2" t="str">
        <f>HYPERLINK("https://rth.dk/resources/bsgatlas/details.php?id=BSGatlas-TSS-2324","BSGatlas-TSS-2324")</f>
        <v>BSGatlas-TSS-2324</v>
      </c>
      <c r="B2325" s="3">
        <v>2933301</v>
      </c>
      <c r="C2325" s="1" t="s">
        <v>13</v>
      </c>
      <c r="D2325" s="1">
        <v>22</v>
      </c>
      <c r="E2325" s="1" t="s">
        <v>14725</v>
      </c>
      <c r="F2325" s="6"/>
      <c r="G2325" s="1" t="s">
        <v>14726</v>
      </c>
    </row>
    <row r="2326" spans="1:7" ht="21" x14ac:dyDescent="0.25">
      <c r="A2326" s="2" t="str">
        <f>HYPERLINK("https://rth.dk/resources/bsgatlas/details.php?id=BSGatlas-TSS-2325","BSGatlas-TSS-2325")</f>
        <v>BSGatlas-TSS-2325</v>
      </c>
      <c r="B2326" s="3">
        <v>2936502</v>
      </c>
      <c r="C2326" s="1" t="s">
        <v>13</v>
      </c>
      <c r="D2326" s="1">
        <v>22</v>
      </c>
      <c r="E2326" s="1" t="s">
        <v>14745</v>
      </c>
      <c r="F2326" s="6"/>
      <c r="G2326" s="1" t="s">
        <v>14726</v>
      </c>
    </row>
    <row r="2327" spans="1:7" ht="21" x14ac:dyDescent="0.25">
      <c r="A2327" s="2" t="str">
        <f>HYPERLINK("https://rth.dk/resources/bsgatlas/details.php?id=BSGatlas-TSS-2326","BSGatlas-TSS-2326")</f>
        <v>BSGatlas-TSS-2326</v>
      </c>
      <c r="B2327" s="3">
        <v>2938213</v>
      </c>
      <c r="C2327" s="1" t="s">
        <v>13</v>
      </c>
      <c r="D2327" s="1">
        <v>22</v>
      </c>
      <c r="E2327" s="1" t="s">
        <v>14722</v>
      </c>
      <c r="F2327" s="6"/>
      <c r="G2327" s="1" t="s">
        <v>14726</v>
      </c>
    </row>
    <row r="2328" spans="1:7" ht="21" x14ac:dyDescent="0.25">
      <c r="A2328" s="2" t="str">
        <f>HYPERLINK("https://rth.dk/resources/bsgatlas/details.php?id=BSGatlas-TSS-2327","BSGatlas-TSS-2327")</f>
        <v>BSGatlas-TSS-2327</v>
      </c>
      <c r="B2328" s="3">
        <v>2939847</v>
      </c>
      <c r="C2328" s="1" t="s">
        <v>13</v>
      </c>
      <c r="D2328" s="1">
        <v>22</v>
      </c>
      <c r="E2328" s="1" t="s">
        <v>14720</v>
      </c>
      <c r="F2328" s="6"/>
      <c r="G2328" s="1" t="s">
        <v>14726</v>
      </c>
    </row>
    <row r="2329" spans="1:7" ht="21" x14ac:dyDescent="0.25">
      <c r="A2329" s="2" t="str">
        <f>HYPERLINK("https://rth.dk/resources/bsgatlas/details.php?id=BSGatlas-TSS-2328","BSGatlas-TSS-2328")</f>
        <v>BSGatlas-TSS-2328</v>
      </c>
      <c r="B2329" s="3">
        <v>2948972</v>
      </c>
      <c r="C2329" s="1" t="s">
        <v>13</v>
      </c>
      <c r="D2329" s="1">
        <v>0</v>
      </c>
      <c r="E2329" s="1" t="s">
        <v>14722</v>
      </c>
      <c r="F2329" s="6" t="s">
        <v>15029</v>
      </c>
      <c r="G2329" s="1" t="s">
        <v>14729</v>
      </c>
    </row>
    <row r="2330" spans="1:7" ht="21" x14ac:dyDescent="0.25">
      <c r="A2330" s="2" t="str">
        <f>HYPERLINK("https://rth.dk/resources/bsgatlas/details.php?id=BSGatlas-TSS-2329","BSGatlas-TSS-2329")</f>
        <v>BSGatlas-TSS-2329</v>
      </c>
      <c r="B2330" s="3">
        <v>2950139</v>
      </c>
      <c r="C2330" s="1" t="s">
        <v>13</v>
      </c>
      <c r="D2330" s="1">
        <v>0</v>
      </c>
      <c r="E2330" s="1" t="s">
        <v>14722</v>
      </c>
      <c r="F2330" s="6" t="s">
        <v>15027</v>
      </c>
      <c r="G2330" s="1" t="s">
        <v>14724</v>
      </c>
    </row>
    <row r="2331" spans="1:7" ht="21" x14ac:dyDescent="0.25">
      <c r="A2331" s="2" t="str">
        <f>HYPERLINK("https://rth.dk/resources/bsgatlas/details.php?id=BSGatlas-TSS-2330","BSGatlas-TSS-2330")</f>
        <v>BSGatlas-TSS-2330</v>
      </c>
      <c r="B2331" s="3">
        <v>2951355</v>
      </c>
      <c r="C2331" s="1" t="s">
        <v>13</v>
      </c>
      <c r="D2331" s="1">
        <v>22</v>
      </c>
      <c r="E2331" s="1" t="s">
        <v>14722</v>
      </c>
      <c r="F2331" s="6"/>
      <c r="G2331" s="1" t="s">
        <v>14726</v>
      </c>
    </row>
    <row r="2332" spans="1:7" ht="21" x14ac:dyDescent="0.25">
      <c r="A2332" s="2" t="str">
        <f>HYPERLINK("https://rth.dk/resources/bsgatlas/details.php?id=BSGatlas-TSS-2331","BSGatlas-TSS-2331")</f>
        <v>BSGatlas-TSS-2331</v>
      </c>
      <c r="B2332" s="3">
        <v>2951458</v>
      </c>
      <c r="C2332" s="1" t="s">
        <v>9</v>
      </c>
      <c r="D2332" s="1">
        <v>0</v>
      </c>
      <c r="E2332" s="1" t="s">
        <v>14770</v>
      </c>
      <c r="F2332" s="6" t="s">
        <v>14771</v>
      </c>
      <c r="G2332" s="1" t="s">
        <v>14729</v>
      </c>
    </row>
    <row r="2333" spans="1:7" ht="21" x14ac:dyDescent="0.25">
      <c r="A2333" s="2" t="str">
        <f>HYPERLINK("https://rth.dk/resources/bsgatlas/details.php?id=BSGatlas-TSS-2332","BSGatlas-TSS-2332")</f>
        <v>BSGatlas-TSS-2332</v>
      </c>
      <c r="B2333" s="3">
        <v>2953550</v>
      </c>
      <c r="C2333" s="1" t="s">
        <v>13</v>
      </c>
      <c r="D2333" s="1">
        <v>0</v>
      </c>
      <c r="E2333" s="1" t="s">
        <v>14722</v>
      </c>
      <c r="F2333" s="6" t="s">
        <v>15030</v>
      </c>
      <c r="G2333" s="1" t="s">
        <v>14729</v>
      </c>
    </row>
    <row r="2334" spans="1:7" ht="21" x14ac:dyDescent="0.25">
      <c r="A2334" s="2" t="str">
        <f>HYPERLINK("https://rth.dk/resources/bsgatlas/details.php?id=BSGatlas-TSS-2333","BSGatlas-TSS-2333")</f>
        <v>BSGatlas-TSS-2333</v>
      </c>
      <c r="B2334" s="3">
        <v>2953623</v>
      </c>
      <c r="C2334" s="1" t="s">
        <v>13</v>
      </c>
      <c r="D2334" s="1">
        <v>22</v>
      </c>
      <c r="E2334" s="1" t="s">
        <v>14722</v>
      </c>
      <c r="F2334" s="6"/>
      <c r="G2334" s="1" t="s">
        <v>14733</v>
      </c>
    </row>
    <row r="2335" spans="1:7" ht="21" x14ac:dyDescent="0.25">
      <c r="A2335" s="2" t="str">
        <f>HYPERLINK("https://rth.dk/resources/bsgatlas/details.php?id=BSGatlas-TSS-2334","BSGatlas-TSS-2334")</f>
        <v>BSGatlas-TSS-2334</v>
      </c>
      <c r="B2335" s="3">
        <v>2953763</v>
      </c>
      <c r="C2335" s="1" t="s">
        <v>9</v>
      </c>
      <c r="D2335" s="1">
        <v>22</v>
      </c>
      <c r="E2335" s="1" t="s">
        <v>14752</v>
      </c>
      <c r="F2335" s="6"/>
      <c r="G2335" s="1" t="s">
        <v>14726</v>
      </c>
    </row>
    <row r="2336" spans="1:7" ht="21" x14ac:dyDescent="0.25">
      <c r="A2336" s="2" t="str">
        <f>HYPERLINK("https://rth.dk/resources/bsgatlas/details.php?id=BSGatlas-TSS-2335","BSGatlas-TSS-2335")</f>
        <v>BSGatlas-TSS-2335</v>
      </c>
      <c r="B2336" s="3">
        <v>2955690</v>
      </c>
      <c r="C2336" s="1" t="s">
        <v>13</v>
      </c>
      <c r="D2336" s="1">
        <v>22</v>
      </c>
      <c r="E2336" s="1" t="s">
        <v>14722</v>
      </c>
      <c r="F2336" s="6"/>
      <c r="G2336" s="1" t="s">
        <v>14726</v>
      </c>
    </row>
    <row r="2337" spans="1:7" ht="21" x14ac:dyDescent="0.25">
      <c r="A2337" s="2" t="str">
        <f>HYPERLINK("https://rth.dk/resources/bsgatlas/details.php?id=BSGatlas-TSS-2336","BSGatlas-TSS-2336")</f>
        <v>BSGatlas-TSS-2336</v>
      </c>
      <c r="B2337" s="3">
        <v>2958368</v>
      </c>
      <c r="C2337" s="1" t="s">
        <v>13</v>
      </c>
      <c r="D2337" s="1">
        <v>22</v>
      </c>
      <c r="E2337" s="1" t="s">
        <v>14722</v>
      </c>
      <c r="F2337" s="6"/>
      <c r="G2337" s="1" t="s">
        <v>14726</v>
      </c>
    </row>
    <row r="2338" spans="1:7" ht="21" x14ac:dyDescent="0.25">
      <c r="A2338" s="2" t="str">
        <f>HYPERLINK("https://rth.dk/resources/bsgatlas/details.php?id=BSGatlas-TSS-2337","BSGatlas-TSS-2337")</f>
        <v>BSGatlas-TSS-2337</v>
      </c>
      <c r="B2338" s="3">
        <v>2958376</v>
      </c>
      <c r="C2338" s="1" t="s">
        <v>9</v>
      </c>
      <c r="D2338" s="1">
        <v>22</v>
      </c>
      <c r="E2338" s="1" t="s">
        <v>14722</v>
      </c>
      <c r="F2338" s="6"/>
      <c r="G2338" s="1" t="s">
        <v>14726</v>
      </c>
    </row>
    <row r="2339" spans="1:7" ht="21" x14ac:dyDescent="0.25">
      <c r="A2339" s="2" t="str">
        <f>HYPERLINK("https://rth.dk/resources/bsgatlas/details.php?id=BSGatlas-TSS-2338","BSGatlas-TSS-2338")</f>
        <v>BSGatlas-TSS-2338</v>
      </c>
      <c r="B2339" s="3">
        <v>2961235</v>
      </c>
      <c r="C2339" s="1" t="s">
        <v>13</v>
      </c>
      <c r="D2339" s="1">
        <v>22</v>
      </c>
      <c r="E2339" s="1" t="s">
        <v>14720</v>
      </c>
      <c r="F2339" s="6"/>
      <c r="G2339" s="1" t="s">
        <v>14726</v>
      </c>
    </row>
    <row r="2340" spans="1:7" ht="21" x14ac:dyDescent="0.25">
      <c r="A2340" s="2" t="str">
        <f>HYPERLINK("https://rth.dk/resources/bsgatlas/details.php?id=BSGatlas-TSS-2339","BSGatlas-TSS-2339")</f>
        <v>BSGatlas-TSS-2339</v>
      </c>
      <c r="B2340" s="3">
        <v>2961494</v>
      </c>
      <c r="C2340" s="1" t="s">
        <v>13</v>
      </c>
      <c r="D2340" s="1">
        <v>0</v>
      </c>
      <c r="E2340" s="1" t="s">
        <v>14722</v>
      </c>
      <c r="F2340" s="6" t="s">
        <v>15031</v>
      </c>
      <c r="G2340" s="1" t="s">
        <v>14729</v>
      </c>
    </row>
    <row r="2341" spans="1:7" ht="21" x14ac:dyDescent="0.25">
      <c r="A2341" s="2" t="str">
        <f>HYPERLINK("https://rth.dk/resources/bsgatlas/details.php?id=BSGatlas-TSS-2340","BSGatlas-TSS-2340")</f>
        <v>BSGatlas-TSS-2340</v>
      </c>
      <c r="B2341" s="3">
        <v>2962454</v>
      </c>
      <c r="C2341" s="1" t="s">
        <v>13</v>
      </c>
      <c r="D2341" s="1">
        <v>0</v>
      </c>
      <c r="E2341" s="1" t="s">
        <v>14735</v>
      </c>
      <c r="F2341" s="6" t="s">
        <v>14767</v>
      </c>
      <c r="G2341" s="1" t="s">
        <v>14729</v>
      </c>
    </row>
    <row r="2342" spans="1:7" ht="21" x14ac:dyDescent="0.25">
      <c r="A2342" s="2" t="str">
        <f>HYPERLINK("https://rth.dk/resources/bsgatlas/details.php?id=BSGatlas-TSS-2341","BSGatlas-TSS-2341")</f>
        <v>BSGatlas-TSS-2341</v>
      </c>
      <c r="B2342" s="3">
        <v>2965603</v>
      </c>
      <c r="C2342" s="1" t="s">
        <v>13</v>
      </c>
      <c r="D2342" s="1">
        <v>22</v>
      </c>
      <c r="E2342" s="1" t="s">
        <v>14722</v>
      </c>
      <c r="F2342" s="6"/>
      <c r="G2342" s="1" t="s">
        <v>14726</v>
      </c>
    </row>
    <row r="2343" spans="1:7" ht="21" x14ac:dyDescent="0.25">
      <c r="A2343" s="2" t="str">
        <f>HYPERLINK("https://rth.dk/resources/bsgatlas/details.php?id=BSGatlas-TSS-2342","BSGatlas-TSS-2342")</f>
        <v>BSGatlas-TSS-2342</v>
      </c>
      <c r="B2343" s="3">
        <v>2966287</v>
      </c>
      <c r="C2343" s="1" t="s">
        <v>13</v>
      </c>
      <c r="D2343" s="1">
        <v>22</v>
      </c>
      <c r="E2343" s="1" t="s">
        <v>14722</v>
      </c>
      <c r="F2343" s="6"/>
      <c r="G2343" s="1" t="s">
        <v>14733</v>
      </c>
    </row>
    <row r="2344" spans="1:7" ht="21" x14ac:dyDescent="0.25">
      <c r="A2344" s="2" t="str">
        <f>HYPERLINK("https://rth.dk/resources/bsgatlas/details.php?id=BSGatlas-TSS-2343","BSGatlas-TSS-2343")</f>
        <v>BSGatlas-TSS-2343</v>
      </c>
      <c r="B2344" s="3">
        <v>2966932</v>
      </c>
      <c r="C2344" s="1" t="s">
        <v>13</v>
      </c>
      <c r="D2344" s="1">
        <v>0</v>
      </c>
      <c r="E2344" s="1" t="s">
        <v>14722</v>
      </c>
      <c r="F2344" s="6">
        <v>10844697</v>
      </c>
      <c r="G2344" s="1" t="s">
        <v>14737</v>
      </c>
    </row>
    <row r="2345" spans="1:7" ht="21" x14ac:dyDescent="0.25">
      <c r="A2345" s="2" t="str">
        <f>HYPERLINK("https://rth.dk/resources/bsgatlas/details.php?id=BSGatlas-TSS-2344","BSGatlas-TSS-2344")</f>
        <v>BSGatlas-TSS-2344</v>
      </c>
      <c r="B2345" s="3">
        <v>2966935</v>
      </c>
      <c r="C2345" s="1" t="s">
        <v>9</v>
      </c>
      <c r="D2345" s="1">
        <v>22</v>
      </c>
      <c r="E2345" s="1" t="s">
        <v>14722</v>
      </c>
      <c r="F2345" s="6"/>
      <c r="G2345" s="1" t="s">
        <v>14726</v>
      </c>
    </row>
    <row r="2346" spans="1:7" ht="21" x14ac:dyDescent="0.25">
      <c r="A2346" s="2" t="str">
        <f>HYPERLINK("https://rth.dk/resources/bsgatlas/details.php?id=BSGatlas-TSS-2345","BSGatlas-TSS-2345")</f>
        <v>BSGatlas-TSS-2345</v>
      </c>
      <c r="B2346" s="3">
        <v>2967033</v>
      </c>
      <c r="C2346" s="1" t="s">
        <v>13</v>
      </c>
      <c r="D2346" s="1">
        <v>22</v>
      </c>
      <c r="E2346" s="1" t="s">
        <v>14732</v>
      </c>
      <c r="F2346" s="6"/>
      <c r="G2346" s="1" t="s">
        <v>14726</v>
      </c>
    </row>
    <row r="2347" spans="1:7" ht="21" x14ac:dyDescent="0.25">
      <c r="A2347" s="2" t="str">
        <f>HYPERLINK("https://rth.dk/resources/bsgatlas/details.php?id=BSGatlas-TSS-2346","BSGatlas-TSS-2346")</f>
        <v>BSGatlas-TSS-2346</v>
      </c>
      <c r="B2347" s="3">
        <v>2968100</v>
      </c>
      <c r="C2347" s="1" t="s">
        <v>13</v>
      </c>
      <c r="D2347" s="1">
        <v>0</v>
      </c>
      <c r="E2347" s="1" t="s">
        <v>14722</v>
      </c>
      <c r="F2347" s="6" t="s">
        <v>15032</v>
      </c>
      <c r="G2347" s="1" t="s">
        <v>4382</v>
      </c>
    </row>
    <row r="2348" spans="1:7" ht="21" x14ac:dyDescent="0.25">
      <c r="A2348" s="2" t="str">
        <f>HYPERLINK("https://rth.dk/resources/bsgatlas/details.php?id=BSGatlas-TSS-2347","BSGatlas-TSS-2347")</f>
        <v>BSGatlas-TSS-2347</v>
      </c>
      <c r="B2348" s="3">
        <v>2968129</v>
      </c>
      <c r="C2348" s="1" t="s">
        <v>13</v>
      </c>
      <c r="D2348" s="1">
        <v>22</v>
      </c>
      <c r="E2348" s="1" t="s">
        <v>14722</v>
      </c>
      <c r="F2348" s="6"/>
      <c r="G2348" s="1" t="s">
        <v>14726</v>
      </c>
    </row>
    <row r="2349" spans="1:7" ht="21" x14ac:dyDescent="0.25">
      <c r="A2349" s="2" t="str">
        <f>HYPERLINK("https://rth.dk/resources/bsgatlas/details.php?id=BSGatlas-TSS-2348","BSGatlas-TSS-2348")</f>
        <v>BSGatlas-TSS-2348</v>
      </c>
      <c r="B2349" s="3">
        <v>2968717</v>
      </c>
      <c r="C2349" s="1" t="s">
        <v>9</v>
      </c>
      <c r="D2349" s="1">
        <v>22</v>
      </c>
      <c r="E2349" s="1" t="s">
        <v>14722</v>
      </c>
      <c r="F2349" s="6"/>
      <c r="G2349" s="1" t="s">
        <v>14733</v>
      </c>
    </row>
    <row r="2350" spans="1:7" ht="21" x14ac:dyDescent="0.25">
      <c r="A2350" s="2" t="str">
        <f>HYPERLINK("https://rth.dk/resources/bsgatlas/details.php?id=BSGatlas-TSS-2349","BSGatlas-TSS-2349")</f>
        <v>BSGatlas-TSS-2349</v>
      </c>
      <c r="B2350" s="3">
        <v>2968771</v>
      </c>
      <c r="C2350" s="1" t="s">
        <v>13</v>
      </c>
      <c r="D2350" s="1">
        <v>22</v>
      </c>
      <c r="E2350" s="1" t="s">
        <v>14722</v>
      </c>
      <c r="F2350" s="6"/>
      <c r="G2350" s="1" t="s">
        <v>14733</v>
      </c>
    </row>
    <row r="2351" spans="1:7" ht="21" x14ac:dyDescent="0.25">
      <c r="A2351" s="2" t="str">
        <f>HYPERLINK("https://rth.dk/resources/bsgatlas/details.php?id=BSGatlas-TSS-2350","BSGatlas-TSS-2350")</f>
        <v>BSGatlas-TSS-2350</v>
      </c>
      <c r="B2351" s="3">
        <v>2969662</v>
      </c>
      <c r="C2351" s="1" t="s">
        <v>13</v>
      </c>
      <c r="D2351" s="1">
        <v>22</v>
      </c>
      <c r="E2351" s="1" t="s">
        <v>14727</v>
      </c>
      <c r="F2351" s="6"/>
      <c r="G2351" s="1" t="s">
        <v>14726</v>
      </c>
    </row>
    <row r="2352" spans="1:7" ht="21" x14ac:dyDescent="0.25">
      <c r="A2352" s="2" t="str">
        <f>HYPERLINK("https://rth.dk/resources/bsgatlas/details.php?id=BSGatlas-TSS-2351","BSGatlas-TSS-2351")</f>
        <v>BSGatlas-TSS-2351</v>
      </c>
      <c r="B2352" s="3">
        <v>2970675</v>
      </c>
      <c r="C2352" s="1" t="s">
        <v>9</v>
      </c>
      <c r="D2352" s="1">
        <v>22</v>
      </c>
      <c r="E2352" s="1" t="s">
        <v>14727</v>
      </c>
      <c r="F2352" s="6"/>
      <c r="G2352" s="1" t="s">
        <v>14726</v>
      </c>
    </row>
    <row r="2353" spans="1:7" ht="21" x14ac:dyDescent="0.25">
      <c r="A2353" s="2" t="str">
        <f>HYPERLINK("https://rth.dk/resources/bsgatlas/details.php?id=BSGatlas-TSS-2352","BSGatlas-TSS-2352")</f>
        <v>BSGatlas-TSS-2352</v>
      </c>
      <c r="B2353" s="3">
        <v>2975888</v>
      </c>
      <c r="C2353" s="1" t="s">
        <v>13</v>
      </c>
      <c r="D2353" s="1">
        <v>22</v>
      </c>
      <c r="E2353" s="1" t="s">
        <v>14722</v>
      </c>
      <c r="F2353" s="6"/>
      <c r="G2353" s="1" t="s">
        <v>14726</v>
      </c>
    </row>
    <row r="2354" spans="1:7" ht="21" x14ac:dyDescent="0.25">
      <c r="A2354" s="2" t="str">
        <f>HYPERLINK("https://rth.dk/resources/bsgatlas/details.php?id=BSGatlas-TSS-2353","BSGatlas-TSS-2353")</f>
        <v>BSGatlas-TSS-2353</v>
      </c>
      <c r="B2354" s="3">
        <v>2978545</v>
      </c>
      <c r="C2354" s="1" t="s">
        <v>13</v>
      </c>
      <c r="D2354" s="1">
        <v>0</v>
      </c>
      <c r="E2354" s="1" t="s">
        <v>14734</v>
      </c>
      <c r="F2354" s="6" t="s">
        <v>15033</v>
      </c>
      <c r="G2354" s="1" t="s">
        <v>4382</v>
      </c>
    </row>
    <row r="2355" spans="1:7" ht="21" x14ac:dyDescent="0.25">
      <c r="A2355" s="2" t="str">
        <f>HYPERLINK("https://rth.dk/resources/bsgatlas/details.php?id=BSGatlas-TSS-2354","BSGatlas-TSS-2354")</f>
        <v>BSGatlas-TSS-2354</v>
      </c>
      <c r="B2355" s="3">
        <v>2978560</v>
      </c>
      <c r="C2355" s="1" t="s">
        <v>13</v>
      </c>
      <c r="D2355" s="1">
        <v>0</v>
      </c>
      <c r="E2355" s="1" t="s">
        <v>14735</v>
      </c>
      <c r="F2355" s="6" t="s">
        <v>15033</v>
      </c>
      <c r="G2355" s="1" t="s">
        <v>4382</v>
      </c>
    </row>
    <row r="2356" spans="1:7" ht="21" x14ac:dyDescent="0.25">
      <c r="A2356" s="2" t="str">
        <f>HYPERLINK("https://rth.dk/resources/bsgatlas/details.php?id=BSGatlas-TSS-2355","BSGatlas-TSS-2355")</f>
        <v>BSGatlas-TSS-2355</v>
      </c>
      <c r="B2356" s="3">
        <v>2978571</v>
      </c>
      <c r="C2356" s="1" t="s">
        <v>13</v>
      </c>
      <c r="D2356" s="1">
        <v>0</v>
      </c>
      <c r="E2356" s="1" t="s">
        <v>14722</v>
      </c>
      <c r="F2356" s="6" t="s">
        <v>15034</v>
      </c>
      <c r="G2356" s="1" t="s">
        <v>4684</v>
      </c>
    </row>
    <row r="2357" spans="1:7" ht="21" x14ac:dyDescent="0.25">
      <c r="A2357" s="2" t="str">
        <f>HYPERLINK("https://rth.dk/resources/bsgatlas/details.php?id=BSGatlas-TSS-2356","BSGatlas-TSS-2356")</f>
        <v>BSGatlas-TSS-2356</v>
      </c>
      <c r="B2357" s="3">
        <v>2978591</v>
      </c>
      <c r="C2357" s="1" t="s">
        <v>13</v>
      </c>
      <c r="D2357" s="1">
        <v>0</v>
      </c>
      <c r="E2357" s="1" t="s">
        <v>14722</v>
      </c>
      <c r="F2357" s="6" t="s">
        <v>15034</v>
      </c>
      <c r="G2357" s="1" t="s">
        <v>14730</v>
      </c>
    </row>
    <row r="2358" spans="1:7" ht="21" x14ac:dyDescent="0.25">
      <c r="A2358" s="2" t="str">
        <f>HYPERLINK("https://rth.dk/resources/bsgatlas/details.php?id=BSGatlas-TSS-2357","BSGatlas-TSS-2357")</f>
        <v>BSGatlas-TSS-2357</v>
      </c>
      <c r="B2358" s="3">
        <v>2978616</v>
      </c>
      <c r="C2358" s="1" t="s">
        <v>13</v>
      </c>
      <c r="D2358" s="1">
        <v>0</v>
      </c>
      <c r="E2358" s="1" t="s">
        <v>14720</v>
      </c>
      <c r="F2358" s="6">
        <v>15205429</v>
      </c>
      <c r="G2358" s="1" t="s">
        <v>14730</v>
      </c>
    </row>
    <row r="2359" spans="1:7" ht="21" x14ac:dyDescent="0.25">
      <c r="A2359" s="2" t="str">
        <f>HYPERLINK("https://rth.dk/resources/bsgatlas/details.php?id=BSGatlas-TSS-2358","BSGatlas-TSS-2358")</f>
        <v>BSGatlas-TSS-2358</v>
      </c>
      <c r="B2359" s="3">
        <v>2978697</v>
      </c>
      <c r="C2359" s="1" t="s">
        <v>13</v>
      </c>
      <c r="D2359" s="1">
        <v>0</v>
      </c>
      <c r="E2359" s="1" t="s">
        <v>14722</v>
      </c>
      <c r="F2359" s="6">
        <v>16452408</v>
      </c>
      <c r="G2359" s="1" t="s">
        <v>4684</v>
      </c>
    </row>
    <row r="2360" spans="1:7" ht="21" x14ac:dyDescent="0.25">
      <c r="A2360" s="2" t="str">
        <f>HYPERLINK("https://rth.dk/resources/bsgatlas/details.php?id=BSGatlas-TSS-2359","BSGatlas-TSS-2359")</f>
        <v>BSGatlas-TSS-2359</v>
      </c>
      <c r="B2360" s="3">
        <v>2980784</v>
      </c>
      <c r="C2360" s="1" t="s">
        <v>13</v>
      </c>
      <c r="D2360" s="1">
        <v>22</v>
      </c>
      <c r="E2360" s="1" t="s">
        <v>14722</v>
      </c>
      <c r="F2360" s="6"/>
      <c r="G2360" s="1" t="s">
        <v>14726</v>
      </c>
    </row>
    <row r="2361" spans="1:7" ht="21" x14ac:dyDescent="0.25">
      <c r="A2361" s="2" t="str">
        <f>HYPERLINK("https://rth.dk/resources/bsgatlas/details.php?id=BSGatlas-TSS-2360","BSGatlas-TSS-2360")</f>
        <v>BSGatlas-TSS-2360</v>
      </c>
      <c r="B2361" s="3">
        <v>2981069</v>
      </c>
      <c r="C2361" s="1" t="s">
        <v>13</v>
      </c>
      <c r="D2361" s="1">
        <v>0</v>
      </c>
      <c r="E2361" s="1" t="s">
        <v>14722</v>
      </c>
      <c r="F2361" s="6">
        <v>8045899</v>
      </c>
      <c r="G2361" s="1" t="s">
        <v>14737</v>
      </c>
    </row>
    <row r="2362" spans="1:7" ht="21" x14ac:dyDescent="0.25">
      <c r="A2362" s="2" t="str">
        <f>HYPERLINK("https://rth.dk/resources/bsgatlas/details.php?id=BSGatlas-TSS-2361","BSGatlas-TSS-2361")</f>
        <v>BSGatlas-TSS-2361</v>
      </c>
      <c r="B2362" s="3">
        <v>2982119</v>
      </c>
      <c r="C2362" s="1" t="s">
        <v>9</v>
      </c>
      <c r="D2362" s="1">
        <v>22</v>
      </c>
      <c r="E2362" s="1" t="s">
        <v>14720</v>
      </c>
      <c r="F2362" s="6"/>
      <c r="G2362" s="1" t="s">
        <v>14726</v>
      </c>
    </row>
    <row r="2363" spans="1:7" ht="21" x14ac:dyDescent="0.25">
      <c r="A2363" s="2" t="str">
        <f>HYPERLINK("https://rth.dk/resources/bsgatlas/details.php?id=BSGatlas-TSS-2362","BSGatlas-TSS-2362")</f>
        <v>BSGatlas-TSS-2362</v>
      </c>
      <c r="B2363" s="3">
        <v>2982455</v>
      </c>
      <c r="C2363" s="1" t="s">
        <v>9</v>
      </c>
      <c r="D2363" s="1">
        <v>22</v>
      </c>
      <c r="E2363" s="1" t="s">
        <v>14720</v>
      </c>
      <c r="F2363" s="6"/>
      <c r="G2363" s="1" t="s">
        <v>14726</v>
      </c>
    </row>
    <row r="2364" spans="1:7" ht="21" x14ac:dyDescent="0.25">
      <c r="A2364" s="2" t="str">
        <f>HYPERLINK("https://rth.dk/resources/bsgatlas/details.php?id=BSGatlas-TSS-2363","BSGatlas-TSS-2363")</f>
        <v>BSGatlas-TSS-2363</v>
      </c>
      <c r="B2364" s="3">
        <v>2982463</v>
      </c>
      <c r="C2364" s="1" t="s">
        <v>13</v>
      </c>
      <c r="D2364" s="1">
        <v>0</v>
      </c>
      <c r="E2364" s="1" t="s">
        <v>14722</v>
      </c>
      <c r="F2364" s="6" t="s">
        <v>14858</v>
      </c>
      <c r="G2364" s="1" t="s">
        <v>14724</v>
      </c>
    </row>
    <row r="2365" spans="1:7" ht="21" x14ac:dyDescent="0.25">
      <c r="A2365" s="2" t="str">
        <f>HYPERLINK("https://rth.dk/resources/bsgatlas/details.php?id=BSGatlas-TSS-2364","BSGatlas-TSS-2364")</f>
        <v>BSGatlas-TSS-2364</v>
      </c>
      <c r="B2365" s="3">
        <v>2983094</v>
      </c>
      <c r="C2365" s="1" t="s">
        <v>13</v>
      </c>
      <c r="D2365" s="1">
        <v>22</v>
      </c>
      <c r="E2365" s="1" t="s">
        <v>14725</v>
      </c>
      <c r="F2365" s="6"/>
      <c r="G2365" s="1" t="s">
        <v>14726</v>
      </c>
    </row>
    <row r="2366" spans="1:7" ht="21" x14ac:dyDescent="0.25">
      <c r="A2366" s="2" t="str">
        <f>HYPERLINK("https://rth.dk/resources/bsgatlas/details.php?id=BSGatlas-TSS-2365","BSGatlas-TSS-2365")</f>
        <v>BSGatlas-TSS-2365</v>
      </c>
      <c r="B2366" s="3">
        <v>2983126</v>
      </c>
      <c r="C2366" s="1" t="s">
        <v>9</v>
      </c>
      <c r="D2366" s="1">
        <v>0</v>
      </c>
      <c r="E2366" s="1" t="s">
        <v>14735</v>
      </c>
      <c r="F2366" s="6" t="s">
        <v>14767</v>
      </c>
      <c r="G2366" s="1" t="s">
        <v>14729</v>
      </c>
    </row>
    <row r="2367" spans="1:7" ht="21" x14ac:dyDescent="0.25">
      <c r="A2367" s="2" t="str">
        <f>HYPERLINK("https://rth.dk/resources/bsgatlas/details.php?id=BSGatlas-TSS-2366","BSGatlas-TSS-2366")</f>
        <v>BSGatlas-TSS-2366</v>
      </c>
      <c r="B2367" s="3">
        <v>2987649</v>
      </c>
      <c r="C2367" s="1" t="s">
        <v>13</v>
      </c>
      <c r="D2367" s="1">
        <v>22</v>
      </c>
      <c r="E2367" s="1" t="s">
        <v>14722</v>
      </c>
      <c r="F2367" s="6"/>
      <c r="G2367" s="1" t="s">
        <v>14733</v>
      </c>
    </row>
    <row r="2368" spans="1:7" ht="21" x14ac:dyDescent="0.25">
      <c r="A2368" s="2" t="str">
        <f>HYPERLINK("https://rth.dk/resources/bsgatlas/details.php?id=BSGatlas-TSS-2367","BSGatlas-TSS-2367")</f>
        <v>BSGatlas-TSS-2367</v>
      </c>
      <c r="B2368" s="3">
        <v>2989552</v>
      </c>
      <c r="C2368" s="1" t="s">
        <v>9</v>
      </c>
      <c r="D2368" s="1">
        <v>22</v>
      </c>
      <c r="E2368" s="1" t="s">
        <v>14727</v>
      </c>
      <c r="F2368" s="6"/>
      <c r="G2368" s="1" t="s">
        <v>14726</v>
      </c>
    </row>
    <row r="2369" spans="1:7" ht="21" x14ac:dyDescent="0.25">
      <c r="A2369" s="2" t="str">
        <f>HYPERLINK("https://rth.dk/resources/bsgatlas/details.php?id=BSGatlas-TSS-2368","BSGatlas-TSS-2368")</f>
        <v>BSGatlas-TSS-2368</v>
      </c>
      <c r="B2369" s="3">
        <v>2989649</v>
      </c>
      <c r="C2369" s="1" t="s">
        <v>13</v>
      </c>
      <c r="D2369" s="1">
        <v>22</v>
      </c>
      <c r="E2369" s="1" t="s">
        <v>14722</v>
      </c>
      <c r="F2369" s="6"/>
      <c r="G2369" s="1" t="s">
        <v>14733</v>
      </c>
    </row>
    <row r="2370" spans="1:7" ht="21" x14ac:dyDescent="0.25">
      <c r="A2370" s="2" t="str">
        <f>HYPERLINK("https://rth.dk/resources/bsgatlas/details.php?id=BSGatlas-TSS-2369","BSGatlas-TSS-2369")</f>
        <v>BSGatlas-TSS-2369</v>
      </c>
      <c r="B2370" s="3">
        <v>2991249</v>
      </c>
      <c r="C2370" s="1" t="s">
        <v>13</v>
      </c>
      <c r="D2370" s="1">
        <v>22</v>
      </c>
      <c r="E2370" s="1" t="s">
        <v>14722</v>
      </c>
      <c r="F2370" s="6"/>
      <c r="G2370" s="1" t="s">
        <v>14733</v>
      </c>
    </row>
    <row r="2371" spans="1:7" ht="21" x14ac:dyDescent="0.25">
      <c r="A2371" s="2" t="str">
        <f>HYPERLINK("https://rth.dk/resources/bsgatlas/details.php?id=BSGatlas-TSS-2370","BSGatlas-TSS-2370")</f>
        <v>BSGatlas-TSS-2370</v>
      </c>
      <c r="B2371" s="3">
        <v>2992302</v>
      </c>
      <c r="C2371" s="1" t="s">
        <v>9</v>
      </c>
      <c r="D2371" s="1">
        <v>22</v>
      </c>
      <c r="E2371" s="1" t="s">
        <v>14739</v>
      </c>
      <c r="F2371" s="6"/>
      <c r="G2371" s="1" t="s">
        <v>14726</v>
      </c>
    </row>
    <row r="2372" spans="1:7" ht="21" x14ac:dyDescent="0.25">
      <c r="A2372" s="2" t="str">
        <f>HYPERLINK("https://rth.dk/resources/bsgatlas/details.php?id=BSGatlas-TSS-2371","BSGatlas-TSS-2371")</f>
        <v>BSGatlas-TSS-2371</v>
      </c>
      <c r="B2372" s="3">
        <v>2992509</v>
      </c>
      <c r="C2372" s="1" t="s">
        <v>13</v>
      </c>
      <c r="D2372" s="1">
        <v>22</v>
      </c>
      <c r="E2372" s="1" t="s">
        <v>14722</v>
      </c>
      <c r="F2372" s="6"/>
      <c r="G2372" s="1" t="s">
        <v>14726</v>
      </c>
    </row>
    <row r="2373" spans="1:7" ht="21" x14ac:dyDescent="0.25">
      <c r="A2373" s="2" t="str">
        <f>HYPERLINK("https://rth.dk/resources/bsgatlas/details.php?id=BSGatlas-TSS-2372","BSGatlas-TSS-2372")</f>
        <v>BSGatlas-TSS-2372</v>
      </c>
      <c r="B2373" s="3">
        <v>2994665</v>
      </c>
      <c r="C2373" s="1" t="s">
        <v>13</v>
      </c>
      <c r="D2373" s="1">
        <v>22</v>
      </c>
      <c r="E2373" s="1" t="s">
        <v>14722</v>
      </c>
      <c r="F2373" s="6"/>
      <c r="G2373" s="1" t="s">
        <v>14726</v>
      </c>
    </row>
    <row r="2374" spans="1:7" ht="21" x14ac:dyDescent="0.25">
      <c r="A2374" s="2" t="str">
        <f>HYPERLINK("https://rth.dk/resources/bsgatlas/details.php?id=BSGatlas-TSS-2373","BSGatlas-TSS-2373")</f>
        <v>BSGatlas-TSS-2373</v>
      </c>
      <c r="B2374" s="3">
        <v>2994737</v>
      </c>
      <c r="C2374" s="1" t="s">
        <v>9</v>
      </c>
      <c r="D2374" s="1">
        <v>0</v>
      </c>
      <c r="E2374" s="1" t="s">
        <v>14735</v>
      </c>
      <c r="F2374" s="6" t="s">
        <v>14767</v>
      </c>
      <c r="G2374" s="1" t="s">
        <v>14729</v>
      </c>
    </row>
    <row r="2375" spans="1:7" ht="21" x14ac:dyDescent="0.25">
      <c r="A2375" s="2" t="str">
        <f>HYPERLINK("https://rth.dk/resources/bsgatlas/details.php?id=BSGatlas-TSS-2374","BSGatlas-TSS-2374")</f>
        <v>BSGatlas-TSS-2374</v>
      </c>
      <c r="B2375" s="3">
        <v>2995648</v>
      </c>
      <c r="C2375" s="1" t="s">
        <v>9</v>
      </c>
      <c r="D2375" s="1">
        <v>22</v>
      </c>
      <c r="E2375" s="1" t="s">
        <v>14722</v>
      </c>
      <c r="F2375" s="6"/>
      <c r="G2375" s="1" t="s">
        <v>14726</v>
      </c>
    </row>
    <row r="2376" spans="1:7" ht="21" x14ac:dyDescent="0.25">
      <c r="A2376" s="2" t="str">
        <f>HYPERLINK("https://rth.dk/resources/bsgatlas/details.php?id=BSGatlas-TSS-2375","BSGatlas-TSS-2375")</f>
        <v>BSGatlas-TSS-2375</v>
      </c>
      <c r="B2376" s="3">
        <v>2996284</v>
      </c>
      <c r="C2376" s="1" t="s">
        <v>9</v>
      </c>
      <c r="D2376" s="1">
        <v>22</v>
      </c>
      <c r="E2376" s="1" t="s">
        <v>14725</v>
      </c>
      <c r="F2376" s="6"/>
      <c r="G2376" s="1" t="s">
        <v>14733</v>
      </c>
    </row>
    <row r="2377" spans="1:7" ht="21" x14ac:dyDescent="0.25">
      <c r="A2377" s="2" t="str">
        <f>HYPERLINK("https://rth.dk/resources/bsgatlas/details.php?id=BSGatlas-TSS-2376","BSGatlas-TSS-2376")</f>
        <v>BSGatlas-TSS-2376</v>
      </c>
      <c r="B2377" s="3">
        <v>2996680</v>
      </c>
      <c r="C2377" s="1" t="s">
        <v>9</v>
      </c>
      <c r="D2377" s="1">
        <v>22</v>
      </c>
      <c r="E2377" s="1" t="s">
        <v>14734</v>
      </c>
      <c r="F2377" s="6"/>
      <c r="G2377" s="1" t="s">
        <v>14733</v>
      </c>
    </row>
    <row r="2378" spans="1:7" ht="21" x14ac:dyDescent="0.25">
      <c r="A2378" s="2" t="str">
        <f>HYPERLINK("https://rth.dk/resources/bsgatlas/details.php?id=BSGatlas-TSS-2377","BSGatlas-TSS-2377")</f>
        <v>BSGatlas-TSS-2377</v>
      </c>
      <c r="B2378" s="3">
        <v>2996884</v>
      </c>
      <c r="C2378" s="1" t="s">
        <v>13</v>
      </c>
      <c r="D2378" s="1">
        <v>22</v>
      </c>
      <c r="E2378" s="1" t="s">
        <v>14722</v>
      </c>
      <c r="F2378" s="6"/>
      <c r="G2378" s="1" t="s">
        <v>14726</v>
      </c>
    </row>
    <row r="2379" spans="1:7" ht="21" x14ac:dyDescent="0.25">
      <c r="A2379" s="2" t="str">
        <f>HYPERLINK("https://rth.dk/resources/bsgatlas/details.php?id=BSGatlas-TSS-2378","BSGatlas-TSS-2378")</f>
        <v>BSGatlas-TSS-2378</v>
      </c>
      <c r="B2379" s="3">
        <v>2998667</v>
      </c>
      <c r="C2379" s="1" t="s">
        <v>13</v>
      </c>
      <c r="D2379" s="1">
        <v>22</v>
      </c>
      <c r="E2379" s="1" t="s">
        <v>14722</v>
      </c>
      <c r="F2379" s="6"/>
      <c r="G2379" s="1" t="s">
        <v>14726</v>
      </c>
    </row>
    <row r="2380" spans="1:7" ht="21" x14ac:dyDescent="0.25">
      <c r="A2380" s="2" t="str">
        <f>HYPERLINK("https://rth.dk/resources/bsgatlas/details.php?id=BSGatlas-TSS-2379","BSGatlas-TSS-2379")</f>
        <v>BSGatlas-TSS-2379</v>
      </c>
      <c r="B2380" s="3">
        <v>3006426</v>
      </c>
      <c r="C2380" s="1" t="s">
        <v>9</v>
      </c>
      <c r="D2380" s="1">
        <v>22</v>
      </c>
      <c r="E2380" s="1" t="s">
        <v>14722</v>
      </c>
      <c r="F2380" s="6"/>
      <c r="G2380" s="1" t="s">
        <v>14726</v>
      </c>
    </row>
    <row r="2381" spans="1:7" ht="21" x14ac:dyDescent="0.25">
      <c r="A2381" s="2" t="str">
        <f>HYPERLINK("https://rth.dk/resources/bsgatlas/details.php?id=BSGatlas-TSS-2380","BSGatlas-TSS-2380")</f>
        <v>BSGatlas-TSS-2380</v>
      </c>
      <c r="B2381" s="3">
        <v>3008841</v>
      </c>
      <c r="C2381" s="1" t="s">
        <v>13</v>
      </c>
      <c r="D2381" s="1">
        <v>0</v>
      </c>
      <c r="E2381" s="1" t="s">
        <v>14722</v>
      </c>
      <c r="F2381" s="6" t="s">
        <v>15035</v>
      </c>
      <c r="G2381" s="1" t="s">
        <v>14730</v>
      </c>
    </row>
    <row r="2382" spans="1:7" ht="21" x14ac:dyDescent="0.25">
      <c r="A2382" s="2" t="str">
        <f>HYPERLINK("https://rth.dk/resources/bsgatlas/details.php?id=BSGatlas-TSS-2381","BSGatlas-TSS-2381")</f>
        <v>BSGatlas-TSS-2381</v>
      </c>
      <c r="B2382" s="3">
        <v>3008842</v>
      </c>
      <c r="C2382" s="1" t="s">
        <v>13</v>
      </c>
      <c r="D2382" s="1">
        <v>0</v>
      </c>
      <c r="E2382" s="1" t="s">
        <v>14722</v>
      </c>
      <c r="F2382" s="6" t="s">
        <v>15036</v>
      </c>
      <c r="G2382" s="1" t="s">
        <v>14747</v>
      </c>
    </row>
    <row r="2383" spans="1:7" ht="21" x14ac:dyDescent="0.25">
      <c r="A2383" s="2" t="str">
        <f>HYPERLINK("https://rth.dk/resources/bsgatlas/details.php?id=BSGatlas-TSS-2382","BSGatlas-TSS-2382")</f>
        <v>BSGatlas-TSS-2382</v>
      </c>
      <c r="B2383" s="3">
        <v>3008857</v>
      </c>
      <c r="C2383" s="1" t="s">
        <v>9</v>
      </c>
      <c r="D2383" s="1">
        <v>0</v>
      </c>
      <c r="E2383" s="1" t="s">
        <v>14722</v>
      </c>
      <c r="F2383" s="6" t="s">
        <v>15037</v>
      </c>
      <c r="G2383" s="1" t="s">
        <v>14724</v>
      </c>
    </row>
    <row r="2384" spans="1:7" ht="21" x14ac:dyDescent="0.25">
      <c r="A2384" s="2" t="str">
        <f>HYPERLINK("https://rth.dk/resources/bsgatlas/details.php?id=BSGatlas-TSS-2383","BSGatlas-TSS-2383")</f>
        <v>BSGatlas-TSS-2383</v>
      </c>
      <c r="B2384" s="3">
        <v>3008860</v>
      </c>
      <c r="C2384" s="1" t="s">
        <v>9</v>
      </c>
      <c r="D2384" s="1">
        <v>0</v>
      </c>
      <c r="E2384" s="1" t="s">
        <v>14722</v>
      </c>
      <c r="F2384" s="6" t="s">
        <v>15038</v>
      </c>
      <c r="G2384" s="1" t="s">
        <v>14724</v>
      </c>
    </row>
    <row r="2385" spans="1:7" ht="21" x14ac:dyDescent="0.25">
      <c r="A2385" s="2" t="str">
        <f>HYPERLINK("https://rth.dk/resources/bsgatlas/details.php?id=BSGatlas-TSS-2384","BSGatlas-TSS-2384")</f>
        <v>BSGatlas-TSS-2384</v>
      </c>
      <c r="B2385" s="3">
        <v>3011495</v>
      </c>
      <c r="C2385" s="1" t="s">
        <v>13</v>
      </c>
      <c r="D2385" s="1">
        <v>22</v>
      </c>
      <c r="E2385" s="1" t="s">
        <v>14722</v>
      </c>
      <c r="F2385" s="6"/>
      <c r="G2385" s="1" t="s">
        <v>14726</v>
      </c>
    </row>
    <row r="2386" spans="1:7" ht="21" x14ac:dyDescent="0.25">
      <c r="A2386" s="2" t="str">
        <f>HYPERLINK("https://rth.dk/resources/bsgatlas/details.php?id=BSGatlas-TSS-2385","BSGatlas-TSS-2385")</f>
        <v>BSGatlas-TSS-2385</v>
      </c>
      <c r="B2386" s="3">
        <v>3014421</v>
      </c>
      <c r="C2386" s="1" t="s">
        <v>13</v>
      </c>
      <c r="D2386" s="1">
        <v>22</v>
      </c>
      <c r="E2386" s="1" t="s">
        <v>14722</v>
      </c>
      <c r="F2386" s="6"/>
      <c r="G2386" s="1" t="s">
        <v>14733</v>
      </c>
    </row>
    <row r="2387" spans="1:7" ht="21" x14ac:dyDescent="0.25">
      <c r="A2387" s="2" t="str">
        <f>HYPERLINK("https://rth.dk/resources/bsgatlas/details.php?id=BSGatlas-TSS-2386","BSGatlas-TSS-2386")</f>
        <v>BSGatlas-TSS-2386</v>
      </c>
      <c r="B2387" s="3">
        <v>3015060</v>
      </c>
      <c r="C2387" s="1" t="s">
        <v>13</v>
      </c>
      <c r="D2387" s="1">
        <v>22</v>
      </c>
      <c r="E2387" s="1" t="s">
        <v>14722</v>
      </c>
      <c r="F2387" s="6"/>
      <c r="G2387" s="1" t="s">
        <v>14726</v>
      </c>
    </row>
    <row r="2388" spans="1:7" ht="21" x14ac:dyDescent="0.25">
      <c r="A2388" s="2" t="str">
        <f>HYPERLINK("https://rth.dk/resources/bsgatlas/details.php?id=BSGatlas-TSS-2387","BSGatlas-TSS-2387")</f>
        <v>BSGatlas-TSS-2387</v>
      </c>
      <c r="B2388" s="3">
        <v>3016390</v>
      </c>
      <c r="C2388" s="1" t="s">
        <v>13</v>
      </c>
      <c r="D2388" s="1">
        <v>0</v>
      </c>
      <c r="E2388" s="1" t="s">
        <v>14722</v>
      </c>
      <c r="F2388" s="6" t="s">
        <v>15039</v>
      </c>
      <c r="G2388" s="1" t="s">
        <v>14724</v>
      </c>
    </row>
    <row r="2389" spans="1:7" ht="21" x14ac:dyDescent="0.25">
      <c r="A2389" s="2" t="str">
        <f>HYPERLINK("https://rth.dk/resources/bsgatlas/details.php?id=BSGatlas-TSS-2388","BSGatlas-TSS-2388")</f>
        <v>BSGatlas-TSS-2388</v>
      </c>
      <c r="B2389" s="3">
        <v>3016534</v>
      </c>
      <c r="C2389" s="1" t="s">
        <v>13</v>
      </c>
      <c r="D2389" s="1">
        <v>22</v>
      </c>
      <c r="E2389" s="1" t="s">
        <v>14732</v>
      </c>
      <c r="F2389" s="6"/>
      <c r="G2389" s="1" t="s">
        <v>14733</v>
      </c>
    </row>
    <row r="2390" spans="1:7" ht="21" x14ac:dyDescent="0.25">
      <c r="A2390" s="2" t="str">
        <f>HYPERLINK("https://rth.dk/resources/bsgatlas/details.php?id=BSGatlas-TSS-2389","BSGatlas-TSS-2389")</f>
        <v>BSGatlas-TSS-2389</v>
      </c>
      <c r="B2390" s="3">
        <v>3017976</v>
      </c>
      <c r="C2390" s="1" t="s">
        <v>9</v>
      </c>
      <c r="D2390" s="1">
        <v>22</v>
      </c>
      <c r="E2390" s="1" t="s">
        <v>14720</v>
      </c>
      <c r="F2390" s="6"/>
      <c r="G2390" s="1" t="s">
        <v>14726</v>
      </c>
    </row>
    <row r="2391" spans="1:7" ht="21" x14ac:dyDescent="0.25">
      <c r="A2391" s="2" t="str">
        <f>HYPERLINK("https://rth.dk/resources/bsgatlas/details.php?id=BSGatlas-TSS-2390","BSGatlas-TSS-2390")</f>
        <v>BSGatlas-TSS-2390</v>
      </c>
      <c r="B2391" s="3">
        <v>3018238</v>
      </c>
      <c r="C2391" s="1" t="s">
        <v>13</v>
      </c>
      <c r="D2391" s="1">
        <v>22</v>
      </c>
      <c r="E2391" s="1" t="s">
        <v>14722</v>
      </c>
      <c r="F2391" s="6"/>
      <c r="G2391" s="1" t="s">
        <v>14726</v>
      </c>
    </row>
    <row r="2392" spans="1:7" ht="21" x14ac:dyDescent="0.25">
      <c r="A2392" s="2" t="str">
        <f>HYPERLINK("https://rth.dk/resources/bsgatlas/details.php?id=BSGatlas-TSS-2391","BSGatlas-TSS-2391")</f>
        <v>BSGatlas-TSS-2391</v>
      </c>
      <c r="B2392" s="3">
        <v>3018870</v>
      </c>
      <c r="C2392" s="1" t="s">
        <v>13</v>
      </c>
      <c r="D2392" s="1">
        <v>22</v>
      </c>
      <c r="E2392" s="1" t="s">
        <v>14732</v>
      </c>
      <c r="F2392" s="6"/>
      <c r="G2392" s="1" t="s">
        <v>14726</v>
      </c>
    </row>
    <row r="2393" spans="1:7" ht="21" x14ac:dyDescent="0.25">
      <c r="A2393" s="2" t="str">
        <f>HYPERLINK("https://rth.dk/resources/bsgatlas/details.php?id=BSGatlas-TSS-2392","BSGatlas-TSS-2392")</f>
        <v>BSGatlas-TSS-2392</v>
      </c>
      <c r="B2393" s="3">
        <v>3019474</v>
      </c>
      <c r="C2393" s="1" t="s">
        <v>13</v>
      </c>
      <c r="D2393" s="1">
        <v>0</v>
      </c>
      <c r="E2393" s="1" t="s">
        <v>14867</v>
      </c>
      <c r="F2393" s="6" t="s">
        <v>14851</v>
      </c>
      <c r="G2393" s="1" t="s">
        <v>14730</v>
      </c>
    </row>
    <row r="2394" spans="1:7" ht="21" x14ac:dyDescent="0.25">
      <c r="A2394" s="2" t="str">
        <f>HYPERLINK("https://rth.dk/resources/bsgatlas/details.php?id=BSGatlas-TSS-2393","BSGatlas-TSS-2393")</f>
        <v>BSGatlas-TSS-2393</v>
      </c>
      <c r="B2394" s="3">
        <v>3021074</v>
      </c>
      <c r="C2394" s="1" t="s">
        <v>13</v>
      </c>
      <c r="D2394" s="1">
        <v>0</v>
      </c>
      <c r="E2394" s="1" t="s">
        <v>14770</v>
      </c>
      <c r="F2394" s="6" t="s">
        <v>14771</v>
      </c>
      <c r="G2394" s="1" t="s">
        <v>14729</v>
      </c>
    </row>
    <row r="2395" spans="1:7" ht="21" x14ac:dyDescent="0.25">
      <c r="A2395" s="2" t="str">
        <f>HYPERLINK("https://rth.dk/resources/bsgatlas/details.php?id=BSGatlas-TSS-2394","BSGatlas-TSS-2394")</f>
        <v>BSGatlas-TSS-2394</v>
      </c>
      <c r="B2395" s="3">
        <v>3021157</v>
      </c>
      <c r="C2395" s="1" t="s">
        <v>9</v>
      </c>
      <c r="D2395" s="1">
        <v>22</v>
      </c>
      <c r="E2395" s="1" t="s">
        <v>14722</v>
      </c>
      <c r="F2395" s="6"/>
      <c r="G2395" s="1" t="s">
        <v>14733</v>
      </c>
    </row>
    <row r="2396" spans="1:7" ht="21" x14ac:dyDescent="0.25">
      <c r="A2396" s="2" t="str">
        <f>HYPERLINK("https://rth.dk/resources/bsgatlas/details.php?id=BSGatlas-TSS-2395","BSGatlas-TSS-2395")</f>
        <v>BSGatlas-TSS-2395</v>
      </c>
      <c r="B2396" s="3">
        <v>3021169</v>
      </c>
      <c r="C2396" s="1" t="s">
        <v>13</v>
      </c>
      <c r="D2396" s="1">
        <v>22</v>
      </c>
      <c r="E2396" s="1" t="s">
        <v>14722</v>
      </c>
      <c r="F2396" s="6"/>
      <c r="G2396" s="1" t="s">
        <v>14733</v>
      </c>
    </row>
    <row r="2397" spans="1:7" ht="21" x14ac:dyDescent="0.25">
      <c r="A2397" s="2" t="str">
        <f>HYPERLINK("https://rth.dk/resources/bsgatlas/details.php?id=BSGatlas-TSS-2396","BSGatlas-TSS-2396")</f>
        <v>BSGatlas-TSS-2396</v>
      </c>
      <c r="B2397" s="3">
        <v>3025317</v>
      </c>
      <c r="C2397" s="1" t="s">
        <v>13</v>
      </c>
      <c r="D2397" s="1">
        <v>22</v>
      </c>
      <c r="E2397" s="1" t="s">
        <v>14722</v>
      </c>
      <c r="F2397" s="6"/>
      <c r="G2397" s="1" t="s">
        <v>14726</v>
      </c>
    </row>
    <row r="2398" spans="1:7" ht="21" x14ac:dyDescent="0.25">
      <c r="A2398" s="2" t="str">
        <f>HYPERLINK("https://rth.dk/resources/bsgatlas/details.php?id=BSGatlas-TSS-2397","BSGatlas-TSS-2397")</f>
        <v>BSGatlas-TSS-2397</v>
      </c>
      <c r="B2398" s="3">
        <v>3025654</v>
      </c>
      <c r="C2398" s="1" t="s">
        <v>9</v>
      </c>
      <c r="D2398" s="1">
        <v>22</v>
      </c>
      <c r="E2398" s="1" t="s">
        <v>14720</v>
      </c>
      <c r="F2398" s="6"/>
      <c r="G2398" s="1" t="s">
        <v>14726</v>
      </c>
    </row>
    <row r="2399" spans="1:7" ht="21" x14ac:dyDescent="0.25">
      <c r="A2399" s="2" t="str">
        <f>HYPERLINK("https://rth.dk/resources/bsgatlas/details.php?id=BSGatlas-TSS-2398","BSGatlas-TSS-2398")</f>
        <v>BSGatlas-TSS-2398</v>
      </c>
      <c r="B2399" s="3">
        <v>3025671</v>
      </c>
      <c r="C2399" s="1" t="s">
        <v>13</v>
      </c>
      <c r="D2399" s="1">
        <v>0</v>
      </c>
      <c r="E2399" s="1" t="s">
        <v>14743</v>
      </c>
      <c r="F2399" s="6" t="s">
        <v>14893</v>
      </c>
      <c r="G2399" s="1" t="s">
        <v>14729</v>
      </c>
    </row>
    <row r="2400" spans="1:7" ht="21" x14ac:dyDescent="0.25">
      <c r="A2400" s="2" t="str">
        <f>HYPERLINK("https://rth.dk/resources/bsgatlas/details.php?id=BSGatlas-TSS-2399","BSGatlas-TSS-2399")</f>
        <v>BSGatlas-TSS-2399</v>
      </c>
      <c r="B2400" s="3">
        <v>3028207</v>
      </c>
      <c r="C2400" s="1" t="s">
        <v>9</v>
      </c>
      <c r="D2400" s="1">
        <v>22</v>
      </c>
      <c r="E2400" s="1" t="s">
        <v>14722</v>
      </c>
      <c r="F2400" s="6"/>
      <c r="G2400" s="1" t="s">
        <v>14733</v>
      </c>
    </row>
    <row r="2401" spans="1:7" ht="21" x14ac:dyDescent="0.25">
      <c r="A2401" s="2" t="str">
        <f>HYPERLINK("https://rth.dk/resources/bsgatlas/details.php?id=BSGatlas-TSS-2400","BSGatlas-TSS-2400")</f>
        <v>BSGatlas-TSS-2400</v>
      </c>
      <c r="B2401" s="3">
        <v>3029246</v>
      </c>
      <c r="C2401" s="1" t="s">
        <v>13</v>
      </c>
      <c r="D2401" s="1">
        <v>22</v>
      </c>
      <c r="E2401" s="1" t="s">
        <v>14722</v>
      </c>
      <c r="F2401" s="6"/>
      <c r="G2401" s="1" t="s">
        <v>14733</v>
      </c>
    </row>
    <row r="2402" spans="1:7" ht="21" x14ac:dyDescent="0.25">
      <c r="A2402" s="2" t="str">
        <f>HYPERLINK("https://rth.dk/resources/bsgatlas/details.php?id=BSGatlas-TSS-2401","BSGatlas-TSS-2401")</f>
        <v>BSGatlas-TSS-2401</v>
      </c>
      <c r="B2402" s="3">
        <v>3031488</v>
      </c>
      <c r="C2402" s="1" t="s">
        <v>13</v>
      </c>
      <c r="D2402" s="1">
        <v>0</v>
      </c>
      <c r="E2402" s="1" t="s">
        <v>14722</v>
      </c>
      <c r="F2402" s="6" t="s">
        <v>15040</v>
      </c>
      <c r="G2402" s="1" t="s">
        <v>4382</v>
      </c>
    </row>
    <row r="2403" spans="1:7" ht="21" x14ac:dyDescent="0.25">
      <c r="A2403" s="2" t="str">
        <f>HYPERLINK("https://rth.dk/resources/bsgatlas/details.php?id=BSGatlas-TSS-2402","BSGatlas-TSS-2402")</f>
        <v>BSGatlas-TSS-2402</v>
      </c>
      <c r="B2403" s="3">
        <v>3031513</v>
      </c>
      <c r="C2403" s="1" t="s">
        <v>13</v>
      </c>
      <c r="D2403" s="1">
        <v>0</v>
      </c>
      <c r="E2403" s="1" t="s">
        <v>14722</v>
      </c>
      <c r="F2403" s="6" t="s">
        <v>15040</v>
      </c>
      <c r="G2403" s="1" t="s">
        <v>14724</v>
      </c>
    </row>
    <row r="2404" spans="1:7" ht="21" x14ac:dyDescent="0.25">
      <c r="A2404" s="2" t="str">
        <f>HYPERLINK("https://rth.dk/resources/bsgatlas/details.php?id=BSGatlas-TSS-2403","BSGatlas-TSS-2403")</f>
        <v>BSGatlas-TSS-2403</v>
      </c>
      <c r="B2404" s="3">
        <v>3031523</v>
      </c>
      <c r="C2404" s="1" t="s">
        <v>9</v>
      </c>
      <c r="D2404" s="1">
        <v>22</v>
      </c>
      <c r="E2404" s="1" t="s">
        <v>14722</v>
      </c>
      <c r="F2404" s="6"/>
      <c r="G2404" s="1" t="s">
        <v>14733</v>
      </c>
    </row>
    <row r="2405" spans="1:7" ht="21" x14ac:dyDescent="0.25">
      <c r="A2405" s="2" t="str">
        <f>HYPERLINK("https://rth.dk/resources/bsgatlas/details.php?id=BSGatlas-TSS-2404","BSGatlas-TSS-2404")</f>
        <v>BSGatlas-TSS-2404</v>
      </c>
      <c r="B2405" s="3">
        <v>3032101</v>
      </c>
      <c r="C2405" s="1" t="s">
        <v>13</v>
      </c>
      <c r="D2405" s="1">
        <v>22</v>
      </c>
      <c r="E2405" s="1" t="s">
        <v>14722</v>
      </c>
      <c r="F2405" s="6"/>
      <c r="G2405" s="1" t="s">
        <v>14733</v>
      </c>
    </row>
    <row r="2406" spans="1:7" ht="21" x14ac:dyDescent="0.25">
      <c r="A2406" s="2" t="str">
        <f>HYPERLINK("https://rth.dk/resources/bsgatlas/details.php?id=BSGatlas-TSS-2405","BSGatlas-TSS-2405")</f>
        <v>BSGatlas-TSS-2405</v>
      </c>
      <c r="B2406" s="3">
        <v>3032765</v>
      </c>
      <c r="C2406" s="1" t="s">
        <v>9</v>
      </c>
      <c r="D2406" s="1">
        <v>22</v>
      </c>
      <c r="E2406" s="1" t="s">
        <v>14722</v>
      </c>
      <c r="F2406" s="6"/>
      <c r="G2406" s="1" t="s">
        <v>14733</v>
      </c>
    </row>
    <row r="2407" spans="1:7" ht="21" x14ac:dyDescent="0.25">
      <c r="A2407" s="2" t="str">
        <f>HYPERLINK("https://rth.dk/resources/bsgatlas/details.php?id=BSGatlas-TSS-2406","BSGatlas-TSS-2406")</f>
        <v>BSGatlas-TSS-2406</v>
      </c>
      <c r="B2407" s="3">
        <v>3032910</v>
      </c>
      <c r="C2407" s="1" t="s">
        <v>9</v>
      </c>
      <c r="D2407" s="1">
        <v>22</v>
      </c>
      <c r="E2407" s="1" t="s">
        <v>14722</v>
      </c>
      <c r="F2407" s="6"/>
      <c r="G2407" s="1" t="s">
        <v>14733</v>
      </c>
    </row>
    <row r="2408" spans="1:7" ht="21" x14ac:dyDescent="0.25">
      <c r="A2408" s="2" t="str">
        <f>HYPERLINK("https://rth.dk/resources/bsgatlas/details.php?id=BSGatlas-TSS-2407","BSGatlas-TSS-2407")</f>
        <v>BSGatlas-TSS-2407</v>
      </c>
      <c r="B2408" s="3">
        <v>3033042</v>
      </c>
      <c r="C2408" s="1" t="s">
        <v>9</v>
      </c>
      <c r="D2408" s="1">
        <v>22</v>
      </c>
      <c r="E2408" s="1" t="s">
        <v>14722</v>
      </c>
      <c r="F2408" s="6"/>
      <c r="G2408" s="1" t="s">
        <v>14733</v>
      </c>
    </row>
    <row r="2409" spans="1:7" ht="21" x14ac:dyDescent="0.25">
      <c r="A2409" s="2" t="str">
        <f>HYPERLINK("https://rth.dk/resources/bsgatlas/details.php?id=BSGatlas-TSS-2408","BSGatlas-TSS-2408")</f>
        <v>BSGatlas-TSS-2408</v>
      </c>
      <c r="B2409" s="3">
        <v>3033074</v>
      </c>
      <c r="C2409" s="1" t="s">
        <v>13</v>
      </c>
      <c r="D2409" s="1">
        <v>22</v>
      </c>
      <c r="E2409" s="1" t="s">
        <v>14745</v>
      </c>
      <c r="F2409" s="6"/>
      <c r="G2409" s="1" t="s">
        <v>14726</v>
      </c>
    </row>
    <row r="2410" spans="1:7" ht="21" x14ac:dyDescent="0.25">
      <c r="A2410" s="2" t="str">
        <f>HYPERLINK("https://rth.dk/resources/bsgatlas/details.php?id=BSGatlas-TSS-2409","BSGatlas-TSS-2409")</f>
        <v>BSGatlas-TSS-2409</v>
      </c>
      <c r="B2410" s="3">
        <v>3034933</v>
      </c>
      <c r="C2410" s="1" t="s">
        <v>9</v>
      </c>
      <c r="D2410" s="1">
        <v>22</v>
      </c>
      <c r="E2410" s="1" t="s">
        <v>14752</v>
      </c>
      <c r="F2410" s="6"/>
      <c r="G2410" s="1" t="s">
        <v>14733</v>
      </c>
    </row>
    <row r="2411" spans="1:7" ht="21" x14ac:dyDescent="0.25">
      <c r="A2411" s="2" t="str">
        <f>HYPERLINK("https://rth.dk/resources/bsgatlas/details.php?id=BSGatlas-TSS-2410","BSGatlas-TSS-2410")</f>
        <v>BSGatlas-TSS-2410</v>
      </c>
      <c r="B2411" s="3">
        <v>3035473</v>
      </c>
      <c r="C2411" s="1" t="s">
        <v>13</v>
      </c>
      <c r="D2411" s="1">
        <v>22</v>
      </c>
      <c r="E2411" s="1" t="s">
        <v>14722</v>
      </c>
      <c r="F2411" s="6"/>
      <c r="G2411" s="1" t="s">
        <v>14726</v>
      </c>
    </row>
    <row r="2412" spans="1:7" ht="21" x14ac:dyDescent="0.25">
      <c r="A2412" s="2" t="str">
        <f>HYPERLINK("https://rth.dk/resources/bsgatlas/details.php?id=BSGatlas-TSS-2411","BSGatlas-TSS-2411")</f>
        <v>BSGatlas-TSS-2411</v>
      </c>
      <c r="B2412" s="3">
        <v>3035548</v>
      </c>
      <c r="C2412" s="1" t="s">
        <v>9</v>
      </c>
      <c r="D2412" s="1">
        <v>0</v>
      </c>
      <c r="E2412" s="1" t="s">
        <v>14722</v>
      </c>
      <c r="F2412" s="6" t="s">
        <v>15041</v>
      </c>
      <c r="G2412" s="1" t="s">
        <v>14724</v>
      </c>
    </row>
    <row r="2413" spans="1:7" ht="21" x14ac:dyDescent="0.25">
      <c r="A2413" s="2" t="str">
        <f>HYPERLINK("https://rth.dk/resources/bsgatlas/details.php?id=BSGatlas-TSS-2412","BSGatlas-TSS-2412")</f>
        <v>BSGatlas-TSS-2412</v>
      </c>
      <c r="B2413" s="3">
        <v>3036537</v>
      </c>
      <c r="C2413" s="1" t="s">
        <v>13</v>
      </c>
      <c r="D2413" s="1">
        <v>22</v>
      </c>
      <c r="E2413" s="1" t="s">
        <v>14734</v>
      </c>
      <c r="F2413" s="6"/>
      <c r="G2413" s="1" t="s">
        <v>14726</v>
      </c>
    </row>
    <row r="2414" spans="1:7" ht="21" x14ac:dyDescent="0.25">
      <c r="A2414" s="2" t="str">
        <f>HYPERLINK("https://rth.dk/resources/bsgatlas/details.php?id=BSGatlas-TSS-2413","BSGatlas-TSS-2413")</f>
        <v>BSGatlas-TSS-2413</v>
      </c>
      <c r="B2414" s="3">
        <v>3038168</v>
      </c>
      <c r="C2414" s="1" t="s">
        <v>13</v>
      </c>
      <c r="D2414" s="1">
        <v>0</v>
      </c>
      <c r="E2414" s="1" t="s">
        <v>14722</v>
      </c>
      <c r="F2414" s="6" t="s">
        <v>15042</v>
      </c>
      <c r="G2414" s="1" t="s">
        <v>14729</v>
      </c>
    </row>
    <row r="2415" spans="1:7" ht="21" x14ac:dyDescent="0.25">
      <c r="A2415" s="2" t="str">
        <f>HYPERLINK("https://rth.dk/resources/bsgatlas/details.php?id=BSGatlas-TSS-2414","BSGatlas-TSS-2414")</f>
        <v>BSGatlas-TSS-2414</v>
      </c>
      <c r="B2415" s="3">
        <v>3039961</v>
      </c>
      <c r="C2415" s="1" t="s">
        <v>13</v>
      </c>
      <c r="D2415" s="1">
        <v>0</v>
      </c>
      <c r="E2415" s="1" t="s">
        <v>14722</v>
      </c>
      <c r="F2415" s="6" t="s">
        <v>15043</v>
      </c>
      <c r="G2415" s="1" t="s">
        <v>14729</v>
      </c>
    </row>
    <row r="2416" spans="1:7" ht="21" x14ac:dyDescent="0.25">
      <c r="A2416" s="2" t="str">
        <f>HYPERLINK("https://rth.dk/resources/bsgatlas/details.php?id=BSGatlas-TSS-2415","BSGatlas-TSS-2415")</f>
        <v>BSGatlas-TSS-2415</v>
      </c>
      <c r="B2416" s="3">
        <v>3039973</v>
      </c>
      <c r="C2416" s="1" t="s">
        <v>9</v>
      </c>
      <c r="D2416" s="1">
        <v>22</v>
      </c>
      <c r="E2416" s="1" t="s">
        <v>14722</v>
      </c>
      <c r="F2416" s="6"/>
      <c r="G2416" s="1" t="s">
        <v>14726</v>
      </c>
    </row>
    <row r="2417" spans="1:7" ht="21" x14ac:dyDescent="0.25">
      <c r="A2417" s="2" t="str">
        <f>HYPERLINK("https://rth.dk/resources/bsgatlas/details.php?id=BSGatlas-TSS-2416","BSGatlas-TSS-2416")</f>
        <v>BSGatlas-TSS-2416</v>
      </c>
      <c r="B2417" s="3">
        <v>3040051</v>
      </c>
      <c r="C2417" s="1" t="s">
        <v>9</v>
      </c>
      <c r="D2417" s="1">
        <v>0</v>
      </c>
      <c r="E2417" s="1" t="s">
        <v>14722</v>
      </c>
      <c r="F2417" s="6" t="s">
        <v>15043</v>
      </c>
      <c r="G2417" s="1" t="s">
        <v>14729</v>
      </c>
    </row>
    <row r="2418" spans="1:7" ht="21" x14ac:dyDescent="0.25">
      <c r="A2418" s="2" t="str">
        <f>HYPERLINK("https://rth.dk/resources/bsgatlas/details.php?id=BSGatlas-TSS-2417","BSGatlas-TSS-2417")</f>
        <v>BSGatlas-TSS-2417</v>
      </c>
      <c r="B2418" s="3">
        <v>3040325</v>
      </c>
      <c r="C2418" s="1" t="s">
        <v>9</v>
      </c>
      <c r="D2418" s="1">
        <v>22</v>
      </c>
      <c r="E2418" s="1" t="s">
        <v>14725</v>
      </c>
      <c r="F2418" s="6"/>
      <c r="G2418" s="1" t="s">
        <v>14726</v>
      </c>
    </row>
    <row r="2419" spans="1:7" ht="21" x14ac:dyDescent="0.25">
      <c r="A2419" s="2" t="str">
        <f>HYPERLINK("https://rth.dk/resources/bsgatlas/details.php?id=BSGatlas-TSS-2418","BSGatlas-TSS-2418")</f>
        <v>BSGatlas-TSS-2418</v>
      </c>
      <c r="B2419" s="3">
        <v>3045219</v>
      </c>
      <c r="C2419" s="1" t="s">
        <v>13</v>
      </c>
      <c r="D2419" s="1">
        <v>22</v>
      </c>
      <c r="E2419" s="1" t="s">
        <v>14722</v>
      </c>
      <c r="F2419" s="6"/>
      <c r="G2419" s="1" t="s">
        <v>14726</v>
      </c>
    </row>
    <row r="2420" spans="1:7" ht="21" x14ac:dyDescent="0.25">
      <c r="A2420" s="2" t="str">
        <f>HYPERLINK("https://rth.dk/resources/bsgatlas/details.php?id=BSGatlas-TSS-2419","BSGatlas-TSS-2419")</f>
        <v>BSGatlas-TSS-2419</v>
      </c>
      <c r="B2420" s="3">
        <v>3045329</v>
      </c>
      <c r="C2420" s="1" t="s">
        <v>13</v>
      </c>
      <c r="D2420" s="1">
        <v>22</v>
      </c>
      <c r="E2420" s="1" t="s">
        <v>14722</v>
      </c>
      <c r="F2420" s="6"/>
      <c r="G2420" s="1" t="s">
        <v>14733</v>
      </c>
    </row>
    <row r="2421" spans="1:7" ht="21" x14ac:dyDescent="0.25">
      <c r="A2421" s="2" t="str">
        <f>HYPERLINK("https://rth.dk/resources/bsgatlas/details.php?id=BSGatlas-TSS-2420","BSGatlas-TSS-2420")</f>
        <v>BSGatlas-TSS-2420</v>
      </c>
      <c r="B2421" s="3">
        <v>3046582</v>
      </c>
      <c r="C2421" s="1" t="s">
        <v>13</v>
      </c>
      <c r="D2421" s="1">
        <v>22</v>
      </c>
      <c r="E2421" s="1" t="s">
        <v>14722</v>
      </c>
      <c r="F2421" s="6"/>
      <c r="G2421" s="1" t="s">
        <v>14726</v>
      </c>
    </row>
    <row r="2422" spans="1:7" ht="21" x14ac:dyDescent="0.25">
      <c r="A2422" s="2" t="str">
        <f>HYPERLINK("https://rth.dk/resources/bsgatlas/details.php?id=BSGatlas-TSS-2421","BSGatlas-TSS-2421")</f>
        <v>BSGatlas-TSS-2421</v>
      </c>
      <c r="B2422" s="3">
        <v>3046684</v>
      </c>
      <c r="C2422" s="1" t="s">
        <v>13</v>
      </c>
      <c r="D2422" s="1">
        <v>22</v>
      </c>
      <c r="E2422" s="1" t="s">
        <v>14722</v>
      </c>
      <c r="F2422" s="6"/>
      <c r="G2422" s="1" t="s">
        <v>14733</v>
      </c>
    </row>
    <row r="2423" spans="1:7" ht="21" x14ac:dyDescent="0.25">
      <c r="A2423" s="2" t="str">
        <f>HYPERLINK("https://rth.dk/resources/bsgatlas/details.php?id=BSGatlas-TSS-2422","BSGatlas-TSS-2422")</f>
        <v>BSGatlas-TSS-2422</v>
      </c>
      <c r="B2423" s="3">
        <v>3048041</v>
      </c>
      <c r="C2423" s="1" t="s">
        <v>13</v>
      </c>
      <c r="D2423" s="1">
        <v>0</v>
      </c>
      <c r="E2423" s="1" t="s">
        <v>14734</v>
      </c>
      <c r="F2423" s="6" t="s">
        <v>15044</v>
      </c>
      <c r="G2423" s="1" t="s">
        <v>14729</v>
      </c>
    </row>
    <row r="2424" spans="1:7" ht="21" x14ac:dyDescent="0.25">
      <c r="A2424" s="2" t="str">
        <f>HYPERLINK("https://rth.dk/resources/bsgatlas/details.php?id=BSGatlas-TSS-2423","BSGatlas-TSS-2423")</f>
        <v>BSGatlas-TSS-2423</v>
      </c>
      <c r="B2424" s="3">
        <v>3048090</v>
      </c>
      <c r="C2424" s="1" t="s">
        <v>13</v>
      </c>
      <c r="D2424" s="1">
        <v>0</v>
      </c>
      <c r="E2424" s="1" t="s">
        <v>14745</v>
      </c>
      <c r="F2424" s="6" t="s">
        <v>15044</v>
      </c>
      <c r="G2424" s="1" t="s">
        <v>14729</v>
      </c>
    </row>
    <row r="2425" spans="1:7" ht="21" x14ac:dyDescent="0.25">
      <c r="A2425" s="2" t="str">
        <f>HYPERLINK("https://rth.dk/resources/bsgatlas/details.php?id=BSGatlas-TSS-2424","BSGatlas-TSS-2424")</f>
        <v>BSGatlas-TSS-2424</v>
      </c>
      <c r="B2425" s="3">
        <v>3049501</v>
      </c>
      <c r="C2425" s="1" t="s">
        <v>13</v>
      </c>
      <c r="D2425" s="1">
        <v>22</v>
      </c>
      <c r="E2425" s="1" t="s">
        <v>14725</v>
      </c>
      <c r="F2425" s="6"/>
      <c r="G2425" s="1" t="s">
        <v>14726</v>
      </c>
    </row>
    <row r="2426" spans="1:7" ht="21" x14ac:dyDescent="0.25">
      <c r="A2426" s="2" t="str">
        <f>HYPERLINK("https://rth.dk/resources/bsgatlas/details.php?id=BSGatlas-TSS-2425","BSGatlas-TSS-2425")</f>
        <v>BSGatlas-TSS-2425</v>
      </c>
      <c r="B2426" s="3">
        <v>3049699</v>
      </c>
      <c r="C2426" s="1" t="s">
        <v>13</v>
      </c>
      <c r="D2426" s="1">
        <v>22</v>
      </c>
      <c r="E2426" s="1" t="s">
        <v>14722</v>
      </c>
      <c r="F2426" s="6"/>
      <c r="G2426" s="1" t="s">
        <v>14733</v>
      </c>
    </row>
    <row r="2427" spans="1:7" ht="21" x14ac:dyDescent="0.25">
      <c r="A2427" s="2" t="str">
        <f>HYPERLINK("https://rth.dk/resources/bsgatlas/details.php?id=BSGatlas-TSS-2426","BSGatlas-TSS-2426")</f>
        <v>BSGatlas-TSS-2426</v>
      </c>
      <c r="B2427" s="3">
        <v>3052627</v>
      </c>
      <c r="C2427" s="1" t="s">
        <v>13</v>
      </c>
      <c r="D2427" s="1">
        <v>22</v>
      </c>
      <c r="E2427" s="1" t="s">
        <v>14722</v>
      </c>
      <c r="F2427" s="6"/>
      <c r="G2427" s="1" t="s">
        <v>14726</v>
      </c>
    </row>
    <row r="2428" spans="1:7" ht="21" x14ac:dyDescent="0.25">
      <c r="A2428" s="2" t="str">
        <f>HYPERLINK("https://rth.dk/resources/bsgatlas/details.php?id=BSGatlas-TSS-2427","BSGatlas-TSS-2427")</f>
        <v>BSGatlas-TSS-2427</v>
      </c>
      <c r="B2428" s="3">
        <v>3054567</v>
      </c>
      <c r="C2428" s="1" t="s">
        <v>13</v>
      </c>
      <c r="D2428" s="1">
        <v>0</v>
      </c>
      <c r="E2428" s="1" t="s">
        <v>14722</v>
      </c>
      <c r="F2428" s="6">
        <v>21949854</v>
      </c>
      <c r="G2428" s="1" t="s">
        <v>4547</v>
      </c>
    </row>
    <row r="2429" spans="1:7" ht="21" x14ac:dyDescent="0.25">
      <c r="A2429" s="2" t="str">
        <f>HYPERLINK("https://rth.dk/resources/bsgatlas/details.php?id=BSGatlas-TSS-2428","BSGatlas-TSS-2428")</f>
        <v>BSGatlas-TSS-2428</v>
      </c>
      <c r="B2429" s="3">
        <v>3054650</v>
      </c>
      <c r="C2429" s="1" t="s">
        <v>13</v>
      </c>
      <c r="D2429" s="1">
        <v>22</v>
      </c>
      <c r="E2429" s="1" t="s">
        <v>14722</v>
      </c>
      <c r="F2429" s="6"/>
      <c r="G2429" s="1" t="s">
        <v>14733</v>
      </c>
    </row>
    <row r="2430" spans="1:7" ht="21" x14ac:dyDescent="0.25">
      <c r="A2430" s="2" t="str">
        <f>HYPERLINK("https://rth.dk/resources/bsgatlas/details.php?id=BSGatlas-TSS-2429","BSGatlas-TSS-2429")</f>
        <v>BSGatlas-TSS-2429</v>
      </c>
      <c r="B2430" s="3">
        <v>3054685</v>
      </c>
      <c r="C2430" s="1" t="s">
        <v>9</v>
      </c>
      <c r="D2430" s="1">
        <v>22</v>
      </c>
      <c r="E2430" s="1" t="s">
        <v>14722</v>
      </c>
      <c r="F2430" s="6"/>
      <c r="G2430" s="1" t="s">
        <v>14726</v>
      </c>
    </row>
    <row r="2431" spans="1:7" ht="21" x14ac:dyDescent="0.25">
      <c r="A2431" s="2" t="str">
        <f>HYPERLINK("https://rth.dk/resources/bsgatlas/details.php?id=BSGatlas-TSS-2430","BSGatlas-TSS-2430")</f>
        <v>BSGatlas-TSS-2430</v>
      </c>
      <c r="B2431" s="3">
        <v>3056346</v>
      </c>
      <c r="C2431" s="1" t="s">
        <v>13</v>
      </c>
      <c r="D2431" s="1">
        <v>22</v>
      </c>
      <c r="E2431" s="1" t="s">
        <v>14722</v>
      </c>
      <c r="F2431" s="6"/>
      <c r="G2431" s="1" t="s">
        <v>14726</v>
      </c>
    </row>
    <row r="2432" spans="1:7" ht="21" x14ac:dyDescent="0.25">
      <c r="A2432" s="2" t="str">
        <f>HYPERLINK("https://rth.dk/resources/bsgatlas/details.php?id=BSGatlas-TSS-2431","BSGatlas-TSS-2431")</f>
        <v>BSGatlas-TSS-2431</v>
      </c>
      <c r="B2432" s="3">
        <v>3056440</v>
      </c>
      <c r="C2432" s="1" t="s">
        <v>9</v>
      </c>
      <c r="D2432" s="1">
        <v>22</v>
      </c>
      <c r="E2432" s="1" t="s">
        <v>14722</v>
      </c>
      <c r="F2432" s="6"/>
      <c r="G2432" s="1" t="s">
        <v>14726</v>
      </c>
    </row>
    <row r="2433" spans="1:7" ht="21" x14ac:dyDescent="0.25">
      <c r="A2433" s="2" t="str">
        <f>HYPERLINK("https://rth.dk/resources/bsgatlas/details.php?id=BSGatlas-TSS-2432","BSGatlas-TSS-2432")</f>
        <v>BSGatlas-TSS-2432</v>
      </c>
      <c r="B2433" s="3">
        <v>3058588</v>
      </c>
      <c r="C2433" s="1" t="s">
        <v>13</v>
      </c>
      <c r="D2433" s="1">
        <v>22</v>
      </c>
      <c r="E2433" s="1" t="s">
        <v>14734</v>
      </c>
      <c r="F2433" s="6"/>
      <c r="G2433" s="1" t="s">
        <v>14726</v>
      </c>
    </row>
    <row r="2434" spans="1:7" ht="21" x14ac:dyDescent="0.25">
      <c r="A2434" s="2" t="str">
        <f>HYPERLINK("https://rth.dk/resources/bsgatlas/details.php?id=BSGatlas-TSS-2433","BSGatlas-TSS-2433")</f>
        <v>BSGatlas-TSS-2433</v>
      </c>
      <c r="B2434" s="3">
        <v>3059490</v>
      </c>
      <c r="C2434" s="1" t="s">
        <v>13</v>
      </c>
      <c r="D2434" s="1">
        <v>22</v>
      </c>
      <c r="E2434" s="1" t="s">
        <v>14722</v>
      </c>
      <c r="F2434" s="6"/>
      <c r="G2434" s="1" t="s">
        <v>14733</v>
      </c>
    </row>
    <row r="2435" spans="1:7" ht="21" x14ac:dyDescent="0.25">
      <c r="A2435" s="2" t="str">
        <f>HYPERLINK("https://rth.dk/resources/bsgatlas/details.php?id=BSGatlas-TSS-2434","BSGatlas-TSS-2434")</f>
        <v>BSGatlas-TSS-2434</v>
      </c>
      <c r="B2435" s="3">
        <v>3060223</v>
      </c>
      <c r="C2435" s="1" t="s">
        <v>13</v>
      </c>
      <c r="D2435" s="1">
        <v>22</v>
      </c>
      <c r="E2435" s="1" t="s">
        <v>14722</v>
      </c>
      <c r="F2435" s="6"/>
      <c r="G2435" s="1" t="s">
        <v>14726</v>
      </c>
    </row>
    <row r="2436" spans="1:7" ht="21" x14ac:dyDescent="0.25">
      <c r="A2436" s="2" t="str">
        <f>HYPERLINK("https://rth.dk/resources/bsgatlas/details.php?id=BSGatlas-TSS-2435","BSGatlas-TSS-2435")</f>
        <v>BSGatlas-TSS-2435</v>
      </c>
      <c r="B2436" s="3">
        <v>3060360</v>
      </c>
      <c r="C2436" s="1" t="s">
        <v>9</v>
      </c>
      <c r="D2436" s="1">
        <v>22</v>
      </c>
      <c r="E2436" s="1" t="s">
        <v>14732</v>
      </c>
      <c r="F2436" s="6"/>
      <c r="G2436" s="1" t="s">
        <v>14726</v>
      </c>
    </row>
    <row r="2437" spans="1:7" ht="21" x14ac:dyDescent="0.25">
      <c r="A2437" s="2" t="str">
        <f>HYPERLINK("https://rth.dk/resources/bsgatlas/details.php?id=BSGatlas-TSS-2436","BSGatlas-TSS-2436")</f>
        <v>BSGatlas-TSS-2436</v>
      </c>
      <c r="B2437" s="3">
        <v>3061624</v>
      </c>
      <c r="C2437" s="1" t="s">
        <v>13</v>
      </c>
      <c r="D2437" s="1">
        <v>22</v>
      </c>
      <c r="E2437" s="1" t="s">
        <v>14722</v>
      </c>
      <c r="F2437" s="6"/>
      <c r="G2437" s="1" t="s">
        <v>14733</v>
      </c>
    </row>
    <row r="2438" spans="1:7" ht="21" x14ac:dyDescent="0.25">
      <c r="A2438" s="2" t="str">
        <f>HYPERLINK("https://rth.dk/resources/bsgatlas/details.php?id=BSGatlas-TSS-2437","BSGatlas-TSS-2437")</f>
        <v>BSGatlas-TSS-2437</v>
      </c>
      <c r="B2438" s="3">
        <v>3065496</v>
      </c>
      <c r="C2438" s="1" t="s">
        <v>13</v>
      </c>
      <c r="D2438" s="1">
        <v>22</v>
      </c>
      <c r="E2438" s="1" t="s">
        <v>14752</v>
      </c>
      <c r="F2438" s="6"/>
      <c r="G2438" s="1" t="s">
        <v>14726</v>
      </c>
    </row>
    <row r="2439" spans="1:7" ht="21" x14ac:dyDescent="0.25">
      <c r="A2439" s="2" t="str">
        <f>HYPERLINK("https://rth.dk/resources/bsgatlas/details.php?id=BSGatlas-TSS-2438","BSGatlas-TSS-2438")</f>
        <v>BSGatlas-TSS-2438</v>
      </c>
      <c r="B2439" s="3">
        <v>3066168</v>
      </c>
      <c r="C2439" s="1" t="s">
        <v>9</v>
      </c>
      <c r="D2439" s="1">
        <v>22</v>
      </c>
      <c r="E2439" s="1" t="s">
        <v>14722</v>
      </c>
      <c r="F2439" s="6"/>
      <c r="G2439" s="1" t="s">
        <v>14726</v>
      </c>
    </row>
    <row r="2440" spans="1:7" ht="21" x14ac:dyDescent="0.25">
      <c r="A2440" s="2" t="str">
        <f>HYPERLINK("https://rth.dk/resources/bsgatlas/details.php?id=BSGatlas-TSS-2439","BSGatlas-TSS-2439")</f>
        <v>BSGatlas-TSS-2439</v>
      </c>
      <c r="B2440" s="3">
        <v>3066337</v>
      </c>
      <c r="C2440" s="1" t="s">
        <v>13</v>
      </c>
      <c r="D2440" s="1">
        <v>22</v>
      </c>
      <c r="E2440" s="1" t="s">
        <v>14722</v>
      </c>
      <c r="F2440" s="6"/>
      <c r="G2440" s="1" t="s">
        <v>14726</v>
      </c>
    </row>
    <row r="2441" spans="1:7" ht="21" x14ac:dyDescent="0.25">
      <c r="A2441" s="2" t="str">
        <f>HYPERLINK("https://rth.dk/resources/bsgatlas/details.php?id=BSGatlas-TSS-2440","BSGatlas-TSS-2440")</f>
        <v>BSGatlas-TSS-2440</v>
      </c>
      <c r="B2441" s="3">
        <v>3066410</v>
      </c>
      <c r="C2441" s="1" t="s">
        <v>9</v>
      </c>
      <c r="D2441" s="1">
        <v>22</v>
      </c>
      <c r="E2441" s="1" t="s">
        <v>14722</v>
      </c>
      <c r="F2441" s="6"/>
      <c r="G2441" s="1" t="s">
        <v>14726</v>
      </c>
    </row>
    <row r="2442" spans="1:7" ht="21" x14ac:dyDescent="0.25">
      <c r="A2442" s="2" t="str">
        <f>HYPERLINK("https://rth.dk/resources/bsgatlas/details.php?id=BSGatlas-TSS-2441","BSGatlas-TSS-2441")</f>
        <v>BSGatlas-TSS-2441</v>
      </c>
      <c r="B2442" s="3">
        <v>3066420</v>
      </c>
      <c r="C2442" s="1" t="s">
        <v>13</v>
      </c>
      <c r="D2442" s="1">
        <v>22</v>
      </c>
      <c r="E2442" s="1" t="s">
        <v>14732</v>
      </c>
      <c r="F2442" s="6"/>
      <c r="G2442" s="1" t="s">
        <v>14726</v>
      </c>
    </row>
    <row r="2443" spans="1:7" ht="21" x14ac:dyDescent="0.25">
      <c r="A2443" s="2" t="str">
        <f>HYPERLINK("https://rth.dk/resources/bsgatlas/details.php?id=BSGatlas-TSS-2442","BSGatlas-TSS-2442")</f>
        <v>BSGatlas-TSS-2442</v>
      </c>
      <c r="B2443" s="3">
        <v>3068870</v>
      </c>
      <c r="C2443" s="1" t="s">
        <v>9</v>
      </c>
      <c r="D2443" s="1">
        <v>22</v>
      </c>
      <c r="E2443" s="1" t="s">
        <v>14722</v>
      </c>
      <c r="F2443" s="6"/>
      <c r="G2443" s="1" t="s">
        <v>14726</v>
      </c>
    </row>
    <row r="2444" spans="1:7" ht="21" x14ac:dyDescent="0.25">
      <c r="A2444" s="2" t="str">
        <f>HYPERLINK("https://rth.dk/resources/bsgatlas/details.php?id=BSGatlas-TSS-2443","BSGatlas-TSS-2443")</f>
        <v>BSGatlas-TSS-2443</v>
      </c>
      <c r="B2444" s="3">
        <v>3069252</v>
      </c>
      <c r="C2444" s="1" t="s">
        <v>13</v>
      </c>
      <c r="D2444" s="1">
        <v>22</v>
      </c>
      <c r="E2444" s="1" t="s">
        <v>14722</v>
      </c>
      <c r="F2444" s="6"/>
      <c r="G2444" s="1" t="s">
        <v>14733</v>
      </c>
    </row>
    <row r="2445" spans="1:7" ht="21" x14ac:dyDescent="0.25">
      <c r="A2445" s="2" t="str">
        <f>HYPERLINK("https://rth.dk/resources/bsgatlas/details.php?id=BSGatlas-TSS-2444","BSGatlas-TSS-2444")</f>
        <v>BSGatlas-TSS-2444</v>
      </c>
      <c r="B2445" s="3">
        <v>3070547</v>
      </c>
      <c r="C2445" s="1" t="s">
        <v>9</v>
      </c>
      <c r="D2445" s="1">
        <v>22</v>
      </c>
      <c r="E2445" s="1" t="s">
        <v>14727</v>
      </c>
      <c r="F2445" s="6"/>
      <c r="G2445" s="1" t="s">
        <v>14726</v>
      </c>
    </row>
    <row r="2446" spans="1:7" ht="21" x14ac:dyDescent="0.25">
      <c r="A2446" s="2" t="str">
        <f>HYPERLINK("https://rth.dk/resources/bsgatlas/details.php?id=BSGatlas-TSS-2445","BSGatlas-TSS-2445")</f>
        <v>BSGatlas-TSS-2445</v>
      </c>
      <c r="B2446" s="3">
        <v>3072141</v>
      </c>
      <c r="C2446" s="1" t="s">
        <v>13</v>
      </c>
      <c r="D2446" s="1">
        <v>22</v>
      </c>
      <c r="E2446" s="1" t="s">
        <v>14739</v>
      </c>
      <c r="F2446" s="6"/>
      <c r="G2446" s="1" t="s">
        <v>14726</v>
      </c>
    </row>
    <row r="2447" spans="1:7" ht="21" x14ac:dyDescent="0.25">
      <c r="A2447" s="2" t="str">
        <f>HYPERLINK("https://rth.dk/resources/bsgatlas/details.php?id=BSGatlas-TSS-2446","BSGatlas-TSS-2446")</f>
        <v>BSGatlas-TSS-2446</v>
      </c>
      <c r="B2447" s="3">
        <v>3072180</v>
      </c>
      <c r="C2447" s="1" t="s">
        <v>9</v>
      </c>
      <c r="D2447" s="1">
        <v>22</v>
      </c>
      <c r="E2447" s="1" t="s">
        <v>14727</v>
      </c>
      <c r="F2447" s="6"/>
      <c r="G2447" s="1" t="s">
        <v>14733</v>
      </c>
    </row>
    <row r="2448" spans="1:7" ht="21" x14ac:dyDescent="0.25">
      <c r="A2448" s="2" t="str">
        <f>HYPERLINK("https://rth.dk/resources/bsgatlas/details.php?id=BSGatlas-TSS-2447","BSGatlas-TSS-2447")</f>
        <v>BSGatlas-TSS-2447</v>
      </c>
      <c r="B2448" s="3">
        <v>3072287</v>
      </c>
      <c r="C2448" s="1" t="s">
        <v>9</v>
      </c>
      <c r="D2448" s="1">
        <v>22</v>
      </c>
      <c r="E2448" s="1" t="s">
        <v>14722</v>
      </c>
      <c r="F2448" s="6"/>
      <c r="G2448" s="1" t="s">
        <v>14733</v>
      </c>
    </row>
    <row r="2449" spans="1:7" ht="21" x14ac:dyDescent="0.25">
      <c r="A2449" s="2" t="str">
        <f>HYPERLINK("https://rth.dk/resources/bsgatlas/details.php?id=BSGatlas-TSS-2448","BSGatlas-TSS-2448")</f>
        <v>BSGatlas-TSS-2448</v>
      </c>
      <c r="B2449" s="3">
        <v>3075213</v>
      </c>
      <c r="C2449" s="1" t="s">
        <v>13</v>
      </c>
      <c r="D2449" s="1">
        <v>22</v>
      </c>
      <c r="E2449" s="1" t="s">
        <v>14722</v>
      </c>
      <c r="F2449" s="6"/>
      <c r="G2449" s="1" t="s">
        <v>14726</v>
      </c>
    </row>
    <row r="2450" spans="1:7" ht="21" x14ac:dyDescent="0.25">
      <c r="A2450" s="2" t="str">
        <f>HYPERLINK("https://rth.dk/resources/bsgatlas/details.php?id=BSGatlas-TSS-2449","BSGatlas-TSS-2449")</f>
        <v>BSGatlas-TSS-2449</v>
      </c>
      <c r="B2450" s="3">
        <v>3075321</v>
      </c>
      <c r="C2450" s="1" t="s">
        <v>9</v>
      </c>
      <c r="D2450" s="1">
        <v>22</v>
      </c>
      <c r="E2450" s="1" t="s">
        <v>14722</v>
      </c>
      <c r="F2450" s="6"/>
      <c r="G2450" s="1" t="s">
        <v>14726</v>
      </c>
    </row>
    <row r="2451" spans="1:7" ht="21" x14ac:dyDescent="0.25">
      <c r="A2451" s="2" t="str">
        <f>HYPERLINK("https://rth.dk/resources/bsgatlas/details.php?id=BSGatlas-TSS-2450","BSGatlas-TSS-2450")</f>
        <v>BSGatlas-TSS-2450</v>
      </c>
      <c r="B2451" s="3">
        <v>3076730</v>
      </c>
      <c r="C2451" s="1" t="s">
        <v>9</v>
      </c>
      <c r="D2451" s="1">
        <v>22</v>
      </c>
      <c r="E2451" s="1" t="s">
        <v>14734</v>
      </c>
      <c r="F2451" s="6"/>
      <c r="G2451" s="1" t="s">
        <v>14733</v>
      </c>
    </row>
    <row r="2452" spans="1:7" ht="21" x14ac:dyDescent="0.25">
      <c r="A2452" s="2" t="str">
        <f>HYPERLINK("https://rth.dk/resources/bsgatlas/details.php?id=BSGatlas-TSS-2451","BSGatlas-TSS-2451")</f>
        <v>BSGatlas-TSS-2451</v>
      </c>
      <c r="B2452" s="3">
        <v>3078595</v>
      </c>
      <c r="C2452" s="1" t="s">
        <v>13</v>
      </c>
      <c r="D2452" s="1">
        <v>0</v>
      </c>
      <c r="E2452" s="1" t="s">
        <v>14735</v>
      </c>
      <c r="F2452" s="6" t="s">
        <v>14906</v>
      </c>
      <c r="G2452" s="1" t="s">
        <v>14729</v>
      </c>
    </row>
    <row r="2453" spans="1:7" ht="21" x14ac:dyDescent="0.25">
      <c r="A2453" s="2" t="str">
        <f>HYPERLINK("https://rth.dk/resources/bsgatlas/details.php?id=BSGatlas-TSS-2452","BSGatlas-TSS-2452")</f>
        <v>BSGatlas-TSS-2452</v>
      </c>
      <c r="B2453" s="3">
        <v>3083251</v>
      </c>
      <c r="C2453" s="1" t="s">
        <v>13</v>
      </c>
      <c r="D2453" s="1">
        <v>22</v>
      </c>
      <c r="E2453" s="1" t="s">
        <v>14722</v>
      </c>
      <c r="F2453" s="6"/>
      <c r="G2453" s="1" t="s">
        <v>14726</v>
      </c>
    </row>
    <row r="2454" spans="1:7" ht="21" x14ac:dyDescent="0.25">
      <c r="A2454" s="2" t="str">
        <f>HYPERLINK("https://rth.dk/resources/bsgatlas/details.php?id=BSGatlas-TSS-2453","BSGatlas-TSS-2453")</f>
        <v>BSGatlas-TSS-2453</v>
      </c>
      <c r="B2454" s="3">
        <v>3083401</v>
      </c>
      <c r="C2454" s="1" t="s">
        <v>9</v>
      </c>
      <c r="D2454" s="1">
        <v>22</v>
      </c>
      <c r="E2454" s="1" t="s">
        <v>14722</v>
      </c>
      <c r="F2454" s="6"/>
      <c r="G2454" s="1" t="s">
        <v>14726</v>
      </c>
    </row>
    <row r="2455" spans="1:7" ht="21" x14ac:dyDescent="0.25">
      <c r="A2455" s="2" t="str">
        <f>HYPERLINK("https://rth.dk/resources/bsgatlas/details.php?id=BSGatlas-TSS-2454","BSGatlas-TSS-2454")</f>
        <v>BSGatlas-TSS-2454</v>
      </c>
      <c r="B2455" s="3">
        <v>3088266</v>
      </c>
      <c r="C2455" s="1" t="s">
        <v>13</v>
      </c>
      <c r="D2455" s="1">
        <v>22</v>
      </c>
      <c r="E2455" s="1" t="s">
        <v>14722</v>
      </c>
      <c r="F2455" s="6"/>
      <c r="G2455" s="1" t="s">
        <v>14726</v>
      </c>
    </row>
    <row r="2456" spans="1:7" ht="21" x14ac:dyDescent="0.25">
      <c r="A2456" s="2" t="str">
        <f>HYPERLINK("https://rth.dk/resources/bsgatlas/details.php?id=BSGatlas-TSS-2455","BSGatlas-TSS-2455")</f>
        <v>BSGatlas-TSS-2455</v>
      </c>
      <c r="B2456" s="3">
        <v>3092260</v>
      </c>
      <c r="C2456" s="1" t="s">
        <v>9</v>
      </c>
      <c r="D2456" s="1">
        <v>22</v>
      </c>
      <c r="E2456" s="1" t="s">
        <v>14722</v>
      </c>
      <c r="F2456" s="6"/>
      <c r="G2456" s="1" t="s">
        <v>14726</v>
      </c>
    </row>
    <row r="2457" spans="1:7" ht="21" x14ac:dyDescent="0.25">
      <c r="A2457" s="2" t="str">
        <f>HYPERLINK("https://rth.dk/resources/bsgatlas/details.php?id=BSGatlas-TSS-2456","BSGatlas-TSS-2456")</f>
        <v>BSGatlas-TSS-2456</v>
      </c>
      <c r="B2457" s="3">
        <v>3093778</v>
      </c>
      <c r="C2457" s="1" t="s">
        <v>9</v>
      </c>
      <c r="D2457" s="1">
        <v>22</v>
      </c>
      <c r="E2457" s="1" t="s">
        <v>14727</v>
      </c>
      <c r="F2457" s="6"/>
      <c r="G2457" s="1" t="s">
        <v>14726</v>
      </c>
    </row>
    <row r="2458" spans="1:7" ht="21" x14ac:dyDescent="0.25">
      <c r="A2458" s="2" t="str">
        <f>HYPERLINK("https://rth.dk/resources/bsgatlas/details.php?id=BSGatlas-TSS-2457","BSGatlas-TSS-2457")</f>
        <v>BSGatlas-TSS-2457</v>
      </c>
      <c r="B2458" s="3">
        <v>3095548</v>
      </c>
      <c r="C2458" s="1" t="s">
        <v>13</v>
      </c>
      <c r="D2458" s="1">
        <v>22</v>
      </c>
      <c r="E2458" s="1" t="s">
        <v>14722</v>
      </c>
      <c r="F2458" s="6"/>
      <c r="G2458" s="1" t="s">
        <v>14733</v>
      </c>
    </row>
    <row r="2459" spans="1:7" ht="21" x14ac:dyDescent="0.25">
      <c r="A2459" s="2" t="str">
        <f>HYPERLINK("https://rth.dk/resources/bsgatlas/details.php?id=BSGatlas-TSS-2458","BSGatlas-TSS-2458")</f>
        <v>BSGatlas-TSS-2458</v>
      </c>
      <c r="B2459" s="3">
        <v>3096604</v>
      </c>
      <c r="C2459" s="1" t="s">
        <v>13</v>
      </c>
      <c r="D2459" s="1">
        <v>22</v>
      </c>
      <c r="E2459" s="1" t="s">
        <v>14745</v>
      </c>
      <c r="F2459" s="6"/>
      <c r="G2459" s="1" t="s">
        <v>14726</v>
      </c>
    </row>
    <row r="2460" spans="1:7" ht="21" x14ac:dyDescent="0.25">
      <c r="A2460" s="2" t="str">
        <f>HYPERLINK("https://rth.dk/resources/bsgatlas/details.php?id=BSGatlas-TSS-2459","BSGatlas-TSS-2459")</f>
        <v>BSGatlas-TSS-2459</v>
      </c>
      <c r="B2460" s="3">
        <v>3096723</v>
      </c>
      <c r="C2460" s="1" t="s">
        <v>9</v>
      </c>
      <c r="D2460" s="1">
        <v>22</v>
      </c>
      <c r="E2460" s="1" t="s">
        <v>14722</v>
      </c>
      <c r="F2460" s="6"/>
      <c r="G2460" s="1" t="s">
        <v>14726</v>
      </c>
    </row>
    <row r="2461" spans="1:7" ht="21" x14ac:dyDescent="0.25">
      <c r="A2461" s="2" t="str">
        <f>HYPERLINK("https://rth.dk/resources/bsgatlas/details.php?id=BSGatlas-TSS-2460","BSGatlas-TSS-2460")</f>
        <v>BSGatlas-TSS-2460</v>
      </c>
      <c r="B2461" s="3">
        <v>3097804</v>
      </c>
      <c r="C2461" s="1" t="s">
        <v>9</v>
      </c>
      <c r="D2461" s="1">
        <v>22</v>
      </c>
      <c r="E2461" s="1" t="s">
        <v>14758</v>
      </c>
      <c r="F2461" s="6"/>
      <c r="G2461" s="1" t="s">
        <v>14726</v>
      </c>
    </row>
    <row r="2462" spans="1:7" ht="21" x14ac:dyDescent="0.25">
      <c r="A2462" s="2" t="str">
        <f>HYPERLINK("https://rth.dk/resources/bsgatlas/details.php?id=BSGatlas-TSS-2461","BSGatlas-TSS-2461")</f>
        <v>BSGatlas-TSS-2461</v>
      </c>
      <c r="B2462" s="3">
        <v>3100862</v>
      </c>
      <c r="C2462" s="1" t="s">
        <v>9</v>
      </c>
      <c r="D2462" s="1">
        <v>22</v>
      </c>
      <c r="E2462" s="1" t="s">
        <v>14722</v>
      </c>
      <c r="F2462" s="6"/>
      <c r="G2462" s="1" t="s">
        <v>14726</v>
      </c>
    </row>
    <row r="2463" spans="1:7" ht="21" x14ac:dyDescent="0.25">
      <c r="A2463" s="2" t="str">
        <f>HYPERLINK("https://rth.dk/resources/bsgatlas/details.php?id=BSGatlas-TSS-2462","BSGatlas-TSS-2462")</f>
        <v>BSGatlas-TSS-2462</v>
      </c>
      <c r="B2463" s="3">
        <v>3102544</v>
      </c>
      <c r="C2463" s="1" t="s">
        <v>13</v>
      </c>
      <c r="D2463" s="1">
        <v>22</v>
      </c>
      <c r="E2463" s="1" t="s">
        <v>14722</v>
      </c>
      <c r="F2463" s="6"/>
      <c r="G2463" s="1" t="s">
        <v>14726</v>
      </c>
    </row>
    <row r="2464" spans="1:7" ht="21" x14ac:dyDescent="0.25">
      <c r="A2464" s="2" t="str">
        <f>HYPERLINK("https://rth.dk/resources/bsgatlas/details.php?id=BSGatlas-TSS-2463","BSGatlas-TSS-2463")</f>
        <v>BSGatlas-TSS-2463</v>
      </c>
      <c r="B2464" s="3">
        <v>3105400</v>
      </c>
      <c r="C2464" s="1" t="s">
        <v>13</v>
      </c>
      <c r="D2464" s="1">
        <v>22</v>
      </c>
      <c r="E2464" s="1" t="s">
        <v>14722</v>
      </c>
      <c r="F2464" s="6"/>
      <c r="G2464" s="1" t="s">
        <v>14726</v>
      </c>
    </row>
    <row r="2465" spans="1:7" ht="21" x14ac:dyDescent="0.25">
      <c r="A2465" s="2" t="str">
        <f>HYPERLINK("https://rth.dk/resources/bsgatlas/details.php?id=BSGatlas-TSS-2464","BSGatlas-TSS-2464")</f>
        <v>BSGatlas-TSS-2464</v>
      </c>
      <c r="B2465" s="3">
        <v>3105438</v>
      </c>
      <c r="C2465" s="1" t="s">
        <v>9</v>
      </c>
      <c r="D2465" s="1">
        <v>22</v>
      </c>
      <c r="E2465" s="1" t="s">
        <v>14727</v>
      </c>
      <c r="F2465" s="6"/>
      <c r="G2465" s="1" t="s">
        <v>14726</v>
      </c>
    </row>
    <row r="2466" spans="1:7" ht="21" x14ac:dyDescent="0.25">
      <c r="A2466" s="2" t="str">
        <f>HYPERLINK("https://rth.dk/resources/bsgatlas/details.php?id=BSGatlas-TSS-2465","BSGatlas-TSS-2465")</f>
        <v>BSGatlas-TSS-2465</v>
      </c>
      <c r="B2466" s="3">
        <v>3106064</v>
      </c>
      <c r="C2466" s="1" t="s">
        <v>13</v>
      </c>
      <c r="D2466" s="1">
        <v>22</v>
      </c>
      <c r="E2466" s="1" t="s">
        <v>14722</v>
      </c>
      <c r="F2466" s="6"/>
      <c r="G2466" s="1" t="s">
        <v>14733</v>
      </c>
    </row>
    <row r="2467" spans="1:7" ht="21" x14ac:dyDescent="0.25">
      <c r="A2467" s="2" t="str">
        <f>HYPERLINK("https://rth.dk/resources/bsgatlas/details.php?id=BSGatlas-TSS-2466","BSGatlas-TSS-2466")</f>
        <v>BSGatlas-TSS-2466</v>
      </c>
      <c r="B2467" s="3">
        <v>3106140</v>
      </c>
      <c r="C2467" s="1" t="s">
        <v>9</v>
      </c>
      <c r="D2467" s="1">
        <v>22</v>
      </c>
      <c r="E2467" s="1" t="s">
        <v>14722</v>
      </c>
      <c r="F2467" s="6"/>
      <c r="G2467" s="1" t="s">
        <v>14733</v>
      </c>
    </row>
    <row r="2468" spans="1:7" ht="21" x14ac:dyDescent="0.25">
      <c r="A2468" s="2" t="str">
        <f>HYPERLINK("https://rth.dk/resources/bsgatlas/details.php?id=BSGatlas-TSS-2467","BSGatlas-TSS-2467")</f>
        <v>BSGatlas-TSS-2467</v>
      </c>
      <c r="B2468" s="3">
        <v>3108524</v>
      </c>
      <c r="C2468" s="1" t="s">
        <v>13</v>
      </c>
      <c r="D2468" s="1">
        <v>22</v>
      </c>
      <c r="E2468" s="1" t="s">
        <v>14722</v>
      </c>
      <c r="F2468" s="6"/>
      <c r="G2468" s="1" t="s">
        <v>14733</v>
      </c>
    </row>
    <row r="2469" spans="1:7" ht="21" x14ac:dyDescent="0.25">
      <c r="A2469" s="2" t="str">
        <f>HYPERLINK("https://rth.dk/resources/bsgatlas/details.php?id=BSGatlas-TSS-2468","BSGatlas-TSS-2468")</f>
        <v>BSGatlas-TSS-2468</v>
      </c>
      <c r="B2469" s="3">
        <v>3108584</v>
      </c>
      <c r="C2469" s="1" t="s">
        <v>9</v>
      </c>
      <c r="D2469" s="1">
        <v>22</v>
      </c>
      <c r="E2469" s="1" t="s">
        <v>14722</v>
      </c>
      <c r="F2469" s="6"/>
      <c r="G2469" s="1" t="s">
        <v>14726</v>
      </c>
    </row>
    <row r="2470" spans="1:7" ht="21" x14ac:dyDescent="0.25">
      <c r="A2470" s="2" t="str">
        <f>HYPERLINK("https://rth.dk/resources/bsgatlas/details.php?id=BSGatlas-TSS-2469","BSGatlas-TSS-2469")</f>
        <v>BSGatlas-TSS-2469</v>
      </c>
      <c r="B2470" s="3">
        <v>3112114</v>
      </c>
      <c r="C2470" s="1" t="s">
        <v>13</v>
      </c>
      <c r="D2470" s="1">
        <v>0</v>
      </c>
      <c r="E2470" s="1" t="s">
        <v>14722</v>
      </c>
      <c r="F2470" s="6" t="s">
        <v>15045</v>
      </c>
      <c r="G2470" s="1" t="s">
        <v>14747</v>
      </c>
    </row>
    <row r="2471" spans="1:7" ht="21" x14ac:dyDescent="0.25">
      <c r="A2471" s="2" t="str">
        <f>HYPERLINK("https://rth.dk/resources/bsgatlas/details.php?id=BSGatlas-TSS-2470","BSGatlas-TSS-2470")</f>
        <v>BSGatlas-TSS-2470</v>
      </c>
      <c r="B2471" s="3">
        <v>3113918</v>
      </c>
      <c r="C2471" s="1" t="s">
        <v>13</v>
      </c>
      <c r="D2471" s="1">
        <v>22</v>
      </c>
      <c r="E2471" s="1" t="s">
        <v>14722</v>
      </c>
      <c r="F2471" s="6"/>
      <c r="G2471" s="1" t="s">
        <v>14726</v>
      </c>
    </row>
    <row r="2472" spans="1:7" ht="21" x14ac:dyDescent="0.25">
      <c r="A2472" s="2" t="str">
        <f>HYPERLINK("https://rth.dk/resources/bsgatlas/details.php?id=BSGatlas-TSS-2471","BSGatlas-TSS-2471")</f>
        <v>BSGatlas-TSS-2471</v>
      </c>
      <c r="B2472" s="3">
        <v>3117868</v>
      </c>
      <c r="C2472" s="1" t="s">
        <v>9</v>
      </c>
      <c r="D2472" s="1">
        <v>22</v>
      </c>
      <c r="E2472" s="1" t="s">
        <v>14739</v>
      </c>
      <c r="F2472" s="6"/>
      <c r="G2472" s="1" t="s">
        <v>14726</v>
      </c>
    </row>
    <row r="2473" spans="1:7" ht="21" x14ac:dyDescent="0.25">
      <c r="A2473" s="2" t="str">
        <f>HYPERLINK("https://rth.dk/resources/bsgatlas/details.php?id=BSGatlas-TSS-2472","BSGatlas-TSS-2472")</f>
        <v>BSGatlas-TSS-2472</v>
      </c>
      <c r="B2473" s="3">
        <v>3119483</v>
      </c>
      <c r="C2473" s="1" t="s">
        <v>13</v>
      </c>
      <c r="D2473" s="1">
        <v>0</v>
      </c>
      <c r="E2473" s="1" t="s">
        <v>14722</v>
      </c>
      <c r="F2473" s="6" t="s">
        <v>15046</v>
      </c>
      <c r="G2473" s="1" t="s">
        <v>14724</v>
      </c>
    </row>
    <row r="2474" spans="1:7" ht="21" x14ac:dyDescent="0.25">
      <c r="A2474" s="2" t="str">
        <f>HYPERLINK("https://rth.dk/resources/bsgatlas/details.php?id=BSGatlas-TSS-2473","BSGatlas-TSS-2473")</f>
        <v>BSGatlas-TSS-2473</v>
      </c>
      <c r="B2474" s="3">
        <v>3119881</v>
      </c>
      <c r="C2474" s="1" t="s">
        <v>13</v>
      </c>
      <c r="D2474" s="1">
        <v>22</v>
      </c>
      <c r="E2474" s="1" t="s">
        <v>14732</v>
      </c>
      <c r="F2474" s="6"/>
      <c r="G2474" s="1" t="s">
        <v>14726</v>
      </c>
    </row>
    <row r="2475" spans="1:7" ht="21" x14ac:dyDescent="0.25">
      <c r="A2475" s="2" t="str">
        <f>HYPERLINK("https://rth.dk/resources/bsgatlas/details.php?id=BSGatlas-TSS-2474","BSGatlas-TSS-2474")</f>
        <v>BSGatlas-TSS-2474</v>
      </c>
      <c r="B2475" s="3">
        <v>3119892</v>
      </c>
      <c r="C2475" s="1" t="s">
        <v>9</v>
      </c>
      <c r="D2475" s="1">
        <v>22</v>
      </c>
      <c r="E2475" s="1" t="s">
        <v>14725</v>
      </c>
      <c r="F2475" s="6"/>
      <c r="G2475" s="1" t="s">
        <v>14726</v>
      </c>
    </row>
    <row r="2476" spans="1:7" ht="21" x14ac:dyDescent="0.25">
      <c r="A2476" s="2" t="str">
        <f>HYPERLINK("https://rth.dk/resources/bsgatlas/details.php?id=BSGatlas-TSS-2475","BSGatlas-TSS-2475")</f>
        <v>BSGatlas-TSS-2475</v>
      </c>
      <c r="B2476" s="3">
        <v>3119958</v>
      </c>
      <c r="C2476" s="1" t="s">
        <v>9</v>
      </c>
      <c r="D2476" s="1">
        <v>22</v>
      </c>
      <c r="E2476" s="1" t="s">
        <v>14722</v>
      </c>
      <c r="F2476" s="6"/>
      <c r="G2476" s="1" t="s">
        <v>14726</v>
      </c>
    </row>
    <row r="2477" spans="1:7" ht="21" x14ac:dyDescent="0.25">
      <c r="A2477" s="2" t="str">
        <f>HYPERLINK("https://rth.dk/resources/bsgatlas/details.php?id=BSGatlas-TSS-2476","BSGatlas-TSS-2476")</f>
        <v>BSGatlas-TSS-2476</v>
      </c>
      <c r="B2477" s="3">
        <v>3123123</v>
      </c>
      <c r="C2477" s="1" t="s">
        <v>9</v>
      </c>
      <c r="D2477" s="1">
        <v>22</v>
      </c>
      <c r="E2477" s="1" t="s">
        <v>14722</v>
      </c>
      <c r="F2477" s="6"/>
      <c r="G2477" s="1" t="s">
        <v>14726</v>
      </c>
    </row>
    <row r="2478" spans="1:7" ht="21" x14ac:dyDescent="0.25">
      <c r="A2478" s="2" t="str">
        <f>HYPERLINK("https://rth.dk/resources/bsgatlas/details.php?id=BSGatlas-TSS-2477","BSGatlas-TSS-2477")</f>
        <v>BSGatlas-TSS-2477</v>
      </c>
      <c r="B2478" s="3">
        <v>3124021</v>
      </c>
      <c r="C2478" s="1" t="s">
        <v>13</v>
      </c>
      <c r="D2478" s="1">
        <v>22</v>
      </c>
      <c r="E2478" s="1" t="s">
        <v>14722</v>
      </c>
      <c r="F2478" s="6"/>
      <c r="G2478" s="1" t="s">
        <v>14733</v>
      </c>
    </row>
    <row r="2479" spans="1:7" ht="21" x14ac:dyDescent="0.25">
      <c r="A2479" s="2" t="str">
        <f>HYPERLINK("https://rth.dk/resources/bsgatlas/details.php?id=BSGatlas-TSS-2478","BSGatlas-TSS-2478")</f>
        <v>BSGatlas-TSS-2478</v>
      </c>
      <c r="B2479" s="3">
        <v>3124157</v>
      </c>
      <c r="C2479" s="1" t="s">
        <v>13</v>
      </c>
      <c r="D2479" s="1">
        <v>22</v>
      </c>
      <c r="E2479" s="1" t="s">
        <v>14722</v>
      </c>
      <c r="F2479" s="6"/>
      <c r="G2479" s="1" t="s">
        <v>14733</v>
      </c>
    </row>
    <row r="2480" spans="1:7" ht="21" x14ac:dyDescent="0.25">
      <c r="A2480" s="2" t="str">
        <f>HYPERLINK("https://rth.dk/resources/bsgatlas/details.php?id=BSGatlas-TSS-2479","BSGatlas-TSS-2479")</f>
        <v>BSGatlas-TSS-2479</v>
      </c>
      <c r="B2480" s="3">
        <v>3126866</v>
      </c>
      <c r="C2480" s="1" t="s">
        <v>9</v>
      </c>
      <c r="D2480" s="1">
        <v>22</v>
      </c>
      <c r="E2480" s="1" t="s">
        <v>14732</v>
      </c>
      <c r="F2480" s="6"/>
      <c r="G2480" s="1" t="s">
        <v>14726</v>
      </c>
    </row>
    <row r="2481" spans="1:7" ht="21" x14ac:dyDescent="0.25">
      <c r="A2481" s="2" t="str">
        <f>HYPERLINK("https://rth.dk/resources/bsgatlas/details.php?id=BSGatlas-TSS-2480","BSGatlas-TSS-2480")</f>
        <v>BSGatlas-TSS-2480</v>
      </c>
      <c r="B2481" s="3">
        <v>3129076</v>
      </c>
      <c r="C2481" s="1" t="s">
        <v>13</v>
      </c>
      <c r="D2481" s="1">
        <v>22</v>
      </c>
      <c r="E2481" s="1" t="s">
        <v>14732</v>
      </c>
      <c r="F2481" s="6"/>
      <c r="G2481" s="1" t="s">
        <v>14726</v>
      </c>
    </row>
    <row r="2482" spans="1:7" ht="21" x14ac:dyDescent="0.25">
      <c r="A2482" s="2" t="str">
        <f>HYPERLINK("https://rth.dk/resources/bsgatlas/details.php?id=BSGatlas-TSS-2481","BSGatlas-TSS-2481")</f>
        <v>BSGatlas-TSS-2481</v>
      </c>
      <c r="B2482" s="3">
        <v>3129357</v>
      </c>
      <c r="C2482" s="1" t="s">
        <v>13</v>
      </c>
      <c r="D2482" s="1">
        <v>22</v>
      </c>
      <c r="E2482" s="1" t="s">
        <v>14722</v>
      </c>
      <c r="F2482" s="6"/>
      <c r="G2482" s="1" t="s">
        <v>14726</v>
      </c>
    </row>
    <row r="2483" spans="1:7" ht="21" x14ac:dyDescent="0.25">
      <c r="A2483" s="2" t="str">
        <f>HYPERLINK("https://rth.dk/resources/bsgatlas/details.php?id=BSGatlas-TSS-2482","BSGatlas-TSS-2482")</f>
        <v>BSGatlas-TSS-2482</v>
      </c>
      <c r="B2483" s="3">
        <v>3129491</v>
      </c>
      <c r="C2483" s="1" t="s">
        <v>9</v>
      </c>
      <c r="D2483" s="1">
        <v>0</v>
      </c>
      <c r="E2483" s="1" t="s">
        <v>14722</v>
      </c>
      <c r="F2483" s="6" t="s">
        <v>15032</v>
      </c>
      <c r="G2483" s="1" t="s">
        <v>14729</v>
      </c>
    </row>
    <row r="2484" spans="1:7" ht="21" x14ac:dyDescent="0.25">
      <c r="A2484" s="2" t="str">
        <f>HYPERLINK("https://rth.dk/resources/bsgatlas/details.php?id=BSGatlas-TSS-2483","BSGatlas-TSS-2483")</f>
        <v>BSGatlas-TSS-2483</v>
      </c>
      <c r="B2484" s="3">
        <v>3132312</v>
      </c>
      <c r="C2484" s="1" t="s">
        <v>13</v>
      </c>
      <c r="D2484" s="1">
        <v>22</v>
      </c>
      <c r="E2484" s="1" t="s">
        <v>14722</v>
      </c>
      <c r="F2484" s="6"/>
      <c r="G2484" s="1" t="s">
        <v>14733</v>
      </c>
    </row>
    <row r="2485" spans="1:7" ht="21" x14ac:dyDescent="0.25">
      <c r="A2485" s="2" t="str">
        <f>HYPERLINK("https://rth.dk/resources/bsgatlas/details.php?id=BSGatlas-TSS-2484","BSGatlas-TSS-2484")</f>
        <v>BSGatlas-TSS-2484</v>
      </c>
      <c r="B2485" s="3">
        <v>3132322</v>
      </c>
      <c r="C2485" s="1" t="s">
        <v>9</v>
      </c>
      <c r="D2485" s="1">
        <v>0</v>
      </c>
      <c r="E2485" s="1" t="s">
        <v>14725</v>
      </c>
      <c r="F2485" s="6" t="s">
        <v>14829</v>
      </c>
      <c r="G2485" s="1" t="s">
        <v>14729</v>
      </c>
    </row>
    <row r="2486" spans="1:7" ht="21" x14ac:dyDescent="0.25">
      <c r="A2486" s="2" t="str">
        <f>HYPERLINK("https://rth.dk/resources/bsgatlas/details.php?id=BSGatlas-TSS-2485","BSGatlas-TSS-2485")</f>
        <v>BSGatlas-TSS-2485</v>
      </c>
      <c r="B2486" s="3">
        <v>3135491</v>
      </c>
      <c r="C2486" s="1" t="s">
        <v>13</v>
      </c>
      <c r="D2486" s="1">
        <v>0</v>
      </c>
      <c r="E2486" s="1" t="s">
        <v>14722</v>
      </c>
      <c r="F2486" s="6" t="s">
        <v>15047</v>
      </c>
      <c r="G2486" s="1" t="s">
        <v>14729</v>
      </c>
    </row>
    <row r="2487" spans="1:7" ht="21" x14ac:dyDescent="0.25">
      <c r="A2487" s="2" t="str">
        <f>HYPERLINK("https://rth.dk/resources/bsgatlas/details.php?id=BSGatlas-TSS-2486","BSGatlas-TSS-2486")</f>
        <v>BSGatlas-TSS-2486</v>
      </c>
      <c r="B2487" s="3">
        <v>3135540</v>
      </c>
      <c r="C2487" s="1" t="s">
        <v>13</v>
      </c>
      <c r="D2487" s="1">
        <v>0</v>
      </c>
      <c r="E2487" s="1" t="s">
        <v>14849</v>
      </c>
      <c r="F2487" s="6" t="s">
        <v>15047</v>
      </c>
      <c r="G2487" s="1" t="s">
        <v>4382</v>
      </c>
    </row>
    <row r="2488" spans="1:7" ht="21" x14ac:dyDescent="0.25">
      <c r="A2488" s="2" t="str">
        <f>HYPERLINK("https://rth.dk/resources/bsgatlas/details.php?id=BSGatlas-TSS-2487","BSGatlas-TSS-2487")</f>
        <v>BSGatlas-TSS-2487</v>
      </c>
      <c r="B2488" s="3">
        <v>3135638</v>
      </c>
      <c r="C2488" s="1" t="s">
        <v>13</v>
      </c>
      <c r="D2488" s="1">
        <v>22</v>
      </c>
      <c r="E2488" s="1" t="s">
        <v>14732</v>
      </c>
      <c r="F2488" s="6"/>
      <c r="G2488" s="1" t="s">
        <v>14733</v>
      </c>
    </row>
    <row r="2489" spans="1:7" ht="21" x14ac:dyDescent="0.25">
      <c r="A2489" s="2" t="str">
        <f>HYPERLINK("https://rth.dk/resources/bsgatlas/details.php?id=BSGatlas-TSS-2488","BSGatlas-TSS-2488")</f>
        <v>BSGatlas-TSS-2488</v>
      </c>
      <c r="B2489" s="3">
        <v>3136117</v>
      </c>
      <c r="C2489" s="1" t="s">
        <v>13</v>
      </c>
      <c r="D2489" s="1">
        <v>22</v>
      </c>
      <c r="E2489" s="1" t="s">
        <v>14725</v>
      </c>
      <c r="F2489" s="6"/>
      <c r="G2489" s="1" t="s">
        <v>14726</v>
      </c>
    </row>
    <row r="2490" spans="1:7" ht="21" x14ac:dyDescent="0.25">
      <c r="A2490" s="2" t="str">
        <f>HYPERLINK("https://rth.dk/resources/bsgatlas/details.php?id=BSGatlas-TSS-2489","BSGatlas-TSS-2489")</f>
        <v>BSGatlas-TSS-2489</v>
      </c>
      <c r="B2490" s="3">
        <v>3136694</v>
      </c>
      <c r="C2490" s="1" t="s">
        <v>13</v>
      </c>
      <c r="D2490" s="1">
        <v>0</v>
      </c>
      <c r="E2490" s="1" t="s">
        <v>14734</v>
      </c>
      <c r="F2490" s="6" t="s">
        <v>15048</v>
      </c>
      <c r="G2490" s="1" t="s">
        <v>14729</v>
      </c>
    </row>
    <row r="2491" spans="1:7" ht="21" x14ac:dyDescent="0.25">
      <c r="A2491" s="2" t="str">
        <f>HYPERLINK("https://rth.dk/resources/bsgatlas/details.php?id=BSGatlas-TSS-2490","BSGatlas-TSS-2490")</f>
        <v>BSGatlas-TSS-2490</v>
      </c>
      <c r="B2491" s="3">
        <v>3136707</v>
      </c>
      <c r="C2491" s="1" t="s">
        <v>13</v>
      </c>
      <c r="D2491" s="1">
        <v>0</v>
      </c>
      <c r="E2491" s="1" t="s">
        <v>14720</v>
      </c>
      <c r="F2491" s="6">
        <v>9393687</v>
      </c>
      <c r="G2491" s="1" t="s">
        <v>14730</v>
      </c>
    </row>
    <row r="2492" spans="1:7" ht="21" x14ac:dyDescent="0.25">
      <c r="A2492" s="2" t="str">
        <f>HYPERLINK("https://rth.dk/resources/bsgatlas/details.php?id=BSGatlas-TSS-2491","BSGatlas-TSS-2491")</f>
        <v>BSGatlas-TSS-2491</v>
      </c>
      <c r="B2492" s="3">
        <v>3136769</v>
      </c>
      <c r="C2492" s="1" t="s">
        <v>9</v>
      </c>
      <c r="D2492" s="1">
        <v>22</v>
      </c>
      <c r="E2492" s="1" t="s">
        <v>14722</v>
      </c>
      <c r="F2492" s="6"/>
      <c r="G2492" s="1" t="s">
        <v>14726</v>
      </c>
    </row>
    <row r="2493" spans="1:7" ht="21" x14ac:dyDescent="0.25">
      <c r="A2493" s="2" t="str">
        <f>HYPERLINK("https://rth.dk/resources/bsgatlas/details.php?id=BSGatlas-TSS-2492","BSGatlas-TSS-2492")</f>
        <v>BSGatlas-TSS-2492</v>
      </c>
      <c r="B2493" s="3">
        <v>3137415</v>
      </c>
      <c r="C2493" s="1" t="s">
        <v>13</v>
      </c>
      <c r="D2493" s="1">
        <v>22</v>
      </c>
      <c r="E2493" s="1" t="s">
        <v>14722</v>
      </c>
      <c r="F2493" s="6"/>
      <c r="G2493" s="1" t="s">
        <v>14726</v>
      </c>
    </row>
    <row r="2494" spans="1:7" ht="21" x14ac:dyDescent="0.25">
      <c r="A2494" s="2" t="str">
        <f>HYPERLINK("https://rth.dk/resources/bsgatlas/details.php?id=BSGatlas-TSS-2493","BSGatlas-TSS-2493")</f>
        <v>BSGatlas-TSS-2493</v>
      </c>
      <c r="B2494" s="3">
        <v>3138065</v>
      </c>
      <c r="C2494" s="1" t="s">
        <v>9</v>
      </c>
      <c r="D2494" s="1">
        <v>22</v>
      </c>
      <c r="E2494" s="1" t="s">
        <v>14722</v>
      </c>
      <c r="F2494" s="6"/>
      <c r="G2494" s="1" t="s">
        <v>14726</v>
      </c>
    </row>
    <row r="2495" spans="1:7" ht="21" x14ac:dyDescent="0.25">
      <c r="A2495" s="2" t="str">
        <f>HYPERLINK("https://rth.dk/resources/bsgatlas/details.php?id=BSGatlas-TSS-2494","BSGatlas-TSS-2494")</f>
        <v>BSGatlas-TSS-2494</v>
      </c>
      <c r="B2495" s="3">
        <v>3138924</v>
      </c>
      <c r="C2495" s="1" t="s">
        <v>13</v>
      </c>
      <c r="D2495" s="1">
        <v>22</v>
      </c>
      <c r="E2495" s="1" t="s">
        <v>14722</v>
      </c>
      <c r="F2495" s="6"/>
      <c r="G2495" s="1" t="s">
        <v>14726</v>
      </c>
    </row>
    <row r="2496" spans="1:7" ht="21" x14ac:dyDescent="0.25">
      <c r="A2496" s="2" t="str">
        <f>HYPERLINK("https://rth.dk/resources/bsgatlas/details.php?id=BSGatlas-TSS-2495","BSGatlas-TSS-2495")</f>
        <v>BSGatlas-TSS-2495</v>
      </c>
      <c r="B2496" s="3">
        <v>3139258</v>
      </c>
      <c r="C2496" s="1" t="s">
        <v>13</v>
      </c>
      <c r="D2496" s="1">
        <v>0</v>
      </c>
      <c r="E2496" s="1" t="s">
        <v>14722</v>
      </c>
      <c r="F2496" s="6">
        <v>15049826</v>
      </c>
      <c r="G2496" s="1" t="s">
        <v>4547</v>
      </c>
    </row>
    <row r="2497" spans="1:7" ht="21" x14ac:dyDescent="0.25">
      <c r="A2497" s="2" t="str">
        <f>HYPERLINK("https://rth.dk/resources/bsgatlas/details.php?id=BSGatlas-TSS-2496","BSGatlas-TSS-2496")</f>
        <v>BSGatlas-TSS-2496</v>
      </c>
      <c r="B2497" s="3">
        <v>3139297</v>
      </c>
      <c r="C2497" s="1" t="s">
        <v>13</v>
      </c>
      <c r="D2497" s="1">
        <v>0</v>
      </c>
      <c r="E2497" s="1" t="s">
        <v>14734</v>
      </c>
      <c r="F2497" s="6">
        <v>15049826</v>
      </c>
      <c r="G2497" s="1" t="s">
        <v>14747</v>
      </c>
    </row>
    <row r="2498" spans="1:7" ht="21" x14ac:dyDescent="0.25">
      <c r="A2498" s="2" t="str">
        <f>HYPERLINK("https://rth.dk/resources/bsgatlas/details.php?id=BSGatlas-TSS-2497","BSGatlas-TSS-2497")</f>
        <v>BSGatlas-TSS-2497</v>
      </c>
      <c r="B2498" s="3">
        <v>3139385</v>
      </c>
      <c r="C2498" s="1" t="s">
        <v>9</v>
      </c>
      <c r="D2498" s="1">
        <v>22</v>
      </c>
      <c r="E2498" s="1" t="s">
        <v>14732</v>
      </c>
      <c r="F2498" s="6"/>
      <c r="G2498" s="1" t="s">
        <v>14726</v>
      </c>
    </row>
    <row r="2499" spans="1:7" ht="21" x14ac:dyDescent="0.25">
      <c r="A2499" s="2" t="str">
        <f>HYPERLINK("https://rth.dk/resources/bsgatlas/details.php?id=BSGatlas-TSS-2498","BSGatlas-TSS-2498")</f>
        <v>BSGatlas-TSS-2498</v>
      </c>
      <c r="B2499" s="3">
        <v>3141871</v>
      </c>
      <c r="C2499" s="1" t="s">
        <v>9</v>
      </c>
      <c r="D2499" s="1">
        <v>22</v>
      </c>
      <c r="E2499" s="1" t="s">
        <v>14732</v>
      </c>
      <c r="F2499" s="6"/>
      <c r="G2499" s="1" t="s">
        <v>14726</v>
      </c>
    </row>
    <row r="2500" spans="1:7" ht="21" x14ac:dyDescent="0.25">
      <c r="A2500" s="2" t="str">
        <f>HYPERLINK("https://rth.dk/resources/bsgatlas/details.php?id=BSGatlas-TSS-2499","BSGatlas-TSS-2499")</f>
        <v>BSGatlas-TSS-2499</v>
      </c>
      <c r="B2500" s="3">
        <v>3145995</v>
      </c>
      <c r="C2500" s="1" t="s">
        <v>13</v>
      </c>
      <c r="D2500" s="1">
        <v>22</v>
      </c>
      <c r="E2500" s="1" t="s">
        <v>14732</v>
      </c>
      <c r="F2500" s="6"/>
      <c r="G2500" s="1" t="s">
        <v>14726</v>
      </c>
    </row>
    <row r="2501" spans="1:7" ht="21" x14ac:dyDescent="0.25">
      <c r="A2501" s="2" t="str">
        <f>HYPERLINK("https://rth.dk/resources/bsgatlas/details.php?id=BSGatlas-TSS-2500","BSGatlas-TSS-2500")</f>
        <v>BSGatlas-TSS-2500</v>
      </c>
      <c r="B2501" s="3">
        <v>3146073</v>
      </c>
      <c r="C2501" s="1" t="s">
        <v>9</v>
      </c>
      <c r="D2501" s="1">
        <v>22</v>
      </c>
      <c r="E2501" s="1" t="s">
        <v>14720</v>
      </c>
      <c r="F2501" s="6"/>
      <c r="G2501" s="1" t="s">
        <v>14726</v>
      </c>
    </row>
    <row r="2502" spans="1:7" ht="21" x14ac:dyDescent="0.25">
      <c r="A2502" s="2" t="str">
        <f>HYPERLINK("https://rth.dk/resources/bsgatlas/details.php?id=BSGatlas-TSS-2501","BSGatlas-TSS-2501")</f>
        <v>BSGatlas-TSS-2501</v>
      </c>
      <c r="B2502" s="3">
        <v>3146088</v>
      </c>
      <c r="C2502" s="1" t="s">
        <v>13</v>
      </c>
      <c r="D2502" s="1">
        <v>22</v>
      </c>
      <c r="E2502" s="1" t="s">
        <v>14722</v>
      </c>
      <c r="F2502" s="6"/>
      <c r="G2502" s="1" t="s">
        <v>14733</v>
      </c>
    </row>
    <row r="2503" spans="1:7" ht="21" x14ac:dyDescent="0.25">
      <c r="A2503" s="2" t="str">
        <f>HYPERLINK("https://rth.dk/resources/bsgatlas/details.php?id=BSGatlas-TSS-2502","BSGatlas-TSS-2502")</f>
        <v>BSGatlas-TSS-2502</v>
      </c>
      <c r="B2503" s="3">
        <v>3146171</v>
      </c>
      <c r="C2503" s="1" t="s">
        <v>13</v>
      </c>
      <c r="D2503" s="1">
        <v>22</v>
      </c>
      <c r="E2503" s="1" t="s">
        <v>14722</v>
      </c>
      <c r="F2503" s="6"/>
      <c r="G2503" s="1" t="s">
        <v>14733</v>
      </c>
    </row>
    <row r="2504" spans="1:7" ht="21" x14ac:dyDescent="0.25">
      <c r="A2504" s="2" t="str">
        <f>HYPERLINK("https://rth.dk/resources/bsgatlas/details.php?id=BSGatlas-TSS-2503","BSGatlas-TSS-2503")</f>
        <v>BSGatlas-TSS-2503</v>
      </c>
      <c r="B2504" s="3">
        <v>3148257</v>
      </c>
      <c r="C2504" s="1" t="s">
        <v>13</v>
      </c>
      <c r="D2504" s="1">
        <v>22</v>
      </c>
      <c r="E2504" s="1" t="s">
        <v>14734</v>
      </c>
      <c r="F2504" s="6"/>
      <c r="G2504" s="1" t="s">
        <v>14726</v>
      </c>
    </row>
    <row r="2505" spans="1:7" ht="21" x14ac:dyDescent="0.25">
      <c r="A2505" s="2" t="str">
        <f>HYPERLINK("https://rth.dk/resources/bsgatlas/details.php?id=BSGatlas-TSS-2504","BSGatlas-TSS-2504")</f>
        <v>BSGatlas-TSS-2504</v>
      </c>
      <c r="B2505" s="3">
        <v>3148805</v>
      </c>
      <c r="C2505" s="1" t="s">
        <v>13</v>
      </c>
      <c r="D2505" s="1">
        <v>0</v>
      </c>
      <c r="E2505" s="1" t="s">
        <v>14722</v>
      </c>
      <c r="F2505" s="6">
        <v>1629163</v>
      </c>
      <c r="G2505" s="1" t="s">
        <v>4684</v>
      </c>
    </row>
    <row r="2506" spans="1:7" ht="21" x14ac:dyDescent="0.25">
      <c r="A2506" s="2" t="str">
        <f>HYPERLINK("https://rth.dk/resources/bsgatlas/details.php?id=BSGatlas-TSS-2505","BSGatlas-TSS-2505")</f>
        <v>BSGatlas-TSS-2505</v>
      </c>
      <c r="B2506" s="3">
        <v>3149704</v>
      </c>
      <c r="C2506" s="1" t="s">
        <v>13</v>
      </c>
      <c r="D2506" s="1">
        <v>0</v>
      </c>
      <c r="E2506" s="1" t="s">
        <v>14722</v>
      </c>
      <c r="F2506" s="6">
        <v>1629163</v>
      </c>
      <c r="G2506" s="1" t="s">
        <v>4684</v>
      </c>
    </row>
    <row r="2507" spans="1:7" ht="21" x14ac:dyDescent="0.25">
      <c r="A2507" s="2" t="str">
        <f>HYPERLINK("https://rth.dk/resources/bsgatlas/details.php?id=BSGatlas-TSS-2506","BSGatlas-TSS-2506")</f>
        <v>BSGatlas-TSS-2506</v>
      </c>
      <c r="B2507" s="3">
        <v>3149833</v>
      </c>
      <c r="C2507" s="1" t="s">
        <v>13</v>
      </c>
      <c r="D2507" s="1">
        <v>22</v>
      </c>
      <c r="E2507" s="1" t="s">
        <v>14722</v>
      </c>
      <c r="F2507" s="6"/>
      <c r="G2507" s="1" t="s">
        <v>14726</v>
      </c>
    </row>
    <row r="2508" spans="1:7" ht="21" x14ac:dyDescent="0.25">
      <c r="A2508" s="2" t="str">
        <f>HYPERLINK("https://rth.dk/resources/bsgatlas/details.php?id=BSGatlas-TSS-2507","BSGatlas-TSS-2507")</f>
        <v>BSGatlas-TSS-2507</v>
      </c>
      <c r="B2508" s="3">
        <v>3149999</v>
      </c>
      <c r="C2508" s="1" t="s">
        <v>13</v>
      </c>
      <c r="D2508" s="1">
        <v>22</v>
      </c>
      <c r="E2508" s="1" t="s">
        <v>14732</v>
      </c>
      <c r="F2508" s="6"/>
      <c r="G2508" s="1" t="s">
        <v>14726</v>
      </c>
    </row>
    <row r="2509" spans="1:7" ht="21" x14ac:dyDescent="0.25">
      <c r="A2509" s="2" t="str">
        <f>HYPERLINK("https://rth.dk/resources/bsgatlas/details.php?id=BSGatlas-TSS-2508","BSGatlas-TSS-2508")</f>
        <v>BSGatlas-TSS-2508</v>
      </c>
      <c r="B2509" s="3">
        <v>3153830</v>
      </c>
      <c r="C2509" s="1" t="s">
        <v>13</v>
      </c>
      <c r="D2509" s="1">
        <v>22</v>
      </c>
      <c r="E2509" s="1" t="s">
        <v>14722</v>
      </c>
      <c r="F2509" s="6"/>
      <c r="G2509" s="1" t="s">
        <v>14733</v>
      </c>
    </row>
    <row r="2510" spans="1:7" ht="21" x14ac:dyDescent="0.25">
      <c r="A2510" s="2" t="str">
        <f>HYPERLINK("https://rth.dk/resources/bsgatlas/details.php?id=BSGatlas-TSS-2509","BSGatlas-TSS-2509")</f>
        <v>BSGatlas-TSS-2509</v>
      </c>
      <c r="B2510" s="3">
        <v>3153978</v>
      </c>
      <c r="C2510" s="1" t="s">
        <v>9</v>
      </c>
      <c r="D2510" s="1">
        <v>0</v>
      </c>
      <c r="E2510" s="1" t="s">
        <v>14743</v>
      </c>
      <c r="F2510" s="6">
        <v>16497325</v>
      </c>
      <c r="G2510" s="1" t="s">
        <v>14730</v>
      </c>
    </row>
    <row r="2511" spans="1:7" ht="21" x14ac:dyDescent="0.25">
      <c r="A2511" s="2" t="str">
        <f>HYPERLINK("https://rth.dk/resources/bsgatlas/details.php?id=BSGatlas-TSS-2510","BSGatlas-TSS-2510")</f>
        <v>BSGatlas-TSS-2510</v>
      </c>
      <c r="B2511" s="3">
        <v>3153982</v>
      </c>
      <c r="C2511" s="1" t="s">
        <v>13</v>
      </c>
      <c r="D2511" s="1">
        <v>22</v>
      </c>
      <c r="E2511" s="1" t="s">
        <v>14725</v>
      </c>
      <c r="F2511" s="6"/>
      <c r="G2511" s="1" t="s">
        <v>14733</v>
      </c>
    </row>
    <row r="2512" spans="1:7" ht="21" x14ac:dyDescent="0.25">
      <c r="A2512" s="2" t="str">
        <f>HYPERLINK("https://rth.dk/resources/bsgatlas/details.php?id=BSGatlas-TSS-2511","BSGatlas-TSS-2511")</f>
        <v>BSGatlas-TSS-2511</v>
      </c>
      <c r="B2512" s="3">
        <v>3155588</v>
      </c>
      <c r="C2512" s="1" t="s">
        <v>13</v>
      </c>
      <c r="D2512" s="1">
        <v>22</v>
      </c>
      <c r="E2512" s="1" t="s">
        <v>14725</v>
      </c>
      <c r="F2512" s="6"/>
      <c r="G2512" s="1" t="s">
        <v>14726</v>
      </c>
    </row>
    <row r="2513" spans="1:7" ht="21" x14ac:dyDescent="0.25">
      <c r="A2513" s="2" t="str">
        <f>HYPERLINK("https://rth.dk/resources/bsgatlas/details.php?id=BSGatlas-TSS-2512","BSGatlas-TSS-2512")</f>
        <v>BSGatlas-TSS-2512</v>
      </c>
      <c r="B2513" s="3">
        <v>3155676</v>
      </c>
      <c r="C2513" s="1" t="s">
        <v>9</v>
      </c>
      <c r="D2513" s="1">
        <v>22</v>
      </c>
      <c r="E2513" s="1" t="s">
        <v>14725</v>
      </c>
      <c r="F2513" s="6"/>
      <c r="G2513" s="1" t="s">
        <v>14726</v>
      </c>
    </row>
    <row r="2514" spans="1:7" ht="21" x14ac:dyDescent="0.25">
      <c r="A2514" s="2" t="str">
        <f>HYPERLINK("https://rth.dk/resources/bsgatlas/details.php?id=BSGatlas-TSS-2513","BSGatlas-TSS-2513")</f>
        <v>BSGatlas-TSS-2513</v>
      </c>
      <c r="B2514" s="3">
        <v>3161930</v>
      </c>
      <c r="C2514" s="1" t="s">
        <v>13</v>
      </c>
      <c r="D2514" s="1">
        <v>0</v>
      </c>
      <c r="E2514" s="1" t="s">
        <v>14725</v>
      </c>
      <c r="F2514" s="6" t="s">
        <v>15049</v>
      </c>
      <c r="G2514" s="1" t="s">
        <v>14729</v>
      </c>
    </row>
    <row r="2515" spans="1:7" ht="21" x14ac:dyDescent="0.25">
      <c r="A2515" s="2" t="str">
        <f>HYPERLINK("https://rth.dk/resources/bsgatlas/details.php?id=BSGatlas-TSS-2514","BSGatlas-TSS-2514")</f>
        <v>BSGatlas-TSS-2514</v>
      </c>
      <c r="B2515" s="3">
        <v>3162057</v>
      </c>
      <c r="C2515" s="1" t="s">
        <v>9</v>
      </c>
      <c r="D2515" s="1">
        <v>22</v>
      </c>
      <c r="E2515" s="1" t="s">
        <v>14725</v>
      </c>
      <c r="F2515" s="6"/>
      <c r="G2515" s="1" t="s">
        <v>14726</v>
      </c>
    </row>
    <row r="2516" spans="1:7" ht="21" x14ac:dyDescent="0.25">
      <c r="A2516" s="2" t="str">
        <f>HYPERLINK("https://rth.dk/resources/bsgatlas/details.php?id=BSGatlas-TSS-2515","BSGatlas-TSS-2515")</f>
        <v>BSGatlas-TSS-2515</v>
      </c>
      <c r="B2516" s="3">
        <v>3162398</v>
      </c>
      <c r="C2516" s="1" t="s">
        <v>9</v>
      </c>
      <c r="D2516" s="1">
        <v>22</v>
      </c>
      <c r="E2516" s="1" t="s">
        <v>14732</v>
      </c>
      <c r="F2516" s="6"/>
      <c r="G2516" s="1" t="s">
        <v>14726</v>
      </c>
    </row>
    <row r="2517" spans="1:7" ht="21" x14ac:dyDescent="0.25">
      <c r="A2517" s="2" t="str">
        <f>HYPERLINK("https://rth.dk/resources/bsgatlas/details.php?id=BSGatlas-TSS-2516","BSGatlas-TSS-2516")</f>
        <v>BSGatlas-TSS-2516</v>
      </c>
      <c r="B2517" s="3">
        <v>3163205</v>
      </c>
      <c r="C2517" s="1" t="s">
        <v>9</v>
      </c>
      <c r="D2517" s="1">
        <v>22</v>
      </c>
      <c r="E2517" s="1" t="s">
        <v>14734</v>
      </c>
      <c r="F2517" s="6"/>
      <c r="G2517" s="1" t="s">
        <v>14726</v>
      </c>
    </row>
    <row r="2518" spans="1:7" ht="21" x14ac:dyDescent="0.25">
      <c r="A2518" s="2" t="str">
        <f>HYPERLINK("https://rth.dk/resources/bsgatlas/details.php?id=BSGatlas-TSS-2517","BSGatlas-TSS-2517")</f>
        <v>BSGatlas-TSS-2517</v>
      </c>
      <c r="B2518" s="3">
        <v>3171658</v>
      </c>
      <c r="C2518" s="1" t="s">
        <v>13</v>
      </c>
      <c r="D2518" s="1">
        <v>0</v>
      </c>
      <c r="E2518" s="1" t="s">
        <v>14735</v>
      </c>
      <c r="F2518" s="6" t="s">
        <v>15050</v>
      </c>
      <c r="G2518" s="1" t="s">
        <v>4382</v>
      </c>
    </row>
    <row r="2519" spans="1:7" ht="21" x14ac:dyDescent="0.25">
      <c r="A2519" s="2" t="str">
        <f>HYPERLINK("https://rth.dk/resources/bsgatlas/details.php?id=BSGatlas-TSS-2518","BSGatlas-TSS-2518")</f>
        <v>BSGatlas-TSS-2518</v>
      </c>
      <c r="B2519" s="3">
        <v>3171691</v>
      </c>
      <c r="C2519" s="1" t="s">
        <v>13</v>
      </c>
      <c r="D2519" s="1">
        <v>22</v>
      </c>
      <c r="E2519" s="1" t="s">
        <v>14720</v>
      </c>
      <c r="F2519" s="6"/>
      <c r="G2519" s="1" t="s">
        <v>14726</v>
      </c>
    </row>
    <row r="2520" spans="1:7" ht="21" x14ac:dyDescent="0.25">
      <c r="A2520" s="2" t="str">
        <f>HYPERLINK("https://rth.dk/resources/bsgatlas/details.php?id=BSGatlas-TSS-2519","BSGatlas-TSS-2519")</f>
        <v>BSGatlas-TSS-2519</v>
      </c>
      <c r="B2520" s="3">
        <v>3178774</v>
      </c>
      <c r="C2520" s="1" t="s">
        <v>9</v>
      </c>
      <c r="D2520" s="1">
        <v>22</v>
      </c>
      <c r="E2520" s="1" t="s">
        <v>14720</v>
      </c>
      <c r="F2520" s="6"/>
      <c r="G2520" s="1" t="s">
        <v>14726</v>
      </c>
    </row>
    <row r="2521" spans="1:7" ht="21" x14ac:dyDescent="0.25">
      <c r="A2521" s="2" t="str">
        <f>HYPERLINK("https://rth.dk/resources/bsgatlas/details.php?id=BSGatlas-TSS-2520","BSGatlas-TSS-2520")</f>
        <v>BSGatlas-TSS-2520</v>
      </c>
      <c r="B2521" s="3">
        <v>3178818</v>
      </c>
      <c r="C2521" s="1" t="s">
        <v>13</v>
      </c>
      <c r="D2521" s="1">
        <v>0</v>
      </c>
      <c r="E2521" s="1" t="s">
        <v>14722</v>
      </c>
      <c r="F2521" s="6" t="s">
        <v>15051</v>
      </c>
      <c r="G2521" s="1" t="s">
        <v>4382</v>
      </c>
    </row>
    <row r="2522" spans="1:7" ht="21" x14ac:dyDescent="0.25">
      <c r="A2522" s="2" t="str">
        <f>HYPERLINK("https://rth.dk/resources/bsgatlas/details.php?id=BSGatlas-TSS-2521","BSGatlas-TSS-2521")</f>
        <v>BSGatlas-TSS-2521</v>
      </c>
      <c r="B2522" s="3">
        <v>3178908</v>
      </c>
      <c r="C2522" s="1" t="s">
        <v>13</v>
      </c>
      <c r="D2522" s="1">
        <v>0</v>
      </c>
      <c r="E2522" s="1" t="s">
        <v>14722</v>
      </c>
      <c r="F2522" s="6" t="s">
        <v>15052</v>
      </c>
      <c r="G2522" s="1" t="s">
        <v>14806</v>
      </c>
    </row>
    <row r="2523" spans="1:7" ht="21" x14ac:dyDescent="0.25">
      <c r="A2523" s="2" t="str">
        <f>HYPERLINK("https://rth.dk/resources/bsgatlas/details.php?id=BSGatlas-TSS-2522","BSGatlas-TSS-2522")</f>
        <v>BSGatlas-TSS-2522</v>
      </c>
      <c r="B2523" s="3">
        <v>3179072</v>
      </c>
      <c r="C2523" s="1" t="s">
        <v>9</v>
      </c>
      <c r="D2523" s="1">
        <v>22</v>
      </c>
      <c r="E2523" s="1" t="s">
        <v>14722</v>
      </c>
      <c r="F2523" s="6"/>
      <c r="G2523" s="1" t="s">
        <v>14726</v>
      </c>
    </row>
    <row r="2524" spans="1:7" ht="21" x14ac:dyDescent="0.25">
      <c r="A2524" s="2" t="str">
        <f>HYPERLINK("https://rth.dk/resources/bsgatlas/details.php?id=BSGatlas-TSS-2523","BSGatlas-TSS-2523")</f>
        <v>BSGatlas-TSS-2523</v>
      </c>
      <c r="B2524" s="3">
        <v>3182585</v>
      </c>
      <c r="C2524" s="1" t="s">
        <v>13</v>
      </c>
      <c r="D2524" s="1">
        <v>0</v>
      </c>
      <c r="E2524" s="1" t="s">
        <v>14770</v>
      </c>
      <c r="F2524" s="6" t="s">
        <v>14771</v>
      </c>
      <c r="G2524" s="1" t="s">
        <v>14729</v>
      </c>
    </row>
    <row r="2525" spans="1:7" ht="21" x14ac:dyDescent="0.25">
      <c r="A2525" s="2" t="str">
        <f>HYPERLINK("https://rth.dk/resources/bsgatlas/details.php?id=BSGatlas-TSS-2524","BSGatlas-TSS-2524")</f>
        <v>BSGatlas-TSS-2524</v>
      </c>
      <c r="B2525" s="3">
        <v>3182673</v>
      </c>
      <c r="C2525" s="1" t="s">
        <v>9</v>
      </c>
      <c r="D2525" s="1">
        <v>22</v>
      </c>
      <c r="E2525" s="1" t="s">
        <v>14722</v>
      </c>
      <c r="F2525" s="6"/>
      <c r="G2525" s="1" t="s">
        <v>14726</v>
      </c>
    </row>
    <row r="2526" spans="1:7" ht="21" x14ac:dyDescent="0.25">
      <c r="A2526" s="2" t="str">
        <f>HYPERLINK("https://rth.dk/resources/bsgatlas/details.php?id=BSGatlas-TSS-2525","BSGatlas-TSS-2525")</f>
        <v>BSGatlas-TSS-2525</v>
      </c>
      <c r="B2526" s="3">
        <v>3182678</v>
      </c>
      <c r="C2526" s="1" t="s">
        <v>13</v>
      </c>
      <c r="D2526" s="1">
        <v>22</v>
      </c>
      <c r="E2526" s="1" t="s">
        <v>14727</v>
      </c>
      <c r="F2526" s="6"/>
      <c r="G2526" s="1" t="s">
        <v>14733</v>
      </c>
    </row>
    <row r="2527" spans="1:7" ht="21" x14ac:dyDescent="0.25">
      <c r="A2527" s="2" t="str">
        <f>HYPERLINK("https://rth.dk/resources/bsgatlas/details.php?id=BSGatlas-TSS-2526","BSGatlas-TSS-2526")</f>
        <v>BSGatlas-TSS-2526</v>
      </c>
      <c r="B2527" s="3">
        <v>3183822</v>
      </c>
      <c r="C2527" s="1" t="s">
        <v>13</v>
      </c>
      <c r="D2527" s="1">
        <v>22</v>
      </c>
      <c r="E2527" s="1" t="s">
        <v>14722</v>
      </c>
      <c r="F2527" s="6"/>
      <c r="G2527" s="1" t="s">
        <v>14726</v>
      </c>
    </row>
    <row r="2528" spans="1:7" ht="21" x14ac:dyDescent="0.25">
      <c r="A2528" s="2" t="str">
        <f>HYPERLINK("https://rth.dk/resources/bsgatlas/details.php?id=BSGatlas-TSS-2527","BSGatlas-TSS-2527")</f>
        <v>BSGatlas-TSS-2527</v>
      </c>
      <c r="B2528" s="3">
        <v>3184856</v>
      </c>
      <c r="C2528" s="1" t="s">
        <v>13</v>
      </c>
      <c r="D2528" s="1">
        <v>22</v>
      </c>
      <c r="E2528" s="1" t="s">
        <v>14722</v>
      </c>
      <c r="F2528" s="6"/>
      <c r="G2528" s="1" t="s">
        <v>14726</v>
      </c>
    </row>
    <row r="2529" spans="1:7" ht="21" x14ac:dyDescent="0.25">
      <c r="A2529" s="2" t="str">
        <f>HYPERLINK("https://rth.dk/resources/bsgatlas/details.php?id=BSGatlas-TSS-2528","BSGatlas-TSS-2528")</f>
        <v>BSGatlas-TSS-2528</v>
      </c>
      <c r="B2529" s="3">
        <v>3186616</v>
      </c>
      <c r="C2529" s="1" t="s">
        <v>13</v>
      </c>
      <c r="D2529" s="1">
        <v>22</v>
      </c>
      <c r="E2529" s="1" t="s">
        <v>14722</v>
      </c>
      <c r="F2529" s="6"/>
      <c r="G2529" s="1" t="s">
        <v>14726</v>
      </c>
    </row>
    <row r="2530" spans="1:7" ht="21" x14ac:dyDescent="0.25">
      <c r="A2530" s="2" t="str">
        <f>HYPERLINK("https://rth.dk/resources/bsgatlas/details.php?id=BSGatlas-TSS-2529","BSGatlas-TSS-2529")</f>
        <v>BSGatlas-TSS-2529</v>
      </c>
      <c r="B2530" s="3">
        <v>3186711</v>
      </c>
      <c r="C2530" s="1" t="s">
        <v>9</v>
      </c>
      <c r="D2530" s="1">
        <v>22</v>
      </c>
      <c r="E2530" s="1" t="s">
        <v>14722</v>
      </c>
      <c r="F2530" s="6"/>
      <c r="G2530" s="1" t="s">
        <v>14726</v>
      </c>
    </row>
    <row r="2531" spans="1:7" ht="21" x14ac:dyDescent="0.25">
      <c r="A2531" s="2" t="str">
        <f>HYPERLINK("https://rth.dk/resources/bsgatlas/details.php?id=BSGatlas-TSS-2530","BSGatlas-TSS-2530")</f>
        <v>BSGatlas-TSS-2530</v>
      </c>
      <c r="B2531" s="3">
        <v>3187402</v>
      </c>
      <c r="C2531" s="1" t="s">
        <v>9</v>
      </c>
      <c r="D2531" s="1">
        <v>22</v>
      </c>
      <c r="E2531" s="1" t="s">
        <v>14722</v>
      </c>
      <c r="F2531" s="6"/>
      <c r="G2531" s="1" t="s">
        <v>14733</v>
      </c>
    </row>
    <row r="2532" spans="1:7" ht="21" x14ac:dyDescent="0.25">
      <c r="A2532" s="2" t="str">
        <f>HYPERLINK("https://rth.dk/resources/bsgatlas/details.php?id=BSGatlas-TSS-2531","BSGatlas-TSS-2531")</f>
        <v>BSGatlas-TSS-2531</v>
      </c>
      <c r="B2532" s="3">
        <v>3188168</v>
      </c>
      <c r="C2532" s="1" t="s">
        <v>9</v>
      </c>
      <c r="D2532" s="1">
        <v>22</v>
      </c>
      <c r="E2532" s="1" t="s">
        <v>14722</v>
      </c>
      <c r="F2532" s="6"/>
      <c r="G2532" s="1" t="s">
        <v>14726</v>
      </c>
    </row>
    <row r="2533" spans="1:7" ht="21" x14ac:dyDescent="0.25">
      <c r="A2533" s="2" t="str">
        <f>HYPERLINK("https://rth.dk/resources/bsgatlas/details.php?id=BSGatlas-TSS-2532","BSGatlas-TSS-2532")</f>
        <v>BSGatlas-TSS-2532</v>
      </c>
      <c r="B2533" s="3">
        <v>3190767</v>
      </c>
      <c r="C2533" s="1" t="s">
        <v>13</v>
      </c>
      <c r="D2533" s="1">
        <v>22</v>
      </c>
      <c r="E2533" s="1" t="s">
        <v>14722</v>
      </c>
      <c r="F2533" s="6"/>
      <c r="G2533" s="1" t="s">
        <v>14726</v>
      </c>
    </row>
    <row r="2534" spans="1:7" ht="21" x14ac:dyDescent="0.25">
      <c r="A2534" s="2" t="str">
        <f>HYPERLINK("https://rth.dk/resources/bsgatlas/details.php?id=BSGatlas-TSS-2533","BSGatlas-TSS-2533")</f>
        <v>BSGatlas-TSS-2533</v>
      </c>
      <c r="B2534" s="3">
        <v>3191737</v>
      </c>
      <c r="C2534" s="1" t="s">
        <v>13</v>
      </c>
      <c r="D2534" s="1">
        <v>22</v>
      </c>
      <c r="E2534" s="1" t="s">
        <v>14722</v>
      </c>
      <c r="F2534" s="6"/>
      <c r="G2534" s="1" t="s">
        <v>14726</v>
      </c>
    </row>
    <row r="2535" spans="1:7" ht="21" x14ac:dyDescent="0.25">
      <c r="A2535" s="2" t="str">
        <f>HYPERLINK("https://rth.dk/resources/bsgatlas/details.php?id=BSGatlas-TSS-2534","BSGatlas-TSS-2534")</f>
        <v>BSGatlas-TSS-2534</v>
      </c>
      <c r="B2535" s="3">
        <v>3193096</v>
      </c>
      <c r="C2535" s="1" t="s">
        <v>9</v>
      </c>
      <c r="D2535" s="1">
        <v>22</v>
      </c>
      <c r="E2535" s="1" t="s">
        <v>14720</v>
      </c>
      <c r="F2535" s="6"/>
      <c r="G2535" s="1" t="s">
        <v>14726</v>
      </c>
    </row>
    <row r="2536" spans="1:7" ht="21" x14ac:dyDescent="0.25">
      <c r="A2536" s="2" t="str">
        <f>HYPERLINK("https://rth.dk/resources/bsgatlas/details.php?id=BSGatlas-TSS-2535","BSGatlas-TSS-2535")</f>
        <v>BSGatlas-TSS-2535</v>
      </c>
      <c r="B2536" s="3">
        <v>3193546</v>
      </c>
      <c r="C2536" s="1" t="s">
        <v>13</v>
      </c>
      <c r="D2536" s="1">
        <v>22</v>
      </c>
      <c r="E2536" s="1" t="s">
        <v>14722</v>
      </c>
      <c r="F2536" s="6"/>
      <c r="G2536" s="1" t="s">
        <v>14733</v>
      </c>
    </row>
    <row r="2537" spans="1:7" ht="21" x14ac:dyDescent="0.25">
      <c r="A2537" s="2" t="str">
        <f>HYPERLINK("https://rth.dk/resources/bsgatlas/details.php?id=BSGatlas-TSS-2536","BSGatlas-TSS-2536")</f>
        <v>BSGatlas-TSS-2536</v>
      </c>
      <c r="B2537" s="3">
        <v>3193811</v>
      </c>
      <c r="C2537" s="1" t="s">
        <v>9</v>
      </c>
      <c r="D2537" s="1">
        <v>22</v>
      </c>
      <c r="E2537" s="1" t="s">
        <v>14725</v>
      </c>
      <c r="F2537" s="6"/>
      <c r="G2537" s="1" t="s">
        <v>14726</v>
      </c>
    </row>
    <row r="2538" spans="1:7" ht="21" x14ac:dyDescent="0.25">
      <c r="A2538" s="2" t="str">
        <f>HYPERLINK("https://rth.dk/resources/bsgatlas/details.php?id=BSGatlas-TSS-2537","BSGatlas-TSS-2537")</f>
        <v>BSGatlas-TSS-2537</v>
      </c>
      <c r="B2538" s="3">
        <v>3194558</v>
      </c>
      <c r="C2538" s="1" t="s">
        <v>13</v>
      </c>
      <c r="D2538" s="1">
        <v>22</v>
      </c>
      <c r="E2538" s="1" t="s">
        <v>14722</v>
      </c>
      <c r="F2538" s="6"/>
      <c r="G2538" s="1" t="s">
        <v>14726</v>
      </c>
    </row>
    <row r="2539" spans="1:7" ht="21" x14ac:dyDescent="0.25">
      <c r="A2539" s="2" t="str">
        <f>HYPERLINK("https://rth.dk/resources/bsgatlas/details.php?id=BSGatlas-TSS-2538","BSGatlas-TSS-2538")</f>
        <v>BSGatlas-TSS-2538</v>
      </c>
      <c r="B2539" s="3">
        <v>3196748</v>
      </c>
      <c r="C2539" s="1" t="s">
        <v>9</v>
      </c>
      <c r="D2539" s="1">
        <v>22</v>
      </c>
      <c r="E2539" s="1" t="s">
        <v>14720</v>
      </c>
      <c r="F2539" s="6"/>
      <c r="G2539" s="1" t="s">
        <v>14726</v>
      </c>
    </row>
    <row r="2540" spans="1:7" ht="21" x14ac:dyDescent="0.25">
      <c r="A2540" s="2" t="str">
        <f>HYPERLINK("https://rth.dk/resources/bsgatlas/details.php?id=BSGatlas-TSS-2539","BSGatlas-TSS-2539")</f>
        <v>BSGatlas-TSS-2539</v>
      </c>
      <c r="B2540" s="3">
        <v>3196767</v>
      </c>
      <c r="C2540" s="1" t="s">
        <v>13</v>
      </c>
      <c r="D2540" s="1">
        <v>22</v>
      </c>
      <c r="E2540" s="1" t="s">
        <v>14722</v>
      </c>
      <c r="F2540" s="6"/>
      <c r="G2540" s="1" t="s">
        <v>14726</v>
      </c>
    </row>
    <row r="2541" spans="1:7" ht="21" x14ac:dyDescent="0.25">
      <c r="A2541" s="2" t="str">
        <f>HYPERLINK("https://rth.dk/resources/bsgatlas/details.php?id=BSGatlas-TSS-2540","BSGatlas-TSS-2540")</f>
        <v>BSGatlas-TSS-2540</v>
      </c>
      <c r="B2541" s="3">
        <v>3196859</v>
      </c>
      <c r="C2541" s="1" t="s">
        <v>9</v>
      </c>
      <c r="D2541" s="1">
        <v>22</v>
      </c>
      <c r="E2541" s="1" t="s">
        <v>14722</v>
      </c>
      <c r="F2541" s="6"/>
      <c r="G2541" s="1" t="s">
        <v>14726</v>
      </c>
    </row>
    <row r="2542" spans="1:7" ht="21" x14ac:dyDescent="0.25">
      <c r="A2542" s="2" t="str">
        <f>HYPERLINK("https://rth.dk/resources/bsgatlas/details.php?id=BSGatlas-TSS-2541","BSGatlas-TSS-2541")</f>
        <v>BSGatlas-TSS-2541</v>
      </c>
      <c r="B2542" s="3">
        <v>3201853</v>
      </c>
      <c r="C2542" s="1" t="s">
        <v>13</v>
      </c>
      <c r="D2542" s="1">
        <v>22</v>
      </c>
      <c r="E2542" s="1" t="s">
        <v>14722</v>
      </c>
      <c r="F2542" s="6"/>
      <c r="G2542" s="1" t="s">
        <v>14726</v>
      </c>
    </row>
    <row r="2543" spans="1:7" ht="21" x14ac:dyDescent="0.25">
      <c r="A2543" s="2" t="str">
        <f>HYPERLINK("https://rth.dk/resources/bsgatlas/details.php?id=BSGatlas-TSS-2542","BSGatlas-TSS-2542")</f>
        <v>BSGatlas-TSS-2542</v>
      </c>
      <c r="B2543" s="3">
        <v>3203965</v>
      </c>
      <c r="C2543" s="1" t="s">
        <v>13</v>
      </c>
      <c r="D2543" s="1">
        <v>0</v>
      </c>
      <c r="E2543" s="1" t="s">
        <v>14722</v>
      </c>
      <c r="F2543" s="6">
        <v>26712933</v>
      </c>
      <c r="G2543" s="1" t="s">
        <v>14747</v>
      </c>
    </row>
    <row r="2544" spans="1:7" ht="21" x14ac:dyDescent="0.25">
      <c r="A2544" s="2" t="str">
        <f>HYPERLINK("https://rth.dk/resources/bsgatlas/details.php?id=BSGatlas-TSS-2543","BSGatlas-TSS-2543")</f>
        <v>BSGatlas-TSS-2543</v>
      </c>
      <c r="B2544" s="3">
        <v>3206089</v>
      </c>
      <c r="C2544" s="1" t="s">
        <v>13</v>
      </c>
      <c r="D2544" s="1">
        <v>22</v>
      </c>
      <c r="E2544" s="1" t="s">
        <v>14752</v>
      </c>
      <c r="F2544" s="6"/>
      <c r="G2544" s="1" t="s">
        <v>14726</v>
      </c>
    </row>
    <row r="2545" spans="1:7" ht="21" x14ac:dyDescent="0.25">
      <c r="A2545" s="2" t="str">
        <f>HYPERLINK("https://rth.dk/resources/bsgatlas/details.php?id=BSGatlas-TSS-2544","BSGatlas-TSS-2544")</f>
        <v>BSGatlas-TSS-2544</v>
      </c>
      <c r="B2545" s="3">
        <v>3206098</v>
      </c>
      <c r="C2545" s="1" t="s">
        <v>9</v>
      </c>
      <c r="D2545" s="1">
        <v>22</v>
      </c>
      <c r="E2545" s="1" t="s">
        <v>14722</v>
      </c>
      <c r="F2545" s="6"/>
      <c r="G2545" s="1" t="s">
        <v>14726</v>
      </c>
    </row>
    <row r="2546" spans="1:7" ht="21" x14ac:dyDescent="0.25">
      <c r="A2546" s="2" t="str">
        <f>HYPERLINK("https://rth.dk/resources/bsgatlas/details.php?id=BSGatlas-TSS-2545","BSGatlas-TSS-2545")</f>
        <v>BSGatlas-TSS-2545</v>
      </c>
      <c r="B2546" s="3">
        <v>3208190</v>
      </c>
      <c r="C2546" s="1" t="s">
        <v>13</v>
      </c>
      <c r="D2546" s="1">
        <v>22</v>
      </c>
      <c r="E2546" s="1" t="s">
        <v>14752</v>
      </c>
      <c r="F2546" s="6"/>
      <c r="G2546" s="1" t="s">
        <v>14726</v>
      </c>
    </row>
    <row r="2547" spans="1:7" ht="21" x14ac:dyDescent="0.25">
      <c r="A2547" s="2" t="str">
        <f>HYPERLINK("https://rth.dk/resources/bsgatlas/details.php?id=BSGatlas-TSS-2546","BSGatlas-TSS-2546")</f>
        <v>BSGatlas-TSS-2546</v>
      </c>
      <c r="B2547" s="3">
        <v>3210308</v>
      </c>
      <c r="C2547" s="1" t="s">
        <v>13</v>
      </c>
      <c r="D2547" s="1">
        <v>22</v>
      </c>
      <c r="E2547" s="1" t="s">
        <v>14752</v>
      </c>
      <c r="F2547" s="6"/>
      <c r="G2547" s="1" t="s">
        <v>14726</v>
      </c>
    </row>
    <row r="2548" spans="1:7" ht="21" x14ac:dyDescent="0.25">
      <c r="A2548" s="2" t="str">
        <f>HYPERLINK("https://rth.dk/resources/bsgatlas/details.php?id=BSGatlas-TSS-2547","BSGatlas-TSS-2547")</f>
        <v>BSGatlas-TSS-2547</v>
      </c>
      <c r="B2548" s="3">
        <v>3212475</v>
      </c>
      <c r="C2548" s="1" t="s">
        <v>13</v>
      </c>
      <c r="D2548" s="1">
        <v>22</v>
      </c>
      <c r="E2548" s="1" t="s">
        <v>14752</v>
      </c>
      <c r="F2548" s="6"/>
      <c r="G2548" s="1" t="s">
        <v>14726</v>
      </c>
    </row>
    <row r="2549" spans="1:7" ht="21" x14ac:dyDescent="0.25">
      <c r="A2549" s="2" t="str">
        <f>HYPERLINK("https://rth.dk/resources/bsgatlas/details.php?id=BSGatlas-TSS-2548","BSGatlas-TSS-2548")</f>
        <v>BSGatlas-TSS-2548</v>
      </c>
      <c r="B2549" s="3">
        <v>3212570</v>
      </c>
      <c r="C2549" s="1" t="s">
        <v>9</v>
      </c>
      <c r="D2549" s="1">
        <v>0</v>
      </c>
      <c r="E2549" s="1" t="s">
        <v>14725</v>
      </c>
      <c r="F2549" s="6" t="s">
        <v>15053</v>
      </c>
      <c r="G2549" s="1" t="s">
        <v>14730</v>
      </c>
    </row>
    <row r="2550" spans="1:7" ht="21" x14ac:dyDescent="0.25">
      <c r="A2550" s="2" t="str">
        <f>HYPERLINK("https://rth.dk/resources/bsgatlas/details.php?id=BSGatlas-TSS-2549","BSGatlas-TSS-2549")</f>
        <v>BSGatlas-TSS-2549</v>
      </c>
      <c r="B2550" s="3">
        <v>3212624</v>
      </c>
      <c r="C2550" s="1" t="s">
        <v>13</v>
      </c>
      <c r="D2550" s="1">
        <v>22</v>
      </c>
      <c r="E2550" s="1" t="s">
        <v>14722</v>
      </c>
      <c r="F2550" s="6"/>
      <c r="G2550" s="1" t="s">
        <v>14726</v>
      </c>
    </row>
    <row r="2551" spans="1:7" ht="21" x14ac:dyDescent="0.25">
      <c r="A2551" s="2" t="str">
        <f>HYPERLINK("https://rth.dk/resources/bsgatlas/details.php?id=BSGatlas-TSS-2550","BSGatlas-TSS-2550")</f>
        <v>BSGatlas-TSS-2550</v>
      </c>
      <c r="B2551" s="3">
        <v>3214302</v>
      </c>
      <c r="C2551" s="1" t="s">
        <v>13</v>
      </c>
      <c r="D2551" s="1">
        <v>22</v>
      </c>
      <c r="E2551" s="1" t="s">
        <v>14734</v>
      </c>
      <c r="F2551" s="6"/>
      <c r="G2551" s="1" t="s">
        <v>14726</v>
      </c>
    </row>
    <row r="2552" spans="1:7" ht="21" x14ac:dyDescent="0.25">
      <c r="A2552" s="2" t="str">
        <f>HYPERLINK("https://rth.dk/resources/bsgatlas/details.php?id=BSGatlas-TSS-2551","BSGatlas-TSS-2551")</f>
        <v>BSGatlas-TSS-2551</v>
      </c>
      <c r="B2552" s="3">
        <v>3215349</v>
      </c>
      <c r="C2552" s="1" t="s">
        <v>13</v>
      </c>
      <c r="D2552" s="1">
        <v>22</v>
      </c>
      <c r="E2552" s="1" t="s">
        <v>14722</v>
      </c>
      <c r="F2552" s="6"/>
      <c r="G2552" s="1" t="s">
        <v>14726</v>
      </c>
    </row>
    <row r="2553" spans="1:7" ht="21" x14ac:dyDescent="0.25">
      <c r="A2553" s="2" t="str">
        <f>HYPERLINK("https://rth.dk/resources/bsgatlas/details.php?id=BSGatlas-TSS-2552","BSGatlas-TSS-2552")</f>
        <v>BSGatlas-TSS-2552</v>
      </c>
      <c r="B2553" s="3">
        <v>3216078</v>
      </c>
      <c r="C2553" s="1" t="s">
        <v>13</v>
      </c>
      <c r="D2553" s="1">
        <v>22</v>
      </c>
      <c r="E2553" s="1" t="s">
        <v>14727</v>
      </c>
      <c r="F2553" s="6"/>
      <c r="G2553" s="1" t="s">
        <v>14726</v>
      </c>
    </row>
    <row r="2554" spans="1:7" ht="21" x14ac:dyDescent="0.25">
      <c r="A2554" s="2" t="str">
        <f>HYPERLINK("https://rth.dk/resources/bsgatlas/details.php?id=BSGatlas-TSS-2553","BSGatlas-TSS-2553")</f>
        <v>BSGatlas-TSS-2553</v>
      </c>
      <c r="B2554" s="3">
        <v>3217007</v>
      </c>
      <c r="C2554" s="1" t="s">
        <v>9</v>
      </c>
      <c r="D2554" s="1">
        <v>22</v>
      </c>
      <c r="E2554" s="1" t="s">
        <v>14734</v>
      </c>
      <c r="F2554" s="6"/>
      <c r="G2554" s="1" t="s">
        <v>14726</v>
      </c>
    </row>
    <row r="2555" spans="1:7" ht="21" x14ac:dyDescent="0.25">
      <c r="A2555" s="2" t="str">
        <f>HYPERLINK("https://rth.dk/resources/bsgatlas/details.php?id=BSGatlas-TSS-2554","BSGatlas-TSS-2554")</f>
        <v>BSGatlas-TSS-2554</v>
      </c>
      <c r="B2555" s="3">
        <v>3218229</v>
      </c>
      <c r="C2555" s="1" t="s">
        <v>13</v>
      </c>
      <c r="D2555" s="1">
        <v>22</v>
      </c>
      <c r="E2555" s="1" t="s">
        <v>14722</v>
      </c>
      <c r="F2555" s="6"/>
      <c r="G2555" s="1" t="s">
        <v>14726</v>
      </c>
    </row>
    <row r="2556" spans="1:7" ht="21" x14ac:dyDescent="0.25">
      <c r="A2556" s="2" t="str">
        <f>HYPERLINK("https://rth.dk/resources/bsgatlas/details.php?id=BSGatlas-TSS-2555","BSGatlas-TSS-2555")</f>
        <v>BSGatlas-TSS-2555</v>
      </c>
      <c r="B2556" s="3">
        <v>3218504</v>
      </c>
      <c r="C2556" s="1" t="s">
        <v>13</v>
      </c>
      <c r="D2556" s="1">
        <v>22</v>
      </c>
      <c r="E2556" s="1" t="s">
        <v>14727</v>
      </c>
      <c r="F2556" s="6"/>
      <c r="G2556" s="1" t="s">
        <v>14726</v>
      </c>
    </row>
    <row r="2557" spans="1:7" ht="21" x14ac:dyDescent="0.25">
      <c r="A2557" s="2" t="str">
        <f>HYPERLINK("https://rth.dk/resources/bsgatlas/details.php?id=BSGatlas-TSS-2556","BSGatlas-TSS-2556")</f>
        <v>BSGatlas-TSS-2556</v>
      </c>
      <c r="B2557" s="3">
        <v>3218574</v>
      </c>
      <c r="C2557" s="1" t="s">
        <v>9</v>
      </c>
      <c r="D2557" s="1">
        <v>22</v>
      </c>
      <c r="E2557" s="1" t="s">
        <v>14720</v>
      </c>
      <c r="F2557" s="6"/>
      <c r="G2557" s="1" t="s">
        <v>14726</v>
      </c>
    </row>
    <row r="2558" spans="1:7" ht="21" x14ac:dyDescent="0.25">
      <c r="A2558" s="2" t="str">
        <f>HYPERLINK("https://rth.dk/resources/bsgatlas/details.php?id=BSGatlas-TSS-2557","BSGatlas-TSS-2557")</f>
        <v>BSGatlas-TSS-2557</v>
      </c>
      <c r="B2558" s="3">
        <v>3220915</v>
      </c>
      <c r="C2558" s="1" t="s">
        <v>13</v>
      </c>
      <c r="D2558" s="1">
        <v>22</v>
      </c>
      <c r="E2558" s="1" t="s">
        <v>14727</v>
      </c>
      <c r="F2558" s="6"/>
      <c r="G2558" s="1" t="s">
        <v>14726</v>
      </c>
    </row>
    <row r="2559" spans="1:7" ht="21" x14ac:dyDescent="0.25">
      <c r="A2559" s="2" t="str">
        <f>HYPERLINK("https://rth.dk/resources/bsgatlas/details.php?id=BSGatlas-TSS-2558","BSGatlas-TSS-2558")</f>
        <v>BSGatlas-TSS-2558</v>
      </c>
      <c r="B2559" s="3">
        <v>3222056</v>
      </c>
      <c r="C2559" s="1" t="s">
        <v>13</v>
      </c>
      <c r="D2559" s="1">
        <v>22</v>
      </c>
      <c r="E2559" s="1" t="s">
        <v>14720</v>
      </c>
      <c r="F2559" s="6"/>
      <c r="G2559" s="1" t="s">
        <v>14726</v>
      </c>
    </row>
    <row r="2560" spans="1:7" ht="21" x14ac:dyDescent="0.25">
      <c r="A2560" s="2" t="str">
        <f>HYPERLINK("https://rth.dk/resources/bsgatlas/details.php?id=BSGatlas-TSS-2559","BSGatlas-TSS-2559")</f>
        <v>BSGatlas-TSS-2559</v>
      </c>
      <c r="B2560" s="3">
        <v>3222121</v>
      </c>
      <c r="C2560" s="1" t="s">
        <v>13</v>
      </c>
      <c r="D2560" s="1">
        <v>22</v>
      </c>
      <c r="E2560" s="1" t="s">
        <v>14722</v>
      </c>
      <c r="F2560" s="6"/>
      <c r="G2560" s="1" t="s">
        <v>14726</v>
      </c>
    </row>
    <row r="2561" spans="1:7" ht="21" x14ac:dyDescent="0.25">
      <c r="A2561" s="2" t="str">
        <f>HYPERLINK("https://rth.dk/resources/bsgatlas/details.php?id=BSGatlas-TSS-2560","BSGatlas-TSS-2560")</f>
        <v>BSGatlas-TSS-2560</v>
      </c>
      <c r="B2561" s="3">
        <v>3223413</v>
      </c>
      <c r="C2561" s="1" t="s">
        <v>13</v>
      </c>
      <c r="D2561" s="1">
        <v>22</v>
      </c>
      <c r="E2561" s="1" t="s">
        <v>14722</v>
      </c>
      <c r="F2561" s="6"/>
      <c r="G2561" s="1" t="s">
        <v>14726</v>
      </c>
    </row>
    <row r="2562" spans="1:7" ht="21" x14ac:dyDescent="0.25">
      <c r="A2562" s="2" t="str">
        <f>HYPERLINK("https://rth.dk/resources/bsgatlas/details.php?id=BSGatlas-TSS-2561","BSGatlas-TSS-2561")</f>
        <v>BSGatlas-TSS-2561</v>
      </c>
      <c r="B2562" s="3">
        <v>3224667</v>
      </c>
      <c r="C2562" s="1" t="s">
        <v>13</v>
      </c>
      <c r="D2562" s="1">
        <v>22</v>
      </c>
      <c r="E2562" s="1" t="s">
        <v>14722</v>
      </c>
      <c r="F2562" s="6"/>
      <c r="G2562" s="1" t="s">
        <v>14726</v>
      </c>
    </row>
    <row r="2563" spans="1:7" ht="21" x14ac:dyDescent="0.25">
      <c r="A2563" s="2" t="str">
        <f>HYPERLINK("https://rth.dk/resources/bsgatlas/details.php?id=BSGatlas-TSS-2562","BSGatlas-TSS-2562")</f>
        <v>BSGatlas-TSS-2562</v>
      </c>
      <c r="B2563" s="3">
        <v>3224751</v>
      </c>
      <c r="C2563" s="1" t="s">
        <v>9</v>
      </c>
      <c r="D2563" s="1">
        <v>22</v>
      </c>
      <c r="E2563" s="1" t="s">
        <v>14734</v>
      </c>
      <c r="F2563" s="6"/>
      <c r="G2563" s="1" t="s">
        <v>14733</v>
      </c>
    </row>
    <row r="2564" spans="1:7" ht="21" x14ac:dyDescent="0.25">
      <c r="A2564" s="2" t="str">
        <f>HYPERLINK("https://rth.dk/resources/bsgatlas/details.php?id=BSGatlas-TSS-2563","BSGatlas-TSS-2563")</f>
        <v>BSGatlas-TSS-2563</v>
      </c>
      <c r="B2564" s="3">
        <v>3224824</v>
      </c>
      <c r="C2564" s="1" t="s">
        <v>13</v>
      </c>
      <c r="D2564" s="1">
        <v>22</v>
      </c>
      <c r="E2564" s="1" t="s">
        <v>14732</v>
      </c>
      <c r="F2564" s="6"/>
      <c r="G2564" s="1" t="s">
        <v>14733</v>
      </c>
    </row>
    <row r="2565" spans="1:7" ht="21" x14ac:dyDescent="0.25">
      <c r="A2565" s="2" t="str">
        <f>HYPERLINK("https://rth.dk/resources/bsgatlas/details.php?id=BSGatlas-TSS-2564","BSGatlas-TSS-2564")</f>
        <v>BSGatlas-TSS-2564</v>
      </c>
      <c r="B2565" s="3">
        <v>3224832</v>
      </c>
      <c r="C2565" s="1" t="s">
        <v>9</v>
      </c>
      <c r="D2565" s="1">
        <v>0</v>
      </c>
      <c r="E2565" s="1" t="s">
        <v>14743</v>
      </c>
      <c r="F2565" s="6">
        <v>16497325</v>
      </c>
      <c r="G2565" s="1" t="s">
        <v>14730</v>
      </c>
    </row>
    <row r="2566" spans="1:7" ht="21" x14ac:dyDescent="0.25">
      <c r="A2566" s="2" t="str">
        <f>HYPERLINK("https://rth.dk/resources/bsgatlas/details.php?id=BSGatlas-TSS-2565","BSGatlas-TSS-2565")</f>
        <v>BSGatlas-TSS-2565</v>
      </c>
      <c r="B2566" s="3">
        <v>3225619</v>
      </c>
      <c r="C2566" s="1" t="s">
        <v>13</v>
      </c>
      <c r="D2566" s="1">
        <v>22</v>
      </c>
      <c r="E2566" s="1" t="s">
        <v>14722</v>
      </c>
      <c r="F2566" s="6"/>
      <c r="G2566" s="1" t="s">
        <v>14726</v>
      </c>
    </row>
    <row r="2567" spans="1:7" ht="21" x14ac:dyDescent="0.25">
      <c r="A2567" s="2" t="str">
        <f>HYPERLINK("https://rth.dk/resources/bsgatlas/details.php?id=BSGatlas-TSS-2566","BSGatlas-TSS-2566")</f>
        <v>BSGatlas-TSS-2566</v>
      </c>
      <c r="B2567" s="3">
        <v>3225687</v>
      </c>
      <c r="C2567" s="1" t="s">
        <v>9</v>
      </c>
      <c r="D2567" s="1">
        <v>22</v>
      </c>
      <c r="E2567" s="1" t="s">
        <v>14734</v>
      </c>
      <c r="F2567" s="6"/>
      <c r="G2567" s="1" t="s">
        <v>14726</v>
      </c>
    </row>
    <row r="2568" spans="1:7" ht="21" x14ac:dyDescent="0.25">
      <c r="A2568" s="2" t="str">
        <f>HYPERLINK("https://rth.dk/resources/bsgatlas/details.php?id=BSGatlas-TSS-2567","BSGatlas-TSS-2567")</f>
        <v>BSGatlas-TSS-2567</v>
      </c>
      <c r="B2568" s="3">
        <v>3226842</v>
      </c>
      <c r="C2568" s="1" t="s">
        <v>9</v>
      </c>
      <c r="D2568" s="1">
        <v>22</v>
      </c>
      <c r="E2568" s="1" t="s">
        <v>14720</v>
      </c>
      <c r="F2568" s="6"/>
      <c r="G2568" s="1" t="s">
        <v>14726</v>
      </c>
    </row>
    <row r="2569" spans="1:7" ht="21" x14ac:dyDescent="0.25">
      <c r="A2569" s="2" t="str">
        <f>HYPERLINK("https://rth.dk/resources/bsgatlas/details.php?id=BSGatlas-TSS-2568","BSGatlas-TSS-2568")</f>
        <v>BSGatlas-TSS-2568</v>
      </c>
      <c r="B2569" s="3">
        <v>3227484</v>
      </c>
      <c r="C2569" s="1" t="s">
        <v>13</v>
      </c>
      <c r="D2569" s="1">
        <v>22</v>
      </c>
      <c r="E2569" s="1" t="s">
        <v>14722</v>
      </c>
      <c r="F2569" s="6"/>
      <c r="G2569" s="1" t="s">
        <v>14726</v>
      </c>
    </row>
    <row r="2570" spans="1:7" ht="21" x14ac:dyDescent="0.25">
      <c r="A2570" s="2" t="str">
        <f>HYPERLINK("https://rth.dk/resources/bsgatlas/details.php?id=BSGatlas-TSS-2569","BSGatlas-TSS-2569")</f>
        <v>BSGatlas-TSS-2569</v>
      </c>
      <c r="B2570" s="3">
        <v>3227490</v>
      </c>
      <c r="C2570" s="1" t="s">
        <v>9</v>
      </c>
      <c r="D2570" s="1">
        <v>22</v>
      </c>
      <c r="E2570" s="1" t="s">
        <v>14732</v>
      </c>
      <c r="F2570" s="6"/>
      <c r="G2570" s="1" t="s">
        <v>14733</v>
      </c>
    </row>
    <row r="2571" spans="1:7" ht="21" x14ac:dyDescent="0.25">
      <c r="A2571" s="2" t="str">
        <f>HYPERLINK("https://rth.dk/resources/bsgatlas/details.php?id=BSGatlas-TSS-2570","BSGatlas-TSS-2570")</f>
        <v>BSGatlas-TSS-2570</v>
      </c>
      <c r="B2571" s="3">
        <v>3228711</v>
      </c>
      <c r="C2571" s="1" t="s">
        <v>9</v>
      </c>
      <c r="D2571" s="1">
        <v>22</v>
      </c>
      <c r="E2571" s="1" t="s">
        <v>14722</v>
      </c>
      <c r="F2571" s="6"/>
      <c r="G2571" s="1" t="s">
        <v>14733</v>
      </c>
    </row>
    <row r="2572" spans="1:7" ht="21" x14ac:dyDescent="0.25">
      <c r="A2572" s="2" t="str">
        <f>HYPERLINK("https://rth.dk/resources/bsgatlas/details.php?id=BSGatlas-TSS-2571","BSGatlas-TSS-2571")</f>
        <v>BSGatlas-TSS-2571</v>
      </c>
      <c r="B2572" s="3">
        <v>3228722</v>
      </c>
      <c r="C2572" s="1" t="s">
        <v>13</v>
      </c>
      <c r="D2572" s="1">
        <v>22</v>
      </c>
      <c r="E2572" s="1" t="s">
        <v>14722</v>
      </c>
      <c r="F2572" s="6"/>
      <c r="G2572" s="1" t="s">
        <v>14726</v>
      </c>
    </row>
    <row r="2573" spans="1:7" ht="21" x14ac:dyDescent="0.25">
      <c r="A2573" s="2" t="str">
        <f>HYPERLINK("https://rth.dk/resources/bsgatlas/details.php?id=BSGatlas-TSS-2572","BSGatlas-TSS-2572")</f>
        <v>BSGatlas-TSS-2572</v>
      </c>
      <c r="B2573" s="3">
        <v>3230039</v>
      </c>
      <c r="C2573" s="1" t="s">
        <v>9</v>
      </c>
      <c r="D2573" s="1">
        <v>0</v>
      </c>
      <c r="E2573" s="1" t="s">
        <v>14722</v>
      </c>
      <c r="F2573" s="6" t="s">
        <v>15054</v>
      </c>
      <c r="G2573" s="1" t="s">
        <v>14729</v>
      </c>
    </row>
    <row r="2574" spans="1:7" ht="21" x14ac:dyDescent="0.25">
      <c r="A2574" s="2" t="str">
        <f>HYPERLINK("https://rth.dk/resources/bsgatlas/details.php?id=BSGatlas-TSS-2573","BSGatlas-TSS-2573")</f>
        <v>BSGatlas-TSS-2573</v>
      </c>
      <c r="B2574" s="3">
        <v>3231370</v>
      </c>
      <c r="C2574" s="1" t="s">
        <v>9</v>
      </c>
      <c r="D2574" s="1">
        <v>22</v>
      </c>
      <c r="E2574" s="1" t="s">
        <v>14722</v>
      </c>
      <c r="F2574" s="6"/>
      <c r="G2574" s="1" t="s">
        <v>14726</v>
      </c>
    </row>
    <row r="2575" spans="1:7" ht="21" x14ac:dyDescent="0.25">
      <c r="A2575" s="2" t="str">
        <f>HYPERLINK("https://rth.dk/resources/bsgatlas/details.php?id=BSGatlas-TSS-2574","BSGatlas-TSS-2574")</f>
        <v>BSGatlas-TSS-2574</v>
      </c>
      <c r="B2575" s="3">
        <v>3232481</v>
      </c>
      <c r="C2575" s="1" t="s">
        <v>13</v>
      </c>
      <c r="D2575" s="1">
        <v>22</v>
      </c>
      <c r="E2575" s="1" t="s">
        <v>14727</v>
      </c>
      <c r="F2575" s="6"/>
      <c r="G2575" s="1" t="s">
        <v>14726</v>
      </c>
    </row>
    <row r="2576" spans="1:7" ht="21" x14ac:dyDescent="0.25">
      <c r="A2576" s="2" t="str">
        <f>HYPERLINK("https://rth.dk/resources/bsgatlas/details.php?id=BSGatlas-TSS-2575","BSGatlas-TSS-2575")</f>
        <v>BSGatlas-TSS-2575</v>
      </c>
      <c r="B2576" s="3">
        <v>3232574</v>
      </c>
      <c r="C2576" s="1" t="s">
        <v>9</v>
      </c>
      <c r="D2576" s="1">
        <v>22</v>
      </c>
      <c r="E2576" s="1" t="s">
        <v>14722</v>
      </c>
      <c r="F2576" s="6"/>
      <c r="G2576" s="1" t="s">
        <v>14726</v>
      </c>
    </row>
    <row r="2577" spans="1:7" ht="21" x14ac:dyDescent="0.25">
      <c r="A2577" s="2" t="str">
        <f>HYPERLINK("https://rth.dk/resources/bsgatlas/details.php?id=BSGatlas-TSS-2576","BSGatlas-TSS-2576")</f>
        <v>BSGatlas-TSS-2576</v>
      </c>
      <c r="B2577" s="3">
        <v>3233891</v>
      </c>
      <c r="C2577" s="1" t="s">
        <v>9</v>
      </c>
      <c r="D2577" s="1">
        <v>0</v>
      </c>
      <c r="E2577" s="1" t="s">
        <v>14722</v>
      </c>
      <c r="F2577" s="6" t="s">
        <v>15055</v>
      </c>
      <c r="G2577" s="1" t="s">
        <v>14729</v>
      </c>
    </row>
    <row r="2578" spans="1:7" ht="21" x14ac:dyDescent="0.25">
      <c r="A2578" s="2" t="str">
        <f>HYPERLINK("https://rth.dk/resources/bsgatlas/details.php?id=BSGatlas-TSS-2577","BSGatlas-TSS-2577")</f>
        <v>BSGatlas-TSS-2577</v>
      </c>
      <c r="B2578" s="3">
        <v>3234571</v>
      </c>
      <c r="C2578" s="1" t="s">
        <v>13</v>
      </c>
      <c r="D2578" s="1">
        <v>22</v>
      </c>
      <c r="E2578" s="1" t="s">
        <v>14725</v>
      </c>
      <c r="F2578" s="6"/>
      <c r="G2578" s="1" t="s">
        <v>14733</v>
      </c>
    </row>
    <row r="2579" spans="1:7" ht="21" x14ac:dyDescent="0.25">
      <c r="A2579" s="2" t="str">
        <f>HYPERLINK("https://rth.dk/resources/bsgatlas/details.php?id=BSGatlas-TSS-2578","BSGatlas-TSS-2578")</f>
        <v>BSGatlas-TSS-2578</v>
      </c>
      <c r="B2579" s="3">
        <v>3236453</v>
      </c>
      <c r="C2579" s="1" t="s">
        <v>9</v>
      </c>
      <c r="D2579" s="1">
        <v>22</v>
      </c>
      <c r="E2579" s="1" t="s">
        <v>14722</v>
      </c>
      <c r="F2579" s="6"/>
      <c r="G2579" s="1" t="s">
        <v>14733</v>
      </c>
    </row>
    <row r="2580" spans="1:7" ht="21" x14ac:dyDescent="0.25">
      <c r="A2580" s="2" t="str">
        <f>HYPERLINK("https://rth.dk/resources/bsgatlas/details.php?id=BSGatlas-TSS-2579","BSGatlas-TSS-2579")</f>
        <v>BSGatlas-TSS-2579</v>
      </c>
      <c r="B2580" s="3">
        <v>3237013</v>
      </c>
      <c r="C2580" s="1" t="s">
        <v>13</v>
      </c>
      <c r="D2580" s="1">
        <v>22</v>
      </c>
      <c r="E2580" s="1" t="s">
        <v>14722</v>
      </c>
      <c r="F2580" s="6"/>
      <c r="G2580" s="1" t="s">
        <v>14726</v>
      </c>
    </row>
    <row r="2581" spans="1:7" ht="21" x14ac:dyDescent="0.25">
      <c r="A2581" s="2" t="str">
        <f>HYPERLINK("https://rth.dk/resources/bsgatlas/details.php?id=BSGatlas-TSS-2580","BSGatlas-TSS-2580")</f>
        <v>BSGatlas-TSS-2580</v>
      </c>
      <c r="B2581" s="3">
        <v>3239640</v>
      </c>
      <c r="C2581" s="1" t="s">
        <v>9</v>
      </c>
      <c r="D2581" s="1">
        <v>22</v>
      </c>
      <c r="E2581" s="1" t="s">
        <v>14722</v>
      </c>
      <c r="F2581" s="6"/>
      <c r="G2581" s="1" t="s">
        <v>14733</v>
      </c>
    </row>
    <row r="2582" spans="1:7" ht="21" x14ac:dyDescent="0.25">
      <c r="A2582" s="2" t="str">
        <f>HYPERLINK("https://rth.dk/resources/bsgatlas/details.php?id=BSGatlas-TSS-2581","BSGatlas-TSS-2581")</f>
        <v>BSGatlas-TSS-2581</v>
      </c>
      <c r="B2582" s="3">
        <v>3244743</v>
      </c>
      <c r="C2582" s="1" t="s">
        <v>9</v>
      </c>
      <c r="D2582" s="1">
        <v>0</v>
      </c>
      <c r="E2582" s="1" t="s">
        <v>14722</v>
      </c>
      <c r="F2582" s="6" t="s">
        <v>15056</v>
      </c>
      <c r="G2582" s="1" t="s">
        <v>14729</v>
      </c>
    </row>
    <row r="2583" spans="1:7" ht="21" x14ac:dyDescent="0.25">
      <c r="A2583" s="2" t="str">
        <f>HYPERLINK("https://rth.dk/resources/bsgatlas/details.php?id=BSGatlas-TSS-2582","BSGatlas-TSS-2582")</f>
        <v>BSGatlas-TSS-2582</v>
      </c>
      <c r="B2583" s="3">
        <v>3246331</v>
      </c>
      <c r="C2583" s="1" t="s">
        <v>9</v>
      </c>
      <c r="D2583" s="1">
        <v>22</v>
      </c>
      <c r="E2583" s="1" t="s">
        <v>14732</v>
      </c>
      <c r="F2583" s="6"/>
      <c r="G2583" s="1" t="s">
        <v>14726</v>
      </c>
    </row>
    <row r="2584" spans="1:7" ht="21" x14ac:dyDescent="0.25">
      <c r="A2584" s="2" t="str">
        <f>HYPERLINK("https://rth.dk/resources/bsgatlas/details.php?id=BSGatlas-TSS-2583","BSGatlas-TSS-2583")</f>
        <v>BSGatlas-TSS-2583</v>
      </c>
      <c r="B2584" s="3">
        <v>3246385</v>
      </c>
      <c r="C2584" s="1" t="s">
        <v>13</v>
      </c>
      <c r="D2584" s="1">
        <v>22</v>
      </c>
      <c r="E2584" s="1" t="s">
        <v>14727</v>
      </c>
      <c r="F2584" s="6"/>
      <c r="G2584" s="1" t="s">
        <v>14726</v>
      </c>
    </row>
    <row r="2585" spans="1:7" ht="21" x14ac:dyDescent="0.25">
      <c r="A2585" s="2" t="str">
        <f>HYPERLINK("https://rth.dk/resources/bsgatlas/details.php?id=BSGatlas-TSS-2584","BSGatlas-TSS-2584")</f>
        <v>BSGatlas-TSS-2584</v>
      </c>
      <c r="B2585" s="3">
        <v>3246432</v>
      </c>
      <c r="C2585" s="1" t="s">
        <v>9</v>
      </c>
      <c r="D2585" s="1">
        <v>22</v>
      </c>
      <c r="E2585" s="1" t="s">
        <v>14722</v>
      </c>
      <c r="F2585" s="6"/>
      <c r="G2585" s="1" t="s">
        <v>14733</v>
      </c>
    </row>
    <row r="2586" spans="1:7" ht="21" x14ac:dyDescent="0.25">
      <c r="A2586" s="2" t="str">
        <f>HYPERLINK("https://rth.dk/resources/bsgatlas/details.php?id=BSGatlas-TSS-2585","BSGatlas-TSS-2585")</f>
        <v>BSGatlas-TSS-2585</v>
      </c>
      <c r="B2586" s="3">
        <v>3246529</v>
      </c>
      <c r="C2586" s="1" t="s">
        <v>9</v>
      </c>
      <c r="D2586" s="1">
        <v>22</v>
      </c>
      <c r="E2586" s="1" t="s">
        <v>14722</v>
      </c>
      <c r="F2586" s="6"/>
      <c r="G2586" s="1" t="s">
        <v>14733</v>
      </c>
    </row>
    <row r="2587" spans="1:7" ht="21" x14ac:dyDescent="0.25">
      <c r="A2587" s="2" t="str">
        <f>HYPERLINK("https://rth.dk/resources/bsgatlas/details.php?id=BSGatlas-TSS-2586","BSGatlas-TSS-2586")</f>
        <v>BSGatlas-TSS-2586</v>
      </c>
      <c r="B2587" s="3">
        <v>3249719</v>
      </c>
      <c r="C2587" s="1" t="s">
        <v>9</v>
      </c>
      <c r="D2587" s="1">
        <v>22</v>
      </c>
      <c r="E2587" s="1" t="s">
        <v>14720</v>
      </c>
      <c r="F2587" s="6"/>
      <c r="G2587" s="1" t="s">
        <v>14726</v>
      </c>
    </row>
    <row r="2588" spans="1:7" ht="21" x14ac:dyDescent="0.25">
      <c r="A2588" s="2" t="str">
        <f>HYPERLINK("https://rth.dk/resources/bsgatlas/details.php?id=BSGatlas-TSS-2587","BSGatlas-TSS-2587")</f>
        <v>BSGatlas-TSS-2587</v>
      </c>
      <c r="B2588" s="3">
        <v>3253474</v>
      </c>
      <c r="C2588" s="1" t="s">
        <v>13</v>
      </c>
      <c r="D2588" s="1">
        <v>0</v>
      </c>
      <c r="E2588" s="1" t="s">
        <v>14722</v>
      </c>
      <c r="F2588" s="6" t="s">
        <v>15057</v>
      </c>
      <c r="G2588" s="1" t="s">
        <v>4382</v>
      </c>
    </row>
    <row r="2589" spans="1:7" ht="21" x14ac:dyDescent="0.25">
      <c r="A2589" s="2" t="str">
        <f>HYPERLINK("https://rth.dk/resources/bsgatlas/details.php?id=BSGatlas-TSS-2588","BSGatlas-TSS-2588")</f>
        <v>BSGatlas-TSS-2588</v>
      </c>
      <c r="B2589" s="3">
        <v>3254559</v>
      </c>
      <c r="C2589" s="1" t="s">
        <v>9</v>
      </c>
      <c r="D2589" s="1">
        <v>22</v>
      </c>
      <c r="E2589" s="1" t="s">
        <v>14722</v>
      </c>
      <c r="F2589" s="6"/>
      <c r="G2589" s="1" t="s">
        <v>14726</v>
      </c>
    </row>
    <row r="2590" spans="1:7" ht="21" x14ac:dyDescent="0.25">
      <c r="A2590" s="2" t="str">
        <f>HYPERLINK("https://rth.dk/resources/bsgatlas/details.php?id=BSGatlas-TSS-2589","BSGatlas-TSS-2589")</f>
        <v>BSGatlas-TSS-2589</v>
      </c>
      <c r="B2590" s="3">
        <v>3255432</v>
      </c>
      <c r="C2590" s="1" t="s">
        <v>9</v>
      </c>
      <c r="D2590" s="1">
        <v>22</v>
      </c>
      <c r="E2590" s="1" t="s">
        <v>14722</v>
      </c>
      <c r="F2590" s="6"/>
      <c r="G2590" s="1" t="s">
        <v>14726</v>
      </c>
    </row>
    <row r="2591" spans="1:7" ht="21" x14ac:dyDescent="0.25">
      <c r="A2591" s="2" t="str">
        <f>HYPERLINK("https://rth.dk/resources/bsgatlas/details.php?id=BSGatlas-TSS-2590","BSGatlas-TSS-2590")</f>
        <v>BSGatlas-TSS-2590</v>
      </c>
      <c r="B2591" s="3">
        <v>3256967</v>
      </c>
      <c r="C2591" s="1" t="s">
        <v>13</v>
      </c>
      <c r="D2591" s="1">
        <v>0</v>
      </c>
      <c r="E2591" s="1" t="s">
        <v>14722</v>
      </c>
      <c r="F2591" s="6" t="s">
        <v>15058</v>
      </c>
      <c r="G2591" s="1" t="s">
        <v>4382</v>
      </c>
    </row>
    <row r="2592" spans="1:7" ht="21" x14ac:dyDescent="0.25">
      <c r="A2592" s="2" t="str">
        <f>HYPERLINK("https://rth.dk/resources/bsgatlas/details.php?id=BSGatlas-TSS-2591","BSGatlas-TSS-2591")</f>
        <v>BSGatlas-TSS-2591</v>
      </c>
      <c r="B2592" s="3">
        <v>3257021</v>
      </c>
      <c r="C2592" s="1" t="s">
        <v>13</v>
      </c>
      <c r="D2592" s="1">
        <v>22</v>
      </c>
      <c r="E2592" s="1" t="s">
        <v>14722</v>
      </c>
      <c r="F2592" s="6"/>
      <c r="G2592" s="1" t="s">
        <v>14733</v>
      </c>
    </row>
    <row r="2593" spans="1:7" ht="21" x14ac:dyDescent="0.25">
      <c r="A2593" s="2" t="str">
        <f>HYPERLINK("https://rth.dk/resources/bsgatlas/details.php?id=BSGatlas-TSS-2592","BSGatlas-TSS-2592")</f>
        <v>BSGatlas-TSS-2592</v>
      </c>
      <c r="B2593" s="3">
        <v>3257307</v>
      </c>
      <c r="C2593" s="1" t="s">
        <v>13</v>
      </c>
      <c r="D2593" s="1">
        <v>0</v>
      </c>
      <c r="E2593" s="1" t="s">
        <v>14722</v>
      </c>
      <c r="F2593" s="6" t="s">
        <v>15059</v>
      </c>
      <c r="G2593" s="1" t="s">
        <v>14724</v>
      </c>
    </row>
    <row r="2594" spans="1:7" ht="21" x14ac:dyDescent="0.25">
      <c r="A2594" s="2" t="str">
        <f>HYPERLINK("https://rth.dk/resources/bsgatlas/details.php?id=BSGatlas-TSS-2593","BSGatlas-TSS-2593")</f>
        <v>BSGatlas-TSS-2593</v>
      </c>
      <c r="B2594" s="3">
        <v>3257429</v>
      </c>
      <c r="C2594" s="1" t="s">
        <v>13</v>
      </c>
      <c r="D2594" s="1">
        <v>22</v>
      </c>
      <c r="E2594" s="1" t="s">
        <v>14727</v>
      </c>
      <c r="F2594" s="6"/>
      <c r="G2594" s="1" t="s">
        <v>14726</v>
      </c>
    </row>
    <row r="2595" spans="1:7" ht="21" x14ac:dyDescent="0.25">
      <c r="A2595" s="2" t="str">
        <f>HYPERLINK("https://rth.dk/resources/bsgatlas/details.php?id=BSGatlas-TSS-2594","BSGatlas-TSS-2594")</f>
        <v>BSGatlas-TSS-2594</v>
      </c>
      <c r="B2595" s="3">
        <v>3257666</v>
      </c>
      <c r="C2595" s="1" t="s">
        <v>9</v>
      </c>
      <c r="D2595" s="1">
        <v>0</v>
      </c>
      <c r="E2595" s="1" t="s">
        <v>14735</v>
      </c>
      <c r="F2595" s="6" t="s">
        <v>14807</v>
      </c>
      <c r="G2595" s="1" t="s">
        <v>14729</v>
      </c>
    </row>
    <row r="2596" spans="1:7" ht="21" x14ac:dyDescent="0.25">
      <c r="A2596" s="2" t="str">
        <f>HYPERLINK("https://rth.dk/resources/bsgatlas/details.php?id=BSGatlas-TSS-2595","BSGatlas-TSS-2595")</f>
        <v>BSGatlas-TSS-2595</v>
      </c>
      <c r="B2596" s="3">
        <v>3259299</v>
      </c>
      <c r="C2596" s="1" t="s">
        <v>13</v>
      </c>
      <c r="D2596" s="1">
        <v>0</v>
      </c>
      <c r="E2596" s="1" t="s">
        <v>14722</v>
      </c>
      <c r="F2596" s="6" t="s">
        <v>15057</v>
      </c>
      <c r="G2596" s="1" t="s">
        <v>14729</v>
      </c>
    </row>
    <row r="2597" spans="1:7" ht="21" x14ac:dyDescent="0.25">
      <c r="A2597" s="2" t="str">
        <f>HYPERLINK("https://rth.dk/resources/bsgatlas/details.php?id=BSGatlas-TSS-2596","BSGatlas-TSS-2596")</f>
        <v>BSGatlas-TSS-2596</v>
      </c>
      <c r="B2597" s="3">
        <v>3260763</v>
      </c>
      <c r="C2597" s="1" t="s">
        <v>9</v>
      </c>
      <c r="D2597" s="1">
        <v>22</v>
      </c>
      <c r="E2597" s="1" t="s">
        <v>14720</v>
      </c>
      <c r="F2597" s="6"/>
      <c r="G2597" s="1" t="s">
        <v>14726</v>
      </c>
    </row>
    <row r="2598" spans="1:7" ht="21" x14ac:dyDescent="0.25">
      <c r="A2598" s="2" t="str">
        <f>HYPERLINK("https://rth.dk/resources/bsgatlas/details.php?id=BSGatlas-TSS-2597","BSGatlas-TSS-2597")</f>
        <v>BSGatlas-TSS-2597</v>
      </c>
      <c r="B2598" s="3">
        <v>3261477</v>
      </c>
      <c r="C2598" s="1" t="s">
        <v>13</v>
      </c>
      <c r="D2598" s="1">
        <v>22</v>
      </c>
      <c r="E2598" s="1" t="s">
        <v>14722</v>
      </c>
      <c r="F2598" s="6"/>
      <c r="G2598" s="1" t="s">
        <v>14726</v>
      </c>
    </row>
    <row r="2599" spans="1:7" ht="21" x14ac:dyDescent="0.25">
      <c r="A2599" s="2" t="str">
        <f>HYPERLINK("https://rth.dk/resources/bsgatlas/details.php?id=BSGatlas-TSS-2598","BSGatlas-TSS-2598")</f>
        <v>BSGatlas-TSS-2598</v>
      </c>
      <c r="B2599" s="3">
        <v>3262291</v>
      </c>
      <c r="C2599" s="1" t="s">
        <v>13</v>
      </c>
      <c r="D2599" s="1">
        <v>22</v>
      </c>
      <c r="E2599" s="1" t="s">
        <v>14722</v>
      </c>
      <c r="F2599" s="6"/>
      <c r="G2599" s="1" t="s">
        <v>14726</v>
      </c>
    </row>
    <row r="2600" spans="1:7" ht="21" x14ac:dyDescent="0.25">
      <c r="A2600" s="2" t="str">
        <f>HYPERLINK("https://rth.dk/resources/bsgatlas/details.php?id=BSGatlas-TSS-2599","BSGatlas-TSS-2599")</f>
        <v>BSGatlas-TSS-2599</v>
      </c>
      <c r="B2600" s="3">
        <v>3262575</v>
      </c>
      <c r="C2600" s="1" t="s">
        <v>13</v>
      </c>
      <c r="D2600" s="1">
        <v>22</v>
      </c>
      <c r="E2600" s="1" t="s">
        <v>14725</v>
      </c>
      <c r="F2600" s="6"/>
      <c r="G2600" s="1" t="s">
        <v>14726</v>
      </c>
    </row>
    <row r="2601" spans="1:7" ht="21" x14ac:dyDescent="0.25">
      <c r="A2601" s="2" t="str">
        <f>HYPERLINK("https://rth.dk/resources/bsgatlas/details.php?id=BSGatlas-TSS-2600","BSGatlas-TSS-2600")</f>
        <v>BSGatlas-TSS-2600</v>
      </c>
      <c r="B2601" s="3">
        <v>3263403</v>
      </c>
      <c r="C2601" s="1" t="s">
        <v>9</v>
      </c>
      <c r="D2601" s="1">
        <v>22</v>
      </c>
      <c r="E2601" s="1" t="s">
        <v>14722</v>
      </c>
      <c r="F2601" s="6"/>
      <c r="G2601" s="1" t="s">
        <v>14733</v>
      </c>
    </row>
    <row r="2602" spans="1:7" ht="21" x14ac:dyDescent="0.25">
      <c r="A2602" s="2" t="str">
        <f>HYPERLINK("https://rth.dk/resources/bsgatlas/details.php?id=BSGatlas-TSS-2601","BSGatlas-TSS-2601")</f>
        <v>BSGatlas-TSS-2601</v>
      </c>
      <c r="B2602" s="3">
        <v>3263784</v>
      </c>
      <c r="C2602" s="1" t="s">
        <v>13</v>
      </c>
      <c r="D2602" s="1">
        <v>22</v>
      </c>
      <c r="E2602" s="1" t="s">
        <v>14722</v>
      </c>
      <c r="F2602" s="6"/>
      <c r="G2602" s="1" t="s">
        <v>14726</v>
      </c>
    </row>
    <row r="2603" spans="1:7" ht="21" x14ac:dyDescent="0.25">
      <c r="A2603" s="2" t="str">
        <f>HYPERLINK("https://rth.dk/resources/bsgatlas/details.php?id=BSGatlas-TSS-2602","BSGatlas-TSS-2602")</f>
        <v>BSGatlas-TSS-2602</v>
      </c>
      <c r="B2603" s="3">
        <v>3263799</v>
      </c>
      <c r="C2603" s="1" t="s">
        <v>9</v>
      </c>
      <c r="D2603" s="1">
        <v>22</v>
      </c>
      <c r="E2603" s="1" t="s">
        <v>14725</v>
      </c>
      <c r="F2603" s="6"/>
      <c r="G2603" s="1" t="s">
        <v>14726</v>
      </c>
    </row>
    <row r="2604" spans="1:7" ht="21" x14ac:dyDescent="0.25">
      <c r="A2604" s="2" t="str">
        <f>HYPERLINK("https://rth.dk/resources/bsgatlas/details.php?id=BSGatlas-TSS-2603","BSGatlas-TSS-2603")</f>
        <v>BSGatlas-TSS-2603</v>
      </c>
      <c r="B2604" s="3">
        <v>3264535</v>
      </c>
      <c r="C2604" s="1" t="s">
        <v>13</v>
      </c>
      <c r="D2604" s="1">
        <v>22</v>
      </c>
      <c r="E2604" s="1" t="s">
        <v>14725</v>
      </c>
      <c r="F2604" s="6"/>
      <c r="G2604" s="1" t="s">
        <v>14726</v>
      </c>
    </row>
    <row r="2605" spans="1:7" ht="21" x14ac:dyDescent="0.25">
      <c r="A2605" s="2" t="str">
        <f>HYPERLINK("https://rth.dk/resources/bsgatlas/details.php?id=BSGatlas-TSS-2604","BSGatlas-TSS-2604")</f>
        <v>BSGatlas-TSS-2604</v>
      </c>
      <c r="B2605" s="3">
        <v>3265239</v>
      </c>
      <c r="C2605" s="1" t="s">
        <v>13</v>
      </c>
      <c r="D2605" s="1">
        <v>22</v>
      </c>
      <c r="E2605" s="1" t="s">
        <v>14722</v>
      </c>
      <c r="F2605" s="6"/>
      <c r="G2605" s="1" t="s">
        <v>14726</v>
      </c>
    </row>
    <row r="2606" spans="1:7" ht="21" x14ac:dyDescent="0.25">
      <c r="A2606" s="2" t="str">
        <f>HYPERLINK("https://rth.dk/resources/bsgatlas/details.php?id=BSGatlas-TSS-2605","BSGatlas-TSS-2605")</f>
        <v>BSGatlas-TSS-2605</v>
      </c>
      <c r="B2606" s="3">
        <v>3265329</v>
      </c>
      <c r="C2606" s="1" t="s">
        <v>13</v>
      </c>
      <c r="D2606" s="1">
        <v>22</v>
      </c>
      <c r="E2606" s="1" t="s">
        <v>14725</v>
      </c>
      <c r="F2606" s="6"/>
      <c r="G2606" s="1" t="s">
        <v>14733</v>
      </c>
    </row>
    <row r="2607" spans="1:7" ht="21" x14ac:dyDescent="0.25">
      <c r="A2607" s="2" t="str">
        <f>HYPERLINK("https://rth.dk/resources/bsgatlas/details.php?id=BSGatlas-TSS-2606","BSGatlas-TSS-2606")</f>
        <v>BSGatlas-TSS-2606</v>
      </c>
      <c r="B2607" s="3">
        <v>3266163</v>
      </c>
      <c r="C2607" s="1" t="s">
        <v>13</v>
      </c>
      <c r="D2607" s="1">
        <v>22</v>
      </c>
      <c r="E2607" s="1" t="s">
        <v>14722</v>
      </c>
      <c r="F2607" s="6"/>
      <c r="G2607" s="1" t="s">
        <v>14726</v>
      </c>
    </row>
    <row r="2608" spans="1:7" ht="21" x14ac:dyDescent="0.25">
      <c r="A2608" s="2" t="str">
        <f>HYPERLINK("https://rth.dk/resources/bsgatlas/details.php?id=BSGatlas-TSS-2607","BSGatlas-TSS-2607")</f>
        <v>BSGatlas-TSS-2607</v>
      </c>
      <c r="B2608" s="3">
        <v>3266637</v>
      </c>
      <c r="C2608" s="1" t="s">
        <v>9</v>
      </c>
      <c r="D2608" s="1">
        <v>22</v>
      </c>
      <c r="E2608" s="1" t="s">
        <v>14734</v>
      </c>
      <c r="F2608" s="6"/>
      <c r="G2608" s="1" t="s">
        <v>14726</v>
      </c>
    </row>
    <row r="2609" spans="1:7" ht="21" x14ac:dyDescent="0.25">
      <c r="A2609" s="2" t="str">
        <f>HYPERLINK("https://rth.dk/resources/bsgatlas/details.php?id=BSGatlas-TSS-2608","BSGatlas-TSS-2608")</f>
        <v>BSGatlas-TSS-2608</v>
      </c>
      <c r="B2609" s="3">
        <v>3273703</v>
      </c>
      <c r="C2609" s="1" t="s">
        <v>9</v>
      </c>
      <c r="D2609" s="1">
        <v>22</v>
      </c>
      <c r="E2609" s="1" t="s">
        <v>14734</v>
      </c>
      <c r="F2609" s="6"/>
      <c r="G2609" s="1" t="s">
        <v>14726</v>
      </c>
    </row>
    <row r="2610" spans="1:7" ht="21" x14ac:dyDescent="0.25">
      <c r="A2610" s="2" t="str">
        <f>HYPERLINK("https://rth.dk/resources/bsgatlas/details.php?id=BSGatlas-TSS-2609","BSGatlas-TSS-2609")</f>
        <v>BSGatlas-TSS-2609</v>
      </c>
      <c r="B2610" s="3">
        <v>3276494</v>
      </c>
      <c r="C2610" s="1" t="s">
        <v>9</v>
      </c>
      <c r="D2610" s="1">
        <v>22</v>
      </c>
      <c r="E2610" s="1" t="s">
        <v>14722</v>
      </c>
      <c r="F2610" s="6"/>
      <c r="G2610" s="1" t="s">
        <v>14726</v>
      </c>
    </row>
    <row r="2611" spans="1:7" ht="21" x14ac:dyDescent="0.25">
      <c r="A2611" s="2" t="str">
        <f>HYPERLINK("https://rth.dk/resources/bsgatlas/details.php?id=BSGatlas-TSS-2610","BSGatlas-TSS-2610")</f>
        <v>BSGatlas-TSS-2610</v>
      </c>
      <c r="B2611" s="3">
        <v>3276513</v>
      </c>
      <c r="C2611" s="1" t="s">
        <v>13</v>
      </c>
      <c r="D2611" s="1">
        <v>22</v>
      </c>
      <c r="E2611" s="1" t="s">
        <v>14722</v>
      </c>
      <c r="F2611" s="6"/>
      <c r="G2611" s="1" t="s">
        <v>14733</v>
      </c>
    </row>
    <row r="2612" spans="1:7" ht="21" x14ac:dyDescent="0.25">
      <c r="A2612" s="2" t="str">
        <f>HYPERLINK("https://rth.dk/resources/bsgatlas/details.php?id=BSGatlas-TSS-2611","BSGatlas-TSS-2611")</f>
        <v>BSGatlas-TSS-2611</v>
      </c>
      <c r="B2612" s="3">
        <v>3276604</v>
      </c>
      <c r="C2612" s="1" t="s">
        <v>9</v>
      </c>
      <c r="D2612" s="1">
        <v>22</v>
      </c>
      <c r="E2612" s="1" t="s">
        <v>14725</v>
      </c>
      <c r="F2612" s="6"/>
      <c r="G2612" s="1" t="s">
        <v>14726</v>
      </c>
    </row>
    <row r="2613" spans="1:7" ht="21" x14ac:dyDescent="0.25">
      <c r="A2613" s="2" t="str">
        <f>HYPERLINK("https://rth.dk/resources/bsgatlas/details.php?id=BSGatlas-TSS-2612","BSGatlas-TSS-2612")</f>
        <v>BSGatlas-TSS-2612</v>
      </c>
      <c r="B2613" s="3">
        <v>3276802</v>
      </c>
      <c r="C2613" s="1" t="s">
        <v>9</v>
      </c>
      <c r="D2613" s="1">
        <v>22</v>
      </c>
      <c r="E2613" s="1" t="s">
        <v>14722</v>
      </c>
      <c r="F2613" s="6"/>
      <c r="G2613" s="1" t="s">
        <v>14726</v>
      </c>
    </row>
    <row r="2614" spans="1:7" ht="21" x14ac:dyDescent="0.25">
      <c r="A2614" s="2" t="str">
        <f>HYPERLINK("https://rth.dk/resources/bsgatlas/details.php?id=BSGatlas-TSS-2613","BSGatlas-TSS-2613")</f>
        <v>BSGatlas-TSS-2613</v>
      </c>
      <c r="B2614" s="3">
        <v>3276919</v>
      </c>
      <c r="C2614" s="1" t="s">
        <v>9</v>
      </c>
      <c r="D2614" s="1">
        <v>22</v>
      </c>
      <c r="E2614" s="1" t="s">
        <v>14722</v>
      </c>
      <c r="F2614" s="6"/>
      <c r="G2614" s="1" t="s">
        <v>14726</v>
      </c>
    </row>
    <row r="2615" spans="1:7" ht="21" x14ac:dyDescent="0.25">
      <c r="A2615" s="2" t="str">
        <f>HYPERLINK("https://rth.dk/resources/bsgatlas/details.php?id=BSGatlas-TSS-2614","BSGatlas-TSS-2614")</f>
        <v>BSGatlas-TSS-2614</v>
      </c>
      <c r="B2615" s="3">
        <v>3276944</v>
      </c>
      <c r="C2615" s="1" t="s">
        <v>13</v>
      </c>
      <c r="D2615" s="1">
        <v>22</v>
      </c>
      <c r="E2615" s="1" t="s">
        <v>14722</v>
      </c>
      <c r="F2615" s="6"/>
      <c r="G2615" s="1" t="s">
        <v>14726</v>
      </c>
    </row>
    <row r="2616" spans="1:7" ht="21" x14ac:dyDescent="0.25">
      <c r="A2616" s="2" t="str">
        <f>HYPERLINK("https://rth.dk/resources/bsgatlas/details.php?id=BSGatlas-TSS-2615","BSGatlas-TSS-2615")</f>
        <v>BSGatlas-TSS-2615</v>
      </c>
      <c r="B2616" s="3">
        <v>3278300</v>
      </c>
      <c r="C2616" s="1" t="s">
        <v>9</v>
      </c>
      <c r="D2616" s="1">
        <v>0</v>
      </c>
      <c r="E2616" s="1" t="s">
        <v>14722</v>
      </c>
      <c r="F2616" s="6" t="s">
        <v>15060</v>
      </c>
      <c r="G2616" s="1" t="s">
        <v>14729</v>
      </c>
    </row>
    <row r="2617" spans="1:7" ht="21" x14ac:dyDescent="0.25">
      <c r="A2617" s="2" t="str">
        <f>HYPERLINK("https://rth.dk/resources/bsgatlas/details.php?id=BSGatlas-TSS-2616","BSGatlas-TSS-2616")</f>
        <v>BSGatlas-TSS-2616</v>
      </c>
      <c r="B2617" s="3">
        <v>3279528</v>
      </c>
      <c r="C2617" s="1" t="s">
        <v>9</v>
      </c>
      <c r="D2617" s="1">
        <v>22</v>
      </c>
      <c r="E2617" s="1" t="s">
        <v>14745</v>
      </c>
      <c r="F2617" s="6"/>
      <c r="G2617" s="1" t="s">
        <v>14726</v>
      </c>
    </row>
    <row r="2618" spans="1:7" ht="21" x14ac:dyDescent="0.25">
      <c r="A2618" s="2" t="str">
        <f>HYPERLINK("https://rth.dk/resources/bsgatlas/details.php?id=BSGatlas-TSS-2617","BSGatlas-TSS-2617")</f>
        <v>BSGatlas-TSS-2617</v>
      </c>
      <c r="B2618" s="3">
        <v>3291362</v>
      </c>
      <c r="C2618" s="1" t="s">
        <v>9</v>
      </c>
      <c r="D2618" s="1">
        <v>22</v>
      </c>
      <c r="E2618" s="1" t="s">
        <v>14722</v>
      </c>
      <c r="F2618" s="6"/>
      <c r="G2618" s="1" t="s">
        <v>14726</v>
      </c>
    </row>
    <row r="2619" spans="1:7" ht="21" x14ac:dyDescent="0.25">
      <c r="A2619" s="2" t="str">
        <f>HYPERLINK("https://rth.dk/resources/bsgatlas/details.php?id=BSGatlas-TSS-2618","BSGatlas-TSS-2618")</f>
        <v>BSGatlas-TSS-2618</v>
      </c>
      <c r="B2619" s="3">
        <v>3292405</v>
      </c>
      <c r="C2619" s="1" t="s">
        <v>13</v>
      </c>
      <c r="D2619" s="1">
        <v>0</v>
      </c>
      <c r="E2619" s="1" t="s">
        <v>14722</v>
      </c>
      <c r="F2619" s="6">
        <v>8550523</v>
      </c>
      <c r="G2619" s="1" t="s">
        <v>14724</v>
      </c>
    </row>
    <row r="2620" spans="1:7" ht="21" x14ac:dyDescent="0.25">
      <c r="A2620" s="2" t="str">
        <f>HYPERLINK("https://rth.dk/resources/bsgatlas/details.php?id=BSGatlas-TSS-2619","BSGatlas-TSS-2619")</f>
        <v>BSGatlas-TSS-2619</v>
      </c>
      <c r="B2620" s="3">
        <v>3293440</v>
      </c>
      <c r="C2620" s="1" t="s">
        <v>13</v>
      </c>
      <c r="D2620" s="1">
        <v>22</v>
      </c>
      <c r="E2620" s="1" t="s">
        <v>14722</v>
      </c>
      <c r="F2620" s="6"/>
      <c r="G2620" s="1" t="s">
        <v>14733</v>
      </c>
    </row>
    <row r="2621" spans="1:7" ht="21" x14ac:dyDescent="0.25">
      <c r="A2621" s="2" t="str">
        <f>HYPERLINK("https://rth.dk/resources/bsgatlas/details.php?id=BSGatlas-TSS-2620","BSGatlas-TSS-2620")</f>
        <v>BSGatlas-TSS-2620</v>
      </c>
      <c r="B2621" s="3">
        <v>3294222</v>
      </c>
      <c r="C2621" s="1" t="s">
        <v>9</v>
      </c>
      <c r="D2621" s="1">
        <v>22</v>
      </c>
      <c r="E2621" s="1" t="s">
        <v>14722</v>
      </c>
      <c r="F2621" s="6"/>
      <c r="G2621" s="1" t="s">
        <v>14726</v>
      </c>
    </row>
    <row r="2622" spans="1:7" ht="21" x14ac:dyDescent="0.25">
      <c r="A2622" s="2" t="str">
        <f>HYPERLINK("https://rth.dk/resources/bsgatlas/details.php?id=BSGatlas-TSS-2621","BSGatlas-TSS-2621")</f>
        <v>BSGatlas-TSS-2621</v>
      </c>
      <c r="B2622" s="3">
        <v>3294254</v>
      </c>
      <c r="C2622" s="1" t="s">
        <v>13</v>
      </c>
      <c r="D2622" s="1">
        <v>22</v>
      </c>
      <c r="E2622" s="1" t="s">
        <v>14720</v>
      </c>
      <c r="F2622" s="6"/>
      <c r="G2622" s="1" t="s">
        <v>14733</v>
      </c>
    </row>
    <row r="2623" spans="1:7" ht="21" x14ac:dyDescent="0.25">
      <c r="A2623" s="2" t="str">
        <f>HYPERLINK("https://rth.dk/resources/bsgatlas/details.php?id=BSGatlas-TSS-2622","BSGatlas-TSS-2622")</f>
        <v>BSGatlas-TSS-2622</v>
      </c>
      <c r="B2623" s="3">
        <v>3296327</v>
      </c>
      <c r="C2623" s="1" t="s">
        <v>13</v>
      </c>
      <c r="D2623" s="1">
        <v>22</v>
      </c>
      <c r="E2623" s="1" t="s">
        <v>14722</v>
      </c>
      <c r="F2623" s="6"/>
      <c r="G2623" s="1" t="s">
        <v>14726</v>
      </c>
    </row>
    <row r="2624" spans="1:7" ht="21" x14ac:dyDescent="0.25">
      <c r="A2624" s="2" t="str">
        <f>HYPERLINK("https://rth.dk/resources/bsgatlas/details.php?id=BSGatlas-TSS-2623","BSGatlas-TSS-2623")</f>
        <v>BSGatlas-TSS-2623</v>
      </c>
      <c r="B2624" s="3">
        <v>3297500</v>
      </c>
      <c r="C2624" s="1" t="s">
        <v>9</v>
      </c>
      <c r="D2624" s="1">
        <v>22</v>
      </c>
      <c r="E2624" s="1" t="s">
        <v>14720</v>
      </c>
      <c r="F2624" s="6"/>
      <c r="G2624" s="1" t="s">
        <v>14726</v>
      </c>
    </row>
    <row r="2625" spans="1:7" ht="21" x14ac:dyDescent="0.25">
      <c r="A2625" s="2" t="str">
        <f>HYPERLINK("https://rth.dk/resources/bsgatlas/details.php?id=BSGatlas-TSS-2624","BSGatlas-TSS-2624")</f>
        <v>BSGatlas-TSS-2624</v>
      </c>
      <c r="B2625" s="3">
        <v>3297962</v>
      </c>
      <c r="C2625" s="1" t="s">
        <v>9</v>
      </c>
      <c r="D2625" s="1">
        <v>22</v>
      </c>
      <c r="E2625" s="1" t="s">
        <v>14722</v>
      </c>
      <c r="F2625" s="6"/>
      <c r="G2625" s="1" t="s">
        <v>14733</v>
      </c>
    </row>
    <row r="2626" spans="1:7" ht="21" x14ac:dyDescent="0.25">
      <c r="A2626" s="2" t="str">
        <f>HYPERLINK("https://rth.dk/resources/bsgatlas/details.php?id=BSGatlas-TSS-2625","BSGatlas-TSS-2625")</f>
        <v>BSGatlas-TSS-2625</v>
      </c>
      <c r="B2626" s="3">
        <v>3297999</v>
      </c>
      <c r="C2626" s="1" t="s">
        <v>13</v>
      </c>
      <c r="D2626" s="1">
        <v>22</v>
      </c>
      <c r="E2626" s="1" t="s">
        <v>14722</v>
      </c>
      <c r="F2626" s="6"/>
      <c r="G2626" s="1" t="s">
        <v>14733</v>
      </c>
    </row>
    <row r="2627" spans="1:7" ht="21" x14ac:dyDescent="0.25">
      <c r="A2627" s="2" t="str">
        <f>HYPERLINK("https://rth.dk/resources/bsgatlas/details.php?id=BSGatlas-TSS-2626","BSGatlas-TSS-2626")</f>
        <v>BSGatlas-TSS-2626</v>
      </c>
      <c r="B2627" s="3">
        <v>3298928</v>
      </c>
      <c r="C2627" s="1" t="s">
        <v>9</v>
      </c>
      <c r="D2627" s="1">
        <v>22</v>
      </c>
      <c r="E2627" s="1" t="s">
        <v>14725</v>
      </c>
      <c r="F2627" s="6"/>
      <c r="G2627" s="1" t="s">
        <v>14726</v>
      </c>
    </row>
    <row r="2628" spans="1:7" ht="21" x14ac:dyDescent="0.25">
      <c r="A2628" s="2" t="str">
        <f>HYPERLINK("https://rth.dk/resources/bsgatlas/details.php?id=BSGatlas-TSS-2627","BSGatlas-TSS-2627")</f>
        <v>BSGatlas-TSS-2627</v>
      </c>
      <c r="B2628" s="3">
        <v>3299252</v>
      </c>
      <c r="C2628" s="1" t="s">
        <v>13</v>
      </c>
      <c r="D2628" s="1">
        <v>0</v>
      </c>
      <c r="E2628" s="1" t="s">
        <v>14867</v>
      </c>
      <c r="F2628" s="6">
        <v>16497325</v>
      </c>
      <c r="G2628" s="1" t="s">
        <v>14730</v>
      </c>
    </row>
    <row r="2629" spans="1:7" ht="21" x14ac:dyDescent="0.25">
      <c r="A2629" s="2" t="str">
        <f>HYPERLINK("https://rth.dk/resources/bsgatlas/details.php?id=BSGatlas-TSS-2628","BSGatlas-TSS-2628")</f>
        <v>BSGatlas-TSS-2628</v>
      </c>
      <c r="B2629" s="3">
        <v>3299590</v>
      </c>
      <c r="C2629" s="1" t="s">
        <v>9</v>
      </c>
      <c r="D2629" s="1">
        <v>22</v>
      </c>
      <c r="E2629" s="1" t="s">
        <v>14720</v>
      </c>
      <c r="F2629" s="6"/>
      <c r="G2629" s="1" t="s">
        <v>14726</v>
      </c>
    </row>
    <row r="2630" spans="1:7" ht="21" x14ac:dyDescent="0.25">
      <c r="A2630" s="2" t="str">
        <f>HYPERLINK("https://rth.dk/resources/bsgatlas/details.php?id=BSGatlas-TSS-2629","BSGatlas-TSS-2629")</f>
        <v>BSGatlas-TSS-2629</v>
      </c>
      <c r="B2630" s="3">
        <v>3299688</v>
      </c>
      <c r="C2630" s="1" t="s">
        <v>13</v>
      </c>
      <c r="D2630" s="1">
        <v>22</v>
      </c>
      <c r="E2630" s="1" t="s">
        <v>14722</v>
      </c>
      <c r="F2630" s="6"/>
      <c r="G2630" s="1" t="s">
        <v>14726</v>
      </c>
    </row>
    <row r="2631" spans="1:7" ht="21" x14ac:dyDescent="0.25">
      <c r="A2631" s="2" t="str">
        <f>HYPERLINK("https://rth.dk/resources/bsgatlas/details.php?id=BSGatlas-TSS-2630","BSGatlas-TSS-2630")</f>
        <v>BSGatlas-TSS-2630</v>
      </c>
      <c r="B2631" s="3">
        <v>3299906</v>
      </c>
      <c r="C2631" s="1" t="s">
        <v>13</v>
      </c>
      <c r="D2631" s="1">
        <v>22</v>
      </c>
      <c r="E2631" s="1" t="s">
        <v>14722</v>
      </c>
      <c r="F2631" s="6"/>
      <c r="G2631" s="1" t="s">
        <v>14726</v>
      </c>
    </row>
    <row r="2632" spans="1:7" ht="21" x14ac:dyDescent="0.25">
      <c r="A2632" s="2" t="str">
        <f>HYPERLINK("https://rth.dk/resources/bsgatlas/details.php?id=BSGatlas-TSS-2631","BSGatlas-TSS-2631")</f>
        <v>BSGatlas-TSS-2631</v>
      </c>
      <c r="B2632" s="3">
        <v>3301382</v>
      </c>
      <c r="C2632" s="1" t="s">
        <v>13</v>
      </c>
      <c r="D2632" s="1">
        <v>22</v>
      </c>
      <c r="E2632" s="1" t="s">
        <v>14727</v>
      </c>
      <c r="F2632" s="6"/>
      <c r="G2632" s="1" t="s">
        <v>14733</v>
      </c>
    </row>
    <row r="2633" spans="1:7" ht="21" x14ac:dyDescent="0.25">
      <c r="A2633" s="2" t="str">
        <f>HYPERLINK("https://rth.dk/resources/bsgatlas/details.php?id=BSGatlas-TSS-2632","BSGatlas-TSS-2632")</f>
        <v>BSGatlas-TSS-2632</v>
      </c>
      <c r="B2633" s="3">
        <v>3301447</v>
      </c>
      <c r="C2633" s="1" t="s">
        <v>13</v>
      </c>
      <c r="D2633" s="1">
        <v>22</v>
      </c>
      <c r="E2633" s="1" t="s">
        <v>14722</v>
      </c>
      <c r="F2633" s="6"/>
      <c r="G2633" s="1" t="s">
        <v>14733</v>
      </c>
    </row>
    <row r="2634" spans="1:7" ht="21" x14ac:dyDescent="0.25">
      <c r="A2634" s="2" t="str">
        <f>HYPERLINK("https://rth.dk/resources/bsgatlas/details.php?id=BSGatlas-TSS-2633","BSGatlas-TSS-2633")</f>
        <v>BSGatlas-TSS-2633</v>
      </c>
      <c r="B2634" s="3">
        <v>3301541</v>
      </c>
      <c r="C2634" s="1" t="s">
        <v>9</v>
      </c>
      <c r="D2634" s="1">
        <v>22</v>
      </c>
      <c r="E2634" s="1" t="s">
        <v>14722</v>
      </c>
      <c r="F2634" s="6"/>
      <c r="G2634" s="1" t="s">
        <v>14726</v>
      </c>
    </row>
    <row r="2635" spans="1:7" ht="21" x14ac:dyDescent="0.25">
      <c r="A2635" s="2" t="str">
        <f>HYPERLINK("https://rth.dk/resources/bsgatlas/details.php?id=BSGatlas-TSS-2634","BSGatlas-TSS-2634")</f>
        <v>BSGatlas-TSS-2634</v>
      </c>
      <c r="B2635" s="3">
        <v>3301624</v>
      </c>
      <c r="C2635" s="1" t="s">
        <v>13</v>
      </c>
      <c r="D2635" s="1">
        <v>22</v>
      </c>
      <c r="E2635" s="1" t="s">
        <v>14727</v>
      </c>
      <c r="F2635" s="6"/>
      <c r="G2635" s="1" t="s">
        <v>14726</v>
      </c>
    </row>
    <row r="2636" spans="1:7" ht="21" x14ac:dyDescent="0.25">
      <c r="A2636" s="2" t="str">
        <f>HYPERLINK("https://rth.dk/resources/bsgatlas/details.php?id=BSGatlas-TSS-2635","BSGatlas-TSS-2635")</f>
        <v>BSGatlas-TSS-2635</v>
      </c>
      <c r="B2636" s="3">
        <v>3302893</v>
      </c>
      <c r="C2636" s="1" t="s">
        <v>13</v>
      </c>
      <c r="D2636" s="1">
        <v>22</v>
      </c>
      <c r="E2636" s="1" t="s">
        <v>14722</v>
      </c>
      <c r="F2636" s="6"/>
      <c r="G2636" s="1" t="s">
        <v>14733</v>
      </c>
    </row>
    <row r="2637" spans="1:7" ht="21" x14ac:dyDescent="0.25">
      <c r="A2637" s="2" t="str">
        <f>HYPERLINK("https://rth.dk/resources/bsgatlas/details.php?id=BSGatlas-TSS-2636","BSGatlas-TSS-2636")</f>
        <v>BSGatlas-TSS-2636</v>
      </c>
      <c r="B2637" s="3">
        <v>3302979</v>
      </c>
      <c r="C2637" s="1" t="s">
        <v>9</v>
      </c>
      <c r="D2637" s="1">
        <v>22</v>
      </c>
      <c r="E2637" s="1" t="s">
        <v>14722</v>
      </c>
      <c r="F2637" s="6"/>
      <c r="G2637" s="1" t="s">
        <v>14726</v>
      </c>
    </row>
    <row r="2638" spans="1:7" ht="21" x14ac:dyDescent="0.25">
      <c r="A2638" s="2" t="str">
        <f>HYPERLINK("https://rth.dk/resources/bsgatlas/details.php?id=BSGatlas-TSS-2637","BSGatlas-TSS-2637")</f>
        <v>BSGatlas-TSS-2637</v>
      </c>
      <c r="B2638" s="3">
        <v>3303143</v>
      </c>
      <c r="C2638" s="1" t="s">
        <v>13</v>
      </c>
      <c r="D2638" s="1">
        <v>22</v>
      </c>
      <c r="E2638" s="1" t="s">
        <v>14732</v>
      </c>
      <c r="F2638" s="6"/>
      <c r="G2638" s="1" t="s">
        <v>14733</v>
      </c>
    </row>
    <row r="2639" spans="1:7" ht="21" x14ac:dyDescent="0.25">
      <c r="A2639" s="2" t="str">
        <f>HYPERLINK("https://rth.dk/resources/bsgatlas/details.php?id=BSGatlas-TSS-2638","BSGatlas-TSS-2638")</f>
        <v>BSGatlas-TSS-2638</v>
      </c>
      <c r="B2639" s="3">
        <v>3305320</v>
      </c>
      <c r="C2639" s="1" t="s">
        <v>13</v>
      </c>
      <c r="D2639" s="1">
        <v>22</v>
      </c>
      <c r="E2639" s="1" t="s">
        <v>14722</v>
      </c>
      <c r="F2639" s="6"/>
      <c r="G2639" s="1" t="s">
        <v>14726</v>
      </c>
    </row>
    <row r="2640" spans="1:7" ht="21" x14ac:dyDescent="0.25">
      <c r="A2640" s="2" t="str">
        <f>HYPERLINK("https://rth.dk/resources/bsgatlas/details.php?id=BSGatlas-TSS-2639","BSGatlas-TSS-2639")</f>
        <v>BSGatlas-TSS-2639</v>
      </c>
      <c r="B2640" s="3">
        <v>3305428</v>
      </c>
      <c r="C2640" s="1" t="s">
        <v>13</v>
      </c>
      <c r="D2640" s="1">
        <v>22</v>
      </c>
      <c r="E2640" s="1" t="s">
        <v>14722</v>
      </c>
      <c r="F2640" s="6"/>
      <c r="G2640" s="1" t="s">
        <v>14733</v>
      </c>
    </row>
    <row r="2641" spans="1:7" ht="21" x14ac:dyDescent="0.25">
      <c r="A2641" s="2" t="str">
        <f>HYPERLINK("https://rth.dk/resources/bsgatlas/details.php?id=BSGatlas-TSS-2640","BSGatlas-TSS-2640")</f>
        <v>BSGatlas-TSS-2640</v>
      </c>
      <c r="B2641" s="3">
        <v>3306002</v>
      </c>
      <c r="C2641" s="1" t="s">
        <v>13</v>
      </c>
      <c r="D2641" s="1">
        <v>22</v>
      </c>
      <c r="E2641" s="1" t="s">
        <v>14722</v>
      </c>
      <c r="F2641" s="6"/>
      <c r="G2641" s="1" t="s">
        <v>14726</v>
      </c>
    </row>
    <row r="2642" spans="1:7" ht="21" x14ac:dyDescent="0.25">
      <c r="A2642" s="2" t="str">
        <f>HYPERLINK("https://rth.dk/resources/bsgatlas/details.php?id=BSGatlas-TSS-2641","BSGatlas-TSS-2641")</f>
        <v>BSGatlas-TSS-2641</v>
      </c>
      <c r="B2642" s="3">
        <v>3306618</v>
      </c>
      <c r="C2642" s="1" t="s">
        <v>13</v>
      </c>
      <c r="D2642" s="1">
        <v>22</v>
      </c>
      <c r="E2642" s="1" t="s">
        <v>14725</v>
      </c>
      <c r="F2642" s="6"/>
      <c r="G2642" s="1" t="s">
        <v>14726</v>
      </c>
    </row>
    <row r="2643" spans="1:7" ht="21" x14ac:dyDescent="0.25">
      <c r="A2643" s="2" t="str">
        <f>HYPERLINK("https://rth.dk/resources/bsgatlas/details.php?id=BSGatlas-TSS-2642","BSGatlas-TSS-2642")</f>
        <v>BSGatlas-TSS-2642</v>
      </c>
      <c r="B2643" s="3">
        <v>3306930</v>
      </c>
      <c r="C2643" s="1" t="s">
        <v>13</v>
      </c>
      <c r="D2643" s="1">
        <v>22</v>
      </c>
      <c r="E2643" s="1" t="s">
        <v>14722</v>
      </c>
      <c r="F2643" s="6"/>
      <c r="G2643" s="1" t="s">
        <v>14726</v>
      </c>
    </row>
    <row r="2644" spans="1:7" ht="21" x14ac:dyDescent="0.25">
      <c r="A2644" s="2" t="str">
        <f>HYPERLINK("https://rth.dk/resources/bsgatlas/details.php?id=BSGatlas-TSS-2643","BSGatlas-TSS-2643")</f>
        <v>BSGatlas-TSS-2643</v>
      </c>
      <c r="B2644" s="3">
        <v>3307594</v>
      </c>
      <c r="C2644" s="1" t="s">
        <v>9</v>
      </c>
      <c r="D2644" s="1">
        <v>22</v>
      </c>
      <c r="E2644" s="1" t="s">
        <v>14734</v>
      </c>
      <c r="F2644" s="6"/>
      <c r="G2644" s="1" t="s">
        <v>14726</v>
      </c>
    </row>
    <row r="2645" spans="1:7" ht="21" x14ac:dyDescent="0.25">
      <c r="A2645" s="2" t="str">
        <f>HYPERLINK("https://rth.dk/resources/bsgatlas/details.php?id=BSGatlas-TSS-2644","BSGatlas-TSS-2644")</f>
        <v>BSGatlas-TSS-2644</v>
      </c>
      <c r="B2645" s="3">
        <v>3308273</v>
      </c>
      <c r="C2645" s="1" t="s">
        <v>13</v>
      </c>
      <c r="D2645" s="1">
        <v>22</v>
      </c>
      <c r="E2645" s="1" t="s">
        <v>14722</v>
      </c>
      <c r="F2645" s="6"/>
      <c r="G2645" s="1" t="s">
        <v>14726</v>
      </c>
    </row>
    <row r="2646" spans="1:7" ht="21" x14ac:dyDescent="0.25">
      <c r="A2646" s="2" t="str">
        <f>HYPERLINK("https://rth.dk/resources/bsgatlas/details.php?id=BSGatlas-TSS-2645","BSGatlas-TSS-2645")</f>
        <v>BSGatlas-TSS-2645</v>
      </c>
      <c r="B2646" s="3">
        <v>3308576</v>
      </c>
      <c r="C2646" s="1" t="s">
        <v>13</v>
      </c>
      <c r="D2646" s="1">
        <v>22</v>
      </c>
      <c r="E2646" s="1" t="s">
        <v>14720</v>
      </c>
      <c r="F2646" s="6"/>
      <c r="G2646" s="1" t="s">
        <v>14726</v>
      </c>
    </row>
    <row r="2647" spans="1:7" ht="21" x14ac:dyDescent="0.25">
      <c r="A2647" s="2" t="str">
        <f>HYPERLINK("https://rth.dk/resources/bsgatlas/details.php?id=BSGatlas-TSS-2646","BSGatlas-TSS-2646")</f>
        <v>BSGatlas-TSS-2646</v>
      </c>
      <c r="B2647" s="3">
        <v>3308620</v>
      </c>
      <c r="C2647" s="1" t="s">
        <v>13</v>
      </c>
      <c r="D2647" s="1">
        <v>22</v>
      </c>
      <c r="E2647" s="1" t="s">
        <v>14722</v>
      </c>
      <c r="F2647" s="6"/>
      <c r="G2647" s="1" t="s">
        <v>14726</v>
      </c>
    </row>
    <row r="2648" spans="1:7" ht="21" x14ac:dyDescent="0.25">
      <c r="A2648" s="2" t="str">
        <f>HYPERLINK("https://rth.dk/resources/bsgatlas/details.php?id=BSGatlas-TSS-2647","BSGatlas-TSS-2647")</f>
        <v>BSGatlas-TSS-2647</v>
      </c>
      <c r="B2648" s="3">
        <v>3308787</v>
      </c>
      <c r="C2648" s="1" t="s">
        <v>9</v>
      </c>
      <c r="D2648" s="1">
        <v>22</v>
      </c>
      <c r="E2648" s="1" t="s">
        <v>14722</v>
      </c>
      <c r="F2648" s="6"/>
      <c r="G2648" s="1" t="s">
        <v>14726</v>
      </c>
    </row>
    <row r="2649" spans="1:7" ht="21" x14ac:dyDescent="0.25">
      <c r="A2649" s="2" t="str">
        <f>HYPERLINK("https://rth.dk/resources/bsgatlas/details.php?id=BSGatlas-TSS-2648","BSGatlas-TSS-2648")</f>
        <v>BSGatlas-TSS-2648</v>
      </c>
      <c r="B2649" s="3">
        <v>3310335</v>
      </c>
      <c r="C2649" s="1" t="s">
        <v>13</v>
      </c>
      <c r="D2649" s="1">
        <v>22</v>
      </c>
      <c r="E2649" s="1" t="s">
        <v>14722</v>
      </c>
      <c r="F2649" s="6"/>
      <c r="G2649" s="1" t="s">
        <v>14726</v>
      </c>
    </row>
    <row r="2650" spans="1:7" ht="21" x14ac:dyDescent="0.25">
      <c r="A2650" s="2" t="str">
        <f>HYPERLINK("https://rth.dk/resources/bsgatlas/details.php?id=BSGatlas-TSS-2649","BSGatlas-TSS-2649")</f>
        <v>BSGatlas-TSS-2649</v>
      </c>
      <c r="B2650" s="3">
        <v>3310392</v>
      </c>
      <c r="C2650" s="1" t="s">
        <v>9</v>
      </c>
      <c r="D2650" s="1">
        <v>22</v>
      </c>
      <c r="E2650" s="1" t="s">
        <v>14722</v>
      </c>
      <c r="F2650" s="6"/>
      <c r="G2650" s="1" t="s">
        <v>14726</v>
      </c>
    </row>
    <row r="2651" spans="1:7" ht="21" x14ac:dyDescent="0.25">
      <c r="A2651" s="2" t="str">
        <f>HYPERLINK("https://rth.dk/resources/bsgatlas/details.php?id=BSGatlas-TSS-2650","BSGatlas-TSS-2650")</f>
        <v>BSGatlas-TSS-2650</v>
      </c>
      <c r="B2651" s="3">
        <v>3312774</v>
      </c>
      <c r="C2651" s="1" t="s">
        <v>13</v>
      </c>
      <c r="D2651" s="1">
        <v>22</v>
      </c>
      <c r="E2651" s="1" t="s">
        <v>14745</v>
      </c>
      <c r="F2651" s="6"/>
      <c r="G2651" s="1" t="s">
        <v>14726</v>
      </c>
    </row>
    <row r="2652" spans="1:7" ht="21" x14ac:dyDescent="0.25">
      <c r="A2652" s="2" t="str">
        <f>HYPERLINK("https://rth.dk/resources/bsgatlas/details.php?id=BSGatlas-TSS-2651","BSGatlas-TSS-2651")</f>
        <v>BSGatlas-TSS-2651</v>
      </c>
      <c r="B2652" s="3">
        <v>3316045</v>
      </c>
      <c r="C2652" s="1" t="s">
        <v>9</v>
      </c>
      <c r="D2652" s="1">
        <v>22</v>
      </c>
      <c r="E2652" s="1" t="s">
        <v>14725</v>
      </c>
      <c r="F2652" s="6"/>
      <c r="G2652" s="1" t="s">
        <v>14726</v>
      </c>
    </row>
    <row r="2653" spans="1:7" ht="21" x14ac:dyDescent="0.25">
      <c r="A2653" s="2" t="str">
        <f>HYPERLINK("https://rth.dk/resources/bsgatlas/details.php?id=BSGatlas-TSS-2652","BSGatlas-TSS-2652")</f>
        <v>BSGatlas-TSS-2652</v>
      </c>
      <c r="B2653" s="3">
        <v>3316211</v>
      </c>
      <c r="C2653" s="1" t="s">
        <v>13</v>
      </c>
      <c r="D2653" s="1">
        <v>22</v>
      </c>
      <c r="E2653" s="1" t="s">
        <v>14722</v>
      </c>
      <c r="F2653" s="6"/>
      <c r="G2653" s="1" t="s">
        <v>14733</v>
      </c>
    </row>
    <row r="2654" spans="1:7" ht="21" x14ac:dyDescent="0.25">
      <c r="A2654" s="2" t="str">
        <f>HYPERLINK("https://rth.dk/resources/bsgatlas/details.php?id=BSGatlas-TSS-2653","BSGatlas-TSS-2653")</f>
        <v>BSGatlas-TSS-2653</v>
      </c>
      <c r="B2654" s="3">
        <v>3317182</v>
      </c>
      <c r="C2654" s="1" t="s">
        <v>9</v>
      </c>
      <c r="D2654" s="1">
        <v>22</v>
      </c>
      <c r="E2654" s="1" t="s">
        <v>14727</v>
      </c>
      <c r="F2654" s="6"/>
      <c r="G2654" s="1" t="s">
        <v>14726</v>
      </c>
    </row>
    <row r="2655" spans="1:7" ht="21" x14ac:dyDescent="0.25">
      <c r="A2655" s="2" t="str">
        <f>HYPERLINK("https://rth.dk/resources/bsgatlas/details.php?id=BSGatlas-TSS-2654","BSGatlas-TSS-2654")</f>
        <v>BSGatlas-TSS-2654</v>
      </c>
      <c r="B2655" s="3">
        <v>3317379</v>
      </c>
      <c r="C2655" s="1" t="s">
        <v>13</v>
      </c>
      <c r="D2655" s="1">
        <v>22</v>
      </c>
      <c r="E2655" s="1" t="s">
        <v>14727</v>
      </c>
      <c r="F2655" s="6"/>
      <c r="G2655" s="1" t="s">
        <v>14726</v>
      </c>
    </row>
    <row r="2656" spans="1:7" ht="21" x14ac:dyDescent="0.25">
      <c r="A2656" s="2" t="str">
        <f>HYPERLINK("https://rth.dk/resources/bsgatlas/details.php?id=BSGatlas-TSS-2655","BSGatlas-TSS-2655")</f>
        <v>BSGatlas-TSS-2655</v>
      </c>
      <c r="B2656" s="3">
        <v>3317409</v>
      </c>
      <c r="C2656" s="1" t="s">
        <v>9</v>
      </c>
      <c r="D2656" s="1">
        <v>22</v>
      </c>
      <c r="E2656" s="1" t="s">
        <v>14727</v>
      </c>
      <c r="F2656" s="6"/>
      <c r="G2656" s="1" t="s">
        <v>14733</v>
      </c>
    </row>
    <row r="2657" spans="1:7" ht="21" x14ac:dyDescent="0.25">
      <c r="A2657" s="2" t="str">
        <f>HYPERLINK("https://rth.dk/resources/bsgatlas/details.php?id=BSGatlas-TSS-2656","BSGatlas-TSS-2656")</f>
        <v>BSGatlas-TSS-2656</v>
      </c>
      <c r="B2657" s="3">
        <v>3317475</v>
      </c>
      <c r="C2657" s="1" t="s">
        <v>9</v>
      </c>
      <c r="D2657" s="1">
        <v>22</v>
      </c>
      <c r="E2657" s="1" t="s">
        <v>14725</v>
      </c>
      <c r="F2657" s="6"/>
      <c r="G2657" s="1" t="s">
        <v>14726</v>
      </c>
    </row>
    <row r="2658" spans="1:7" ht="21" x14ac:dyDescent="0.25">
      <c r="A2658" s="2" t="str">
        <f>HYPERLINK("https://rth.dk/resources/bsgatlas/details.php?id=BSGatlas-TSS-2657","BSGatlas-TSS-2657")</f>
        <v>BSGatlas-TSS-2657</v>
      </c>
      <c r="B2658" s="3">
        <v>3319606</v>
      </c>
      <c r="C2658" s="1" t="s">
        <v>13</v>
      </c>
      <c r="D2658" s="1">
        <v>22</v>
      </c>
      <c r="E2658" s="1" t="s">
        <v>14722</v>
      </c>
      <c r="F2658" s="6"/>
      <c r="G2658" s="1" t="s">
        <v>14726</v>
      </c>
    </row>
    <row r="2659" spans="1:7" ht="21" x14ac:dyDescent="0.25">
      <c r="A2659" s="2" t="str">
        <f>HYPERLINK("https://rth.dk/resources/bsgatlas/details.php?id=BSGatlas-TSS-2658","BSGatlas-TSS-2658")</f>
        <v>BSGatlas-TSS-2658</v>
      </c>
      <c r="B2659" s="3">
        <v>3319653</v>
      </c>
      <c r="C2659" s="1" t="s">
        <v>9</v>
      </c>
      <c r="D2659" s="1">
        <v>22</v>
      </c>
      <c r="E2659" s="1" t="s">
        <v>14732</v>
      </c>
      <c r="F2659" s="6"/>
      <c r="G2659" s="1" t="s">
        <v>14726</v>
      </c>
    </row>
    <row r="2660" spans="1:7" ht="21" x14ac:dyDescent="0.25">
      <c r="A2660" s="2" t="str">
        <f>HYPERLINK("https://rth.dk/resources/bsgatlas/details.php?id=BSGatlas-TSS-2659","BSGatlas-TSS-2659")</f>
        <v>BSGatlas-TSS-2659</v>
      </c>
      <c r="B2660" s="3">
        <v>3321355</v>
      </c>
      <c r="C2660" s="1" t="s">
        <v>13</v>
      </c>
      <c r="D2660" s="1">
        <v>22</v>
      </c>
      <c r="E2660" s="1" t="s">
        <v>14722</v>
      </c>
      <c r="F2660" s="6"/>
      <c r="G2660" s="1" t="s">
        <v>14733</v>
      </c>
    </row>
    <row r="2661" spans="1:7" ht="21" x14ac:dyDescent="0.25">
      <c r="A2661" s="2" t="str">
        <f>HYPERLINK("https://rth.dk/resources/bsgatlas/details.php?id=BSGatlas-TSS-2660","BSGatlas-TSS-2660")</f>
        <v>BSGatlas-TSS-2660</v>
      </c>
      <c r="B2661" s="3">
        <v>3321427</v>
      </c>
      <c r="C2661" s="1" t="s">
        <v>9</v>
      </c>
      <c r="D2661" s="1">
        <v>22</v>
      </c>
      <c r="E2661" s="1" t="s">
        <v>14732</v>
      </c>
      <c r="F2661" s="6"/>
      <c r="G2661" s="1" t="s">
        <v>14726</v>
      </c>
    </row>
    <row r="2662" spans="1:7" ht="21" x14ac:dyDescent="0.25">
      <c r="A2662" s="2" t="str">
        <f>HYPERLINK("https://rth.dk/resources/bsgatlas/details.php?id=BSGatlas-TSS-2661","BSGatlas-TSS-2661")</f>
        <v>BSGatlas-TSS-2661</v>
      </c>
      <c r="B2662" s="3">
        <v>3321533</v>
      </c>
      <c r="C2662" s="1" t="s">
        <v>13</v>
      </c>
      <c r="D2662" s="1">
        <v>22</v>
      </c>
      <c r="E2662" s="1" t="s">
        <v>14722</v>
      </c>
      <c r="F2662" s="6"/>
      <c r="G2662" s="1" t="s">
        <v>14726</v>
      </c>
    </row>
    <row r="2663" spans="1:7" ht="21" x14ac:dyDescent="0.25">
      <c r="A2663" s="2" t="str">
        <f>HYPERLINK("https://rth.dk/resources/bsgatlas/details.php?id=BSGatlas-TSS-2662","BSGatlas-TSS-2662")</f>
        <v>BSGatlas-TSS-2662</v>
      </c>
      <c r="B2663" s="3">
        <v>3323245</v>
      </c>
      <c r="C2663" s="1" t="s">
        <v>13</v>
      </c>
      <c r="D2663" s="1">
        <v>0</v>
      </c>
      <c r="E2663" s="1" t="s">
        <v>14735</v>
      </c>
      <c r="F2663" s="6" t="s">
        <v>14767</v>
      </c>
      <c r="G2663" s="1" t="s">
        <v>14729</v>
      </c>
    </row>
    <row r="2664" spans="1:7" ht="21" x14ac:dyDescent="0.25">
      <c r="A2664" s="2" t="str">
        <f>HYPERLINK("https://rth.dk/resources/bsgatlas/details.php?id=BSGatlas-TSS-2663","BSGatlas-TSS-2663")</f>
        <v>BSGatlas-TSS-2663</v>
      </c>
      <c r="B2664" s="3">
        <v>3323642</v>
      </c>
      <c r="C2664" s="1" t="s">
        <v>13</v>
      </c>
      <c r="D2664" s="1">
        <v>22</v>
      </c>
      <c r="E2664" s="1" t="s">
        <v>14725</v>
      </c>
      <c r="F2664" s="6"/>
      <c r="G2664" s="1" t="s">
        <v>14726</v>
      </c>
    </row>
    <row r="2665" spans="1:7" ht="21" x14ac:dyDescent="0.25">
      <c r="A2665" s="2" t="str">
        <f>HYPERLINK("https://rth.dk/resources/bsgatlas/details.php?id=BSGatlas-TSS-2664","BSGatlas-TSS-2664")</f>
        <v>BSGatlas-TSS-2664</v>
      </c>
      <c r="B2665" s="3">
        <v>3326319</v>
      </c>
      <c r="C2665" s="1" t="s">
        <v>9</v>
      </c>
      <c r="D2665" s="1">
        <v>22</v>
      </c>
      <c r="E2665" s="1" t="s">
        <v>14727</v>
      </c>
      <c r="F2665" s="6"/>
      <c r="G2665" s="1" t="s">
        <v>14726</v>
      </c>
    </row>
    <row r="2666" spans="1:7" ht="21" x14ac:dyDescent="0.25">
      <c r="A2666" s="2" t="str">
        <f>HYPERLINK("https://rth.dk/resources/bsgatlas/details.php?id=BSGatlas-TSS-2665","BSGatlas-TSS-2665")</f>
        <v>BSGatlas-TSS-2665</v>
      </c>
      <c r="B2666" s="3">
        <v>3326791</v>
      </c>
      <c r="C2666" s="1" t="s">
        <v>13</v>
      </c>
      <c r="D2666" s="1">
        <v>22</v>
      </c>
      <c r="E2666" s="1" t="s">
        <v>14722</v>
      </c>
      <c r="F2666" s="6"/>
      <c r="G2666" s="1" t="s">
        <v>14726</v>
      </c>
    </row>
    <row r="2667" spans="1:7" ht="21" x14ac:dyDescent="0.25">
      <c r="A2667" s="2" t="str">
        <f>HYPERLINK("https://rth.dk/resources/bsgatlas/details.php?id=BSGatlas-TSS-2666","BSGatlas-TSS-2666")</f>
        <v>BSGatlas-TSS-2666</v>
      </c>
      <c r="B2667" s="3">
        <v>3327182</v>
      </c>
      <c r="C2667" s="1" t="s">
        <v>13</v>
      </c>
      <c r="D2667" s="1">
        <v>22</v>
      </c>
      <c r="E2667" s="1" t="s">
        <v>14722</v>
      </c>
      <c r="F2667" s="6"/>
      <c r="G2667" s="1" t="s">
        <v>14726</v>
      </c>
    </row>
    <row r="2668" spans="1:7" ht="21" x14ac:dyDescent="0.25">
      <c r="A2668" s="2" t="str">
        <f>HYPERLINK("https://rth.dk/resources/bsgatlas/details.php?id=BSGatlas-TSS-2667","BSGatlas-TSS-2667")</f>
        <v>BSGatlas-TSS-2667</v>
      </c>
      <c r="B2668" s="3">
        <v>3328654</v>
      </c>
      <c r="C2668" s="1" t="s">
        <v>13</v>
      </c>
      <c r="D2668" s="1">
        <v>0</v>
      </c>
      <c r="E2668" s="1" t="s">
        <v>14722</v>
      </c>
      <c r="F2668" s="6" t="s">
        <v>15061</v>
      </c>
      <c r="G2668" s="1" t="s">
        <v>4382</v>
      </c>
    </row>
    <row r="2669" spans="1:7" ht="21" x14ac:dyDescent="0.25">
      <c r="A2669" s="2" t="str">
        <f>HYPERLINK("https://rth.dk/resources/bsgatlas/details.php?id=BSGatlas-TSS-2668","BSGatlas-TSS-2668")</f>
        <v>BSGatlas-TSS-2668</v>
      </c>
      <c r="B2669" s="3">
        <v>3328672</v>
      </c>
      <c r="C2669" s="1" t="s">
        <v>9</v>
      </c>
      <c r="D2669" s="1">
        <v>22</v>
      </c>
      <c r="E2669" s="1" t="s">
        <v>14722</v>
      </c>
      <c r="F2669" s="6"/>
      <c r="G2669" s="1" t="s">
        <v>14733</v>
      </c>
    </row>
    <row r="2670" spans="1:7" ht="21" x14ac:dyDescent="0.25">
      <c r="A2670" s="2" t="str">
        <f>HYPERLINK("https://rth.dk/resources/bsgatlas/details.php?id=BSGatlas-TSS-2669","BSGatlas-TSS-2669")</f>
        <v>BSGatlas-TSS-2669</v>
      </c>
      <c r="B2670" s="3">
        <v>3328683</v>
      </c>
      <c r="C2670" s="1" t="s">
        <v>13</v>
      </c>
      <c r="D2670" s="1">
        <v>22</v>
      </c>
      <c r="E2670" s="1" t="s">
        <v>14727</v>
      </c>
      <c r="F2670" s="6"/>
      <c r="G2670" s="1" t="s">
        <v>14726</v>
      </c>
    </row>
    <row r="2671" spans="1:7" ht="21" x14ac:dyDescent="0.25">
      <c r="A2671" s="2" t="str">
        <f>HYPERLINK("https://rth.dk/resources/bsgatlas/details.php?id=BSGatlas-TSS-2670","BSGatlas-TSS-2670")</f>
        <v>BSGatlas-TSS-2670</v>
      </c>
      <c r="B2671" s="3">
        <v>3330475</v>
      </c>
      <c r="C2671" s="1" t="s">
        <v>9</v>
      </c>
      <c r="D2671" s="1">
        <v>0</v>
      </c>
      <c r="E2671" s="1" t="s">
        <v>14722</v>
      </c>
      <c r="F2671" s="6">
        <v>12029039</v>
      </c>
      <c r="G2671" s="1" t="s">
        <v>4684</v>
      </c>
    </row>
    <row r="2672" spans="1:7" ht="21" x14ac:dyDescent="0.25">
      <c r="A2672" s="2" t="str">
        <f>HYPERLINK("https://rth.dk/resources/bsgatlas/details.php?id=BSGatlas-TSS-2671","BSGatlas-TSS-2671")</f>
        <v>BSGatlas-TSS-2671</v>
      </c>
      <c r="B2672" s="3">
        <v>3334745</v>
      </c>
      <c r="C2672" s="1" t="s">
        <v>9</v>
      </c>
      <c r="D2672" s="1">
        <v>22</v>
      </c>
      <c r="E2672" s="1" t="s">
        <v>14722</v>
      </c>
      <c r="F2672" s="6"/>
      <c r="G2672" s="1" t="s">
        <v>14726</v>
      </c>
    </row>
    <row r="2673" spans="1:7" ht="21" x14ac:dyDescent="0.25">
      <c r="A2673" s="2" t="str">
        <f>HYPERLINK("https://rth.dk/resources/bsgatlas/details.php?id=BSGatlas-TSS-2672","BSGatlas-TSS-2672")</f>
        <v>BSGatlas-TSS-2672</v>
      </c>
      <c r="B2673" s="3">
        <v>3335378</v>
      </c>
      <c r="C2673" s="1" t="s">
        <v>9</v>
      </c>
      <c r="D2673" s="1">
        <v>22</v>
      </c>
      <c r="E2673" s="1" t="s">
        <v>14725</v>
      </c>
      <c r="F2673" s="6"/>
      <c r="G2673" s="1" t="s">
        <v>14726</v>
      </c>
    </row>
    <row r="2674" spans="1:7" ht="21" x14ac:dyDescent="0.25">
      <c r="A2674" s="2" t="str">
        <f>HYPERLINK("https://rth.dk/resources/bsgatlas/details.php?id=BSGatlas-TSS-2673","BSGatlas-TSS-2673")</f>
        <v>BSGatlas-TSS-2673</v>
      </c>
      <c r="B2674" s="3">
        <v>3341024</v>
      </c>
      <c r="C2674" s="1" t="s">
        <v>13</v>
      </c>
      <c r="D2674" s="1">
        <v>22</v>
      </c>
      <c r="E2674" s="1" t="s">
        <v>14722</v>
      </c>
      <c r="F2674" s="6"/>
      <c r="G2674" s="1" t="s">
        <v>14733</v>
      </c>
    </row>
    <row r="2675" spans="1:7" ht="21" x14ac:dyDescent="0.25">
      <c r="A2675" s="2" t="str">
        <f>HYPERLINK("https://rth.dk/resources/bsgatlas/details.php?id=BSGatlas-TSS-2674","BSGatlas-TSS-2674")</f>
        <v>BSGatlas-TSS-2674</v>
      </c>
      <c r="B2675" s="3">
        <v>3341058</v>
      </c>
      <c r="C2675" s="1" t="s">
        <v>13</v>
      </c>
      <c r="D2675" s="1">
        <v>0</v>
      </c>
      <c r="E2675" s="1" t="s">
        <v>14722</v>
      </c>
      <c r="F2675" s="6" t="s">
        <v>15061</v>
      </c>
      <c r="G2675" s="1" t="s">
        <v>4382</v>
      </c>
    </row>
    <row r="2676" spans="1:7" ht="21" x14ac:dyDescent="0.25">
      <c r="A2676" s="2" t="str">
        <f>HYPERLINK("https://rth.dk/resources/bsgatlas/details.php?id=BSGatlas-TSS-2675","BSGatlas-TSS-2675")</f>
        <v>BSGatlas-TSS-2675</v>
      </c>
      <c r="B2676" s="3">
        <v>3343697</v>
      </c>
      <c r="C2676" s="1" t="s">
        <v>13</v>
      </c>
      <c r="D2676" s="1">
        <v>0</v>
      </c>
      <c r="E2676" s="1" t="s">
        <v>14722</v>
      </c>
      <c r="F2676" s="6" t="s">
        <v>15061</v>
      </c>
      <c r="G2676" s="1" t="s">
        <v>4382</v>
      </c>
    </row>
    <row r="2677" spans="1:7" ht="21" x14ac:dyDescent="0.25">
      <c r="A2677" s="2" t="str">
        <f>HYPERLINK("https://rth.dk/resources/bsgatlas/details.php?id=BSGatlas-TSS-2676","BSGatlas-TSS-2676")</f>
        <v>BSGatlas-TSS-2676</v>
      </c>
      <c r="B2677" s="3">
        <v>3344072</v>
      </c>
      <c r="C2677" s="1" t="s">
        <v>9</v>
      </c>
      <c r="D2677" s="1">
        <v>22</v>
      </c>
      <c r="E2677" s="1" t="s">
        <v>14722</v>
      </c>
      <c r="F2677" s="6"/>
      <c r="G2677" s="1" t="s">
        <v>14726</v>
      </c>
    </row>
    <row r="2678" spans="1:7" ht="21" x14ac:dyDescent="0.25">
      <c r="A2678" s="2" t="str">
        <f>HYPERLINK("https://rth.dk/resources/bsgatlas/details.php?id=BSGatlas-TSS-2677","BSGatlas-TSS-2677")</f>
        <v>BSGatlas-TSS-2677</v>
      </c>
      <c r="B2678" s="3">
        <v>3346185</v>
      </c>
      <c r="C2678" s="1" t="s">
        <v>9</v>
      </c>
      <c r="D2678" s="1">
        <v>22</v>
      </c>
      <c r="E2678" s="1" t="s">
        <v>14722</v>
      </c>
      <c r="F2678" s="6"/>
      <c r="G2678" s="1" t="s">
        <v>14726</v>
      </c>
    </row>
    <row r="2679" spans="1:7" ht="21" x14ac:dyDescent="0.25">
      <c r="A2679" s="2" t="str">
        <f>HYPERLINK("https://rth.dk/resources/bsgatlas/details.php?id=BSGatlas-TSS-2678","BSGatlas-TSS-2678")</f>
        <v>BSGatlas-TSS-2678</v>
      </c>
      <c r="B2679" s="3">
        <v>3346253</v>
      </c>
      <c r="C2679" s="1" t="s">
        <v>9</v>
      </c>
      <c r="D2679" s="1">
        <v>22</v>
      </c>
      <c r="E2679" s="1" t="s">
        <v>14722</v>
      </c>
      <c r="F2679" s="6"/>
      <c r="G2679" s="1" t="s">
        <v>14726</v>
      </c>
    </row>
    <row r="2680" spans="1:7" ht="21" x14ac:dyDescent="0.25">
      <c r="A2680" s="2" t="str">
        <f>HYPERLINK("https://rth.dk/resources/bsgatlas/details.php?id=BSGatlas-TSS-2679","BSGatlas-TSS-2679")</f>
        <v>BSGatlas-TSS-2679</v>
      </c>
      <c r="B2680" s="3">
        <v>3347250</v>
      </c>
      <c r="C2680" s="1" t="s">
        <v>13</v>
      </c>
      <c r="D2680" s="1">
        <v>22</v>
      </c>
      <c r="E2680" s="1" t="s">
        <v>14722</v>
      </c>
      <c r="F2680" s="6"/>
      <c r="G2680" s="1" t="s">
        <v>14726</v>
      </c>
    </row>
    <row r="2681" spans="1:7" ht="21" x14ac:dyDescent="0.25">
      <c r="A2681" s="2" t="str">
        <f>HYPERLINK("https://rth.dk/resources/bsgatlas/details.php?id=BSGatlas-TSS-2680","BSGatlas-TSS-2680")</f>
        <v>BSGatlas-TSS-2680</v>
      </c>
      <c r="B2681" s="3">
        <v>3347448</v>
      </c>
      <c r="C2681" s="1" t="s">
        <v>13</v>
      </c>
      <c r="D2681" s="1">
        <v>22</v>
      </c>
      <c r="E2681" s="1" t="s">
        <v>14720</v>
      </c>
      <c r="F2681" s="6"/>
      <c r="G2681" s="1" t="s">
        <v>14726</v>
      </c>
    </row>
    <row r="2682" spans="1:7" ht="21" x14ac:dyDescent="0.25">
      <c r="A2682" s="2" t="str">
        <f>HYPERLINK("https://rth.dk/resources/bsgatlas/details.php?id=BSGatlas-TSS-2681","BSGatlas-TSS-2681")</f>
        <v>BSGatlas-TSS-2681</v>
      </c>
      <c r="B2682" s="3">
        <v>3350980</v>
      </c>
      <c r="C2682" s="1" t="s">
        <v>9</v>
      </c>
      <c r="D2682" s="1">
        <v>22</v>
      </c>
      <c r="E2682" s="1" t="s">
        <v>14720</v>
      </c>
      <c r="F2682" s="6"/>
      <c r="G2682" s="1" t="s">
        <v>14726</v>
      </c>
    </row>
    <row r="2683" spans="1:7" ht="21" x14ac:dyDescent="0.25">
      <c r="A2683" s="2" t="str">
        <f>HYPERLINK("https://rth.dk/resources/bsgatlas/details.php?id=BSGatlas-TSS-2682","BSGatlas-TSS-2682")</f>
        <v>BSGatlas-TSS-2682</v>
      </c>
      <c r="B2683" s="3">
        <v>3352043</v>
      </c>
      <c r="C2683" s="1" t="s">
        <v>9</v>
      </c>
      <c r="D2683" s="1">
        <v>22</v>
      </c>
      <c r="E2683" s="1" t="s">
        <v>14720</v>
      </c>
      <c r="F2683" s="6"/>
      <c r="G2683" s="1" t="s">
        <v>14726</v>
      </c>
    </row>
    <row r="2684" spans="1:7" ht="21" x14ac:dyDescent="0.25">
      <c r="A2684" s="2" t="str">
        <f>HYPERLINK("https://rth.dk/resources/bsgatlas/details.php?id=BSGatlas-TSS-2683","BSGatlas-TSS-2683")</f>
        <v>BSGatlas-TSS-2683</v>
      </c>
      <c r="B2684" s="3">
        <v>3352143</v>
      </c>
      <c r="C2684" s="1" t="s">
        <v>13</v>
      </c>
      <c r="D2684" s="1">
        <v>0</v>
      </c>
      <c r="E2684" s="1" t="s">
        <v>14722</v>
      </c>
      <c r="F2684" s="6">
        <v>18083814</v>
      </c>
      <c r="G2684" s="1" t="s">
        <v>14747</v>
      </c>
    </row>
    <row r="2685" spans="1:7" ht="21" x14ac:dyDescent="0.25">
      <c r="A2685" s="2" t="str">
        <f>HYPERLINK("https://rth.dk/resources/bsgatlas/details.php?id=BSGatlas-TSS-2684","BSGatlas-TSS-2684")</f>
        <v>BSGatlas-TSS-2684</v>
      </c>
      <c r="B2685" s="3">
        <v>3352750</v>
      </c>
      <c r="C2685" s="1" t="s">
        <v>13</v>
      </c>
      <c r="D2685" s="1">
        <v>22</v>
      </c>
      <c r="E2685" s="1" t="s">
        <v>14732</v>
      </c>
      <c r="F2685" s="6"/>
      <c r="G2685" s="1" t="s">
        <v>14726</v>
      </c>
    </row>
    <row r="2686" spans="1:7" ht="21" x14ac:dyDescent="0.25">
      <c r="A2686" s="2" t="str">
        <f>HYPERLINK("https://rth.dk/resources/bsgatlas/details.php?id=BSGatlas-TSS-2685","BSGatlas-TSS-2685")</f>
        <v>BSGatlas-TSS-2685</v>
      </c>
      <c r="B2686" s="3">
        <v>3353938</v>
      </c>
      <c r="C2686" s="1" t="s">
        <v>13</v>
      </c>
      <c r="D2686" s="1">
        <v>22</v>
      </c>
      <c r="E2686" s="1" t="s">
        <v>14722</v>
      </c>
      <c r="F2686" s="6"/>
      <c r="G2686" s="1" t="s">
        <v>14726</v>
      </c>
    </row>
    <row r="2687" spans="1:7" ht="21" x14ac:dyDescent="0.25">
      <c r="A2687" s="2" t="str">
        <f>HYPERLINK("https://rth.dk/resources/bsgatlas/details.php?id=BSGatlas-TSS-2686","BSGatlas-TSS-2686")</f>
        <v>BSGatlas-TSS-2686</v>
      </c>
      <c r="B2687" s="3">
        <v>3354043</v>
      </c>
      <c r="C2687" s="1" t="s">
        <v>9</v>
      </c>
      <c r="D2687" s="1">
        <v>0</v>
      </c>
      <c r="E2687" s="1" t="s">
        <v>14725</v>
      </c>
      <c r="F2687" s="6" t="s">
        <v>15062</v>
      </c>
      <c r="G2687" s="1" t="s">
        <v>14729</v>
      </c>
    </row>
    <row r="2688" spans="1:7" ht="21" x14ac:dyDescent="0.25">
      <c r="A2688" s="2" t="str">
        <f>HYPERLINK("https://rth.dk/resources/bsgatlas/details.php?id=BSGatlas-TSS-2687","BSGatlas-TSS-2687")</f>
        <v>BSGatlas-TSS-2687</v>
      </c>
      <c r="B2688" s="3">
        <v>3354048</v>
      </c>
      <c r="C2688" s="1" t="s">
        <v>13</v>
      </c>
      <c r="D2688" s="1">
        <v>22</v>
      </c>
      <c r="E2688" s="1" t="s">
        <v>14720</v>
      </c>
      <c r="F2688" s="6"/>
      <c r="G2688" s="1" t="s">
        <v>14726</v>
      </c>
    </row>
    <row r="2689" spans="1:7" ht="21" x14ac:dyDescent="0.25">
      <c r="A2689" s="2" t="str">
        <f>HYPERLINK("https://rth.dk/resources/bsgatlas/details.php?id=BSGatlas-TSS-2688","BSGatlas-TSS-2688")</f>
        <v>BSGatlas-TSS-2688</v>
      </c>
      <c r="B2689" s="3">
        <v>3354356</v>
      </c>
      <c r="C2689" s="1" t="s">
        <v>13</v>
      </c>
      <c r="D2689" s="1">
        <v>22</v>
      </c>
      <c r="E2689" s="1" t="s">
        <v>14720</v>
      </c>
      <c r="F2689" s="6"/>
      <c r="G2689" s="1" t="s">
        <v>14726</v>
      </c>
    </row>
    <row r="2690" spans="1:7" ht="21" x14ac:dyDescent="0.25">
      <c r="A2690" s="2" t="str">
        <f>HYPERLINK("https://rth.dk/resources/bsgatlas/details.php?id=BSGatlas-TSS-2689","BSGatlas-TSS-2689")</f>
        <v>BSGatlas-TSS-2689</v>
      </c>
      <c r="B2690" s="3">
        <v>3355345</v>
      </c>
      <c r="C2690" s="1" t="s">
        <v>13</v>
      </c>
      <c r="D2690" s="1">
        <v>22</v>
      </c>
      <c r="E2690" s="1" t="s">
        <v>14722</v>
      </c>
      <c r="F2690" s="6"/>
      <c r="G2690" s="1" t="s">
        <v>14726</v>
      </c>
    </row>
    <row r="2691" spans="1:7" ht="21" x14ac:dyDescent="0.25">
      <c r="A2691" s="2" t="str">
        <f>HYPERLINK("https://rth.dk/resources/bsgatlas/details.php?id=BSGatlas-TSS-2690","BSGatlas-TSS-2690")</f>
        <v>BSGatlas-TSS-2690</v>
      </c>
      <c r="B2691" s="3">
        <v>3360825</v>
      </c>
      <c r="C2691" s="1" t="s">
        <v>13</v>
      </c>
      <c r="D2691" s="1">
        <v>22</v>
      </c>
      <c r="E2691" s="1" t="s">
        <v>14722</v>
      </c>
      <c r="F2691" s="6"/>
      <c r="G2691" s="1" t="s">
        <v>14726</v>
      </c>
    </row>
    <row r="2692" spans="1:7" ht="21" x14ac:dyDescent="0.25">
      <c r="A2692" s="2" t="str">
        <f>HYPERLINK("https://rth.dk/resources/bsgatlas/details.php?id=BSGatlas-TSS-2691","BSGatlas-TSS-2691")</f>
        <v>BSGatlas-TSS-2691</v>
      </c>
      <c r="B2692" s="3">
        <v>3360890</v>
      </c>
      <c r="C2692" s="1" t="s">
        <v>13</v>
      </c>
      <c r="D2692" s="1">
        <v>22</v>
      </c>
      <c r="E2692" s="1" t="s">
        <v>14722</v>
      </c>
      <c r="F2692" s="6"/>
      <c r="G2692" s="1" t="s">
        <v>14726</v>
      </c>
    </row>
    <row r="2693" spans="1:7" ht="21" x14ac:dyDescent="0.25">
      <c r="A2693" s="2" t="str">
        <f>HYPERLINK("https://rth.dk/resources/bsgatlas/details.php?id=BSGatlas-TSS-2692","BSGatlas-TSS-2692")</f>
        <v>BSGatlas-TSS-2692</v>
      </c>
      <c r="B2693" s="3">
        <v>3361196</v>
      </c>
      <c r="C2693" s="1" t="s">
        <v>13</v>
      </c>
      <c r="D2693" s="1">
        <v>22</v>
      </c>
      <c r="E2693" s="1" t="s">
        <v>14722</v>
      </c>
      <c r="F2693" s="6"/>
      <c r="G2693" s="1" t="s">
        <v>14733</v>
      </c>
    </row>
    <row r="2694" spans="1:7" ht="21" x14ac:dyDescent="0.25">
      <c r="A2694" s="2" t="str">
        <f>HYPERLINK("https://rth.dk/resources/bsgatlas/details.php?id=BSGatlas-TSS-2693","BSGatlas-TSS-2693")</f>
        <v>BSGatlas-TSS-2693</v>
      </c>
      <c r="B2694" s="3">
        <v>3361705</v>
      </c>
      <c r="C2694" s="1" t="s">
        <v>13</v>
      </c>
      <c r="D2694" s="1">
        <v>22</v>
      </c>
      <c r="E2694" s="1" t="s">
        <v>14732</v>
      </c>
      <c r="F2694" s="6"/>
      <c r="G2694" s="1" t="s">
        <v>14726</v>
      </c>
    </row>
    <row r="2695" spans="1:7" ht="21" x14ac:dyDescent="0.25">
      <c r="A2695" s="2" t="str">
        <f>HYPERLINK("https://rth.dk/resources/bsgatlas/details.php?id=BSGatlas-TSS-2694","BSGatlas-TSS-2694")</f>
        <v>BSGatlas-TSS-2694</v>
      </c>
      <c r="B2695" s="3">
        <v>3361974</v>
      </c>
      <c r="C2695" s="1" t="s">
        <v>9</v>
      </c>
      <c r="D2695" s="1">
        <v>22</v>
      </c>
      <c r="E2695" s="1" t="s">
        <v>14727</v>
      </c>
      <c r="F2695" s="6"/>
      <c r="G2695" s="1" t="s">
        <v>14726</v>
      </c>
    </row>
    <row r="2696" spans="1:7" ht="21" x14ac:dyDescent="0.25">
      <c r="A2696" s="2" t="str">
        <f>HYPERLINK("https://rth.dk/resources/bsgatlas/details.php?id=BSGatlas-TSS-2695","BSGatlas-TSS-2695")</f>
        <v>BSGatlas-TSS-2695</v>
      </c>
      <c r="B2696" s="3">
        <v>3364542</v>
      </c>
      <c r="C2696" s="1" t="s">
        <v>13</v>
      </c>
      <c r="D2696" s="1">
        <v>22</v>
      </c>
      <c r="E2696" s="1" t="s">
        <v>14722</v>
      </c>
      <c r="F2696" s="6"/>
      <c r="G2696" s="1" t="s">
        <v>14726</v>
      </c>
    </row>
    <row r="2697" spans="1:7" ht="21" x14ac:dyDescent="0.25">
      <c r="A2697" s="2" t="str">
        <f>HYPERLINK("https://rth.dk/resources/bsgatlas/details.php?id=BSGatlas-TSS-2696","BSGatlas-TSS-2696")</f>
        <v>BSGatlas-TSS-2696</v>
      </c>
      <c r="B2697" s="3">
        <v>3366082</v>
      </c>
      <c r="C2697" s="1" t="s">
        <v>13</v>
      </c>
      <c r="D2697" s="1">
        <v>22</v>
      </c>
      <c r="E2697" s="1" t="s">
        <v>14732</v>
      </c>
      <c r="F2697" s="6"/>
      <c r="G2697" s="1" t="s">
        <v>14726</v>
      </c>
    </row>
    <row r="2698" spans="1:7" ht="21" x14ac:dyDescent="0.25">
      <c r="A2698" s="2" t="str">
        <f>HYPERLINK("https://rth.dk/resources/bsgatlas/details.php?id=BSGatlas-TSS-2697","BSGatlas-TSS-2697")</f>
        <v>BSGatlas-TSS-2697</v>
      </c>
      <c r="B2698" s="3">
        <v>3366544</v>
      </c>
      <c r="C2698" s="1" t="s">
        <v>13</v>
      </c>
      <c r="D2698" s="1">
        <v>22</v>
      </c>
      <c r="E2698" s="1" t="s">
        <v>14722</v>
      </c>
      <c r="F2698" s="6"/>
      <c r="G2698" s="1" t="s">
        <v>14726</v>
      </c>
    </row>
    <row r="2699" spans="1:7" ht="21" x14ac:dyDescent="0.25">
      <c r="A2699" s="2" t="str">
        <f>HYPERLINK("https://rth.dk/resources/bsgatlas/details.php?id=BSGatlas-TSS-2698","BSGatlas-TSS-2698")</f>
        <v>BSGatlas-TSS-2698</v>
      </c>
      <c r="B2699" s="3">
        <v>3366962</v>
      </c>
      <c r="C2699" s="1" t="s">
        <v>13</v>
      </c>
      <c r="D2699" s="1">
        <v>22</v>
      </c>
      <c r="E2699" s="1" t="s">
        <v>14722</v>
      </c>
      <c r="F2699" s="6"/>
      <c r="G2699" s="1" t="s">
        <v>14726</v>
      </c>
    </row>
    <row r="2700" spans="1:7" ht="21" x14ac:dyDescent="0.25">
      <c r="A2700" s="2" t="str">
        <f>HYPERLINK("https://rth.dk/resources/bsgatlas/details.php?id=BSGatlas-TSS-2699","BSGatlas-TSS-2699")</f>
        <v>BSGatlas-TSS-2699</v>
      </c>
      <c r="B2700" s="3">
        <v>3371836</v>
      </c>
      <c r="C2700" s="1" t="s">
        <v>9</v>
      </c>
      <c r="D2700" s="1">
        <v>22</v>
      </c>
      <c r="E2700" s="1" t="s">
        <v>14727</v>
      </c>
      <c r="F2700" s="6"/>
      <c r="G2700" s="1" t="s">
        <v>14726</v>
      </c>
    </row>
    <row r="2701" spans="1:7" ht="21" x14ac:dyDescent="0.25">
      <c r="A2701" s="2" t="str">
        <f>HYPERLINK("https://rth.dk/resources/bsgatlas/details.php?id=BSGatlas-TSS-2700","BSGatlas-TSS-2700")</f>
        <v>BSGatlas-TSS-2700</v>
      </c>
      <c r="B2701" s="3">
        <v>3372465</v>
      </c>
      <c r="C2701" s="1" t="s">
        <v>13</v>
      </c>
      <c r="D2701" s="1">
        <v>0</v>
      </c>
      <c r="E2701" s="1" t="s">
        <v>14722</v>
      </c>
      <c r="F2701" s="6">
        <v>17189250</v>
      </c>
      <c r="G2701" s="1" t="s">
        <v>14730</v>
      </c>
    </row>
    <row r="2702" spans="1:7" ht="21" x14ac:dyDescent="0.25">
      <c r="A2702" s="2" t="str">
        <f>HYPERLINK("https://rth.dk/resources/bsgatlas/details.php?id=BSGatlas-TSS-2701","BSGatlas-TSS-2701")</f>
        <v>BSGatlas-TSS-2701</v>
      </c>
      <c r="B2702" s="3">
        <v>3372563</v>
      </c>
      <c r="C2702" s="1" t="s">
        <v>9</v>
      </c>
      <c r="D2702" s="1">
        <v>22</v>
      </c>
      <c r="E2702" s="1" t="s">
        <v>14732</v>
      </c>
      <c r="F2702" s="6"/>
      <c r="G2702" s="1" t="s">
        <v>14726</v>
      </c>
    </row>
    <row r="2703" spans="1:7" ht="21" x14ac:dyDescent="0.25">
      <c r="A2703" s="2" t="str">
        <f>HYPERLINK("https://rth.dk/resources/bsgatlas/details.php?id=BSGatlas-TSS-2702","BSGatlas-TSS-2702")</f>
        <v>BSGatlas-TSS-2702</v>
      </c>
      <c r="B2703" s="3">
        <v>3374171</v>
      </c>
      <c r="C2703" s="1" t="s">
        <v>13</v>
      </c>
      <c r="D2703" s="1">
        <v>22</v>
      </c>
      <c r="E2703" s="1" t="s">
        <v>14725</v>
      </c>
      <c r="F2703" s="6"/>
      <c r="G2703" s="1" t="s">
        <v>14733</v>
      </c>
    </row>
    <row r="2704" spans="1:7" ht="21" x14ac:dyDescent="0.25">
      <c r="A2704" s="2" t="str">
        <f>HYPERLINK("https://rth.dk/resources/bsgatlas/details.php?id=BSGatlas-TSS-2703","BSGatlas-TSS-2703")</f>
        <v>BSGatlas-TSS-2703</v>
      </c>
      <c r="B2704" s="3">
        <v>3374426</v>
      </c>
      <c r="C2704" s="1" t="s">
        <v>9</v>
      </c>
      <c r="D2704" s="1">
        <v>22</v>
      </c>
      <c r="E2704" s="1" t="s">
        <v>14722</v>
      </c>
      <c r="F2704" s="6"/>
      <c r="G2704" s="1" t="s">
        <v>14726</v>
      </c>
    </row>
    <row r="2705" spans="1:7" ht="21" x14ac:dyDescent="0.25">
      <c r="A2705" s="2" t="str">
        <f>HYPERLINK("https://rth.dk/resources/bsgatlas/details.php?id=BSGatlas-TSS-2704","BSGatlas-TSS-2704")</f>
        <v>BSGatlas-TSS-2704</v>
      </c>
      <c r="B2705" s="3">
        <v>3377808</v>
      </c>
      <c r="C2705" s="1" t="s">
        <v>13</v>
      </c>
      <c r="D2705" s="1">
        <v>22</v>
      </c>
      <c r="E2705" s="1" t="s">
        <v>14722</v>
      </c>
      <c r="F2705" s="6"/>
      <c r="G2705" s="1" t="s">
        <v>14726</v>
      </c>
    </row>
    <row r="2706" spans="1:7" ht="21" x14ac:dyDescent="0.25">
      <c r="A2706" s="2" t="str">
        <f>HYPERLINK("https://rth.dk/resources/bsgatlas/details.php?id=BSGatlas-TSS-2705","BSGatlas-TSS-2705")</f>
        <v>BSGatlas-TSS-2705</v>
      </c>
      <c r="B2706" s="3">
        <v>3377833</v>
      </c>
      <c r="C2706" s="1" t="s">
        <v>9</v>
      </c>
      <c r="D2706" s="1">
        <v>22</v>
      </c>
      <c r="E2706" s="1" t="s">
        <v>14722</v>
      </c>
      <c r="F2706" s="6"/>
      <c r="G2706" s="1" t="s">
        <v>14726</v>
      </c>
    </row>
    <row r="2707" spans="1:7" ht="21" x14ac:dyDescent="0.25">
      <c r="A2707" s="2" t="str">
        <f>HYPERLINK("https://rth.dk/resources/bsgatlas/details.php?id=BSGatlas-TSS-2706","BSGatlas-TSS-2706")</f>
        <v>BSGatlas-TSS-2706</v>
      </c>
      <c r="B2707" s="3">
        <v>3380077</v>
      </c>
      <c r="C2707" s="1" t="s">
        <v>13</v>
      </c>
      <c r="D2707" s="1">
        <v>22</v>
      </c>
      <c r="E2707" s="1" t="s">
        <v>14722</v>
      </c>
      <c r="F2707" s="6"/>
      <c r="G2707" s="1" t="s">
        <v>14733</v>
      </c>
    </row>
    <row r="2708" spans="1:7" ht="21" x14ac:dyDescent="0.25">
      <c r="A2708" s="2" t="str">
        <f>HYPERLINK("https://rth.dk/resources/bsgatlas/details.php?id=BSGatlas-TSS-2707","BSGatlas-TSS-2707")</f>
        <v>BSGatlas-TSS-2707</v>
      </c>
      <c r="B2708" s="3">
        <v>3380624</v>
      </c>
      <c r="C2708" s="1" t="s">
        <v>13</v>
      </c>
      <c r="D2708" s="1">
        <v>22</v>
      </c>
      <c r="E2708" s="1" t="s">
        <v>14727</v>
      </c>
      <c r="F2708" s="6"/>
      <c r="G2708" s="1" t="s">
        <v>14726</v>
      </c>
    </row>
    <row r="2709" spans="1:7" ht="21" x14ac:dyDescent="0.25">
      <c r="A2709" s="2" t="str">
        <f>HYPERLINK("https://rth.dk/resources/bsgatlas/details.php?id=BSGatlas-TSS-2708","BSGatlas-TSS-2708")</f>
        <v>BSGatlas-TSS-2708</v>
      </c>
      <c r="B2709" s="3">
        <v>3382538</v>
      </c>
      <c r="C2709" s="1" t="s">
        <v>13</v>
      </c>
      <c r="D2709" s="1">
        <v>22</v>
      </c>
      <c r="E2709" s="1" t="s">
        <v>14722</v>
      </c>
      <c r="F2709" s="6"/>
      <c r="G2709" s="1" t="s">
        <v>14726</v>
      </c>
    </row>
    <row r="2710" spans="1:7" ht="21" x14ac:dyDescent="0.25">
      <c r="A2710" s="2" t="str">
        <f>HYPERLINK("https://rth.dk/resources/bsgatlas/details.php?id=BSGatlas-TSS-2709","BSGatlas-TSS-2709")</f>
        <v>BSGatlas-TSS-2709</v>
      </c>
      <c r="B2710" s="3">
        <v>3382593</v>
      </c>
      <c r="C2710" s="1" t="s">
        <v>9</v>
      </c>
      <c r="D2710" s="1">
        <v>22</v>
      </c>
      <c r="E2710" s="1" t="s">
        <v>14722</v>
      </c>
      <c r="F2710" s="6"/>
      <c r="G2710" s="1" t="s">
        <v>14726</v>
      </c>
    </row>
    <row r="2711" spans="1:7" ht="21" x14ac:dyDescent="0.25">
      <c r="A2711" s="2" t="str">
        <f>HYPERLINK("https://rth.dk/resources/bsgatlas/details.php?id=BSGatlas-TSS-2710","BSGatlas-TSS-2710")</f>
        <v>BSGatlas-TSS-2710</v>
      </c>
      <c r="B2711" s="3">
        <v>3383034</v>
      </c>
      <c r="C2711" s="1" t="s">
        <v>9</v>
      </c>
      <c r="D2711" s="1">
        <v>22</v>
      </c>
      <c r="E2711" s="1" t="s">
        <v>14732</v>
      </c>
      <c r="F2711" s="6"/>
      <c r="G2711" s="1" t="s">
        <v>14726</v>
      </c>
    </row>
    <row r="2712" spans="1:7" ht="21" x14ac:dyDescent="0.25">
      <c r="A2712" s="2" t="str">
        <f>HYPERLINK("https://rth.dk/resources/bsgatlas/details.php?id=BSGatlas-TSS-2711","BSGatlas-TSS-2711")</f>
        <v>BSGatlas-TSS-2711</v>
      </c>
      <c r="B2712" s="3">
        <v>3383537</v>
      </c>
      <c r="C2712" s="1" t="s">
        <v>9</v>
      </c>
      <c r="D2712" s="1">
        <v>0</v>
      </c>
      <c r="E2712" s="1" t="s">
        <v>14722</v>
      </c>
      <c r="F2712" s="6" t="s">
        <v>14769</v>
      </c>
      <c r="G2712" s="1" t="s">
        <v>14729</v>
      </c>
    </row>
    <row r="2713" spans="1:7" ht="21" x14ac:dyDescent="0.25">
      <c r="A2713" s="2" t="str">
        <f>HYPERLINK("https://rth.dk/resources/bsgatlas/details.php?id=BSGatlas-TSS-2712","BSGatlas-TSS-2712")</f>
        <v>BSGatlas-TSS-2712</v>
      </c>
      <c r="B2713" s="3">
        <v>3385618</v>
      </c>
      <c r="C2713" s="1" t="s">
        <v>13</v>
      </c>
      <c r="D2713" s="1">
        <v>22</v>
      </c>
      <c r="E2713" s="1" t="s">
        <v>14722</v>
      </c>
      <c r="F2713" s="6"/>
      <c r="G2713" s="1" t="s">
        <v>14733</v>
      </c>
    </row>
    <row r="2714" spans="1:7" ht="21" x14ac:dyDescent="0.25">
      <c r="A2714" s="2" t="str">
        <f>HYPERLINK("https://rth.dk/resources/bsgatlas/details.php?id=BSGatlas-TSS-2713","BSGatlas-TSS-2713")</f>
        <v>BSGatlas-TSS-2713</v>
      </c>
      <c r="B2714" s="3">
        <v>3385625</v>
      </c>
      <c r="C2714" s="1" t="s">
        <v>9</v>
      </c>
      <c r="D2714" s="1">
        <v>0</v>
      </c>
      <c r="E2714" s="1" t="s">
        <v>14722</v>
      </c>
      <c r="F2714" s="6">
        <v>12270824</v>
      </c>
      <c r="G2714" s="1" t="s">
        <v>4382</v>
      </c>
    </row>
    <row r="2715" spans="1:7" ht="21" x14ac:dyDescent="0.25">
      <c r="A2715" s="2" t="str">
        <f>HYPERLINK("https://rth.dk/resources/bsgatlas/details.php?id=BSGatlas-TSS-2714","BSGatlas-TSS-2714")</f>
        <v>BSGatlas-TSS-2714</v>
      </c>
      <c r="B2715" s="3">
        <v>3385697</v>
      </c>
      <c r="C2715" s="1" t="s">
        <v>13</v>
      </c>
      <c r="D2715" s="1">
        <v>22</v>
      </c>
      <c r="E2715" s="1" t="s">
        <v>14722</v>
      </c>
      <c r="F2715" s="6"/>
      <c r="G2715" s="1" t="s">
        <v>14726</v>
      </c>
    </row>
    <row r="2716" spans="1:7" ht="21" x14ac:dyDescent="0.25">
      <c r="A2716" s="2" t="str">
        <f>HYPERLINK("https://rth.dk/resources/bsgatlas/details.php?id=BSGatlas-TSS-2715","BSGatlas-TSS-2715")</f>
        <v>BSGatlas-TSS-2715</v>
      </c>
      <c r="B2716" s="3">
        <v>3385706</v>
      </c>
      <c r="C2716" s="1" t="s">
        <v>9</v>
      </c>
      <c r="D2716" s="1">
        <v>0</v>
      </c>
      <c r="E2716" s="1" t="s">
        <v>14722</v>
      </c>
      <c r="F2716" s="6">
        <v>12270824</v>
      </c>
      <c r="G2716" s="1" t="s">
        <v>14729</v>
      </c>
    </row>
    <row r="2717" spans="1:7" ht="21" x14ac:dyDescent="0.25">
      <c r="A2717" s="2" t="str">
        <f>HYPERLINK("https://rth.dk/resources/bsgatlas/details.php?id=BSGatlas-TSS-2716","BSGatlas-TSS-2716")</f>
        <v>BSGatlas-TSS-2716</v>
      </c>
      <c r="B2717" s="3">
        <v>3388000</v>
      </c>
      <c r="C2717" s="1" t="s">
        <v>9</v>
      </c>
      <c r="D2717" s="1">
        <v>22</v>
      </c>
      <c r="E2717" s="1" t="s">
        <v>14722</v>
      </c>
      <c r="F2717" s="6"/>
      <c r="G2717" s="1" t="s">
        <v>14733</v>
      </c>
    </row>
    <row r="2718" spans="1:7" ht="21" x14ac:dyDescent="0.25">
      <c r="A2718" s="2" t="str">
        <f>HYPERLINK("https://rth.dk/resources/bsgatlas/details.php?id=BSGatlas-TSS-2717","BSGatlas-TSS-2717")</f>
        <v>BSGatlas-TSS-2717</v>
      </c>
      <c r="B2718" s="3">
        <v>3388007</v>
      </c>
      <c r="C2718" s="1" t="s">
        <v>13</v>
      </c>
      <c r="D2718" s="1">
        <v>22</v>
      </c>
      <c r="E2718" s="1" t="s">
        <v>14722</v>
      </c>
      <c r="F2718" s="6"/>
      <c r="G2718" s="1" t="s">
        <v>14726</v>
      </c>
    </row>
    <row r="2719" spans="1:7" ht="21" x14ac:dyDescent="0.25">
      <c r="A2719" s="2" t="str">
        <f>HYPERLINK("https://rth.dk/resources/bsgatlas/details.php?id=BSGatlas-TSS-2718","BSGatlas-TSS-2718")</f>
        <v>BSGatlas-TSS-2718</v>
      </c>
      <c r="B2719" s="3">
        <v>3388287</v>
      </c>
      <c r="C2719" s="1" t="s">
        <v>13</v>
      </c>
      <c r="D2719" s="1">
        <v>22</v>
      </c>
      <c r="E2719" s="1" t="s">
        <v>14722</v>
      </c>
      <c r="F2719" s="6"/>
      <c r="G2719" s="1" t="s">
        <v>14733</v>
      </c>
    </row>
    <row r="2720" spans="1:7" ht="21" x14ac:dyDescent="0.25">
      <c r="A2720" s="2" t="str">
        <f>HYPERLINK("https://rth.dk/resources/bsgatlas/details.php?id=BSGatlas-TSS-2719","BSGatlas-TSS-2719")</f>
        <v>BSGatlas-TSS-2719</v>
      </c>
      <c r="B2720" s="3">
        <v>3388830</v>
      </c>
      <c r="C2720" s="1" t="s">
        <v>13</v>
      </c>
      <c r="D2720" s="1">
        <v>22</v>
      </c>
      <c r="E2720" s="1" t="s">
        <v>14752</v>
      </c>
      <c r="F2720" s="6"/>
      <c r="G2720" s="1" t="s">
        <v>14733</v>
      </c>
    </row>
    <row r="2721" spans="1:7" ht="21" x14ac:dyDescent="0.25">
      <c r="A2721" s="2" t="str">
        <f>HYPERLINK("https://rth.dk/resources/bsgatlas/details.php?id=BSGatlas-TSS-2720","BSGatlas-TSS-2720")</f>
        <v>BSGatlas-TSS-2720</v>
      </c>
      <c r="B2721" s="3">
        <v>3390443</v>
      </c>
      <c r="C2721" s="1" t="s">
        <v>13</v>
      </c>
      <c r="D2721" s="1">
        <v>0</v>
      </c>
      <c r="E2721" s="1" t="s">
        <v>14745</v>
      </c>
      <c r="F2721" s="6" t="s">
        <v>15063</v>
      </c>
      <c r="G2721" s="1" t="s">
        <v>14729</v>
      </c>
    </row>
    <row r="2722" spans="1:7" ht="21" x14ac:dyDescent="0.25">
      <c r="A2722" s="2" t="str">
        <f>HYPERLINK("https://rth.dk/resources/bsgatlas/details.php?id=BSGatlas-TSS-2721","BSGatlas-TSS-2721")</f>
        <v>BSGatlas-TSS-2721</v>
      </c>
      <c r="B2722" s="3">
        <v>3390698</v>
      </c>
      <c r="C2722" s="1" t="s">
        <v>13</v>
      </c>
      <c r="D2722" s="1">
        <v>0</v>
      </c>
      <c r="E2722" s="1" t="s">
        <v>14722</v>
      </c>
      <c r="F2722" s="6" t="s">
        <v>15064</v>
      </c>
      <c r="G2722" s="1" t="s">
        <v>4382</v>
      </c>
    </row>
    <row r="2723" spans="1:7" ht="21" x14ac:dyDescent="0.25">
      <c r="A2723" s="2" t="str">
        <f>HYPERLINK("https://rth.dk/resources/bsgatlas/details.php?id=BSGatlas-TSS-2722","BSGatlas-TSS-2722")</f>
        <v>BSGatlas-TSS-2722</v>
      </c>
      <c r="B2723" s="3">
        <v>3390712</v>
      </c>
      <c r="C2723" s="1" t="s">
        <v>13</v>
      </c>
      <c r="D2723" s="1">
        <v>0</v>
      </c>
      <c r="E2723" s="1" t="s">
        <v>14722</v>
      </c>
      <c r="F2723" s="6" t="s">
        <v>15065</v>
      </c>
      <c r="G2723" s="1" t="s">
        <v>14730</v>
      </c>
    </row>
    <row r="2724" spans="1:7" ht="21" x14ac:dyDescent="0.25">
      <c r="A2724" s="2" t="str">
        <f>HYPERLINK("https://rth.dk/resources/bsgatlas/details.php?id=BSGatlas-TSS-2723","BSGatlas-TSS-2723")</f>
        <v>BSGatlas-TSS-2723</v>
      </c>
      <c r="B2724" s="3">
        <v>3390753</v>
      </c>
      <c r="C2724" s="1" t="s">
        <v>9</v>
      </c>
      <c r="D2724" s="1">
        <v>0</v>
      </c>
      <c r="E2724" s="1" t="s">
        <v>14849</v>
      </c>
      <c r="F2724" s="6" t="s">
        <v>15066</v>
      </c>
      <c r="G2724" s="1" t="s">
        <v>14729</v>
      </c>
    </row>
    <row r="2725" spans="1:7" ht="21" x14ac:dyDescent="0.25">
      <c r="A2725" s="2" t="str">
        <f>HYPERLINK("https://rth.dk/resources/bsgatlas/details.php?id=BSGatlas-TSS-2724","BSGatlas-TSS-2724")</f>
        <v>BSGatlas-TSS-2724</v>
      </c>
      <c r="B2725" s="3">
        <v>3397765</v>
      </c>
      <c r="C2725" s="1" t="s">
        <v>13</v>
      </c>
      <c r="D2725" s="1">
        <v>0</v>
      </c>
      <c r="E2725" s="1" t="s">
        <v>14722</v>
      </c>
      <c r="F2725" s="6">
        <v>16816187</v>
      </c>
      <c r="G2725" s="1" t="s">
        <v>14730</v>
      </c>
    </row>
    <row r="2726" spans="1:7" ht="21" x14ac:dyDescent="0.25">
      <c r="A2726" s="2" t="str">
        <f>HYPERLINK("https://rth.dk/resources/bsgatlas/details.php?id=BSGatlas-TSS-2725","BSGatlas-TSS-2725")</f>
        <v>BSGatlas-TSS-2725</v>
      </c>
      <c r="B2726" s="3">
        <v>3398956</v>
      </c>
      <c r="C2726" s="1" t="s">
        <v>13</v>
      </c>
      <c r="D2726" s="1">
        <v>0</v>
      </c>
      <c r="E2726" s="1" t="s">
        <v>14722</v>
      </c>
      <c r="F2726" s="6">
        <v>15273097</v>
      </c>
      <c r="G2726" s="1" t="s">
        <v>14729</v>
      </c>
    </row>
    <row r="2727" spans="1:7" ht="21" x14ac:dyDescent="0.25">
      <c r="A2727" s="2" t="str">
        <f>HYPERLINK("https://rth.dk/resources/bsgatlas/details.php?id=BSGatlas-TSS-2726","BSGatlas-TSS-2726")</f>
        <v>BSGatlas-TSS-2726</v>
      </c>
      <c r="B2727" s="3">
        <v>3400405</v>
      </c>
      <c r="C2727" s="1" t="s">
        <v>13</v>
      </c>
      <c r="D2727" s="1">
        <v>22</v>
      </c>
      <c r="E2727" s="1" t="s">
        <v>14722</v>
      </c>
      <c r="F2727" s="6"/>
      <c r="G2727" s="1" t="s">
        <v>14726</v>
      </c>
    </row>
    <row r="2728" spans="1:7" ht="21" x14ac:dyDescent="0.25">
      <c r="A2728" s="2" t="str">
        <f>HYPERLINK("https://rth.dk/resources/bsgatlas/details.php?id=BSGatlas-TSS-2727","BSGatlas-TSS-2727")</f>
        <v>BSGatlas-TSS-2727</v>
      </c>
      <c r="B2728" s="3">
        <v>3404707</v>
      </c>
      <c r="C2728" s="1" t="s">
        <v>13</v>
      </c>
      <c r="D2728" s="1">
        <v>22</v>
      </c>
      <c r="E2728" s="1" t="s">
        <v>14722</v>
      </c>
      <c r="F2728" s="6"/>
      <c r="G2728" s="1" t="s">
        <v>14733</v>
      </c>
    </row>
    <row r="2729" spans="1:7" ht="21" x14ac:dyDescent="0.25">
      <c r="A2729" s="2" t="str">
        <f>HYPERLINK("https://rth.dk/resources/bsgatlas/details.php?id=BSGatlas-TSS-2728","BSGatlas-TSS-2728")</f>
        <v>BSGatlas-TSS-2728</v>
      </c>
      <c r="B2729" s="3">
        <v>3404795</v>
      </c>
      <c r="C2729" s="1" t="s">
        <v>9</v>
      </c>
      <c r="D2729" s="1">
        <v>22</v>
      </c>
      <c r="E2729" s="1" t="s">
        <v>14722</v>
      </c>
      <c r="F2729" s="6"/>
      <c r="G2729" s="1" t="s">
        <v>14726</v>
      </c>
    </row>
    <row r="2730" spans="1:7" ht="21" x14ac:dyDescent="0.25">
      <c r="A2730" s="2" t="str">
        <f>HYPERLINK("https://rth.dk/resources/bsgatlas/details.php?id=BSGatlas-TSS-2729","BSGatlas-TSS-2729")</f>
        <v>BSGatlas-TSS-2729</v>
      </c>
      <c r="B2730" s="3">
        <v>3406585</v>
      </c>
      <c r="C2730" s="1" t="s">
        <v>13</v>
      </c>
      <c r="D2730" s="1">
        <v>22</v>
      </c>
      <c r="E2730" s="1" t="s">
        <v>14734</v>
      </c>
      <c r="F2730" s="6"/>
      <c r="G2730" s="1" t="s">
        <v>14726</v>
      </c>
    </row>
    <row r="2731" spans="1:7" ht="21" x14ac:dyDescent="0.25">
      <c r="A2731" s="2" t="str">
        <f>HYPERLINK("https://rth.dk/resources/bsgatlas/details.php?id=BSGatlas-TSS-2730","BSGatlas-TSS-2730")</f>
        <v>BSGatlas-TSS-2730</v>
      </c>
      <c r="B2731" s="3">
        <v>3409115</v>
      </c>
      <c r="C2731" s="1" t="s">
        <v>13</v>
      </c>
      <c r="D2731" s="1">
        <v>22</v>
      </c>
      <c r="E2731" s="1" t="s">
        <v>14722</v>
      </c>
      <c r="F2731" s="6"/>
      <c r="G2731" s="1" t="s">
        <v>14726</v>
      </c>
    </row>
    <row r="2732" spans="1:7" ht="21" x14ac:dyDescent="0.25">
      <c r="A2732" s="2" t="str">
        <f>HYPERLINK("https://rth.dk/resources/bsgatlas/details.php?id=BSGatlas-TSS-2731","BSGatlas-TSS-2731")</f>
        <v>BSGatlas-TSS-2731</v>
      </c>
      <c r="B2732" s="3">
        <v>3409463</v>
      </c>
      <c r="C2732" s="1" t="s">
        <v>13</v>
      </c>
      <c r="D2732" s="1">
        <v>22</v>
      </c>
      <c r="E2732" s="1" t="s">
        <v>14734</v>
      </c>
      <c r="F2732" s="6"/>
      <c r="G2732" s="1" t="s">
        <v>14726</v>
      </c>
    </row>
    <row r="2733" spans="1:7" ht="21" x14ac:dyDescent="0.25">
      <c r="A2733" s="2" t="str">
        <f>HYPERLINK("https://rth.dk/resources/bsgatlas/details.php?id=BSGatlas-TSS-2732","BSGatlas-TSS-2732")</f>
        <v>BSGatlas-TSS-2732</v>
      </c>
      <c r="B2733" s="3">
        <v>3410002</v>
      </c>
      <c r="C2733" s="1" t="s">
        <v>13</v>
      </c>
      <c r="D2733" s="1">
        <v>22</v>
      </c>
      <c r="E2733" s="1" t="s">
        <v>14722</v>
      </c>
      <c r="F2733" s="6"/>
      <c r="G2733" s="1" t="s">
        <v>14726</v>
      </c>
    </row>
    <row r="2734" spans="1:7" ht="21" x14ac:dyDescent="0.25">
      <c r="A2734" s="2" t="str">
        <f>HYPERLINK("https://rth.dk/resources/bsgatlas/details.php?id=BSGatlas-TSS-2733","BSGatlas-TSS-2733")</f>
        <v>BSGatlas-TSS-2733</v>
      </c>
      <c r="B2734" s="3">
        <v>3410048</v>
      </c>
      <c r="C2734" s="1" t="s">
        <v>13</v>
      </c>
      <c r="D2734" s="1">
        <v>0</v>
      </c>
      <c r="E2734" s="1" t="s">
        <v>15067</v>
      </c>
      <c r="F2734" s="6" t="s">
        <v>15068</v>
      </c>
      <c r="G2734" s="1" t="s">
        <v>14747</v>
      </c>
    </row>
    <row r="2735" spans="1:7" ht="21" x14ac:dyDescent="0.25">
      <c r="A2735" s="2" t="str">
        <f>HYPERLINK("https://rth.dk/resources/bsgatlas/details.php?id=BSGatlas-TSS-2734","BSGatlas-TSS-2734")</f>
        <v>BSGatlas-TSS-2734</v>
      </c>
      <c r="B2735" s="3">
        <v>3410151</v>
      </c>
      <c r="C2735" s="1" t="s">
        <v>9</v>
      </c>
      <c r="D2735" s="1">
        <v>22</v>
      </c>
      <c r="E2735" s="1" t="s">
        <v>14720</v>
      </c>
      <c r="F2735" s="6"/>
      <c r="G2735" s="1" t="s">
        <v>14726</v>
      </c>
    </row>
    <row r="2736" spans="1:7" ht="21" x14ac:dyDescent="0.25">
      <c r="A2736" s="2" t="str">
        <f>HYPERLINK("https://rth.dk/resources/bsgatlas/details.php?id=BSGatlas-TSS-2735","BSGatlas-TSS-2735")</f>
        <v>BSGatlas-TSS-2735</v>
      </c>
      <c r="B2736" s="3">
        <v>3410395</v>
      </c>
      <c r="C2736" s="1" t="s">
        <v>9</v>
      </c>
      <c r="D2736" s="1">
        <v>0</v>
      </c>
      <c r="E2736" s="1" t="s">
        <v>15067</v>
      </c>
      <c r="F2736" s="6">
        <v>18573182</v>
      </c>
      <c r="G2736" s="1" t="s">
        <v>14778</v>
      </c>
    </row>
    <row r="2737" spans="1:7" ht="21" x14ac:dyDescent="0.25">
      <c r="A2737" s="2" t="str">
        <f>HYPERLINK("https://rth.dk/resources/bsgatlas/details.php?id=BSGatlas-TSS-2736","BSGatlas-TSS-2736")</f>
        <v>BSGatlas-TSS-2736</v>
      </c>
      <c r="B2737" s="3">
        <v>3415273</v>
      </c>
      <c r="C2737" s="1" t="s">
        <v>13</v>
      </c>
      <c r="D2737" s="1">
        <v>22</v>
      </c>
      <c r="E2737" s="1" t="s">
        <v>14722</v>
      </c>
      <c r="F2737" s="6"/>
      <c r="G2737" s="1" t="s">
        <v>14726</v>
      </c>
    </row>
    <row r="2738" spans="1:7" ht="21" x14ac:dyDescent="0.25">
      <c r="A2738" s="2" t="str">
        <f>HYPERLINK("https://rth.dk/resources/bsgatlas/details.php?id=BSGatlas-TSS-2737","BSGatlas-TSS-2737")</f>
        <v>BSGatlas-TSS-2737</v>
      </c>
      <c r="B2738" s="3">
        <v>3415569</v>
      </c>
      <c r="C2738" s="1" t="s">
        <v>9</v>
      </c>
      <c r="D2738" s="1">
        <v>22</v>
      </c>
      <c r="E2738" s="1" t="s">
        <v>14725</v>
      </c>
      <c r="F2738" s="6"/>
      <c r="G2738" s="1" t="s">
        <v>14726</v>
      </c>
    </row>
    <row r="2739" spans="1:7" ht="21" x14ac:dyDescent="0.25">
      <c r="A2739" s="2" t="str">
        <f>HYPERLINK("https://rth.dk/resources/bsgatlas/details.php?id=BSGatlas-TSS-2738","BSGatlas-TSS-2738")</f>
        <v>BSGatlas-TSS-2738</v>
      </c>
      <c r="B2739" s="3">
        <v>3418326</v>
      </c>
      <c r="C2739" s="1" t="s">
        <v>13</v>
      </c>
      <c r="D2739" s="1">
        <v>22</v>
      </c>
      <c r="E2739" s="1" t="s">
        <v>14722</v>
      </c>
      <c r="F2739" s="6"/>
      <c r="G2739" s="1" t="s">
        <v>14726</v>
      </c>
    </row>
    <row r="2740" spans="1:7" ht="21" x14ac:dyDescent="0.25">
      <c r="A2740" s="2" t="str">
        <f>HYPERLINK("https://rth.dk/resources/bsgatlas/details.php?id=BSGatlas-TSS-2739","BSGatlas-TSS-2739")</f>
        <v>BSGatlas-TSS-2739</v>
      </c>
      <c r="B2740" s="3">
        <v>3418419</v>
      </c>
      <c r="C2740" s="1" t="s">
        <v>9</v>
      </c>
      <c r="D2740" s="1">
        <v>22</v>
      </c>
      <c r="E2740" s="1" t="s">
        <v>14722</v>
      </c>
      <c r="F2740" s="6"/>
      <c r="G2740" s="1" t="s">
        <v>14726</v>
      </c>
    </row>
    <row r="2741" spans="1:7" ht="21" x14ac:dyDescent="0.25">
      <c r="A2741" s="2" t="str">
        <f>HYPERLINK("https://rth.dk/resources/bsgatlas/details.php?id=BSGatlas-TSS-2740","BSGatlas-TSS-2740")</f>
        <v>BSGatlas-TSS-2740</v>
      </c>
      <c r="B2741" s="3">
        <v>3420512</v>
      </c>
      <c r="C2741" s="1" t="s">
        <v>9</v>
      </c>
      <c r="D2741" s="1">
        <v>22</v>
      </c>
      <c r="E2741" s="1" t="s">
        <v>14720</v>
      </c>
      <c r="F2741" s="6"/>
      <c r="G2741" s="1" t="s">
        <v>14726</v>
      </c>
    </row>
    <row r="2742" spans="1:7" ht="21" x14ac:dyDescent="0.25">
      <c r="A2742" s="2" t="str">
        <f>HYPERLINK("https://rth.dk/resources/bsgatlas/details.php?id=BSGatlas-TSS-2741","BSGatlas-TSS-2741")</f>
        <v>BSGatlas-TSS-2741</v>
      </c>
      <c r="B2742" s="3">
        <v>3421389</v>
      </c>
      <c r="C2742" s="1" t="s">
        <v>13</v>
      </c>
      <c r="D2742" s="1">
        <v>22</v>
      </c>
      <c r="E2742" s="1" t="s">
        <v>14722</v>
      </c>
      <c r="F2742" s="6"/>
      <c r="G2742" s="1" t="s">
        <v>14726</v>
      </c>
    </row>
    <row r="2743" spans="1:7" ht="21" x14ac:dyDescent="0.25">
      <c r="A2743" s="2" t="str">
        <f>HYPERLINK("https://rth.dk/resources/bsgatlas/details.php?id=BSGatlas-TSS-2742","BSGatlas-TSS-2742")</f>
        <v>BSGatlas-TSS-2742</v>
      </c>
      <c r="B2743" s="3">
        <v>3421634</v>
      </c>
      <c r="C2743" s="1" t="s">
        <v>13</v>
      </c>
      <c r="D2743" s="1">
        <v>0</v>
      </c>
      <c r="E2743" s="1" t="s">
        <v>14743</v>
      </c>
      <c r="F2743" s="6" t="s">
        <v>15062</v>
      </c>
      <c r="G2743" s="1" t="s">
        <v>14729</v>
      </c>
    </row>
    <row r="2744" spans="1:7" ht="21" x14ac:dyDescent="0.25">
      <c r="A2744" s="2" t="str">
        <f>HYPERLINK("https://rth.dk/resources/bsgatlas/details.php?id=BSGatlas-TSS-2743","BSGatlas-TSS-2743")</f>
        <v>BSGatlas-TSS-2743</v>
      </c>
      <c r="B2744" s="3">
        <v>3421716</v>
      </c>
      <c r="C2744" s="1" t="s">
        <v>9</v>
      </c>
      <c r="D2744" s="1">
        <v>22</v>
      </c>
      <c r="E2744" s="1" t="s">
        <v>14722</v>
      </c>
      <c r="F2744" s="6"/>
      <c r="G2744" s="1" t="s">
        <v>14726</v>
      </c>
    </row>
    <row r="2745" spans="1:7" ht="21" x14ac:dyDescent="0.25">
      <c r="A2745" s="2" t="str">
        <f>HYPERLINK("https://rth.dk/resources/bsgatlas/details.php?id=BSGatlas-TSS-2744","BSGatlas-TSS-2744")</f>
        <v>BSGatlas-TSS-2744</v>
      </c>
      <c r="B2745" s="3">
        <v>3422223</v>
      </c>
      <c r="C2745" s="1" t="s">
        <v>13</v>
      </c>
      <c r="D2745" s="1">
        <v>33</v>
      </c>
      <c r="E2745" s="1" t="s">
        <v>14720</v>
      </c>
      <c r="F2745" s="6"/>
      <c r="G2745" s="1" t="s">
        <v>14721</v>
      </c>
    </row>
    <row r="2746" spans="1:7" ht="21" x14ac:dyDescent="0.25">
      <c r="A2746" s="2" t="str">
        <f>HYPERLINK("https://rth.dk/resources/bsgatlas/details.php?id=BSGatlas-TSS-2745","BSGatlas-TSS-2745")</f>
        <v>BSGatlas-TSS-2745</v>
      </c>
      <c r="B2746" s="3">
        <v>3422301</v>
      </c>
      <c r="C2746" s="1" t="s">
        <v>9</v>
      </c>
      <c r="D2746" s="1">
        <v>22</v>
      </c>
      <c r="E2746" s="1" t="s">
        <v>14722</v>
      </c>
      <c r="F2746" s="6"/>
      <c r="G2746" s="1" t="s">
        <v>14726</v>
      </c>
    </row>
    <row r="2747" spans="1:7" ht="21" x14ac:dyDescent="0.25">
      <c r="A2747" s="2" t="str">
        <f>HYPERLINK("https://rth.dk/resources/bsgatlas/details.php?id=BSGatlas-TSS-2746","BSGatlas-TSS-2746")</f>
        <v>BSGatlas-TSS-2746</v>
      </c>
      <c r="B2747" s="3">
        <v>3425194</v>
      </c>
      <c r="C2747" s="1" t="s">
        <v>13</v>
      </c>
      <c r="D2747" s="1">
        <v>22</v>
      </c>
      <c r="E2747" s="1" t="s">
        <v>14722</v>
      </c>
      <c r="F2747" s="6"/>
      <c r="G2747" s="1" t="s">
        <v>14726</v>
      </c>
    </row>
    <row r="2748" spans="1:7" ht="21" x14ac:dyDescent="0.25">
      <c r="A2748" s="2" t="str">
        <f>HYPERLINK("https://rth.dk/resources/bsgatlas/details.php?id=BSGatlas-TSS-2747","BSGatlas-TSS-2747")</f>
        <v>BSGatlas-TSS-2747</v>
      </c>
      <c r="B2748" s="3">
        <v>3425239</v>
      </c>
      <c r="C2748" s="1" t="s">
        <v>9</v>
      </c>
      <c r="D2748" s="1">
        <v>22</v>
      </c>
      <c r="E2748" s="1" t="s">
        <v>14722</v>
      </c>
      <c r="F2748" s="6"/>
      <c r="G2748" s="1" t="s">
        <v>14726</v>
      </c>
    </row>
    <row r="2749" spans="1:7" ht="21" x14ac:dyDescent="0.25">
      <c r="A2749" s="2" t="str">
        <f>HYPERLINK("https://rth.dk/resources/bsgatlas/details.php?id=BSGatlas-TSS-2748","BSGatlas-TSS-2748")</f>
        <v>BSGatlas-TSS-2748</v>
      </c>
      <c r="B2749" s="3">
        <v>3427471</v>
      </c>
      <c r="C2749" s="1" t="s">
        <v>9</v>
      </c>
      <c r="D2749" s="1">
        <v>22</v>
      </c>
      <c r="E2749" s="1" t="s">
        <v>14720</v>
      </c>
      <c r="F2749" s="6"/>
      <c r="G2749" s="1" t="s">
        <v>14726</v>
      </c>
    </row>
    <row r="2750" spans="1:7" ht="21" x14ac:dyDescent="0.25">
      <c r="A2750" s="2" t="str">
        <f>HYPERLINK("https://rth.dk/resources/bsgatlas/details.php?id=BSGatlas-TSS-2749","BSGatlas-TSS-2749")</f>
        <v>BSGatlas-TSS-2749</v>
      </c>
      <c r="B2750" s="3">
        <v>3427627</v>
      </c>
      <c r="C2750" s="1" t="s">
        <v>13</v>
      </c>
      <c r="D2750" s="1">
        <v>22</v>
      </c>
      <c r="E2750" s="1" t="s">
        <v>14722</v>
      </c>
      <c r="F2750" s="6"/>
      <c r="G2750" s="1" t="s">
        <v>14726</v>
      </c>
    </row>
    <row r="2751" spans="1:7" ht="21" x14ac:dyDescent="0.25">
      <c r="A2751" s="2" t="str">
        <f>HYPERLINK("https://rth.dk/resources/bsgatlas/details.php?id=BSGatlas-TSS-2750","BSGatlas-TSS-2750")</f>
        <v>BSGatlas-TSS-2750</v>
      </c>
      <c r="B2751" s="3">
        <v>3427755</v>
      </c>
      <c r="C2751" s="1" t="s">
        <v>9</v>
      </c>
      <c r="D2751" s="1">
        <v>22</v>
      </c>
      <c r="E2751" s="1" t="s">
        <v>14734</v>
      </c>
      <c r="F2751" s="6"/>
      <c r="G2751" s="1" t="s">
        <v>14726</v>
      </c>
    </row>
    <row r="2752" spans="1:7" ht="21" x14ac:dyDescent="0.25">
      <c r="A2752" s="2" t="str">
        <f>HYPERLINK("https://rth.dk/resources/bsgatlas/details.php?id=BSGatlas-TSS-2751","BSGatlas-TSS-2751")</f>
        <v>BSGatlas-TSS-2751</v>
      </c>
      <c r="B2752" s="3">
        <v>3430011</v>
      </c>
      <c r="C2752" s="1" t="s">
        <v>13</v>
      </c>
      <c r="D2752" s="1">
        <v>22</v>
      </c>
      <c r="E2752" s="1" t="s">
        <v>14720</v>
      </c>
      <c r="F2752" s="6"/>
      <c r="G2752" s="1" t="s">
        <v>14726</v>
      </c>
    </row>
    <row r="2753" spans="1:7" ht="21" x14ac:dyDescent="0.25">
      <c r="A2753" s="2" t="str">
        <f>HYPERLINK("https://rth.dk/resources/bsgatlas/details.php?id=BSGatlas-TSS-2752","BSGatlas-TSS-2752")</f>
        <v>BSGatlas-TSS-2752</v>
      </c>
      <c r="B2753" s="3">
        <v>3430495</v>
      </c>
      <c r="C2753" s="1" t="s">
        <v>13</v>
      </c>
      <c r="D2753" s="1">
        <v>22</v>
      </c>
      <c r="E2753" s="1" t="s">
        <v>14722</v>
      </c>
      <c r="F2753" s="6"/>
      <c r="G2753" s="1" t="s">
        <v>14733</v>
      </c>
    </row>
    <row r="2754" spans="1:7" ht="21" x14ac:dyDescent="0.25">
      <c r="A2754" s="2" t="str">
        <f>HYPERLINK("https://rth.dk/resources/bsgatlas/details.php?id=BSGatlas-TSS-2753","BSGatlas-TSS-2753")</f>
        <v>BSGatlas-TSS-2753</v>
      </c>
      <c r="B2754" s="3">
        <v>3434200</v>
      </c>
      <c r="C2754" s="1" t="s">
        <v>13</v>
      </c>
      <c r="D2754" s="1">
        <v>0</v>
      </c>
      <c r="E2754" s="1" t="s">
        <v>14722</v>
      </c>
      <c r="F2754" s="6" t="s">
        <v>15069</v>
      </c>
      <c r="G2754" s="1" t="s">
        <v>14729</v>
      </c>
    </row>
    <row r="2755" spans="1:7" ht="21" x14ac:dyDescent="0.25">
      <c r="A2755" s="2" t="str">
        <f>HYPERLINK("https://rth.dk/resources/bsgatlas/details.php?id=BSGatlas-TSS-2754","BSGatlas-TSS-2754")</f>
        <v>BSGatlas-TSS-2754</v>
      </c>
      <c r="B2755" s="3">
        <v>3434220</v>
      </c>
      <c r="C2755" s="1" t="s">
        <v>9</v>
      </c>
      <c r="D2755" s="1">
        <v>22</v>
      </c>
      <c r="E2755" s="1" t="s">
        <v>14722</v>
      </c>
      <c r="F2755" s="6"/>
      <c r="G2755" s="1" t="s">
        <v>14726</v>
      </c>
    </row>
    <row r="2756" spans="1:7" ht="21" x14ac:dyDescent="0.25">
      <c r="A2756" s="2" t="str">
        <f>HYPERLINK("https://rth.dk/resources/bsgatlas/details.php?id=BSGatlas-TSS-2755","BSGatlas-TSS-2755")</f>
        <v>BSGatlas-TSS-2755</v>
      </c>
      <c r="B2756" s="3">
        <v>3436697</v>
      </c>
      <c r="C2756" s="1" t="s">
        <v>9</v>
      </c>
      <c r="D2756" s="1">
        <v>22</v>
      </c>
      <c r="E2756" s="1" t="s">
        <v>14722</v>
      </c>
      <c r="F2756" s="6"/>
      <c r="G2756" s="1" t="s">
        <v>14726</v>
      </c>
    </row>
    <row r="2757" spans="1:7" ht="21" x14ac:dyDescent="0.25">
      <c r="A2757" s="2" t="str">
        <f>HYPERLINK("https://rth.dk/resources/bsgatlas/details.php?id=BSGatlas-TSS-2756","BSGatlas-TSS-2756")</f>
        <v>BSGatlas-TSS-2756</v>
      </c>
      <c r="B2757" s="3">
        <v>3436699</v>
      </c>
      <c r="C2757" s="1" t="s">
        <v>13</v>
      </c>
      <c r="D2757" s="1">
        <v>22</v>
      </c>
      <c r="E2757" s="1" t="s">
        <v>14720</v>
      </c>
      <c r="F2757" s="6"/>
      <c r="G2757" s="1" t="s">
        <v>14726</v>
      </c>
    </row>
    <row r="2758" spans="1:7" ht="21" x14ac:dyDescent="0.25">
      <c r="A2758" s="2" t="str">
        <f>HYPERLINK("https://rth.dk/resources/bsgatlas/details.php?id=BSGatlas-TSS-2757","BSGatlas-TSS-2757")</f>
        <v>BSGatlas-TSS-2757</v>
      </c>
      <c r="B2758" s="3">
        <v>3436753</v>
      </c>
      <c r="C2758" s="1" t="s">
        <v>13</v>
      </c>
      <c r="D2758" s="1">
        <v>22</v>
      </c>
      <c r="E2758" s="1" t="s">
        <v>14722</v>
      </c>
      <c r="F2758" s="6"/>
      <c r="G2758" s="1" t="s">
        <v>14726</v>
      </c>
    </row>
    <row r="2759" spans="1:7" ht="21" x14ac:dyDescent="0.25">
      <c r="A2759" s="2" t="str">
        <f>HYPERLINK("https://rth.dk/resources/bsgatlas/details.php?id=BSGatlas-TSS-2758","BSGatlas-TSS-2758")</f>
        <v>BSGatlas-TSS-2758</v>
      </c>
      <c r="B2759" s="3">
        <v>3436809</v>
      </c>
      <c r="C2759" s="1" t="s">
        <v>13</v>
      </c>
      <c r="D2759" s="1">
        <v>22</v>
      </c>
      <c r="E2759" s="1" t="s">
        <v>14725</v>
      </c>
      <c r="F2759" s="6"/>
      <c r="G2759" s="1" t="s">
        <v>14726</v>
      </c>
    </row>
    <row r="2760" spans="1:7" ht="21" x14ac:dyDescent="0.25">
      <c r="A2760" s="2" t="str">
        <f>HYPERLINK("https://rth.dk/resources/bsgatlas/details.php?id=BSGatlas-TSS-2759","BSGatlas-TSS-2759")</f>
        <v>BSGatlas-TSS-2759</v>
      </c>
      <c r="B2760" s="3">
        <v>3437513</v>
      </c>
      <c r="C2760" s="1" t="s">
        <v>13</v>
      </c>
      <c r="D2760" s="1">
        <v>22</v>
      </c>
      <c r="E2760" s="1" t="s">
        <v>14722</v>
      </c>
      <c r="F2760" s="6"/>
      <c r="G2760" s="1" t="s">
        <v>14726</v>
      </c>
    </row>
    <row r="2761" spans="1:7" ht="21" x14ac:dyDescent="0.25">
      <c r="A2761" s="2" t="str">
        <f>HYPERLINK("https://rth.dk/resources/bsgatlas/details.php?id=BSGatlas-TSS-2760","BSGatlas-TSS-2760")</f>
        <v>BSGatlas-TSS-2760</v>
      </c>
      <c r="B2761" s="3">
        <v>3438800</v>
      </c>
      <c r="C2761" s="1" t="s">
        <v>13</v>
      </c>
      <c r="D2761" s="1">
        <v>22</v>
      </c>
      <c r="E2761" s="1" t="s">
        <v>14722</v>
      </c>
      <c r="F2761" s="6"/>
      <c r="G2761" s="1" t="s">
        <v>14726</v>
      </c>
    </row>
    <row r="2762" spans="1:7" ht="21" x14ac:dyDescent="0.25">
      <c r="A2762" s="2" t="str">
        <f>HYPERLINK("https://rth.dk/resources/bsgatlas/details.php?id=BSGatlas-TSS-2761","BSGatlas-TSS-2761")</f>
        <v>BSGatlas-TSS-2761</v>
      </c>
      <c r="B2762" s="3">
        <v>3441054</v>
      </c>
      <c r="C2762" s="1" t="s">
        <v>13</v>
      </c>
      <c r="D2762" s="1">
        <v>22</v>
      </c>
      <c r="E2762" s="1" t="s">
        <v>14722</v>
      </c>
      <c r="F2762" s="6"/>
      <c r="G2762" s="1" t="s">
        <v>14733</v>
      </c>
    </row>
    <row r="2763" spans="1:7" ht="21" x14ac:dyDescent="0.25">
      <c r="A2763" s="2" t="str">
        <f>HYPERLINK("https://rth.dk/resources/bsgatlas/details.php?id=BSGatlas-TSS-2762","BSGatlas-TSS-2762")</f>
        <v>BSGatlas-TSS-2762</v>
      </c>
      <c r="B2763" s="3">
        <v>3443867</v>
      </c>
      <c r="C2763" s="1" t="s">
        <v>13</v>
      </c>
      <c r="D2763" s="1">
        <v>22</v>
      </c>
      <c r="E2763" s="1" t="s">
        <v>14722</v>
      </c>
      <c r="F2763" s="6"/>
      <c r="G2763" s="1" t="s">
        <v>14726</v>
      </c>
    </row>
    <row r="2764" spans="1:7" ht="21" x14ac:dyDescent="0.25">
      <c r="A2764" s="2" t="str">
        <f>HYPERLINK("https://rth.dk/resources/bsgatlas/details.php?id=BSGatlas-TSS-2763","BSGatlas-TSS-2763")</f>
        <v>BSGatlas-TSS-2763</v>
      </c>
      <c r="B2764" s="3">
        <v>3444176</v>
      </c>
      <c r="C2764" s="1" t="s">
        <v>9</v>
      </c>
      <c r="D2764" s="1">
        <v>22</v>
      </c>
      <c r="E2764" s="1" t="s">
        <v>14722</v>
      </c>
      <c r="F2764" s="6"/>
      <c r="G2764" s="1" t="s">
        <v>14726</v>
      </c>
    </row>
    <row r="2765" spans="1:7" ht="21" x14ac:dyDescent="0.25">
      <c r="A2765" s="2" t="str">
        <f>HYPERLINK("https://rth.dk/resources/bsgatlas/details.php?id=BSGatlas-TSS-2764","BSGatlas-TSS-2764")</f>
        <v>BSGatlas-TSS-2764</v>
      </c>
      <c r="B2765" s="3">
        <v>3444241</v>
      </c>
      <c r="C2765" s="1" t="s">
        <v>13</v>
      </c>
      <c r="D2765" s="1">
        <v>22</v>
      </c>
      <c r="E2765" s="1" t="s">
        <v>14734</v>
      </c>
      <c r="F2765" s="6"/>
      <c r="G2765" s="1" t="s">
        <v>14726</v>
      </c>
    </row>
    <row r="2766" spans="1:7" ht="21" x14ac:dyDescent="0.25">
      <c r="A2766" s="2" t="str">
        <f>HYPERLINK("https://rth.dk/resources/bsgatlas/details.php?id=BSGatlas-TSS-2765","BSGatlas-TSS-2765")</f>
        <v>BSGatlas-TSS-2765</v>
      </c>
      <c r="B2766" s="3">
        <v>3444322</v>
      </c>
      <c r="C2766" s="1" t="s">
        <v>9</v>
      </c>
      <c r="D2766" s="1">
        <v>22</v>
      </c>
      <c r="E2766" s="1" t="s">
        <v>14734</v>
      </c>
      <c r="F2766" s="6"/>
      <c r="G2766" s="1" t="s">
        <v>14726</v>
      </c>
    </row>
    <row r="2767" spans="1:7" ht="21" x14ac:dyDescent="0.25">
      <c r="A2767" s="2" t="str">
        <f>HYPERLINK("https://rth.dk/resources/bsgatlas/details.php?id=BSGatlas-TSS-2766","BSGatlas-TSS-2766")</f>
        <v>BSGatlas-TSS-2766</v>
      </c>
      <c r="B2767" s="3">
        <v>3446112</v>
      </c>
      <c r="C2767" s="1" t="s">
        <v>13</v>
      </c>
      <c r="D2767" s="1">
        <v>0</v>
      </c>
      <c r="E2767" s="1" t="s">
        <v>14743</v>
      </c>
      <c r="F2767" s="6">
        <v>16497325</v>
      </c>
      <c r="G2767" s="1" t="s">
        <v>4684</v>
      </c>
    </row>
    <row r="2768" spans="1:7" ht="21" x14ac:dyDescent="0.25">
      <c r="A2768" s="2" t="str">
        <f>HYPERLINK("https://rth.dk/resources/bsgatlas/details.php?id=BSGatlas-TSS-2767","BSGatlas-TSS-2767")</f>
        <v>BSGatlas-TSS-2767</v>
      </c>
      <c r="B2768" s="3">
        <v>3446158</v>
      </c>
      <c r="C2768" s="1" t="s">
        <v>13</v>
      </c>
      <c r="D2768" s="1">
        <v>0</v>
      </c>
      <c r="E2768" s="1" t="s">
        <v>14722</v>
      </c>
      <c r="F2768" s="6" t="s">
        <v>14811</v>
      </c>
      <c r="G2768" s="1" t="s">
        <v>14778</v>
      </c>
    </row>
    <row r="2769" spans="1:7" ht="21" x14ac:dyDescent="0.25">
      <c r="A2769" s="2" t="str">
        <f>HYPERLINK("https://rth.dk/resources/bsgatlas/details.php?id=BSGatlas-TSS-2768","BSGatlas-TSS-2768")</f>
        <v>BSGatlas-TSS-2768</v>
      </c>
      <c r="B2769" s="3">
        <v>3448183</v>
      </c>
      <c r="C2769" s="1" t="s">
        <v>13</v>
      </c>
      <c r="D2769" s="1">
        <v>22</v>
      </c>
      <c r="E2769" s="1" t="s">
        <v>14732</v>
      </c>
      <c r="F2769" s="6"/>
      <c r="G2769" s="1" t="s">
        <v>14726</v>
      </c>
    </row>
    <row r="2770" spans="1:7" ht="21" x14ac:dyDescent="0.25">
      <c r="A2770" s="2" t="str">
        <f>HYPERLINK("https://rth.dk/resources/bsgatlas/details.php?id=BSGatlas-TSS-2769","BSGatlas-TSS-2769")</f>
        <v>BSGatlas-TSS-2769</v>
      </c>
      <c r="B2770" s="3">
        <v>3449664</v>
      </c>
      <c r="C2770" s="1" t="s">
        <v>13</v>
      </c>
      <c r="D2770" s="1">
        <v>22</v>
      </c>
      <c r="E2770" s="1" t="s">
        <v>14722</v>
      </c>
      <c r="F2770" s="6"/>
      <c r="G2770" s="1" t="s">
        <v>14726</v>
      </c>
    </row>
    <row r="2771" spans="1:7" ht="21" x14ac:dyDescent="0.25">
      <c r="A2771" s="2" t="str">
        <f>HYPERLINK("https://rth.dk/resources/bsgatlas/details.php?id=BSGatlas-TSS-2770","BSGatlas-TSS-2770")</f>
        <v>BSGatlas-TSS-2770</v>
      </c>
      <c r="B2771" s="3">
        <v>3450559</v>
      </c>
      <c r="C2771" s="1" t="s">
        <v>13</v>
      </c>
      <c r="D2771" s="1">
        <v>22</v>
      </c>
      <c r="E2771" s="1" t="s">
        <v>14734</v>
      </c>
      <c r="F2771" s="6"/>
      <c r="G2771" s="1" t="s">
        <v>14726</v>
      </c>
    </row>
    <row r="2772" spans="1:7" ht="21" x14ac:dyDescent="0.25">
      <c r="A2772" s="2" t="str">
        <f>HYPERLINK("https://rth.dk/resources/bsgatlas/details.php?id=BSGatlas-TSS-2771","BSGatlas-TSS-2771")</f>
        <v>BSGatlas-TSS-2771</v>
      </c>
      <c r="B2772" s="3">
        <v>3450603</v>
      </c>
      <c r="C2772" s="1" t="s">
        <v>13</v>
      </c>
      <c r="D2772" s="1">
        <v>22</v>
      </c>
      <c r="E2772" s="1" t="s">
        <v>14722</v>
      </c>
      <c r="F2772" s="6"/>
      <c r="G2772" s="1" t="s">
        <v>14726</v>
      </c>
    </row>
    <row r="2773" spans="1:7" ht="21" x14ac:dyDescent="0.25">
      <c r="A2773" s="2" t="str">
        <f>HYPERLINK("https://rth.dk/resources/bsgatlas/details.php?id=BSGatlas-TSS-2772","BSGatlas-TSS-2772")</f>
        <v>BSGatlas-TSS-2772</v>
      </c>
      <c r="B2773" s="3">
        <v>3451065</v>
      </c>
      <c r="C2773" s="1" t="s">
        <v>13</v>
      </c>
      <c r="D2773" s="1">
        <v>22</v>
      </c>
      <c r="E2773" s="1" t="s">
        <v>14720</v>
      </c>
      <c r="F2773" s="6"/>
      <c r="G2773" s="1" t="s">
        <v>14726</v>
      </c>
    </row>
    <row r="2774" spans="1:7" ht="21" x14ac:dyDescent="0.25">
      <c r="A2774" s="2" t="str">
        <f>HYPERLINK("https://rth.dk/resources/bsgatlas/details.php?id=BSGatlas-TSS-2773","BSGatlas-TSS-2773")</f>
        <v>BSGatlas-TSS-2773</v>
      </c>
      <c r="B2774" s="3">
        <v>3451131</v>
      </c>
      <c r="C2774" s="1" t="s">
        <v>13</v>
      </c>
      <c r="D2774" s="1">
        <v>22</v>
      </c>
      <c r="E2774" s="1" t="s">
        <v>14722</v>
      </c>
      <c r="F2774" s="6"/>
      <c r="G2774" s="1" t="s">
        <v>14726</v>
      </c>
    </row>
    <row r="2775" spans="1:7" ht="21" x14ac:dyDescent="0.25">
      <c r="A2775" s="2" t="str">
        <f>HYPERLINK("https://rth.dk/resources/bsgatlas/details.php?id=BSGatlas-TSS-2774","BSGatlas-TSS-2774")</f>
        <v>BSGatlas-TSS-2774</v>
      </c>
      <c r="B2775" s="3">
        <v>3451197</v>
      </c>
      <c r="C2775" s="1" t="s">
        <v>13</v>
      </c>
      <c r="D2775" s="1">
        <v>22</v>
      </c>
      <c r="E2775" s="1" t="s">
        <v>14722</v>
      </c>
      <c r="F2775" s="6"/>
      <c r="G2775" s="1" t="s">
        <v>14733</v>
      </c>
    </row>
    <row r="2776" spans="1:7" ht="21" x14ac:dyDescent="0.25">
      <c r="A2776" s="2" t="str">
        <f>HYPERLINK("https://rth.dk/resources/bsgatlas/details.php?id=BSGatlas-TSS-2775","BSGatlas-TSS-2775")</f>
        <v>BSGatlas-TSS-2775</v>
      </c>
      <c r="B2776" s="3">
        <v>3451605</v>
      </c>
      <c r="C2776" s="1" t="s">
        <v>9</v>
      </c>
      <c r="D2776" s="1">
        <v>22</v>
      </c>
      <c r="E2776" s="1" t="s">
        <v>14720</v>
      </c>
      <c r="F2776" s="6"/>
      <c r="G2776" s="1" t="s">
        <v>14726</v>
      </c>
    </row>
    <row r="2777" spans="1:7" ht="21" x14ac:dyDescent="0.25">
      <c r="A2777" s="2" t="str">
        <f>HYPERLINK("https://rth.dk/resources/bsgatlas/details.php?id=BSGatlas-TSS-2776","BSGatlas-TSS-2776")</f>
        <v>BSGatlas-TSS-2776</v>
      </c>
      <c r="B2777" s="3">
        <v>3451765</v>
      </c>
      <c r="C2777" s="1" t="s">
        <v>13</v>
      </c>
      <c r="D2777" s="1">
        <v>0</v>
      </c>
      <c r="E2777" s="1" t="s">
        <v>14722</v>
      </c>
      <c r="F2777" s="6">
        <v>17369301</v>
      </c>
      <c r="G2777" s="1" t="s">
        <v>14747</v>
      </c>
    </row>
    <row r="2778" spans="1:7" ht="21" x14ac:dyDescent="0.25">
      <c r="A2778" s="2" t="str">
        <f>HYPERLINK("https://rth.dk/resources/bsgatlas/details.php?id=BSGatlas-TSS-2777","BSGatlas-TSS-2777")</f>
        <v>BSGatlas-TSS-2777</v>
      </c>
      <c r="B2778" s="3">
        <v>3452991</v>
      </c>
      <c r="C2778" s="1" t="s">
        <v>9</v>
      </c>
      <c r="D2778" s="1">
        <v>22</v>
      </c>
      <c r="E2778" s="1" t="s">
        <v>14720</v>
      </c>
      <c r="F2778" s="6"/>
      <c r="G2778" s="1" t="s">
        <v>14726</v>
      </c>
    </row>
    <row r="2779" spans="1:7" ht="21" x14ac:dyDescent="0.25">
      <c r="A2779" s="2" t="str">
        <f>HYPERLINK("https://rth.dk/resources/bsgatlas/details.php?id=BSGatlas-TSS-2778","BSGatlas-TSS-2778")</f>
        <v>BSGatlas-TSS-2778</v>
      </c>
      <c r="B2779" s="3">
        <v>3454629</v>
      </c>
      <c r="C2779" s="1" t="s">
        <v>13</v>
      </c>
      <c r="D2779" s="1">
        <v>22</v>
      </c>
      <c r="E2779" s="1" t="s">
        <v>14734</v>
      </c>
      <c r="F2779" s="6"/>
      <c r="G2779" s="1" t="s">
        <v>14726</v>
      </c>
    </row>
    <row r="2780" spans="1:7" ht="21" x14ac:dyDescent="0.25">
      <c r="A2780" s="2" t="str">
        <f>HYPERLINK("https://rth.dk/resources/bsgatlas/details.php?id=BSGatlas-TSS-2779","BSGatlas-TSS-2779")</f>
        <v>BSGatlas-TSS-2779</v>
      </c>
      <c r="B2780" s="3">
        <v>3454991</v>
      </c>
      <c r="C2780" s="1" t="s">
        <v>13</v>
      </c>
      <c r="D2780" s="1">
        <v>0</v>
      </c>
      <c r="E2780" s="1" t="s">
        <v>14734</v>
      </c>
      <c r="F2780" s="6">
        <v>17369301</v>
      </c>
      <c r="G2780" s="1" t="s">
        <v>14747</v>
      </c>
    </row>
    <row r="2781" spans="1:7" ht="21" x14ac:dyDescent="0.25">
      <c r="A2781" s="2" t="str">
        <f>HYPERLINK("https://rth.dk/resources/bsgatlas/details.php?id=BSGatlas-TSS-2780","BSGatlas-TSS-2780")</f>
        <v>BSGatlas-TSS-2780</v>
      </c>
      <c r="B2781" s="3">
        <v>3455354</v>
      </c>
      <c r="C2781" s="1" t="s">
        <v>13</v>
      </c>
      <c r="D2781" s="1">
        <v>0</v>
      </c>
      <c r="E2781" s="1" t="s">
        <v>14722</v>
      </c>
      <c r="F2781" s="6">
        <v>17369301</v>
      </c>
      <c r="G2781" s="1" t="s">
        <v>14747</v>
      </c>
    </row>
    <row r="2782" spans="1:7" ht="21" x14ac:dyDescent="0.25">
      <c r="A2782" s="2" t="str">
        <f>HYPERLINK("https://rth.dk/resources/bsgatlas/details.php?id=BSGatlas-TSS-2781","BSGatlas-TSS-2781")</f>
        <v>BSGatlas-TSS-2781</v>
      </c>
      <c r="B2782" s="3">
        <v>3455433</v>
      </c>
      <c r="C2782" s="1" t="s">
        <v>9</v>
      </c>
      <c r="D2782" s="1">
        <v>22</v>
      </c>
      <c r="E2782" s="1" t="s">
        <v>14732</v>
      </c>
      <c r="F2782" s="6"/>
      <c r="G2782" s="1" t="s">
        <v>14726</v>
      </c>
    </row>
    <row r="2783" spans="1:7" ht="21" x14ac:dyDescent="0.25">
      <c r="A2783" s="2" t="str">
        <f>HYPERLINK("https://rth.dk/resources/bsgatlas/details.php?id=BSGatlas-TSS-2782","BSGatlas-TSS-2782")</f>
        <v>BSGatlas-TSS-2782</v>
      </c>
      <c r="B2783" s="3">
        <v>3455543</v>
      </c>
      <c r="C2783" s="1" t="s">
        <v>9</v>
      </c>
      <c r="D2783" s="1">
        <v>22</v>
      </c>
      <c r="E2783" s="1" t="s">
        <v>14745</v>
      </c>
      <c r="F2783" s="6"/>
      <c r="G2783" s="1" t="s">
        <v>14726</v>
      </c>
    </row>
    <row r="2784" spans="1:7" ht="21" x14ac:dyDescent="0.25">
      <c r="A2784" s="2" t="str">
        <f>HYPERLINK("https://rth.dk/resources/bsgatlas/details.php?id=BSGatlas-TSS-2783","BSGatlas-TSS-2783")</f>
        <v>BSGatlas-TSS-2783</v>
      </c>
      <c r="B2784" s="3">
        <v>3456621</v>
      </c>
      <c r="C2784" s="1" t="s">
        <v>9</v>
      </c>
      <c r="D2784" s="1">
        <v>22</v>
      </c>
      <c r="E2784" s="1" t="s">
        <v>14722</v>
      </c>
      <c r="F2784" s="6"/>
      <c r="G2784" s="1" t="s">
        <v>14726</v>
      </c>
    </row>
    <row r="2785" spans="1:7" ht="21" x14ac:dyDescent="0.25">
      <c r="A2785" s="2" t="str">
        <f>HYPERLINK("https://rth.dk/resources/bsgatlas/details.php?id=BSGatlas-TSS-2784","BSGatlas-TSS-2784")</f>
        <v>BSGatlas-TSS-2784</v>
      </c>
      <c r="B2785" s="3">
        <v>3457589</v>
      </c>
      <c r="C2785" s="1" t="s">
        <v>9</v>
      </c>
      <c r="D2785" s="1">
        <v>22</v>
      </c>
      <c r="E2785" s="1" t="s">
        <v>14722</v>
      </c>
      <c r="F2785" s="6"/>
      <c r="G2785" s="1" t="s">
        <v>14726</v>
      </c>
    </row>
    <row r="2786" spans="1:7" ht="21" x14ac:dyDescent="0.25">
      <c r="A2786" s="2" t="str">
        <f>HYPERLINK("https://rth.dk/resources/bsgatlas/details.php?id=BSGatlas-TSS-2785","BSGatlas-TSS-2785")</f>
        <v>BSGatlas-TSS-2785</v>
      </c>
      <c r="B2786" s="3">
        <v>3458028</v>
      </c>
      <c r="C2786" s="1" t="s">
        <v>9</v>
      </c>
      <c r="D2786" s="1">
        <v>22</v>
      </c>
      <c r="E2786" s="1" t="s">
        <v>14752</v>
      </c>
      <c r="F2786" s="6"/>
      <c r="G2786" s="1" t="s">
        <v>14726</v>
      </c>
    </row>
    <row r="2787" spans="1:7" ht="21" x14ac:dyDescent="0.25">
      <c r="A2787" s="2" t="str">
        <f>HYPERLINK("https://rth.dk/resources/bsgatlas/details.php?id=BSGatlas-TSS-2786","BSGatlas-TSS-2786")</f>
        <v>BSGatlas-TSS-2786</v>
      </c>
      <c r="B2787" s="3">
        <v>3460206</v>
      </c>
      <c r="C2787" s="1" t="s">
        <v>9</v>
      </c>
      <c r="D2787" s="1">
        <v>22</v>
      </c>
      <c r="E2787" s="1" t="s">
        <v>14734</v>
      </c>
      <c r="F2787" s="6"/>
      <c r="G2787" s="1" t="s">
        <v>14726</v>
      </c>
    </row>
    <row r="2788" spans="1:7" ht="21" x14ac:dyDescent="0.25">
      <c r="A2788" s="2" t="str">
        <f>HYPERLINK("https://rth.dk/resources/bsgatlas/details.php?id=BSGatlas-TSS-2787","BSGatlas-TSS-2787")</f>
        <v>BSGatlas-TSS-2787</v>
      </c>
      <c r="B2788" s="3">
        <v>3463319</v>
      </c>
      <c r="C2788" s="1" t="s">
        <v>13</v>
      </c>
      <c r="D2788" s="1">
        <v>0</v>
      </c>
      <c r="E2788" s="1" t="s">
        <v>14722</v>
      </c>
      <c r="F2788" s="6" t="s">
        <v>15070</v>
      </c>
      <c r="G2788" s="1" t="s">
        <v>14724</v>
      </c>
    </row>
    <row r="2789" spans="1:7" ht="21" x14ac:dyDescent="0.25">
      <c r="A2789" s="2" t="str">
        <f>HYPERLINK("https://rth.dk/resources/bsgatlas/details.php?id=BSGatlas-TSS-2788","BSGatlas-TSS-2788")</f>
        <v>BSGatlas-TSS-2788</v>
      </c>
      <c r="B2789" s="3">
        <v>3463374</v>
      </c>
      <c r="C2789" s="1" t="s">
        <v>9</v>
      </c>
      <c r="D2789" s="1">
        <v>22</v>
      </c>
      <c r="E2789" s="1" t="s">
        <v>14727</v>
      </c>
      <c r="F2789" s="6"/>
      <c r="G2789" s="1" t="s">
        <v>14726</v>
      </c>
    </row>
    <row r="2790" spans="1:7" ht="21" x14ac:dyDescent="0.25">
      <c r="A2790" s="2" t="str">
        <f>HYPERLINK("https://rth.dk/resources/bsgatlas/details.php?id=BSGatlas-TSS-2789","BSGatlas-TSS-2789")</f>
        <v>BSGatlas-TSS-2789</v>
      </c>
      <c r="B2790" s="3">
        <v>3463492</v>
      </c>
      <c r="C2790" s="1" t="s">
        <v>9</v>
      </c>
      <c r="D2790" s="1">
        <v>22</v>
      </c>
      <c r="E2790" s="1" t="s">
        <v>14722</v>
      </c>
      <c r="F2790" s="6"/>
      <c r="G2790" s="1" t="s">
        <v>14726</v>
      </c>
    </row>
    <row r="2791" spans="1:7" ht="21" x14ac:dyDescent="0.25">
      <c r="A2791" s="2" t="str">
        <f>HYPERLINK("https://rth.dk/resources/bsgatlas/details.php?id=BSGatlas-TSS-2790","BSGatlas-TSS-2790")</f>
        <v>BSGatlas-TSS-2790</v>
      </c>
      <c r="B2791" s="3">
        <v>3464210</v>
      </c>
      <c r="C2791" s="1" t="s">
        <v>9</v>
      </c>
      <c r="D2791" s="1">
        <v>22</v>
      </c>
      <c r="E2791" s="1" t="s">
        <v>14722</v>
      </c>
      <c r="F2791" s="6"/>
      <c r="G2791" s="1" t="s">
        <v>14733</v>
      </c>
    </row>
    <row r="2792" spans="1:7" ht="21" x14ac:dyDescent="0.25">
      <c r="A2792" s="2" t="str">
        <f>HYPERLINK("https://rth.dk/resources/bsgatlas/details.php?id=BSGatlas-TSS-2791","BSGatlas-TSS-2791")</f>
        <v>BSGatlas-TSS-2791</v>
      </c>
      <c r="B2792" s="3">
        <v>3464253</v>
      </c>
      <c r="C2792" s="1" t="s">
        <v>13</v>
      </c>
      <c r="D2792" s="1">
        <v>22</v>
      </c>
      <c r="E2792" s="1" t="s">
        <v>14722</v>
      </c>
      <c r="F2792" s="6"/>
      <c r="G2792" s="1" t="s">
        <v>14726</v>
      </c>
    </row>
    <row r="2793" spans="1:7" ht="21" x14ac:dyDescent="0.25">
      <c r="A2793" s="2" t="str">
        <f>HYPERLINK("https://rth.dk/resources/bsgatlas/details.php?id=BSGatlas-TSS-2792","BSGatlas-TSS-2792")</f>
        <v>BSGatlas-TSS-2792</v>
      </c>
      <c r="B2793" s="3">
        <v>3464324</v>
      </c>
      <c r="C2793" s="1" t="s">
        <v>13</v>
      </c>
      <c r="D2793" s="1">
        <v>22</v>
      </c>
      <c r="E2793" s="1" t="s">
        <v>14722</v>
      </c>
      <c r="F2793" s="6"/>
      <c r="G2793" s="1" t="s">
        <v>14726</v>
      </c>
    </row>
    <row r="2794" spans="1:7" ht="21" x14ac:dyDescent="0.25">
      <c r="A2794" s="2" t="str">
        <f>HYPERLINK("https://rth.dk/resources/bsgatlas/details.php?id=BSGatlas-TSS-2793","BSGatlas-TSS-2793")</f>
        <v>BSGatlas-TSS-2793</v>
      </c>
      <c r="B2794" s="3">
        <v>3465630</v>
      </c>
      <c r="C2794" s="1" t="s">
        <v>9</v>
      </c>
      <c r="D2794" s="1">
        <v>22</v>
      </c>
      <c r="E2794" s="1" t="s">
        <v>14722</v>
      </c>
      <c r="F2794" s="6"/>
      <c r="G2794" s="1" t="s">
        <v>14726</v>
      </c>
    </row>
    <row r="2795" spans="1:7" ht="21" x14ac:dyDescent="0.25">
      <c r="A2795" s="2" t="str">
        <f>HYPERLINK("https://rth.dk/resources/bsgatlas/details.php?id=BSGatlas-TSS-2794","BSGatlas-TSS-2794")</f>
        <v>BSGatlas-TSS-2794</v>
      </c>
      <c r="B2795" s="3">
        <v>3465663</v>
      </c>
      <c r="C2795" s="1" t="s">
        <v>13</v>
      </c>
      <c r="D2795" s="1">
        <v>22</v>
      </c>
      <c r="E2795" s="1" t="s">
        <v>14722</v>
      </c>
      <c r="F2795" s="6"/>
      <c r="G2795" s="1" t="s">
        <v>14726</v>
      </c>
    </row>
    <row r="2796" spans="1:7" ht="21" x14ac:dyDescent="0.25">
      <c r="A2796" s="2" t="str">
        <f>HYPERLINK("https://rth.dk/resources/bsgatlas/details.php?id=BSGatlas-TSS-2795","BSGatlas-TSS-2795")</f>
        <v>BSGatlas-TSS-2795</v>
      </c>
      <c r="B2796" s="3">
        <v>3467384</v>
      </c>
      <c r="C2796" s="1" t="s">
        <v>13</v>
      </c>
      <c r="D2796" s="1">
        <v>0</v>
      </c>
      <c r="E2796" s="1" t="s">
        <v>14722</v>
      </c>
      <c r="F2796" s="6" t="s">
        <v>15071</v>
      </c>
      <c r="G2796" s="1" t="s">
        <v>14729</v>
      </c>
    </row>
    <row r="2797" spans="1:7" ht="21" x14ac:dyDescent="0.25">
      <c r="A2797" s="2" t="str">
        <f>HYPERLINK("https://rth.dk/resources/bsgatlas/details.php?id=BSGatlas-TSS-2796","BSGatlas-TSS-2796")</f>
        <v>BSGatlas-TSS-2796</v>
      </c>
      <c r="B2797" s="3">
        <v>3468214</v>
      </c>
      <c r="C2797" s="1" t="s">
        <v>9</v>
      </c>
      <c r="D2797" s="1">
        <v>22</v>
      </c>
      <c r="E2797" s="1" t="s">
        <v>14725</v>
      </c>
      <c r="F2797" s="6"/>
      <c r="G2797" s="1" t="s">
        <v>14726</v>
      </c>
    </row>
    <row r="2798" spans="1:7" ht="21" x14ac:dyDescent="0.25">
      <c r="A2798" s="2" t="str">
        <f>HYPERLINK("https://rth.dk/resources/bsgatlas/details.php?id=BSGatlas-TSS-2797","BSGatlas-TSS-2797")</f>
        <v>BSGatlas-TSS-2797</v>
      </c>
      <c r="B2798" s="3">
        <v>3471061</v>
      </c>
      <c r="C2798" s="1" t="s">
        <v>13</v>
      </c>
      <c r="D2798" s="1">
        <v>22</v>
      </c>
      <c r="E2798" s="1" t="s">
        <v>14722</v>
      </c>
      <c r="F2798" s="6"/>
      <c r="G2798" s="1" t="s">
        <v>14726</v>
      </c>
    </row>
    <row r="2799" spans="1:7" ht="21" x14ac:dyDescent="0.25">
      <c r="A2799" s="2" t="str">
        <f>HYPERLINK("https://rth.dk/resources/bsgatlas/details.php?id=BSGatlas-TSS-2798","BSGatlas-TSS-2798")</f>
        <v>BSGatlas-TSS-2798</v>
      </c>
      <c r="B2799" s="3">
        <v>3471230</v>
      </c>
      <c r="C2799" s="1" t="s">
        <v>9</v>
      </c>
      <c r="D2799" s="1">
        <v>22</v>
      </c>
      <c r="E2799" s="1" t="s">
        <v>14722</v>
      </c>
      <c r="F2799" s="6"/>
      <c r="G2799" s="1" t="s">
        <v>14726</v>
      </c>
    </row>
    <row r="2800" spans="1:7" ht="21" x14ac:dyDescent="0.25">
      <c r="A2800" s="2" t="str">
        <f>HYPERLINK("https://rth.dk/resources/bsgatlas/details.php?id=BSGatlas-TSS-2799","BSGatlas-TSS-2799")</f>
        <v>BSGatlas-TSS-2799</v>
      </c>
      <c r="B2800" s="3">
        <v>3472523</v>
      </c>
      <c r="C2800" s="1" t="s">
        <v>13</v>
      </c>
      <c r="D2800" s="1">
        <v>22</v>
      </c>
      <c r="E2800" s="1" t="s">
        <v>14734</v>
      </c>
      <c r="F2800" s="6"/>
      <c r="G2800" s="1" t="s">
        <v>14726</v>
      </c>
    </row>
    <row r="2801" spans="1:7" ht="21" x14ac:dyDescent="0.25">
      <c r="A2801" s="2" t="str">
        <f>HYPERLINK("https://rth.dk/resources/bsgatlas/details.php?id=BSGatlas-TSS-2800","BSGatlas-TSS-2800")</f>
        <v>BSGatlas-TSS-2800</v>
      </c>
      <c r="B2801" s="3">
        <v>3472590</v>
      </c>
      <c r="C2801" s="1" t="s">
        <v>9</v>
      </c>
      <c r="D2801" s="1">
        <v>22</v>
      </c>
      <c r="E2801" s="1" t="s">
        <v>14722</v>
      </c>
      <c r="F2801" s="6"/>
      <c r="G2801" s="1" t="s">
        <v>14726</v>
      </c>
    </row>
    <row r="2802" spans="1:7" ht="21" x14ac:dyDescent="0.25">
      <c r="A2802" s="2" t="str">
        <f>HYPERLINK("https://rth.dk/resources/bsgatlas/details.php?id=BSGatlas-TSS-2801","BSGatlas-TSS-2801")</f>
        <v>BSGatlas-TSS-2801</v>
      </c>
      <c r="B2802" s="3">
        <v>3473320</v>
      </c>
      <c r="C2802" s="1" t="s">
        <v>9</v>
      </c>
      <c r="D2802" s="1">
        <v>22</v>
      </c>
      <c r="E2802" s="1" t="s">
        <v>14722</v>
      </c>
      <c r="F2802" s="6"/>
      <c r="G2802" s="1" t="s">
        <v>14726</v>
      </c>
    </row>
    <row r="2803" spans="1:7" ht="21" x14ac:dyDescent="0.25">
      <c r="A2803" s="2" t="str">
        <f>HYPERLINK("https://rth.dk/resources/bsgatlas/details.php?id=BSGatlas-TSS-2802","BSGatlas-TSS-2802")</f>
        <v>BSGatlas-TSS-2802</v>
      </c>
      <c r="B2803" s="3">
        <v>3475974</v>
      </c>
      <c r="C2803" s="1" t="s">
        <v>9</v>
      </c>
      <c r="D2803" s="1">
        <v>22</v>
      </c>
      <c r="E2803" s="1" t="s">
        <v>14722</v>
      </c>
      <c r="F2803" s="6"/>
      <c r="G2803" s="1" t="s">
        <v>14726</v>
      </c>
    </row>
    <row r="2804" spans="1:7" ht="21" x14ac:dyDescent="0.25">
      <c r="A2804" s="2" t="str">
        <f>HYPERLINK("https://rth.dk/resources/bsgatlas/details.php?id=BSGatlas-TSS-2803","BSGatlas-TSS-2803")</f>
        <v>BSGatlas-TSS-2803</v>
      </c>
      <c r="B2804" s="3">
        <v>3475978</v>
      </c>
      <c r="C2804" s="1" t="s">
        <v>13</v>
      </c>
      <c r="D2804" s="1">
        <v>22</v>
      </c>
      <c r="E2804" s="1" t="s">
        <v>14722</v>
      </c>
      <c r="F2804" s="6"/>
      <c r="G2804" s="1" t="s">
        <v>14726</v>
      </c>
    </row>
    <row r="2805" spans="1:7" ht="21" x14ac:dyDescent="0.25">
      <c r="A2805" s="2" t="str">
        <f>HYPERLINK("https://rth.dk/resources/bsgatlas/details.php?id=BSGatlas-TSS-2804","BSGatlas-TSS-2804")</f>
        <v>BSGatlas-TSS-2804</v>
      </c>
      <c r="B2805" s="3">
        <v>3481636</v>
      </c>
      <c r="C2805" s="1" t="s">
        <v>13</v>
      </c>
      <c r="D2805" s="1">
        <v>0</v>
      </c>
      <c r="E2805" s="1" t="s">
        <v>14722</v>
      </c>
      <c r="F2805" s="6">
        <v>11489127</v>
      </c>
      <c r="G2805" s="1" t="s">
        <v>14737</v>
      </c>
    </row>
    <row r="2806" spans="1:7" ht="21" x14ac:dyDescent="0.25">
      <c r="A2806" s="2" t="str">
        <f>HYPERLINK("https://rth.dk/resources/bsgatlas/details.php?id=BSGatlas-TSS-2805","BSGatlas-TSS-2805")</f>
        <v>BSGatlas-TSS-2805</v>
      </c>
      <c r="B2806" s="3">
        <v>3482646</v>
      </c>
      <c r="C2806" s="1" t="s">
        <v>9</v>
      </c>
      <c r="D2806" s="1">
        <v>22</v>
      </c>
      <c r="E2806" s="1" t="s">
        <v>14720</v>
      </c>
      <c r="F2806" s="6"/>
      <c r="G2806" s="1" t="s">
        <v>14726</v>
      </c>
    </row>
    <row r="2807" spans="1:7" ht="21" x14ac:dyDescent="0.25">
      <c r="A2807" s="2" t="str">
        <f>HYPERLINK("https://rth.dk/resources/bsgatlas/details.php?id=BSGatlas-TSS-2806","BSGatlas-TSS-2806")</f>
        <v>BSGatlas-TSS-2806</v>
      </c>
      <c r="B2807" s="3">
        <v>3482768</v>
      </c>
      <c r="C2807" s="1" t="s">
        <v>13</v>
      </c>
      <c r="D2807" s="1">
        <v>22</v>
      </c>
      <c r="E2807" s="1" t="s">
        <v>14720</v>
      </c>
      <c r="F2807" s="6"/>
      <c r="G2807" s="1" t="s">
        <v>14726</v>
      </c>
    </row>
    <row r="2808" spans="1:7" ht="21" x14ac:dyDescent="0.25">
      <c r="A2808" s="2" t="str">
        <f>HYPERLINK("https://rth.dk/resources/bsgatlas/details.php?id=BSGatlas-TSS-2807","BSGatlas-TSS-2807")</f>
        <v>BSGatlas-TSS-2807</v>
      </c>
      <c r="B2808" s="3">
        <v>3483870</v>
      </c>
      <c r="C2808" s="1" t="s">
        <v>13</v>
      </c>
      <c r="D2808" s="1">
        <v>0</v>
      </c>
      <c r="E2808" s="1" t="s">
        <v>14722</v>
      </c>
      <c r="F2808" s="6" t="s">
        <v>15072</v>
      </c>
      <c r="G2808" s="1" t="s">
        <v>14724</v>
      </c>
    </row>
    <row r="2809" spans="1:7" ht="21" x14ac:dyDescent="0.25">
      <c r="A2809" s="2" t="str">
        <f>HYPERLINK("https://rth.dk/resources/bsgatlas/details.php?id=BSGatlas-TSS-2808","BSGatlas-TSS-2808")</f>
        <v>BSGatlas-TSS-2808</v>
      </c>
      <c r="B2809" s="3">
        <v>3483996</v>
      </c>
      <c r="C2809" s="1" t="s">
        <v>13</v>
      </c>
      <c r="D2809" s="1">
        <v>22</v>
      </c>
      <c r="E2809" s="1" t="s">
        <v>14725</v>
      </c>
      <c r="F2809" s="6"/>
      <c r="G2809" s="1" t="s">
        <v>14733</v>
      </c>
    </row>
    <row r="2810" spans="1:7" ht="21" x14ac:dyDescent="0.25">
      <c r="A2810" s="2" t="str">
        <f>HYPERLINK("https://rth.dk/resources/bsgatlas/details.php?id=BSGatlas-TSS-2809","BSGatlas-TSS-2809")</f>
        <v>BSGatlas-TSS-2809</v>
      </c>
      <c r="B2810" s="3">
        <v>3485569</v>
      </c>
      <c r="C2810" s="1" t="s">
        <v>13</v>
      </c>
      <c r="D2810" s="1">
        <v>0</v>
      </c>
      <c r="E2810" s="1" t="s">
        <v>14722</v>
      </c>
      <c r="F2810" s="6" t="s">
        <v>15073</v>
      </c>
      <c r="G2810" s="1" t="s">
        <v>14729</v>
      </c>
    </row>
    <row r="2811" spans="1:7" ht="21" x14ac:dyDescent="0.25">
      <c r="A2811" s="2" t="str">
        <f>HYPERLINK("https://rth.dk/resources/bsgatlas/details.php?id=BSGatlas-TSS-2810","BSGatlas-TSS-2810")</f>
        <v>BSGatlas-TSS-2810</v>
      </c>
      <c r="B2811" s="3">
        <v>3485643</v>
      </c>
      <c r="C2811" s="1" t="s">
        <v>9</v>
      </c>
      <c r="D2811" s="1">
        <v>0</v>
      </c>
      <c r="E2811" s="1" t="s">
        <v>14722</v>
      </c>
      <c r="F2811" s="6">
        <v>9401028</v>
      </c>
      <c r="G2811" s="1" t="s">
        <v>14730</v>
      </c>
    </row>
    <row r="2812" spans="1:7" ht="21" x14ac:dyDescent="0.25">
      <c r="A2812" s="2" t="str">
        <f>HYPERLINK("https://rth.dk/resources/bsgatlas/details.php?id=BSGatlas-TSS-2811","BSGatlas-TSS-2811")</f>
        <v>BSGatlas-TSS-2811</v>
      </c>
      <c r="B2812" s="3">
        <v>3487895</v>
      </c>
      <c r="C2812" s="1" t="s">
        <v>13</v>
      </c>
      <c r="D2812" s="1">
        <v>22</v>
      </c>
      <c r="E2812" s="1" t="s">
        <v>14722</v>
      </c>
      <c r="F2812" s="6"/>
      <c r="G2812" s="1" t="s">
        <v>14733</v>
      </c>
    </row>
    <row r="2813" spans="1:7" ht="21" x14ac:dyDescent="0.25">
      <c r="A2813" s="2" t="str">
        <f>HYPERLINK("https://rth.dk/resources/bsgatlas/details.php?id=BSGatlas-TSS-2812","BSGatlas-TSS-2812")</f>
        <v>BSGatlas-TSS-2812</v>
      </c>
      <c r="B2813" s="3">
        <v>3488542</v>
      </c>
      <c r="C2813" s="1" t="s">
        <v>9</v>
      </c>
      <c r="D2813" s="1">
        <v>22</v>
      </c>
      <c r="E2813" s="1" t="s">
        <v>14732</v>
      </c>
      <c r="F2813" s="6"/>
      <c r="G2813" s="1" t="s">
        <v>14726</v>
      </c>
    </row>
    <row r="2814" spans="1:7" ht="21" x14ac:dyDescent="0.25">
      <c r="A2814" s="2" t="str">
        <f>HYPERLINK("https://rth.dk/resources/bsgatlas/details.php?id=BSGatlas-TSS-2813","BSGatlas-TSS-2813")</f>
        <v>BSGatlas-TSS-2813</v>
      </c>
      <c r="B2814" s="3">
        <v>3488904</v>
      </c>
      <c r="C2814" s="1" t="s">
        <v>13</v>
      </c>
      <c r="D2814" s="1">
        <v>22</v>
      </c>
      <c r="E2814" s="1" t="s">
        <v>14722</v>
      </c>
      <c r="F2814" s="6"/>
      <c r="G2814" s="1" t="s">
        <v>14726</v>
      </c>
    </row>
    <row r="2815" spans="1:7" ht="21" x14ac:dyDescent="0.25">
      <c r="A2815" s="2" t="str">
        <f>HYPERLINK("https://rth.dk/resources/bsgatlas/details.php?id=BSGatlas-TSS-2814","BSGatlas-TSS-2814")</f>
        <v>BSGatlas-TSS-2814</v>
      </c>
      <c r="B2815" s="3">
        <v>3488909</v>
      </c>
      <c r="C2815" s="1" t="s">
        <v>9</v>
      </c>
      <c r="D2815" s="1">
        <v>22</v>
      </c>
      <c r="E2815" s="1" t="s">
        <v>14722</v>
      </c>
      <c r="F2815" s="6"/>
      <c r="G2815" s="1" t="s">
        <v>14726</v>
      </c>
    </row>
    <row r="2816" spans="1:7" ht="21" x14ac:dyDescent="0.25">
      <c r="A2816" s="2" t="str">
        <f>HYPERLINK("https://rth.dk/resources/bsgatlas/details.php?id=BSGatlas-TSS-2815","BSGatlas-TSS-2815")</f>
        <v>BSGatlas-TSS-2815</v>
      </c>
      <c r="B2816" s="3">
        <v>3492717</v>
      </c>
      <c r="C2816" s="1" t="s">
        <v>13</v>
      </c>
      <c r="D2816" s="1">
        <v>22</v>
      </c>
      <c r="E2816" s="1" t="s">
        <v>14752</v>
      </c>
      <c r="F2816" s="6"/>
      <c r="G2816" s="1" t="s">
        <v>14726</v>
      </c>
    </row>
    <row r="2817" spans="1:7" ht="21" x14ac:dyDescent="0.25">
      <c r="A2817" s="2" t="str">
        <f>HYPERLINK("https://rth.dk/resources/bsgatlas/details.php?id=BSGatlas-TSS-2816","BSGatlas-TSS-2816")</f>
        <v>BSGatlas-TSS-2816</v>
      </c>
      <c r="B2817" s="3">
        <v>3494526</v>
      </c>
      <c r="C2817" s="1" t="s">
        <v>9</v>
      </c>
      <c r="D2817" s="1">
        <v>22</v>
      </c>
      <c r="E2817" s="1" t="s">
        <v>14720</v>
      </c>
      <c r="F2817" s="6"/>
      <c r="G2817" s="1" t="s">
        <v>14726</v>
      </c>
    </row>
    <row r="2818" spans="1:7" ht="21" x14ac:dyDescent="0.25">
      <c r="A2818" s="2" t="str">
        <f>HYPERLINK("https://rth.dk/resources/bsgatlas/details.php?id=BSGatlas-TSS-2817","BSGatlas-TSS-2817")</f>
        <v>BSGatlas-TSS-2817</v>
      </c>
      <c r="B2818" s="3">
        <v>3494834</v>
      </c>
      <c r="C2818" s="1" t="s">
        <v>9</v>
      </c>
      <c r="D2818" s="1">
        <v>22</v>
      </c>
      <c r="E2818" s="1" t="s">
        <v>14720</v>
      </c>
      <c r="F2818" s="6"/>
      <c r="G2818" s="1" t="s">
        <v>14726</v>
      </c>
    </row>
    <row r="2819" spans="1:7" ht="21" x14ac:dyDescent="0.25">
      <c r="A2819" s="2" t="str">
        <f>HYPERLINK("https://rth.dk/resources/bsgatlas/details.php?id=BSGatlas-TSS-2818","BSGatlas-TSS-2818")</f>
        <v>BSGatlas-TSS-2818</v>
      </c>
      <c r="B2819" s="3">
        <v>3495626</v>
      </c>
      <c r="C2819" s="1" t="s">
        <v>9</v>
      </c>
      <c r="D2819" s="1">
        <v>22</v>
      </c>
      <c r="E2819" s="1" t="s">
        <v>14720</v>
      </c>
      <c r="F2819" s="6"/>
      <c r="G2819" s="1" t="s">
        <v>14726</v>
      </c>
    </row>
    <row r="2820" spans="1:7" ht="21" x14ac:dyDescent="0.25">
      <c r="A2820" s="2" t="str">
        <f>HYPERLINK("https://rth.dk/resources/bsgatlas/details.php?id=BSGatlas-TSS-2819","BSGatlas-TSS-2819")</f>
        <v>BSGatlas-TSS-2819</v>
      </c>
      <c r="B2820" s="3">
        <v>3495768</v>
      </c>
      <c r="C2820" s="1" t="s">
        <v>13</v>
      </c>
      <c r="D2820" s="1">
        <v>22</v>
      </c>
      <c r="E2820" s="1" t="s">
        <v>14722</v>
      </c>
      <c r="F2820" s="6"/>
      <c r="G2820" s="1" t="s">
        <v>14733</v>
      </c>
    </row>
    <row r="2821" spans="1:7" ht="21" x14ac:dyDescent="0.25">
      <c r="A2821" s="2" t="str">
        <f>HYPERLINK("https://rth.dk/resources/bsgatlas/details.php?id=BSGatlas-TSS-2820","BSGatlas-TSS-2820")</f>
        <v>BSGatlas-TSS-2820</v>
      </c>
      <c r="B2821" s="3">
        <v>3497654</v>
      </c>
      <c r="C2821" s="1" t="s">
        <v>13</v>
      </c>
      <c r="D2821" s="1">
        <v>22</v>
      </c>
      <c r="E2821" s="1" t="s">
        <v>14722</v>
      </c>
      <c r="F2821" s="6"/>
      <c r="G2821" s="1" t="s">
        <v>14726</v>
      </c>
    </row>
    <row r="2822" spans="1:7" ht="21" x14ac:dyDescent="0.25">
      <c r="A2822" s="2" t="str">
        <f>HYPERLINK("https://rth.dk/resources/bsgatlas/details.php?id=BSGatlas-TSS-2821","BSGatlas-TSS-2821")</f>
        <v>BSGatlas-TSS-2821</v>
      </c>
      <c r="B2822" s="3">
        <v>3499288</v>
      </c>
      <c r="C2822" s="1" t="s">
        <v>13</v>
      </c>
      <c r="D2822" s="1">
        <v>22</v>
      </c>
      <c r="E2822" s="1" t="s">
        <v>14722</v>
      </c>
      <c r="F2822" s="6"/>
      <c r="G2822" s="1" t="s">
        <v>14726</v>
      </c>
    </row>
    <row r="2823" spans="1:7" ht="21" x14ac:dyDescent="0.25">
      <c r="A2823" s="2" t="str">
        <f>HYPERLINK("https://rth.dk/resources/bsgatlas/details.php?id=BSGatlas-TSS-2822","BSGatlas-TSS-2822")</f>
        <v>BSGatlas-TSS-2822</v>
      </c>
      <c r="B2823" s="3">
        <v>3499491</v>
      </c>
      <c r="C2823" s="1" t="s">
        <v>9</v>
      </c>
      <c r="D2823" s="1">
        <v>22</v>
      </c>
      <c r="E2823" s="1" t="s">
        <v>14722</v>
      </c>
      <c r="F2823" s="6"/>
      <c r="G2823" s="1" t="s">
        <v>14726</v>
      </c>
    </row>
    <row r="2824" spans="1:7" ht="21" x14ac:dyDescent="0.25">
      <c r="A2824" s="2" t="str">
        <f>HYPERLINK("https://rth.dk/resources/bsgatlas/details.php?id=BSGatlas-TSS-2823","BSGatlas-TSS-2823")</f>
        <v>BSGatlas-TSS-2823</v>
      </c>
      <c r="B2824" s="3">
        <v>3508556</v>
      </c>
      <c r="C2824" s="1" t="s">
        <v>13</v>
      </c>
      <c r="D2824" s="1">
        <v>0</v>
      </c>
      <c r="E2824" s="1" t="s">
        <v>14722</v>
      </c>
      <c r="F2824" s="6">
        <v>27501980</v>
      </c>
      <c r="G2824" s="1" t="s">
        <v>14747</v>
      </c>
    </row>
    <row r="2825" spans="1:7" ht="21" x14ac:dyDescent="0.25">
      <c r="A2825" s="2" t="str">
        <f>HYPERLINK("https://rth.dk/resources/bsgatlas/details.php?id=BSGatlas-TSS-2824","BSGatlas-TSS-2824")</f>
        <v>BSGatlas-TSS-2824</v>
      </c>
      <c r="B2825" s="3">
        <v>3510597</v>
      </c>
      <c r="C2825" s="1" t="s">
        <v>13</v>
      </c>
      <c r="D2825" s="1">
        <v>22</v>
      </c>
      <c r="E2825" s="1" t="s">
        <v>14722</v>
      </c>
      <c r="F2825" s="6"/>
      <c r="G2825" s="1" t="s">
        <v>14733</v>
      </c>
    </row>
    <row r="2826" spans="1:7" ht="21" x14ac:dyDescent="0.25">
      <c r="A2826" s="2" t="str">
        <f>HYPERLINK("https://rth.dk/resources/bsgatlas/details.php?id=BSGatlas-TSS-2825","BSGatlas-TSS-2825")</f>
        <v>BSGatlas-TSS-2825</v>
      </c>
      <c r="B2826" s="3">
        <v>3510671</v>
      </c>
      <c r="C2826" s="1" t="s">
        <v>9</v>
      </c>
      <c r="D2826" s="1">
        <v>22</v>
      </c>
      <c r="E2826" s="1" t="s">
        <v>14722</v>
      </c>
      <c r="F2826" s="6"/>
      <c r="G2826" s="1" t="s">
        <v>14733</v>
      </c>
    </row>
    <row r="2827" spans="1:7" ht="21" x14ac:dyDescent="0.25">
      <c r="A2827" s="2" t="str">
        <f>HYPERLINK("https://rth.dk/resources/bsgatlas/details.php?id=BSGatlas-TSS-2826","BSGatlas-TSS-2826")</f>
        <v>BSGatlas-TSS-2826</v>
      </c>
      <c r="B2827" s="3">
        <v>3510684</v>
      </c>
      <c r="C2827" s="1" t="s">
        <v>13</v>
      </c>
      <c r="D2827" s="1">
        <v>22</v>
      </c>
      <c r="E2827" s="1" t="s">
        <v>14720</v>
      </c>
      <c r="F2827" s="6"/>
      <c r="G2827" s="1" t="s">
        <v>14726</v>
      </c>
    </row>
    <row r="2828" spans="1:7" ht="21" x14ac:dyDescent="0.25">
      <c r="A2828" s="2" t="str">
        <f>HYPERLINK("https://rth.dk/resources/bsgatlas/details.php?id=BSGatlas-TSS-2827","BSGatlas-TSS-2827")</f>
        <v>BSGatlas-TSS-2827</v>
      </c>
      <c r="B2828" s="3">
        <v>3513628</v>
      </c>
      <c r="C2828" s="1" t="s">
        <v>9</v>
      </c>
      <c r="D2828" s="1">
        <v>22</v>
      </c>
      <c r="E2828" s="1" t="s">
        <v>14722</v>
      </c>
      <c r="F2828" s="6"/>
      <c r="G2828" s="1" t="s">
        <v>14733</v>
      </c>
    </row>
    <row r="2829" spans="1:7" ht="21" x14ac:dyDescent="0.25">
      <c r="A2829" s="2" t="str">
        <f>HYPERLINK("https://rth.dk/resources/bsgatlas/details.php?id=BSGatlas-TSS-2828","BSGatlas-TSS-2828")</f>
        <v>BSGatlas-TSS-2828</v>
      </c>
      <c r="B2829" s="3">
        <v>3513837</v>
      </c>
      <c r="C2829" s="1" t="s">
        <v>13</v>
      </c>
      <c r="D2829" s="1">
        <v>22</v>
      </c>
      <c r="E2829" s="1" t="s">
        <v>14722</v>
      </c>
      <c r="F2829" s="6"/>
      <c r="G2829" s="1" t="s">
        <v>14726</v>
      </c>
    </row>
    <row r="2830" spans="1:7" ht="21" x14ac:dyDescent="0.25">
      <c r="A2830" s="2" t="str">
        <f>HYPERLINK("https://rth.dk/resources/bsgatlas/details.php?id=BSGatlas-TSS-2829","BSGatlas-TSS-2829")</f>
        <v>BSGatlas-TSS-2829</v>
      </c>
      <c r="B2830" s="3">
        <v>3528263</v>
      </c>
      <c r="C2830" s="1" t="s">
        <v>13</v>
      </c>
      <c r="D2830" s="1">
        <v>22</v>
      </c>
      <c r="E2830" s="1" t="s">
        <v>14752</v>
      </c>
      <c r="F2830" s="6"/>
      <c r="G2830" s="1" t="s">
        <v>14733</v>
      </c>
    </row>
    <row r="2831" spans="1:7" ht="21" x14ac:dyDescent="0.25">
      <c r="A2831" s="2" t="str">
        <f>HYPERLINK("https://rth.dk/resources/bsgatlas/details.php?id=BSGatlas-TSS-2830","BSGatlas-TSS-2830")</f>
        <v>BSGatlas-TSS-2830</v>
      </c>
      <c r="B2831" s="3">
        <v>3529837</v>
      </c>
      <c r="C2831" s="1" t="s">
        <v>9</v>
      </c>
      <c r="D2831" s="1">
        <v>22</v>
      </c>
      <c r="E2831" s="1" t="s">
        <v>14727</v>
      </c>
      <c r="F2831" s="6"/>
      <c r="G2831" s="1" t="s">
        <v>14726</v>
      </c>
    </row>
    <row r="2832" spans="1:7" ht="21" x14ac:dyDescent="0.25">
      <c r="A2832" s="2" t="str">
        <f>HYPERLINK("https://rth.dk/resources/bsgatlas/details.php?id=BSGatlas-TSS-2831","BSGatlas-TSS-2831")</f>
        <v>BSGatlas-TSS-2831</v>
      </c>
      <c r="B2832" s="3">
        <v>3529911</v>
      </c>
      <c r="C2832" s="1" t="s">
        <v>13</v>
      </c>
      <c r="D2832" s="1">
        <v>0</v>
      </c>
      <c r="E2832" s="1" t="s">
        <v>14722</v>
      </c>
      <c r="F2832" s="6" t="s">
        <v>15074</v>
      </c>
      <c r="G2832" s="1" t="s">
        <v>14724</v>
      </c>
    </row>
    <row r="2833" spans="1:7" ht="21" x14ac:dyDescent="0.25">
      <c r="A2833" s="2" t="str">
        <f>HYPERLINK("https://rth.dk/resources/bsgatlas/details.php?id=BSGatlas-TSS-2832","BSGatlas-TSS-2832")</f>
        <v>BSGatlas-TSS-2832</v>
      </c>
      <c r="B2833" s="3">
        <v>3530057</v>
      </c>
      <c r="C2833" s="1" t="s">
        <v>9</v>
      </c>
      <c r="D2833" s="1">
        <v>22</v>
      </c>
      <c r="E2833" s="1" t="s">
        <v>14722</v>
      </c>
      <c r="F2833" s="6"/>
      <c r="G2833" s="1" t="s">
        <v>14726</v>
      </c>
    </row>
    <row r="2834" spans="1:7" ht="21" x14ac:dyDescent="0.25">
      <c r="A2834" s="2" t="str">
        <f>HYPERLINK("https://rth.dk/resources/bsgatlas/details.php?id=BSGatlas-TSS-2833","BSGatlas-TSS-2833")</f>
        <v>BSGatlas-TSS-2833</v>
      </c>
      <c r="B2834" s="3">
        <v>3530590</v>
      </c>
      <c r="C2834" s="1" t="s">
        <v>9</v>
      </c>
      <c r="D2834" s="1">
        <v>22</v>
      </c>
      <c r="E2834" s="1" t="s">
        <v>14722</v>
      </c>
      <c r="F2834" s="6"/>
      <c r="G2834" s="1" t="s">
        <v>14726</v>
      </c>
    </row>
    <row r="2835" spans="1:7" ht="21" x14ac:dyDescent="0.25">
      <c r="A2835" s="2" t="str">
        <f>HYPERLINK("https://rth.dk/resources/bsgatlas/details.php?id=BSGatlas-TSS-2834","BSGatlas-TSS-2834")</f>
        <v>BSGatlas-TSS-2834</v>
      </c>
      <c r="B2835" s="3">
        <v>3533345</v>
      </c>
      <c r="C2835" s="1" t="s">
        <v>13</v>
      </c>
      <c r="D2835" s="1">
        <v>22</v>
      </c>
      <c r="E2835" s="1" t="s">
        <v>14722</v>
      </c>
      <c r="F2835" s="6"/>
      <c r="G2835" s="1" t="s">
        <v>14726</v>
      </c>
    </row>
    <row r="2836" spans="1:7" ht="21" x14ac:dyDescent="0.25">
      <c r="A2836" s="2" t="str">
        <f>HYPERLINK("https://rth.dk/resources/bsgatlas/details.php?id=BSGatlas-TSS-2835","BSGatlas-TSS-2835")</f>
        <v>BSGatlas-TSS-2835</v>
      </c>
      <c r="B2836" s="3">
        <v>3535486</v>
      </c>
      <c r="C2836" s="1" t="s">
        <v>13</v>
      </c>
      <c r="D2836" s="1">
        <v>0</v>
      </c>
      <c r="E2836" s="1" t="s">
        <v>14770</v>
      </c>
      <c r="F2836" s="6" t="s">
        <v>15075</v>
      </c>
      <c r="G2836" s="1" t="s">
        <v>14729</v>
      </c>
    </row>
    <row r="2837" spans="1:7" ht="21" x14ac:dyDescent="0.25">
      <c r="A2837" s="2" t="str">
        <f>HYPERLINK("https://rth.dk/resources/bsgatlas/details.php?id=BSGatlas-TSS-2836","BSGatlas-TSS-2836")</f>
        <v>BSGatlas-TSS-2836</v>
      </c>
      <c r="B2837" s="3">
        <v>3535813</v>
      </c>
      <c r="C2837" s="1" t="s">
        <v>9</v>
      </c>
      <c r="D2837" s="1">
        <v>0</v>
      </c>
      <c r="E2837" s="1" t="s">
        <v>14722</v>
      </c>
      <c r="F2837" s="6" t="s">
        <v>15076</v>
      </c>
      <c r="G2837" s="1" t="s">
        <v>14724</v>
      </c>
    </row>
    <row r="2838" spans="1:7" ht="21" x14ac:dyDescent="0.25">
      <c r="A2838" s="2" t="str">
        <f>HYPERLINK("https://rth.dk/resources/bsgatlas/details.php?id=BSGatlas-TSS-2837","BSGatlas-TSS-2837")</f>
        <v>BSGatlas-TSS-2837</v>
      </c>
      <c r="B2838" s="3">
        <v>3539137</v>
      </c>
      <c r="C2838" s="1" t="s">
        <v>9</v>
      </c>
      <c r="D2838" s="1">
        <v>0</v>
      </c>
      <c r="E2838" s="1" t="s">
        <v>14743</v>
      </c>
      <c r="F2838" s="6">
        <v>16497325</v>
      </c>
      <c r="G2838" s="1" t="s">
        <v>14730</v>
      </c>
    </row>
    <row r="2839" spans="1:7" ht="21" x14ac:dyDescent="0.25">
      <c r="A2839" s="2" t="str">
        <f>HYPERLINK("https://rth.dk/resources/bsgatlas/details.php?id=BSGatlas-TSS-2838","BSGatlas-TSS-2838")</f>
        <v>BSGatlas-TSS-2838</v>
      </c>
      <c r="B2839" s="3">
        <v>3540786</v>
      </c>
      <c r="C2839" s="1" t="s">
        <v>9</v>
      </c>
      <c r="D2839" s="1">
        <v>22</v>
      </c>
      <c r="E2839" s="1" t="s">
        <v>14722</v>
      </c>
      <c r="F2839" s="6"/>
      <c r="G2839" s="1" t="s">
        <v>14726</v>
      </c>
    </row>
    <row r="2840" spans="1:7" ht="21" x14ac:dyDescent="0.25">
      <c r="A2840" s="2" t="str">
        <f>HYPERLINK("https://rth.dk/resources/bsgatlas/details.php?id=BSGatlas-TSS-2839","BSGatlas-TSS-2839")</f>
        <v>BSGatlas-TSS-2839</v>
      </c>
      <c r="B2840" s="3">
        <v>3542722</v>
      </c>
      <c r="C2840" s="1" t="s">
        <v>13</v>
      </c>
      <c r="D2840" s="1">
        <v>0</v>
      </c>
      <c r="E2840" s="1" t="s">
        <v>14743</v>
      </c>
      <c r="F2840" s="6">
        <v>16497325</v>
      </c>
      <c r="G2840" s="1" t="s">
        <v>14730</v>
      </c>
    </row>
    <row r="2841" spans="1:7" ht="21" x14ac:dyDescent="0.25">
      <c r="A2841" s="2" t="str">
        <f>HYPERLINK("https://rth.dk/resources/bsgatlas/details.php?id=BSGatlas-TSS-2840","BSGatlas-TSS-2840")</f>
        <v>BSGatlas-TSS-2840</v>
      </c>
      <c r="B2841" s="3">
        <v>3544323</v>
      </c>
      <c r="C2841" s="1" t="s">
        <v>13</v>
      </c>
      <c r="D2841" s="1">
        <v>22</v>
      </c>
      <c r="E2841" s="1" t="s">
        <v>14725</v>
      </c>
      <c r="F2841" s="6"/>
      <c r="G2841" s="1" t="s">
        <v>14726</v>
      </c>
    </row>
    <row r="2842" spans="1:7" ht="21" x14ac:dyDescent="0.25">
      <c r="A2842" s="2" t="str">
        <f>HYPERLINK("https://rth.dk/resources/bsgatlas/details.php?id=BSGatlas-TSS-2841","BSGatlas-TSS-2841")</f>
        <v>BSGatlas-TSS-2841</v>
      </c>
      <c r="B2842" s="3">
        <v>3544372</v>
      </c>
      <c r="C2842" s="1" t="s">
        <v>9</v>
      </c>
      <c r="D2842" s="1">
        <v>22</v>
      </c>
      <c r="E2842" s="1" t="s">
        <v>14727</v>
      </c>
      <c r="F2842" s="6"/>
      <c r="G2842" s="1" t="s">
        <v>14726</v>
      </c>
    </row>
    <row r="2843" spans="1:7" ht="21" x14ac:dyDescent="0.25">
      <c r="A2843" s="2" t="str">
        <f>HYPERLINK("https://rth.dk/resources/bsgatlas/details.php?id=BSGatlas-TSS-2842","BSGatlas-TSS-2842")</f>
        <v>BSGatlas-TSS-2842</v>
      </c>
      <c r="B2843" s="3">
        <v>3544599</v>
      </c>
      <c r="C2843" s="1" t="s">
        <v>9</v>
      </c>
      <c r="D2843" s="1">
        <v>22</v>
      </c>
      <c r="E2843" s="1" t="s">
        <v>14725</v>
      </c>
      <c r="F2843" s="6"/>
      <c r="G2843" s="1" t="s">
        <v>14726</v>
      </c>
    </row>
    <row r="2844" spans="1:7" ht="21" x14ac:dyDescent="0.25">
      <c r="A2844" s="2" t="str">
        <f>HYPERLINK("https://rth.dk/resources/bsgatlas/details.php?id=BSGatlas-TSS-2843","BSGatlas-TSS-2843")</f>
        <v>BSGatlas-TSS-2843</v>
      </c>
      <c r="B2844" s="3">
        <v>3546012</v>
      </c>
      <c r="C2844" s="1" t="s">
        <v>13</v>
      </c>
      <c r="D2844" s="1">
        <v>22</v>
      </c>
      <c r="E2844" s="1" t="s">
        <v>14722</v>
      </c>
      <c r="F2844" s="6"/>
      <c r="G2844" s="1" t="s">
        <v>14726</v>
      </c>
    </row>
    <row r="2845" spans="1:7" ht="21" x14ac:dyDescent="0.25">
      <c r="A2845" s="2" t="str">
        <f>HYPERLINK("https://rth.dk/resources/bsgatlas/details.php?id=BSGatlas-TSS-2844","BSGatlas-TSS-2844")</f>
        <v>BSGatlas-TSS-2844</v>
      </c>
      <c r="B2845" s="3">
        <v>3546132</v>
      </c>
      <c r="C2845" s="1" t="s">
        <v>9</v>
      </c>
      <c r="D2845" s="1">
        <v>0</v>
      </c>
      <c r="E2845" s="1" t="s">
        <v>14734</v>
      </c>
      <c r="F2845" s="6" t="s">
        <v>15077</v>
      </c>
      <c r="G2845" s="1" t="s">
        <v>14724</v>
      </c>
    </row>
    <row r="2846" spans="1:7" ht="21" x14ac:dyDescent="0.25">
      <c r="A2846" s="2" t="str">
        <f>HYPERLINK("https://rth.dk/resources/bsgatlas/details.php?id=BSGatlas-TSS-2845","BSGatlas-TSS-2845")</f>
        <v>BSGatlas-TSS-2845</v>
      </c>
      <c r="B2846" s="3">
        <v>3546201</v>
      </c>
      <c r="C2846" s="1" t="s">
        <v>9</v>
      </c>
      <c r="D2846" s="1">
        <v>0</v>
      </c>
      <c r="E2846" s="1" t="s">
        <v>14722</v>
      </c>
      <c r="F2846" s="6" t="s">
        <v>15078</v>
      </c>
      <c r="G2846" s="1" t="s">
        <v>14729</v>
      </c>
    </row>
    <row r="2847" spans="1:7" ht="21" x14ac:dyDescent="0.25">
      <c r="A2847" s="2" t="str">
        <f>HYPERLINK("https://rth.dk/resources/bsgatlas/details.php?id=BSGatlas-TSS-2846","BSGatlas-TSS-2846")</f>
        <v>BSGatlas-TSS-2846</v>
      </c>
      <c r="B2847" s="3">
        <v>3553597</v>
      </c>
      <c r="C2847" s="1" t="s">
        <v>9</v>
      </c>
      <c r="D2847" s="1">
        <v>22</v>
      </c>
      <c r="E2847" s="1" t="s">
        <v>14725</v>
      </c>
      <c r="F2847" s="6"/>
      <c r="G2847" s="1" t="s">
        <v>14726</v>
      </c>
    </row>
    <row r="2848" spans="1:7" ht="21" x14ac:dyDescent="0.25">
      <c r="A2848" s="2" t="str">
        <f>HYPERLINK("https://rth.dk/resources/bsgatlas/details.php?id=BSGatlas-TSS-2847","BSGatlas-TSS-2847")</f>
        <v>BSGatlas-TSS-2847</v>
      </c>
      <c r="B2848" s="3">
        <v>3557623</v>
      </c>
      <c r="C2848" s="1" t="s">
        <v>9</v>
      </c>
      <c r="D2848" s="1">
        <v>22</v>
      </c>
      <c r="E2848" s="1" t="s">
        <v>14727</v>
      </c>
      <c r="F2848" s="6"/>
      <c r="G2848" s="1" t="s">
        <v>14726</v>
      </c>
    </row>
    <row r="2849" spans="1:7" ht="21" x14ac:dyDescent="0.25">
      <c r="A2849" s="2" t="str">
        <f>HYPERLINK("https://rth.dk/resources/bsgatlas/details.php?id=BSGatlas-TSS-2848","BSGatlas-TSS-2848")</f>
        <v>BSGatlas-TSS-2848</v>
      </c>
      <c r="B2849" s="3">
        <v>3557722</v>
      </c>
      <c r="C2849" s="1" t="s">
        <v>13</v>
      </c>
      <c r="D2849" s="1">
        <v>22</v>
      </c>
      <c r="E2849" s="1" t="s">
        <v>14722</v>
      </c>
      <c r="F2849" s="6"/>
      <c r="G2849" s="1" t="s">
        <v>14726</v>
      </c>
    </row>
    <row r="2850" spans="1:7" ht="21" x14ac:dyDescent="0.25">
      <c r="A2850" s="2" t="str">
        <f>HYPERLINK("https://rth.dk/resources/bsgatlas/details.php?id=BSGatlas-TSS-2849","BSGatlas-TSS-2849")</f>
        <v>BSGatlas-TSS-2849</v>
      </c>
      <c r="B2850" s="3">
        <v>3558762</v>
      </c>
      <c r="C2850" s="1" t="s">
        <v>13</v>
      </c>
      <c r="D2850" s="1">
        <v>22</v>
      </c>
      <c r="E2850" s="1" t="s">
        <v>14745</v>
      </c>
      <c r="F2850" s="6"/>
      <c r="G2850" s="1" t="s">
        <v>14726</v>
      </c>
    </row>
    <row r="2851" spans="1:7" ht="21" x14ac:dyDescent="0.25">
      <c r="A2851" s="2" t="str">
        <f>HYPERLINK("https://rth.dk/resources/bsgatlas/details.php?id=BSGatlas-TSS-2850","BSGatlas-TSS-2850")</f>
        <v>BSGatlas-TSS-2850</v>
      </c>
      <c r="B2851" s="3">
        <v>3559574</v>
      </c>
      <c r="C2851" s="1" t="s">
        <v>13</v>
      </c>
      <c r="D2851" s="1">
        <v>22</v>
      </c>
      <c r="E2851" s="1" t="s">
        <v>14722</v>
      </c>
      <c r="F2851" s="6"/>
      <c r="G2851" s="1" t="s">
        <v>14726</v>
      </c>
    </row>
    <row r="2852" spans="1:7" ht="21" x14ac:dyDescent="0.25">
      <c r="A2852" s="2" t="str">
        <f>HYPERLINK("https://rth.dk/resources/bsgatlas/details.php?id=BSGatlas-TSS-2851","BSGatlas-TSS-2851")</f>
        <v>BSGatlas-TSS-2851</v>
      </c>
      <c r="B2852" s="3">
        <v>3559581</v>
      </c>
      <c r="C2852" s="1" t="s">
        <v>9</v>
      </c>
      <c r="D2852" s="1">
        <v>22</v>
      </c>
      <c r="E2852" s="1" t="s">
        <v>14722</v>
      </c>
      <c r="F2852" s="6"/>
      <c r="G2852" s="1" t="s">
        <v>14726</v>
      </c>
    </row>
    <row r="2853" spans="1:7" ht="21" x14ac:dyDescent="0.25">
      <c r="A2853" s="2" t="str">
        <f>HYPERLINK("https://rth.dk/resources/bsgatlas/details.php?id=BSGatlas-TSS-2852","BSGatlas-TSS-2852")</f>
        <v>BSGatlas-TSS-2852</v>
      </c>
      <c r="B2853" s="3">
        <v>3562238</v>
      </c>
      <c r="C2853" s="1" t="s">
        <v>13</v>
      </c>
      <c r="D2853" s="1">
        <v>22</v>
      </c>
      <c r="E2853" s="1" t="s">
        <v>14722</v>
      </c>
      <c r="F2853" s="6"/>
      <c r="G2853" s="1" t="s">
        <v>14726</v>
      </c>
    </row>
    <row r="2854" spans="1:7" ht="21" x14ac:dyDescent="0.25">
      <c r="A2854" s="2" t="str">
        <f>HYPERLINK("https://rth.dk/resources/bsgatlas/details.php?id=BSGatlas-TSS-2853","BSGatlas-TSS-2853")</f>
        <v>BSGatlas-TSS-2853</v>
      </c>
      <c r="B2854" s="3">
        <v>3562331</v>
      </c>
      <c r="C2854" s="1" t="s">
        <v>9</v>
      </c>
      <c r="D2854" s="1">
        <v>22</v>
      </c>
      <c r="E2854" s="1" t="s">
        <v>14727</v>
      </c>
      <c r="F2854" s="6"/>
      <c r="G2854" s="1" t="s">
        <v>14726</v>
      </c>
    </row>
    <row r="2855" spans="1:7" ht="21" x14ac:dyDescent="0.25">
      <c r="A2855" s="2" t="str">
        <f>HYPERLINK("https://rth.dk/resources/bsgatlas/details.php?id=BSGatlas-TSS-2854","BSGatlas-TSS-2854")</f>
        <v>BSGatlas-TSS-2854</v>
      </c>
      <c r="B2855" s="3">
        <v>3562529</v>
      </c>
      <c r="C2855" s="1" t="s">
        <v>9</v>
      </c>
      <c r="D2855" s="1">
        <v>22</v>
      </c>
      <c r="E2855" s="1" t="s">
        <v>14722</v>
      </c>
      <c r="F2855" s="6"/>
      <c r="G2855" s="1" t="s">
        <v>14726</v>
      </c>
    </row>
    <row r="2856" spans="1:7" ht="21" x14ac:dyDescent="0.25">
      <c r="A2856" s="2" t="str">
        <f>HYPERLINK("https://rth.dk/resources/bsgatlas/details.php?id=BSGatlas-TSS-2855","BSGatlas-TSS-2855")</f>
        <v>BSGatlas-TSS-2855</v>
      </c>
      <c r="B2856" s="3">
        <v>3568193</v>
      </c>
      <c r="C2856" s="1" t="s">
        <v>13</v>
      </c>
      <c r="D2856" s="1">
        <v>22</v>
      </c>
      <c r="E2856" s="1" t="s">
        <v>14722</v>
      </c>
      <c r="F2856" s="6"/>
      <c r="G2856" s="1" t="s">
        <v>14726</v>
      </c>
    </row>
    <row r="2857" spans="1:7" ht="21" x14ac:dyDescent="0.25">
      <c r="A2857" s="2" t="str">
        <f>HYPERLINK("https://rth.dk/resources/bsgatlas/details.php?id=BSGatlas-TSS-2856","BSGatlas-TSS-2856")</f>
        <v>BSGatlas-TSS-2856</v>
      </c>
      <c r="B2857" s="3">
        <v>3568239</v>
      </c>
      <c r="C2857" s="1" t="s">
        <v>9</v>
      </c>
      <c r="D2857" s="1">
        <v>22</v>
      </c>
      <c r="E2857" s="1" t="s">
        <v>14722</v>
      </c>
      <c r="F2857" s="6"/>
      <c r="G2857" s="1" t="s">
        <v>14726</v>
      </c>
    </row>
    <row r="2858" spans="1:7" ht="21" x14ac:dyDescent="0.25">
      <c r="A2858" s="2" t="str">
        <f>HYPERLINK("https://rth.dk/resources/bsgatlas/details.php?id=BSGatlas-TSS-2857","BSGatlas-TSS-2857")</f>
        <v>BSGatlas-TSS-2857</v>
      </c>
      <c r="B2858" s="3">
        <v>3572923</v>
      </c>
      <c r="C2858" s="1" t="s">
        <v>13</v>
      </c>
      <c r="D2858" s="1">
        <v>22</v>
      </c>
      <c r="E2858" s="1" t="s">
        <v>14722</v>
      </c>
      <c r="F2858" s="6"/>
      <c r="G2858" s="1" t="s">
        <v>14726</v>
      </c>
    </row>
    <row r="2859" spans="1:7" ht="21" x14ac:dyDescent="0.25">
      <c r="A2859" s="2" t="str">
        <f>HYPERLINK("https://rth.dk/resources/bsgatlas/details.php?id=BSGatlas-TSS-2858","BSGatlas-TSS-2858")</f>
        <v>BSGatlas-TSS-2858</v>
      </c>
      <c r="B2859" s="3">
        <v>3572980</v>
      </c>
      <c r="C2859" s="1" t="s">
        <v>13</v>
      </c>
      <c r="D2859" s="1">
        <v>22</v>
      </c>
      <c r="E2859" s="1" t="s">
        <v>14722</v>
      </c>
      <c r="F2859" s="6"/>
      <c r="G2859" s="1" t="s">
        <v>14726</v>
      </c>
    </row>
    <row r="2860" spans="1:7" ht="21" x14ac:dyDescent="0.25">
      <c r="A2860" s="2" t="str">
        <f>HYPERLINK("https://rth.dk/resources/bsgatlas/details.php?id=BSGatlas-TSS-2859","BSGatlas-TSS-2859")</f>
        <v>BSGatlas-TSS-2859</v>
      </c>
      <c r="B2860" s="3">
        <v>3574245</v>
      </c>
      <c r="C2860" s="1" t="s">
        <v>13</v>
      </c>
      <c r="D2860" s="1">
        <v>22</v>
      </c>
      <c r="E2860" s="1" t="s">
        <v>14722</v>
      </c>
      <c r="F2860" s="6"/>
      <c r="G2860" s="1" t="s">
        <v>14733</v>
      </c>
    </row>
    <row r="2861" spans="1:7" ht="21" x14ac:dyDescent="0.25">
      <c r="A2861" s="2" t="str">
        <f>HYPERLINK("https://rth.dk/resources/bsgatlas/details.php?id=BSGatlas-TSS-2860","BSGatlas-TSS-2860")</f>
        <v>BSGatlas-TSS-2860</v>
      </c>
      <c r="B2861" s="3">
        <v>3574320</v>
      </c>
      <c r="C2861" s="1" t="s">
        <v>9</v>
      </c>
      <c r="D2861" s="1">
        <v>22</v>
      </c>
      <c r="E2861" s="1" t="s">
        <v>14734</v>
      </c>
      <c r="F2861" s="6"/>
      <c r="G2861" s="1" t="s">
        <v>14726</v>
      </c>
    </row>
    <row r="2862" spans="1:7" ht="21" x14ac:dyDescent="0.25">
      <c r="A2862" s="2" t="str">
        <f>HYPERLINK("https://rth.dk/resources/bsgatlas/details.php?id=BSGatlas-TSS-2861","BSGatlas-TSS-2861")</f>
        <v>BSGatlas-TSS-2861</v>
      </c>
      <c r="B2862" s="3">
        <v>3575421</v>
      </c>
      <c r="C2862" s="1" t="s">
        <v>9</v>
      </c>
      <c r="D2862" s="1">
        <v>22</v>
      </c>
      <c r="E2862" s="1" t="s">
        <v>14720</v>
      </c>
      <c r="F2862" s="6"/>
      <c r="G2862" s="1" t="s">
        <v>14726</v>
      </c>
    </row>
    <row r="2863" spans="1:7" ht="21" x14ac:dyDescent="0.25">
      <c r="A2863" s="2" t="str">
        <f>HYPERLINK("https://rth.dk/resources/bsgatlas/details.php?id=BSGatlas-TSS-2862","BSGatlas-TSS-2862")</f>
        <v>BSGatlas-TSS-2862</v>
      </c>
      <c r="B2863" s="3">
        <v>3575707</v>
      </c>
      <c r="C2863" s="1" t="s">
        <v>9</v>
      </c>
      <c r="D2863" s="1">
        <v>22</v>
      </c>
      <c r="E2863" s="1" t="s">
        <v>14720</v>
      </c>
      <c r="F2863" s="6"/>
      <c r="G2863" s="1" t="s">
        <v>14726</v>
      </c>
    </row>
    <row r="2864" spans="1:7" ht="21" x14ac:dyDescent="0.25">
      <c r="A2864" s="2" t="str">
        <f>HYPERLINK("https://rth.dk/resources/bsgatlas/details.php?id=BSGatlas-TSS-2863","BSGatlas-TSS-2863")</f>
        <v>BSGatlas-TSS-2863</v>
      </c>
      <c r="B2864" s="3">
        <v>3575982</v>
      </c>
      <c r="C2864" s="1" t="s">
        <v>13</v>
      </c>
      <c r="D2864" s="1">
        <v>22</v>
      </c>
      <c r="E2864" s="1" t="s">
        <v>14722</v>
      </c>
      <c r="F2864" s="6"/>
      <c r="G2864" s="1" t="s">
        <v>14733</v>
      </c>
    </row>
    <row r="2865" spans="1:7" ht="21" x14ac:dyDescent="0.25">
      <c r="A2865" s="2" t="str">
        <f>HYPERLINK("https://rth.dk/resources/bsgatlas/details.php?id=BSGatlas-TSS-2864","BSGatlas-TSS-2864")</f>
        <v>BSGatlas-TSS-2864</v>
      </c>
      <c r="B2865" s="3">
        <v>3579580</v>
      </c>
      <c r="C2865" s="1" t="s">
        <v>13</v>
      </c>
      <c r="D2865" s="1">
        <v>0</v>
      </c>
      <c r="E2865" s="1" t="s">
        <v>14722</v>
      </c>
      <c r="F2865" s="6">
        <v>21077936</v>
      </c>
      <c r="G2865" s="1" t="s">
        <v>14778</v>
      </c>
    </row>
    <row r="2866" spans="1:7" ht="21" x14ac:dyDescent="0.25">
      <c r="A2866" s="2" t="str">
        <f>HYPERLINK("https://rth.dk/resources/bsgatlas/details.php?id=BSGatlas-TSS-2865","BSGatlas-TSS-2865")</f>
        <v>BSGatlas-TSS-2865</v>
      </c>
      <c r="B2866" s="3">
        <v>3582779</v>
      </c>
      <c r="C2866" s="1" t="s">
        <v>13</v>
      </c>
      <c r="D2866" s="1">
        <v>22</v>
      </c>
      <c r="E2866" s="1" t="s">
        <v>14722</v>
      </c>
      <c r="F2866" s="6"/>
      <c r="G2866" s="1" t="s">
        <v>14733</v>
      </c>
    </row>
    <row r="2867" spans="1:7" ht="21" x14ac:dyDescent="0.25">
      <c r="A2867" s="2" t="str">
        <f>HYPERLINK("https://rth.dk/resources/bsgatlas/details.php?id=BSGatlas-TSS-2866","BSGatlas-TSS-2866")</f>
        <v>BSGatlas-TSS-2866</v>
      </c>
      <c r="B2867" s="3">
        <v>3585607</v>
      </c>
      <c r="C2867" s="1" t="s">
        <v>9</v>
      </c>
      <c r="D2867" s="1">
        <v>22</v>
      </c>
      <c r="E2867" s="1" t="s">
        <v>14720</v>
      </c>
      <c r="F2867" s="6"/>
      <c r="G2867" s="1" t="s">
        <v>14726</v>
      </c>
    </row>
    <row r="2868" spans="1:7" ht="21" x14ac:dyDescent="0.25">
      <c r="A2868" s="2" t="str">
        <f>HYPERLINK("https://rth.dk/resources/bsgatlas/details.php?id=BSGatlas-TSS-2867","BSGatlas-TSS-2867")</f>
        <v>BSGatlas-TSS-2867</v>
      </c>
      <c r="B2868" s="3">
        <v>3589435</v>
      </c>
      <c r="C2868" s="1" t="s">
        <v>9</v>
      </c>
      <c r="D2868" s="1">
        <v>22</v>
      </c>
      <c r="E2868" s="1" t="s">
        <v>14722</v>
      </c>
      <c r="F2868" s="6"/>
      <c r="G2868" s="1" t="s">
        <v>14726</v>
      </c>
    </row>
    <row r="2869" spans="1:7" ht="21" x14ac:dyDescent="0.25">
      <c r="A2869" s="2" t="str">
        <f>HYPERLINK("https://rth.dk/resources/bsgatlas/details.php?id=BSGatlas-TSS-2868","BSGatlas-TSS-2868")</f>
        <v>BSGatlas-TSS-2868</v>
      </c>
      <c r="B2869" s="3">
        <v>3589438</v>
      </c>
      <c r="C2869" s="1" t="s">
        <v>13</v>
      </c>
      <c r="D2869" s="1">
        <v>22</v>
      </c>
      <c r="E2869" s="1" t="s">
        <v>14722</v>
      </c>
      <c r="F2869" s="6"/>
      <c r="G2869" s="1" t="s">
        <v>14733</v>
      </c>
    </row>
    <row r="2870" spans="1:7" ht="21" x14ac:dyDescent="0.25">
      <c r="A2870" s="2" t="str">
        <f>HYPERLINK("https://rth.dk/resources/bsgatlas/details.php?id=BSGatlas-TSS-2869","BSGatlas-TSS-2869")</f>
        <v>BSGatlas-TSS-2869</v>
      </c>
      <c r="B2870" s="3">
        <v>3589577</v>
      </c>
      <c r="C2870" s="1" t="s">
        <v>9</v>
      </c>
      <c r="D2870" s="1">
        <v>22</v>
      </c>
      <c r="E2870" s="1" t="s">
        <v>14722</v>
      </c>
      <c r="F2870" s="6"/>
      <c r="G2870" s="1" t="s">
        <v>14726</v>
      </c>
    </row>
    <row r="2871" spans="1:7" ht="21" x14ac:dyDescent="0.25">
      <c r="A2871" s="2" t="str">
        <f>HYPERLINK("https://rth.dk/resources/bsgatlas/details.php?id=BSGatlas-TSS-2870","BSGatlas-TSS-2870")</f>
        <v>BSGatlas-TSS-2870</v>
      </c>
      <c r="B2871" s="3">
        <v>3590391</v>
      </c>
      <c r="C2871" s="1" t="s">
        <v>13</v>
      </c>
      <c r="D2871" s="1">
        <v>22</v>
      </c>
      <c r="E2871" s="1" t="s">
        <v>14732</v>
      </c>
      <c r="F2871" s="6"/>
      <c r="G2871" s="1" t="s">
        <v>14726</v>
      </c>
    </row>
    <row r="2872" spans="1:7" ht="21" x14ac:dyDescent="0.25">
      <c r="A2872" s="2" t="str">
        <f>HYPERLINK("https://rth.dk/resources/bsgatlas/details.php?id=BSGatlas-TSS-2871","BSGatlas-TSS-2871")</f>
        <v>BSGatlas-TSS-2871</v>
      </c>
      <c r="B2872" s="3">
        <v>3595218</v>
      </c>
      <c r="C2872" s="1" t="s">
        <v>13</v>
      </c>
      <c r="D2872" s="1">
        <v>0</v>
      </c>
      <c r="E2872" s="1" t="s">
        <v>14722</v>
      </c>
      <c r="F2872" s="6">
        <v>23667565</v>
      </c>
      <c r="G2872" s="1" t="s">
        <v>14747</v>
      </c>
    </row>
    <row r="2873" spans="1:7" ht="21" x14ac:dyDescent="0.25">
      <c r="A2873" s="2" t="str">
        <f>HYPERLINK("https://rth.dk/resources/bsgatlas/details.php?id=BSGatlas-TSS-2872","BSGatlas-TSS-2872")</f>
        <v>BSGatlas-TSS-2872</v>
      </c>
      <c r="B2873" s="3">
        <v>3595327</v>
      </c>
      <c r="C2873" s="1" t="s">
        <v>9</v>
      </c>
      <c r="D2873" s="1">
        <v>0</v>
      </c>
      <c r="E2873" s="1" t="s">
        <v>14722</v>
      </c>
      <c r="F2873" s="6">
        <v>23667565</v>
      </c>
      <c r="G2873" s="1" t="s">
        <v>14747</v>
      </c>
    </row>
    <row r="2874" spans="1:7" ht="21" x14ac:dyDescent="0.25">
      <c r="A2874" s="2" t="str">
        <f>HYPERLINK("https://rth.dk/resources/bsgatlas/details.php?id=BSGatlas-TSS-2873","BSGatlas-TSS-2873")</f>
        <v>BSGatlas-TSS-2873</v>
      </c>
      <c r="B2874" s="3">
        <v>3596365</v>
      </c>
      <c r="C2874" s="1" t="s">
        <v>9</v>
      </c>
      <c r="D2874" s="1">
        <v>22</v>
      </c>
      <c r="E2874" s="1" t="s">
        <v>14734</v>
      </c>
      <c r="F2874" s="6"/>
      <c r="G2874" s="1" t="s">
        <v>14726</v>
      </c>
    </row>
    <row r="2875" spans="1:7" ht="21" x14ac:dyDescent="0.25">
      <c r="A2875" s="2" t="str">
        <f>HYPERLINK("https://rth.dk/resources/bsgatlas/details.php?id=BSGatlas-TSS-2874","BSGatlas-TSS-2874")</f>
        <v>BSGatlas-TSS-2874</v>
      </c>
      <c r="B2875" s="3">
        <v>3601936</v>
      </c>
      <c r="C2875" s="1" t="s">
        <v>13</v>
      </c>
      <c r="D2875" s="1">
        <v>22</v>
      </c>
      <c r="E2875" s="1" t="s">
        <v>14732</v>
      </c>
      <c r="F2875" s="6"/>
      <c r="G2875" s="1" t="s">
        <v>14726</v>
      </c>
    </row>
    <row r="2876" spans="1:7" ht="21" x14ac:dyDescent="0.25">
      <c r="A2876" s="2" t="str">
        <f>HYPERLINK("https://rth.dk/resources/bsgatlas/details.php?id=BSGatlas-TSS-2875","BSGatlas-TSS-2875")</f>
        <v>BSGatlas-TSS-2875</v>
      </c>
      <c r="B2876" s="3">
        <v>3602024</v>
      </c>
      <c r="C2876" s="1" t="s">
        <v>9</v>
      </c>
      <c r="D2876" s="1">
        <v>22</v>
      </c>
      <c r="E2876" s="1" t="s">
        <v>14722</v>
      </c>
      <c r="F2876" s="6"/>
      <c r="G2876" s="1" t="s">
        <v>14726</v>
      </c>
    </row>
    <row r="2877" spans="1:7" ht="21" x14ac:dyDescent="0.25">
      <c r="A2877" s="2" t="str">
        <f>HYPERLINK("https://rth.dk/resources/bsgatlas/details.php?id=BSGatlas-TSS-2876","BSGatlas-TSS-2876")</f>
        <v>BSGatlas-TSS-2876</v>
      </c>
      <c r="B2877" s="3">
        <v>3602657</v>
      </c>
      <c r="C2877" s="1" t="s">
        <v>9</v>
      </c>
      <c r="D2877" s="1">
        <v>22</v>
      </c>
      <c r="E2877" s="1" t="s">
        <v>14720</v>
      </c>
      <c r="F2877" s="6"/>
      <c r="G2877" s="1" t="s">
        <v>14726</v>
      </c>
    </row>
    <row r="2878" spans="1:7" ht="21" x14ac:dyDescent="0.25">
      <c r="A2878" s="2" t="str">
        <f>HYPERLINK("https://rth.dk/resources/bsgatlas/details.php?id=BSGatlas-TSS-2877","BSGatlas-TSS-2877")</f>
        <v>BSGatlas-TSS-2877</v>
      </c>
      <c r="B2878" s="3">
        <v>3604754</v>
      </c>
      <c r="C2878" s="1" t="s">
        <v>13</v>
      </c>
      <c r="D2878" s="1">
        <v>22</v>
      </c>
      <c r="E2878" s="1" t="s">
        <v>14722</v>
      </c>
      <c r="F2878" s="6"/>
      <c r="G2878" s="1" t="s">
        <v>14733</v>
      </c>
    </row>
    <row r="2879" spans="1:7" ht="21" x14ac:dyDescent="0.25">
      <c r="A2879" s="2" t="str">
        <f>HYPERLINK("https://rth.dk/resources/bsgatlas/details.php?id=BSGatlas-TSS-2878","BSGatlas-TSS-2878")</f>
        <v>BSGatlas-TSS-2878</v>
      </c>
      <c r="B2879" s="3">
        <v>3604922</v>
      </c>
      <c r="C2879" s="1" t="s">
        <v>9</v>
      </c>
      <c r="D2879" s="1">
        <v>22</v>
      </c>
      <c r="E2879" s="1" t="s">
        <v>14722</v>
      </c>
      <c r="F2879" s="6"/>
      <c r="G2879" s="1" t="s">
        <v>14733</v>
      </c>
    </row>
    <row r="2880" spans="1:7" ht="21" x14ac:dyDescent="0.25">
      <c r="A2880" s="2" t="str">
        <f>HYPERLINK("https://rth.dk/resources/bsgatlas/details.php?id=BSGatlas-TSS-2879","BSGatlas-TSS-2879")</f>
        <v>BSGatlas-TSS-2879</v>
      </c>
      <c r="B2880" s="3">
        <v>3608829</v>
      </c>
      <c r="C2880" s="1" t="s">
        <v>13</v>
      </c>
      <c r="D2880" s="1">
        <v>0</v>
      </c>
      <c r="E2880" s="1" t="s">
        <v>14770</v>
      </c>
      <c r="F2880" s="6" t="s">
        <v>14771</v>
      </c>
      <c r="G2880" s="1" t="s">
        <v>14729</v>
      </c>
    </row>
    <row r="2881" spans="1:7" ht="21" x14ac:dyDescent="0.25">
      <c r="A2881" s="2" t="str">
        <f>HYPERLINK("https://rth.dk/resources/bsgatlas/details.php?id=BSGatlas-TSS-2880","BSGatlas-TSS-2880")</f>
        <v>BSGatlas-TSS-2880</v>
      </c>
      <c r="B2881" s="3">
        <v>3608949</v>
      </c>
      <c r="C2881" s="1" t="s">
        <v>9</v>
      </c>
      <c r="D2881" s="1">
        <v>22</v>
      </c>
      <c r="E2881" s="1" t="s">
        <v>14722</v>
      </c>
      <c r="F2881" s="6"/>
      <c r="G2881" s="1" t="s">
        <v>14726</v>
      </c>
    </row>
    <row r="2882" spans="1:7" ht="21" x14ac:dyDescent="0.25">
      <c r="A2882" s="2" t="str">
        <f>HYPERLINK("https://rth.dk/resources/bsgatlas/details.php?id=BSGatlas-TSS-2881","BSGatlas-TSS-2881")</f>
        <v>BSGatlas-TSS-2881</v>
      </c>
      <c r="B2882" s="3">
        <v>3609334</v>
      </c>
      <c r="C2882" s="1" t="s">
        <v>13</v>
      </c>
      <c r="D2882" s="1">
        <v>22</v>
      </c>
      <c r="E2882" s="1" t="s">
        <v>14722</v>
      </c>
      <c r="F2882" s="6"/>
      <c r="G2882" s="1" t="s">
        <v>14733</v>
      </c>
    </row>
    <row r="2883" spans="1:7" ht="21" x14ac:dyDescent="0.25">
      <c r="A2883" s="2" t="str">
        <f>HYPERLINK("https://rth.dk/resources/bsgatlas/details.php?id=BSGatlas-TSS-2882","BSGatlas-TSS-2882")</f>
        <v>BSGatlas-TSS-2882</v>
      </c>
      <c r="B2883" s="3">
        <v>3609575</v>
      </c>
      <c r="C2883" s="1" t="s">
        <v>13</v>
      </c>
      <c r="D2883" s="1">
        <v>22</v>
      </c>
      <c r="E2883" s="1" t="s">
        <v>14720</v>
      </c>
      <c r="F2883" s="6"/>
      <c r="G2883" s="1" t="s">
        <v>14726</v>
      </c>
    </row>
    <row r="2884" spans="1:7" ht="21" x14ac:dyDescent="0.25">
      <c r="A2884" s="2" t="str">
        <f>HYPERLINK("https://rth.dk/resources/bsgatlas/details.php?id=BSGatlas-TSS-2883","BSGatlas-TSS-2883")</f>
        <v>BSGatlas-TSS-2883</v>
      </c>
      <c r="B2884" s="3">
        <v>3609663</v>
      </c>
      <c r="C2884" s="1" t="s">
        <v>13</v>
      </c>
      <c r="D2884" s="1">
        <v>22</v>
      </c>
      <c r="E2884" s="1" t="s">
        <v>14720</v>
      </c>
      <c r="F2884" s="6"/>
      <c r="G2884" s="1" t="s">
        <v>14726</v>
      </c>
    </row>
    <row r="2885" spans="1:7" ht="21" x14ac:dyDescent="0.25">
      <c r="A2885" s="2" t="str">
        <f>HYPERLINK("https://rth.dk/resources/bsgatlas/details.php?id=BSGatlas-TSS-2884","BSGatlas-TSS-2884")</f>
        <v>BSGatlas-TSS-2884</v>
      </c>
      <c r="B2885" s="3">
        <v>3614976</v>
      </c>
      <c r="C2885" s="1" t="s">
        <v>13</v>
      </c>
      <c r="D2885" s="1">
        <v>22</v>
      </c>
      <c r="E2885" s="1" t="s">
        <v>14722</v>
      </c>
      <c r="F2885" s="6"/>
      <c r="G2885" s="1" t="s">
        <v>14726</v>
      </c>
    </row>
    <row r="2886" spans="1:7" ht="21" x14ac:dyDescent="0.25">
      <c r="A2886" s="2" t="str">
        <f>HYPERLINK("https://rth.dk/resources/bsgatlas/details.php?id=BSGatlas-TSS-2885","BSGatlas-TSS-2885")</f>
        <v>BSGatlas-TSS-2885</v>
      </c>
      <c r="B2886" s="3">
        <v>3615374</v>
      </c>
      <c r="C2886" s="1" t="s">
        <v>13</v>
      </c>
      <c r="D2886" s="1">
        <v>0</v>
      </c>
      <c r="E2886" s="1" t="s">
        <v>14722</v>
      </c>
      <c r="F2886" s="6" t="s">
        <v>15079</v>
      </c>
      <c r="G2886" s="1" t="s">
        <v>14729</v>
      </c>
    </row>
    <row r="2887" spans="1:7" ht="21" x14ac:dyDescent="0.25">
      <c r="A2887" s="2" t="str">
        <f>HYPERLINK("https://rth.dk/resources/bsgatlas/details.php?id=BSGatlas-TSS-2886","BSGatlas-TSS-2886")</f>
        <v>BSGatlas-TSS-2886</v>
      </c>
      <c r="B2887" s="3">
        <v>3615429</v>
      </c>
      <c r="C2887" s="1" t="s">
        <v>13</v>
      </c>
      <c r="D2887" s="1">
        <v>0</v>
      </c>
      <c r="E2887" s="1" t="s">
        <v>14734</v>
      </c>
      <c r="F2887" s="6" t="s">
        <v>15079</v>
      </c>
      <c r="G2887" s="1" t="s">
        <v>14724</v>
      </c>
    </row>
    <row r="2888" spans="1:7" ht="21" x14ac:dyDescent="0.25">
      <c r="A2888" s="2" t="str">
        <f>HYPERLINK("https://rth.dk/resources/bsgatlas/details.php?id=BSGatlas-TSS-2887","BSGatlas-TSS-2887")</f>
        <v>BSGatlas-TSS-2887</v>
      </c>
      <c r="B2888" s="3">
        <v>3615581</v>
      </c>
      <c r="C2888" s="1" t="s">
        <v>13</v>
      </c>
      <c r="D2888" s="1">
        <v>22</v>
      </c>
      <c r="E2888" s="1" t="s">
        <v>14720</v>
      </c>
      <c r="F2888" s="6"/>
      <c r="G2888" s="1" t="s">
        <v>14726</v>
      </c>
    </row>
    <row r="2889" spans="1:7" ht="21" x14ac:dyDescent="0.25">
      <c r="A2889" s="2" t="str">
        <f>HYPERLINK("https://rth.dk/resources/bsgatlas/details.php?id=BSGatlas-TSS-2888","BSGatlas-TSS-2888")</f>
        <v>BSGatlas-TSS-2888</v>
      </c>
      <c r="B2889" s="3">
        <v>3615701</v>
      </c>
      <c r="C2889" s="1" t="s">
        <v>9</v>
      </c>
      <c r="D2889" s="1">
        <v>22</v>
      </c>
      <c r="E2889" s="1" t="s">
        <v>14722</v>
      </c>
      <c r="F2889" s="6"/>
      <c r="G2889" s="1" t="s">
        <v>14726</v>
      </c>
    </row>
    <row r="2890" spans="1:7" ht="21" x14ac:dyDescent="0.25">
      <c r="A2890" s="2" t="str">
        <f>HYPERLINK("https://rth.dk/resources/bsgatlas/details.php?id=BSGatlas-TSS-2889","BSGatlas-TSS-2889")</f>
        <v>BSGatlas-TSS-2889</v>
      </c>
      <c r="B2890" s="3">
        <v>3618321</v>
      </c>
      <c r="C2890" s="1" t="s">
        <v>9</v>
      </c>
      <c r="D2890" s="1">
        <v>22</v>
      </c>
      <c r="E2890" s="1" t="s">
        <v>14720</v>
      </c>
      <c r="F2890" s="6"/>
      <c r="G2890" s="1" t="s">
        <v>14726</v>
      </c>
    </row>
    <row r="2891" spans="1:7" ht="21" x14ac:dyDescent="0.25">
      <c r="A2891" s="2" t="str">
        <f>HYPERLINK("https://rth.dk/resources/bsgatlas/details.php?id=BSGatlas-TSS-2890","BSGatlas-TSS-2890")</f>
        <v>BSGatlas-TSS-2890</v>
      </c>
      <c r="B2891" s="3">
        <v>3622137</v>
      </c>
      <c r="C2891" s="1" t="s">
        <v>13</v>
      </c>
      <c r="D2891" s="1">
        <v>22</v>
      </c>
      <c r="E2891" s="1" t="s">
        <v>14722</v>
      </c>
      <c r="F2891" s="6"/>
      <c r="G2891" s="1" t="s">
        <v>14733</v>
      </c>
    </row>
    <row r="2892" spans="1:7" ht="21" x14ac:dyDescent="0.25">
      <c r="A2892" s="2" t="str">
        <f>HYPERLINK("https://rth.dk/resources/bsgatlas/details.php?id=BSGatlas-TSS-2891","BSGatlas-TSS-2891")</f>
        <v>BSGatlas-TSS-2891</v>
      </c>
      <c r="B2892" s="3">
        <v>3622219</v>
      </c>
      <c r="C2892" s="1" t="s">
        <v>13</v>
      </c>
      <c r="D2892" s="1">
        <v>22</v>
      </c>
      <c r="E2892" s="1" t="s">
        <v>14752</v>
      </c>
      <c r="F2892" s="6"/>
      <c r="G2892" s="1" t="s">
        <v>14733</v>
      </c>
    </row>
    <row r="2893" spans="1:7" ht="21" x14ac:dyDescent="0.25">
      <c r="A2893" s="2" t="str">
        <f>HYPERLINK("https://rth.dk/resources/bsgatlas/details.php?id=BSGatlas-TSS-2892","BSGatlas-TSS-2892")</f>
        <v>BSGatlas-TSS-2892</v>
      </c>
      <c r="B2893" s="3">
        <v>3623840</v>
      </c>
      <c r="C2893" s="1" t="s">
        <v>13</v>
      </c>
      <c r="D2893" s="1">
        <v>0</v>
      </c>
      <c r="E2893" s="1" t="s">
        <v>14743</v>
      </c>
      <c r="F2893" s="6" t="s">
        <v>14813</v>
      </c>
      <c r="G2893" s="1" t="s">
        <v>14729</v>
      </c>
    </row>
    <row r="2894" spans="1:7" ht="21" x14ac:dyDescent="0.25">
      <c r="A2894" s="2" t="str">
        <f>HYPERLINK("https://rth.dk/resources/bsgatlas/details.php?id=BSGatlas-TSS-2893","BSGatlas-TSS-2893")</f>
        <v>BSGatlas-TSS-2893</v>
      </c>
      <c r="B2894" s="3">
        <v>3625640</v>
      </c>
      <c r="C2894" s="1" t="s">
        <v>13</v>
      </c>
      <c r="D2894" s="1">
        <v>22</v>
      </c>
      <c r="E2894" s="1" t="s">
        <v>14722</v>
      </c>
      <c r="F2894" s="6"/>
      <c r="G2894" s="1" t="s">
        <v>14733</v>
      </c>
    </row>
    <row r="2895" spans="1:7" ht="21" x14ac:dyDescent="0.25">
      <c r="A2895" s="2" t="str">
        <f>HYPERLINK("https://rth.dk/resources/bsgatlas/details.php?id=BSGatlas-TSS-2894","BSGatlas-TSS-2894")</f>
        <v>BSGatlas-TSS-2894</v>
      </c>
      <c r="B2895" s="3">
        <v>3626119</v>
      </c>
      <c r="C2895" s="1" t="s">
        <v>13</v>
      </c>
      <c r="D2895" s="1">
        <v>22</v>
      </c>
      <c r="E2895" s="1" t="s">
        <v>14722</v>
      </c>
      <c r="F2895" s="6"/>
      <c r="G2895" s="1" t="s">
        <v>14726</v>
      </c>
    </row>
    <row r="2896" spans="1:7" ht="21" x14ac:dyDescent="0.25">
      <c r="A2896" s="2" t="str">
        <f>HYPERLINK("https://rth.dk/resources/bsgatlas/details.php?id=BSGatlas-TSS-2895","BSGatlas-TSS-2895")</f>
        <v>BSGatlas-TSS-2895</v>
      </c>
      <c r="B2896" s="3">
        <v>3627021</v>
      </c>
      <c r="C2896" s="1" t="s">
        <v>13</v>
      </c>
      <c r="D2896" s="1">
        <v>22</v>
      </c>
      <c r="E2896" s="1" t="s">
        <v>14722</v>
      </c>
      <c r="F2896" s="6"/>
      <c r="G2896" s="1" t="s">
        <v>14726</v>
      </c>
    </row>
    <row r="2897" spans="1:7" ht="21" x14ac:dyDescent="0.25">
      <c r="A2897" s="2" t="str">
        <f>HYPERLINK("https://rth.dk/resources/bsgatlas/details.php?id=BSGatlas-TSS-2896","BSGatlas-TSS-2896")</f>
        <v>BSGatlas-TSS-2896</v>
      </c>
      <c r="B2897" s="3">
        <v>3630908</v>
      </c>
      <c r="C2897" s="1" t="s">
        <v>13</v>
      </c>
      <c r="D2897" s="1">
        <v>0</v>
      </c>
      <c r="E2897" s="1" t="s">
        <v>14722</v>
      </c>
      <c r="F2897" s="6" t="s">
        <v>15080</v>
      </c>
      <c r="G2897" s="1" t="s">
        <v>14724</v>
      </c>
    </row>
    <row r="2898" spans="1:7" ht="21" x14ac:dyDescent="0.25">
      <c r="A2898" s="2" t="str">
        <f>HYPERLINK("https://rth.dk/resources/bsgatlas/details.php?id=BSGatlas-TSS-2897","BSGatlas-TSS-2897")</f>
        <v>BSGatlas-TSS-2897</v>
      </c>
      <c r="B2898" s="3">
        <v>3631565</v>
      </c>
      <c r="C2898" s="1" t="s">
        <v>9</v>
      </c>
      <c r="D2898" s="1">
        <v>22</v>
      </c>
      <c r="E2898" s="1" t="s">
        <v>14722</v>
      </c>
      <c r="F2898" s="6"/>
      <c r="G2898" s="1" t="s">
        <v>14726</v>
      </c>
    </row>
    <row r="2899" spans="1:7" ht="21" x14ac:dyDescent="0.25">
      <c r="A2899" s="2" t="str">
        <f>HYPERLINK("https://rth.dk/resources/bsgatlas/details.php?id=BSGatlas-TSS-2898","BSGatlas-TSS-2898")</f>
        <v>BSGatlas-TSS-2898</v>
      </c>
      <c r="B2899" s="3">
        <v>3631600</v>
      </c>
      <c r="C2899" s="1" t="s">
        <v>13</v>
      </c>
      <c r="D2899" s="1">
        <v>0</v>
      </c>
      <c r="E2899" s="1" t="s">
        <v>14745</v>
      </c>
      <c r="F2899" s="6" t="s">
        <v>15081</v>
      </c>
      <c r="G2899" s="1" t="s">
        <v>14729</v>
      </c>
    </row>
    <row r="2900" spans="1:7" ht="21" x14ac:dyDescent="0.25">
      <c r="A2900" s="2" t="str">
        <f>HYPERLINK("https://rth.dk/resources/bsgatlas/details.php?id=BSGatlas-TSS-2899","BSGatlas-TSS-2899")</f>
        <v>BSGatlas-TSS-2899</v>
      </c>
      <c r="B2900" s="3">
        <v>3631608</v>
      </c>
      <c r="C2900" s="1" t="s">
        <v>13</v>
      </c>
      <c r="D2900" s="1">
        <v>0</v>
      </c>
      <c r="E2900" s="1" t="s">
        <v>14734</v>
      </c>
      <c r="F2900" s="6" t="s">
        <v>15082</v>
      </c>
      <c r="G2900" s="1" t="s">
        <v>14729</v>
      </c>
    </row>
    <row r="2901" spans="1:7" ht="21" x14ac:dyDescent="0.25">
      <c r="A2901" s="2" t="str">
        <f>HYPERLINK("https://rth.dk/resources/bsgatlas/details.php?id=BSGatlas-TSS-2900","BSGatlas-TSS-2900")</f>
        <v>BSGatlas-TSS-2900</v>
      </c>
      <c r="B2901" s="3">
        <v>3631729</v>
      </c>
      <c r="C2901" s="1" t="s">
        <v>13</v>
      </c>
      <c r="D2901" s="1">
        <v>22</v>
      </c>
      <c r="E2901" s="1" t="s">
        <v>14727</v>
      </c>
      <c r="F2901" s="6"/>
      <c r="G2901" s="1" t="s">
        <v>14733</v>
      </c>
    </row>
    <row r="2902" spans="1:7" ht="21" x14ac:dyDescent="0.25">
      <c r="A2902" s="2" t="str">
        <f>HYPERLINK("https://rth.dk/resources/bsgatlas/details.php?id=BSGatlas-TSS-2901","BSGatlas-TSS-2901")</f>
        <v>BSGatlas-TSS-2901</v>
      </c>
      <c r="B2902" s="3">
        <v>3634778</v>
      </c>
      <c r="C2902" s="1" t="s">
        <v>13</v>
      </c>
      <c r="D2902" s="1">
        <v>0</v>
      </c>
      <c r="E2902" s="1" t="s">
        <v>14752</v>
      </c>
      <c r="F2902" s="6" t="s">
        <v>15083</v>
      </c>
      <c r="G2902" s="1" t="s">
        <v>14729</v>
      </c>
    </row>
    <row r="2903" spans="1:7" ht="21" x14ac:dyDescent="0.25">
      <c r="A2903" s="2" t="str">
        <f>HYPERLINK("https://rth.dk/resources/bsgatlas/details.php?id=BSGatlas-TSS-2902","BSGatlas-TSS-2902")</f>
        <v>BSGatlas-TSS-2902</v>
      </c>
      <c r="B2903" s="3">
        <v>3634897</v>
      </c>
      <c r="C2903" s="1" t="s">
        <v>13</v>
      </c>
      <c r="D2903" s="1">
        <v>22</v>
      </c>
      <c r="E2903" s="1" t="s">
        <v>14722</v>
      </c>
      <c r="F2903" s="6"/>
      <c r="G2903" s="1" t="s">
        <v>14733</v>
      </c>
    </row>
    <row r="2904" spans="1:7" ht="21" x14ac:dyDescent="0.25">
      <c r="A2904" s="2" t="str">
        <f>HYPERLINK("https://rth.dk/resources/bsgatlas/details.php?id=BSGatlas-TSS-2903","BSGatlas-TSS-2903")</f>
        <v>BSGatlas-TSS-2903</v>
      </c>
      <c r="B2904" s="3">
        <v>3635987</v>
      </c>
      <c r="C2904" s="1" t="s">
        <v>9</v>
      </c>
      <c r="D2904" s="1">
        <v>22</v>
      </c>
      <c r="E2904" s="1" t="s">
        <v>14720</v>
      </c>
      <c r="F2904" s="6"/>
      <c r="G2904" s="1" t="s">
        <v>14726</v>
      </c>
    </row>
    <row r="2905" spans="1:7" ht="21" x14ac:dyDescent="0.25">
      <c r="A2905" s="2" t="str">
        <f>HYPERLINK("https://rth.dk/resources/bsgatlas/details.php?id=BSGatlas-TSS-2904","BSGatlas-TSS-2904")</f>
        <v>BSGatlas-TSS-2904</v>
      </c>
      <c r="B2905" s="3">
        <v>3635993</v>
      </c>
      <c r="C2905" s="1" t="s">
        <v>13</v>
      </c>
      <c r="D2905" s="1">
        <v>0</v>
      </c>
      <c r="E2905" s="1" t="s">
        <v>14752</v>
      </c>
      <c r="F2905" s="6" t="s">
        <v>15084</v>
      </c>
      <c r="G2905" s="1" t="s">
        <v>14724</v>
      </c>
    </row>
    <row r="2906" spans="1:7" ht="21" x14ac:dyDescent="0.25">
      <c r="A2906" s="2" t="str">
        <f>HYPERLINK("https://rth.dk/resources/bsgatlas/details.php?id=BSGatlas-TSS-2905","BSGatlas-TSS-2905")</f>
        <v>BSGatlas-TSS-2905</v>
      </c>
      <c r="B2906" s="3">
        <v>3637659</v>
      </c>
      <c r="C2906" s="1" t="s">
        <v>9</v>
      </c>
      <c r="D2906" s="1">
        <v>22</v>
      </c>
      <c r="E2906" s="1" t="s">
        <v>14720</v>
      </c>
      <c r="F2906" s="6"/>
      <c r="G2906" s="1" t="s">
        <v>14726</v>
      </c>
    </row>
    <row r="2907" spans="1:7" ht="21" x14ac:dyDescent="0.25">
      <c r="A2907" s="2" t="str">
        <f>HYPERLINK("https://rth.dk/resources/bsgatlas/details.php?id=BSGatlas-TSS-2906","BSGatlas-TSS-2906")</f>
        <v>BSGatlas-TSS-2906</v>
      </c>
      <c r="B2907" s="3">
        <v>3640591</v>
      </c>
      <c r="C2907" s="1" t="s">
        <v>13</v>
      </c>
      <c r="D2907" s="1">
        <v>0</v>
      </c>
      <c r="E2907" s="1" t="s">
        <v>14752</v>
      </c>
      <c r="F2907" s="6">
        <v>21736639</v>
      </c>
      <c r="G2907" s="1" t="s">
        <v>4547</v>
      </c>
    </row>
    <row r="2908" spans="1:7" ht="21" x14ac:dyDescent="0.25">
      <c r="A2908" s="2" t="str">
        <f>HYPERLINK("https://rth.dk/resources/bsgatlas/details.php?id=BSGatlas-TSS-2907","BSGatlas-TSS-2907")</f>
        <v>BSGatlas-TSS-2907</v>
      </c>
      <c r="B2908" s="3">
        <v>3641093</v>
      </c>
      <c r="C2908" s="1" t="s">
        <v>13</v>
      </c>
      <c r="D2908" s="1">
        <v>0</v>
      </c>
      <c r="E2908" s="1" t="s">
        <v>14752</v>
      </c>
      <c r="F2908" s="6" t="s">
        <v>15085</v>
      </c>
      <c r="G2908" s="1" t="s">
        <v>14730</v>
      </c>
    </row>
    <row r="2909" spans="1:7" ht="21" x14ac:dyDescent="0.25">
      <c r="A2909" s="2" t="str">
        <f>HYPERLINK("https://rth.dk/resources/bsgatlas/details.php?id=BSGatlas-TSS-2908","BSGatlas-TSS-2908")</f>
        <v>BSGatlas-TSS-2908</v>
      </c>
      <c r="B2909" s="3">
        <v>3642146</v>
      </c>
      <c r="C2909" s="1" t="s">
        <v>13</v>
      </c>
      <c r="D2909" s="1">
        <v>22</v>
      </c>
      <c r="E2909" s="1" t="s">
        <v>14722</v>
      </c>
      <c r="F2909" s="6"/>
      <c r="G2909" s="1" t="s">
        <v>14726</v>
      </c>
    </row>
    <row r="2910" spans="1:7" ht="21" x14ac:dyDescent="0.25">
      <c r="A2910" s="2" t="str">
        <f>HYPERLINK("https://rth.dk/resources/bsgatlas/details.php?id=BSGatlas-TSS-2909","BSGatlas-TSS-2909")</f>
        <v>BSGatlas-TSS-2909</v>
      </c>
      <c r="B2910" s="3">
        <v>3643575</v>
      </c>
      <c r="C2910" s="1" t="s">
        <v>13</v>
      </c>
      <c r="D2910" s="1">
        <v>0</v>
      </c>
      <c r="E2910" s="1" t="s">
        <v>14722</v>
      </c>
      <c r="F2910" s="6">
        <v>8412657</v>
      </c>
      <c r="G2910" s="1" t="s">
        <v>14730</v>
      </c>
    </row>
    <row r="2911" spans="1:7" ht="21" x14ac:dyDescent="0.25">
      <c r="A2911" s="2" t="str">
        <f>HYPERLINK("https://rth.dk/resources/bsgatlas/details.php?id=BSGatlas-TSS-2910","BSGatlas-TSS-2910")</f>
        <v>BSGatlas-TSS-2910</v>
      </c>
      <c r="B2911" s="3">
        <v>3643957</v>
      </c>
      <c r="C2911" s="1" t="s">
        <v>9</v>
      </c>
      <c r="D2911" s="1">
        <v>22</v>
      </c>
      <c r="E2911" s="1" t="s">
        <v>14722</v>
      </c>
      <c r="F2911" s="6"/>
      <c r="G2911" s="1" t="s">
        <v>14726</v>
      </c>
    </row>
    <row r="2912" spans="1:7" ht="21" x14ac:dyDescent="0.25">
      <c r="A2912" s="2" t="str">
        <f>HYPERLINK("https://rth.dk/resources/bsgatlas/details.php?id=BSGatlas-TSS-2911","BSGatlas-TSS-2911")</f>
        <v>BSGatlas-TSS-2911</v>
      </c>
      <c r="B2912" s="3">
        <v>3644555</v>
      </c>
      <c r="C2912" s="1" t="s">
        <v>13</v>
      </c>
      <c r="D2912" s="1">
        <v>22</v>
      </c>
      <c r="E2912" s="1" t="s">
        <v>14722</v>
      </c>
      <c r="F2912" s="6"/>
      <c r="G2912" s="1" t="s">
        <v>14726</v>
      </c>
    </row>
    <row r="2913" spans="1:7" ht="21" x14ac:dyDescent="0.25">
      <c r="A2913" s="2" t="str">
        <f>HYPERLINK("https://rth.dk/resources/bsgatlas/details.php?id=BSGatlas-TSS-2912","BSGatlas-TSS-2912")</f>
        <v>BSGatlas-TSS-2912</v>
      </c>
      <c r="B2913" s="3">
        <v>3646613</v>
      </c>
      <c r="C2913" s="1" t="s">
        <v>9</v>
      </c>
      <c r="D2913" s="1">
        <v>22</v>
      </c>
      <c r="E2913" s="1" t="s">
        <v>14722</v>
      </c>
      <c r="F2913" s="6"/>
      <c r="G2913" s="1" t="s">
        <v>14733</v>
      </c>
    </row>
    <row r="2914" spans="1:7" ht="21" x14ac:dyDescent="0.25">
      <c r="A2914" s="2" t="str">
        <f>HYPERLINK("https://rth.dk/resources/bsgatlas/details.php?id=BSGatlas-TSS-2913","BSGatlas-TSS-2913")</f>
        <v>BSGatlas-TSS-2913</v>
      </c>
      <c r="B2914" s="3">
        <v>3646657</v>
      </c>
      <c r="C2914" s="1" t="s">
        <v>13</v>
      </c>
      <c r="D2914" s="1">
        <v>0</v>
      </c>
      <c r="E2914" s="1" t="s">
        <v>14722</v>
      </c>
      <c r="F2914" s="6" t="s">
        <v>15086</v>
      </c>
      <c r="G2914" s="1" t="s">
        <v>14724</v>
      </c>
    </row>
    <row r="2915" spans="1:7" ht="21" x14ac:dyDescent="0.25">
      <c r="A2915" s="2" t="str">
        <f>HYPERLINK("https://rth.dk/resources/bsgatlas/details.php?id=BSGatlas-TSS-2914","BSGatlas-TSS-2914")</f>
        <v>BSGatlas-TSS-2914</v>
      </c>
      <c r="B2915" s="3">
        <v>3646701</v>
      </c>
      <c r="C2915" s="1" t="s">
        <v>9</v>
      </c>
      <c r="D2915" s="1">
        <v>22</v>
      </c>
      <c r="E2915" s="1" t="s">
        <v>14758</v>
      </c>
      <c r="F2915" s="6"/>
      <c r="G2915" s="1" t="s">
        <v>14726</v>
      </c>
    </row>
    <row r="2916" spans="1:7" ht="21" x14ac:dyDescent="0.25">
      <c r="A2916" s="2" t="str">
        <f>HYPERLINK("https://rth.dk/resources/bsgatlas/details.php?id=BSGatlas-TSS-2915","BSGatlas-TSS-2915")</f>
        <v>BSGatlas-TSS-2915</v>
      </c>
      <c r="B2916" s="3">
        <v>3647706</v>
      </c>
      <c r="C2916" s="1" t="s">
        <v>13</v>
      </c>
      <c r="D2916" s="1">
        <v>22</v>
      </c>
      <c r="E2916" s="1" t="s">
        <v>14734</v>
      </c>
      <c r="F2916" s="6"/>
      <c r="G2916" s="1" t="s">
        <v>14726</v>
      </c>
    </row>
    <row r="2917" spans="1:7" ht="21" x14ac:dyDescent="0.25">
      <c r="A2917" s="2" t="str">
        <f>HYPERLINK("https://rth.dk/resources/bsgatlas/details.php?id=BSGatlas-TSS-2916","BSGatlas-TSS-2916")</f>
        <v>BSGatlas-TSS-2916</v>
      </c>
      <c r="B2917" s="3">
        <v>3648747</v>
      </c>
      <c r="C2917" s="1" t="s">
        <v>9</v>
      </c>
      <c r="D2917" s="1">
        <v>22</v>
      </c>
      <c r="E2917" s="1" t="s">
        <v>14725</v>
      </c>
      <c r="F2917" s="6"/>
      <c r="G2917" s="1" t="s">
        <v>14726</v>
      </c>
    </row>
    <row r="2918" spans="1:7" ht="21" x14ac:dyDescent="0.25">
      <c r="A2918" s="2" t="str">
        <f>HYPERLINK("https://rth.dk/resources/bsgatlas/details.php?id=BSGatlas-TSS-2917","BSGatlas-TSS-2917")</f>
        <v>BSGatlas-TSS-2917</v>
      </c>
      <c r="B2918" s="3">
        <v>3649813</v>
      </c>
      <c r="C2918" s="1" t="s">
        <v>13</v>
      </c>
      <c r="D2918" s="1">
        <v>22</v>
      </c>
      <c r="E2918" s="1" t="s">
        <v>14722</v>
      </c>
      <c r="F2918" s="6"/>
      <c r="G2918" s="1" t="s">
        <v>14733</v>
      </c>
    </row>
    <row r="2919" spans="1:7" ht="21" x14ac:dyDescent="0.25">
      <c r="A2919" s="2" t="str">
        <f>HYPERLINK("https://rth.dk/resources/bsgatlas/details.php?id=BSGatlas-TSS-2918","BSGatlas-TSS-2918")</f>
        <v>BSGatlas-TSS-2918</v>
      </c>
      <c r="B2919" s="3">
        <v>3658936</v>
      </c>
      <c r="C2919" s="1" t="s">
        <v>13</v>
      </c>
      <c r="D2919" s="1">
        <v>0</v>
      </c>
      <c r="E2919" s="1" t="s">
        <v>14722</v>
      </c>
      <c r="F2919" s="6">
        <v>10048024</v>
      </c>
      <c r="G2919" s="1" t="s">
        <v>14747</v>
      </c>
    </row>
    <row r="2920" spans="1:7" ht="21" x14ac:dyDescent="0.25">
      <c r="A2920" s="2" t="str">
        <f>HYPERLINK("https://rth.dk/resources/bsgatlas/details.php?id=BSGatlas-TSS-2919","BSGatlas-TSS-2919")</f>
        <v>BSGatlas-TSS-2919</v>
      </c>
      <c r="B2920" s="3">
        <v>3658937</v>
      </c>
      <c r="C2920" s="1" t="s">
        <v>13</v>
      </c>
      <c r="D2920" s="1">
        <v>0</v>
      </c>
      <c r="E2920" s="1" t="s">
        <v>14722</v>
      </c>
      <c r="F2920" s="6">
        <v>10048024</v>
      </c>
      <c r="G2920" s="1" t="s">
        <v>14730</v>
      </c>
    </row>
    <row r="2921" spans="1:7" ht="21" x14ac:dyDescent="0.25">
      <c r="A2921" s="2" t="str">
        <f>HYPERLINK("https://rth.dk/resources/bsgatlas/details.php?id=BSGatlas-TSS-2920","BSGatlas-TSS-2920")</f>
        <v>BSGatlas-TSS-2920</v>
      </c>
      <c r="B2921" s="3">
        <v>3663109</v>
      </c>
      <c r="C2921" s="1" t="s">
        <v>13</v>
      </c>
      <c r="D2921" s="1">
        <v>0</v>
      </c>
      <c r="E2921" s="1" t="s">
        <v>14752</v>
      </c>
      <c r="F2921" s="6" t="s">
        <v>15087</v>
      </c>
      <c r="G2921" s="1" t="s">
        <v>4382</v>
      </c>
    </row>
    <row r="2922" spans="1:7" ht="21" x14ac:dyDescent="0.25">
      <c r="A2922" s="2" t="str">
        <f>HYPERLINK("https://rth.dk/resources/bsgatlas/details.php?id=BSGatlas-TSS-2921","BSGatlas-TSS-2921")</f>
        <v>BSGatlas-TSS-2921</v>
      </c>
      <c r="B2922" s="3">
        <v>3663113</v>
      </c>
      <c r="C2922" s="1" t="s">
        <v>9</v>
      </c>
      <c r="D2922" s="1">
        <v>22</v>
      </c>
      <c r="E2922" s="1" t="s">
        <v>14720</v>
      </c>
      <c r="F2922" s="6"/>
      <c r="G2922" s="1" t="s">
        <v>14726</v>
      </c>
    </row>
    <row r="2923" spans="1:7" ht="21" x14ac:dyDescent="0.25">
      <c r="A2923" s="2" t="str">
        <f>HYPERLINK("https://rth.dk/resources/bsgatlas/details.php?id=BSGatlas-TSS-2922","BSGatlas-TSS-2922")</f>
        <v>BSGatlas-TSS-2922</v>
      </c>
      <c r="B2923" s="3">
        <v>3663130</v>
      </c>
      <c r="C2923" s="1" t="s">
        <v>13</v>
      </c>
      <c r="D2923" s="1">
        <v>0</v>
      </c>
      <c r="E2923" s="1" t="s">
        <v>14722</v>
      </c>
      <c r="F2923" s="6" t="s">
        <v>15088</v>
      </c>
      <c r="G2923" s="1" t="s">
        <v>14729</v>
      </c>
    </row>
    <row r="2924" spans="1:7" ht="21" x14ac:dyDescent="0.25">
      <c r="A2924" s="2" t="str">
        <f>HYPERLINK("https://rth.dk/resources/bsgatlas/details.php?id=BSGatlas-TSS-2923","BSGatlas-TSS-2923")</f>
        <v>BSGatlas-TSS-2923</v>
      </c>
      <c r="B2924" s="3">
        <v>3663197</v>
      </c>
      <c r="C2924" s="1" t="s">
        <v>9</v>
      </c>
      <c r="D2924" s="1">
        <v>0</v>
      </c>
      <c r="E2924" s="1" t="s">
        <v>14776</v>
      </c>
      <c r="F2924" s="6" t="s">
        <v>15089</v>
      </c>
      <c r="G2924" s="1" t="s">
        <v>14729</v>
      </c>
    </row>
    <row r="2925" spans="1:7" ht="21" x14ac:dyDescent="0.25">
      <c r="A2925" s="2" t="str">
        <f>HYPERLINK("https://rth.dk/resources/bsgatlas/details.php?id=BSGatlas-TSS-2924","BSGatlas-TSS-2924")</f>
        <v>BSGatlas-TSS-2924</v>
      </c>
      <c r="B2925" s="3">
        <v>3663257</v>
      </c>
      <c r="C2925" s="1" t="s">
        <v>9</v>
      </c>
      <c r="D2925" s="1">
        <v>0</v>
      </c>
      <c r="E2925" s="1" t="s">
        <v>14722</v>
      </c>
      <c r="F2925" s="6" t="s">
        <v>15089</v>
      </c>
      <c r="G2925" s="1" t="s">
        <v>4382</v>
      </c>
    </row>
    <row r="2926" spans="1:7" ht="21" x14ac:dyDescent="0.25">
      <c r="A2926" s="2" t="str">
        <f>HYPERLINK("https://rth.dk/resources/bsgatlas/details.php?id=BSGatlas-TSS-2925","BSGatlas-TSS-2925")</f>
        <v>BSGatlas-TSS-2925</v>
      </c>
      <c r="B2926" s="3">
        <v>3665436</v>
      </c>
      <c r="C2926" s="1" t="s">
        <v>13</v>
      </c>
      <c r="D2926" s="1">
        <v>22</v>
      </c>
      <c r="E2926" s="1" t="s">
        <v>14722</v>
      </c>
      <c r="F2926" s="6"/>
      <c r="G2926" s="1" t="s">
        <v>14726</v>
      </c>
    </row>
    <row r="2927" spans="1:7" ht="21" x14ac:dyDescent="0.25">
      <c r="A2927" s="2" t="str">
        <f>HYPERLINK("https://rth.dk/resources/bsgatlas/details.php?id=BSGatlas-TSS-2926","BSGatlas-TSS-2926")</f>
        <v>BSGatlas-TSS-2926</v>
      </c>
      <c r="B2927" s="3">
        <v>3665549</v>
      </c>
      <c r="C2927" s="1" t="s">
        <v>9</v>
      </c>
      <c r="D2927" s="1">
        <v>0</v>
      </c>
      <c r="E2927" s="1" t="s">
        <v>14722</v>
      </c>
      <c r="F2927" s="6" t="s">
        <v>15090</v>
      </c>
      <c r="G2927" s="1" t="s">
        <v>14724</v>
      </c>
    </row>
    <row r="2928" spans="1:7" ht="21" x14ac:dyDescent="0.25">
      <c r="A2928" s="2" t="str">
        <f>HYPERLINK("https://rth.dk/resources/bsgatlas/details.php?id=BSGatlas-TSS-2927","BSGatlas-TSS-2927")</f>
        <v>BSGatlas-TSS-2927</v>
      </c>
      <c r="B2928" s="3">
        <v>3665584</v>
      </c>
      <c r="C2928" s="1" t="s">
        <v>9</v>
      </c>
      <c r="D2928" s="1">
        <v>0</v>
      </c>
      <c r="E2928" s="1" t="s">
        <v>14734</v>
      </c>
      <c r="F2928" s="6" t="s">
        <v>15090</v>
      </c>
      <c r="G2928" s="1" t="s">
        <v>4382</v>
      </c>
    </row>
    <row r="2929" spans="1:7" ht="21" x14ac:dyDescent="0.25">
      <c r="A2929" s="2" t="str">
        <f>HYPERLINK("https://rth.dk/resources/bsgatlas/details.php?id=BSGatlas-TSS-2928","BSGatlas-TSS-2928")</f>
        <v>BSGatlas-TSS-2928</v>
      </c>
      <c r="B2929" s="3">
        <v>3669959</v>
      </c>
      <c r="C2929" s="1" t="s">
        <v>9</v>
      </c>
      <c r="D2929" s="1">
        <v>22</v>
      </c>
      <c r="E2929" s="1" t="s">
        <v>14734</v>
      </c>
      <c r="F2929" s="6"/>
      <c r="G2929" s="1" t="s">
        <v>14733</v>
      </c>
    </row>
    <row r="2930" spans="1:7" ht="21" x14ac:dyDescent="0.25">
      <c r="A2930" s="2" t="str">
        <f>HYPERLINK("https://rth.dk/resources/bsgatlas/details.php?id=BSGatlas-TSS-2929","BSGatlas-TSS-2929")</f>
        <v>BSGatlas-TSS-2929</v>
      </c>
      <c r="B2930" s="3">
        <v>3672493</v>
      </c>
      <c r="C2930" s="1" t="s">
        <v>13</v>
      </c>
      <c r="D2930" s="1">
        <v>0</v>
      </c>
      <c r="E2930" s="1" t="s">
        <v>14722</v>
      </c>
      <c r="F2930" s="6" t="s">
        <v>15091</v>
      </c>
      <c r="G2930" s="1" t="s">
        <v>14724</v>
      </c>
    </row>
    <row r="2931" spans="1:7" ht="21" x14ac:dyDescent="0.25">
      <c r="A2931" s="2" t="str">
        <f>HYPERLINK("https://rth.dk/resources/bsgatlas/details.php?id=BSGatlas-TSS-2930","BSGatlas-TSS-2930")</f>
        <v>BSGatlas-TSS-2930</v>
      </c>
      <c r="B2931" s="3">
        <v>3672737</v>
      </c>
      <c r="C2931" s="1" t="s">
        <v>13</v>
      </c>
      <c r="D2931" s="1">
        <v>22</v>
      </c>
      <c r="E2931" s="1" t="s">
        <v>14752</v>
      </c>
      <c r="F2931" s="6"/>
      <c r="G2931" s="1" t="s">
        <v>14733</v>
      </c>
    </row>
    <row r="2932" spans="1:7" ht="21" x14ac:dyDescent="0.25">
      <c r="A2932" s="2" t="str">
        <f>HYPERLINK("https://rth.dk/resources/bsgatlas/details.php?id=BSGatlas-TSS-2931","BSGatlas-TSS-2931")</f>
        <v>BSGatlas-TSS-2931</v>
      </c>
      <c r="B2932" s="3">
        <v>3672793</v>
      </c>
      <c r="C2932" s="1" t="s">
        <v>9</v>
      </c>
      <c r="D2932" s="1">
        <v>22</v>
      </c>
      <c r="E2932" s="1" t="s">
        <v>14722</v>
      </c>
      <c r="F2932" s="6"/>
      <c r="G2932" s="1" t="s">
        <v>14733</v>
      </c>
    </row>
    <row r="2933" spans="1:7" ht="21" x14ac:dyDescent="0.25">
      <c r="A2933" s="2" t="str">
        <f>HYPERLINK("https://rth.dk/resources/bsgatlas/details.php?id=BSGatlas-TSS-2932","BSGatlas-TSS-2932")</f>
        <v>BSGatlas-TSS-2932</v>
      </c>
      <c r="B2933" s="3">
        <v>3672925</v>
      </c>
      <c r="C2933" s="1" t="s">
        <v>9</v>
      </c>
      <c r="D2933" s="1">
        <v>22</v>
      </c>
      <c r="E2933" s="1" t="s">
        <v>14720</v>
      </c>
      <c r="F2933" s="6"/>
      <c r="G2933" s="1" t="s">
        <v>14726</v>
      </c>
    </row>
    <row r="2934" spans="1:7" ht="21" x14ac:dyDescent="0.25">
      <c r="A2934" s="2" t="str">
        <f>HYPERLINK("https://rth.dk/resources/bsgatlas/details.php?id=BSGatlas-TSS-2933","BSGatlas-TSS-2933")</f>
        <v>BSGatlas-TSS-2933</v>
      </c>
      <c r="B2934" s="3">
        <v>3676059</v>
      </c>
      <c r="C2934" s="1" t="s">
        <v>13</v>
      </c>
      <c r="D2934" s="1">
        <v>22</v>
      </c>
      <c r="E2934" s="1" t="s">
        <v>14722</v>
      </c>
      <c r="F2934" s="6"/>
      <c r="G2934" s="1" t="s">
        <v>14733</v>
      </c>
    </row>
    <row r="2935" spans="1:7" ht="21" x14ac:dyDescent="0.25">
      <c r="A2935" s="2" t="str">
        <f>HYPERLINK("https://rth.dk/resources/bsgatlas/details.php?id=BSGatlas-TSS-2934","BSGatlas-TSS-2934")</f>
        <v>BSGatlas-TSS-2934</v>
      </c>
      <c r="B2935" s="3">
        <v>3679195</v>
      </c>
      <c r="C2935" s="1" t="s">
        <v>9</v>
      </c>
      <c r="D2935" s="1">
        <v>22</v>
      </c>
      <c r="E2935" s="1" t="s">
        <v>14739</v>
      </c>
      <c r="F2935" s="6"/>
      <c r="G2935" s="1" t="s">
        <v>14726</v>
      </c>
    </row>
    <row r="2936" spans="1:7" ht="21" x14ac:dyDescent="0.25">
      <c r="A2936" s="2" t="str">
        <f>HYPERLINK("https://rth.dk/resources/bsgatlas/details.php?id=BSGatlas-TSS-2935","BSGatlas-TSS-2935")</f>
        <v>BSGatlas-TSS-2935</v>
      </c>
      <c r="B2936" s="3">
        <v>3681091</v>
      </c>
      <c r="C2936" s="1" t="s">
        <v>13</v>
      </c>
      <c r="D2936" s="1">
        <v>0</v>
      </c>
      <c r="E2936" s="1" t="s">
        <v>14722</v>
      </c>
      <c r="F2936" s="6" t="s">
        <v>15092</v>
      </c>
      <c r="G2936" s="1" t="s">
        <v>14724</v>
      </c>
    </row>
    <row r="2937" spans="1:7" ht="21" x14ac:dyDescent="0.25">
      <c r="A2937" s="2" t="str">
        <f>HYPERLINK("https://rth.dk/resources/bsgatlas/details.php?id=BSGatlas-TSS-2936","BSGatlas-TSS-2936")</f>
        <v>BSGatlas-TSS-2936</v>
      </c>
      <c r="B2937" s="3">
        <v>3681295</v>
      </c>
      <c r="C2937" s="1" t="s">
        <v>9</v>
      </c>
      <c r="D2937" s="1">
        <v>0</v>
      </c>
      <c r="E2937" s="1" t="s">
        <v>14722</v>
      </c>
      <c r="F2937" s="6" t="s">
        <v>15092</v>
      </c>
      <c r="G2937" s="1" t="s">
        <v>14724</v>
      </c>
    </row>
    <row r="2938" spans="1:7" ht="21" x14ac:dyDescent="0.25">
      <c r="A2938" s="2" t="str">
        <f>HYPERLINK("https://rth.dk/resources/bsgatlas/details.php?id=BSGatlas-TSS-2937","BSGatlas-TSS-2937")</f>
        <v>BSGatlas-TSS-2937</v>
      </c>
      <c r="B2938" s="3">
        <v>3681853</v>
      </c>
      <c r="C2938" s="1" t="s">
        <v>13</v>
      </c>
      <c r="D2938" s="1">
        <v>22</v>
      </c>
      <c r="E2938" s="1" t="s">
        <v>14732</v>
      </c>
      <c r="F2938" s="6"/>
      <c r="G2938" s="1" t="s">
        <v>14726</v>
      </c>
    </row>
    <row r="2939" spans="1:7" ht="21" x14ac:dyDescent="0.25">
      <c r="A2939" s="2" t="str">
        <f>HYPERLINK("https://rth.dk/resources/bsgatlas/details.php?id=BSGatlas-TSS-2938","BSGatlas-TSS-2938")</f>
        <v>BSGatlas-TSS-2938</v>
      </c>
      <c r="B2939" s="3">
        <v>3683392</v>
      </c>
      <c r="C2939" s="1" t="s">
        <v>9</v>
      </c>
      <c r="D2939" s="1">
        <v>22</v>
      </c>
      <c r="E2939" s="1" t="s">
        <v>14722</v>
      </c>
      <c r="F2939" s="6"/>
      <c r="G2939" s="1" t="s">
        <v>14726</v>
      </c>
    </row>
    <row r="2940" spans="1:7" ht="21" x14ac:dyDescent="0.25">
      <c r="A2940" s="2" t="str">
        <f>HYPERLINK("https://rth.dk/resources/bsgatlas/details.php?id=BSGatlas-TSS-2939","BSGatlas-TSS-2939")</f>
        <v>BSGatlas-TSS-2939</v>
      </c>
      <c r="B2940" s="3">
        <v>3686073</v>
      </c>
      <c r="C2940" s="1" t="s">
        <v>13</v>
      </c>
      <c r="D2940" s="1">
        <v>22</v>
      </c>
      <c r="E2940" s="1" t="s">
        <v>14725</v>
      </c>
      <c r="F2940" s="6"/>
      <c r="G2940" s="1" t="s">
        <v>14726</v>
      </c>
    </row>
    <row r="2941" spans="1:7" ht="21" x14ac:dyDescent="0.25">
      <c r="A2941" s="2" t="str">
        <f>HYPERLINK("https://rth.dk/resources/bsgatlas/details.php?id=BSGatlas-TSS-2940","BSGatlas-TSS-2940")</f>
        <v>BSGatlas-TSS-2940</v>
      </c>
      <c r="B2941" s="3">
        <v>3687506</v>
      </c>
      <c r="C2941" s="1" t="s">
        <v>13</v>
      </c>
      <c r="D2941" s="1">
        <v>0</v>
      </c>
      <c r="E2941" s="1" t="s">
        <v>14752</v>
      </c>
      <c r="F2941" s="6" t="s">
        <v>15093</v>
      </c>
      <c r="G2941" s="1" t="s">
        <v>14729</v>
      </c>
    </row>
    <row r="2942" spans="1:7" ht="21" x14ac:dyDescent="0.25">
      <c r="A2942" s="2" t="str">
        <f>HYPERLINK("https://rth.dk/resources/bsgatlas/details.php?id=BSGatlas-TSS-2941","BSGatlas-TSS-2941")</f>
        <v>BSGatlas-TSS-2941</v>
      </c>
      <c r="B2942" s="3">
        <v>3688577</v>
      </c>
      <c r="C2942" s="1" t="s">
        <v>13</v>
      </c>
      <c r="D2942" s="1">
        <v>22</v>
      </c>
      <c r="E2942" s="1" t="s">
        <v>14734</v>
      </c>
      <c r="F2942" s="6"/>
      <c r="G2942" s="1" t="s">
        <v>14726</v>
      </c>
    </row>
    <row r="2943" spans="1:7" ht="21" x14ac:dyDescent="0.25">
      <c r="A2943" s="2" t="str">
        <f>HYPERLINK("https://rth.dk/resources/bsgatlas/details.php?id=BSGatlas-TSS-2942","BSGatlas-TSS-2942")</f>
        <v>BSGatlas-TSS-2942</v>
      </c>
      <c r="B2943" s="3">
        <v>3688717</v>
      </c>
      <c r="C2943" s="1" t="s">
        <v>13</v>
      </c>
      <c r="D2943" s="1">
        <v>0</v>
      </c>
      <c r="E2943" s="1" t="s">
        <v>14722</v>
      </c>
      <c r="F2943" s="6"/>
      <c r="G2943" s="1" t="s">
        <v>14778</v>
      </c>
    </row>
    <row r="2944" spans="1:7" ht="21" x14ac:dyDescent="0.25">
      <c r="A2944" s="2" t="str">
        <f>HYPERLINK("https://rth.dk/resources/bsgatlas/details.php?id=BSGatlas-TSS-2943","BSGatlas-TSS-2943")</f>
        <v>BSGatlas-TSS-2943</v>
      </c>
      <c r="B2944" s="3">
        <v>3688776</v>
      </c>
      <c r="C2944" s="1" t="s">
        <v>9</v>
      </c>
      <c r="D2944" s="1">
        <v>0</v>
      </c>
      <c r="E2944" s="1" t="s">
        <v>14743</v>
      </c>
      <c r="F2944" s="6" t="s">
        <v>15094</v>
      </c>
      <c r="G2944" s="1" t="s">
        <v>14729</v>
      </c>
    </row>
    <row r="2945" spans="1:7" ht="21" x14ac:dyDescent="0.25">
      <c r="A2945" s="2" t="str">
        <f>HYPERLINK("https://rth.dk/resources/bsgatlas/details.php?id=BSGatlas-TSS-2944","BSGatlas-TSS-2944")</f>
        <v>BSGatlas-TSS-2944</v>
      </c>
      <c r="B2945" s="3">
        <v>3693954</v>
      </c>
      <c r="C2945" s="1" t="s">
        <v>13</v>
      </c>
      <c r="D2945" s="1">
        <v>0</v>
      </c>
      <c r="E2945" s="1" t="s">
        <v>14734</v>
      </c>
      <c r="F2945" s="6" t="s">
        <v>14812</v>
      </c>
      <c r="G2945" s="1" t="s">
        <v>14724</v>
      </c>
    </row>
    <row r="2946" spans="1:7" ht="21" x14ac:dyDescent="0.25">
      <c r="A2946" s="2" t="str">
        <f>HYPERLINK("https://rth.dk/resources/bsgatlas/details.php?id=BSGatlas-TSS-2945","BSGatlas-TSS-2945")</f>
        <v>BSGatlas-TSS-2945</v>
      </c>
      <c r="B2946" s="3">
        <v>3694080</v>
      </c>
      <c r="C2946" s="1" t="s">
        <v>9</v>
      </c>
      <c r="D2946" s="1">
        <v>22</v>
      </c>
      <c r="E2946" s="1" t="s">
        <v>14739</v>
      </c>
      <c r="F2946" s="6"/>
      <c r="G2946" s="1" t="s">
        <v>14733</v>
      </c>
    </row>
    <row r="2947" spans="1:7" ht="21" x14ac:dyDescent="0.25">
      <c r="A2947" s="2" t="str">
        <f>HYPERLINK("https://rth.dk/resources/bsgatlas/details.php?id=BSGatlas-TSS-2946","BSGatlas-TSS-2946")</f>
        <v>BSGatlas-TSS-2946</v>
      </c>
      <c r="B2947" s="3">
        <v>3694202</v>
      </c>
      <c r="C2947" s="1" t="s">
        <v>9</v>
      </c>
      <c r="D2947" s="1">
        <v>22</v>
      </c>
      <c r="E2947" s="1" t="s">
        <v>14722</v>
      </c>
      <c r="F2947" s="6"/>
      <c r="G2947" s="1" t="s">
        <v>14726</v>
      </c>
    </row>
    <row r="2948" spans="1:7" ht="21" x14ac:dyDescent="0.25">
      <c r="A2948" s="2" t="str">
        <f>HYPERLINK("https://rth.dk/resources/bsgatlas/details.php?id=BSGatlas-TSS-2947","BSGatlas-TSS-2947")</f>
        <v>BSGatlas-TSS-2947</v>
      </c>
      <c r="B2948" s="3">
        <v>3695280</v>
      </c>
      <c r="C2948" s="1" t="s">
        <v>9</v>
      </c>
      <c r="D2948" s="1">
        <v>22</v>
      </c>
      <c r="E2948" s="1" t="s">
        <v>14722</v>
      </c>
      <c r="F2948" s="6"/>
      <c r="G2948" s="1" t="s">
        <v>14733</v>
      </c>
    </row>
    <row r="2949" spans="1:7" ht="21" x14ac:dyDescent="0.25">
      <c r="A2949" s="2" t="str">
        <f>HYPERLINK("https://rth.dk/resources/bsgatlas/details.php?id=BSGatlas-TSS-2948","BSGatlas-TSS-2948")</f>
        <v>BSGatlas-TSS-2948</v>
      </c>
      <c r="B2949" s="3">
        <v>3697542</v>
      </c>
      <c r="C2949" s="1" t="s">
        <v>13</v>
      </c>
      <c r="D2949" s="1">
        <v>22</v>
      </c>
      <c r="E2949" s="1" t="s">
        <v>14752</v>
      </c>
      <c r="F2949" s="6"/>
      <c r="G2949" s="1" t="s">
        <v>14726</v>
      </c>
    </row>
    <row r="2950" spans="1:7" ht="21" x14ac:dyDescent="0.25">
      <c r="A2950" s="2" t="str">
        <f>HYPERLINK("https://rth.dk/resources/bsgatlas/details.php?id=BSGatlas-TSS-2949","BSGatlas-TSS-2949")</f>
        <v>BSGatlas-TSS-2949</v>
      </c>
      <c r="B2950" s="3">
        <v>3699139</v>
      </c>
      <c r="C2950" s="1" t="s">
        <v>9</v>
      </c>
      <c r="D2950" s="1">
        <v>22</v>
      </c>
      <c r="E2950" s="1" t="s">
        <v>14734</v>
      </c>
      <c r="F2950" s="6"/>
      <c r="G2950" s="1" t="s">
        <v>14733</v>
      </c>
    </row>
    <row r="2951" spans="1:7" ht="21" x14ac:dyDescent="0.25">
      <c r="A2951" s="2" t="str">
        <f>HYPERLINK("https://rth.dk/resources/bsgatlas/details.php?id=BSGatlas-TSS-2950","BSGatlas-TSS-2950")</f>
        <v>BSGatlas-TSS-2950</v>
      </c>
      <c r="B2951" s="3">
        <v>3701379</v>
      </c>
      <c r="C2951" s="1" t="s">
        <v>9</v>
      </c>
      <c r="D2951" s="1">
        <v>0</v>
      </c>
      <c r="E2951" s="1" t="s">
        <v>14722</v>
      </c>
      <c r="F2951" s="6" t="s">
        <v>15095</v>
      </c>
      <c r="G2951" s="1" t="s">
        <v>14729</v>
      </c>
    </row>
    <row r="2952" spans="1:7" ht="21" x14ac:dyDescent="0.25">
      <c r="A2952" s="2" t="str">
        <f>HYPERLINK("https://rth.dk/resources/bsgatlas/details.php?id=BSGatlas-TSS-2951","BSGatlas-TSS-2951")</f>
        <v>BSGatlas-TSS-2951</v>
      </c>
      <c r="B2952" s="3">
        <v>3701384</v>
      </c>
      <c r="C2952" s="1" t="s">
        <v>13</v>
      </c>
      <c r="D2952" s="1">
        <v>22</v>
      </c>
      <c r="E2952" s="1" t="s">
        <v>14720</v>
      </c>
      <c r="F2952" s="6"/>
      <c r="G2952" s="1" t="s">
        <v>14726</v>
      </c>
    </row>
    <row r="2953" spans="1:7" ht="21" x14ac:dyDescent="0.25">
      <c r="A2953" s="2" t="str">
        <f>HYPERLINK("https://rth.dk/resources/bsgatlas/details.php?id=BSGatlas-TSS-2952","BSGatlas-TSS-2952")</f>
        <v>BSGatlas-TSS-2952</v>
      </c>
      <c r="B2953" s="3">
        <v>3702276</v>
      </c>
      <c r="C2953" s="1" t="s">
        <v>9</v>
      </c>
      <c r="D2953" s="1">
        <v>22</v>
      </c>
      <c r="E2953" s="1" t="s">
        <v>14722</v>
      </c>
      <c r="F2953" s="6"/>
      <c r="G2953" s="1" t="s">
        <v>14726</v>
      </c>
    </row>
    <row r="2954" spans="1:7" ht="21" x14ac:dyDescent="0.25">
      <c r="A2954" s="2" t="str">
        <f>HYPERLINK("https://rth.dk/resources/bsgatlas/details.php?id=BSGatlas-TSS-2953","BSGatlas-TSS-2953")</f>
        <v>BSGatlas-TSS-2953</v>
      </c>
      <c r="B2954" s="3">
        <v>3707094</v>
      </c>
      <c r="C2954" s="1" t="s">
        <v>9</v>
      </c>
      <c r="D2954" s="1">
        <v>22</v>
      </c>
      <c r="E2954" s="1" t="s">
        <v>14734</v>
      </c>
      <c r="F2954" s="6"/>
      <c r="G2954" s="1" t="s">
        <v>14726</v>
      </c>
    </row>
    <row r="2955" spans="1:7" ht="21" x14ac:dyDescent="0.25">
      <c r="A2955" s="2" t="str">
        <f>HYPERLINK("https://rth.dk/resources/bsgatlas/details.php?id=BSGatlas-TSS-2954","BSGatlas-TSS-2954")</f>
        <v>BSGatlas-TSS-2954</v>
      </c>
      <c r="B2955" s="3">
        <v>3707820</v>
      </c>
      <c r="C2955" s="1" t="s">
        <v>9</v>
      </c>
      <c r="D2955" s="1">
        <v>22</v>
      </c>
      <c r="E2955" s="1" t="s">
        <v>14732</v>
      </c>
      <c r="F2955" s="6"/>
      <c r="G2955" s="1" t="s">
        <v>14726</v>
      </c>
    </row>
    <row r="2956" spans="1:7" ht="21" x14ac:dyDescent="0.25">
      <c r="A2956" s="2" t="str">
        <f>HYPERLINK("https://rth.dk/resources/bsgatlas/details.php?id=BSGatlas-TSS-2955","BSGatlas-TSS-2955")</f>
        <v>BSGatlas-TSS-2955</v>
      </c>
      <c r="B2956" s="3">
        <v>3708732</v>
      </c>
      <c r="C2956" s="1" t="s">
        <v>13</v>
      </c>
      <c r="D2956" s="1">
        <v>22</v>
      </c>
      <c r="E2956" s="1" t="s">
        <v>14722</v>
      </c>
      <c r="F2956" s="6"/>
      <c r="G2956" s="1" t="s">
        <v>14726</v>
      </c>
    </row>
    <row r="2957" spans="1:7" ht="21" x14ac:dyDescent="0.25">
      <c r="A2957" s="2" t="str">
        <f>HYPERLINK("https://rth.dk/resources/bsgatlas/details.php?id=BSGatlas-TSS-2956","BSGatlas-TSS-2956")</f>
        <v>BSGatlas-TSS-2956</v>
      </c>
      <c r="B2957" s="3">
        <v>3710262</v>
      </c>
      <c r="C2957" s="1" t="s">
        <v>9</v>
      </c>
      <c r="D2957" s="1">
        <v>22</v>
      </c>
      <c r="E2957" s="1" t="s">
        <v>14725</v>
      </c>
      <c r="F2957" s="6"/>
      <c r="G2957" s="1" t="s">
        <v>14726</v>
      </c>
    </row>
    <row r="2958" spans="1:7" ht="21" x14ac:dyDescent="0.25">
      <c r="A2958" s="2" t="str">
        <f>HYPERLINK("https://rth.dk/resources/bsgatlas/details.php?id=BSGatlas-TSS-2957","BSGatlas-TSS-2957")</f>
        <v>BSGatlas-TSS-2957</v>
      </c>
      <c r="B2958" s="3">
        <v>3711394</v>
      </c>
      <c r="C2958" s="1" t="s">
        <v>13</v>
      </c>
      <c r="D2958" s="1">
        <v>0</v>
      </c>
      <c r="E2958" s="1" t="s">
        <v>14722</v>
      </c>
      <c r="F2958" s="6" t="s">
        <v>15096</v>
      </c>
      <c r="G2958" s="1" t="s">
        <v>14729</v>
      </c>
    </row>
    <row r="2959" spans="1:7" ht="21" x14ac:dyDescent="0.25">
      <c r="A2959" s="2" t="str">
        <f>HYPERLINK("https://rth.dk/resources/bsgatlas/details.php?id=BSGatlas-TSS-2958","BSGatlas-TSS-2958")</f>
        <v>BSGatlas-TSS-2958</v>
      </c>
      <c r="B2959" s="3">
        <v>3711450</v>
      </c>
      <c r="C2959" s="1" t="s">
        <v>9</v>
      </c>
      <c r="D2959" s="1">
        <v>22</v>
      </c>
      <c r="E2959" s="1" t="s">
        <v>14722</v>
      </c>
      <c r="F2959" s="6"/>
      <c r="G2959" s="1" t="s">
        <v>14726</v>
      </c>
    </row>
    <row r="2960" spans="1:7" ht="21" x14ac:dyDescent="0.25">
      <c r="A2960" s="2" t="str">
        <f>HYPERLINK("https://rth.dk/resources/bsgatlas/details.php?id=BSGatlas-TSS-2959","BSGatlas-TSS-2959")</f>
        <v>BSGatlas-TSS-2959</v>
      </c>
      <c r="B2960" s="3">
        <v>3712484</v>
      </c>
      <c r="C2960" s="1" t="s">
        <v>9</v>
      </c>
      <c r="D2960" s="1">
        <v>22</v>
      </c>
      <c r="E2960" s="1" t="s">
        <v>14725</v>
      </c>
      <c r="F2960" s="6"/>
      <c r="G2960" s="1" t="s">
        <v>14733</v>
      </c>
    </row>
    <row r="2961" spans="1:7" ht="21" x14ac:dyDescent="0.25">
      <c r="A2961" s="2" t="str">
        <f>HYPERLINK("https://rth.dk/resources/bsgatlas/details.php?id=BSGatlas-TSS-2960","BSGatlas-TSS-2960")</f>
        <v>BSGatlas-TSS-2960</v>
      </c>
      <c r="B2961" s="3">
        <v>3715921</v>
      </c>
      <c r="C2961" s="1" t="s">
        <v>13</v>
      </c>
      <c r="D2961" s="1">
        <v>0</v>
      </c>
      <c r="E2961" s="1" t="s">
        <v>14725</v>
      </c>
      <c r="F2961" s="6" t="s">
        <v>14932</v>
      </c>
      <c r="G2961" s="1" t="s">
        <v>14729</v>
      </c>
    </row>
    <row r="2962" spans="1:7" ht="21" x14ac:dyDescent="0.25">
      <c r="A2962" s="2" t="str">
        <f>HYPERLINK("https://rth.dk/resources/bsgatlas/details.php?id=BSGatlas-TSS-2961","BSGatlas-TSS-2961")</f>
        <v>BSGatlas-TSS-2961</v>
      </c>
      <c r="B2962" s="3">
        <v>3717191</v>
      </c>
      <c r="C2962" s="1" t="s">
        <v>9</v>
      </c>
      <c r="D2962" s="1">
        <v>0</v>
      </c>
      <c r="E2962" s="1" t="s">
        <v>14725</v>
      </c>
      <c r="F2962" s="6" t="s">
        <v>15097</v>
      </c>
      <c r="G2962" s="1" t="s">
        <v>14729</v>
      </c>
    </row>
    <row r="2963" spans="1:7" ht="21" x14ac:dyDescent="0.25">
      <c r="A2963" s="2" t="str">
        <f>HYPERLINK("https://rth.dk/resources/bsgatlas/details.php?id=BSGatlas-TSS-2962","BSGatlas-TSS-2962")</f>
        <v>BSGatlas-TSS-2962</v>
      </c>
      <c r="B2963" s="3">
        <v>3717196</v>
      </c>
      <c r="C2963" s="1" t="s">
        <v>13</v>
      </c>
      <c r="D2963" s="1">
        <v>0</v>
      </c>
      <c r="E2963" s="1" t="s">
        <v>14725</v>
      </c>
      <c r="F2963" s="6" t="s">
        <v>15098</v>
      </c>
      <c r="G2963" s="1" t="s">
        <v>14724</v>
      </c>
    </row>
    <row r="2964" spans="1:7" ht="21" x14ac:dyDescent="0.25">
      <c r="A2964" s="2" t="str">
        <f>HYPERLINK("https://rth.dk/resources/bsgatlas/details.php?id=BSGatlas-TSS-2963","BSGatlas-TSS-2963")</f>
        <v>BSGatlas-TSS-2963</v>
      </c>
      <c r="B2964" s="3">
        <v>3717911</v>
      </c>
      <c r="C2964" s="1" t="s">
        <v>13</v>
      </c>
      <c r="D2964" s="1">
        <v>22</v>
      </c>
      <c r="E2964" s="1" t="s">
        <v>14725</v>
      </c>
      <c r="F2964" s="6"/>
      <c r="G2964" s="1" t="s">
        <v>14726</v>
      </c>
    </row>
    <row r="2965" spans="1:7" ht="21" x14ac:dyDescent="0.25">
      <c r="A2965" s="2" t="str">
        <f>HYPERLINK("https://rth.dk/resources/bsgatlas/details.php?id=BSGatlas-TSS-2964","BSGatlas-TSS-2964")</f>
        <v>BSGatlas-TSS-2964</v>
      </c>
      <c r="B2965" s="3">
        <v>3717961</v>
      </c>
      <c r="C2965" s="1" t="s">
        <v>9</v>
      </c>
      <c r="D2965" s="1">
        <v>22</v>
      </c>
      <c r="E2965" s="1" t="s">
        <v>14722</v>
      </c>
      <c r="F2965" s="6"/>
      <c r="G2965" s="1" t="s">
        <v>14726</v>
      </c>
    </row>
    <row r="2966" spans="1:7" ht="21" x14ac:dyDescent="0.25">
      <c r="A2966" s="2" t="str">
        <f>HYPERLINK("https://rth.dk/resources/bsgatlas/details.php?id=BSGatlas-TSS-2965","BSGatlas-TSS-2965")</f>
        <v>BSGatlas-TSS-2965</v>
      </c>
      <c r="B2966" s="3">
        <v>3718777</v>
      </c>
      <c r="C2966" s="1" t="s">
        <v>9</v>
      </c>
      <c r="D2966" s="1">
        <v>0</v>
      </c>
      <c r="E2966" s="1" t="s">
        <v>14770</v>
      </c>
      <c r="F2966" s="6" t="s">
        <v>14771</v>
      </c>
      <c r="G2966" s="1" t="s">
        <v>14729</v>
      </c>
    </row>
    <row r="2967" spans="1:7" ht="21" x14ac:dyDescent="0.25">
      <c r="A2967" s="2" t="str">
        <f>HYPERLINK("https://rth.dk/resources/bsgatlas/details.php?id=BSGatlas-TSS-2966","BSGatlas-TSS-2966")</f>
        <v>BSGatlas-TSS-2966</v>
      </c>
      <c r="B2967" s="3">
        <v>3719094</v>
      </c>
      <c r="C2967" s="1" t="s">
        <v>13</v>
      </c>
      <c r="D2967" s="1">
        <v>22</v>
      </c>
      <c r="E2967" s="1" t="s">
        <v>14727</v>
      </c>
      <c r="F2967" s="6"/>
      <c r="G2967" s="1" t="s">
        <v>14726</v>
      </c>
    </row>
    <row r="2968" spans="1:7" ht="21" x14ac:dyDescent="0.25">
      <c r="A2968" s="2" t="str">
        <f>HYPERLINK("https://rth.dk/resources/bsgatlas/details.php?id=BSGatlas-TSS-2967","BSGatlas-TSS-2967")</f>
        <v>BSGatlas-TSS-2967</v>
      </c>
      <c r="B2968" s="3">
        <v>3720886</v>
      </c>
      <c r="C2968" s="1" t="s">
        <v>9</v>
      </c>
      <c r="D2968" s="1">
        <v>22</v>
      </c>
      <c r="E2968" s="1" t="s">
        <v>14722</v>
      </c>
      <c r="F2968" s="6"/>
      <c r="G2968" s="1" t="s">
        <v>14726</v>
      </c>
    </row>
    <row r="2969" spans="1:7" ht="21" x14ac:dyDescent="0.25">
      <c r="A2969" s="2" t="str">
        <f>HYPERLINK("https://rth.dk/resources/bsgatlas/details.php?id=BSGatlas-TSS-2968","BSGatlas-TSS-2968")</f>
        <v>BSGatlas-TSS-2968</v>
      </c>
      <c r="B2969" s="3">
        <v>3722736</v>
      </c>
      <c r="C2969" s="1" t="s">
        <v>9</v>
      </c>
      <c r="D2969" s="1">
        <v>22</v>
      </c>
      <c r="E2969" s="1" t="s">
        <v>14720</v>
      </c>
      <c r="F2969" s="6"/>
      <c r="G2969" s="1" t="s">
        <v>14726</v>
      </c>
    </row>
    <row r="2970" spans="1:7" ht="21" x14ac:dyDescent="0.25">
      <c r="A2970" s="2" t="str">
        <f>HYPERLINK("https://rth.dk/resources/bsgatlas/details.php?id=BSGatlas-TSS-2969","BSGatlas-TSS-2969")</f>
        <v>BSGatlas-TSS-2969</v>
      </c>
      <c r="B2970" s="3">
        <v>3723374</v>
      </c>
      <c r="C2970" s="1" t="s">
        <v>9</v>
      </c>
      <c r="D2970" s="1">
        <v>22</v>
      </c>
      <c r="E2970" s="1" t="s">
        <v>14722</v>
      </c>
      <c r="F2970" s="6"/>
      <c r="G2970" s="1" t="s">
        <v>14726</v>
      </c>
    </row>
    <row r="2971" spans="1:7" ht="21" x14ac:dyDescent="0.25">
      <c r="A2971" s="2" t="str">
        <f>HYPERLINK("https://rth.dk/resources/bsgatlas/details.php?id=BSGatlas-TSS-2970","BSGatlas-TSS-2970")</f>
        <v>BSGatlas-TSS-2970</v>
      </c>
      <c r="B2971" s="3">
        <v>3728202</v>
      </c>
      <c r="C2971" s="1" t="s">
        <v>13</v>
      </c>
      <c r="D2971" s="1">
        <v>22</v>
      </c>
      <c r="E2971" s="1" t="s">
        <v>14722</v>
      </c>
      <c r="F2971" s="6"/>
      <c r="G2971" s="1" t="s">
        <v>14733</v>
      </c>
    </row>
    <row r="2972" spans="1:7" ht="21" x14ac:dyDescent="0.25">
      <c r="A2972" s="2" t="str">
        <f>HYPERLINK("https://rth.dk/resources/bsgatlas/details.php?id=BSGatlas-TSS-2971","BSGatlas-TSS-2971")</f>
        <v>BSGatlas-TSS-2971</v>
      </c>
      <c r="B2972" s="3">
        <v>3729412</v>
      </c>
      <c r="C2972" s="1" t="s">
        <v>13</v>
      </c>
      <c r="D2972" s="1">
        <v>22</v>
      </c>
      <c r="E2972" s="1" t="s">
        <v>14722</v>
      </c>
      <c r="F2972" s="6"/>
      <c r="G2972" s="1" t="s">
        <v>14733</v>
      </c>
    </row>
    <row r="2973" spans="1:7" ht="21" x14ac:dyDescent="0.25">
      <c r="A2973" s="2" t="str">
        <f>HYPERLINK("https://rth.dk/resources/bsgatlas/details.php?id=BSGatlas-TSS-2972","BSGatlas-TSS-2972")</f>
        <v>BSGatlas-TSS-2972</v>
      </c>
      <c r="B2973" s="3">
        <v>3730844</v>
      </c>
      <c r="C2973" s="1" t="s">
        <v>13</v>
      </c>
      <c r="D2973" s="1">
        <v>22</v>
      </c>
      <c r="E2973" s="1" t="s">
        <v>14727</v>
      </c>
      <c r="F2973" s="6"/>
      <c r="G2973" s="1" t="s">
        <v>14726</v>
      </c>
    </row>
    <row r="2974" spans="1:7" ht="21" x14ac:dyDescent="0.25">
      <c r="A2974" s="2" t="str">
        <f>HYPERLINK("https://rth.dk/resources/bsgatlas/details.php?id=BSGatlas-TSS-2973","BSGatlas-TSS-2973")</f>
        <v>BSGatlas-TSS-2973</v>
      </c>
      <c r="B2974" s="3">
        <v>3730971</v>
      </c>
      <c r="C2974" s="1" t="s">
        <v>13</v>
      </c>
      <c r="D2974" s="1">
        <v>22</v>
      </c>
      <c r="E2974" s="1" t="s">
        <v>14722</v>
      </c>
      <c r="F2974" s="6"/>
      <c r="G2974" s="1" t="s">
        <v>14733</v>
      </c>
    </row>
    <row r="2975" spans="1:7" ht="21" x14ac:dyDescent="0.25">
      <c r="A2975" s="2" t="str">
        <f>HYPERLINK("https://rth.dk/resources/bsgatlas/details.php?id=BSGatlas-TSS-2974","BSGatlas-TSS-2974")</f>
        <v>BSGatlas-TSS-2974</v>
      </c>
      <c r="B2975" s="3">
        <v>3733315</v>
      </c>
      <c r="C2975" s="1" t="s">
        <v>13</v>
      </c>
      <c r="D2975" s="1">
        <v>22</v>
      </c>
      <c r="E2975" s="1" t="s">
        <v>14722</v>
      </c>
      <c r="F2975" s="6"/>
      <c r="G2975" s="1" t="s">
        <v>14726</v>
      </c>
    </row>
    <row r="2976" spans="1:7" ht="21" x14ac:dyDescent="0.25">
      <c r="A2976" s="2" t="str">
        <f>HYPERLINK("https://rth.dk/resources/bsgatlas/details.php?id=BSGatlas-TSS-2975","BSGatlas-TSS-2975")</f>
        <v>BSGatlas-TSS-2975</v>
      </c>
      <c r="B2976" s="3">
        <v>3733734</v>
      </c>
      <c r="C2976" s="1" t="s">
        <v>13</v>
      </c>
      <c r="D2976" s="1">
        <v>22</v>
      </c>
      <c r="E2976" s="1" t="s">
        <v>14720</v>
      </c>
      <c r="F2976" s="6"/>
      <c r="G2976" s="1" t="s">
        <v>14733</v>
      </c>
    </row>
    <row r="2977" spans="1:7" ht="21" x14ac:dyDescent="0.25">
      <c r="A2977" s="2" t="str">
        <f>HYPERLINK("https://rth.dk/resources/bsgatlas/details.php?id=BSGatlas-TSS-2976","BSGatlas-TSS-2976")</f>
        <v>BSGatlas-TSS-2976</v>
      </c>
      <c r="B2977" s="3">
        <v>3733802</v>
      </c>
      <c r="C2977" s="1" t="s">
        <v>9</v>
      </c>
      <c r="D2977" s="1">
        <v>22</v>
      </c>
      <c r="E2977" s="1" t="s">
        <v>14722</v>
      </c>
      <c r="F2977" s="6"/>
      <c r="G2977" s="1" t="s">
        <v>14726</v>
      </c>
    </row>
    <row r="2978" spans="1:7" ht="21" x14ac:dyDescent="0.25">
      <c r="A2978" s="2" t="str">
        <f>HYPERLINK("https://rth.dk/resources/bsgatlas/details.php?id=BSGatlas-TSS-2977","BSGatlas-TSS-2977")</f>
        <v>BSGatlas-TSS-2977</v>
      </c>
      <c r="B2978" s="3">
        <v>3733966</v>
      </c>
      <c r="C2978" s="1" t="s">
        <v>13</v>
      </c>
      <c r="D2978" s="1">
        <v>22</v>
      </c>
      <c r="E2978" s="1" t="s">
        <v>14752</v>
      </c>
      <c r="F2978" s="6"/>
      <c r="G2978" s="1" t="s">
        <v>14733</v>
      </c>
    </row>
    <row r="2979" spans="1:7" ht="21" x14ac:dyDescent="0.25">
      <c r="A2979" s="2" t="str">
        <f>HYPERLINK("https://rth.dk/resources/bsgatlas/details.php?id=BSGatlas-TSS-2978","BSGatlas-TSS-2978")</f>
        <v>BSGatlas-TSS-2978</v>
      </c>
      <c r="B2979" s="3">
        <v>3734142</v>
      </c>
      <c r="C2979" s="1" t="s">
        <v>13</v>
      </c>
      <c r="D2979" s="1">
        <v>22</v>
      </c>
      <c r="E2979" s="1" t="s">
        <v>14725</v>
      </c>
      <c r="F2979" s="6"/>
      <c r="G2979" s="1" t="s">
        <v>14733</v>
      </c>
    </row>
    <row r="2980" spans="1:7" ht="21" x14ac:dyDescent="0.25">
      <c r="A2980" s="2" t="str">
        <f>HYPERLINK("https://rth.dk/resources/bsgatlas/details.php?id=BSGatlas-TSS-2979","BSGatlas-TSS-2979")</f>
        <v>BSGatlas-TSS-2979</v>
      </c>
      <c r="B2980" s="3">
        <v>3740030</v>
      </c>
      <c r="C2980" s="1" t="s">
        <v>13</v>
      </c>
      <c r="D2980" s="1">
        <v>22</v>
      </c>
      <c r="E2980" s="1" t="s">
        <v>14722</v>
      </c>
      <c r="F2980" s="6"/>
      <c r="G2980" s="1" t="s">
        <v>14726</v>
      </c>
    </row>
    <row r="2981" spans="1:7" ht="21" x14ac:dyDescent="0.25">
      <c r="A2981" s="2" t="str">
        <f>HYPERLINK("https://rth.dk/resources/bsgatlas/details.php?id=BSGatlas-TSS-2980","BSGatlas-TSS-2980")</f>
        <v>BSGatlas-TSS-2980</v>
      </c>
      <c r="B2981" s="3">
        <v>3740588</v>
      </c>
      <c r="C2981" s="1" t="s">
        <v>13</v>
      </c>
      <c r="D2981" s="1">
        <v>22</v>
      </c>
      <c r="E2981" s="1" t="s">
        <v>14722</v>
      </c>
      <c r="F2981" s="6"/>
      <c r="G2981" s="1" t="s">
        <v>14726</v>
      </c>
    </row>
    <row r="2982" spans="1:7" ht="21" x14ac:dyDescent="0.25">
      <c r="A2982" s="2" t="str">
        <f>HYPERLINK("https://rth.dk/resources/bsgatlas/details.php?id=BSGatlas-TSS-2981","BSGatlas-TSS-2981")</f>
        <v>BSGatlas-TSS-2981</v>
      </c>
      <c r="B2982" s="3">
        <v>3741040</v>
      </c>
      <c r="C2982" s="1" t="s">
        <v>9</v>
      </c>
      <c r="D2982" s="1">
        <v>22</v>
      </c>
      <c r="E2982" s="1" t="s">
        <v>14722</v>
      </c>
      <c r="F2982" s="6"/>
      <c r="G2982" s="1" t="s">
        <v>14726</v>
      </c>
    </row>
    <row r="2983" spans="1:7" ht="21" x14ac:dyDescent="0.25">
      <c r="A2983" s="2" t="str">
        <f>HYPERLINK("https://rth.dk/resources/bsgatlas/details.php?id=BSGatlas-TSS-2982","BSGatlas-TSS-2982")</f>
        <v>BSGatlas-TSS-2982</v>
      </c>
      <c r="B2983" s="3">
        <v>3741049</v>
      </c>
      <c r="C2983" s="1" t="s">
        <v>13</v>
      </c>
      <c r="D2983" s="1">
        <v>22</v>
      </c>
      <c r="E2983" s="1" t="s">
        <v>14722</v>
      </c>
      <c r="F2983" s="6"/>
      <c r="G2983" s="1" t="s">
        <v>14726</v>
      </c>
    </row>
    <row r="2984" spans="1:7" ht="21" x14ac:dyDescent="0.25">
      <c r="A2984" s="2" t="str">
        <f>HYPERLINK("https://rth.dk/resources/bsgatlas/details.php?id=BSGatlas-TSS-2983","BSGatlas-TSS-2983")</f>
        <v>BSGatlas-TSS-2983</v>
      </c>
      <c r="B2984" s="3">
        <v>3741133</v>
      </c>
      <c r="C2984" s="1" t="s">
        <v>9</v>
      </c>
      <c r="D2984" s="1">
        <v>22</v>
      </c>
      <c r="E2984" s="1" t="s">
        <v>14722</v>
      </c>
      <c r="F2984" s="6"/>
      <c r="G2984" s="1" t="s">
        <v>14726</v>
      </c>
    </row>
    <row r="2985" spans="1:7" ht="21" x14ac:dyDescent="0.25">
      <c r="A2985" s="2" t="str">
        <f>HYPERLINK("https://rth.dk/resources/bsgatlas/details.php?id=BSGatlas-TSS-2984","BSGatlas-TSS-2984")</f>
        <v>BSGatlas-TSS-2984</v>
      </c>
      <c r="B2985" s="3">
        <v>3742625</v>
      </c>
      <c r="C2985" s="1" t="s">
        <v>9</v>
      </c>
      <c r="D2985" s="1">
        <v>22</v>
      </c>
      <c r="E2985" s="1" t="s">
        <v>14722</v>
      </c>
      <c r="F2985" s="6"/>
      <c r="G2985" s="1" t="s">
        <v>14726</v>
      </c>
    </row>
    <row r="2986" spans="1:7" ht="21" x14ac:dyDescent="0.25">
      <c r="A2986" s="2" t="str">
        <f>HYPERLINK("https://rth.dk/resources/bsgatlas/details.php?id=BSGatlas-TSS-2985","BSGatlas-TSS-2985")</f>
        <v>BSGatlas-TSS-2985</v>
      </c>
      <c r="B2986" s="3">
        <v>3744234</v>
      </c>
      <c r="C2986" s="1" t="s">
        <v>13</v>
      </c>
      <c r="D2986" s="1">
        <v>22</v>
      </c>
      <c r="E2986" s="1" t="s">
        <v>14722</v>
      </c>
      <c r="F2986" s="6"/>
      <c r="G2986" s="1" t="s">
        <v>14726</v>
      </c>
    </row>
    <row r="2987" spans="1:7" ht="21" x14ac:dyDescent="0.25">
      <c r="A2987" s="2" t="str">
        <f>HYPERLINK("https://rth.dk/resources/bsgatlas/details.php?id=BSGatlas-TSS-2986","BSGatlas-TSS-2986")</f>
        <v>BSGatlas-TSS-2986</v>
      </c>
      <c r="B2987" s="3">
        <v>3744304</v>
      </c>
      <c r="C2987" s="1" t="s">
        <v>9</v>
      </c>
      <c r="D2987" s="1">
        <v>0</v>
      </c>
      <c r="E2987" s="1" t="s">
        <v>14776</v>
      </c>
      <c r="F2987" s="6" t="s">
        <v>14839</v>
      </c>
      <c r="G2987" s="1" t="s">
        <v>14729</v>
      </c>
    </row>
    <row r="2988" spans="1:7" ht="21" x14ac:dyDescent="0.25">
      <c r="A2988" s="2" t="str">
        <f>HYPERLINK("https://rth.dk/resources/bsgatlas/details.php?id=BSGatlas-TSS-2987","BSGatlas-TSS-2987")</f>
        <v>BSGatlas-TSS-2987</v>
      </c>
      <c r="B2988" s="3">
        <v>3744319</v>
      </c>
      <c r="C2988" s="1" t="s">
        <v>9</v>
      </c>
      <c r="D2988" s="1">
        <v>0</v>
      </c>
      <c r="E2988" s="1" t="s">
        <v>14722</v>
      </c>
      <c r="F2988" s="6" t="s">
        <v>15099</v>
      </c>
      <c r="G2988" s="1" t="s">
        <v>14729</v>
      </c>
    </row>
    <row r="2989" spans="1:7" ht="21" x14ac:dyDescent="0.25">
      <c r="A2989" s="2" t="str">
        <f>HYPERLINK("https://rth.dk/resources/bsgatlas/details.php?id=BSGatlas-TSS-2988","BSGatlas-TSS-2988")</f>
        <v>BSGatlas-TSS-2988</v>
      </c>
      <c r="B2989" s="3">
        <v>3744320</v>
      </c>
      <c r="C2989" s="1" t="s">
        <v>13</v>
      </c>
      <c r="D2989" s="1">
        <v>22</v>
      </c>
      <c r="E2989" s="1" t="s">
        <v>14722</v>
      </c>
      <c r="F2989" s="6"/>
      <c r="G2989" s="1" t="s">
        <v>14733</v>
      </c>
    </row>
    <row r="2990" spans="1:7" ht="21" x14ac:dyDescent="0.25">
      <c r="A2990" s="2" t="str">
        <f>HYPERLINK("https://rth.dk/resources/bsgatlas/details.php?id=BSGatlas-TSS-2989","BSGatlas-TSS-2989")</f>
        <v>BSGatlas-TSS-2989</v>
      </c>
      <c r="B2990" s="3">
        <v>3747152</v>
      </c>
      <c r="C2990" s="1" t="s">
        <v>9</v>
      </c>
      <c r="D2990" s="1">
        <v>22</v>
      </c>
      <c r="E2990" s="1" t="s">
        <v>14722</v>
      </c>
      <c r="F2990" s="6"/>
      <c r="G2990" s="1" t="s">
        <v>14726</v>
      </c>
    </row>
    <row r="2991" spans="1:7" ht="21" x14ac:dyDescent="0.25">
      <c r="A2991" s="2" t="str">
        <f>HYPERLINK("https://rth.dk/resources/bsgatlas/details.php?id=BSGatlas-TSS-2990","BSGatlas-TSS-2990")</f>
        <v>BSGatlas-TSS-2990</v>
      </c>
      <c r="B2991" s="3">
        <v>3747171</v>
      </c>
      <c r="C2991" s="1" t="s">
        <v>13</v>
      </c>
      <c r="D2991" s="1">
        <v>22</v>
      </c>
      <c r="E2991" s="1" t="s">
        <v>14752</v>
      </c>
      <c r="F2991" s="6"/>
      <c r="G2991" s="1" t="s">
        <v>14733</v>
      </c>
    </row>
    <row r="2992" spans="1:7" ht="21" x14ac:dyDescent="0.25">
      <c r="A2992" s="2" t="str">
        <f>HYPERLINK("https://rth.dk/resources/bsgatlas/details.php?id=BSGatlas-TSS-2991","BSGatlas-TSS-2991")</f>
        <v>BSGatlas-TSS-2991</v>
      </c>
      <c r="B2992" s="3">
        <v>3748334</v>
      </c>
      <c r="C2992" s="1" t="s">
        <v>13</v>
      </c>
      <c r="D2992" s="1">
        <v>22</v>
      </c>
      <c r="E2992" s="1" t="s">
        <v>14722</v>
      </c>
      <c r="F2992" s="6"/>
      <c r="G2992" s="1" t="s">
        <v>14726</v>
      </c>
    </row>
    <row r="2993" spans="1:7" ht="21" x14ac:dyDescent="0.25">
      <c r="A2993" s="2" t="str">
        <f>HYPERLINK("https://rth.dk/resources/bsgatlas/details.php?id=BSGatlas-TSS-2992","BSGatlas-TSS-2992")</f>
        <v>BSGatlas-TSS-2992</v>
      </c>
      <c r="B2993" s="3">
        <v>3748862</v>
      </c>
      <c r="C2993" s="1" t="s">
        <v>13</v>
      </c>
      <c r="D2993" s="1">
        <v>0</v>
      </c>
      <c r="E2993" s="1" t="s">
        <v>14735</v>
      </c>
      <c r="F2993" s="6" t="s">
        <v>15100</v>
      </c>
      <c r="G2993" s="1" t="s">
        <v>14729</v>
      </c>
    </row>
    <row r="2994" spans="1:7" ht="21" x14ac:dyDescent="0.25">
      <c r="A2994" s="2" t="str">
        <f>HYPERLINK("https://rth.dk/resources/bsgatlas/details.php?id=BSGatlas-TSS-2993","BSGatlas-TSS-2993")</f>
        <v>BSGatlas-TSS-2993</v>
      </c>
      <c r="B2994" s="3">
        <v>3749009</v>
      </c>
      <c r="C2994" s="1" t="s">
        <v>9</v>
      </c>
      <c r="D2994" s="1">
        <v>22</v>
      </c>
      <c r="E2994" s="1" t="s">
        <v>14722</v>
      </c>
      <c r="F2994" s="6"/>
      <c r="G2994" s="1" t="s">
        <v>14726</v>
      </c>
    </row>
    <row r="2995" spans="1:7" ht="21" x14ac:dyDescent="0.25">
      <c r="A2995" s="2" t="str">
        <f>HYPERLINK("https://rth.dk/resources/bsgatlas/details.php?id=BSGatlas-TSS-2994","BSGatlas-TSS-2994")</f>
        <v>BSGatlas-TSS-2994</v>
      </c>
      <c r="B2995" s="3">
        <v>3752225</v>
      </c>
      <c r="C2995" s="1" t="s">
        <v>13</v>
      </c>
      <c r="D2995" s="1">
        <v>22</v>
      </c>
      <c r="E2995" s="1" t="s">
        <v>14722</v>
      </c>
      <c r="F2995" s="6"/>
      <c r="G2995" s="1" t="s">
        <v>14726</v>
      </c>
    </row>
    <row r="2996" spans="1:7" ht="21" x14ac:dyDescent="0.25">
      <c r="A2996" s="2" t="str">
        <f>HYPERLINK("https://rth.dk/resources/bsgatlas/details.php?id=BSGatlas-TSS-2995","BSGatlas-TSS-2995")</f>
        <v>BSGatlas-TSS-2995</v>
      </c>
      <c r="B2996" s="3">
        <v>3753814</v>
      </c>
      <c r="C2996" s="1" t="s">
        <v>13</v>
      </c>
      <c r="D2996" s="1">
        <v>0</v>
      </c>
      <c r="E2996" s="1" t="s">
        <v>14722</v>
      </c>
      <c r="F2996" s="6" t="s">
        <v>15061</v>
      </c>
      <c r="G2996" s="1" t="s">
        <v>4382</v>
      </c>
    </row>
    <row r="2997" spans="1:7" ht="21" x14ac:dyDescent="0.25">
      <c r="A2997" s="2" t="str">
        <f>HYPERLINK("https://rth.dk/resources/bsgatlas/details.php?id=BSGatlas-TSS-2996","BSGatlas-TSS-2996")</f>
        <v>BSGatlas-TSS-2996</v>
      </c>
      <c r="B2997" s="3">
        <v>3755897</v>
      </c>
      <c r="C2997" s="1" t="s">
        <v>13</v>
      </c>
      <c r="D2997" s="1">
        <v>22</v>
      </c>
      <c r="E2997" s="1" t="s">
        <v>14732</v>
      </c>
      <c r="F2997" s="6"/>
      <c r="G2997" s="1" t="s">
        <v>14726</v>
      </c>
    </row>
    <row r="2998" spans="1:7" ht="21" x14ac:dyDescent="0.25">
      <c r="A2998" s="2" t="str">
        <f>HYPERLINK("https://rth.dk/resources/bsgatlas/details.php?id=BSGatlas-TSS-2997","BSGatlas-TSS-2997")</f>
        <v>BSGatlas-TSS-2997</v>
      </c>
      <c r="B2998" s="3">
        <v>3756541</v>
      </c>
      <c r="C2998" s="1" t="s">
        <v>13</v>
      </c>
      <c r="D2998" s="1">
        <v>0</v>
      </c>
      <c r="E2998" s="1" t="s">
        <v>14722</v>
      </c>
      <c r="F2998" s="6">
        <v>21856850</v>
      </c>
      <c r="G2998" s="1" t="s">
        <v>14747</v>
      </c>
    </row>
    <row r="2999" spans="1:7" ht="21" x14ac:dyDescent="0.25">
      <c r="A2999" s="2" t="str">
        <f>HYPERLINK("https://rth.dk/resources/bsgatlas/details.php?id=BSGatlas-TSS-2998","BSGatlas-TSS-2998")</f>
        <v>BSGatlas-TSS-2998</v>
      </c>
      <c r="B2999" s="3">
        <v>3756745</v>
      </c>
      <c r="C2999" s="1" t="s">
        <v>9</v>
      </c>
      <c r="D2999" s="1">
        <v>0</v>
      </c>
      <c r="E2999" s="1" t="s">
        <v>14722</v>
      </c>
      <c r="F2999" s="6" t="s">
        <v>15101</v>
      </c>
      <c r="G2999" s="1" t="s">
        <v>14729</v>
      </c>
    </row>
    <row r="3000" spans="1:7" ht="21" x14ac:dyDescent="0.25">
      <c r="A3000" s="2" t="str">
        <f>HYPERLINK("https://rth.dk/resources/bsgatlas/details.php?id=BSGatlas-TSS-2999","BSGatlas-TSS-2999")</f>
        <v>BSGatlas-TSS-2999</v>
      </c>
      <c r="B3000" s="3">
        <v>3757621</v>
      </c>
      <c r="C3000" s="1" t="s">
        <v>13</v>
      </c>
      <c r="D3000" s="1">
        <v>22</v>
      </c>
      <c r="E3000" s="1" t="s">
        <v>14752</v>
      </c>
      <c r="F3000" s="6"/>
      <c r="G3000" s="1" t="s">
        <v>14726</v>
      </c>
    </row>
    <row r="3001" spans="1:7" ht="21" x14ac:dyDescent="0.25">
      <c r="A3001" s="2" t="str">
        <f>HYPERLINK("https://rth.dk/resources/bsgatlas/details.php?id=BSGatlas-TSS-3000","BSGatlas-TSS-3000")</f>
        <v>BSGatlas-TSS-3000</v>
      </c>
      <c r="B3001" s="3">
        <v>3757892</v>
      </c>
      <c r="C3001" s="1" t="s">
        <v>9</v>
      </c>
      <c r="D3001" s="1">
        <v>22</v>
      </c>
      <c r="E3001" s="1" t="s">
        <v>14722</v>
      </c>
      <c r="F3001" s="6"/>
      <c r="G3001" s="1" t="s">
        <v>14726</v>
      </c>
    </row>
    <row r="3002" spans="1:7" ht="21" x14ac:dyDescent="0.25">
      <c r="A3002" s="2" t="str">
        <f>HYPERLINK("https://rth.dk/resources/bsgatlas/details.php?id=BSGatlas-TSS-3001","BSGatlas-TSS-3001")</f>
        <v>BSGatlas-TSS-3001</v>
      </c>
      <c r="B3002" s="3">
        <v>3758447</v>
      </c>
      <c r="C3002" s="1" t="s">
        <v>9</v>
      </c>
      <c r="D3002" s="1">
        <v>22</v>
      </c>
      <c r="E3002" s="1" t="s">
        <v>14758</v>
      </c>
      <c r="F3002" s="6"/>
      <c r="G3002" s="1" t="s">
        <v>14726</v>
      </c>
    </row>
    <row r="3003" spans="1:7" ht="21" x14ac:dyDescent="0.25">
      <c r="A3003" s="2" t="str">
        <f>HYPERLINK("https://rth.dk/resources/bsgatlas/details.php?id=BSGatlas-TSS-3002","BSGatlas-TSS-3002")</f>
        <v>BSGatlas-TSS-3002</v>
      </c>
      <c r="B3003" s="3">
        <v>3758522</v>
      </c>
      <c r="C3003" s="1" t="s">
        <v>9</v>
      </c>
      <c r="D3003" s="1">
        <v>0</v>
      </c>
      <c r="E3003" s="1" t="s">
        <v>15102</v>
      </c>
      <c r="F3003" s="6" t="s">
        <v>15103</v>
      </c>
      <c r="G3003" s="1" t="s">
        <v>14729</v>
      </c>
    </row>
    <row r="3004" spans="1:7" ht="21" x14ac:dyDescent="0.25">
      <c r="A3004" s="2" t="str">
        <f>HYPERLINK("https://rth.dk/resources/bsgatlas/details.php?id=BSGatlas-TSS-3003","BSGatlas-TSS-3003")</f>
        <v>BSGatlas-TSS-3003</v>
      </c>
      <c r="B3004" s="3">
        <v>3758655</v>
      </c>
      <c r="C3004" s="1" t="s">
        <v>13</v>
      </c>
      <c r="D3004" s="1">
        <v>22</v>
      </c>
      <c r="E3004" s="1" t="s">
        <v>14725</v>
      </c>
      <c r="F3004" s="6"/>
      <c r="G3004" s="1" t="s">
        <v>14726</v>
      </c>
    </row>
    <row r="3005" spans="1:7" ht="21" x14ac:dyDescent="0.25">
      <c r="A3005" s="2" t="str">
        <f>HYPERLINK("https://rth.dk/resources/bsgatlas/details.php?id=BSGatlas-TSS-3004","BSGatlas-TSS-3004")</f>
        <v>BSGatlas-TSS-3004</v>
      </c>
      <c r="B3005" s="3">
        <v>3759627</v>
      </c>
      <c r="C3005" s="1" t="s">
        <v>13</v>
      </c>
      <c r="D3005" s="1">
        <v>0</v>
      </c>
      <c r="E3005" s="1" t="s">
        <v>14753</v>
      </c>
      <c r="F3005" s="6" t="s">
        <v>15104</v>
      </c>
      <c r="G3005" s="1" t="s">
        <v>14729</v>
      </c>
    </row>
    <row r="3006" spans="1:7" ht="21" x14ac:dyDescent="0.25">
      <c r="A3006" s="2" t="str">
        <f>HYPERLINK("https://rth.dk/resources/bsgatlas/details.php?id=BSGatlas-TSS-3005","BSGatlas-TSS-3005")</f>
        <v>BSGatlas-TSS-3005</v>
      </c>
      <c r="B3006" s="3">
        <v>3759678</v>
      </c>
      <c r="C3006" s="1" t="s">
        <v>13</v>
      </c>
      <c r="D3006" s="1">
        <v>0</v>
      </c>
      <c r="E3006" s="1" t="s">
        <v>14867</v>
      </c>
      <c r="F3006" s="6">
        <v>16497325</v>
      </c>
      <c r="G3006" s="1" t="s">
        <v>4684</v>
      </c>
    </row>
    <row r="3007" spans="1:7" ht="21" x14ac:dyDescent="0.25">
      <c r="A3007" s="2" t="str">
        <f>HYPERLINK("https://rth.dk/resources/bsgatlas/details.php?id=BSGatlas-TSS-3006","BSGatlas-TSS-3006")</f>
        <v>BSGatlas-TSS-3006</v>
      </c>
      <c r="B3007" s="3">
        <v>3760210</v>
      </c>
      <c r="C3007" s="1" t="s">
        <v>9</v>
      </c>
      <c r="D3007" s="1">
        <v>22</v>
      </c>
      <c r="E3007" s="1" t="s">
        <v>14722</v>
      </c>
      <c r="F3007" s="6"/>
      <c r="G3007" s="1" t="s">
        <v>14733</v>
      </c>
    </row>
    <row r="3008" spans="1:7" ht="21" x14ac:dyDescent="0.25">
      <c r="A3008" s="2" t="str">
        <f>HYPERLINK("https://rth.dk/resources/bsgatlas/details.php?id=BSGatlas-TSS-3007","BSGatlas-TSS-3007")</f>
        <v>BSGatlas-TSS-3007</v>
      </c>
      <c r="B3008" s="3">
        <v>3760558</v>
      </c>
      <c r="C3008" s="1" t="s">
        <v>9</v>
      </c>
      <c r="D3008" s="1">
        <v>22</v>
      </c>
      <c r="E3008" s="1" t="s">
        <v>14720</v>
      </c>
      <c r="F3008" s="6"/>
      <c r="G3008" s="1" t="s">
        <v>14733</v>
      </c>
    </row>
    <row r="3009" spans="1:7" ht="21" x14ac:dyDescent="0.25">
      <c r="A3009" s="2" t="str">
        <f>HYPERLINK("https://rth.dk/resources/bsgatlas/details.php?id=BSGatlas-TSS-3008","BSGatlas-TSS-3008")</f>
        <v>BSGatlas-TSS-3008</v>
      </c>
      <c r="B3009" s="3">
        <v>3760567</v>
      </c>
      <c r="C3009" s="1" t="s">
        <v>13</v>
      </c>
      <c r="D3009" s="1">
        <v>0</v>
      </c>
      <c r="E3009" s="1" t="s">
        <v>14867</v>
      </c>
      <c r="F3009" s="6" t="s">
        <v>15105</v>
      </c>
      <c r="G3009" s="1" t="s">
        <v>14730</v>
      </c>
    </row>
    <row r="3010" spans="1:7" ht="21" x14ac:dyDescent="0.25">
      <c r="A3010" s="2" t="str">
        <f>HYPERLINK("https://rth.dk/resources/bsgatlas/details.php?id=BSGatlas-TSS-3009","BSGatlas-TSS-3009")</f>
        <v>BSGatlas-TSS-3009</v>
      </c>
      <c r="B3010" s="3">
        <v>3760955</v>
      </c>
      <c r="C3010" s="1" t="s">
        <v>9</v>
      </c>
      <c r="D3010" s="1">
        <v>22</v>
      </c>
      <c r="E3010" s="1" t="s">
        <v>14727</v>
      </c>
      <c r="F3010" s="6"/>
      <c r="G3010" s="1" t="s">
        <v>14726</v>
      </c>
    </row>
    <row r="3011" spans="1:7" ht="21" x14ac:dyDescent="0.25">
      <c r="A3011" s="2" t="str">
        <f>HYPERLINK("https://rth.dk/resources/bsgatlas/details.php?id=BSGatlas-TSS-3010","BSGatlas-TSS-3010")</f>
        <v>BSGatlas-TSS-3010</v>
      </c>
      <c r="B3011" s="3">
        <v>3762477</v>
      </c>
      <c r="C3011" s="1" t="s">
        <v>13</v>
      </c>
      <c r="D3011" s="1">
        <v>22</v>
      </c>
      <c r="E3011" s="1" t="s">
        <v>14722</v>
      </c>
      <c r="F3011" s="6"/>
      <c r="G3011" s="1" t="s">
        <v>14726</v>
      </c>
    </row>
    <row r="3012" spans="1:7" ht="21" x14ac:dyDescent="0.25">
      <c r="A3012" s="2" t="str">
        <f>HYPERLINK("https://rth.dk/resources/bsgatlas/details.php?id=BSGatlas-TSS-3011","BSGatlas-TSS-3011")</f>
        <v>BSGatlas-TSS-3011</v>
      </c>
      <c r="B3012" s="3">
        <v>3762584</v>
      </c>
      <c r="C3012" s="1" t="s">
        <v>9</v>
      </c>
      <c r="D3012" s="1">
        <v>22</v>
      </c>
      <c r="E3012" s="1" t="s">
        <v>14722</v>
      </c>
      <c r="F3012" s="6"/>
      <c r="G3012" s="1" t="s">
        <v>14733</v>
      </c>
    </row>
    <row r="3013" spans="1:7" ht="21" x14ac:dyDescent="0.25">
      <c r="A3013" s="2" t="str">
        <f>HYPERLINK("https://rth.dk/resources/bsgatlas/details.php?id=BSGatlas-TSS-3012","BSGatlas-TSS-3012")</f>
        <v>BSGatlas-TSS-3012</v>
      </c>
      <c r="B3013" s="3">
        <v>3762776</v>
      </c>
      <c r="C3013" s="1" t="s">
        <v>13</v>
      </c>
      <c r="D3013" s="1">
        <v>22</v>
      </c>
      <c r="E3013" s="1" t="s">
        <v>14734</v>
      </c>
      <c r="F3013" s="6"/>
      <c r="G3013" s="1" t="s">
        <v>14733</v>
      </c>
    </row>
    <row r="3014" spans="1:7" ht="21" x14ac:dyDescent="0.25">
      <c r="A3014" s="2" t="str">
        <f>HYPERLINK("https://rth.dk/resources/bsgatlas/details.php?id=BSGatlas-TSS-3013","BSGatlas-TSS-3013")</f>
        <v>BSGatlas-TSS-3013</v>
      </c>
      <c r="B3014" s="3">
        <v>3763121</v>
      </c>
      <c r="C3014" s="1" t="s">
        <v>13</v>
      </c>
      <c r="D3014" s="1">
        <v>22</v>
      </c>
      <c r="E3014" s="1" t="s">
        <v>14727</v>
      </c>
      <c r="F3014" s="6"/>
      <c r="G3014" s="1" t="s">
        <v>14733</v>
      </c>
    </row>
    <row r="3015" spans="1:7" ht="21" x14ac:dyDescent="0.25">
      <c r="A3015" s="2" t="str">
        <f>HYPERLINK("https://rth.dk/resources/bsgatlas/details.php?id=BSGatlas-TSS-3014","BSGatlas-TSS-3014")</f>
        <v>BSGatlas-TSS-3014</v>
      </c>
      <c r="B3015" s="3">
        <v>3764921</v>
      </c>
      <c r="C3015" s="1" t="s">
        <v>13</v>
      </c>
      <c r="D3015" s="1">
        <v>0</v>
      </c>
      <c r="E3015" s="1" t="s">
        <v>14722</v>
      </c>
      <c r="F3015" s="6" t="s">
        <v>14810</v>
      </c>
      <c r="G3015" s="1" t="s">
        <v>4382</v>
      </c>
    </row>
    <row r="3016" spans="1:7" ht="21" x14ac:dyDescent="0.25">
      <c r="A3016" s="2" t="str">
        <f>HYPERLINK("https://rth.dk/resources/bsgatlas/details.php?id=BSGatlas-TSS-3015","BSGatlas-TSS-3015")</f>
        <v>BSGatlas-TSS-3015</v>
      </c>
      <c r="B3016" s="3">
        <v>3765004</v>
      </c>
      <c r="C3016" s="1" t="s">
        <v>9</v>
      </c>
      <c r="D3016" s="1">
        <v>22</v>
      </c>
      <c r="E3016" s="1" t="s">
        <v>14722</v>
      </c>
      <c r="F3016" s="6"/>
      <c r="G3016" s="1" t="s">
        <v>14726</v>
      </c>
    </row>
    <row r="3017" spans="1:7" ht="21" x14ac:dyDescent="0.25">
      <c r="A3017" s="2" t="str">
        <f>HYPERLINK("https://rth.dk/resources/bsgatlas/details.php?id=BSGatlas-TSS-3016","BSGatlas-TSS-3016")</f>
        <v>BSGatlas-TSS-3016</v>
      </c>
      <c r="B3017" s="3">
        <v>3766638</v>
      </c>
      <c r="C3017" s="1" t="s">
        <v>13</v>
      </c>
      <c r="D3017" s="1">
        <v>22</v>
      </c>
      <c r="E3017" s="1" t="s">
        <v>14722</v>
      </c>
      <c r="F3017" s="6"/>
      <c r="G3017" s="1" t="s">
        <v>14726</v>
      </c>
    </row>
    <row r="3018" spans="1:7" ht="21" x14ac:dyDescent="0.25">
      <c r="A3018" s="2" t="str">
        <f>HYPERLINK("https://rth.dk/resources/bsgatlas/details.php?id=BSGatlas-TSS-3017","BSGatlas-TSS-3017")</f>
        <v>BSGatlas-TSS-3017</v>
      </c>
      <c r="B3018" s="3">
        <v>3769193</v>
      </c>
      <c r="C3018" s="1" t="s">
        <v>13</v>
      </c>
      <c r="D3018" s="1">
        <v>22</v>
      </c>
      <c r="E3018" s="1" t="s">
        <v>14720</v>
      </c>
      <c r="F3018" s="6"/>
      <c r="G3018" s="1" t="s">
        <v>14733</v>
      </c>
    </row>
    <row r="3019" spans="1:7" ht="21" x14ac:dyDescent="0.25">
      <c r="A3019" s="2" t="str">
        <f>HYPERLINK("https://rth.dk/resources/bsgatlas/details.php?id=BSGatlas-TSS-3018","BSGatlas-TSS-3018")</f>
        <v>BSGatlas-TSS-3018</v>
      </c>
      <c r="B3019" s="3">
        <v>3769378</v>
      </c>
      <c r="C3019" s="1" t="s">
        <v>13</v>
      </c>
      <c r="D3019" s="1">
        <v>0</v>
      </c>
      <c r="E3019" s="1" t="s">
        <v>14745</v>
      </c>
      <c r="F3019" s="6" t="s">
        <v>15106</v>
      </c>
      <c r="G3019" s="1" t="s">
        <v>14729</v>
      </c>
    </row>
    <row r="3020" spans="1:7" ht="21" x14ac:dyDescent="0.25">
      <c r="A3020" s="2" t="str">
        <f>HYPERLINK("https://rth.dk/resources/bsgatlas/details.php?id=BSGatlas-TSS-3019","BSGatlas-TSS-3019")</f>
        <v>BSGatlas-TSS-3019</v>
      </c>
      <c r="B3020" s="3">
        <v>3769947</v>
      </c>
      <c r="C3020" s="1" t="s">
        <v>13</v>
      </c>
      <c r="D3020" s="1">
        <v>0</v>
      </c>
      <c r="E3020" s="1" t="s">
        <v>14722</v>
      </c>
      <c r="F3020" s="6" t="s">
        <v>15106</v>
      </c>
      <c r="G3020" s="1" t="s">
        <v>14724</v>
      </c>
    </row>
    <row r="3021" spans="1:7" ht="21" x14ac:dyDescent="0.25">
      <c r="A3021" s="2" t="str">
        <f>HYPERLINK("https://rth.dk/resources/bsgatlas/details.php?id=BSGatlas-TSS-3020","BSGatlas-TSS-3020")</f>
        <v>BSGatlas-TSS-3020</v>
      </c>
      <c r="B3021" s="3">
        <v>3770084</v>
      </c>
      <c r="C3021" s="1" t="s">
        <v>9</v>
      </c>
      <c r="D3021" s="1">
        <v>22</v>
      </c>
      <c r="E3021" s="1" t="s">
        <v>14720</v>
      </c>
      <c r="F3021" s="6"/>
      <c r="G3021" s="1" t="s">
        <v>14726</v>
      </c>
    </row>
    <row r="3022" spans="1:7" ht="21" x14ac:dyDescent="0.25">
      <c r="A3022" s="2" t="str">
        <f>HYPERLINK("https://rth.dk/resources/bsgatlas/details.php?id=BSGatlas-TSS-3021","BSGatlas-TSS-3021")</f>
        <v>BSGatlas-TSS-3021</v>
      </c>
      <c r="B3022" s="3">
        <v>3770329</v>
      </c>
      <c r="C3022" s="1" t="s">
        <v>13</v>
      </c>
      <c r="D3022" s="1">
        <v>22</v>
      </c>
      <c r="E3022" s="1" t="s">
        <v>14734</v>
      </c>
      <c r="F3022" s="6"/>
      <c r="G3022" s="1" t="s">
        <v>14726</v>
      </c>
    </row>
    <row r="3023" spans="1:7" ht="21" x14ac:dyDescent="0.25">
      <c r="A3023" s="2" t="str">
        <f>HYPERLINK("https://rth.dk/resources/bsgatlas/details.php?id=BSGatlas-TSS-3022","BSGatlas-TSS-3022")</f>
        <v>BSGatlas-TSS-3022</v>
      </c>
      <c r="B3023" s="3">
        <v>3770908</v>
      </c>
      <c r="C3023" s="1" t="s">
        <v>13</v>
      </c>
      <c r="D3023" s="1">
        <v>22</v>
      </c>
      <c r="E3023" s="1" t="s">
        <v>14734</v>
      </c>
      <c r="F3023" s="6"/>
      <c r="G3023" s="1" t="s">
        <v>14726</v>
      </c>
    </row>
    <row r="3024" spans="1:7" ht="21" x14ac:dyDescent="0.25">
      <c r="A3024" s="2" t="str">
        <f>HYPERLINK("https://rth.dk/resources/bsgatlas/details.php?id=BSGatlas-TSS-3023","BSGatlas-TSS-3023")</f>
        <v>BSGatlas-TSS-3023</v>
      </c>
      <c r="B3024" s="3">
        <v>3772167</v>
      </c>
      <c r="C3024" s="1" t="s">
        <v>13</v>
      </c>
      <c r="D3024" s="1">
        <v>22</v>
      </c>
      <c r="E3024" s="1" t="s">
        <v>14722</v>
      </c>
      <c r="F3024" s="6"/>
      <c r="G3024" s="1" t="s">
        <v>14726</v>
      </c>
    </row>
    <row r="3025" spans="1:7" ht="21" x14ac:dyDescent="0.25">
      <c r="A3025" s="2" t="str">
        <f>HYPERLINK("https://rth.dk/resources/bsgatlas/details.php?id=BSGatlas-TSS-3024","BSGatlas-TSS-3024")</f>
        <v>BSGatlas-TSS-3024</v>
      </c>
      <c r="B3025" s="3">
        <v>3772246</v>
      </c>
      <c r="C3025" s="1" t="s">
        <v>13</v>
      </c>
      <c r="D3025" s="1">
        <v>22</v>
      </c>
      <c r="E3025" s="1" t="s">
        <v>14752</v>
      </c>
      <c r="F3025" s="6"/>
      <c r="G3025" s="1" t="s">
        <v>14726</v>
      </c>
    </row>
    <row r="3026" spans="1:7" ht="21" x14ac:dyDescent="0.25">
      <c r="A3026" s="2" t="str">
        <f>HYPERLINK("https://rth.dk/resources/bsgatlas/details.php?id=BSGatlas-TSS-3025","BSGatlas-TSS-3025")</f>
        <v>BSGatlas-TSS-3025</v>
      </c>
      <c r="B3026" s="3">
        <v>3774186</v>
      </c>
      <c r="C3026" s="1" t="s">
        <v>13</v>
      </c>
      <c r="D3026" s="1">
        <v>22</v>
      </c>
      <c r="E3026" s="1" t="s">
        <v>14722</v>
      </c>
      <c r="F3026" s="6"/>
      <c r="G3026" s="1" t="s">
        <v>14726</v>
      </c>
    </row>
    <row r="3027" spans="1:7" ht="21" x14ac:dyDescent="0.25">
      <c r="A3027" s="2" t="str">
        <f>HYPERLINK("https://rth.dk/resources/bsgatlas/details.php?id=BSGatlas-TSS-3026","BSGatlas-TSS-3026")</f>
        <v>BSGatlas-TSS-3026</v>
      </c>
      <c r="B3027" s="3">
        <v>3774573</v>
      </c>
      <c r="C3027" s="1" t="s">
        <v>13</v>
      </c>
      <c r="D3027" s="1">
        <v>0</v>
      </c>
      <c r="E3027" s="1" t="s">
        <v>14734</v>
      </c>
      <c r="F3027" s="6" t="s">
        <v>14812</v>
      </c>
      <c r="G3027" s="1" t="s">
        <v>14729</v>
      </c>
    </row>
    <row r="3028" spans="1:7" ht="21" x14ac:dyDescent="0.25">
      <c r="A3028" s="2" t="str">
        <f>HYPERLINK("https://rth.dk/resources/bsgatlas/details.php?id=BSGatlas-TSS-3027","BSGatlas-TSS-3027")</f>
        <v>BSGatlas-TSS-3027</v>
      </c>
      <c r="B3028" s="3">
        <v>3776750</v>
      </c>
      <c r="C3028" s="1" t="s">
        <v>9</v>
      </c>
      <c r="D3028" s="1">
        <v>22</v>
      </c>
      <c r="E3028" s="1" t="s">
        <v>14725</v>
      </c>
      <c r="F3028" s="6"/>
      <c r="G3028" s="1" t="s">
        <v>14726</v>
      </c>
    </row>
    <row r="3029" spans="1:7" ht="21" x14ac:dyDescent="0.25">
      <c r="A3029" s="2" t="str">
        <f>HYPERLINK("https://rth.dk/resources/bsgatlas/details.php?id=BSGatlas-TSS-3028","BSGatlas-TSS-3028")</f>
        <v>BSGatlas-TSS-3028</v>
      </c>
      <c r="B3029" s="3">
        <v>3777784</v>
      </c>
      <c r="C3029" s="1" t="s">
        <v>13</v>
      </c>
      <c r="D3029" s="1">
        <v>0</v>
      </c>
      <c r="E3029" s="1" t="s">
        <v>14735</v>
      </c>
      <c r="F3029" s="6" t="s">
        <v>15107</v>
      </c>
      <c r="G3029" s="1" t="s">
        <v>14729</v>
      </c>
    </row>
    <row r="3030" spans="1:7" ht="21" x14ac:dyDescent="0.25">
      <c r="A3030" s="2" t="str">
        <f>HYPERLINK("https://rth.dk/resources/bsgatlas/details.php?id=BSGatlas-TSS-3029","BSGatlas-TSS-3029")</f>
        <v>BSGatlas-TSS-3029</v>
      </c>
      <c r="B3030" s="3">
        <v>3777894</v>
      </c>
      <c r="C3030" s="1" t="s">
        <v>9</v>
      </c>
      <c r="D3030" s="1">
        <v>0</v>
      </c>
      <c r="E3030" s="1" t="s">
        <v>14867</v>
      </c>
      <c r="F3030" s="6" t="s">
        <v>15108</v>
      </c>
      <c r="G3030" s="1" t="s">
        <v>14737</v>
      </c>
    </row>
    <row r="3031" spans="1:7" ht="21" x14ac:dyDescent="0.25">
      <c r="A3031" s="2" t="str">
        <f>HYPERLINK("https://rth.dk/resources/bsgatlas/details.php?id=BSGatlas-TSS-3030","BSGatlas-TSS-3030")</f>
        <v>BSGatlas-TSS-3030</v>
      </c>
      <c r="B3031" s="3">
        <v>3779290</v>
      </c>
      <c r="C3031" s="1" t="s">
        <v>13</v>
      </c>
      <c r="D3031" s="1">
        <v>22</v>
      </c>
      <c r="E3031" s="1" t="s">
        <v>14725</v>
      </c>
      <c r="F3031" s="6"/>
      <c r="G3031" s="1" t="s">
        <v>14726</v>
      </c>
    </row>
    <row r="3032" spans="1:7" ht="21" x14ac:dyDescent="0.25">
      <c r="A3032" s="2" t="str">
        <f>HYPERLINK("https://rth.dk/resources/bsgatlas/details.php?id=BSGatlas-TSS-3031","BSGatlas-TSS-3031")</f>
        <v>BSGatlas-TSS-3031</v>
      </c>
      <c r="B3032" s="3">
        <v>3779664</v>
      </c>
      <c r="C3032" s="1" t="s">
        <v>13</v>
      </c>
      <c r="D3032" s="1">
        <v>22</v>
      </c>
      <c r="E3032" s="1" t="s">
        <v>14758</v>
      </c>
      <c r="F3032" s="6"/>
      <c r="G3032" s="1" t="s">
        <v>14726</v>
      </c>
    </row>
    <row r="3033" spans="1:7" ht="21" x14ac:dyDescent="0.25">
      <c r="A3033" s="2" t="str">
        <f>HYPERLINK("https://rth.dk/resources/bsgatlas/details.php?id=BSGatlas-TSS-3032","BSGatlas-TSS-3032")</f>
        <v>BSGatlas-TSS-3032</v>
      </c>
      <c r="B3033" s="3">
        <v>3779796</v>
      </c>
      <c r="C3033" s="1" t="s">
        <v>13</v>
      </c>
      <c r="D3033" s="1">
        <v>22</v>
      </c>
      <c r="E3033" s="1" t="s">
        <v>14739</v>
      </c>
      <c r="F3033" s="6"/>
      <c r="G3033" s="1" t="s">
        <v>14726</v>
      </c>
    </row>
    <row r="3034" spans="1:7" ht="21" x14ac:dyDescent="0.25">
      <c r="A3034" s="2" t="str">
        <f>HYPERLINK("https://rth.dk/resources/bsgatlas/details.php?id=BSGatlas-TSS-3033","BSGatlas-TSS-3033")</f>
        <v>BSGatlas-TSS-3033</v>
      </c>
      <c r="B3034" s="3">
        <v>3780534</v>
      </c>
      <c r="C3034" s="1" t="s">
        <v>9</v>
      </c>
      <c r="D3034" s="1">
        <v>22</v>
      </c>
      <c r="E3034" s="1" t="s">
        <v>14722</v>
      </c>
      <c r="F3034" s="6"/>
      <c r="G3034" s="1" t="s">
        <v>14726</v>
      </c>
    </row>
    <row r="3035" spans="1:7" ht="21" x14ac:dyDescent="0.25">
      <c r="A3035" s="2" t="str">
        <f>HYPERLINK("https://rth.dk/resources/bsgatlas/details.php?id=BSGatlas-TSS-3034","BSGatlas-TSS-3034")</f>
        <v>BSGatlas-TSS-3034</v>
      </c>
      <c r="B3035" s="3">
        <v>3780655</v>
      </c>
      <c r="C3035" s="1" t="s">
        <v>13</v>
      </c>
      <c r="D3035" s="1">
        <v>22</v>
      </c>
      <c r="E3035" s="1" t="s">
        <v>14722</v>
      </c>
      <c r="F3035" s="6"/>
      <c r="G3035" s="1" t="s">
        <v>14733</v>
      </c>
    </row>
    <row r="3036" spans="1:7" ht="21" x14ac:dyDescent="0.25">
      <c r="A3036" s="2" t="str">
        <f>HYPERLINK("https://rth.dk/resources/bsgatlas/details.php?id=BSGatlas-TSS-3035","BSGatlas-TSS-3035")</f>
        <v>BSGatlas-TSS-3035</v>
      </c>
      <c r="B3036" s="3">
        <v>3781468</v>
      </c>
      <c r="C3036" s="1" t="s">
        <v>13</v>
      </c>
      <c r="D3036" s="1">
        <v>22</v>
      </c>
      <c r="E3036" s="1" t="s">
        <v>14734</v>
      </c>
      <c r="F3036" s="6"/>
      <c r="G3036" s="1" t="s">
        <v>14726</v>
      </c>
    </row>
    <row r="3037" spans="1:7" ht="21" x14ac:dyDescent="0.25">
      <c r="A3037" s="2" t="str">
        <f>HYPERLINK("https://rth.dk/resources/bsgatlas/details.php?id=BSGatlas-TSS-3036","BSGatlas-TSS-3036")</f>
        <v>BSGatlas-TSS-3036</v>
      </c>
      <c r="B3037" s="3">
        <v>3787486</v>
      </c>
      <c r="C3037" s="1" t="s">
        <v>9</v>
      </c>
      <c r="D3037" s="1">
        <v>22</v>
      </c>
      <c r="E3037" s="1" t="s">
        <v>14720</v>
      </c>
      <c r="F3037" s="6"/>
      <c r="G3037" s="1" t="s">
        <v>14726</v>
      </c>
    </row>
    <row r="3038" spans="1:7" ht="21" x14ac:dyDescent="0.25">
      <c r="A3038" s="2" t="str">
        <f>HYPERLINK("https://rth.dk/resources/bsgatlas/details.php?id=BSGatlas-TSS-3037","BSGatlas-TSS-3037")</f>
        <v>BSGatlas-TSS-3037</v>
      </c>
      <c r="B3038" s="3">
        <v>3787694</v>
      </c>
      <c r="C3038" s="1" t="s">
        <v>13</v>
      </c>
      <c r="D3038" s="1">
        <v>22</v>
      </c>
      <c r="E3038" s="1" t="s">
        <v>14825</v>
      </c>
      <c r="F3038" s="6"/>
      <c r="G3038" s="1" t="s">
        <v>14726</v>
      </c>
    </row>
    <row r="3039" spans="1:7" ht="21" x14ac:dyDescent="0.25">
      <c r="A3039" s="2" t="str">
        <f>HYPERLINK("https://rth.dk/resources/bsgatlas/details.php?id=BSGatlas-TSS-3038","BSGatlas-TSS-3038")</f>
        <v>BSGatlas-TSS-3038</v>
      </c>
      <c r="B3039" s="3">
        <v>3788245</v>
      </c>
      <c r="C3039" s="1" t="s">
        <v>9</v>
      </c>
      <c r="D3039" s="1">
        <v>22</v>
      </c>
      <c r="E3039" s="1" t="s">
        <v>14725</v>
      </c>
      <c r="F3039" s="6"/>
      <c r="G3039" s="1" t="s">
        <v>14726</v>
      </c>
    </row>
    <row r="3040" spans="1:7" ht="21" x14ac:dyDescent="0.25">
      <c r="A3040" s="2" t="str">
        <f>HYPERLINK("https://rth.dk/resources/bsgatlas/details.php?id=BSGatlas-TSS-3039","BSGatlas-TSS-3039")</f>
        <v>BSGatlas-TSS-3039</v>
      </c>
      <c r="B3040" s="3">
        <v>3788274</v>
      </c>
      <c r="C3040" s="1" t="s">
        <v>13</v>
      </c>
      <c r="D3040" s="1">
        <v>22</v>
      </c>
      <c r="E3040" s="1" t="s">
        <v>14722</v>
      </c>
      <c r="F3040" s="6"/>
      <c r="G3040" s="1" t="s">
        <v>14733</v>
      </c>
    </row>
    <row r="3041" spans="1:7" ht="21" x14ac:dyDescent="0.25">
      <c r="A3041" s="2" t="str">
        <f>HYPERLINK("https://rth.dk/resources/bsgatlas/details.php?id=BSGatlas-TSS-3040","BSGatlas-TSS-3040")</f>
        <v>BSGatlas-TSS-3040</v>
      </c>
      <c r="B3041" s="3">
        <v>3789122</v>
      </c>
      <c r="C3041" s="1" t="s">
        <v>13</v>
      </c>
      <c r="D3041" s="1">
        <v>22</v>
      </c>
      <c r="E3041" s="1" t="s">
        <v>14722</v>
      </c>
      <c r="F3041" s="6"/>
      <c r="G3041" s="1" t="s">
        <v>14726</v>
      </c>
    </row>
    <row r="3042" spans="1:7" ht="21" x14ac:dyDescent="0.25">
      <c r="A3042" s="2" t="str">
        <f>HYPERLINK("https://rth.dk/resources/bsgatlas/details.php?id=BSGatlas-TSS-3041","BSGatlas-TSS-3041")</f>
        <v>BSGatlas-TSS-3041</v>
      </c>
      <c r="B3042" s="3">
        <v>3790480</v>
      </c>
      <c r="C3042" s="1" t="s">
        <v>13</v>
      </c>
      <c r="D3042" s="1">
        <v>0</v>
      </c>
      <c r="E3042" s="1" t="s">
        <v>14722</v>
      </c>
      <c r="F3042" s="6" t="s">
        <v>15109</v>
      </c>
      <c r="G3042" s="1" t="s">
        <v>14729</v>
      </c>
    </row>
    <row r="3043" spans="1:7" ht="21" x14ac:dyDescent="0.25">
      <c r="A3043" s="2" t="str">
        <f>HYPERLINK("https://rth.dk/resources/bsgatlas/details.php?id=BSGatlas-TSS-3042","BSGatlas-TSS-3042")</f>
        <v>BSGatlas-TSS-3042</v>
      </c>
      <c r="B3043" s="3">
        <v>3791748</v>
      </c>
      <c r="C3043" s="1" t="s">
        <v>13</v>
      </c>
      <c r="D3043" s="1">
        <v>22</v>
      </c>
      <c r="E3043" s="1" t="s">
        <v>14722</v>
      </c>
      <c r="F3043" s="6"/>
      <c r="G3043" s="1" t="s">
        <v>14733</v>
      </c>
    </row>
    <row r="3044" spans="1:7" ht="21" x14ac:dyDescent="0.25">
      <c r="A3044" s="2" t="str">
        <f>HYPERLINK("https://rth.dk/resources/bsgatlas/details.php?id=BSGatlas-TSS-3043","BSGatlas-TSS-3043")</f>
        <v>BSGatlas-TSS-3043</v>
      </c>
      <c r="B3044" s="3">
        <v>3792292</v>
      </c>
      <c r="C3044" s="1" t="s">
        <v>13</v>
      </c>
      <c r="D3044" s="1">
        <v>22</v>
      </c>
      <c r="E3044" s="1" t="s">
        <v>14722</v>
      </c>
      <c r="F3044" s="6"/>
      <c r="G3044" s="1" t="s">
        <v>14726</v>
      </c>
    </row>
    <row r="3045" spans="1:7" ht="21" x14ac:dyDescent="0.25">
      <c r="A3045" s="2" t="str">
        <f>HYPERLINK("https://rth.dk/resources/bsgatlas/details.php?id=BSGatlas-TSS-3044","BSGatlas-TSS-3044")</f>
        <v>BSGatlas-TSS-3044</v>
      </c>
      <c r="B3045" s="3">
        <v>3792930</v>
      </c>
      <c r="C3045" s="1" t="s">
        <v>13</v>
      </c>
      <c r="D3045" s="1">
        <v>22</v>
      </c>
      <c r="E3045" s="1" t="s">
        <v>14727</v>
      </c>
      <c r="F3045" s="6"/>
      <c r="G3045" s="1" t="s">
        <v>14726</v>
      </c>
    </row>
    <row r="3046" spans="1:7" ht="21" x14ac:dyDescent="0.25">
      <c r="A3046" s="2" t="str">
        <f>HYPERLINK("https://rth.dk/resources/bsgatlas/details.php?id=BSGatlas-TSS-3045","BSGatlas-TSS-3045")</f>
        <v>BSGatlas-TSS-3045</v>
      </c>
      <c r="B3046" s="3">
        <v>3794074</v>
      </c>
      <c r="C3046" s="1" t="s">
        <v>13</v>
      </c>
      <c r="D3046" s="1">
        <v>22</v>
      </c>
      <c r="E3046" s="1" t="s">
        <v>14722</v>
      </c>
      <c r="F3046" s="6"/>
      <c r="G3046" s="1" t="s">
        <v>14733</v>
      </c>
    </row>
    <row r="3047" spans="1:7" ht="21" x14ac:dyDescent="0.25">
      <c r="A3047" s="2" t="str">
        <f>HYPERLINK("https://rth.dk/resources/bsgatlas/details.php?id=BSGatlas-TSS-3046","BSGatlas-TSS-3046")</f>
        <v>BSGatlas-TSS-3046</v>
      </c>
      <c r="B3047" s="3">
        <v>3795119</v>
      </c>
      <c r="C3047" s="1" t="s">
        <v>13</v>
      </c>
      <c r="D3047" s="1">
        <v>22</v>
      </c>
      <c r="E3047" s="1" t="s">
        <v>14734</v>
      </c>
      <c r="F3047" s="6"/>
      <c r="G3047" s="1" t="s">
        <v>14726</v>
      </c>
    </row>
    <row r="3048" spans="1:7" ht="21" x14ac:dyDescent="0.25">
      <c r="A3048" s="2" t="str">
        <f>HYPERLINK("https://rth.dk/resources/bsgatlas/details.php?id=BSGatlas-TSS-3047","BSGatlas-TSS-3047")</f>
        <v>BSGatlas-TSS-3047</v>
      </c>
      <c r="B3048" s="3">
        <v>3795383</v>
      </c>
      <c r="C3048" s="1" t="s">
        <v>13</v>
      </c>
      <c r="D3048" s="1">
        <v>0</v>
      </c>
      <c r="E3048" s="1" t="s">
        <v>14849</v>
      </c>
      <c r="F3048" s="6" t="s">
        <v>15110</v>
      </c>
      <c r="G3048" s="1" t="s">
        <v>14729</v>
      </c>
    </row>
    <row r="3049" spans="1:7" ht="21" x14ac:dyDescent="0.25">
      <c r="A3049" s="2" t="str">
        <f>HYPERLINK("https://rth.dk/resources/bsgatlas/details.php?id=BSGatlas-TSS-3048","BSGatlas-TSS-3048")</f>
        <v>BSGatlas-TSS-3048</v>
      </c>
      <c r="B3049" s="3">
        <v>3795456</v>
      </c>
      <c r="C3049" s="1" t="s">
        <v>9</v>
      </c>
      <c r="D3049" s="1">
        <v>22</v>
      </c>
      <c r="E3049" s="1" t="s">
        <v>14722</v>
      </c>
      <c r="F3049" s="6"/>
      <c r="G3049" s="1" t="s">
        <v>14726</v>
      </c>
    </row>
    <row r="3050" spans="1:7" ht="21" x14ac:dyDescent="0.25">
      <c r="A3050" s="2" t="str">
        <f>HYPERLINK("https://rth.dk/resources/bsgatlas/details.php?id=BSGatlas-TSS-3049","BSGatlas-TSS-3049")</f>
        <v>BSGatlas-TSS-3049</v>
      </c>
      <c r="B3050" s="3">
        <v>3796230</v>
      </c>
      <c r="C3050" s="1" t="s">
        <v>13</v>
      </c>
      <c r="D3050" s="1">
        <v>22</v>
      </c>
      <c r="E3050" s="1" t="s">
        <v>14725</v>
      </c>
      <c r="F3050" s="6"/>
      <c r="G3050" s="1" t="s">
        <v>14733</v>
      </c>
    </row>
    <row r="3051" spans="1:7" ht="21" x14ac:dyDescent="0.25">
      <c r="A3051" s="2" t="str">
        <f>HYPERLINK("https://rth.dk/resources/bsgatlas/details.php?id=BSGatlas-TSS-3050","BSGatlas-TSS-3050")</f>
        <v>BSGatlas-TSS-3050</v>
      </c>
      <c r="B3051" s="3">
        <v>3798207</v>
      </c>
      <c r="C3051" s="1" t="s">
        <v>13</v>
      </c>
      <c r="D3051" s="1">
        <v>22</v>
      </c>
      <c r="E3051" s="1" t="s">
        <v>14722</v>
      </c>
      <c r="F3051" s="6"/>
      <c r="G3051" s="1" t="s">
        <v>14726</v>
      </c>
    </row>
    <row r="3052" spans="1:7" ht="21" x14ac:dyDescent="0.25">
      <c r="A3052" s="2" t="str">
        <f>HYPERLINK("https://rth.dk/resources/bsgatlas/details.php?id=BSGatlas-TSS-3051","BSGatlas-TSS-3051")</f>
        <v>BSGatlas-TSS-3051</v>
      </c>
      <c r="B3052" s="3">
        <v>3798266</v>
      </c>
      <c r="C3052" s="1" t="s">
        <v>9</v>
      </c>
      <c r="D3052" s="1">
        <v>22</v>
      </c>
      <c r="E3052" s="1" t="s">
        <v>14722</v>
      </c>
      <c r="F3052" s="6"/>
      <c r="G3052" s="1" t="s">
        <v>14726</v>
      </c>
    </row>
    <row r="3053" spans="1:7" ht="21" x14ac:dyDescent="0.25">
      <c r="A3053" s="2" t="str">
        <f>HYPERLINK("https://rth.dk/resources/bsgatlas/details.php?id=BSGatlas-TSS-3052","BSGatlas-TSS-3052")</f>
        <v>BSGatlas-TSS-3052</v>
      </c>
      <c r="B3053" s="3">
        <v>3798320</v>
      </c>
      <c r="C3053" s="1" t="s">
        <v>13</v>
      </c>
      <c r="D3053" s="1">
        <v>22</v>
      </c>
      <c r="E3053" s="1" t="s">
        <v>14725</v>
      </c>
      <c r="F3053" s="6"/>
      <c r="G3053" s="1" t="s">
        <v>14733</v>
      </c>
    </row>
    <row r="3054" spans="1:7" ht="21" x14ac:dyDescent="0.25">
      <c r="A3054" s="2" t="str">
        <f>HYPERLINK("https://rth.dk/resources/bsgatlas/details.php?id=BSGatlas-TSS-3053","BSGatlas-TSS-3053")</f>
        <v>BSGatlas-TSS-3053</v>
      </c>
      <c r="B3054" s="3">
        <v>3798755</v>
      </c>
      <c r="C3054" s="1" t="s">
        <v>9</v>
      </c>
      <c r="D3054" s="1">
        <v>22</v>
      </c>
      <c r="E3054" s="1" t="s">
        <v>14745</v>
      </c>
      <c r="F3054" s="6"/>
      <c r="G3054" s="1" t="s">
        <v>14726</v>
      </c>
    </row>
    <row r="3055" spans="1:7" ht="21" x14ac:dyDescent="0.25">
      <c r="A3055" s="2" t="str">
        <f>HYPERLINK("https://rth.dk/resources/bsgatlas/details.php?id=BSGatlas-TSS-3054","BSGatlas-TSS-3054")</f>
        <v>BSGatlas-TSS-3054</v>
      </c>
      <c r="B3055" s="3">
        <v>3799278</v>
      </c>
      <c r="C3055" s="1" t="s">
        <v>9</v>
      </c>
      <c r="D3055" s="1">
        <v>22</v>
      </c>
      <c r="E3055" s="1" t="s">
        <v>14720</v>
      </c>
      <c r="F3055" s="6"/>
      <c r="G3055" s="1" t="s">
        <v>14726</v>
      </c>
    </row>
    <row r="3056" spans="1:7" ht="21" x14ac:dyDescent="0.25">
      <c r="A3056" s="2" t="str">
        <f>HYPERLINK("https://rth.dk/resources/bsgatlas/details.php?id=BSGatlas-TSS-3055","BSGatlas-TSS-3055")</f>
        <v>BSGatlas-TSS-3055</v>
      </c>
      <c r="B3056" s="3">
        <v>3800388</v>
      </c>
      <c r="C3056" s="1" t="s">
        <v>13</v>
      </c>
      <c r="D3056" s="1">
        <v>22</v>
      </c>
      <c r="E3056" s="1" t="s">
        <v>14734</v>
      </c>
      <c r="F3056" s="6"/>
      <c r="G3056" s="1" t="s">
        <v>14726</v>
      </c>
    </row>
    <row r="3057" spans="1:7" ht="21" x14ac:dyDescent="0.25">
      <c r="A3057" s="2" t="str">
        <f>HYPERLINK("https://rth.dk/resources/bsgatlas/details.php?id=BSGatlas-TSS-3056","BSGatlas-TSS-3056")</f>
        <v>BSGatlas-TSS-3056</v>
      </c>
      <c r="B3057" s="3">
        <v>3800900</v>
      </c>
      <c r="C3057" s="1" t="s">
        <v>13</v>
      </c>
      <c r="D3057" s="1">
        <v>22</v>
      </c>
      <c r="E3057" s="1" t="s">
        <v>14734</v>
      </c>
      <c r="F3057" s="6"/>
      <c r="G3057" s="1" t="s">
        <v>14726</v>
      </c>
    </row>
    <row r="3058" spans="1:7" ht="21" x14ac:dyDescent="0.25">
      <c r="A3058" s="2" t="str">
        <f>HYPERLINK("https://rth.dk/resources/bsgatlas/details.php?id=BSGatlas-TSS-3057","BSGatlas-TSS-3057")</f>
        <v>BSGatlas-TSS-3057</v>
      </c>
      <c r="B3058" s="3">
        <v>3802245</v>
      </c>
      <c r="C3058" s="1" t="s">
        <v>13</v>
      </c>
      <c r="D3058" s="1">
        <v>0</v>
      </c>
      <c r="E3058" s="1" t="s">
        <v>14722</v>
      </c>
      <c r="F3058" s="6" t="s">
        <v>15111</v>
      </c>
      <c r="G3058" s="1" t="s">
        <v>14724</v>
      </c>
    </row>
    <row r="3059" spans="1:7" ht="21" x14ac:dyDescent="0.25">
      <c r="A3059" s="2" t="str">
        <f>HYPERLINK("https://rth.dk/resources/bsgatlas/details.php?id=BSGatlas-TSS-3058","BSGatlas-TSS-3058")</f>
        <v>BSGatlas-TSS-3058</v>
      </c>
      <c r="B3059" s="3">
        <v>3803359</v>
      </c>
      <c r="C3059" s="1" t="s">
        <v>13</v>
      </c>
      <c r="D3059" s="1">
        <v>22</v>
      </c>
      <c r="E3059" s="1" t="s">
        <v>14722</v>
      </c>
      <c r="F3059" s="6"/>
      <c r="G3059" s="1" t="s">
        <v>14733</v>
      </c>
    </row>
    <row r="3060" spans="1:7" ht="21" x14ac:dyDescent="0.25">
      <c r="A3060" s="2" t="str">
        <f>HYPERLINK("https://rth.dk/resources/bsgatlas/details.php?id=BSGatlas-TSS-3059","BSGatlas-TSS-3059")</f>
        <v>BSGatlas-TSS-3059</v>
      </c>
      <c r="B3060" s="3">
        <v>3804986</v>
      </c>
      <c r="C3060" s="1" t="s">
        <v>13</v>
      </c>
      <c r="D3060" s="1">
        <v>22</v>
      </c>
      <c r="E3060" s="1" t="s">
        <v>14722</v>
      </c>
      <c r="F3060" s="6"/>
      <c r="G3060" s="1" t="s">
        <v>14733</v>
      </c>
    </row>
    <row r="3061" spans="1:7" ht="21" x14ac:dyDescent="0.25">
      <c r="A3061" s="2" t="str">
        <f>HYPERLINK("https://rth.dk/resources/bsgatlas/details.php?id=BSGatlas-TSS-3060","BSGatlas-TSS-3060")</f>
        <v>BSGatlas-TSS-3060</v>
      </c>
      <c r="B3061" s="3">
        <v>3805702</v>
      </c>
      <c r="C3061" s="1" t="s">
        <v>9</v>
      </c>
      <c r="D3061" s="1">
        <v>22</v>
      </c>
      <c r="E3061" s="1" t="s">
        <v>14725</v>
      </c>
      <c r="F3061" s="6"/>
      <c r="G3061" s="1" t="s">
        <v>14726</v>
      </c>
    </row>
    <row r="3062" spans="1:7" ht="21" x14ac:dyDescent="0.25">
      <c r="A3062" s="2" t="str">
        <f>HYPERLINK("https://rth.dk/resources/bsgatlas/details.php?id=BSGatlas-TSS-3061","BSGatlas-TSS-3061")</f>
        <v>BSGatlas-TSS-3061</v>
      </c>
      <c r="B3062" s="3">
        <v>3809496</v>
      </c>
      <c r="C3062" s="1" t="s">
        <v>13</v>
      </c>
      <c r="D3062" s="1">
        <v>22</v>
      </c>
      <c r="E3062" s="1" t="s">
        <v>14722</v>
      </c>
      <c r="F3062" s="6"/>
      <c r="G3062" s="1" t="s">
        <v>14733</v>
      </c>
    </row>
    <row r="3063" spans="1:7" ht="21" x14ac:dyDescent="0.25">
      <c r="A3063" s="2" t="str">
        <f>HYPERLINK("https://rth.dk/resources/bsgatlas/details.php?id=BSGatlas-TSS-3062","BSGatlas-TSS-3062")</f>
        <v>BSGatlas-TSS-3062</v>
      </c>
      <c r="B3063" s="3">
        <v>3809966</v>
      </c>
      <c r="C3063" s="1" t="s">
        <v>13</v>
      </c>
      <c r="D3063" s="1">
        <v>0</v>
      </c>
      <c r="E3063" s="1" t="s">
        <v>14745</v>
      </c>
      <c r="F3063" s="6" t="s">
        <v>15112</v>
      </c>
      <c r="G3063" s="1" t="s">
        <v>14729</v>
      </c>
    </row>
    <row r="3064" spans="1:7" ht="21" x14ac:dyDescent="0.25">
      <c r="A3064" s="2" t="str">
        <f>HYPERLINK("https://rth.dk/resources/bsgatlas/details.php?id=BSGatlas-TSS-3063","BSGatlas-TSS-3063")</f>
        <v>BSGatlas-TSS-3063</v>
      </c>
      <c r="B3064" s="3">
        <v>3809998</v>
      </c>
      <c r="C3064" s="1" t="s">
        <v>13</v>
      </c>
      <c r="D3064" s="1">
        <v>0</v>
      </c>
      <c r="E3064" s="1" t="s">
        <v>14722</v>
      </c>
      <c r="F3064" s="6" t="s">
        <v>15113</v>
      </c>
      <c r="G3064" s="1" t="s">
        <v>14729</v>
      </c>
    </row>
    <row r="3065" spans="1:7" ht="21" x14ac:dyDescent="0.25">
      <c r="A3065" s="2" t="str">
        <f>HYPERLINK("https://rth.dk/resources/bsgatlas/details.php?id=BSGatlas-TSS-3064","BSGatlas-TSS-3064")</f>
        <v>BSGatlas-TSS-3064</v>
      </c>
      <c r="B3065" s="3">
        <v>3810013</v>
      </c>
      <c r="C3065" s="1" t="s">
        <v>9</v>
      </c>
      <c r="D3065" s="1">
        <v>22</v>
      </c>
      <c r="E3065" s="1" t="s">
        <v>14722</v>
      </c>
      <c r="F3065" s="6"/>
      <c r="G3065" s="1" t="s">
        <v>14726</v>
      </c>
    </row>
    <row r="3066" spans="1:7" ht="21" x14ac:dyDescent="0.25">
      <c r="A3066" s="2" t="str">
        <f>HYPERLINK("https://rth.dk/resources/bsgatlas/details.php?id=BSGatlas-TSS-3065","BSGatlas-TSS-3065")</f>
        <v>BSGatlas-TSS-3065</v>
      </c>
      <c r="B3066" s="3">
        <v>3810058</v>
      </c>
      <c r="C3066" s="1" t="s">
        <v>9</v>
      </c>
      <c r="D3066" s="1">
        <v>22</v>
      </c>
      <c r="E3066" s="1" t="s">
        <v>14722</v>
      </c>
      <c r="F3066" s="6"/>
      <c r="G3066" s="1" t="s">
        <v>14726</v>
      </c>
    </row>
    <row r="3067" spans="1:7" ht="21" x14ac:dyDescent="0.25">
      <c r="A3067" s="2" t="str">
        <f>HYPERLINK("https://rth.dk/resources/bsgatlas/details.php?id=BSGatlas-TSS-3066","BSGatlas-TSS-3066")</f>
        <v>BSGatlas-TSS-3066</v>
      </c>
      <c r="B3067" s="3">
        <v>3810586</v>
      </c>
      <c r="C3067" s="1" t="s">
        <v>9</v>
      </c>
      <c r="D3067" s="1">
        <v>22</v>
      </c>
      <c r="E3067" s="1" t="s">
        <v>14722</v>
      </c>
      <c r="F3067" s="6"/>
      <c r="G3067" s="1" t="s">
        <v>14726</v>
      </c>
    </row>
    <row r="3068" spans="1:7" ht="21" x14ac:dyDescent="0.25">
      <c r="A3068" s="2" t="str">
        <f>HYPERLINK("https://rth.dk/resources/bsgatlas/details.php?id=BSGatlas-TSS-3067","BSGatlas-TSS-3067")</f>
        <v>BSGatlas-TSS-3067</v>
      </c>
      <c r="B3068" s="3">
        <v>3810619</v>
      </c>
      <c r="C3068" s="1" t="s">
        <v>13</v>
      </c>
      <c r="D3068" s="1">
        <v>22</v>
      </c>
      <c r="E3068" s="1" t="s">
        <v>14722</v>
      </c>
      <c r="F3068" s="6"/>
      <c r="G3068" s="1" t="s">
        <v>14733</v>
      </c>
    </row>
    <row r="3069" spans="1:7" ht="21" x14ac:dyDescent="0.25">
      <c r="A3069" s="2" t="str">
        <f>HYPERLINK("https://rth.dk/resources/bsgatlas/details.php?id=BSGatlas-TSS-3068","BSGatlas-TSS-3068")</f>
        <v>BSGatlas-TSS-3068</v>
      </c>
      <c r="B3069" s="3">
        <v>3812479</v>
      </c>
      <c r="C3069" s="1" t="s">
        <v>13</v>
      </c>
      <c r="D3069" s="1">
        <v>0</v>
      </c>
      <c r="E3069" s="1" t="s">
        <v>14722</v>
      </c>
      <c r="F3069" s="6" t="s">
        <v>15114</v>
      </c>
      <c r="G3069" s="1" t="s">
        <v>14724</v>
      </c>
    </row>
    <row r="3070" spans="1:7" ht="21" x14ac:dyDescent="0.25">
      <c r="A3070" s="2" t="str">
        <f>HYPERLINK("https://rth.dk/resources/bsgatlas/details.php?id=BSGatlas-TSS-3069","BSGatlas-TSS-3069")</f>
        <v>BSGatlas-TSS-3069</v>
      </c>
      <c r="B3070" s="3">
        <v>3813147</v>
      </c>
      <c r="C3070" s="1" t="s">
        <v>13</v>
      </c>
      <c r="D3070" s="1">
        <v>0</v>
      </c>
      <c r="E3070" s="1" t="s">
        <v>14722</v>
      </c>
      <c r="F3070" s="6">
        <v>10336502</v>
      </c>
      <c r="G3070" s="1" t="s">
        <v>14778</v>
      </c>
    </row>
    <row r="3071" spans="1:7" ht="21" x14ac:dyDescent="0.25">
      <c r="A3071" s="2" t="str">
        <f>HYPERLINK("https://rth.dk/resources/bsgatlas/details.php?id=BSGatlas-TSS-3070","BSGatlas-TSS-3070")</f>
        <v>BSGatlas-TSS-3070</v>
      </c>
      <c r="B3071" s="3">
        <v>3813149</v>
      </c>
      <c r="C3071" s="1" t="s">
        <v>13</v>
      </c>
      <c r="D3071" s="1">
        <v>0</v>
      </c>
      <c r="E3071" s="1" t="s">
        <v>14722</v>
      </c>
      <c r="F3071" s="6">
        <v>10336502</v>
      </c>
      <c r="G3071" s="1" t="s">
        <v>14737</v>
      </c>
    </row>
    <row r="3072" spans="1:7" ht="21" x14ac:dyDescent="0.25">
      <c r="A3072" s="2" t="str">
        <f>HYPERLINK("https://rth.dk/resources/bsgatlas/details.php?id=BSGatlas-TSS-3071","BSGatlas-TSS-3071")</f>
        <v>BSGatlas-TSS-3071</v>
      </c>
      <c r="B3072" s="3">
        <v>3816562</v>
      </c>
      <c r="C3072" s="1" t="s">
        <v>13</v>
      </c>
      <c r="D3072" s="1">
        <v>0</v>
      </c>
      <c r="E3072" s="1" t="s">
        <v>14722</v>
      </c>
      <c r="F3072" s="6" t="s">
        <v>14866</v>
      </c>
      <c r="G3072" s="1" t="s">
        <v>14724</v>
      </c>
    </row>
    <row r="3073" spans="1:7" ht="21" x14ac:dyDescent="0.25">
      <c r="A3073" s="2" t="str">
        <f>HYPERLINK("https://rth.dk/resources/bsgatlas/details.php?id=BSGatlas-TSS-3072","BSGatlas-TSS-3072")</f>
        <v>BSGatlas-TSS-3072</v>
      </c>
      <c r="B3073" s="3">
        <v>3816623</v>
      </c>
      <c r="C3073" s="1" t="s">
        <v>9</v>
      </c>
      <c r="D3073" s="1">
        <v>22</v>
      </c>
      <c r="E3073" s="1" t="s">
        <v>14732</v>
      </c>
      <c r="F3073" s="6"/>
      <c r="G3073" s="1" t="s">
        <v>14726</v>
      </c>
    </row>
    <row r="3074" spans="1:7" ht="21" x14ac:dyDescent="0.25">
      <c r="A3074" s="2" t="str">
        <f>HYPERLINK("https://rth.dk/resources/bsgatlas/details.php?id=BSGatlas-TSS-3073","BSGatlas-TSS-3073")</f>
        <v>BSGatlas-TSS-3073</v>
      </c>
      <c r="B3074" s="3">
        <v>3817725</v>
      </c>
      <c r="C3074" s="1" t="s">
        <v>13</v>
      </c>
      <c r="D3074" s="1">
        <v>22</v>
      </c>
      <c r="E3074" s="1" t="s">
        <v>14727</v>
      </c>
      <c r="F3074" s="6"/>
      <c r="G3074" s="1" t="s">
        <v>14726</v>
      </c>
    </row>
    <row r="3075" spans="1:7" ht="21" x14ac:dyDescent="0.25">
      <c r="A3075" s="2" t="str">
        <f>HYPERLINK("https://rth.dk/resources/bsgatlas/details.php?id=BSGatlas-TSS-3074","BSGatlas-TSS-3074")</f>
        <v>BSGatlas-TSS-3074</v>
      </c>
      <c r="B3075" s="3">
        <v>3818876</v>
      </c>
      <c r="C3075" s="1" t="s">
        <v>9</v>
      </c>
      <c r="D3075" s="1">
        <v>0</v>
      </c>
      <c r="E3075" s="1" t="s">
        <v>14734</v>
      </c>
      <c r="F3075" s="6" t="s">
        <v>14812</v>
      </c>
      <c r="G3075" s="1" t="s">
        <v>14729</v>
      </c>
    </row>
    <row r="3076" spans="1:7" ht="21" x14ac:dyDescent="0.25">
      <c r="A3076" s="2" t="str">
        <f>HYPERLINK("https://rth.dk/resources/bsgatlas/details.php?id=BSGatlas-TSS-3075","BSGatlas-TSS-3075")</f>
        <v>BSGatlas-TSS-3075</v>
      </c>
      <c r="B3076" s="3">
        <v>3821529</v>
      </c>
      <c r="C3076" s="1" t="s">
        <v>13</v>
      </c>
      <c r="D3076" s="1">
        <v>22</v>
      </c>
      <c r="E3076" s="1" t="s">
        <v>14722</v>
      </c>
      <c r="F3076" s="6"/>
      <c r="G3076" s="1" t="s">
        <v>14726</v>
      </c>
    </row>
    <row r="3077" spans="1:7" ht="21" x14ac:dyDescent="0.25">
      <c r="A3077" s="2" t="str">
        <f>HYPERLINK("https://rth.dk/resources/bsgatlas/details.php?id=BSGatlas-TSS-3076","BSGatlas-TSS-3076")</f>
        <v>BSGatlas-TSS-3076</v>
      </c>
      <c r="B3077" s="3">
        <v>3823114</v>
      </c>
      <c r="C3077" s="1" t="s">
        <v>13</v>
      </c>
      <c r="D3077" s="1">
        <v>22</v>
      </c>
      <c r="E3077" s="1" t="s">
        <v>14734</v>
      </c>
      <c r="F3077" s="6"/>
      <c r="G3077" s="1" t="s">
        <v>14726</v>
      </c>
    </row>
    <row r="3078" spans="1:7" ht="21" x14ac:dyDescent="0.25">
      <c r="A3078" s="2" t="str">
        <f>HYPERLINK("https://rth.dk/resources/bsgatlas/details.php?id=BSGatlas-TSS-3077","BSGatlas-TSS-3077")</f>
        <v>BSGatlas-TSS-3077</v>
      </c>
      <c r="B3078" s="3">
        <v>3829977</v>
      </c>
      <c r="C3078" s="1" t="s">
        <v>13</v>
      </c>
      <c r="D3078" s="1">
        <v>0</v>
      </c>
      <c r="E3078" s="1" t="s">
        <v>14722</v>
      </c>
      <c r="F3078" s="6" t="s">
        <v>15115</v>
      </c>
      <c r="G3078" s="1" t="s">
        <v>4684</v>
      </c>
    </row>
    <row r="3079" spans="1:7" ht="21" x14ac:dyDescent="0.25">
      <c r="A3079" s="2" t="str">
        <f>HYPERLINK("https://rth.dk/resources/bsgatlas/details.php?id=BSGatlas-TSS-3078","BSGatlas-TSS-3078")</f>
        <v>BSGatlas-TSS-3078</v>
      </c>
      <c r="B3079" s="3">
        <v>3829978</v>
      </c>
      <c r="C3079" s="1" t="s">
        <v>13</v>
      </c>
      <c r="D3079" s="1">
        <v>0</v>
      </c>
      <c r="E3079" s="1" t="s">
        <v>14722</v>
      </c>
      <c r="F3079" s="6" t="s">
        <v>15116</v>
      </c>
      <c r="G3079" s="1" t="s">
        <v>14747</v>
      </c>
    </row>
    <row r="3080" spans="1:7" ht="21" x14ac:dyDescent="0.25">
      <c r="A3080" s="2" t="str">
        <f>HYPERLINK("https://rth.dk/resources/bsgatlas/details.php?id=BSGatlas-TSS-3079","BSGatlas-TSS-3079")</f>
        <v>BSGatlas-TSS-3079</v>
      </c>
      <c r="B3080" s="3">
        <v>3830642</v>
      </c>
      <c r="C3080" s="1" t="s">
        <v>13</v>
      </c>
      <c r="D3080" s="1">
        <v>0</v>
      </c>
      <c r="E3080" s="1" t="s">
        <v>14722</v>
      </c>
      <c r="F3080" s="6" t="s">
        <v>15117</v>
      </c>
      <c r="G3080" s="1" t="s">
        <v>14729</v>
      </c>
    </row>
    <row r="3081" spans="1:7" ht="21" x14ac:dyDescent="0.25">
      <c r="A3081" s="2" t="str">
        <f>HYPERLINK("https://rth.dk/resources/bsgatlas/details.php?id=BSGatlas-TSS-3080","BSGatlas-TSS-3080")</f>
        <v>BSGatlas-TSS-3080</v>
      </c>
      <c r="B3081" s="3">
        <v>3830724</v>
      </c>
      <c r="C3081" s="1" t="s">
        <v>9</v>
      </c>
      <c r="D3081" s="1">
        <v>22</v>
      </c>
      <c r="E3081" s="1" t="s">
        <v>14722</v>
      </c>
      <c r="F3081" s="6"/>
      <c r="G3081" s="1" t="s">
        <v>14726</v>
      </c>
    </row>
    <row r="3082" spans="1:7" ht="21" x14ac:dyDescent="0.25">
      <c r="A3082" s="2" t="str">
        <f>HYPERLINK("https://rth.dk/resources/bsgatlas/details.php?id=BSGatlas-TSS-3081","BSGatlas-TSS-3081")</f>
        <v>BSGatlas-TSS-3081</v>
      </c>
      <c r="B3082" s="3">
        <v>3832256</v>
      </c>
      <c r="C3082" s="1" t="s">
        <v>13</v>
      </c>
      <c r="D3082" s="1">
        <v>0</v>
      </c>
      <c r="E3082" s="1" t="s">
        <v>14722</v>
      </c>
      <c r="F3082" s="6">
        <v>8846791</v>
      </c>
      <c r="G3082" s="1" t="s">
        <v>14730</v>
      </c>
    </row>
    <row r="3083" spans="1:7" ht="21" x14ac:dyDescent="0.25">
      <c r="A3083" s="2" t="str">
        <f>HYPERLINK("https://rth.dk/resources/bsgatlas/details.php?id=BSGatlas-TSS-3082","BSGatlas-TSS-3082")</f>
        <v>BSGatlas-TSS-3082</v>
      </c>
      <c r="B3083" s="3">
        <v>3833545</v>
      </c>
      <c r="C3083" s="1" t="s">
        <v>13</v>
      </c>
      <c r="D3083" s="1">
        <v>0</v>
      </c>
      <c r="E3083" s="1" t="s">
        <v>14722</v>
      </c>
      <c r="F3083" s="6" t="s">
        <v>15118</v>
      </c>
      <c r="G3083" s="1" t="s">
        <v>14729</v>
      </c>
    </row>
    <row r="3084" spans="1:7" ht="21" x14ac:dyDescent="0.25">
      <c r="A3084" s="2" t="str">
        <f>HYPERLINK("https://rth.dk/resources/bsgatlas/details.php?id=BSGatlas-TSS-3083","BSGatlas-TSS-3083")</f>
        <v>BSGatlas-TSS-3083</v>
      </c>
      <c r="B3084" s="3">
        <v>3835820</v>
      </c>
      <c r="C3084" s="1" t="s">
        <v>9</v>
      </c>
      <c r="D3084" s="1">
        <v>22</v>
      </c>
      <c r="E3084" s="1" t="s">
        <v>14720</v>
      </c>
      <c r="F3084" s="6"/>
      <c r="G3084" s="1" t="s">
        <v>14726</v>
      </c>
    </row>
    <row r="3085" spans="1:7" ht="21" x14ac:dyDescent="0.25">
      <c r="A3085" s="2" t="str">
        <f>HYPERLINK("https://rth.dk/resources/bsgatlas/details.php?id=BSGatlas-TSS-3084","BSGatlas-TSS-3084")</f>
        <v>BSGatlas-TSS-3084</v>
      </c>
      <c r="B3085" s="3">
        <v>3835829</v>
      </c>
      <c r="C3085" s="1" t="s">
        <v>13</v>
      </c>
      <c r="D3085" s="1">
        <v>22</v>
      </c>
      <c r="E3085" s="1" t="s">
        <v>14722</v>
      </c>
      <c r="F3085" s="6"/>
      <c r="G3085" s="1" t="s">
        <v>14726</v>
      </c>
    </row>
    <row r="3086" spans="1:7" ht="21" x14ac:dyDescent="0.25">
      <c r="A3086" s="2" t="str">
        <f>HYPERLINK("https://rth.dk/resources/bsgatlas/details.php?id=BSGatlas-TSS-3085","BSGatlas-TSS-3085")</f>
        <v>BSGatlas-TSS-3085</v>
      </c>
      <c r="B3086" s="3">
        <v>3835896</v>
      </c>
      <c r="C3086" s="1" t="s">
        <v>13</v>
      </c>
      <c r="D3086" s="1">
        <v>22</v>
      </c>
      <c r="E3086" s="1" t="s">
        <v>14722</v>
      </c>
      <c r="F3086" s="6"/>
      <c r="G3086" s="1" t="s">
        <v>14726</v>
      </c>
    </row>
    <row r="3087" spans="1:7" ht="21" x14ac:dyDescent="0.25">
      <c r="A3087" s="2" t="str">
        <f>HYPERLINK("https://rth.dk/resources/bsgatlas/details.php?id=BSGatlas-TSS-3086","BSGatlas-TSS-3086")</f>
        <v>BSGatlas-TSS-3086</v>
      </c>
      <c r="B3087" s="3">
        <v>3836013</v>
      </c>
      <c r="C3087" s="1" t="s">
        <v>9</v>
      </c>
      <c r="D3087" s="1">
        <v>0</v>
      </c>
      <c r="E3087" s="1" t="s">
        <v>14722</v>
      </c>
      <c r="F3087" s="6" t="s">
        <v>15119</v>
      </c>
      <c r="G3087" s="1" t="s">
        <v>14729</v>
      </c>
    </row>
    <row r="3088" spans="1:7" ht="21" x14ac:dyDescent="0.25">
      <c r="A3088" s="2" t="str">
        <f>HYPERLINK("https://rth.dk/resources/bsgatlas/details.php?id=BSGatlas-TSS-3087","BSGatlas-TSS-3087")</f>
        <v>BSGatlas-TSS-3087</v>
      </c>
      <c r="B3088" s="3">
        <v>3836317</v>
      </c>
      <c r="C3088" s="1" t="s">
        <v>9</v>
      </c>
      <c r="D3088" s="1">
        <v>22</v>
      </c>
      <c r="E3088" s="1" t="s">
        <v>14722</v>
      </c>
      <c r="F3088" s="6"/>
      <c r="G3088" s="1" t="s">
        <v>14726</v>
      </c>
    </row>
    <row r="3089" spans="1:7" ht="21" x14ac:dyDescent="0.25">
      <c r="A3089" s="2" t="str">
        <f>HYPERLINK("https://rth.dk/resources/bsgatlas/details.php?id=BSGatlas-TSS-3088","BSGatlas-TSS-3088")</f>
        <v>BSGatlas-TSS-3088</v>
      </c>
      <c r="B3089" s="3">
        <v>3845825</v>
      </c>
      <c r="C3089" s="1" t="s">
        <v>13</v>
      </c>
      <c r="D3089" s="1">
        <v>22</v>
      </c>
      <c r="E3089" s="1" t="s">
        <v>14725</v>
      </c>
      <c r="F3089" s="6"/>
      <c r="G3089" s="1" t="s">
        <v>14726</v>
      </c>
    </row>
    <row r="3090" spans="1:7" ht="21" x14ac:dyDescent="0.25">
      <c r="A3090" s="2" t="str">
        <f>HYPERLINK("https://rth.dk/resources/bsgatlas/details.php?id=BSGatlas-TSS-3089","BSGatlas-TSS-3089")</f>
        <v>BSGatlas-TSS-3089</v>
      </c>
      <c r="B3090" s="3">
        <v>3845952</v>
      </c>
      <c r="C3090" s="1" t="s">
        <v>9</v>
      </c>
      <c r="D3090" s="1">
        <v>22</v>
      </c>
      <c r="E3090" s="1" t="s">
        <v>14722</v>
      </c>
      <c r="F3090" s="6"/>
      <c r="G3090" s="1" t="s">
        <v>14726</v>
      </c>
    </row>
    <row r="3091" spans="1:7" ht="21" x14ac:dyDescent="0.25">
      <c r="A3091" s="2" t="str">
        <f>HYPERLINK("https://rth.dk/resources/bsgatlas/details.php?id=BSGatlas-TSS-3090","BSGatlas-TSS-3090")</f>
        <v>BSGatlas-TSS-3090</v>
      </c>
      <c r="B3091" s="3">
        <v>3847043</v>
      </c>
      <c r="C3091" s="1" t="s">
        <v>9</v>
      </c>
      <c r="D3091" s="1">
        <v>0</v>
      </c>
      <c r="E3091" s="1" t="s">
        <v>14745</v>
      </c>
      <c r="F3091" s="6">
        <v>11466295</v>
      </c>
      <c r="G3091" s="1" t="s">
        <v>14730</v>
      </c>
    </row>
    <row r="3092" spans="1:7" ht="21" x14ac:dyDescent="0.25">
      <c r="A3092" s="2" t="str">
        <f>HYPERLINK("https://rth.dk/resources/bsgatlas/details.php?id=BSGatlas-TSS-3091","BSGatlas-TSS-3091")</f>
        <v>BSGatlas-TSS-3091</v>
      </c>
      <c r="B3092" s="3">
        <v>3849700</v>
      </c>
      <c r="C3092" s="1" t="s">
        <v>13</v>
      </c>
      <c r="D3092" s="1">
        <v>0</v>
      </c>
      <c r="E3092" s="1" t="s">
        <v>14722</v>
      </c>
      <c r="F3092" s="6" t="s">
        <v>15120</v>
      </c>
      <c r="G3092" s="1" t="s">
        <v>14724</v>
      </c>
    </row>
    <row r="3093" spans="1:7" ht="21" x14ac:dyDescent="0.25">
      <c r="A3093" s="2" t="str">
        <f>HYPERLINK("https://rth.dk/resources/bsgatlas/details.php?id=BSGatlas-TSS-3092","BSGatlas-TSS-3092")</f>
        <v>BSGatlas-TSS-3092</v>
      </c>
      <c r="B3093" s="3">
        <v>3849791</v>
      </c>
      <c r="C3093" s="1" t="s">
        <v>9</v>
      </c>
      <c r="D3093" s="1">
        <v>0</v>
      </c>
      <c r="E3093" s="1" t="s">
        <v>14849</v>
      </c>
      <c r="F3093" s="6" t="s">
        <v>15121</v>
      </c>
      <c r="G3093" s="1" t="s">
        <v>14729</v>
      </c>
    </row>
    <row r="3094" spans="1:7" ht="21" x14ac:dyDescent="0.25">
      <c r="A3094" s="2" t="str">
        <f>HYPERLINK("https://rth.dk/resources/bsgatlas/details.php?id=BSGatlas-TSS-3093","BSGatlas-TSS-3093")</f>
        <v>BSGatlas-TSS-3093</v>
      </c>
      <c r="B3094" s="3">
        <v>3853421</v>
      </c>
      <c r="C3094" s="1" t="s">
        <v>9</v>
      </c>
      <c r="D3094" s="1">
        <v>22</v>
      </c>
      <c r="E3094" s="1" t="s">
        <v>14722</v>
      </c>
      <c r="F3094" s="6"/>
      <c r="G3094" s="1" t="s">
        <v>14726</v>
      </c>
    </row>
    <row r="3095" spans="1:7" ht="21" x14ac:dyDescent="0.25">
      <c r="A3095" s="2" t="str">
        <f>HYPERLINK("https://rth.dk/resources/bsgatlas/details.php?id=BSGatlas-TSS-3094","BSGatlas-TSS-3094")</f>
        <v>BSGatlas-TSS-3094</v>
      </c>
      <c r="B3095" s="3">
        <v>3853431</v>
      </c>
      <c r="C3095" s="1" t="s">
        <v>13</v>
      </c>
      <c r="D3095" s="1">
        <v>22</v>
      </c>
      <c r="E3095" s="1" t="s">
        <v>14722</v>
      </c>
      <c r="F3095" s="6"/>
      <c r="G3095" s="1" t="s">
        <v>14726</v>
      </c>
    </row>
    <row r="3096" spans="1:7" ht="21" x14ac:dyDescent="0.25">
      <c r="A3096" s="2" t="str">
        <f>HYPERLINK("https://rth.dk/resources/bsgatlas/details.php?id=BSGatlas-TSS-3095","BSGatlas-TSS-3095")</f>
        <v>BSGatlas-TSS-3095</v>
      </c>
      <c r="B3096" s="3">
        <v>3854197</v>
      </c>
      <c r="C3096" s="1" t="s">
        <v>13</v>
      </c>
      <c r="D3096" s="1">
        <v>22</v>
      </c>
      <c r="E3096" s="1" t="s">
        <v>14722</v>
      </c>
      <c r="F3096" s="6"/>
      <c r="G3096" s="1" t="s">
        <v>14726</v>
      </c>
    </row>
    <row r="3097" spans="1:7" ht="21" x14ac:dyDescent="0.25">
      <c r="A3097" s="2" t="str">
        <f>HYPERLINK("https://rth.dk/resources/bsgatlas/details.php?id=BSGatlas-TSS-3096","BSGatlas-TSS-3096")</f>
        <v>BSGatlas-TSS-3096</v>
      </c>
      <c r="B3097" s="3">
        <v>3855455</v>
      </c>
      <c r="C3097" s="1" t="s">
        <v>13</v>
      </c>
      <c r="D3097" s="1">
        <v>22</v>
      </c>
      <c r="E3097" s="1" t="s">
        <v>14727</v>
      </c>
      <c r="F3097" s="6"/>
      <c r="G3097" s="1" t="s">
        <v>14726</v>
      </c>
    </row>
    <row r="3098" spans="1:7" ht="21" x14ac:dyDescent="0.25">
      <c r="A3098" s="2" t="str">
        <f>HYPERLINK("https://rth.dk/resources/bsgatlas/details.php?id=BSGatlas-TSS-3097","BSGatlas-TSS-3097")</f>
        <v>BSGatlas-TSS-3097</v>
      </c>
      <c r="B3098" s="3">
        <v>3856963</v>
      </c>
      <c r="C3098" s="1" t="s">
        <v>9</v>
      </c>
      <c r="D3098" s="1">
        <v>22</v>
      </c>
      <c r="E3098" s="1" t="s">
        <v>14720</v>
      </c>
      <c r="F3098" s="6"/>
      <c r="G3098" s="1" t="s">
        <v>14726</v>
      </c>
    </row>
    <row r="3099" spans="1:7" ht="21" x14ac:dyDescent="0.25">
      <c r="A3099" s="2" t="str">
        <f>HYPERLINK("https://rth.dk/resources/bsgatlas/details.php?id=BSGatlas-TSS-3098","BSGatlas-TSS-3098")</f>
        <v>BSGatlas-TSS-3098</v>
      </c>
      <c r="B3099" s="3">
        <v>3856994</v>
      </c>
      <c r="C3099" s="1" t="s">
        <v>13</v>
      </c>
      <c r="D3099" s="1">
        <v>22</v>
      </c>
      <c r="E3099" s="1" t="s">
        <v>14722</v>
      </c>
      <c r="F3099" s="6"/>
      <c r="G3099" s="1" t="s">
        <v>14726</v>
      </c>
    </row>
    <row r="3100" spans="1:7" ht="21" x14ac:dyDescent="0.25">
      <c r="A3100" s="2" t="str">
        <f>HYPERLINK("https://rth.dk/resources/bsgatlas/details.php?id=BSGatlas-TSS-3099","BSGatlas-TSS-3099")</f>
        <v>BSGatlas-TSS-3099</v>
      </c>
      <c r="B3100" s="3">
        <v>3860874</v>
      </c>
      <c r="C3100" s="1" t="s">
        <v>13</v>
      </c>
      <c r="D3100" s="1">
        <v>22</v>
      </c>
      <c r="E3100" s="1" t="s">
        <v>14722</v>
      </c>
      <c r="F3100" s="6"/>
      <c r="G3100" s="1" t="s">
        <v>14726</v>
      </c>
    </row>
    <row r="3101" spans="1:7" ht="21" x14ac:dyDescent="0.25">
      <c r="A3101" s="2" t="str">
        <f>HYPERLINK("https://rth.dk/resources/bsgatlas/details.php?id=BSGatlas-TSS-3100","BSGatlas-TSS-3100")</f>
        <v>BSGatlas-TSS-3100</v>
      </c>
      <c r="B3101" s="3">
        <v>3861306</v>
      </c>
      <c r="C3101" s="1" t="s">
        <v>13</v>
      </c>
      <c r="D3101" s="1">
        <v>22</v>
      </c>
      <c r="E3101" s="1" t="s">
        <v>14722</v>
      </c>
      <c r="F3101" s="6"/>
      <c r="G3101" s="1" t="s">
        <v>14733</v>
      </c>
    </row>
    <row r="3102" spans="1:7" ht="21" x14ac:dyDescent="0.25">
      <c r="A3102" s="2" t="str">
        <f>HYPERLINK("https://rth.dk/resources/bsgatlas/details.php?id=BSGatlas-TSS-3101","BSGatlas-TSS-3101")</f>
        <v>BSGatlas-TSS-3101</v>
      </c>
      <c r="B3102" s="3">
        <v>3861395</v>
      </c>
      <c r="C3102" s="1" t="s">
        <v>9</v>
      </c>
      <c r="D3102" s="1">
        <v>22</v>
      </c>
      <c r="E3102" s="1" t="s">
        <v>14732</v>
      </c>
      <c r="F3102" s="6"/>
      <c r="G3102" s="1" t="s">
        <v>14726</v>
      </c>
    </row>
    <row r="3103" spans="1:7" ht="21" x14ac:dyDescent="0.25">
      <c r="A3103" s="2" t="str">
        <f>HYPERLINK("https://rth.dk/resources/bsgatlas/details.php?id=BSGatlas-TSS-3102","BSGatlas-TSS-3102")</f>
        <v>BSGatlas-TSS-3102</v>
      </c>
      <c r="B3103" s="3">
        <v>3862327</v>
      </c>
      <c r="C3103" s="1" t="s">
        <v>9</v>
      </c>
      <c r="D3103" s="1">
        <v>22</v>
      </c>
      <c r="E3103" s="1" t="s">
        <v>14722</v>
      </c>
      <c r="F3103" s="6"/>
      <c r="G3103" s="1" t="s">
        <v>14733</v>
      </c>
    </row>
    <row r="3104" spans="1:7" ht="21" x14ac:dyDescent="0.25">
      <c r="A3104" s="2" t="str">
        <f>HYPERLINK("https://rth.dk/resources/bsgatlas/details.php?id=BSGatlas-TSS-3103","BSGatlas-TSS-3103")</f>
        <v>BSGatlas-TSS-3103</v>
      </c>
      <c r="B3104" s="3">
        <v>3863287</v>
      </c>
      <c r="C3104" s="1" t="s">
        <v>13</v>
      </c>
      <c r="D3104" s="1">
        <v>22</v>
      </c>
      <c r="E3104" s="1" t="s">
        <v>14720</v>
      </c>
      <c r="F3104" s="6"/>
      <c r="G3104" s="1" t="s">
        <v>14726</v>
      </c>
    </row>
    <row r="3105" spans="1:7" ht="21" x14ac:dyDescent="0.25">
      <c r="A3105" s="2" t="str">
        <f>HYPERLINK("https://rth.dk/resources/bsgatlas/details.php?id=BSGatlas-TSS-3104","BSGatlas-TSS-3104")</f>
        <v>BSGatlas-TSS-3104</v>
      </c>
      <c r="B3105" s="3">
        <v>3865254</v>
      </c>
      <c r="C3105" s="1" t="s">
        <v>13</v>
      </c>
      <c r="D3105" s="1">
        <v>0</v>
      </c>
      <c r="E3105" s="1" t="s">
        <v>14722</v>
      </c>
      <c r="F3105" s="6" t="s">
        <v>15069</v>
      </c>
      <c r="G3105" s="1" t="s">
        <v>14729</v>
      </c>
    </row>
    <row r="3106" spans="1:7" ht="21" x14ac:dyDescent="0.25">
      <c r="A3106" s="2" t="str">
        <f>HYPERLINK("https://rth.dk/resources/bsgatlas/details.php?id=BSGatlas-TSS-3105","BSGatlas-TSS-3105")</f>
        <v>BSGatlas-TSS-3105</v>
      </c>
      <c r="B3106" s="3">
        <v>3866363</v>
      </c>
      <c r="C3106" s="1" t="s">
        <v>13</v>
      </c>
      <c r="D3106" s="1">
        <v>0</v>
      </c>
      <c r="E3106" s="1" t="s">
        <v>14722</v>
      </c>
      <c r="F3106" s="6" t="s">
        <v>15122</v>
      </c>
      <c r="G3106" s="1" t="s">
        <v>4382</v>
      </c>
    </row>
    <row r="3107" spans="1:7" ht="21" x14ac:dyDescent="0.25">
      <c r="A3107" s="2" t="str">
        <f>HYPERLINK("https://rth.dk/resources/bsgatlas/details.php?id=BSGatlas-TSS-3106","BSGatlas-TSS-3106")</f>
        <v>BSGatlas-TSS-3106</v>
      </c>
      <c r="B3107" s="3">
        <v>3866386</v>
      </c>
      <c r="C3107" s="1" t="s">
        <v>13</v>
      </c>
      <c r="D3107" s="1">
        <v>22</v>
      </c>
      <c r="E3107" s="1" t="s">
        <v>14722</v>
      </c>
      <c r="F3107" s="6"/>
      <c r="G3107" s="1" t="s">
        <v>14726</v>
      </c>
    </row>
    <row r="3108" spans="1:7" ht="21" x14ac:dyDescent="0.25">
      <c r="A3108" s="2" t="str">
        <f>HYPERLINK("https://rth.dk/resources/bsgatlas/details.php?id=BSGatlas-TSS-3107","BSGatlas-TSS-3107")</f>
        <v>BSGatlas-TSS-3107</v>
      </c>
      <c r="B3108" s="3">
        <v>3866477</v>
      </c>
      <c r="C3108" s="1" t="s">
        <v>13</v>
      </c>
      <c r="D3108" s="1">
        <v>22</v>
      </c>
      <c r="E3108" s="1" t="s">
        <v>14732</v>
      </c>
      <c r="F3108" s="6"/>
      <c r="G3108" s="1" t="s">
        <v>14726</v>
      </c>
    </row>
    <row r="3109" spans="1:7" ht="21" x14ac:dyDescent="0.25">
      <c r="A3109" s="2" t="str">
        <f>HYPERLINK("https://rth.dk/resources/bsgatlas/details.php?id=BSGatlas-TSS-3108","BSGatlas-TSS-3108")</f>
        <v>BSGatlas-TSS-3108</v>
      </c>
      <c r="B3109" s="3">
        <v>3866555</v>
      </c>
      <c r="C3109" s="1" t="s">
        <v>9</v>
      </c>
      <c r="D3109" s="1">
        <v>22</v>
      </c>
      <c r="E3109" s="1" t="s">
        <v>14722</v>
      </c>
      <c r="F3109" s="6"/>
      <c r="G3109" s="1" t="s">
        <v>14726</v>
      </c>
    </row>
    <row r="3110" spans="1:7" ht="21" x14ac:dyDescent="0.25">
      <c r="A3110" s="2" t="str">
        <f>HYPERLINK("https://rth.dk/resources/bsgatlas/details.php?id=BSGatlas-TSS-3109","BSGatlas-TSS-3109")</f>
        <v>BSGatlas-TSS-3109</v>
      </c>
      <c r="B3110" s="3">
        <v>3867452</v>
      </c>
      <c r="C3110" s="1" t="s">
        <v>9</v>
      </c>
      <c r="D3110" s="1">
        <v>22</v>
      </c>
      <c r="E3110" s="1" t="s">
        <v>14722</v>
      </c>
      <c r="F3110" s="6"/>
      <c r="G3110" s="1" t="s">
        <v>14726</v>
      </c>
    </row>
    <row r="3111" spans="1:7" ht="21" x14ac:dyDescent="0.25">
      <c r="A3111" s="2" t="str">
        <f>HYPERLINK("https://rth.dk/resources/bsgatlas/details.php?id=BSGatlas-TSS-3110","BSGatlas-TSS-3110")</f>
        <v>BSGatlas-TSS-3110</v>
      </c>
      <c r="B3111" s="3">
        <v>3873473</v>
      </c>
      <c r="C3111" s="1" t="s">
        <v>13</v>
      </c>
      <c r="D3111" s="1">
        <v>22</v>
      </c>
      <c r="E3111" s="1" t="s">
        <v>14720</v>
      </c>
      <c r="F3111" s="6"/>
      <c r="G3111" s="1" t="s">
        <v>14726</v>
      </c>
    </row>
    <row r="3112" spans="1:7" ht="21" x14ac:dyDescent="0.25">
      <c r="A3112" s="2" t="str">
        <f>HYPERLINK("https://rth.dk/resources/bsgatlas/details.php?id=BSGatlas-TSS-3111","BSGatlas-TSS-3111")</f>
        <v>BSGatlas-TSS-3111</v>
      </c>
      <c r="B3112" s="3">
        <v>3873771</v>
      </c>
      <c r="C3112" s="1" t="s">
        <v>9</v>
      </c>
      <c r="D3112" s="1">
        <v>22</v>
      </c>
      <c r="E3112" s="1" t="s">
        <v>14734</v>
      </c>
      <c r="F3112" s="6"/>
      <c r="G3112" s="1" t="s">
        <v>14726</v>
      </c>
    </row>
    <row r="3113" spans="1:7" ht="21" x14ac:dyDescent="0.25">
      <c r="A3113" s="2" t="str">
        <f>HYPERLINK("https://rth.dk/resources/bsgatlas/details.php?id=BSGatlas-TSS-3112","BSGatlas-TSS-3112")</f>
        <v>BSGatlas-TSS-3112</v>
      </c>
      <c r="B3113" s="3">
        <v>3874219</v>
      </c>
      <c r="C3113" s="1" t="s">
        <v>13</v>
      </c>
      <c r="D3113" s="1">
        <v>22</v>
      </c>
      <c r="E3113" s="1" t="s">
        <v>14722</v>
      </c>
      <c r="F3113" s="6"/>
      <c r="G3113" s="1" t="s">
        <v>14726</v>
      </c>
    </row>
    <row r="3114" spans="1:7" ht="21" x14ac:dyDescent="0.25">
      <c r="A3114" s="2" t="str">
        <f>HYPERLINK("https://rth.dk/resources/bsgatlas/details.php?id=BSGatlas-TSS-3113","BSGatlas-TSS-3113")</f>
        <v>BSGatlas-TSS-3113</v>
      </c>
      <c r="B3114" s="3">
        <v>3875624</v>
      </c>
      <c r="C3114" s="1" t="s">
        <v>13</v>
      </c>
      <c r="D3114" s="1">
        <v>22</v>
      </c>
      <c r="E3114" s="1" t="s">
        <v>14722</v>
      </c>
      <c r="F3114" s="6"/>
      <c r="G3114" s="1" t="s">
        <v>14726</v>
      </c>
    </row>
    <row r="3115" spans="1:7" ht="21" x14ac:dyDescent="0.25">
      <c r="A3115" s="2" t="str">
        <f>HYPERLINK("https://rth.dk/resources/bsgatlas/details.php?id=BSGatlas-TSS-3114","BSGatlas-TSS-3114")</f>
        <v>BSGatlas-TSS-3114</v>
      </c>
      <c r="B3115" s="3">
        <v>3877873</v>
      </c>
      <c r="C3115" s="1" t="s">
        <v>13</v>
      </c>
      <c r="D3115" s="1">
        <v>22</v>
      </c>
      <c r="E3115" s="1" t="s">
        <v>14722</v>
      </c>
      <c r="F3115" s="6"/>
      <c r="G3115" s="1" t="s">
        <v>14726</v>
      </c>
    </row>
    <row r="3116" spans="1:7" ht="21" x14ac:dyDescent="0.25">
      <c r="A3116" s="2" t="str">
        <f>HYPERLINK("https://rth.dk/resources/bsgatlas/details.php?id=BSGatlas-TSS-3115","BSGatlas-TSS-3115")</f>
        <v>BSGatlas-TSS-3115</v>
      </c>
      <c r="B3116" s="3">
        <v>3880550</v>
      </c>
      <c r="C3116" s="1" t="s">
        <v>13</v>
      </c>
      <c r="D3116" s="1">
        <v>0</v>
      </c>
      <c r="E3116" s="1" t="s">
        <v>14825</v>
      </c>
      <c r="F3116" s="6" t="s">
        <v>15123</v>
      </c>
      <c r="G3116" s="1" t="s">
        <v>14729</v>
      </c>
    </row>
    <row r="3117" spans="1:7" ht="21" x14ac:dyDescent="0.25">
      <c r="A3117" s="2" t="str">
        <f>HYPERLINK("https://rth.dk/resources/bsgatlas/details.php?id=BSGatlas-TSS-3116","BSGatlas-TSS-3116")</f>
        <v>BSGatlas-TSS-3116</v>
      </c>
      <c r="B3117" s="3">
        <v>3882101</v>
      </c>
      <c r="C3117" s="1" t="s">
        <v>13</v>
      </c>
      <c r="D3117" s="1">
        <v>0</v>
      </c>
      <c r="E3117" s="1" t="s">
        <v>14825</v>
      </c>
      <c r="F3117" s="6" t="s">
        <v>15124</v>
      </c>
      <c r="G3117" s="1" t="s">
        <v>14724</v>
      </c>
    </row>
    <row r="3118" spans="1:7" ht="21" x14ac:dyDescent="0.25">
      <c r="A3118" s="2" t="str">
        <f>HYPERLINK("https://rth.dk/resources/bsgatlas/details.php?id=BSGatlas-TSS-3117","BSGatlas-TSS-3117")</f>
        <v>BSGatlas-TSS-3117</v>
      </c>
      <c r="B3118" s="3">
        <v>3882766</v>
      </c>
      <c r="C3118" s="1" t="s">
        <v>13</v>
      </c>
      <c r="D3118" s="1">
        <v>22</v>
      </c>
      <c r="E3118" s="1" t="s">
        <v>14722</v>
      </c>
      <c r="F3118" s="6"/>
      <c r="G3118" s="1" t="s">
        <v>14733</v>
      </c>
    </row>
    <row r="3119" spans="1:7" ht="21" x14ac:dyDescent="0.25">
      <c r="A3119" s="2" t="str">
        <f>HYPERLINK("https://rth.dk/resources/bsgatlas/details.php?id=BSGatlas-TSS-3118","BSGatlas-TSS-3118")</f>
        <v>BSGatlas-TSS-3118</v>
      </c>
      <c r="B3119" s="3">
        <v>3883077</v>
      </c>
      <c r="C3119" s="1" t="s">
        <v>9</v>
      </c>
      <c r="D3119" s="1">
        <v>22</v>
      </c>
      <c r="E3119" s="1" t="s">
        <v>14722</v>
      </c>
      <c r="F3119" s="6"/>
      <c r="G3119" s="1" t="s">
        <v>14726</v>
      </c>
    </row>
    <row r="3120" spans="1:7" ht="21" x14ac:dyDescent="0.25">
      <c r="A3120" s="2" t="str">
        <f>HYPERLINK("https://rth.dk/resources/bsgatlas/details.php?id=BSGatlas-TSS-3119","BSGatlas-TSS-3119")</f>
        <v>BSGatlas-TSS-3119</v>
      </c>
      <c r="B3120" s="3">
        <v>3886003</v>
      </c>
      <c r="C3120" s="1" t="s">
        <v>9</v>
      </c>
      <c r="D3120" s="1">
        <v>22</v>
      </c>
      <c r="E3120" s="1" t="s">
        <v>14727</v>
      </c>
      <c r="F3120" s="6"/>
      <c r="G3120" s="1" t="s">
        <v>14726</v>
      </c>
    </row>
    <row r="3121" spans="1:7" ht="21" x14ac:dyDescent="0.25">
      <c r="A3121" s="2" t="str">
        <f>HYPERLINK("https://rth.dk/resources/bsgatlas/details.php?id=BSGatlas-TSS-3120","BSGatlas-TSS-3120")</f>
        <v>BSGatlas-TSS-3120</v>
      </c>
      <c r="B3121" s="3">
        <v>3886920</v>
      </c>
      <c r="C3121" s="1" t="s">
        <v>9</v>
      </c>
      <c r="D3121" s="1">
        <v>22</v>
      </c>
      <c r="E3121" s="1" t="s">
        <v>14739</v>
      </c>
      <c r="F3121" s="6"/>
      <c r="G3121" s="1" t="s">
        <v>14726</v>
      </c>
    </row>
    <row r="3122" spans="1:7" ht="21" x14ac:dyDescent="0.25">
      <c r="A3122" s="2" t="str">
        <f>HYPERLINK("https://rth.dk/resources/bsgatlas/details.php?id=BSGatlas-TSS-3121","BSGatlas-TSS-3121")</f>
        <v>BSGatlas-TSS-3121</v>
      </c>
      <c r="B3122" s="3">
        <v>3893159</v>
      </c>
      <c r="C3122" s="1" t="s">
        <v>13</v>
      </c>
      <c r="D3122" s="1">
        <v>0</v>
      </c>
      <c r="E3122" s="1" t="s">
        <v>14725</v>
      </c>
      <c r="F3122" s="6" t="s">
        <v>14829</v>
      </c>
      <c r="G3122" s="1" t="s">
        <v>14729</v>
      </c>
    </row>
    <row r="3123" spans="1:7" ht="21" x14ac:dyDescent="0.25">
      <c r="A3123" s="2" t="str">
        <f>HYPERLINK("https://rth.dk/resources/bsgatlas/details.php?id=BSGatlas-TSS-3122","BSGatlas-TSS-3122")</f>
        <v>BSGatlas-TSS-3122</v>
      </c>
      <c r="B3123" s="3">
        <v>3893325</v>
      </c>
      <c r="C3123" s="1" t="s">
        <v>9</v>
      </c>
      <c r="D3123" s="1">
        <v>0</v>
      </c>
      <c r="E3123" s="1" t="s">
        <v>14735</v>
      </c>
      <c r="F3123" s="6" t="s">
        <v>15125</v>
      </c>
      <c r="G3123" s="1" t="s">
        <v>14724</v>
      </c>
    </row>
    <row r="3124" spans="1:7" ht="21" x14ac:dyDescent="0.25">
      <c r="A3124" s="2" t="str">
        <f>HYPERLINK("https://rth.dk/resources/bsgatlas/details.php?id=BSGatlas-TSS-3123","BSGatlas-TSS-3123")</f>
        <v>BSGatlas-TSS-3123</v>
      </c>
      <c r="B3124" s="3">
        <v>3896162</v>
      </c>
      <c r="C3124" s="1" t="s">
        <v>13</v>
      </c>
      <c r="D3124" s="1">
        <v>22</v>
      </c>
      <c r="E3124" s="1" t="s">
        <v>14722</v>
      </c>
      <c r="F3124" s="6"/>
      <c r="G3124" s="1" t="s">
        <v>14726</v>
      </c>
    </row>
    <row r="3125" spans="1:7" ht="21" x14ac:dyDescent="0.25">
      <c r="A3125" s="2" t="str">
        <f>HYPERLINK("https://rth.dk/resources/bsgatlas/details.php?id=BSGatlas-TSS-3124","BSGatlas-TSS-3124")</f>
        <v>BSGatlas-TSS-3124</v>
      </c>
      <c r="B3125" s="3">
        <v>3896251</v>
      </c>
      <c r="C3125" s="1" t="s">
        <v>9</v>
      </c>
      <c r="D3125" s="1">
        <v>22</v>
      </c>
      <c r="E3125" s="1" t="s">
        <v>14722</v>
      </c>
      <c r="F3125" s="6"/>
      <c r="G3125" s="1" t="s">
        <v>14726</v>
      </c>
    </row>
    <row r="3126" spans="1:7" ht="21" x14ac:dyDescent="0.25">
      <c r="A3126" s="2" t="str">
        <f>HYPERLINK("https://rth.dk/resources/bsgatlas/details.php?id=BSGatlas-TSS-3125","BSGatlas-TSS-3125")</f>
        <v>BSGatlas-TSS-3125</v>
      </c>
      <c r="B3126" s="3">
        <v>3898205</v>
      </c>
      <c r="C3126" s="1" t="s">
        <v>13</v>
      </c>
      <c r="D3126" s="1">
        <v>22</v>
      </c>
      <c r="E3126" s="1" t="s">
        <v>14722</v>
      </c>
      <c r="F3126" s="6"/>
      <c r="G3126" s="1" t="s">
        <v>14726</v>
      </c>
    </row>
    <row r="3127" spans="1:7" ht="21" x14ac:dyDescent="0.25">
      <c r="A3127" s="2" t="str">
        <f>HYPERLINK("https://rth.dk/resources/bsgatlas/details.php?id=BSGatlas-TSS-3126","BSGatlas-TSS-3126")</f>
        <v>BSGatlas-TSS-3126</v>
      </c>
      <c r="B3127" s="3">
        <v>3898689</v>
      </c>
      <c r="C3127" s="1" t="s">
        <v>13</v>
      </c>
      <c r="D3127" s="1">
        <v>22</v>
      </c>
      <c r="E3127" s="1" t="s">
        <v>14734</v>
      </c>
      <c r="F3127" s="6"/>
      <c r="G3127" s="1" t="s">
        <v>14726</v>
      </c>
    </row>
    <row r="3128" spans="1:7" ht="21" x14ac:dyDescent="0.25">
      <c r="A3128" s="2" t="str">
        <f>HYPERLINK("https://rth.dk/resources/bsgatlas/details.php?id=BSGatlas-TSS-3127","BSGatlas-TSS-3127")</f>
        <v>BSGatlas-TSS-3127</v>
      </c>
      <c r="B3128" s="3">
        <v>3899217</v>
      </c>
      <c r="C3128" s="1" t="s">
        <v>13</v>
      </c>
      <c r="D3128" s="1">
        <v>22</v>
      </c>
      <c r="E3128" s="1" t="s">
        <v>14722</v>
      </c>
      <c r="F3128" s="6"/>
      <c r="G3128" s="1" t="s">
        <v>14726</v>
      </c>
    </row>
    <row r="3129" spans="1:7" ht="21" x14ac:dyDescent="0.25">
      <c r="A3129" s="2" t="str">
        <f>HYPERLINK("https://rth.dk/resources/bsgatlas/details.php?id=BSGatlas-TSS-3128","BSGatlas-TSS-3128")</f>
        <v>BSGatlas-TSS-3128</v>
      </c>
      <c r="B3129" s="3">
        <v>3900852</v>
      </c>
      <c r="C3129" s="1" t="s">
        <v>13</v>
      </c>
      <c r="D3129" s="1">
        <v>22</v>
      </c>
      <c r="E3129" s="1" t="s">
        <v>14722</v>
      </c>
      <c r="F3129" s="6"/>
      <c r="G3129" s="1" t="s">
        <v>14726</v>
      </c>
    </row>
    <row r="3130" spans="1:7" ht="21" x14ac:dyDescent="0.25">
      <c r="A3130" s="2" t="str">
        <f>HYPERLINK("https://rth.dk/resources/bsgatlas/details.php?id=BSGatlas-TSS-3129","BSGatlas-TSS-3129")</f>
        <v>BSGatlas-TSS-3129</v>
      </c>
      <c r="B3130" s="3">
        <v>3900921</v>
      </c>
      <c r="C3130" s="1" t="s">
        <v>9</v>
      </c>
      <c r="D3130" s="1">
        <v>22</v>
      </c>
      <c r="E3130" s="1" t="s">
        <v>14722</v>
      </c>
      <c r="F3130" s="6"/>
      <c r="G3130" s="1" t="s">
        <v>14726</v>
      </c>
    </row>
    <row r="3131" spans="1:7" ht="21" x14ac:dyDescent="0.25">
      <c r="A3131" s="2" t="str">
        <f>HYPERLINK("https://rth.dk/resources/bsgatlas/details.php?id=BSGatlas-TSS-3130","BSGatlas-TSS-3130")</f>
        <v>BSGatlas-TSS-3130</v>
      </c>
      <c r="B3131" s="3">
        <v>3902134</v>
      </c>
      <c r="C3131" s="1" t="s">
        <v>13</v>
      </c>
      <c r="D3131" s="1">
        <v>22</v>
      </c>
      <c r="E3131" s="1" t="s">
        <v>14720</v>
      </c>
      <c r="F3131" s="6"/>
      <c r="G3131" s="1" t="s">
        <v>14726</v>
      </c>
    </row>
    <row r="3132" spans="1:7" ht="21" x14ac:dyDescent="0.25">
      <c r="A3132" s="2" t="str">
        <f>HYPERLINK("https://rth.dk/resources/bsgatlas/details.php?id=BSGatlas-TSS-3131","BSGatlas-TSS-3131")</f>
        <v>BSGatlas-TSS-3131</v>
      </c>
      <c r="B3132" s="3">
        <v>3905064</v>
      </c>
      <c r="C3132" s="1" t="s">
        <v>13</v>
      </c>
      <c r="D3132" s="1">
        <v>22</v>
      </c>
      <c r="E3132" s="1" t="s">
        <v>14722</v>
      </c>
      <c r="F3132" s="6"/>
      <c r="G3132" s="1" t="s">
        <v>14726</v>
      </c>
    </row>
    <row r="3133" spans="1:7" ht="21" x14ac:dyDescent="0.25">
      <c r="A3133" s="2" t="str">
        <f>HYPERLINK("https://rth.dk/resources/bsgatlas/details.php?id=BSGatlas-TSS-3132","BSGatlas-TSS-3132")</f>
        <v>BSGatlas-TSS-3132</v>
      </c>
      <c r="B3133" s="3">
        <v>3905130</v>
      </c>
      <c r="C3133" s="1" t="s">
        <v>13</v>
      </c>
      <c r="D3133" s="1">
        <v>22</v>
      </c>
      <c r="E3133" s="1" t="s">
        <v>14722</v>
      </c>
      <c r="F3133" s="6"/>
      <c r="G3133" s="1" t="s">
        <v>14733</v>
      </c>
    </row>
    <row r="3134" spans="1:7" ht="21" x14ac:dyDescent="0.25">
      <c r="A3134" s="2" t="str">
        <f>HYPERLINK("https://rth.dk/resources/bsgatlas/details.php?id=BSGatlas-TSS-3133","BSGatlas-TSS-3133")</f>
        <v>BSGatlas-TSS-3133</v>
      </c>
      <c r="B3134" s="3">
        <v>3905179</v>
      </c>
      <c r="C3134" s="1" t="s">
        <v>13</v>
      </c>
      <c r="D3134" s="1">
        <v>0</v>
      </c>
      <c r="E3134" s="1" t="s">
        <v>14722</v>
      </c>
      <c r="F3134" s="6" t="s">
        <v>15126</v>
      </c>
      <c r="G3134" s="1" t="s">
        <v>14729</v>
      </c>
    </row>
    <row r="3135" spans="1:7" ht="21" x14ac:dyDescent="0.25">
      <c r="A3135" s="2" t="str">
        <f>HYPERLINK("https://rth.dk/resources/bsgatlas/details.php?id=BSGatlas-TSS-3134","BSGatlas-TSS-3134")</f>
        <v>BSGatlas-TSS-3134</v>
      </c>
      <c r="B3135" s="3">
        <v>3905281</v>
      </c>
      <c r="C3135" s="1" t="s">
        <v>9</v>
      </c>
      <c r="D3135" s="1">
        <v>22</v>
      </c>
      <c r="E3135" s="1" t="s">
        <v>14722</v>
      </c>
      <c r="F3135" s="6"/>
      <c r="G3135" s="1" t="s">
        <v>14726</v>
      </c>
    </row>
    <row r="3136" spans="1:7" ht="21" x14ac:dyDescent="0.25">
      <c r="A3136" s="2" t="str">
        <f>HYPERLINK("https://rth.dk/resources/bsgatlas/details.php?id=BSGatlas-TSS-3135","BSGatlas-TSS-3135")</f>
        <v>BSGatlas-TSS-3135</v>
      </c>
      <c r="B3136" s="3">
        <v>3907004</v>
      </c>
      <c r="C3136" s="1" t="s">
        <v>13</v>
      </c>
      <c r="D3136" s="1">
        <v>22</v>
      </c>
      <c r="E3136" s="1" t="s">
        <v>14722</v>
      </c>
      <c r="F3136" s="6"/>
      <c r="G3136" s="1" t="s">
        <v>14726</v>
      </c>
    </row>
    <row r="3137" spans="1:7" ht="21" x14ac:dyDescent="0.25">
      <c r="A3137" s="2" t="str">
        <f>HYPERLINK("https://rth.dk/resources/bsgatlas/details.php?id=BSGatlas-TSS-3136","BSGatlas-TSS-3136")</f>
        <v>BSGatlas-TSS-3136</v>
      </c>
      <c r="B3137" s="3">
        <v>3907453</v>
      </c>
      <c r="C3137" s="1" t="s">
        <v>13</v>
      </c>
      <c r="D3137" s="1">
        <v>22</v>
      </c>
      <c r="E3137" s="1" t="s">
        <v>14722</v>
      </c>
      <c r="F3137" s="6"/>
      <c r="G3137" s="1" t="s">
        <v>14733</v>
      </c>
    </row>
    <row r="3138" spans="1:7" ht="21" x14ac:dyDescent="0.25">
      <c r="A3138" s="2" t="str">
        <f>HYPERLINK("https://rth.dk/resources/bsgatlas/details.php?id=BSGatlas-TSS-3137","BSGatlas-TSS-3137")</f>
        <v>BSGatlas-TSS-3137</v>
      </c>
      <c r="B3138" s="3">
        <v>3907788</v>
      </c>
      <c r="C3138" s="1" t="s">
        <v>9</v>
      </c>
      <c r="D3138" s="1">
        <v>22</v>
      </c>
      <c r="E3138" s="1" t="s">
        <v>14745</v>
      </c>
      <c r="F3138" s="6"/>
      <c r="G3138" s="1" t="s">
        <v>14726</v>
      </c>
    </row>
    <row r="3139" spans="1:7" ht="21" x14ac:dyDescent="0.25">
      <c r="A3139" s="2" t="str">
        <f>HYPERLINK("https://rth.dk/resources/bsgatlas/details.php?id=BSGatlas-TSS-3138","BSGatlas-TSS-3138")</f>
        <v>BSGatlas-TSS-3138</v>
      </c>
      <c r="B3139" s="3">
        <v>3908002</v>
      </c>
      <c r="C3139" s="1" t="s">
        <v>9</v>
      </c>
      <c r="D3139" s="1">
        <v>22</v>
      </c>
      <c r="E3139" s="1" t="s">
        <v>14722</v>
      </c>
      <c r="F3139" s="6"/>
      <c r="G3139" s="1" t="s">
        <v>14726</v>
      </c>
    </row>
    <row r="3140" spans="1:7" ht="21" x14ac:dyDescent="0.25">
      <c r="A3140" s="2" t="str">
        <f>HYPERLINK("https://rth.dk/resources/bsgatlas/details.php?id=BSGatlas-TSS-3139","BSGatlas-TSS-3139")</f>
        <v>BSGatlas-TSS-3139</v>
      </c>
      <c r="B3140" s="3">
        <v>3912245</v>
      </c>
      <c r="C3140" s="1" t="s">
        <v>13</v>
      </c>
      <c r="D3140" s="1">
        <v>0</v>
      </c>
      <c r="E3140" s="1" t="s">
        <v>15127</v>
      </c>
      <c r="F3140" s="6" t="s">
        <v>15128</v>
      </c>
      <c r="G3140" s="1" t="s">
        <v>14729</v>
      </c>
    </row>
    <row r="3141" spans="1:7" ht="21" x14ac:dyDescent="0.25">
      <c r="A3141" s="2" t="str">
        <f>HYPERLINK("https://rth.dk/resources/bsgatlas/details.php?id=BSGatlas-TSS-3140","BSGatlas-TSS-3140")</f>
        <v>BSGatlas-TSS-3140</v>
      </c>
      <c r="B3141" s="3">
        <v>3913645</v>
      </c>
      <c r="C3141" s="1" t="s">
        <v>13</v>
      </c>
      <c r="D3141" s="1">
        <v>22</v>
      </c>
      <c r="E3141" s="1" t="s">
        <v>14739</v>
      </c>
      <c r="F3141" s="6"/>
      <c r="G3141" s="1" t="s">
        <v>14733</v>
      </c>
    </row>
    <row r="3142" spans="1:7" ht="21" x14ac:dyDescent="0.25">
      <c r="A3142" s="2" t="str">
        <f>HYPERLINK("https://rth.dk/resources/bsgatlas/details.php?id=BSGatlas-TSS-3141","BSGatlas-TSS-3141")</f>
        <v>BSGatlas-TSS-3141</v>
      </c>
      <c r="B3142" s="3">
        <v>3913898</v>
      </c>
      <c r="C3142" s="1" t="s">
        <v>9</v>
      </c>
      <c r="D3142" s="1">
        <v>22</v>
      </c>
      <c r="E3142" s="1" t="s">
        <v>14722</v>
      </c>
      <c r="F3142" s="6"/>
      <c r="G3142" s="1" t="s">
        <v>14733</v>
      </c>
    </row>
    <row r="3143" spans="1:7" ht="21" x14ac:dyDescent="0.25">
      <c r="A3143" s="2" t="str">
        <f>HYPERLINK("https://rth.dk/resources/bsgatlas/details.php?id=BSGatlas-TSS-3142","BSGatlas-TSS-3142")</f>
        <v>BSGatlas-TSS-3142</v>
      </c>
      <c r="B3143" s="3">
        <v>3916538</v>
      </c>
      <c r="C3143" s="1" t="s">
        <v>9</v>
      </c>
      <c r="D3143" s="1">
        <v>22</v>
      </c>
      <c r="E3143" s="1" t="s">
        <v>14722</v>
      </c>
      <c r="F3143" s="6"/>
      <c r="G3143" s="1" t="s">
        <v>14726</v>
      </c>
    </row>
    <row r="3144" spans="1:7" ht="21" x14ac:dyDescent="0.25">
      <c r="A3144" s="2" t="str">
        <f>HYPERLINK("https://rth.dk/resources/bsgatlas/details.php?id=BSGatlas-TSS-3143","BSGatlas-TSS-3143")</f>
        <v>BSGatlas-TSS-3143</v>
      </c>
      <c r="B3144" s="3">
        <v>3917022</v>
      </c>
      <c r="C3144" s="1" t="s">
        <v>9</v>
      </c>
      <c r="D3144" s="1">
        <v>22</v>
      </c>
      <c r="E3144" s="1" t="s">
        <v>14720</v>
      </c>
      <c r="F3144" s="6"/>
      <c r="G3144" s="1" t="s">
        <v>14726</v>
      </c>
    </row>
    <row r="3145" spans="1:7" ht="21" x14ac:dyDescent="0.25">
      <c r="A3145" s="2" t="str">
        <f>HYPERLINK("https://rth.dk/resources/bsgatlas/details.php?id=BSGatlas-TSS-3144","BSGatlas-TSS-3144")</f>
        <v>BSGatlas-TSS-3144</v>
      </c>
      <c r="B3145" s="3">
        <v>3918330</v>
      </c>
      <c r="C3145" s="1" t="s">
        <v>13</v>
      </c>
      <c r="D3145" s="1">
        <v>22</v>
      </c>
      <c r="E3145" s="1" t="s">
        <v>14722</v>
      </c>
      <c r="F3145" s="6"/>
      <c r="G3145" s="1" t="s">
        <v>14733</v>
      </c>
    </row>
    <row r="3146" spans="1:7" ht="21" x14ac:dyDescent="0.25">
      <c r="A3146" s="2" t="str">
        <f>HYPERLINK("https://rth.dk/resources/bsgatlas/details.php?id=BSGatlas-TSS-3145","BSGatlas-TSS-3145")</f>
        <v>BSGatlas-TSS-3145</v>
      </c>
      <c r="B3146" s="3">
        <v>3918474</v>
      </c>
      <c r="C3146" s="1" t="s">
        <v>9</v>
      </c>
      <c r="D3146" s="1">
        <v>22</v>
      </c>
      <c r="E3146" s="1" t="s">
        <v>14727</v>
      </c>
      <c r="F3146" s="6"/>
      <c r="G3146" s="1" t="s">
        <v>14726</v>
      </c>
    </row>
    <row r="3147" spans="1:7" ht="21" x14ac:dyDescent="0.25">
      <c r="A3147" s="2" t="str">
        <f>HYPERLINK("https://rth.dk/resources/bsgatlas/details.php?id=BSGatlas-TSS-3146","BSGatlas-TSS-3146")</f>
        <v>BSGatlas-TSS-3146</v>
      </c>
      <c r="B3147" s="3">
        <v>3918517</v>
      </c>
      <c r="C3147" s="1" t="s">
        <v>13</v>
      </c>
      <c r="D3147" s="1">
        <v>22</v>
      </c>
      <c r="E3147" s="1" t="s">
        <v>14722</v>
      </c>
      <c r="F3147" s="6"/>
      <c r="G3147" s="1" t="s">
        <v>14733</v>
      </c>
    </row>
    <row r="3148" spans="1:7" ht="21" x14ac:dyDescent="0.25">
      <c r="A3148" s="2" t="str">
        <f>HYPERLINK("https://rth.dk/resources/bsgatlas/details.php?id=BSGatlas-TSS-3147","BSGatlas-TSS-3147")</f>
        <v>BSGatlas-TSS-3147</v>
      </c>
      <c r="B3148" s="3">
        <v>3918628</v>
      </c>
      <c r="C3148" s="1" t="s">
        <v>13</v>
      </c>
      <c r="D3148" s="1">
        <v>22</v>
      </c>
      <c r="E3148" s="1" t="s">
        <v>14722</v>
      </c>
      <c r="F3148" s="6"/>
      <c r="G3148" s="1" t="s">
        <v>14733</v>
      </c>
    </row>
    <row r="3149" spans="1:7" ht="21" x14ac:dyDescent="0.25">
      <c r="A3149" s="2" t="str">
        <f>HYPERLINK("https://rth.dk/resources/bsgatlas/details.php?id=BSGatlas-TSS-3148","BSGatlas-TSS-3148")</f>
        <v>BSGatlas-TSS-3148</v>
      </c>
      <c r="B3149" s="3">
        <v>3918723</v>
      </c>
      <c r="C3149" s="1" t="s">
        <v>13</v>
      </c>
      <c r="D3149" s="1">
        <v>22</v>
      </c>
      <c r="E3149" s="1" t="s">
        <v>14727</v>
      </c>
      <c r="F3149" s="6"/>
      <c r="G3149" s="1" t="s">
        <v>14726</v>
      </c>
    </row>
    <row r="3150" spans="1:7" ht="21" x14ac:dyDescent="0.25">
      <c r="A3150" s="2" t="str">
        <f>HYPERLINK("https://rth.dk/resources/bsgatlas/details.php?id=BSGatlas-TSS-3149","BSGatlas-TSS-3149")</f>
        <v>BSGatlas-TSS-3149</v>
      </c>
      <c r="B3150" s="3">
        <v>3918735</v>
      </c>
      <c r="C3150" s="1" t="s">
        <v>9</v>
      </c>
      <c r="D3150" s="1">
        <v>22</v>
      </c>
      <c r="E3150" s="1" t="s">
        <v>14734</v>
      </c>
      <c r="F3150" s="6"/>
      <c r="G3150" s="1" t="s">
        <v>14726</v>
      </c>
    </row>
    <row r="3151" spans="1:7" ht="21" x14ac:dyDescent="0.25">
      <c r="A3151" s="2" t="str">
        <f>HYPERLINK("https://rth.dk/resources/bsgatlas/details.php?id=BSGatlas-TSS-3150","BSGatlas-TSS-3150")</f>
        <v>BSGatlas-TSS-3150</v>
      </c>
      <c r="B3151" s="3">
        <v>3921850</v>
      </c>
      <c r="C3151" s="1" t="s">
        <v>13</v>
      </c>
      <c r="D3151" s="1">
        <v>22</v>
      </c>
      <c r="E3151" s="1" t="s">
        <v>14734</v>
      </c>
      <c r="F3151" s="6"/>
      <c r="G3151" s="1" t="s">
        <v>14726</v>
      </c>
    </row>
    <row r="3152" spans="1:7" ht="21" x14ac:dyDescent="0.25">
      <c r="A3152" s="2" t="str">
        <f>HYPERLINK("https://rth.dk/resources/bsgatlas/details.php?id=BSGatlas-TSS-3151","BSGatlas-TSS-3151")</f>
        <v>BSGatlas-TSS-3151</v>
      </c>
      <c r="B3152" s="3">
        <v>3922994</v>
      </c>
      <c r="C3152" s="1" t="s">
        <v>13</v>
      </c>
      <c r="D3152" s="1">
        <v>22</v>
      </c>
      <c r="E3152" s="1" t="s">
        <v>14722</v>
      </c>
      <c r="F3152" s="6"/>
      <c r="G3152" s="1" t="s">
        <v>14726</v>
      </c>
    </row>
    <row r="3153" spans="1:7" ht="21" x14ac:dyDescent="0.25">
      <c r="A3153" s="2" t="str">
        <f>HYPERLINK("https://rth.dk/resources/bsgatlas/details.php?id=BSGatlas-TSS-3152","BSGatlas-TSS-3152")</f>
        <v>BSGatlas-TSS-3152</v>
      </c>
      <c r="B3153" s="3">
        <v>3923131</v>
      </c>
      <c r="C3153" s="1" t="s">
        <v>9</v>
      </c>
      <c r="D3153" s="1">
        <v>22</v>
      </c>
      <c r="E3153" s="1" t="s">
        <v>14722</v>
      </c>
      <c r="F3153" s="6"/>
      <c r="G3153" s="1" t="s">
        <v>14733</v>
      </c>
    </row>
    <row r="3154" spans="1:7" ht="21" x14ac:dyDescent="0.25">
      <c r="A3154" s="2" t="str">
        <f>HYPERLINK("https://rth.dk/resources/bsgatlas/details.php?id=BSGatlas-TSS-3153","BSGatlas-TSS-3153")</f>
        <v>BSGatlas-TSS-3153</v>
      </c>
      <c r="B3154" s="3">
        <v>3923864</v>
      </c>
      <c r="C3154" s="1" t="s">
        <v>9</v>
      </c>
      <c r="D3154" s="1">
        <v>22</v>
      </c>
      <c r="E3154" s="1" t="s">
        <v>14727</v>
      </c>
      <c r="F3154" s="6"/>
      <c r="G3154" s="1" t="s">
        <v>14726</v>
      </c>
    </row>
    <row r="3155" spans="1:7" ht="21" x14ac:dyDescent="0.25">
      <c r="A3155" s="2" t="str">
        <f>HYPERLINK("https://rth.dk/resources/bsgatlas/details.php?id=BSGatlas-TSS-3154","BSGatlas-TSS-3154")</f>
        <v>BSGatlas-TSS-3154</v>
      </c>
      <c r="B3155" s="3">
        <v>3924050</v>
      </c>
      <c r="C3155" s="1" t="s">
        <v>13</v>
      </c>
      <c r="D3155" s="1">
        <v>22</v>
      </c>
      <c r="E3155" s="1" t="s">
        <v>14720</v>
      </c>
      <c r="F3155" s="6"/>
      <c r="G3155" s="1" t="s">
        <v>14726</v>
      </c>
    </row>
    <row r="3156" spans="1:7" ht="21" x14ac:dyDescent="0.25">
      <c r="A3156" s="2" t="str">
        <f>HYPERLINK("https://rth.dk/resources/bsgatlas/details.php?id=BSGatlas-TSS-3155","BSGatlas-TSS-3155")</f>
        <v>BSGatlas-TSS-3155</v>
      </c>
      <c r="B3156" s="3">
        <v>3928037</v>
      </c>
      <c r="C3156" s="1" t="s">
        <v>13</v>
      </c>
      <c r="D3156" s="1">
        <v>0</v>
      </c>
      <c r="E3156" s="1" t="s">
        <v>14753</v>
      </c>
      <c r="F3156" s="6" t="s">
        <v>14754</v>
      </c>
      <c r="G3156" s="1" t="s">
        <v>14730</v>
      </c>
    </row>
    <row r="3157" spans="1:7" ht="21" x14ac:dyDescent="0.25">
      <c r="A3157" s="2" t="str">
        <f>HYPERLINK("https://rth.dk/resources/bsgatlas/details.php?id=BSGatlas-TSS-3156","BSGatlas-TSS-3156")</f>
        <v>BSGatlas-TSS-3156</v>
      </c>
      <c r="B3157" s="3">
        <v>3930594</v>
      </c>
      <c r="C3157" s="1" t="s">
        <v>13</v>
      </c>
      <c r="D3157" s="1">
        <v>22</v>
      </c>
      <c r="E3157" s="1" t="s">
        <v>14722</v>
      </c>
      <c r="F3157" s="6"/>
      <c r="G3157" s="1" t="s">
        <v>14726</v>
      </c>
    </row>
    <row r="3158" spans="1:7" ht="21" x14ac:dyDescent="0.25">
      <c r="A3158" s="2" t="str">
        <f>HYPERLINK("https://rth.dk/resources/bsgatlas/details.php?id=BSGatlas-TSS-3157","BSGatlas-TSS-3157")</f>
        <v>BSGatlas-TSS-3157</v>
      </c>
      <c r="B3158" s="3">
        <v>3932849</v>
      </c>
      <c r="C3158" s="1" t="s">
        <v>13</v>
      </c>
      <c r="D3158" s="1">
        <v>22</v>
      </c>
      <c r="E3158" s="1" t="s">
        <v>14722</v>
      </c>
      <c r="F3158" s="6"/>
      <c r="G3158" s="1" t="s">
        <v>14726</v>
      </c>
    </row>
    <row r="3159" spans="1:7" ht="21" x14ac:dyDescent="0.25">
      <c r="A3159" s="2" t="str">
        <f>HYPERLINK("https://rth.dk/resources/bsgatlas/details.php?id=BSGatlas-TSS-3158","BSGatlas-TSS-3158")</f>
        <v>BSGatlas-TSS-3158</v>
      </c>
      <c r="B3159" s="3">
        <v>3933150</v>
      </c>
      <c r="C3159" s="1" t="s">
        <v>13</v>
      </c>
      <c r="D3159" s="1">
        <v>0</v>
      </c>
      <c r="E3159" s="1" t="s">
        <v>14722</v>
      </c>
      <c r="F3159" s="6" t="s">
        <v>15129</v>
      </c>
      <c r="G3159" s="1" t="s">
        <v>14729</v>
      </c>
    </row>
    <row r="3160" spans="1:7" ht="21" x14ac:dyDescent="0.25">
      <c r="A3160" s="2" t="str">
        <f>HYPERLINK("https://rth.dk/resources/bsgatlas/details.php?id=BSGatlas-TSS-3159","BSGatlas-TSS-3159")</f>
        <v>BSGatlas-TSS-3159</v>
      </c>
      <c r="B3160" s="3">
        <v>3933173</v>
      </c>
      <c r="C3160" s="1" t="s">
        <v>9</v>
      </c>
      <c r="D3160" s="1">
        <v>22</v>
      </c>
      <c r="E3160" s="1" t="s">
        <v>14722</v>
      </c>
      <c r="F3160" s="6"/>
      <c r="G3160" s="1" t="s">
        <v>14726</v>
      </c>
    </row>
    <row r="3161" spans="1:7" ht="21" x14ac:dyDescent="0.25">
      <c r="A3161" s="2" t="str">
        <f>HYPERLINK("https://rth.dk/resources/bsgatlas/details.php?id=BSGatlas-TSS-3160","BSGatlas-TSS-3160")</f>
        <v>BSGatlas-TSS-3160</v>
      </c>
      <c r="B3161" s="3">
        <v>3934316</v>
      </c>
      <c r="C3161" s="1" t="s">
        <v>9</v>
      </c>
      <c r="D3161" s="1">
        <v>22</v>
      </c>
      <c r="E3161" s="1" t="s">
        <v>14722</v>
      </c>
      <c r="F3161" s="6"/>
      <c r="G3161" s="1" t="s">
        <v>14726</v>
      </c>
    </row>
    <row r="3162" spans="1:7" ht="21" x14ac:dyDescent="0.25">
      <c r="A3162" s="2" t="str">
        <f>HYPERLINK("https://rth.dk/resources/bsgatlas/details.php?id=BSGatlas-TSS-3161","BSGatlas-TSS-3161")</f>
        <v>BSGatlas-TSS-3161</v>
      </c>
      <c r="B3162" s="3">
        <v>3937054</v>
      </c>
      <c r="C3162" s="1" t="s">
        <v>13</v>
      </c>
      <c r="D3162" s="1">
        <v>22</v>
      </c>
      <c r="E3162" s="1" t="s">
        <v>14722</v>
      </c>
      <c r="F3162" s="6"/>
      <c r="G3162" s="1" t="s">
        <v>14726</v>
      </c>
    </row>
    <row r="3163" spans="1:7" ht="21" x14ac:dyDescent="0.25">
      <c r="A3163" s="2" t="str">
        <f>HYPERLINK("https://rth.dk/resources/bsgatlas/details.php?id=BSGatlas-TSS-3162","BSGatlas-TSS-3162")</f>
        <v>BSGatlas-TSS-3162</v>
      </c>
      <c r="B3163" s="3">
        <v>3937090</v>
      </c>
      <c r="C3163" s="1" t="s">
        <v>9</v>
      </c>
      <c r="D3163" s="1">
        <v>22</v>
      </c>
      <c r="E3163" s="1" t="s">
        <v>14722</v>
      </c>
      <c r="F3163" s="6"/>
      <c r="G3163" s="1" t="s">
        <v>14726</v>
      </c>
    </row>
    <row r="3164" spans="1:7" ht="21" x14ac:dyDescent="0.25">
      <c r="A3164" s="2" t="str">
        <f>HYPERLINK("https://rth.dk/resources/bsgatlas/details.php?id=BSGatlas-TSS-3163","BSGatlas-TSS-3163")</f>
        <v>BSGatlas-TSS-3163</v>
      </c>
      <c r="B3164" s="3">
        <v>3938264</v>
      </c>
      <c r="C3164" s="1" t="s">
        <v>13</v>
      </c>
      <c r="D3164" s="1">
        <v>22</v>
      </c>
      <c r="E3164" s="1" t="s">
        <v>14722</v>
      </c>
      <c r="F3164" s="6"/>
      <c r="G3164" s="1" t="s">
        <v>14726</v>
      </c>
    </row>
    <row r="3165" spans="1:7" ht="21" x14ac:dyDescent="0.25">
      <c r="A3165" s="2" t="str">
        <f>HYPERLINK("https://rth.dk/resources/bsgatlas/details.php?id=BSGatlas-TSS-3164","BSGatlas-TSS-3164")</f>
        <v>BSGatlas-TSS-3164</v>
      </c>
      <c r="B3165" s="3">
        <v>3939712</v>
      </c>
      <c r="C3165" s="1" t="s">
        <v>13</v>
      </c>
      <c r="D3165" s="1">
        <v>22</v>
      </c>
      <c r="E3165" s="1" t="s">
        <v>14725</v>
      </c>
      <c r="F3165" s="6"/>
      <c r="G3165" s="1" t="s">
        <v>14726</v>
      </c>
    </row>
    <row r="3166" spans="1:7" ht="21" x14ac:dyDescent="0.25">
      <c r="A3166" s="2" t="str">
        <f>HYPERLINK("https://rth.dk/resources/bsgatlas/details.php?id=BSGatlas-TSS-3165","BSGatlas-TSS-3165")</f>
        <v>BSGatlas-TSS-3165</v>
      </c>
      <c r="B3166" s="3">
        <v>3939818</v>
      </c>
      <c r="C3166" s="1" t="s">
        <v>9</v>
      </c>
      <c r="D3166" s="1">
        <v>22</v>
      </c>
      <c r="E3166" s="1" t="s">
        <v>14752</v>
      </c>
      <c r="F3166" s="6"/>
      <c r="G3166" s="1" t="s">
        <v>14726</v>
      </c>
    </row>
    <row r="3167" spans="1:7" ht="21" x14ac:dyDescent="0.25">
      <c r="A3167" s="2" t="str">
        <f>HYPERLINK("https://rth.dk/resources/bsgatlas/details.php?id=BSGatlas-TSS-3166","BSGatlas-TSS-3166")</f>
        <v>BSGatlas-TSS-3166</v>
      </c>
      <c r="B3167" s="3">
        <v>3939841</v>
      </c>
      <c r="C3167" s="1" t="s">
        <v>9</v>
      </c>
      <c r="D3167" s="1">
        <v>0</v>
      </c>
      <c r="E3167" s="1" t="s">
        <v>14752</v>
      </c>
      <c r="F3167" s="6" t="s">
        <v>15130</v>
      </c>
      <c r="G3167" s="1" t="s">
        <v>4382</v>
      </c>
    </row>
    <row r="3168" spans="1:7" ht="21" x14ac:dyDescent="0.25">
      <c r="A3168" s="2" t="str">
        <f>HYPERLINK("https://rth.dk/resources/bsgatlas/details.php?id=BSGatlas-TSS-3167","BSGatlas-TSS-3167")</f>
        <v>BSGatlas-TSS-3167</v>
      </c>
      <c r="B3168" s="3">
        <v>3941014</v>
      </c>
      <c r="C3168" s="1" t="s">
        <v>13</v>
      </c>
      <c r="D3168" s="1">
        <v>22</v>
      </c>
      <c r="E3168" s="1" t="s">
        <v>14725</v>
      </c>
      <c r="F3168" s="6"/>
      <c r="G3168" s="1" t="s">
        <v>14726</v>
      </c>
    </row>
    <row r="3169" spans="1:7" ht="21" x14ac:dyDescent="0.25">
      <c r="A3169" s="2" t="str">
        <f>HYPERLINK("https://rth.dk/resources/bsgatlas/details.php?id=BSGatlas-TSS-3168","BSGatlas-TSS-3168")</f>
        <v>BSGatlas-TSS-3168</v>
      </c>
      <c r="B3169" s="3">
        <v>3941947</v>
      </c>
      <c r="C3169" s="1" t="s">
        <v>9</v>
      </c>
      <c r="D3169" s="1">
        <v>0</v>
      </c>
      <c r="E3169" s="1" t="s">
        <v>14722</v>
      </c>
      <c r="F3169" s="6" t="s">
        <v>15131</v>
      </c>
      <c r="G3169" s="1" t="s">
        <v>14729</v>
      </c>
    </row>
    <row r="3170" spans="1:7" ht="21" x14ac:dyDescent="0.25">
      <c r="A3170" s="2" t="str">
        <f>HYPERLINK("https://rth.dk/resources/bsgatlas/details.php?id=BSGatlas-TSS-3169","BSGatlas-TSS-3169")</f>
        <v>BSGatlas-TSS-3169</v>
      </c>
      <c r="B3170" s="3">
        <v>3942182</v>
      </c>
      <c r="C3170" s="1" t="s">
        <v>9</v>
      </c>
      <c r="D3170" s="1">
        <v>22</v>
      </c>
      <c r="E3170" s="1" t="s">
        <v>14722</v>
      </c>
      <c r="F3170" s="6"/>
      <c r="G3170" s="1" t="s">
        <v>14726</v>
      </c>
    </row>
    <row r="3171" spans="1:7" ht="21" x14ac:dyDescent="0.25">
      <c r="A3171" s="2" t="str">
        <f>HYPERLINK("https://rth.dk/resources/bsgatlas/details.php?id=BSGatlas-TSS-3170","BSGatlas-TSS-3170")</f>
        <v>BSGatlas-TSS-3170</v>
      </c>
      <c r="B3171" s="3">
        <v>3945445</v>
      </c>
      <c r="C3171" s="1" t="s">
        <v>13</v>
      </c>
      <c r="D3171" s="1">
        <v>0</v>
      </c>
      <c r="E3171" s="1" t="s">
        <v>14734</v>
      </c>
      <c r="F3171" s="6" t="s">
        <v>15132</v>
      </c>
      <c r="G3171" s="1" t="s">
        <v>14729</v>
      </c>
    </row>
    <row r="3172" spans="1:7" ht="21" x14ac:dyDescent="0.25">
      <c r="A3172" s="2" t="str">
        <f>HYPERLINK("https://rth.dk/resources/bsgatlas/details.php?id=BSGatlas-TSS-3171","BSGatlas-TSS-3171")</f>
        <v>BSGatlas-TSS-3171</v>
      </c>
      <c r="B3172" s="3">
        <v>3945668</v>
      </c>
      <c r="C3172" s="1" t="s">
        <v>9</v>
      </c>
      <c r="D3172" s="1">
        <v>22</v>
      </c>
      <c r="E3172" s="1" t="s">
        <v>14720</v>
      </c>
      <c r="F3172" s="6"/>
      <c r="G3172" s="1" t="s">
        <v>14726</v>
      </c>
    </row>
    <row r="3173" spans="1:7" ht="21" x14ac:dyDescent="0.25">
      <c r="A3173" s="2" t="str">
        <f>HYPERLINK("https://rth.dk/resources/bsgatlas/details.php?id=BSGatlas-TSS-3172","BSGatlas-TSS-3172")</f>
        <v>BSGatlas-TSS-3172</v>
      </c>
      <c r="B3173" s="3">
        <v>3946272</v>
      </c>
      <c r="C3173" s="1" t="s">
        <v>13</v>
      </c>
      <c r="D3173" s="1">
        <v>22</v>
      </c>
      <c r="E3173" s="1" t="s">
        <v>14732</v>
      </c>
      <c r="F3173" s="6"/>
      <c r="G3173" s="1" t="s">
        <v>14726</v>
      </c>
    </row>
    <row r="3174" spans="1:7" ht="21" x14ac:dyDescent="0.25">
      <c r="A3174" s="2" t="str">
        <f>HYPERLINK("https://rth.dk/resources/bsgatlas/details.php?id=BSGatlas-TSS-3173","BSGatlas-TSS-3173")</f>
        <v>BSGatlas-TSS-3173</v>
      </c>
      <c r="B3174" s="3">
        <v>3946349</v>
      </c>
      <c r="C3174" s="1" t="s">
        <v>9</v>
      </c>
      <c r="D3174" s="1">
        <v>22</v>
      </c>
      <c r="E3174" s="1" t="s">
        <v>14722</v>
      </c>
      <c r="F3174" s="6"/>
      <c r="G3174" s="1" t="s">
        <v>14726</v>
      </c>
    </row>
    <row r="3175" spans="1:7" ht="21" x14ac:dyDescent="0.25">
      <c r="A3175" s="2" t="str">
        <f>HYPERLINK("https://rth.dk/resources/bsgatlas/details.php?id=BSGatlas-TSS-3174","BSGatlas-TSS-3174")</f>
        <v>BSGatlas-TSS-3174</v>
      </c>
      <c r="B3175" s="3">
        <v>3948520</v>
      </c>
      <c r="C3175" s="1" t="s">
        <v>9</v>
      </c>
      <c r="D3175" s="1">
        <v>22</v>
      </c>
      <c r="E3175" s="1" t="s">
        <v>14745</v>
      </c>
      <c r="F3175" s="6"/>
      <c r="G3175" s="1" t="s">
        <v>14726</v>
      </c>
    </row>
    <row r="3176" spans="1:7" ht="21" x14ac:dyDescent="0.25">
      <c r="A3176" s="2" t="str">
        <f>HYPERLINK("https://rth.dk/resources/bsgatlas/details.php?id=BSGatlas-TSS-3175","BSGatlas-TSS-3175")</f>
        <v>BSGatlas-TSS-3175</v>
      </c>
      <c r="B3176" s="3">
        <v>3950623</v>
      </c>
      <c r="C3176" s="1" t="s">
        <v>13</v>
      </c>
      <c r="D3176" s="1">
        <v>0</v>
      </c>
      <c r="E3176" s="1" t="s">
        <v>14770</v>
      </c>
      <c r="F3176" s="6" t="s">
        <v>14788</v>
      </c>
      <c r="G3176" s="1" t="s">
        <v>14729</v>
      </c>
    </row>
    <row r="3177" spans="1:7" ht="21" x14ac:dyDescent="0.25">
      <c r="A3177" s="2" t="str">
        <f>HYPERLINK("https://rth.dk/resources/bsgatlas/details.php?id=BSGatlas-TSS-3176","BSGatlas-TSS-3176")</f>
        <v>BSGatlas-TSS-3176</v>
      </c>
      <c r="B3177" s="3">
        <v>3951432</v>
      </c>
      <c r="C3177" s="1" t="s">
        <v>9</v>
      </c>
      <c r="D3177" s="1">
        <v>22</v>
      </c>
      <c r="E3177" s="1" t="s">
        <v>14725</v>
      </c>
      <c r="F3177" s="6"/>
      <c r="G3177" s="1" t="s">
        <v>14726</v>
      </c>
    </row>
    <row r="3178" spans="1:7" ht="21" x14ac:dyDescent="0.25">
      <c r="A3178" s="2" t="str">
        <f>HYPERLINK("https://rth.dk/resources/bsgatlas/details.php?id=BSGatlas-TSS-3177","BSGatlas-TSS-3177")</f>
        <v>BSGatlas-TSS-3177</v>
      </c>
      <c r="B3178" s="3">
        <v>3951749</v>
      </c>
      <c r="C3178" s="1" t="s">
        <v>13</v>
      </c>
      <c r="D3178" s="1">
        <v>22</v>
      </c>
      <c r="E3178" s="1" t="s">
        <v>14722</v>
      </c>
      <c r="F3178" s="6"/>
      <c r="G3178" s="1" t="s">
        <v>14733</v>
      </c>
    </row>
    <row r="3179" spans="1:7" ht="21" x14ac:dyDescent="0.25">
      <c r="A3179" s="2" t="str">
        <f>HYPERLINK("https://rth.dk/resources/bsgatlas/details.php?id=BSGatlas-TSS-3178","BSGatlas-TSS-3178")</f>
        <v>BSGatlas-TSS-3178</v>
      </c>
      <c r="B3179" s="3">
        <v>3951794</v>
      </c>
      <c r="C3179" s="1" t="s">
        <v>13</v>
      </c>
      <c r="D3179" s="1">
        <v>22</v>
      </c>
      <c r="E3179" s="1" t="s">
        <v>14720</v>
      </c>
      <c r="F3179" s="6"/>
      <c r="G3179" s="1" t="s">
        <v>14733</v>
      </c>
    </row>
    <row r="3180" spans="1:7" ht="21" x14ac:dyDescent="0.25">
      <c r="A3180" s="2" t="str">
        <f>HYPERLINK("https://rth.dk/resources/bsgatlas/details.php?id=BSGatlas-TSS-3179","BSGatlas-TSS-3179")</f>
        <v>BSGatlas-TSS-3179</v>
      </c>
      <c r="B3180" s="3">
        <v>3951935</v>
      </c>
      <c r="C3180" s="1" t="s">
        <v>9</v>
      </c>
      <c r="D3180" s="1">
        <v>22</v>
      </c>
      <c r="E3180" s="1" t="s">
        <v>14722</v>
      </c>
      <c r="F3180" s="6"/>
      <c r="G3180" s="1" t="s">
        <v>14733</v>
      </c>
    </row>
    <row r="3181" spans="1:7" ht="21" x14ac:dyDescent="0.25">
      <c r="A3181" s="2" t="str">
        <f>HYPERLINK("https://rth.dk/resources/bsgatlas/details.php?id=BSGatlas-TSS-3180","BSGatlas-TSS-3180")</f>
        <v>BSGatlas-TSS-3180</v>
      </c>
      <c r="B3181" s="3">
        <v>3952044</v>
      </c>
      <c r="C3181" s="1" t="s">
        <v>9</v>
      </c>
      <c r="D3181" s="1">
        <v>22</v>
      </c>
      <c r="E3181" s="1" t="s">
        <v>14739</v>
      </c>
      <c r="F3181" s="6"/>
      <c r="G3181" s="1" t="s">
        <v>14726</v>
      </c>
    </row>
    <row r="3182" spans="1:7" ht="21" x14ac:dyDescent="0.25">
      <c r="A3182" s="2" t="str">
        <f>HYPERLINK("https://rth.dk/resources/bsgatlas/details.php?id=BSGatlas-TSS-3181","BSGatlas-TSS-3181")</f>
        <v>BSGatlas-TSS-3181</v>
      </c>
      <c r="B3182" s="3">
        <v>3952071</v>
      </c>
      <c r="C3182" s="1" t="s">
        <v>9</v>
      </c>
      <c r="D3182" s="1">
        <v>0</v>
      </c>
      <c r="E3182" s="1" t="s">
        <v>14776</v>
      </c>
      <c r="F3182" s="6" t="s">
        <v>14777</v>
      </c>
      <c r="G3182" s="1" t="s">
        <v>4382</v>
      </c>
    </row>
    <row r="3183" spans="1:7" ht="21" x14ac:dyDescent="0.25">
      <c r="A3183" s="2" t="str">
        <f>HYPERLINK("https://rth.dk/resources/bsgatlas/details.php?id=BSGatlas-TSS-3182","BSGatlas-TSS-3182")</f>
        <v>BSGatlas-TSS-3182</v>
      </c>
      <c r="B3183" s="3">
        <v>3952080</v>
      </c>
      <c r="C3183" s="1" t="s">
        <v>13</v>
      </c>
      <c r="D3183" s="1">
        <v>22</v>
      </c>
      <c r="E3183" s="1" t="s">
        <v>14720</v>
      </c>
      <c r="F3183" s="6"/>
      <c r="G3183" s="1" t="s">
        <v>14726</v>
      </c>
    </row>
    <row r="3184" spans="1:7" ht="21" x14ac:dyDescent="0.25">
      <c r="A3184" s="2" t="str">
        <f>HYPERLINK("https://rth.dk/resources/bsgatlas/details.php?id=BSGatlas-TSS-3183","BSGatlas-TSS-3183")</f>
        <v>BSGatlas-TSS-3183</v>
      </c>
      <c r="B3184" s="3">
        <v>3957332</v>
      </c>
      <c r="C3184" s="1" t="s">
        <v>9</v>
      </c>
      <c r="D3184" s="1">
        <v>22</v>
      </c>
      <c r="E3184" s="1" t="s">
        <v>14722</v>
      </c>
      <c r="F3184" s="6"/>
      <c r="G3184" s="1" t="s">
        <v>14726</v>
      </c>
    </row>
    <row r="3185" spans="1:7" ht="21" x14ac:dyDescent="0.25">
      <c r="A3185" s="2" t="str">
        <f>HYPERLINK("https://rth.dk/resources/bsgatlas/details.php?id=BSGatlas-TSS-3184","BSGatlas-TSS-3184")</f>
        <v>BSGatlas-TSS-3184</v>
      </c>
      <c r="B3185" s="3">
        <v>3961921</v>
      </c>
      <c r="C3185" s="1" t="s">
        <v>13</v>
      </c>
      <c r="D3185" s="1">
        <v>0</v>
      </c>
      <c r="E3185" s="1" t="s">
        <v>14722</v>
      </c>
      <c r="F3185" s="6" t="s">
        <v>15133</v>
      </c>
      <c r="G3185" s="1" t="s">
        <v>14729</v>
      </c>
    </row>
    <row r="3186" spans="1:7" ht="21" x14ac:dyDescent="0.25">
      <c r="A3186" s="2" t="str">
        <f>HYPERLINK("https://rth.dk/resources/bsgatlas/details.php?id=BSGatlas-TSS-3185","BSGatlas-TSS-3185")</f>
        <v>BSGatlas-TSS-3185</v>
      </c>
      <c r="B3186" s="3">
        <v>3962697</v>
      </c>
      <c r="C3186" s="1" t="s">
        <v>9</v>
      </c>
      <c r="D3186" s="1">
        <v>22</v>
      </c>
      <c r="E3186" s="1" t="s">
        <v>14725</v>
      </c>
      <c r="F3186" s="6"/>
      <c r="G3186" s="1" t="s">
        <v>14726</v>
      </c>
    </row>
    <row r="3187" spans="1:7" ht="21" x14ac:dyDescent="0.25">
      <c r="A3187" s="2" t="str">
        <f>HYPERLINK("https://rth.dk/resources/bsgatlas/details.php?id=BSGatlas-TSS-3186","BSGatlas-TSS-3186")</f>
        <v>BSGatlas-TSS-3186</v>
      </c>
      <c r="B3187" s="3">
        <v>3964005</v>
      </c>
      <c r="C3187" s="1" t="s">
        <v>13</v>
      </c>
      <c r="D3187" s="1">
        <v>0</v>
      </c>
      <c r="E3187" s="1" t="s">
        <v>14722</v>
      </c>
      <c r="F3187" s="6" t="s">
        <v>15133</v>
      </c>
      <c r="G3187" s="1" t="s">
        <v>14729</v>
      </c>
    </row>
    <row r="3188" spans="1:7" ht="21" x14ac:dyDescent="0.25">
      <c r="A3188" s="2" t="str">
        <f>HYPERLINK("https://rth.dk/resources/bsgatlas/details.php?id=BSGatlas-TSS-3187","BSGatlas-TSS-3187")</f>
        <v>BSGatlas-TSS-3187</v>
      </c>
      <c r="B3188" s="3">
        <v>3964907</v>
      </c>
      <c r="C3188" s="1" t="s">
        <v>13</v>
      </c>
      <c r="D3188" s="1">
        <v>22</v>
      </c>
      <c r="E3188" s="1" t="s">
        <v>14734</v>
      </c>
      <c r="F3188" s="6"/>
      <c r="G3188" s="1" t="s">
        <v>14726</v>
      </c>
    </row>
    <row r="3189" spans="1:7" ht="21" x14ac:dyDescent="0.25">
      <c r="A3189" s="2" t="str">
        <f>HYPERLINK("https://rth.dk/resources/bsgatlas/details.php?id=BSGatlas-TSS-3188","BSGatlas-TSS-3188")</f>
        <v>BSGatlas-TSS-3188</v>
      </c>
      <c r="B3189" s="3">
        <v>3964937</v>
      </c>
      <c r="C3189" s="1" t="s">
        <v>13</v>
      </c>
      <c r="D3189" s="1">
        <v>0</v>
      </c>
      <c r="E3189" s="1" t="s">
        <v>14743</v>
      </c>
      <c r="F3189" s="6">
        <v>27698084</v>
      </c>
      <c r="G3189" s="1" t="s">
        <v>4547</v>
      </c>
    </row>
    <row r="3190" spans="1:7" ht="21" x14ac:dyDescent="0.25">
      <c r="A3190" s="2" t="str">
        <f>HYPERLINK("https://rth.dk/resources/bsgatlas/details.php?id=BSGatlas-TSS-3189","BSGatlas-TSS-3189")</f>
        <v>BSGatlas-TSS-3189</v>
      </c>
      <c r="B3190" s="3">
        <v>3964973</v>
      </c>
      <c r="C3190" s="1" t="s">
        <v>9</v>
      </c>
      <c r="D3190" s="1">
        <v>0</v>
      </c>
      <c r="E3190" s="1" t="s">
        <v>14734</v>
      </c>
      <c r="F3190" s="6" t="s">
        <v>15134</v>
      </c>
      <c r="G3190" s="1" t="s">
        <v>14729</v>
      </c>
    </row>
    <row r="3191" spans="1:7" ht="21" x14ac:dyDescent="0.25">
      <c r="A3191" s="2" t="str">
        <f>HYPERLINK("https://rth.dk/resources/bsgatlas/details.php?id=BSGatlas-TSS-3190","BSGatlas-TSS-3190")</f>
        <v>BSGatlas-TSS-3190</v>
      </c>
      <c r="B3191" s="3">
        <v>3964974</v>
      </c>
      <c r="C3191" s="1" t="s">
        <v>9</v>
      </c>
      <c r="D3191" s="1">
        <v>0</v>
      </c>
      <c r="E3191" s="1" t="s">
        <v>14849</v>
      </c>
      <c r="F3191" s="6" t="s">
        <v>15135</v>
      </c>
      <c r="G3191" s="1" t="s">
        <v>14729</v>
      </c>
    </row>
    <row r="3192" spans="1:7" ht="21" x14ac:dyDescent="0.25">
      <c r="A3192" s="2" t="str">
        <f>HYPERLINK("https://rth.dk/resources/bsgatlas/details.php?id=BSGatlas-TSS-3191","BSGatlas-TSS-3191")</f>
        <v>BSGatlas-TSS-3191</v>
      </c>
      <c r="B3192" s="3">
        <v>3966701</v>
      </c>
      <c r="C3192" s="1" t="s">
        <v>9</v>
      </c>
      <c r="D3192" s="1">
        <v>22</v>
      </c>
      <c r="E3192" s="1" t="s">
        <v>14722</v>
      </c>
      <c r="F3192" s="6"/>
      <c r="G3192" s="1" t="s">
        <v>14726</v>
      </c>
    </row>
    <row r="3193" spans="1:7" ht="21" x14ac:dyDescent="0.25">
      <c r="A3193" s="2" t="str">
        <f>HYPERLINK("https://rth.dk/resources/bsgatlas/details.php?id=BSGatlas-TSS-3192","BSGatlas-TSS-3192")</f>
        <v>BSGatlas-TSS-3192</v>
      </c>
      <c r="B3193" s="3">
        <v>3970156</v>
      </c>
      <c r="C3193" s="1" t="s">
        <v>9</v>
      </c>
      <c r="D3193" s="1">
        <v>22</v>
      </c>
      <c r="E3193" s="1" t="s">
        <v>14725</v>
      </c>
      <c r="F3193" s="6"/>
      <c r="G3193" s="1" t="s">
        <v>14726</v>
      </c>
    </row>
    <row r="3194" spans="1:7" ht="21" x14ac:dyDescent="0.25">
      <c r="A3194" s="2" t="str">
        <f>HYPERLINK("https://rth.dk/resources/bsgatlas/details.php?id=BSGatlas-TSS-3193","BSGatlas-TSS-3193")</f>
        <v>BSGatlas-TSS-3193</v>
      </c>
      <c r="B3194" s="3">
        <v>3970878</v>
      </c>
      <c r="C3194" s="1" t="s">
        <v>13</v>
      </c>
      <c r="D3194" s="1">
        <v>0</v>
      </c>
      <c r="E3194" s="1" t="s">
        <v>14779</v>
      </c>
      <c r="F3194" s="6" t="s">
        <v>15136</v>
      </c>
      <c r="G3194" s="1" t="s">
        <v>14730</v>
      </c>
    </row>
    <row r="3195" spans="1:7" ht="21" x14ac:dyDescent="0.25">
      <c r="A3195" s="2" t="str">
        <f>HYPERLINK("https://rth.dk/resources/bsgatlas/details.php?id=BSGatlas-TSS-3194","BSGatlas-TSS-3194")</f>
        <v>BSGatlas-TSS-3194</v>
      </c>
      <c r="B3195" s="3">
        <v>3970879</v>
      </c>
      <c r="C3195" s="1" t="s">
        <v>13</v>
      </c>
      <c r="D3195" s="1">
        <v>0</v>
      </c>
      <c r="E3195" s="1" t="s">
        <v>14779</v>
      </c>
      <c r="F3195" s="6" t="s">
        <v>15137</v>
      </c>
      <c r="G3195" s="1" t="s">
        <v>14747</v>
      </c>
    </row>
    <row r="3196" spans="1:7" ht="21" x14ac:dyDescent="0.25">
      <c r="A3196" s="2" t="str">
        <f>HYPERLINK("https://rth.dk/resources/bsgatlas/details.php?id=BSGatlas-TSS-3195","BSGatlas-TSS-3195")</f>
        <v>BSGatlas-TSS-3195</v>
      </c>
      <c r="B3196" s="3">
        <v>3971009</v>
      </c>
      <c r="C3196" s="1" t="s">
        <v>9</v>
      </c>
      <c r="D3196" s="1">
        <v>22</v>
      </c>
      <c r="E3196" s="1" t="s">
        <v>14722</v>
      </c>
      <c r="F3196" s="6"/>
      <c r="G3196" s="1" t="s">
        <v>14726</v>
      </c>
    </row>
    <row r="3197" spans="1:7" ht="21" x14ac:dyDescent="0.25">
      <c r="A3197" s="2" t="str">
        <f>HYPERLINK("https://rth.dk/resources/bsgatlas/details.php?id=BSGatlas-TSS-3196","BSGatlas-TSS-3196")</f>
        <v>BSGatlas-TSS-3196</v>
      </c>
      <c r="B3197" s="3">
        <v>3971882</v>
      </c>
      <c r="C3197" s="1" t="s">
        <v>13</v>
      </c>
      <c r="D3197" s="1">
        <v>22</v>
      </c>
      <c r="E3197" s="1" t="s">
        <v>14722</v>
      </c>
      <c r="F3197" s="6"/>
      <c r="G3197" s="1" t="s">
        <v>14726</v>
      </c>
    </row>
    <row r="3198" spans="1:7" ht="21" x14ac:dyDescent="0.25">
      <c r="A3198" s="2" t="str">
        <f>HYPERLINK("https://rth.dk/resources/bsgatlas/details.php?id=BSGatlas-TSS-3197","BSGatlas-TSS-3197")</f>
        <v>BSGatlas-TSS-3197</v>
      </c>
      <c r="B3198" s="3">
        <v>3973312</v>
      </c>
      <c r="C3198" s="1" t="s">
        <v>13</v>
      </c>
      <c r="D3198" s="1">
        <v>22</v>
      </c>
      <c r="E3198" s="1" t="s">
        <v>14734</v>
      </c>
      <c r="F3198" s="6"/>
      <c r="G3198" s="1" t="s">
        <v>14726</v>
      </c>
    </row>
    <row r="3199" spans="1:7" ht="21" x14ac:dyDescent="0.25">
      <c r="A3199" s="2" t="str">
        <f>HYPERLINK("https://rth.dk/resources/bsgatlas/details.php?id=BSGatlas-TSS-3198","BSGatlas-TSS-3198")</f>
        <v>BSGatlas-TSS-3198</v>
      </c>
      <c r="B3199" s="3">
        <v>3973356</v>
      </c>
      <c r="C3199" s="1" t="s">
        <v>13</v>
      </c>
      <c r="D3199" s="1">
        <v>22</v>
      </c>
      <c r="E3199" s="1" t="s">
        <v>14722</v>
      </c>
      <c r="F3199" s="6"/>
      <c r="G3199" s="1" t="s">
        <v>14726</v>
      </c>
    </row>
    <row r="3200" spans="1:7" ht="21" x14ac:dyDescent="0.25">
      <c r="A3200" s="2" t="str">
        <f>HYPERLINK("https://rth.dk/resources/bsgatlas/details.php?id=BSGatlas-TSS-3199","BSGatlas-TSS-3199")</f>
        <v>BSGatlas-TSS-3199</v>
      </c>
      <c r="B3200" s="3">
        <v>3977690</v>
      </c>
      <c r="C3200" s="1" t="s">
        <v>13</v>
      </c>
      <c r="D3200" s="1">
        <v>22</v>
      </c>
      <c r="E3200" s="1" t="s">
        <v>14727</v>
      </c>
      <c r="F3200" s="6"/>
      <c r="G3200" s="1" t="s">
        <v>14726</v>
      </c>
    </row>
    <row r="3201" spans="1:7" ht="21" x14ac:dyDescent="0.25">
      <c r="A3201" s="2" t="str">
        <f>HYPERLINK("https://rth.dk/resources/bsgatlas/details.php?id=BSGatlas-TSS-3200","BSGatlas-TSS-3200")</f>
        <v>BSGatlas-TSS-3200</v>
      </c>
      <c r="B3201" s="3">
        <v>3979390</v>
      </c>
      <c r="C3201" s="1" t="s">
        <v>13</v>
      </c>
      <c r="D3201" s="1">
        <v>0</v>
      </c>
      <c r="E3201" s="1" t="s">
        <v>14722</v>
      </c>
      <c r="F3201" s="6" t="s">
        <v>15138</v>
      </c>
      <c r="G3201" s="1" t="s">
        <v>14724</v>
      </c>
    </row>
    <row r="3202" spans="1:7" ht="21" x14ac:dyDescent="0.25">
      <c r="A3202" s="2" t="str">
        <f>HYPERLINK("https://rth.dk/resources/bsgatlas/details.php?id=BSGatlas-TSS-3201","BSGatlas-TSS-3201")</f>
        <v>BSGatlas-TSS-3201</v>
      </c>
      <c r="B3202" s="3">
        <v>3979528</v>
      </c>
      <c r="C3202" s="1" t="s">
        <v>13</v>
      </c>
      <c r="D3202" s="1">
        <v>22</v>
      </c>
      <c r="E3202" s="1" t="s">
        <v>14722</v>
      </c>
      <c r="F3202" s="6"/>
      <c r="G3202" s="1" t="s">
        <v>14733</v>
      </c>
    </row>
    <row r="3203" spans="1:7" ht="21" x14ac:dyDescent="0.25">
      <c r="A3203" s="2" t="str">
        <f>HYPERLINK("https://rth.dk/resources/bsgatlas/details.php?id=BSGatlas-TSS-3202","BSGatlas-TSS-3202")</f>
        <v>BSGatlas-TSS-3202</v>
      </c>
      <c r="B3203" s="3">
        <v>3979691</v>
      </c>
      <c r="C3203" s="1" t="s">
        <v>9</v>
      </c>
      <c r="D3203" s="1">
        <v>22</v>
      </c>
      <c r="E3203" s="1" t="s">
        <v>14722</v>
      </c>
      <c r="F3203" s="6"/>
      <c r="G3203" s="1" t="s">
        <v>14726</v>
      </c>
    </row>
    <row r="3204" spans="1:7" ht="21" x14ac:dyDescent="0.25">
      <c r="A3204" s="2" t="str">
        <f>HYPERLINK("https://rth.dk/resources/bsgatlas/details.php?id=BSGatlas-TSS-3203","BSGatlas-TSS-3203")</f>
        <v>BSGatlas-TSS-3203</v>
      </c>
      <c r="B3204" s="3">
        <v>3981187</v>
      </c>
      <c r="C3204" s="1" t="s">
        <v>9</v>
      </c>
      <c r="D3204" s="1">
        <v>22</v>
      </c>
      <c r="E3204" s="1" t="s">
        <v>14722</v>
      </c>
      <c r="F3204" s="6"/>
      <c r="G3204" s="1" t="s">
        <v>14726</v>
      </c>
    </row>
    <row r="3205" spans="1:7" ht="21" x14ac:dyDescent="0.25">
      <c r="A3205" s="2" t="str">
        <f>HYPERLINK("https://rth.dk/resources/bsgatlas/details.php?id=BSGatlas-TSS-3204","BSGatlas-TSS-3204")</f>
        <v>BSGatlas-TSS-3204</v>
      </c>
      <c r="B3205" s="3">
        <v>3982947</v>
      </c>
      <c r="C3205" s="1" t="s">
        <v>9</v>
      </c>
      <c r="D3205" s="1">
        <v>0</v>
      </c>
      <c r="E3205" s="1" t="s">
        <v>14770</v>
      </c>
      <c r="F3205" s="6" t="s">
        <v>15139</v>
      </c>
      <c r="G3205" s="1" t="s">
        <v>14729</v>
      </c>
    </row>
    <row r="3206" spans="1:7" ht="21" x14ac:dyDescent="0.25">
      <c r="A3206" s="2" t="str">
        <f>HYPERLINK("https://rth.dk/resources/bsgatlas/details.php?id=BSGatlas-TSS-3205","BSGatlas-TSS-3205")</f>
        <v>BSGatlas-TSS-3205</v>
      </c>
      <c r="B3206" s="3">
        <v>3984070</v>
      </c>
      <c r="C3206" s="1" t="s">
        <v>13</v>
      </c>
      <c r="D3206" s="1">
        <v>22</v>
      </c>
      <c r="E3206" s="1" t="s">
        <v>14752</v>
      </c>
      <c r="F3206" s="6"/>
      <c r="G3206" s="1" t="s">
        <v>14726</v>
      </c>
    </row>
    <row r="3207" spans="1:7" ht="21" x14ac:dyDescent="0.25">
      <c r="A3207" s="2" t="str">
        <f>HYPERLINK("https://rth.dk/resources/bsgatlas/details.php?id=BSGatlas-TSS-3206","BSGatlas-TSS-3206")</f>
        <v>BSGatlas-TSS-3206</v>
      </c>
      <c r="B3207" s="3">
        <v>3985280</v>
      </c>
      <c r="C3207" s="1" t="s">
        <v>13</v>
      </c>
      <c r="D3207" s="1">
        <v>22</v>
      </c>
      <c r="E3207" s="1" t="s">
        <v>14722</v>
      </c>
      <c r="F3207" s="6"/>
      <c r="G3207" s="1" t="s">
        <v>14726</v>
      </c>
    </row>
    <row r="3208" spans="1:7" ht="21" x14ac:dyDescent="0.25">
      <c r="A3208" s="2" t="str">
        <f>HYPERLINK("https://rth.dk/resources/bsgatlas/details.php?id=BSGatlas-TSS-3207","BSGatlas-TSS-3207")</f>
        <v>BSGatlas-TSS-3207</v>
      </c>
      <c r="B3208" s="3">
        <v>3986290</v>
      </c>
      <c r="C3208" s="1" t="s">
        <v>13</v>
      </c>
      <c r="D3208" s="1">
        <v>22</v>
      </c>
      <c r="E3208" s="1" t="s">
        <v>14722</v>
      </c>
      <c r="F3208" s="6"/>
      <c r="G3208" s="1" t="s">
        <v>14726</v>
      </c>
    </row>
    <row r="3209" spans="1:7" ht="21" x14ac:dyDescent="0.25">
      <c r="A3209" s="2" t="str">
        <f>HYPERLINK("https://rth.dk/resources/bsgatlas/details.php?id=BSGatlas-TSS-3208","BSGatlas-TSS-3208")</f>
        <v>BSGatlas-TSS-3208</v>
      </c>
      <c r="B3209" s="3">
        <v>3986348</v>
      </c>
      <c r="C3209" s="1" t="s">
        <v>9</v>
      </c>
      <c r="D3209" s="1">
        <v>22</v>
      </c>
      <c r="E3209" s="1" t="s">
        <v>14727</v>
      </c>
      <c r="F3209" s="6"/>
      <c r="G3209" s="1" t="s">
        <v>14726</v>
      </c>
    </row>
    <row r="3210" spans="1:7" ht="21" x14ac:dyDescent="0.25">
      <c r="A3210" s="2" t="str">
        <f>HYPERLINK("https://rth.dk/resources/bsgatlas/details.php?id=BSGatlas-TSS-3209","BSGatlas-TSS-3209")</f>
        <v>BSGatlas-TSS-3209</v>
      </c>
      <c r="B3210" s="3">
        <v>3986392</v>
      </c>
      <c r="C3210" s="1" t="s">
        <v>9</v>
      </c>
      <c r="D3210" s="1">
        <v>22</v>
      </c>
      <c r="E3210" s="1" t="s">
        <v>14734</v>
      </c>
      <c r="F3210" s="6"/>
      <c r="G3210" s="1" t="s">
        <v>14726</v>
      </c>
    </row>
    <row r="3211" spans="1:7" ht="21" x14ac:dyDescent="0.25">
      <c r="A3211" s="2" t="str">
        <f>HYPERLINK("https://rth.dk/resources/bsgatlas/details.php?id=BSGatlas-TSS-3210","BSGatlas-TSS-3210")</f>
        <v>BSGatlas-TSS-3210</v>
      </c>
      <c r="B3211" s="3">
        <v>3987326</v>
      </c>
      <c r="C3211" s="1" t="s">
        <v>13</v>
      </c>
      <c r="D3211" s="1">
        <v>22</v>
      </c>
      <c r="E3211" s="1" t="s">
        <v>14727</v>
      </c>
      <c r="F3211" s="6"/>
      <c r="G3211" s="1" t="s">
        <v>14726</v>
      </c>
    </row>
    <row r="3212" spans="1:7" ht="21" x14ac:dyDescent="0.25">
      <c r="A3212" s="2" t="str">
        <f>HYPERLINK("https://rth.dk/resources/bsgatlas/details.php?id=BSGatlas-TSS-3211","BSGatlas-TSS-3211")</f>
        <v>BSGatlas-TSS-3211</v>
      </c>
      <c r="B3212" s="3">
        <v>3988979</v>
      </c>
      <c r="C3212" s="1" t="s">
        <v>13</v>
      </c>
      <c r="D3212" s="1">
        <v>22</v>
      </c>
      <c r="E3212" s="1" t="s">
        <v>14722</v>
      </c>
      <c r="F3212" s="6"/>
      <c r="G3212" s="1" t="s">
        <v>14726</v>
      </c>
    </row>
    <row r="3213" spans="1:7" ht="21" x14ac:dyDescent="0.25">
      <c r="A3213" s="2" t="str">
        <f>HYPERLINK("https://rth.dk/resources/bsgatlas/details.php?id=BSGatlas-TSS-3212","BSGatlas-TSS-3212")</f>
        <v>BSGatlas-TSS-3212</v>
      </c>
      <c r="B3213" s="3">
        <v>3989088</v>
      </c>
      <c r="C3213" s="1" t="s">
        <v>9</v>
      </c>
      <c r="D3213" s="1">
        <v>22</v>
      </c>
      <c r="E3213" s="1" t="s">
        <v>14752</v>
      </c>
      <c r="F3213" s="6"/>
      <c r="G3213" s="1" t="s">
        <v>14733</v>
      </c>
    </row>
    <row r="3214" spans="1:7" ht="21" x14ac:dyDescent="0.25">
      <c r="A3214" s="2" t="str">
        <f>HYPERLINK("https://rth.dk/resources/bsgatlas/details.php?id=BSGatlas-TSS-3213","BSGatlas-TSS-3213")</f>
        <v>BSGatlas-TSS-3213</v>
      </c>
      <c r="B3214" s="3">
        <v>3989185</v>
      </c>
      <c r="C3214" s="1" t="s">
        <v>9</v>
      </c>
      <c r="D3214" s="1">
        <v>22</v>
      </c>
      <c r="E3214" s="1" t="s">
        <v>14722</v>
      </c>
      <c r="F3214" s="6"/>
      <c r="G3214" s="1" t="s">
        <v>14726</v>
      </c>
    </row>
    <row r="3215" spans="1:7" ht="21" x14ac:dyDescent="0.25">
      <c r="A3215" s="2" t="str">
        <f>HYPERLINK("https://rth.dk/resources/bsgatlas/details.php?id=BSGatlas-TSS-3214","BSGatlas-TSS-3214")</f>
        <v>BSGatlas-TSS-3214</v>
      </c>
      <c r="B3215" s="3">
        <v>3989722</v>
      </c>
      <c r="C3215" s="1" t="s">
        <v>13</v>
      </c>
      <c r="D3215" s="1">
        <v>22</v>
      </c>
      <c r="E3215" s="1" t="s">
        <v>14725</v>
      </c>
      <c r="F3215" s="6"/>
      <c r="G3215" s="1" t="s">
        <v>14733</v>
      </c>
    </row>
    <row r="3216" spans="1:7" ht="21" x14ac:dyDescent="0.25">
      <c r="A3216" s="2" t="str">
        <f>HYPERLINK("https://rth.dk/resources/bsgatlas/details.php?id=BSGatlas-TSS-3215","BSGatlas-TSS-3215")</f>
        <v>BSGatlas-TSS-3215</v>
      </c>
      <c r="B3216" s="3">
        <v>3990994</v>
      </c>
      <c r="C3216" s="1" t="s">
        <v>13</v>
      </c>
      <c r="D3216" s="1">
        <v>0</v>
      </c>
      <c r="E3216" s="1" t="s">
        <v>14722</v>
      </c>
      <c r="F3216" s="6" t="s">
        <v>15140</v>
      </c>
      <c r="G3216" s="1" t="s">
        <v>14729</v>
      </c>
    </row>
    <row r="3217" spans="1:7" ht="21" x14ac:dyDescent="0.25">
      <c r="A3217" s="2" t="str">
        <f>HYPERLINK("https://rth.dk/resources/bsgatlas/details.php?id=BSGatlas-TSS-3216","BSGatlas-TSS-3216")</f>
        <v>BSGatlas-TSS-3216</v>
      </c>
      <c r="B3217" s="3">
        <v>3991616</v>
      </c>
      <c r="C3217" s="1" t="s">
        <v>13</v>
      </c>
      <c r="D3217" s="1">
        <v>22</v>
      </c>
      <c r="E3217" s="1" t="s">
        <v>14734</v>
      </c>
      <c r="F3217" s="6"/>
      <c r="G3217" s="1" t="s">
        <v>14726</v>
      </c>
    </row>
    <row r="3218" spans="1:7" ht="21" x14ac:dyDescent="0.25">
      <c r="A3218" s="2" t="str">
        <f>HYPERLINK("https://rth.dk/resources/bsgatlas/details.php?id=BSGatlas-TSS-3217","BSGatlas-TSS-3217")</f>
        <v>BSGatlas-TSS-3217</v>
      </c>
      <c r="B3218" s="3">
        <v>3991639</v>
      </c>
      <c r="C3218" s="1" t="s">
        <v>9</v>
      </c>
      <c r="D3218" s="1">
        <v>22</v>
      </c>
      <c r="E3218" s="1" t="s">
        <v>14722</v>
      </c>
      <c r="F3218" s="6"/>
      <c r="G3218" s="1" t="s">
        <v>14726</v>
      </c>
    </row>
    <row r="3219" spans="1:7" ht="21" x14ac:dyDescent="0.25">
      <c r="A3219" s="2" t="str">
        <f>HYPERLINK("https://rth.dk/resources/bsgatlas/details.php?id=BSGatlas-TSS-3218","BSGatlas-TSS-3218")</f>
        <v>BSGatlas-TSS-3218</v>
      </c>
      <c r="B3219" s="3">
        <v>3992056</v>
      </c>
      <c r="C3219" s="1" t="s">
        <v>13</v>
      </c>
      <c r="D3219" s="1">
        <v>22</v>
      </c>
      <c r="E3219" s="1" t="s">
        <v>14720</v>
      </c>
      <c r="F3219" s="6"/>
      <c r="G3219" s="1" t="s">
        <v>14726</v>
      </c>
    </row>
    <row r="3220" spans="1:7" ht="21" x14ac:dyDescent="0.25">
      <c r="A3220" s="2" t="str">
        <f>HYPERLINK("https://rth.dk/resources/bsgatlas/details.php?id=BSGatlas-TSS-3219","BSGatlas-TSS-3219")</f>
        <v>BSGatlas-TSS-3219</v>
      </c>
      <c r="B3220" s="3">
        <v>3995045</v>
      </c>
      <c r="C3220" s="1" t="s">
        <v>9</v>
      </c>
      <c r="D3220" s="1">
        <v>22</v>
      </c>
      <c r="E3220" s="1" t="s">
        <v>14722</v>
      </c>
      <c r="F3220" s="6"/>
      <c r="G3220" s="1" t="s">
        <v>14726</v>
      </c>
    </row>
    <row r="3221" spans="1:7" ht="21" x14ac:dyDescent="0.25">
      <c r="A3221" s="2" t="str">
        <f>HYPERLINK("https://rth.dk/resources/bsgatlas/details.php?id=BSGatlas-TSS-3220","BSGatlas-TSS-3220")</f>
        <v>BSGatlas-TSS-3220</v>
      </c>
      <c r="B3221" s="3">
        <v>3996377</v>
      </c>
      <c r="C3221" s="1" t="s">
        <v>9</v>
      </c>
      <c r="D3221" s="1">
        <v>22</v>
      </c>
      <c r="E3221" s="1" t="s">
        <v>14739</v>
      </c>
      <c r="F3221" s="6"/>
      <c r="G3221" s="1" t="s">
        <v>14726</v>
      </c>
    </row>
    <row r="3222" spans="1:7" ht="21" x14ac:dyDescent="0.25">
      <c r="A3222" s="2" t="str">
        <f>HYPERLINK("https://rth.dk/resources/bsgatlas/details.php?id=BSGatlas-TSS-3221","BSGatlas-TSS-3221")</f>
        <v>BSGatlas-TSS-3221</v>
      </c>
      <c r="B3222" s="3">
        <v>3996629</v>
      </c>
      <c r="C3222" s="1" t="s">
        <v>9</v>
      </c>
      <c r="D3222" s="1">
        <v>22</v>
      </c>
      <c r="E3222" s="1" t="s">
        <v>14734</v>
      </c>
      <c r="F3222" s="6"/>
      <c r="G3222" s="1" t="s">
        <v>14733</v>
      </c>
    </row>
    <row r="3223" spans="1:7" ht="21" x14ac:dyDescent="0.25">
      <c r="A3223" s="2" t="str">
        <f>HYPERLINK("https://rth.dk/resources/bsgatlas/details.php?id=BSGatlas-TSS-3222","BSGatlas-TSS-3222")</f>
        <v>BSGatlas-TSS-3222</v>
      </c>
      <c r="B3223" s="3">
        <v>3996731</v>
      </c>
      <c r="C3223" s="1" t="s">
        <v>9</v>
      </c>
      <c r="D3223" s="1">
        <v>22</v>
      </c>
      <c r="E3223" s="1" t="s">
        <v>14752</v>
      </c>
      <c r="F3223" s="6"/>
      <c r="G3223" s="1" t="s">
        <v>14733</v>
      </c>
    </row>
    <row r="3224" spans="1:7" ht="21" x14ac:dyDescent="0.25">
      <c r="A3224" s="2" t="str">
        <f>HYPERLINK("https://rth.dk/resources/bsgatlas/details.php?id=BSGatlas-TSS-3223","BSGatlas-TSS-3223")</f>
        <v>BSGatlas-TSS-3223</v>
      </c>
      <c r="B3224" s="3">
        <v>3996886</v>
      </c>
      <c r="C3224" s="1" t="s">
        <v>9</v>
      </c>
      <c r="D3224" s="1">
        <v>22</v>
      </c>
      <c r="E3224" s="1" t="s">
        <v>14722</v>
      </c>
      <c r="F3224" s="6"/>
      <c r="G3224" s="1" t="s">
        <v>14726</v>
      </c>
    </row>
    <row r="3225" spans="1:7" ht="21" x14ac:dyDescent="0.25">
      <c r="A3225" s="2" t="str">
        <f>HYPERLINK("https://rth.dk/resources/bsgatlas/details.php?id=BSGatlas-TSS-3224","BSGatlas-TSS-3224")</f>
        <v>BSGatlas-TSS-3224</v>
      </c>
      <c r="B3225" s="3">
        <v>3997194</v>
      </c>
      <c r="C3225" s="1" t="s">
        <v>9</v>
      </c>
      <c r="D3225" s="1">
        <v>0</v>
      </c>
      <c r="E3225" s="1" t="s">
        <v>14770</v>
      </c>
      <c r="F3225" s="6" t="s">
        <v>14838</v>
      </c>
      <c r="G3225" s="1" t="s">
        <v>14730</v>
      </c>
    </row>
    <row r="3226" spans="1:7" ht="21" x14ac:dyDescent="0.25">
      <c r="A3226" s="2" t="str">
        <f>HYPERLINK("https://rth.dk/resources/bsgatlas/details.php?id=BSGatlas-TSS-3225","BSGatlas-TSS-3225")</f>
        <v>BSGatlas-TSS-3225</v>
      </c>
      <c r="B3226" s="3">
        <v>3997745</v>
      </c>
      <c r="C3226" s="1" t="s">
        <v>9</v>
      </c>
      <c r="D3226" s="1">
        <v>22</v>
      </c>
      <c r="E3226" s="1" t="s">
        <v>14722</v>
      </c>
      <c r="F3226" s="6"/>
      <c r="G3226" s="1" t="s">
        <v>14726</v>
      </c>
    </row>
    <row r="3227" spans="1:7" ht="21" x14ac:dyDescent="0.25">
      <c r="A3227" s="2" t="str">
        <f>HYPERLINK("https://rth.dk/resources/bsgatlas/details.php?id=BSGatlas-TSS-3226","BSGatlas-TSS-3226")</f>
        <v>BSGatlas-TSS-3226</v>
      </c>
      <c r="B3227" s="3">
        <v>3998484</v>
      </c>
      <c r="C3227" s="1" t="s">
        <v>13</v>
      </c>
      <c r="D3227" s="1">
        <v>22</v>
      </c>
      <c r="E3227" s="1" t="s">
        <v>14722</v>
      </c>
      <c r="F3227" s="6"/>
      <c r="G3227" s="1" t="s">
        <v>14726</v>
      </c>
    </row>
    <row r="3228" spans="1:7" ht="21" x14ac:dyDescent="0.25">
      <c r="A3228" s="2" t="str">
        <f>HYPERLINK("https://rth.dk/resources/bsgatlas/details.php?id=BSGatlas-TSS-3227","BSGatlas-TSS-3227")</f>
        <v>BSGatlas-TSS-3227</v>
      </c>
      <c r="B3228" s="3">
        <v>3999131</v>
      </c>
      <c r="C3228" s="1" t="s">
        <v>9</v>
      </c>
      <c r="D3228" s="1">
        <v>22</v>
      </c>
      <c r="E3228" s="1" t="s">
        <v>14722</v>
      </c>
      <c r="F3228" s="6"/>
      <c r="G3228" s="1" t="s">
        <v>14726</v>
      </c>
    </row>
    <row r="3229" spans="1:7" ht="21" x14ac:dyDescent="0.25">
      <c r="A3229" s="2" t="str">
        <f>HYPERLINK("https://rth.dk/resources/bsgatlas/details.php?id=BSGatlas-TSS-3228","BSGatlas-TSS-3228")</f>
        <v>BSGatlas-TSS-3228</v>
      </c>
      <c r="B3229" s="3">
        <v>4003321</v>
      </c>
      <c r="C3229" s="1" t="s">
        <v>13</v>
      </c>
      <c r="D3229" s="1">
        <v>22</v>
      </c>
      <c r="E3229" s="1" t="s">
        <v>14727</v>
      </c>
      <c r="F3229" s="6"/>
      <c r="G3229" s="1" t="s">
        <v>14726</v>
      </c>
    </row>
    <row r="3230" spans="1:7" ht="21" x14ac:dyDescent="0.25">
      <c r="A3230" s="2" t="str">
        <f>HYPERLINK("https://rth.dk/resources/bsgatlas/details.php?id=BSGatlas-TSS-3229","BSGatlas-TSS-3229")</f>
        <v>BSGatlas-TSS-3229</v>
      </c>
      <c r="B3230" s="3">
        <v>4004209</v>
      </c>
      <c r="C3230" s="1" t="s">
        <v>13</v>
      </c>
      <c r="D3230" s="1">
        <v>0</v>
      </c>
      <c r="E3230" s="1" t="s">
        <v>14735</v>
      </c>
      <c r="F3230" s="6" t="s">
        <v>14767</v>
      </c>
      <c r="G3230" s="1" t="s">
        <v>14724</v>
      </c>
    </row>
    <row r="3231" spans="1:7" ht="21" x14ac:dyDescent="0.25">
      <c r="A3231" s="2" t="str">
        <f>HYPERLINK("https://rth.dk/resources/bsgatlas/details.php?id=BSGatlas-TSS-3230","BSGatlas-TSS-3230")</f>
        <v>BSGatlas-TSS-3230</v>
      </c>
      <c r="B3231" s="3">
        <v>4005322</v>
      </c>
      <c r="C3231" s="1" t="s">
        <v>13</v>
      </c>
      <c r="D3231" s="1">
        <v>22</v>
      </c>
      <c r="E3231" s="1" t="s">
        <v>14722</v>
      </c>
      <c r="F3231" s="6"/>
      <c r="G3231" s="1" t="s">
        <v>14733</v>
      </c>
    </row>
    <row r="3232" spans="1:7" ht="21" x14ac:dyDescent="0.25">
      <c r="A3232" s="2" t="str">
        <f>HYPERLINK("https://rth.dk/resources/bsgatlas/details.php?id=BSGatlas-TSS-3231","BSGatlas-TSS-3231")</f>
        <v>BSGatlas-TSS-3231</v>
      </c>
      <c r="B3232" s="3">
        <v>4005513</v>
      </c>
      <c r="C3232" s="1" t="s">
        <v>9</v>
      </c>
      <c r="D3232" s="1">
        <v>22</v>
      </c>
      <c r="E3232" s="1" t="s">
        <v>14722</v>
      </c>
      <c r="F3232" s="6"/>
      <c r="G3232" s="1" t="s">
        <v>14726</v>
      </c>
    </row>
    <row r="3233" spans="1:7" ht="21" x14ac:dyDescent="0.25">
      <c r="A3233" s="2" t="str">
        <f>HYPERLINK("https://rth.dk/resources/bsgatlas/details.php?id=BSGatlas-TSS-3232","BSGatlas-TSS-3232")</f>
        <v>BSGatlas-TSS-3232</v>
      </c>
      <c r="B3233" s="3">
        <v>4005731</v>
      </c>
      <c r="C3233" s="1" t="s">
        <v>9</v>
      </c>
      <c r="D3233" s="1">
        <v>22</v>
      </c>
      <c r="E3233" s="1" t="s">
        <v>14732</v>
      </c>
      <c r="F3233" s="6"/>
      <c r="G3233" s="1" t="s">
        <v>14726</v>
      </c>
    </row>
    <row r="3234" spans="1:7" ht="21" x14ac:dyDescent="0.25">
      <c r="A3234" s="2" t="str">
        <f>HYPERLINK("https://rth.dk/resources/bsgatlas/details.php?id=BSGatlas-TSS-3233","BSGatlas-TSS-3233")</f>
        <v>BSGatlas-TSS-3233</v>
      </c>
      <c r="B3234" s="3">
        <v>4006052</v>
      </c>
      <c r="C3234" s="1" t="s">
        <v>13</v>
      </c>
      <c r="D3234" s="1">
        <v>22</v>
      </c>
      <c r="E3234" s="1" t="s">
        <v>14752</v>
      </c>
      <c r="F3234" s="6"/>
      <c r="G3234" s="1" t="s">
        <v>14733</v>
      </c>
    </row>
    <row r="3235" spans="1:7" ht="21" x14ac:dyDescent="0.25">
      <c r="A3235" s="2" t="str">
        <f>HYPERLINK("https://rth.dk/resources/bsgatlas/details.php?id=BSGatlas-TSS-3234","BSGatlas-TSS-3234")</f>
        <v>BSGatlas-TSS-3234</v>
      </c>
      <c r="B3235" s="3">
        <v>4007722</v>
      </c>
      <c r="C3235" s="1" t="s">
        <v>13</v>
      </c>
      <c r="D3235" s="1">
        <v>22</v>
      </c>
      <c r="E3235" s="1" t="s">
        <v>14739</v>
      </c>
      <c r="F3235" s="6"/>
      <c r="G3235" s="1" t="s">
        <v>14733</v>
      </c>
    </row>
    <row r="3236" spans="1:7" ht="21" x14ac:dyDescent="0.25">
      <c r="A3236" s="2" t="str">
        <f>HYPERLINK("https://rth.dk/resources/bsgatlas/details.php?id=BSGatlas-TSS-3235","BSGatlas-TSS-3235")</f>
        <v>BSGatlas-TSS-3235</v>
      </c>
      <c r="B3236" s="3">
        <v>4008135</v>
      </c>
      <c r="C3236" s="1" t="s">
        <v>13</v>
      </c>
      <c r="D3236" s="1">
        <v>22</v>
      </c>
      <c r="E3236" s="1" t="s">
        <v>14722</v>
      </c>
      <c r="F3236" s="6"/>
      <c r="G3236" s="1" t="s">
        <v>14726</v>
      </c>
    </row>
    <row r="3237" spans="1:7" ht="21" x14ac:dyDescent="0.25">
      <c r="A3237" s="2" t="str">
        <f>HYPERLINK("https://rth.dk/resources/bsgatlas/details.php?id=BSGatlas-TSS-3236","BSGatlas-TSS-3236")</f>
        <v>BSGatlas-TSS-3236</v>
      </c>
      <c r="B3237" s="3">
        <v>4010235</v>
      </c>
      <c r="C3237" s="1" t="s">
        <v>13</v>
      </c>
      <c r="D3237" s="1">
        <v>0</v>
      </c>
      <c r="E3237" s="1" t="s">
        <v>14734</v>
      </c>
      <c r="F3237" s="6" t="s">
        <v>15141</v>
      </c>
      <c r="G3237" s="1" t="s">
        <v>14729</v>
      </c>
    </row>
    <row r="3238" spans="1:7" ht="21" x14ac:dyDescent="0.25">
      <c r="A3238" s="2" t="str">
        <f>HYPERLINK("https://rth.dk/resources/bsgatlas/details.php?id=BSGatlas-TSS-3237","BSGatlas-TSS-3237")</f>
        <v>BSGatlas-TSS-3237</v>
      </c>
      <c r="B3238" s="3">
        <v>4010315</v>
      </c>
      <c r="C3238" s="1" t="s">
        <v>9</v>
      </c>
      <c r="D3238" s="1">
        <v>22</v>
      </c>
      <c r="E3238" s="1" t="s">
        <v>14727</v>
      </c>
      <c r="F3238" s="6"/>
      <c r="G3238" s="1" t="s">
        <v>14733</v>
      </c>
    </row>
    <row r="3239" spans="1:7" ht="21" x14ac:dyDescent="0.25">
      <c r="A3239" s="2" t="str">
        <f>HYPERLINK("https://rth.dk/resources/bsgatlas/details.php?id=BSGatlas-TSS-3238","BSGatlas-TSS-3238")</f>
        <v>BSGatlas-TSS-3238</v>
      </c>
      <c r="B3239" s="3">
        <v>4012612</v>
      </c>
      <c r="C3239" s="1" t="s">
        <v>13</v>
      </c>
      <c r="D3239" s="1">
        <v>22</v>
      </c>
      <c r="E3239" s="1" t="s">
        <v>14722</v>
      </c>
      <c r="F3239" s="6"/>
      <c r="G3239" s="1" t="s">
        <v>14726</v>
      </c>
    </row>
    <row r="3240" spans="1:7" ht="21" x14ac:dyDescent="0.25">
      <c r="A3240" s="2" t="str">
        <f>HYPERLINK("https://rth.dk/resources/bsgatlas/details.php?id=BSGatlas-TSS-3239","BSGatlas-TSS-3239")</f>
        <v>BSGatlas-TSS-3239</v>
      </c>
      <c r="B3240" s="3">
        <v>4013734</v>
      </c>
      <c r="C3240" s="1" t="s">
        <v>13</v>
      </c>
      <c r="D3240" s="1">
        <v>0</v>
      </c>
      <c r="E3240" s="1" t="s">
        <v>14722</v>
      </c>
      <c r="F3240" s="6">
        <v>8606172</v>
      </c>
      <c r="G3240" s="1" t="s">
        <v>14730</v>
      </c>
    </row>
    <row r="3241" spans="1:7" ht="21" x14ac:dyDescent="0.25">
      <c r="A3241" s="2" t="str">
        <f>HYPERLINK("https://rth.dk/resources/bsgatlas/details.php?id=BSGatlas-TSS-3240","BSGatlas-TSS-3240")</f>
        <v>BSGatlas-TSS-3240</v>
      </c>
      <c r="B3241" s="3">
        <v>4014531</v>
      </c>
      <c r="C3241" s="1" t="s">
        <v>13</v>
      </c>
      <c r="D3241" s="1">
        <v>22</v>
      </c>
      <c r="E3241" s="1" t="s">
        <v>14722</v>
      </c>
      <c r="F3241" s="6"/>
      <c r="G3241" s="1" t="s">
        <v>14726</v>
      </c>
    </row>
    <row r="3242" spans="1:7" ht="21" x14ac:dyDescent="0.25">
      <c r="A3242" s="2" t="str">
        <f>HYPERLINK("https://rth.dk/resources/bsgatlas/details.php?id=BSGatlas-TSS-3241","BSGatlas-TSS-3241")</f>
        <v>BSGatlas-TSS-3241</v>
      </c>
      <c r="B3242" s="3">
        <v>4014641</v>
      </c>
      <c r="C3242" s="1" t="s">
        <v>9</v>
      </c>
      <c r="D3242" s="1">
        <v>22</v>
      </c>
      <c r="E3242" s="1" t="s">
        <v>14722</v>
      </c>
      <c r="F3242" s="6"/>
      <c r="G3242" s="1" t="s">
        <v>14726</v>
      </c>
    </row>
    <row r="3243" spans="1:7" ht="21" x14ac:dyDescent="0.25">
      <c r="A3243" s="2" t="str">
        <f>HYPERLINK("https://rth.dk/resources/bsgatlas/details.php?id=BSGatlas-TSS-3242","BSGatlas-TSS-3242")</f>
        <v>BSGatlas-TSS-3242</v>
      </c>
      <c r="B3243" s="3">
        <v>4015421</v>
      </c>
      <c r="C3243" s="1" t="s">
        <v>13</v>
      </c>
      <c r="D3243" s="1">
        <v>22</v>
      </c>
      <c r="E3243" s="1" t="s">
        <v>14752</v>
      </c>
      <c r="F3243" s="6"/>
      <c r="G3243" s="1" t="s">
        <v>14726</v>
      </c>
    </row>
    <row r="3244" spans="1:7" ht="21" x14ac:dyDescent="0.25">
      <c r="A3244" s="2" t="str">
        <f>HYPERLINK("https://rth.dk/resources/bsgatlas/details.php?id=BSGatlas-TSS-3243","BSGatlas-TSS-3243")</f>
        <v>BSGatlas-TSS-3243</v>
      </c>
      <c r="B3244" s="3">
        <v>4017467</v>
      </c>
      <c r="C3244" s="1" t="s">
        <v>13</v>
      </c>
      <c r="D3244" s="1">
        <v>22</v>
      </c>
      <c r="E3244" s="1" t="s">
        <v>14722</v>
      </c>
      <c r="F3244" s="6"/>
      <c r="G3244" s="1" t="s">
        <v>14726</v>
      </c>
    </row>
    <row r="3245" spans="1:7" ht="21" x14ac:dyDescent="0.25">
      <c r="A3245" s="2" t="str">
        <f>HYPERLINK("https://rth.dk/resources/bsgatlas/details.php?id=BSGatlas-TSS-3244","BSGatlas-TSS-3244")</f>
        <v>BSGatlas-TSS-3244</v>
      </c>
      <c r="B3245" s="3">
        <v>4018699</v>
      </c>
      <c r="C3245" s="1" t="s">
        <v>13</v>
      </c>
      <c r="D3245" s="1">
        <v>22</v>
      </c>
      <c r="E3245" s="1" t="s">
        <v>14720</v>
      </c>
      <c r="F3245" s="6"/>
      <c r="G3245" s="1" t="s">
        <v>14726</v>
      </c>
    </row>
    <row r="3246" spans="1:7" ht="21" x14ac:dyDescent="0.25">
      <c r="A3246" s="2" t="str">
        <f>HYPERLINK("https://rth.dk/resources/bsgatlas/details.php?id=BSGatlas-TSS-3245","BSGatlas-TSS-3245")</f>
        <v>BSGatlas-TSS-3245</v>
      </c>
      <c r="B3246" s="3">
        <v>4030569</v>
      </c>
      <c r="C3246" s="1" t="s">
        <v>9</v>
      </c>
      <c r="D3246" s="1">
        <v>22</v>
      </c>
      <c r="E3246" s="1" t="s">
        <v>14720</v>
      </c>
      <c r="F3246" s="6"/>
      <c r="G3246" s="1" t="s">
        <v>14726</v>
      </c>
    </row>
    <row r="3247" spans="1:7" ht="21" x14ac:dyDescent="0.25">
      <c r="A3247" s="2" t="str">
        <f>HYPERLINK("https://rth.dk/resources/bsgatlas/details.php?id=BSGatlas-TSS-3246","BSGatlas-TSS-3246")</f>
        <v>BSGatlas-TSS-3246</v>
      </c>
      <c r="B3247" s="3">
        <v>4030583</v>
      </c>
      <c r="C3247" s="1" t="s">
        <v>13</v>
      </c>
      <c r="D3247" s="1">
        <v>0</v>
      </c>
      <c r="E3247" s="1" t="s">
        <v>14722</v>
      </c>
      <c r="F3247" s="6" t="s">
        <v>15142</v>
      </c>
      <c r="G3247" s="1" t="s">
        <v>14729</v>
      </c>
    </row>
    <row r="3248" spans="1:7" ht="21" x14ac:dyDescent="0.25">
      <c r="A3248" s="2" t="str">
        <f>HYPERLINK("https://rth.dk/resources/bsgatlas/details.php?id=BSGatlas-TSS-3247","BSGatlas-TSS-3247")</f>
        <v>BSGatlas-TSS-3247</v>
      </c>
      <c r="B3248" s="3">
        <v>4032287</v>
      </c>
      <c r="C3248" s="1" t="s">
        <v>13</v>
      </c>
      <c r="D3248" s="1">
        <v>22</v>
      </c>
      <c r="E3248" s="1" t="s">
        <v>14722</v>
      </c>
      <c r="F3248" s="6"/>
      <c r="G3248" s="1" t="s">
        <v>14726</v>
      </c>
    </row>
    <row r="3249" spans="1:7" ht="21" x14ac:dyDescent="0.25">
      <c r="A3249" s="2" t="str">
        <f>HYPERLINK("https://rth.dk/resources/bsgatlas/details.php?id=BSGatlas-TSS-3248","BSGatlas-TSS-3248")</f>
        <v>BSGatlas-TSS-3248</v>
      </c>
      <c r="B3249" s="3">
        <v>4035639</v>
      </c>
      <c r="C3249" s="1" t="s">
        <v>13</v>
      </c>
      <c r="D3249" s="1">
        <v>22</v>
      </c>
      <c r="E3249" s="1" t="s">
        <v>14720</v>
      </c>
      <c r="F3249" s="6"/>
      <c r="G3249" s="1" t="s">
        <v>14726</v>
      </c>
    </row>
    <row r="3250" spans="1:7" ht="21" x14ac:dyDescent="0.25">
      <c r="A3250" s="2" t="str">
        <f>HYPERLINK("https://rth.dk/resources/bsgatlas/details.php?id=BSGatlas-TSS-3249","BSGatlas-TSS-3249")</f>
        <v>BSGatlas-TSS-3249</v>
      </c>
      <c r="B3250" s="3">
        <v>4035816</v>
      </c>
      <c r="C3250" s="1" t="s">
        <v>13</v>
      </c>
      <c r="D3250" s="1">
        <v>0</v>
      </c>
      <c r="E3250" s="1" t="s">
        <v>14722</v>
      </c>
      <c r="F3250" s="6" t="s">
        <v>15143</v>
      </c>
      <c r="G3250" s="1" t="s">
        <v>14724</v>
      </c>
    </row>
    <row r="3251" spans="1:7" ht="21" x14ac:dyDescent="0.25">
      <c r="A3251" s="2" t="str">
        <f>HYPERLINK("https://rth.dk/resources/bsgatlas/details.php?id=BSGatlas-TSS-3250","BSGatlas-TSS-3250")</f>
        <v>BSGatlas-TSS-3250</v>
      </c>
      <c r="B3251" s="3">
        <v>4037663</v>
      </c>
      <c r="C3251" s="1" t="s">
        <v>13</v>
      </c>
      <c r="D3251" s="1">
        <v>22</v>
      </c>
      <c r="E3251" s="1" t="s">
        <v>14722</v>
      </c>
      <c r="F3251" s="6"/>
      <c r="G3251" s="1" t="s">
        <v>14726</v>
      </c>
    </row>
    <row r="3252" spans="1:7" ht="21" x14ac:dyDescent="0.25">
      <c r="A3252" s="2" t="str">
        <f>HYPERLINK("https://rth.dk/resources/bsgatlas/details.php?id=BSGatlas-TSS-3251","BSGatlas-TSS-3251")</f>
        <v>BSGatlas-TSS-3251</v>
      </c>
      <c r="B3252" s="3">
        <v>4039225</v>
      </c>
      <c r="C3252" s="1" t="s">
        <v>13</v>
      </c>
      <c r="D3252" s="1">
        <v>22</v>
      </c>
      <c r="E3252" s="1" t="s">
        <v>14722</v>
      </c>
      <c r="F3252" s="6"/>
      <c r="G3252" s="1" t="s">
        <v>14733</v>
      </c>
    </row>
    <row r="3253" spans="1:7" ht="21" x14ac:dyDescent="0.25">
      <c r="A3253" s="2" t="str">
        <f>HYPERLINK("https://rth.dk/resources/bsgatlas/details.php?id=BSGatlas-TSS-3252","BSGatlas-TSS-3252")</f>
        <v>BSGatlas-TSS-3252</v>
      </c>
      <c r="B3253" s="3">
        <v>4040985</v>
      </c>
      <c r="C3253" s="1" t="s">
        <v>13</v>
      </c>
      <c r="D3253" s="1">
        <v>33</v>
      </c>
      <c r="E3253" s="1" t="s">
        <v>14720</v>
      </c>
      <c r="F3253" s="6"/>
      <c r="G3253" s="1" t="s">
        <v>14721</v>
      </c>
    </row>
    <row r="3254" spans="1:7" ht="21" x14ac:dyDescent="0.25">
      <c r="A3254" s="2" t="str">
        <f>HYPERLINK("https://rth.dk/resources/bsgatlas/details.php?id=BSGatlas-TSS-3253","BSGatlas-TSS-3253")</f>
        <v>BSGatlas-TSS-3253</v>
      </c>
      <c r="B3254" s="3">
        <v>4041073</v>
      </c>
      <c r="C3254" s="1" t="s">
        <v>13</v>
      </c>
      <c r="D3254" s="1">
        <v>22</v>
      </c>
      <c r="E3254" s="1" t="s">
        <v>14745</v>
      </c>
      <c r="F3254" s="6"/>
      <c r="G3254" s="1" t="s">
        <v>14726</v>
      </c>
    </row>
    <row r="3255" spans="1:7" ht="21" x14ac:dyDescent="0.25">
      <c r="A3255" s="2" t="str">
        <f>HYPERLINK("https://rth.dk/resources/bsgatlas/details.php?id=BSGatlas-TSS-3254","BSGatlas-TSS-3254")</f>
        <v>BSGatlas-TSS-3254</v>
      </c>
      <c r="B3255" s="3">
        <v>4041381</v>
      </c>
      <c r="C3255" s="1" t="s">
        <v>13</v>
      </c>
      <c r="D3255" s="1">
        <v>22</v>
      </c>
      <c r="E3255" s="1" t="s">
        <v>14722</v>
      </c>
      <c r="F3255" s="6"/>
      <c r="G3255" s="1" t="s">
        <v>14726</v>
      </c>
    </row>
    <row r="3256" spans="1:7" ht="21" x14ac:dyDescent="0.25">
      <c r="A3256" s="2" t="str">
        <f>HYPERLINK("https://rth.dk/resources/bsgatlas/details.php?id=BSGatlas-TSS-3255","BSGatlas-TSS-3255")</f>
        <v>BSGatlas-TSS-3255</v>
      </c>
      <c r="B3256" s="3">
        <v>4041451</v>
      </c>
      <c r="C3256" s="1" t="s">
        <v>9</v>
      </c>
      <c r="D3256" s="1">
        <v>0</v>
      </c>
      <c r="E3256" s="1" t="s">
        <v>14722</v>
      </c>
      <c r="F3256" s="6" t="s">
        <v>15144</v>
      </c>
      <c r="G3256" s="1" t="s">
        <v>14729</v>
      </c>
    </row>
    <row r="3257" spans="1:7" ht="21" x14ac:dyDescent="0.25">
      <c r="A3257" s="2" t="str">
        <f>HYPERLINK("https://rth.dk/resources/bsgatlas/details.php?id=BSGatlas-TSS-3256","BSGatlas-TSS-3256")</f>
        <v>BSGatlas-TSS-3256</v>
      </c>
      <c r="B3257" s="3">
        <v>4052240</v>
      </c>
      <c r="C3257" s="1" t="s">
        <v>9</v>
      </c>
      <c r="D3257" s="1">
        <v>22</v>
      </c>
      <c r="E3257" s="1" t="s">
        <v>14722</v>
      </c>
      <c r="F3257" s="6"/>
      <c r="G3257" s="1" t="s">
        <v>14726</v>
      </c>
    </row>
    <row r="3258" spans="1:7" ht="21" x14ac:dyDescent="0.25">
      <c r="A3258" s="2" t="str">
        <f>HYPERLINK("https://rth.dk/resources/bsgatlas/details.php?id=BSGatlas-TSS-3257","BSGatlas-TSS-3257")</f>
        <v>BSGatlas-TSS-3257</v>
      </c>
      <c r="B3258" s="3">
        <v>4052304</v>
      </c>
      <c r="C3258" s="1" t="s">
        <v>13</v>
      </c>
      <c r="D3258" s="1">
        <v>0</v>
      </c>
      <c r="E3258" s="1" t="s">
        <v>14722</v>
      </c>
      <c r="F3258" s="6">
        <v>8550462</v>
      </c>
      <c r="G3258" s="1" t="s">
        <v>14730</v>
      </c>
    </row>
    <row r="3259" spans="1:7" ht="21" x14ac:dyDescent="0.25">
      <c r="A3259" s="2" t="str">
        <f>HYPERLINK("https://rth.dk/resources/bsgatlas/details.php?id=BSGatlas-TSS-3258","BSGatlas-TSS-3258")</f>
        <v>BSGatlas-TSS-3258</v>
      </c>
      <c r="B3259" s="3">
        <v>4053371</v>
      </c>
      <c r="C3259" s="1" t="s">
        <v>13</v>
      </c>
      <c r="D3259" s="1">
        <v>22</v>
      </c>
      <c r="E3259" s="1" t="s">
        <v>14722</v>
      </c>
      <c r="F3259" s="6"/>
      <c r="G3259" s="1" t="s">
        <v>14726</v>
      </c>
    </row>
    <row r="3260" spans="1:7" ht="21" x14ac:dyDescent="0.25">
      <c r="A3260" s="2" t="str">
        <f>HYPERLINK("https://rth.dk/resources/bsgatlas/details.php?id=BSGatlas-TSS-3259","BSGatlas-TSS-3259")</f>
        <v>BSGatlas-TSS-3259</v>
      </c>
      <c r="B3260" s="3">
        <v>4054319</v>
      </c>
      <c r="C3260" s="1" t="s">
        <v>13</v>
      </c>
      <c r="D3260" s="1">
        <v>22</v>
      </c>
      <c r="E3260" s="1" t="s">
        <v>14734</v>
      </c>
      <c r="F3260" s="6"/>
      <c r="G3260" s="1" t="s">
        <v>14726</v>
      </c>
    </row>
    <row r="3261" spans="1:7" ht="21" x14ac:dyDescent="0.25">
      <c r="A3261" s="2" t="str">
        <f>HYPERLINK("https://rth.dk/resources/bsgatlas/details.php?id=BSGatlas-TSS-3260","BSGatlas-TSS-3260")</f>
        <v>BSGatlas-TSS-3260</v>
      </c>
      <c r="B3261" s="3">
        <v>4059875</v>
      </c>
      <c r="C3261" s="1" t="s">
        <v>9</v>
      </c>
      <c r="D3261" s="1">
        <v>22</v>
      </c>
      <c r="E3261" s="1" t="s">
        <v>14739</v>
      </c>
      <c r="F3261" s="6"/>
      <c r="G3261" s="1" t="s">
        <v>14726</v>
      </c>
    </row>
    <row r="3262" spans="1:7" ht="21" x14ac:dyDescent="0.25">
      <c r="A3262" s="2" t="str">
        <f>HYPERLINK("https://rth.dk/resources/bsgatlas/details.php?id=BSGatlas-TSS-3261","BSGatlas-TSS-3261")</f>
        <v>BSGatlas-TSS-3261</v>
      </c>
      <c r="B3262" s="3">
        <v>4062223</v>
      </c>
      <c r="C3262" s="1" t="s">
        <v>13</v>
      </c>
      <c r="D3262" s="1">
        <v>0</v>
      </c>
      <c r="E3262" s="1" t="s">
        <v>14722</v>
      </c>
      <c r="F3262" s="6" t="s">
        <v>14848</v>
      </c>
      <c r="G3262" s="1" t="s">
        <v>14747</v>
      </c>
    </row>
    <row r="3263" spans="1:7" ht="21" x14ac:dyDescent="0.25">
      <c r="A3263" s="2" t="str">
        <f>HYPERLINK("https://rth.dk/resources/bsgatlas/details.php?id=BSGatlas-TSS-3262","BSGatlas-TSS-3262")</f>
        <v>BSGatlas-TSS-3262</v>
      </c>
      <c r="B3263" s="3">
        <v>4062224</v>
      </c>
      <c r="C3263" s="1" t="s">
        <v>13</v>
      </c>
      <c r="D3263" s="1">
        <v>0</v>
      </c>
      <c r="E3263" s="1" t="s">
        <v>14722</v>
      </c>
      <c r="F3263" s="6">
        <v>16513748</v>
      </c>
      <c r="G3263" s="1" t="s">
        <v>14730</v>
      </c>
    </row>
    <row r="3264" spans="1:7" ht="21" x14ac:dyDescent="0.25">
      <c r="A3264" s="2" t="str">
        <f>HYPERLINK("https://rth.dk/resources/bsgatlas/details.php?id=BSGatlas-TSS-3263","BSGatlas-TSS-3263")</f>
        <v>BSGatlas-TSS-3263</v>
      </c>
      <c r="B3264" s="3">
        <v>4062713</v>
      </c>
      <c r="C3264" s="1" t="s">
        <v>9</v>
      </c>
      <c r="D3264" s="1">
        <v>22</v>
      </c>
      <c r="E3264" s="1" t="s">
        <v>14725</v>
      </c>
      <c r="F3264" s="6"/>
      <c r="G3264" s="1" t="s">
        <v>14726</v>
      </c>
    </row>
    <row r="3265" spans="1:7" ht="21" x14ac:dyDescent="0.25">
      <c r="A3265" s="2" t="str">
        <f>HYPERLINK("https://rth.dk/resources/bsgatlas/details.php?id=BSGatlas-TSS-3264","BSGatlas-TSS-3264")</f>
        <v>BSGatlas-TSS-3264</v>
      </c>
      <c r="B3265" s="3">
        <v>4063595</v>
      </c>
      <c r="C3265" s="1" t="s">
        <v>13</v>
      </c>
      <c r="D3265" s="1">
        <v>22</v>
      </c>
      <c r="E3265" s="1" t="s">
        <v>14722</v>
      </c>
      <c r="F3265" s="6"/>
      <c r="G3265" s="1" t="s">
        <v>14726</v>
      </c>
    </row>
    <row r="3266" spans="1:7" ht="21" x14ac:dyDescent="0.25">
      <c r="A3266" s="2" t="str">
        <f>HYPERLINK("https://rth.dk/resources/bsgatlas/details.php?id=BSGatlas-TSS-3265","BSGatlas-TSS-3265")</f>
        <v>BSGatlas-TSS-3265</v>
      </c>
      <c r="B3266" s="3">
        <v>4064549</v>
      </c>
      <c r="C3266" s="1" t="s">
        <v>13</v>
      </c>
      <c r="D3266" s="1">
        <v>22</v>
      </c>
      <c r="E3266" s="1" t="s">
        <v>14722</v>
      </c>
      <c r="F3266" s="6"/>
      <c r="G3266" s="1" t="s">
        <v>14726</v>
      </c>
    </row>
    <row r="3267" spans="1:7" ht="21" x14ac:dyDescent="0.25">
      <c r="A3267" s="2" t="str">
        <f>HYPERLINK("https://rth.dk/resources/bsgatlas/details.php?id=BSGatlas-TSS-3266","BSGatlas-TSS-3266")</f>
        <v>BSGatlas-TSS-3266</v>
      </c>
      <c r="B3267" s="3">
        <v>4065552</v>
      </c>
      <c r="C3267" s="1" t="s">
        <v>9</v>
      </c>
      <c r="D3267" s="1">
        <v>22</v>
      </c>
      <c r="E3267" s="1" t="s">
        <v>14725</v>
      </c>
      <c r="F3267" s="6"/>
      <c r="G3267" s="1" t="s">
        <v>14726</v>
      </c>
    </row>
    <row r="3268" spans="1:7" ht="21" x14ac:dyDescent="0.25">
      <c r="A3268" s="2" t="str">
        <f>HYPERLINK("https://rth.dk/resources/bsgatlas/details.php?id=BSGatlas-TSS-3267","BSGatlas-TSS-3267")</f>
        <v>BSGatlas-TSS-3267</v>
      </c>
      <c r="B3268" s="3">
        <v>4065568</v>
      </c>
      <c r="C3268" s="1" t="s">
        <v>13</v>
      </c>
      <c r="D3268" s="1">
        <v>22</v>
      </c>
      <c r="E3268" s="1" t="s">
        <v>14720</v>
      </c>
      <c r="F3268" s="6"/>
      <c r="G3268" s="1" t="s">
        <v>14726</v>
      </c>
    </row>
    <row r="3269" spans="1:7" ht="21" x14ac:dyDescent="0.25">
      <c r="A3269" s="2" t="str">
        <f>HYPERLINK("https://rth.dk/resources/bsgatlas/details.php?id=BSGatlas-TSS-3268","BSGatlas-TSS-3268")</f>
        <v>BSGatlas-TSS-3268</v>
      </c>
      <c r="B3269" s="3">
        <v>4065980</v>
      </c>
      <c r="C3269" s="1" t="s">
        <v>13</v>
      </c>
      <c r="D3269" s="1">
        <v>22</v>
      </c>
      <c r="E3269" s="1" t="s">
        <v>14720</v>
      </c>
      <c r="F3269" s="6"/>
      <c r="G3269" s="1" t="s">
        <v>14733</v>
      </c>
    </row>
    <row r="3270" spans="1:7" ht="21" x14ac:dyDescent="0.25">
      <c r="A3270" s="2" t="str">
        <f>HYPERLINK("https://rth.dk/resources/bsgatlas/details.php?id=BSGatlas-TSS-3269","BSGatlas-TSS-3269")</f>
        <v>BSGatlas-TSS-3269</v>
      </c>
      <c r="B3270" s="3">
        <v>4066068</v>
      </c>
      <c r="C3270" s="1" t="s">
        <v>13</v>
      </c>
      <c r="D3270" s="1">
        <v>22</v>
      </c>
      <c r="E3270" s="1" t="s">
        <v>14722</v>
      </c>
      <c r="F3270" s="6"/>
      <c r="G3270" s="1" t="s">
        <v>14733</v>
      </c>
    </row>
    <row r="3271" spans="1:7" ht="21" x14ac:dyDescent="0.25">
      <c r="A3271" s="2" t="str">
        <f>HYPERLINK("https://rth.dk/resources/bsgatlas/details.php?id=BSGatlas-TSS-3270","BSGatlas-TSS-3270")</f>
        <v>BSGatlas-TSS-3270</v>
      </c>
      <c r="B3271" s="3">
        <v>4066177</v>
      </c>
      <c r="C3271" s="1" t="s">
        <v>9</v>
      </c>
      <c r="D3271" s="1">
        <v>0</v>
      </c>
      <c r="E3271" s="1" t="s">
        <v>14743</v>
      </c>
      <c r="F3271" s="6">
        <v>16497325</v>
      </c>
      <c r="G3271" s="1" t="s">
        <v>14730</v>
      </c>
    </row>
    <row r="3272" spans="1:7" ht="21" x14ac:dyDescent="0.25">
      <c r="A3272" s="2" t="str">
        <f>HYPERLINK("https://rth.dk/resources/bsgatlas/details.php?id=BSGatlas-TSS-3271","BSGatlas-TSS-3271")</f>
        <v>BSGatlas-TSS-3271</v>
      </c>
      <c r="B3272" s="3">
        <v>4067036</v>
      </c>
      <c r="C3272" s="1" t="s">
        <v>13</v>
      </c>
      <c r="D3272" s="1">
        <v>22</v>
      </c>
      <c r="E3272" s="1" t="s">
        <v>14722</v>
      </c>
      <c r="F3272" s="6"/>
      <c r="G3272" s="1" t="s">
        <v>14726</v>
      </c>
    </row>
    <row r="3273" spans="1:7" ht="21" x14ac:dyDescent="0.25">
      <c r="A3273" s="2" t="str">
        <f>HYPERLINK("https://rth.dk/resources/bsgatlas/details.php?id=BSGatlas-TSS-3272","BSGatlas-TSS-3272")</f>
        <v>BSGatlas-TSS-3272</v>
      </c>
      <c r="B3273" s="3">
        <v>4067124</v>
      </c>
      <c r="C3273" s="1" t="s">
        <v>13</v>
      </c>
      <c r="D3273" s="1">
        <v>22</v>
      </c>
      <c r="E3273" s="1" t="s">
        <v>14727</v>
      </c>
      <c r="F3273" s="6"/>
      <c r="G3273" s="1" t="s">
        <v>14726</v>
      </c>
    </row>
    <row r="3274" spans="1:7" ht="21" x14ac:dyDescent="0.25">
      <c r="A3274" s="2" t="str">
        <f>HYPERLINK("https://rth.dk/resources/bsgatlas/details.php?id=BSGatlas-TSS-3273","BSGatlas-TSS-3273")</f>
        <v>BSGatlas-TSS-3273</v>
      </c>
      <c r="B3274" s="3">
        <v>4067124</v>
      </c>
      <c r="C3274" s="1" t="s">
        <v>9</v>
      </c>
      <c r="D3274" s="1">
        <v>22</v>
      </c>
      <c r="E3274" s="1" t="s">
        <v>14722</v>
      </c>
      <c r="F3274" s="6"/>
      <c r="G3274" s="1" t="s">
        <v>14726</v>
      </c>
    </row>
    <row r="3275" spans="1:7" ht="21" x14ac:dyDescent="0.25">
      <c r="A3275" s="2" t="str">
        <f>HYPERLINK("https://rth.dk/resources/bsgatlas/details.php?id=BSGatlas-TSS-3274","BSGatlas-TSS-3274")</f>
        <v>BSGatlas-TSS-3274</v>
      </c>
      <c r="B3275" s="3">
        <v>4067576</v>
      </c>
      <c r="C3275" s="1" t="s">
        <v>9</v>
      </c>
      <c r="D3275" s="1">
        <v>22</v>
      </c>
      <c r="E3275" s="1" t="s">
        <v>14727</v>
      </c>
      <c r="F3275" s="6"/>
      <c r="G3275" s="1" t="s">
        <v>14726</v>
      </c>
    </row>
    <row r="3276" spans="1:7" ht="21" x14ac:dyDescent="0.25">
      <c r="A3276" s="2" t="str">
        <f>HYPERLINK("https://rth.dk/resources/bsgatlas/details.php?id=BSGatlas-TSS-3275","BSGatlas-TSS-3275")</f>
        <v>BSGatlas-TSS-3275</v>
      </c>
      <c r="B3276" s="3">
        <v>4073018</v>
      </c>
      <c r="C3276" s="1" t="s">
        <v>13</v>
      </c>
      <c r="D3276" s="1">
        <v>22</v>
      </c>
      <c r="E3276" s="1" t="s">
        <v>14722</v>
      </c>
      <c r="F3276" s="6"/>
      <c r="G3276" s="1" t="s">
        <v>14726</v>
      </c>
    </row>
    <row r="3277" spans="1:7" ht="21" x14ac:dyDescent="0.25">
      <c r="A3277" s="2" t="str">
        <f>HYPERLINK("https://rth.dk/resources/bsgatlas/details.php?id=BSGatlas-TSS-3276","BSGatlas-TSS-3276")</f>
        <v>BSGatlas-TSS-3276</v>
      </c>
      <c r="B3277" s="3">
        <v>4084417</v>
      </c>
      <c r="C3277" s="1" t="s">
        <v>9</v>
      </c>
      <c r="D3277" s="1">
        <v>22</v>
      </c>
      <c r="E3277" s="1" t="s">
        <v>14722</v>
      </c>
      <c r="F3277" s="6"/>
      <c r="G3277" s="1" t="s">
        <v>14733</v>
      </c>
    </row>
    <row r="3278" spans="1:7" ht="21" x14ac:dyDescent="0.25">
      <c r="A3278" s="2" t="str">
        <f>HYPERLINK("https://rth.dk/resources/bsgatlas/details.php?id=BSGatlas-TSS-3277","BSGatlas-TSS-3277")</f>
        <v>BSGatlas-TSS-3277</v>
      </c>
      <c r="B3278" s="3">
        <v>4084574</v>
      </c>
      <c r="C3278" s="1" t="s">
        <v>13</v>
      </c>
      <c r="D3278" s="1">
        <v>0</v>
      </c>
      <c r="E3278" s="1" t="s">
        <v>14722</v>
      </c>
      <c r="F3278" s="6" t="s">
        <v>15145</v>
      </c>
      <c r="G3278" s="1" t="s">
        <v>14724</v>
      </c>
    </row>
    <row r="3279" spans="1:7" ht="21" x14ac:dyDescent="0.25">
      <c r="A3279" s="2" t="str">
        <f>HYPERLINK("https://rth.dk/resources/bsgatlas/details.php?id=BSGatlas-TSS-3278","BSGatlas-TSS-3278")</f>
        <v>BSGatlas-TSS-3278</v>
      </c>
      <c r="B3279" s="3">
        <v>4084732</v>
      </c>
      <c r="C3279" s="1" t="s">
        <v>9</v>
      </c>
      <c r="D3279" s="1">
        <v>22</v>
      </c>
      <c r="E3279" s="1" t="s">
        <v>14722</v>
      </c>
      <c r="F3279" s="6"/>
      <c r="G3279" s="1" t="s">
        <v>14726</v>
      </c>
    </row>
    <row r="3280" spans="1:7" ht="21" x14ac:dyDescent="0.25">
      <c r="A3280" s="2" t="str">
        <f>HYPERLINK("https://rth.dk/resources/bsgatlas/details.php?id=BSGatlas-TSS-3279","BSGatlas-TSS-3279")</f>
        <v>BSGatlas-TSS-3279</v>
      </c>
      <c r="B3280" s="3">
        <v>4084759</v>
      </c>
      <c r="C3280" s="1" t="s">
        <v>13</v>
      </c>
      <c r="D3280" s="1">
        <v>22</v>
      </c>
      <c r="E3280" s="1" t="s">
        <v>14722</v>
      </c>
      <c r="F3280" s="6"/>
      <c r="G3280" s="1" t="s">
        <v>14733</v>
      </c>
    </row>
    <row r="3281" spans="1:7" ht="21" x14ac:dyDescent="0.25">
      <c r="A3281" s="2" t="str">
        <f>HYPERLINK("https://rth.dk/resources/bsgatlas/details.php?id=BSGatlas-TSS-3280","BSGatlas-TSS-3280")</f>
        <v>BSGatlas-TSS-3280</v>
      </c>
      <c r="B3281" s="3">
        <v>4084770</v>
      </c>
      <c r="C3281" s="1" t="s">
        <v>9</v>
      </c>
      <c r="D3281" s="1">
        <v>0</v>
      </c>
      <c r="E3281" s="1" t="s">
        <v>14722</v>
      </c>
      <c r="F3281" s="6" t="s">
        <v>15145</v>
      </c>
      <c r="G3281" s="1" t="s">
        <v>4382</v>
      </c>
    </row>
    <row r="3282" spans="1:7" ht="21" x14ac:dyDescent="0.25">
      <c r="A3282" s="2" t="str">
        <f>HYPERLINK("https://rth.dk/resources/bsgatlas/details.php?id=BSGatlas-TSS-3281","BSGatlas-TSS-3281")</f>
        <v>BSGatlas-TSS-3281</v>
      </c>
      <c r="B3282" s="3">
        <v>4085568</v>
      </c>
      <c r="C3282" s="1" t="s">
        <v>9</v>
      </c>
      <c r="D3282" s="1">
        <v>22</v>
      </c>
      <c r="E3282" s="1" t="s">
        <v>14722</v>
      </c>
      <c r="F3282" s="6"/>
      <c r="G3282" s="1" t="s">
        <v>14726</v>
      </c>
    </row>
    <row r="3283" spans="1:7" ht="21" x14ac:dyDescent="0.25">
      <c r="A3283" s="2" t="str">
        <f>HYPERLINK("https://rth.dk/resources/bsgatlas/details.php?id=BSGatlas-TSS-3282","BSGatlas-TSS-3282")</f>
        <v>BSGatlas-TSS-3282</v>
      </c>
      <c r="B3283" s="3">
        <v>4086646</v>
      </c>
      <c r="C3283" s="1" t="s">
        <v>9</v>
      </c>
      <c r="D3283" s="1">
        <v>22</v>
      </c>
      <c r="E3283" s="1" t="s">
        <v>14722</v>
      </c>
      <c r="F3283" s="6"/>
      <c r="G3283" s="1" t="s">
        <v>14733</v>
      </c>
    </row>
    <row r="3284" spans="1:7" ht="21" x14ac:dyDescent="0.25">
      <c r="A3284" s="2" t="str">
        <f>HYPERLINK("https://rth.dk/resources/bsgatlas/details.php?id=BSGatlas-TSS-3283","BSGatlas-TSS-3283")</f>
        <v>BSGatlas-TSS-3283</v>
      </c>
      <c r="B3284" s="3">
        <v>4087940</v>
      </c>
      <c r="C3284" s="1" t="s">
        <v>9</v>
      </c>
      <c r="D3284" s="1">
        <v>22</v>
      </c>
      <c r="E3284" s="1" t="s">
        <v>14734</v>
      </c>
      <c r="F3284" s="6"/>
      <c r="G3284" s="1" t="s">
        <v>14726</v>
      </c>
    </row>
    <row r="3285" spans="1:7" ht="21" x14ac:dyDescent="0.25">
      <c r="A3285" s="2" t="str">
        <f>HYPERLINK("https://rth.dk/resources/bsgatlas/details.php?id=BSGatlas-TSS-3284","BSGatlas-TSS-3284")</f>
        <v>BSGatlas-TSS-3284</v>
      </c>
      <c r="B3285" s="3">
        <v>4091346</v>
      </c>
      <c r="C3285" s="1" t="s">
        <v>13</v>
      </c>
      <c r="D3285" s="1">
        <v>0</v>
      </c>
      <c r="E3285" s="1" t="s">
        <v>14722</v>
      </c>
      <c r="F3285" s="6" t="s">
        <v>15146</v>
      </c>
      <c r="G3285" s="1" t="s">
        <v>4382</v>
      </c>
    </row>
    <row r="3286" spans="1:7" ht="21" x14ac:dyDescent="0.25">
      <c r="A3286" s="2" t="str">
        <f>HYPERLINK("https://rth.dk/resources/bsgatlas/details.php?id=BSGatlas-TSS-3285","BSGatlas-TSS-3285")</f>
        <v>BSGatlas-TSS-3285</v>
      </c>
      <c r="B3286" s="3">
        <v>4091407</v>
      </c>
      <c r="C3286" s="1" t="s">
        <v>13</v>
      </c>
      <c r="D3286" s="1">
        <v>22</v>
      </c>
      <c r="E3286" s="1" t="s">
        <v>14722</v>
      </c>
      <c r="F3286" s="6"/>
      <c r="G3286" s="1" t="s">
        <v>14733</v>
      </c>
    </row>
    <row r="3287" spans="1:7" ht="21" x14ac:dyDescent="0.25">
      <c r="A3287" s="2" t="str">
        <f>HYPERLINK("https://rth.dk/resources/bsgatlas/details.php?id=BSGatlas-TSS-3286","BSGatlas-TSS-3286")</f>
        <v>BSGatlas-TSS-3286</v>
      </c>
      <c r="B3287" s="3">
        <v>4091759</v>
      </c>
      <c r="C3287" s="1" t="s">
        <v>13</v>
      </c>
      <c r="D3287" s="1">
        <v>22</v>
      </c>
      <c r="E3287" s="1" t="s">
        <v>14722</v>
      </c>
      <c r="F3287" s="6"/>
      <c r="G3287" s="1" t="s">
        <v>14726</v>
      </c>
    </row>
    <row r="3288" spans="1:7" ht="21" x14ac:dyDescent="0.25">
      <c r="A3288" s="2" t="str">
        <f>HYPERLINK("https://rth.dk/resources/bsgatlas/details.php?id=BSGatlas-TSS-3287","BSGatlas-TSS-3287")</f>
        <v>BSGatlas-TSS-3287</v>
      </c>
      <c r="B3288" s="3">
        <v>4091813</v>
      </c>
      <c r="C3288" s="1" t="s">
        <v>9</v>
      </c>
      <c r="D3288" s="1">
        <v>22</v>
      </c>
      <c r="E3288" s="1" t="s">
        <v>14734</v>
      </c>
      <c r="F3288" s="6"/>
      <c r="G3288" s="1" t="s">
        <v>14726</v>
      </c>
    </row>
    <row r="3289" spans="1:7" ht="21" x14ac:dyDescent="0.25">
      <c r="A3289" s="2" t="str">
        <f>HYPERLINK("https://rth.dk/resources/bsgatlas/details.php?id=BSGatlas-TSS-3288","BSGatlas-TSS-3288")</f>
        <v>BSGatlas-TSS-3288</v>
      </c>
      <c r="B3289" s="3">
        <v>4093936</v>
      </c>
      <c r="C3289" s="1" t="s">
        <v>13</v>
      </c>
      <c r="D3289" s="1">
        <v>22</v>
      </c>
      <c r="E3289" s="1" t="s">
        <v>14722</v>
      </c>
      <c r="F3289" s="6"/>
      <c r="G3289" s="1" t="s">
        <v>14733</v>
      </c>
    </row>
    <row r="3290" spans="1:7" ht="21" x14ac:dyDescent="0.25">
      <c r="A3290" s="2" t="str">
        <f>HYPERLINK("https://rth.dk/resources/bsgatlas/details.php?id=BSGatlas-TSS-3289","BSGatlas-TSS-3289")</f>
        <v>BSGatlas-TSS-3289</v>
      </c>
      <c r="B3290" s="3">
        <v>4096948</v>
      </c>
      <c r="C3290" s="1" t="s">
        <v>13</v>
      </c>
      <c r="D3290" s="1">
        <v>22</v>
      </c>
      <c r="E3290" s="1" t="s">
        <v>14722</v>
      </c>
      <c r="F3290" s="6"/>
      <c r="G3290" s="1" t="s">
        <v>14726</v>
      </c>
    </row>
    <row r="3291" spans="1:7" ht="21" x14ac:dyDescent="0.25">
      <c r="A3291" s="2" t="str">
        <f>HYPERLINK("https://rth.dk/resources/bsgatlas/details.php?id=BSGatlas-TSS-3290","BSGatlas-TSS-3290")</f>
        <v>BSGatlas-TSS-3290</v>
      </c>
      <c r="B3291" s="3">
        <v>4096991</v>
      </c>
      <c r="C3291" s="1" t="s">
        <v>9</v>
      </c>
      <c r="D3291" s="1">
        <v>22</v>
      </c>
      <c r="E3291" s="1" t="s">
        <v>14722</v>
      </c>
      <c r="F3291" s="6"/>
      <c r="G3291" s="1" t="s">
        <v>14726</v>
      </c>
    </row>
    <row r="3292" spans="1:7" ht="21" x14ac:dyDescent="0.25">
      <c r="A3292" s="2" t="str">
        <f>HYPERLINK("https://rth.dk/resources/bsgatlas/details.php?id=BSGatlas-TSS-3291","BSGatlas-TSS-3291")</f>
        <v>BSGatlas-TSS-3291</v>
      </c>
      <c r="B3292" s="3">
        <v>4097017</v>
      </c>
      <c r="C3292" s="1" t="s">
        <v>13</v>
      </c>
      <c r="D3292" s="1">
        <v>22</v>
      </c>
      <c r="E3292" s="1" t="s">
        <v>14720</v>
      </c>
      <c r="F3292" s="6"/>
      <c r="G3292" s="1" t="s">
        <v>14726</v>
      </c>
    </row>
    <row r="3293" spans="1:7" ht="21" x14ac:dyDescent="0.25">
      <c r="A3293" s="2" t="str">
        <f>HYPERLINK("https://rth.dk/resources/bsgatlas/details.php?id=BSGatlas-TSS-3292","BSGatlas-TSS-3292")</f>
        <v>BSGatlas-TSS-3292</v>
      </c>
      <c r="B3293" s="3">
        <v>4102143</v>
      </c>
      <c r="C3293" s="1" t="s">
        <v>13</v>
      </c>
      <c r="D3293" s="1">
        <v>22</v>
      </c>
      <c r="E3293" s="1" t="s">
        <v>14734</v>
      </c>
      <c r="F3293" s="6"/>
      <c r="G3293" s="1" t="s">
        <v>14726</v>
      </c>
    </row>
    <row r="3294" spans="1:7" ht="21" x14ac:dyDescent="0.25">
      <c r="A3294" s="2" t="str">
        <f>HYPERLINK("https://rth.dk/resources/bsgatlas/details.php?id=BSGatlas-TSS-3293","BSGatlas-TSS-3293")</f>
        <v>BSGatlas-TSS-3293</v>
      </c>
      <c r="B3294" s="3">
        <v>4103705</v>
      </c>
      <c r="C3294" s="1" t="s">
        <v>13</v>
      </c>
      <c r="D3294" s="1">
        <v>22</v>
      </c>
      <c r="E3294" s="1" t="s">
        <v>14722</v>
      </c>
      <c r="F3294" s="6"/>
      <c r="G3294" s="1" t="s">
        <v>14726</v>
      </c>
    </row>
    <row r="3295" spans="1:7" ht="21" x14ac:dyDescent="0.25">
      <c r="A3295" s="2" t="str">
        <f>HYPERLINK("https://rth.dk/resources/bsgatlas/details.php?id=BSGatlas-TSS-3294","BSGatlas-TSS-3294")</f>
        <v>BSGatlas-TSS-3294</v>
      </c>
      <c r="B3295" s="3">
        <v>4104229</v>
      </c>
      <c r="C3295" s="1" t="s">
        <v>13</v>
      </c>
      <c r="D3295" s="1">
        <v>22</v>
      </c>
      <c r="E3295" s="1" t="s">
        <v>14722</v>
      </c>
      <c r="F3295" s="6"/>
      <c r="G3295" s="1" t="s">
        <v>14726</v>
      </c>
    </row>
    <row r="3296" spans="1:7" ht="21" x14ac:dyDescent="0.25">
      <c r="A3296" s="2" t="str">
        <f>HYPERLINK("https://rth.dk/resources/bsgatlas/details.php?id=BSGatlas-TSS-3295","BSGatlas-TSS-3295")</f>
        <v>BSGatlas-TSS-3295</v>
      </c>
      <c r="B3296" s="3">
        <v>4104396</v>
      </c>
      <c r="C3296" s="1" t="s">
        <v>9</v>
      </c>
      <c r="D3296" s="1">
        <v>22</v>
      </c>
      <c r="E3296" s="1" t="s">
        <v>14722</v>
      </c>
      <c r="F3296" s="6"/>
      <c r="G3296" s="1" t="s">
        <v>14726</v>
      </c>
    </row>
    <row r="3297" spans="1:7" ht="21" x14ac:dyDescent="0.25">
      <c r="A3297" s="2" t="str">
        <f>HYPERLINK("https://rth.dk/resources/bsgatlas/details.php?id=BSGatlas-TSS-3296","BSGatlas-TSS-3296")</f>
        <v>BSGatlas-TSS-3296</v>
      </c>
      <c r="B3297" s="3">
        <v>4107332</v>
      </c>
      <c r="C3297" s="1" t="s">
        <v>13</v>
      </c>
      <c r="D3297" s="1">
        <v>22</v>
      </c>
      <c r="E3297" s="1" t="s">
        <v>14722</v>
      </c>
      <c r="F3297" s="6"/>
      <c r="G3297" s="1" t="s">
        <v>14733</v>
      </c>
    </row>
    <row r="3298" spans="1:7" ht="21" x14ac:dyDescent="0.25">
      <c r="A3298" s="2" t="str">
        <f>HYPERLINK("https://rth.dk/resources/bsgatlas/details.php?id=BSGatlas-TSS-3297","BSGatlas-TSS-3297")</f>
        <v>BSGatlas-TSS-3297</v>
      </c>
      <c r="B3298" s="3">
        <v>4107970</v>
      </c>
      <c r="C3298" s="1" t="s">
        <v>13</v>
      </c>
      <c r="D3298" s="1">
        <v>22</v>
      </c>
      <c r="E3298" s="1" t="s">
        <v>14722</v>
      </c>
      <c r="F3298" s="6"/>
      <c r="G3298" s="1" t="s">
        <v>14726</v>
      </c>
    </row>
    <row r="3299" spans="1:7" ht="21" x14ac:dyDescent="0.25">
      <c r="A3299" s="2" t="str">
        <f>HYPERLINK("https://rth.dk/resources/bsgatlas/details.php?id=BSGatlas-TSS-3298","BSGatlas-TSS-3298")</f>
        <v>BSGatlas-TSS-3298</v>
      </c>
      <c r="B3299" s="3">
        <v>4108026</v>
      </c>
      <c r="C3299" s="1" t="s">
        <v>9</v>
      </c>
      <c r="D3299" s="1">
        <v>22</v>
      </c>
      <c r="E3299" s="1" t="s">
        <v>14734</v>
      </c>
      <c r="F3299" s="6"/>
      <c r="G3299" s="1" t="s">
        <v>14726</v>
      </c>
    </row>
    <row r="3300" spans="1:7" ht="21" x14ac:dyDescent="0.25">
      <c r="A3300" s="2" t="str">
        <f>HYPERLINK("https://rth.dk/resources/bsgatlas/details.php?id=BSGatlas-TSS-3299","BSGatlas-TSS-3299")</f>
        <v>BSGatlas-TSS-3299</v>
      </c>
      <c r="B3300" s="3">
        <v>4109676</v>
      </c>
      <c r="C3300" s="1" t="s">
        <v>9</v>
      </c>
      <c r="D3300" s="1">
        <v>22</v>
      </c>
      <c r="E3300" s="1" t="s">
        <v>14722</v>
      </c>
      <c r="F3300" s="6"/>
      <c r="G3300" s="1" t="s">
        <v>14733</v>
      </c>
    </row>
    <row r="3301" spans="1:7" ht="21" x14ac:dyDescent="0.25">
      <c r="A3301" s="2" t="str">
        <f>HYPERLINK("https://rth.dk/resources/bsgatlas/details.php?id=BSGatlas-TSS-3300","BSGatlas-TSS-3300")</f>
        <v>BSGatlas-TSS-3300</v>
      </c>
      <c r="B3301" s="3">
        <v>4109748</v>
      </c>
      <c r="C3301" s="1" t="s">
        <v>13</v>
      </c>
      <c r="D3301" s="1">
        <v>22</v>
      </c>
      <c r="E3301" s="1" t="s">
        <v>14722</v>
      </c>
      <c r="F3301" s="6"/>
      <c r="G3301" s="1" t="s">
        <v>14726</v>
      </c>
    </row>
    <row r="3302" spans="1:7" ht="21" x14ac:dyDescent="0.25">
      <c r="A3302" s="2" t="str">
        <f>HYPERLINK("https://rth.dk/resources/bsgatlas/details.php?id=BSGatlas-TSS-3301","BSGatlas-TSS-3301")</f>
        <v>BSGatlas-TSS-3301</v>
      </c>
      <c r="B3302" s="3">
        <v>4111963</v>
      </c>
      <c r="C3302" s="1" t="s">
        <v>9</v>
      </c>
      <c r="D3302" s="1">
        <v>22</v>
      </c>
      <c r="E3302" s="1" t="s">
        <v>14722</v>
      </c>
      <c r="F3302" s="6"/>
      <c r="G3302" s="1" t="s">
        <v>14726</v>
      </c>
    </row>
    <row r="3303" spans="1:7" ht="21" x14ac:dyDescent="0.25">
      <c r="A3303" s="2" t="str">
        <f>HYPERLINK("https://rth.dk/resources/bsgatlas/details.php?id=BSGatlas-TSS-3302","BSGatlas-TSS-3302")</f>
        <v>BSGatlas-TSS-3302</v>
      </c>
      <c r="B3303" s="3">
        <v>4112035</v>
      </c>
      <c r="C3303" s="1" t="s">
        <v>13</v>
      </c>
      <c r="D3303" s="1">
        <v>22</v>
      </c>
      <c r="E3303" s="1" t="s">
        <v>14734</v>
      </c>
      <c r="F3303" s="6"/>
      <c r="G3303" s="1" t="s">
        <v>14726</v>
      </c>
    </row>
    <row r="3304" spans="1:7" ht="21" x14ac:dyDescent="0.25">
      <c r="A3304" s="2" t="str">
        <f>HYPERLINK("https://rth.dk/resources/bsgatlas/details.php?id=BSGatlas-TSS-3303","BSGatlas-TSS-3303")</f>
        <v>BSGatlas-TSS-3303</v>
      </c>
      <c r="B3304" s="3">
        <v>4113261</v>
      </c>
      <c r="C3304" s="1" t="s">
        <v>13</v>
      </c>
      <c r="D3304" s="1">
        <v>0</v>
      </c>
      <c r="E3304" s="1" t="s">
        <v>14722</v>
      </c>
      <c r="F3304" s="6">
        <v>17962296</v>
      </c>
      <c r="G3304" s="1" t="s">
        <v>14747</v>
      </c>
    </row>
    <row r="3305" spans="1:7" ht="21" x14ac:dyDescent="0.25">
      <c r="A3305" s="2" t="str">
        <f>HYPERLINK("https://rth.dk/resources/bsgatlas/details.php?id=BSGatlas-TSS-3304","BSGatlas-TSS-3304")</f>
        <v>BSGatlas-TSS-3304</v>
      </c>
      <c r="B3305" s="3">
        <v>4113383</v>
      </c>
      <c r="C3305" s="1" t="s">
        <v>9</v>
      </c>
      <c r="D3305" s="1">
        <v>0</v>
      </c>
      <c r="E3305" s="1" t="s">
        <v>14722</v>
      </c>
      <c r="F3305" s="6" t="s">
        <v>15147</v>
      </c>
      <c r="G3305" s="1" t="s">
        <v>14729</v>
      </c>
    </row>
    <row r="3306" spans="1:7" ht="21" x14ac:dyDescent="0.25">
      <c r="A3306" s="2" t="str">
        <f>HYPERLINK("https://rth.dk/resources/bsgatlas/details.php?id=BSGatlas-TSS-3305","BSGatlas-TSS-3305")</f>
        <v>BSGatlas-TSS-3305</v>
      </c>
      <c r="B3306" s="3">
        <v>4116539</v>
      </c>
      <c r="C3306" s="1" t="s">
        <v>9</v>
      </c>
      <c r="D3306" s="1">
        <v>22</v>
      </c>
      <c r="E3306" s="1" t="s">
        <v>14722</v>
      </c>
      <c r="F3306" s="6"/>
      <c r="G3306" s="1" t="s">
        <v>14726</v>
      </c>
    </row>
    <row r="3307" spans="1:7" ht="21" x14ac:dyDescent="0.25">
      <c r="A3307" s="2" t="str">
        <f>HYPERLINK("https://rth.dk/resources/bsgatlas/details.php?id=BSGatlas-TSS-3306","BSGatlas-TSS-3306")</f>
        <v>BSGatlas-TSS-3306</v>
      </c>
      <c r="B3307" s="3">
        <v>4117054</v>
      </c>
      <c r="C3307" s="1" t="s">
        <v>9</v>
      </c>
      <c r="D3307" s="1">
        <v>0</v>
      </c>
      <c r="E3307" s="1" t="s">
        <v>14722</v>
      </c>
      <c r="F3307" s="6">
        <v>2419835</v>
      </c>
      <c r="G3307" s="1" t="s">
        <v>4684</v>
      </c>
    </row>
    <row r="3308" spans="1:7" ht="21" x14ac:dyDescent="0.25">
      <c r="A3308" s="2" t="str">
        <f>HYPERLINK("https://rth.dk/resources/bsgatlas/details.php?id=BSGatlas-TSS-3307","BSGatlas-TSS-3307")</f>
        <v>BSGatlas-TSS-3307</v>
      </c>
      <c r="B3308" s="3">
        <v>4117061</v>
      </c>
      <c r="C3308" s="1" t="s">
        <v>9</v>
      </c>
      <c r="D3308" s="1">
        <v>0</v>
      </c>
      <c r="E3308" s="1" t="s">
        <v>14720</v>
      </c>
      <c r="F3308" s="6">
        <v>2419835</v>
      </c>
      <c r="G3308" s="1" t="s">
        <v>4684</v>
      </c>
    </row>
    <row r="3309" spans="1:7" ht="21" x14ac:dyDescent="0.25">
      <c r="A3309" s="2" t="str">
        <f>HYPERLINK("https://rth.dk/resources/bsgatlas/details.php?id=BSGatlas-TSS-3308","BSGatlas-TSS-3308")</f>
        <v>BSGatlas-TSS-3308</v>
      </c>
      <c r="B3309" s="3">
        <v>4118585</v>
      </c>
      <c r="C3309" s="1" t="s">
        <v>9</v>
      </c>
      <c r="D3309" s="1">
        <v>22</v>
      </c>
      <c r="E3309" s="1" t="s">
        <v>14722</v>
      </c>
      <c r="F3309" s="6"/>
      <c r="G3309" s="1" t="s">
        <v>14733</v>
      </c>
    </row>
    <row r="3310" spans="1:7" ht="21" x14ac:dyDescent="0.25">
      <c r="A3310" s="2" t="str">
        <f>HYPERLINK("https://rth.dk/resources/bsgatlas/details.php?id=BSGatlas-TSS-3309","BSGatlas-TSS-3309")</f>
        <v>BSGatlas-TSS-3309</v>
      </c>
      <c r="B3310" s="3">
        <v>4118886</v>
      </c>
      <c r="C3310" s="1" t="s">
        <v>9</v>
      </c>
      <c r="D3310" s="1">
        <v>0</v>
      </c>
      <c r="E3310" s="1" t="s">
        <v>14722</v>
      </c>
      <c r="F3310" s="6" t="s">
        <v>15148</v>
      </c>
      <c r="G3310" s="1" t="s">
        <v>14729</v>
      </c>
    </row>
    <row r="3311" spans="1:7" ht="21" x14ac:dyDescent="0.25">
      <c r="A3311" s="2" t="str">
        <f>HYPERLINK("https://rth.dk/resources/bsgatlas/details.php?id=BSGatlas-TSS-3310","BSGatlas-TSS-3310")</f>
        <v>BSGatlas-TSS-3310</v>
      </c>
      <c r="B3311" s="3">
        <v>4118925</v>
      </c>
      <c r="C3311" s="1" t="s">
        <v>13</v>
      </c>
      <c r="D3311" s="1">
        <v>22</v>
      </c>
      <c r="E3311" s="1" t="s">
        <v>14720</v>
      </c>
      <c r="F3311" s="6"/>
      <c r="G3311" s="1" t="s">
        <v>14726</v>
      </c>
    </row>
    <row r="3312" spans="1:7" ht="21" x14ac:dyDescent="0.25">
      <c r="A3312" s="2" t="str">
        <f>HYPERLINK("https://rth.dk/resources/bsgatlas/details.php?id=BSGatlas-TSS-3311","BSGatlas-TSS-3311")</f>
        <v>BSGatlas-TSS-3311</v>
      </c>
      <c r="B3312" s="3">
        <v>4118937</v>
      </c>
      <c r="C3312" s="1" t="s">
        <v>9</v>
      </c>
      <c r="D3312" s="1">
        <v>22</v>
      </c>
      <c r="E3312" s="1" t="s">
        <v>14722</v>
      </c>
      <c r="F3312" s="6"/>
      <c r="G3312" s="1" t="s">
        <v>14726</v>
      </c>
    </row>
    <row r="3313" spans="1:7" ht="21" x14ac:dyDescent="0.25">
      <c r="A3313" s="2" t="str">
        <f>HYPERLINK("https://rth.dk/resources/bsgatlas/details.php?id=BSGatlas-TSS-3312","BSGatlas-TSS-3312")</f>
        <v>BSGatlas-TSS-3312</v>
      </c>
      <c r="B3313" s="3">
        <v>4123063</v>
      </c>
      <c r="C3313" s="1" t="s">
        <v>13</v>
      </c>
      <c r="D3313" s="1">
        <v>22</v>
      </c>
      <c r="E3313" s="1" t="s">
        <v>14722</v>
      </c>
      <c r="F3313" s="6"/>
      <c r="G3313" s="1" t="s">
        <v>14733</v>
      </c>
    </row>
    <row r="3314" spans="1:7" ht="21" x14ac:dyDescent="0.25">
      <c r="A3314" s="2" t="str">
        <f>HYPERLINK("https://rth.dk/resources/bsgatlas/details.php?id=BSGatlas-TSS-3313","BSGatlas-TSS-3313")</f>
        <v>BSGatlas-TSS-3313</v>
      </c>
      <c r="B3314" s="3">
        <v>4123158</v>
      </c>
      <c r="C3314" s="1" t="s">
        <v>9</v>
      </c>
      <c r="D3314" s="1">
        <v>22</v>
      </c>
      <c r="E3314" s="1" t="s">
        <v>14722</v>
      </c>
      <c r="F3314" s="6"/>
      <c r="G3314" s="1" t="s">
        <v>14726</v>
      </c>
    </row>
    <row r="3315" spans="1:7" ht="21" x14ac:dyDescent="0.25">
      <c r="A3315" s="2" t="str">
        <f>HYPERLINK("https://rth.dk/resources/bsgatlas/details.php?id=BSGatlas-TSS-3314","BSGatlas-TSS-3314")</f>
        <v>BSGatlas-TSS-3314</v>
      </c>
      <c r="B3315" s="3">
        <v>4124877</v>
      </c>
      <c r="C3315" s="1" t="s">
        <v>9</v>
      </c>
      <c r="D3315" s="1">
        <v>22</v>
      </c>
      <c r="E3315" s="1" t="s">
        <v>14720</v>
      </c>
      <c r="F3315" s="6"/>
      <c r="G3315" s="1" t="s">
        <v>14726</v>
      </c>
    </row>
    <row r="3316" spans="1:7" ht="21" x14ac:dyDescent="0.25">
      <c r="A3316" s="2" t="str">
        <f>HYPERLINK("https://rth.dk/resources/bsgatlas/details.php?id=BSGatlas-TSS-3315","BSGatlas-TSS-3315")</f>
        <v>BSGatlas-TSS-3315</v>
      </c>
      <c r="B3316" s="3">
        <v>4126206</v>
      </c>
      <c r="C3316" s="1" t="s">
        <v>13</v>
      </c>
      <c r="D3316" s="1">
        <v>22</v>
      </c>
      <c r="E3316" s="1" t="s">
        <v>14722</v>
      </c>
      <c r="F3316" s="6"/>
      <c r="G3316" s="1" t="s">
        <v>14726</v>
      </c>
    </row>
    <row r="3317" spans="1:7" ht="21" x14ac:dyDescent="0.25">
      <c r="A3317" s="2" t="str">
        <f>HYPERLINK("https://rth.dk/resources/bsgatlas/details.php?id=BSGatlas-TSS-3316","BSGatlas-TSS-3316")</f>
        <v>BSGatlas-TSS-3316</v>
      </c>
      <c r="B3317" s="3">
        <v>4127484</v>
      </c>
      <c r="C3317" s="1" t="s">
        <v>9</v>
      </c>
      <c r="D3317" s="1">
        <v>22</v>
      </c>
      <c r="E3317" s="1" t="s">
        <v>14720</v>
      </c>
      <c r="F3317" s="6"/>
      <c r="G3317" s="1" t="s">
        <v>14726</v>
      </c>
    </row>
    <row r="3318" spans="1:7" ht="21" x14ac:dyDescent="0.25">
      <c r="A3318" s="2" t="str">
        <f>HYPERLINK("https://rth.dk/resources/bsgatlas/details.php?id=BSGatlas-TSS-3317","BSGatlas-TSS-3317")</f>
        <v>BSGatlas-TSS-3317</v>
      </c>
      <c r="B3318" s="3">
        <v>4127561</v>
      </c>
      <c r="C3318" s="1" t="s">
        <v>9</v>
      </c>
      <c r="D3318" s="1">
        <v>22</v>
      </c>
      <c r="E3318" s="1" t="s">
        <v>14720</v>
      </c>
      <c r="F3318" s="6"/>
      <c r="G3318" s="1" t="s">
        <v>14726</v>
      </c>
    </row>
    <row r="3319" spans="1:7" ht="21" x14ac:dyDescent="0.25">
      <c r="A3319" s="2" t="str">
        <f>HYPERLINK("https://rth.dk/resources/bsgatlas/details.php?id=BSGatlas-TSS-3318","BSGatlas-TSS-3318")</f>
        <v>BSGatlas-TSS-3318</v>
      </c>
      <c r="B3319" s="3">
        <v>4127672</v>
      </c>
      <c r="C3319" s="1" t="s">
        <v>13</v>
      </c>
      <c r="D3319" s="1">
        <v>0</v>
      </c>
      <c r="E3319" s="1" t="s">
        <v>14722</v>
      </c>
      <c r="F3319" s="6" t="s">
        <v>15149</v>
      </c>
      <c r="G3319" s="1" t="s">
        <v>14729</v>
      </c>
    </row>
    <row r="3320" spans="1:7" ht="21" x14ac:dyDescent="0.25">
      <c r="A3320" s="2" t="str">
        <f>HYPERLINK("https://rth.dk/resources/bsgatlas/details.php?id=BSGatlas-TSS-3319","BSGatlas-TSS-3319")</f>
        <v>BSGatlas-TSS-3319</v>
      </c>
      <c r="B3320" s="3">
        <v>4128024</v>
      </c>
      <c r="C3320" s="1" t="s">
        <v>9</v>
      </c>
      <c r="D3320" s="1">
        <v>0</v>
      </c>
      <c r="E3320" s="1" t="s">
        <v>14722</v>
      </c>
      <c r="F3320" s="6" t="s">
        <v>15150</v>
      </c>
      <c r="G3320" s="1" t="s">
        <v>14729</v>
      </c>
    </row>
    <row r="3321" spans="1:7" ht="21" x14ac:dyDescent="0.25">
      <c r="A3321" s="2" t="str">
        <f>HYPERLINK("https://rth.dk/resources/bsgatlas/details.php?id=BSGatlas-TSS-3320","BSGatlas-TSS-3320")</f>
        <v>BSGatlas-TSS-3320</v>
      </c>
      <c r="B3321" s="3">
        <v>4131411</v>
      </c>
      <c r="C3321" s="1" t="s">
        <v>9</v>
      </c>
      <c r="D3321" s="1">
        <v>22</v>
      </c>
      <c r="E3321" s="1" t="s">
        <v>14720</v>
      </c>
      <c r="F3321" s="6"/>
      <c r="G3321" s="1" t="s">
        <v>14726</v>
      </c>
    </row>
    <row r="3322" spans="1:7" ht="21" x14ac:dyDescent="0.25">
      <c r="A3322" s="2" t="str">
        <f>HYPERLINK("https://rth.dk/resources/bsgatlas/details.php?id=BSGatlas-TSS-3321","BSGatlas-TSS-3321")</f>
        <v>BSGatlas-TSS-3321</v>
      </c>
      <c r="B3322" s="3">
        <v>4133453</v>
      </c>
      <c r="C3322" s="1" t="s">
        <v>9</v>
      </c>
      <c r="D3322" s="1">
        <v>22</v>
      </c>
      <c r="E3322" s="1" t="s">
        <v>14720</v>
      </c>
      <c r="F3322" s="6"/>
      <c r="G3322" s="1" t="s">
        <v>14726</v>
      </c>
    </row>
    <row r="3323" spans="1:7" ht="21" x14ac:dyDescent="0.25">
      <c r="A3323" s="2" t="str">
        <f>HYPERLINK("https://rth.dk/resources/bsgatlas/details.php?id=BSGatlas-TSS-3322","BSGatlas-TSS-3322")</f>
        <v>BSGatlas-TSS-3322</v>
      </c>
      <c r="B3323" s="3">
        <v>4135223</v>
      </c>
      <c r="C3323" s="1" t="s">
        <v>13</v>
      </c>
      <c r="D3323" s="1">
        <v>22</v>
      </c>
      <c r="E3323" s="1" t="s">
        <v>14722</v>
      </c>
      <c r="F3323" s="6"/>
      <c r="G3323" s="1" t="s">
        <v>14726</v>
      </c>
    </row>
    <row r="3324" spans="1:7" ht="21" x14ac:dyDescent="0.25">
      <c r="A3324" s="2" t="str">
        <f>HYPERLINK("https://rth.dk/resources/bsgatlas/details.php?id=BSGatlas-TSS-3323","BSGatlas-TSS-3323")</f>
        <v>BSGatlas-TSS-3323</v>
      </c>
      <c r="B3324" s="3">
        <v>4135326</v>
      </c>
      <c r="C3324" s="1" t="s">
        <v>9</v>
      </c>
      <c r="D3324" s="1">
        <v>22</v>
      </c>
      <c r="E3324" s="1" t="s">
        <v>14722</v>
      </c>
      <c r="F3324" s="6"/>
      <c r="G3324" s="1" t="s">
        <v>14726</v>
      </c>
    </row>
    <row r="3325" spans="1:7" ht="21" x14ac:dyDescent="0.25">
      <c r="A3325" s="2" t="str">
        <f>HYPERLINK("https://rth.dk/resources/bsgatlas/details.php?id=BSGatlas-TSS-3324","BSGatlas-TSS-3324")</f>
        <v>BSGatlas-TSS-3324</v>
      </c>
      <c r="B3325" s="3">
        <v>4137052</v>
      </c>
      <c r="C3325" s="1" t="s">
        <v>13</v>
      </c>
      <c r="D3325" s="1">
        <v>22</v>
      </c>
      <c r="E3325" s="1" t="s">
        <v>14745</v>
      </c>
      <c r="F3325" s="6"/>
      <c r="G3325" s="1" t="s">
        <v>14726</v>
      </c>
    </row>
    <row r="3326" spans="1:7" ht="21" x14ac:dyDescent="0.25">
      <c r="A3326" s="2" t="str">
        <f>HYPERLINK("https://rth.dk/resources/bsgatlas/details.php?id=BSGatlas-TSS-3325","BSGatlas-TSS-3325")</f>
        <v>BSGatlas-TSS-3325</v>
      </c>
      <c r="B3326" s="3">
        <v>4137294</v>
      </c>
      <c r="C3326" s="1" t="s">
        <v>13</v>
      </c>
      <c r="D3326" s="1">
        <v>22</v>
      </c>
      <c r="E3326" s="1" t="s">
        <v>14734</v>
      </c>
      <c r="F3326" s="6"/>
      <c r="G3326" s="1" t="s">
        <v>14726</v>
      </c>
    </row>
    <row r="3327" spans="1:7" ht="21" x14ac:dyDescent="0.25">
      <c r="A3327" s="2" t="str">
        <f>HYPERLINK("https://rth.dk/resources/bsgatlas/details.php?id=BSGatlas-TSS-3326","BSGatlas-TSS-3326")</f>
        <v>BSGatlas-TSS-3326</v>
      </c>
      <c r="B3327" s="3">
        <v>4137668</v>
      </c>
      <c r="C3327" s="1" t="s">
        <v>13</v>
      </c>
      <c r="D3327" s="1">
        <v>22</v>
      </c>
      <c r="E3327" s="1" t="s">
        <v>14745</v>
      </c>
      <c r="F3327" s="6"/>
      <c r="G3327" s="1" t="s">
        <v>14726</v>
      </c>
    </row>
    <row r="3328" spans="1:7" ht="21" x14ac:dyDescent="0.25">
      <c r="A3328" s="2" t="str">
        <f>HYPERLINK("https://rth.dk/resources/bsgatlas/details.php?id=BSGatlas-TSS-3327","BSGatlas-TSS-3327")</f>
        <v>BSGatlas-TSS-3327</v>
      </c>
      <c r="B3328" s="3">
        <v>4139585</v>
      </c>
      <c r="C3328" s="1" t="s">
        <v>13</v>
      </c>
      <c r="D3328" s="1">
        <v>22</v>
      </c>
      <c r="E3328" s="1" t="s">
        <v>14725</v>
      </c>
      <c r="F3328" s="6"/>
      <c r="G3328" s="1" t="s">
        <v>14726</v>
      </c>
    </row>
    <row r="3329" spans="1:7" ht="21" x14ac:dyDescent="0.25">
      <c r="A3329" s="2" t="str">
        <f>HYPERLINK("https://rth.dk/resources/bsgatlas/details.php?id=BSGatlas-TSS-3328","BSGatlas-TSS-3328")</f>
        <v>BSGatlas-TSS-3328</v>
      </c>
      <c r="B3329" s="3">
        <v>4140215</v>
      </c>
      <c r="C3329" s="1" t="s">
        <v>9</v>
      </c>
      <c r="D3329" s="1">
        <v>0</v>
      </c>
      <c r="E3329" s="1" t="s">
        <v>14722</v>
      </c>
      <c r="F3329" s="6" t="s">
        <v>14827</v>
      </c>
      <c r="G3329" s="1" t="s">
        <v>14729</v>
      </c>
    </row>
    <row r="3330" spans="1:7" ht="21" x14ac:dyDescent="0.25">
      <c r="A3330" s="2" t="str">
        <f>HYPERLINK("https://rth.dk/resources/bsgatlas/details.php?id=BSGatlas-TSS-3329","BSGatlas-TSS-3329")</f>
        <v>BSGatlas-TSS-3329</v>
      </c>
      <c r="B3330" s="3">
        <v>4140220</v>
      </c>
      <c r="C3330" s="1" t="s">
        <v>13</v>
      </c>
      <c r="D3330" s="1">
        <v>22</v>
      </c>
      <c r="E3330" s="1" t="s">
        <v>14722</v>
      </c>
      <c r="F3330" s="6"/>
      <c r="G3330" s="1" t="s">
        <v>14733</v>
      </c>
    </row>
    <row r="3331" spans="1:7" ht="21" x14ac:dyDescent="0.25">
      <c r="A3331" s="2" t="str">
        <f>HYPERLINK("https://rth.dk/resources/bsgatlas/details.php?id=BSGatlas-TSS-3330","BSGatlas-TSS-3330")</f>
        <v>BSGatlas-TSS-3330</v>
      </c>
      <c r="B3331" s="3">
        <v>4140497</v>
      </c>
      <c r="C3331" s="1" t="s">
        <v>13</v>
      </c>
      <c r="D3331" s="1">
        <v>22</v>
      </c>
      <c r="E3331" s="1" t="s">
        <v>14727</v>
      </c>
      <c r="F3331" s="6"/>
      <c r="G3331" s="1" t="s">
        <v>14733</v>
      </c>
    </row>
    <row r="3332" spans="1:7" ht="21" x14ac:dyDescent="0.25">
      <c r="A3332" s="2" t="str">
        <f>HYPERLINK("https://rth.dk/resources/bsgatlas/details.php?id=BSGatlas-TSS-3331","BSGatlas-TSS-3331")</f>
        <v>BSGatlas-TSS-3331</v>
      </c>
      <c r="B3332" s="3">
        <v>4141118</v>
      </c>
      <c r="C3332" s="1" t="s">
        <v>9</v>
      </c>
      <c r="D3332" s="1">
        <v>0</v>
      </c>
      <c r="E3332" s="1" t="s">
        <v>14745</v>
      </c>
      <c r="F3332" s="6" t="s">
        <v>15151</v>
      </c>
      <c r="G3332" s="1" t="s">
        <v>14730</v>
      </c>
    </row>
    <row r="3333" spans="1:7" ht="21" x14ac:dyDescent="0.25">
      <c r="A3333" s="2" t="str">
        <f>HYPERLINK("https://rth.dk/resources/bsgatlas/details.php?id=BSGatlas-TSS-3332","BSGatlas-TSS-3332")</f>
        <v>BSGatlas-TSS-3332</v>
      </c>
      <c r="B3333" s="3">
        <v>4145553</v>
      </c>
      <c r="C3333" s="1" t="s">
        <v>13</v>
      </c>
      <c r="D3333" s="1">
        <v>0</v>
      </c>
      <c r="E3333" s="1" t="s">
        <v>14825</v>
      </c>
      <c r="F3333" s="6" t="s">
        <v>15152</v>
      </c>
      <c r="G3333" s="1" t="s">
        <v>14729</v>
      </c>
    </row>
    <row r="3334" spans="1:7" ht="21" x14ac:dyDescent="0.25">
      <c r="A3334" s="2" t="str">
        <f>HYPERLINK("https://rth.dk/resources/bsgatlas/details.php?id=BSGatlas-TSS-3333","BSGatlas-TSS-3333")</f>
        <v>BSGatlas-TSS-3333</v>
      </c>
      <c r="B3334" s="3">
        <v>4145713</v>
      </c>
      <c r="C3334" s="1" t="s">
        <v>9</v>
      </c>
      <c r="D3334" s="1">
        <v>0</v>
      </c>
      <c r="E3334" s="1" t="s">
        <v>14722</v>
      </c>
      <c r="F3334" s="6" t="s">
        <v>15152</v>
      </c>
      <c r="G3334" s="1" t="s">
        <v>14729</v>
      </c>
    </row>
    <row r="3335" spans="1:7" ht="21" x14ac:dyDescent="0.25">
      <c r="A3335" s="2" t="str">
        <f>HYPERLINK("https://rth.dk/resources/bsgatlas/details.php?id=BSGatlas-TSS-3334","BSGatlas-TSS-3334")</f>
        <v>BSGatlas-TSS-3334</v>
      </c>
      <c r="B3335" s="3">
        <v>4148801</v>
      </c>
      <c r="C3335" s="1" t="s">
        <v>13</v>
      </c>
      <c r="D3335" s="1">
        <v>22</v>
      </c>
      <c r="E3335" s="1" t="s">
        <v>14732</v>
      </c>
      <c r="F3335" s="6"/>
      <c r="G3335" s="1" t="s">
        <v>14726</v>
      </c>
    </row>
    <row r="3336" spans="1:7" ht="21" x14ac:dyDescent="0.25">
      <c r="A3336" s="2" t="str">
        <f>HYPERLINK("https://rth.dk/resources/bsgatlas/details.php?id=BSGatlas-TSS-3335","BSGatlas-TSS-3335")</f>
        <v>BSGatlas-TSS-3335</v>
      </c>
      <c r="B3336" s="3">
        <v>4154500</v>
      </c>
      <c r="C3336" s="1" t="s">
        <v>13</v>
      </c>
      <c r="D3336" s="1">
        <v>22</v>
      </c>
      <c r="E3336" s="1" t="s">
        <v>14722</v>
      </c>
      <c r="F3336" s="6"/>
      <c r="G3336" s="1" t="s">
        <v>14733</v>
      </c>
    </row>
    <row r="3337" spans="1:7" ht="21" x14ac:dyDescent="0.25">
      <c r="A3337" s="2" t="str">
        <f>HYPERLINK("https://rth.dk/resources/bsgatlas/details.php?id=BSGatlas-TSS-3336","BSGatlas-TSS-3336")</f>
        <v>BSGatlas-TSS-3336</v>
      </c>
      <c r="B3337" s="3">
        <v>4154694</v>
      </c>
      <c r="C3337" s="1" t="s">
        <v>13</v>
      </c>
      <c r="D3337" s="1">
        <v>22</v>
      </c>
      <c r="E3337" s="1" t="s">
        <v>14722</v>
      </c>
      <c r="F3337" s="6"/>
      <c r="G3337" s="1" t="s">
        <v>14733</v>
      </c>
    </row>
    <row r="3338" spans="1:7" ht="21" x14ac:dyDescent="0.25">
      <c r="A3338" s="2" t="str">
        <f>HYPERLINK("https://rth.dk/resources/bsgatlas/details.php?id=BSGatlas-TSS-3337","BSGatlas-TSS-3337")</f>
        <v>BSGatlas-TSS-3337</v>
      </c>
      <c r="B3338" s="3">
        <v>4155194</v>
      </c>
      <c r="C3338" s="1" t="s">
        <v>9</v>
      </c>
      <c r="D3338" s="1">
        <v>22</v>
      </c>
      <c r="E3338" s="1" t="s">
        <v>14720</v>
      </c>
      <c r="F3338" s="6"/>
      <c r="G3338" s="1" t="s">
        <v>14726</v>
      </c>
    </row>
    <row r="3339" spans="1:7" ht="21" x14ac:dyDescent="0.25">
      <c r="A3339" s="2" t="str">
        <f>HYPERLINK("https://rth.dk/resources/bsgatlas/details.php?id=BSGatlas-TSS-3338","BSGatlas-TSS-3338")</f>
        <v>BSGatlas-TSS-3338</v>
      </c>
      <c r="B3339" s="3">
        <v>4155306</v>
      </c>
      <c r="C3339" s="1" t="s">
        <v>13</v>
      </c>
      <c r="D3339" s="1">
        <v>22</v>
      </c>
      <c r="E3339" s="1" t="s">
        <v>14722</v>
      </c>
      <c r="F3339" s="6"/>
      <c r="G3339" s="1" t="s">
        <v>14733</v>
      </c>
    </row>
    <row r="3340" spans="1:7" ht="21" x14ac:dyDescent="0.25">
      <c r="A3340" s="2" t="str">
        <f>HYPERLINK("https://rth.dk/resources/bsgatlas/details.php?id=BSGatlas-TSS-3339","BSGatlas-TSS-3339")</f>
        <v>BSGatlas-TSS-3339</v>
      </c>
      <c r="B3340" s="3">
        <v>4155380</v>
      </c>
      <c r="C3340" s="1" t="s">
        <v>13</v>
      </c>
      <c r="D3340" s="1">
        <v>22</v>
      </c>
      <c r="E3340" s="1" t="s">
        <v>14720</v>
      </c>
      <c r="F3340" s="6"/>
      <c r="G3340" s="1" t="s">
        <v>14726</v>
      </c>
    </row>
    <row r="3341" spans="1:7" ht="21" x14ac:dyDescent="0.25">
      <c r="A3341" s="2" t="str">
        <f>HYPERLINK("https://rth.dk/resources/bsgatlas/details.php?id=BSGatlas-TSS-3340","BSGatlas-TSS-3340")</f>
        <v>BSGatlas-TSS-3340</v>
      </c>
      <c r="B3341" s="3">
        <v>4156769</v>
      </c>
      <c r="C3341" s="1" t="s">
        <v>13</v>
      </c>
      <c r="D3341" s="1">
        <v>0</v>
      </c>
      <c r="E3341" s="1" t="s">
        <v>14722</v>
      </c>
      <c r="F3341" s="6" t="s">
        <v>14823</v>
      </c>
      <c r="G3341" s="1" t="s">
        <v>14729</v>
      </c>
    </row>
    <row r="3342" spans="1:7" ht="21" x14ac:dyDescent="0.25">
      <c r="A3342" s="2" t="str">
        <f>HYPERLINK("https://rth.dk/resources/bsgatlas/details.php?id=BSGatlas-TSS-3341","BSGatlas-TSS-3341")</f>
        <v>BSGatlas-TSS-3341</v>
      </c>
      <c r="B3342" s="3">
        <v>4157359</v>
      </c>
      <c r="C3342" s="1" t="s">
        <v>13</v>
      </c>
      <c r="D3342" s="1">
        <v>22</v>
      </c>
      <c r="E3342" s="1" t="s">
        <v>14732</v>
      </c>
      <c r="F3342" s="6"/>
      <c r="G3342" s="1" t="s">
        <v>14726</v>
      </c>
    </row>
    <row r="3343" spans="1:7" ht="21" x14ac:dyDescent="0.25">
      <c r="A3343" s="2" t="str">
        <f>HYPERLINK("https://rth.dk/resources/bsgatlas/details.php?id=BSGatlas-TSS-3342","BSGatlas-TSS-3342")</f>
        <v>BSGatlas-TSS-3342</v>
      </c>
      <c r="B3343" s="3">
        <v>4158880</v>
      </c>
      <c r="C3343" s="1" t="s">
        <v>13</v>
      </c>
      <c r="D3343" s="1">
        <v>22</v>
      </c>
      <c r="E3343" s="1" t="s">
        <v>14722</v>
      </c>
      <c r="F3343" s="6"/>
      <c r="G3343" s="1" t="s">
        <v>14726</v>
      </c>
    </row>
    <row r="3344" spans="1:7" ht="21" x14ac:dyDescent="0.25">
      <c r="A3344" s="2" t="str">
        <f>HYPERLINK("https://rth.dk/resources/bsgatlas/details.php?id=BSGatlas-TSS-3343","BSGatlas-TSS-3343")</f>
        <v>BSGatlas-TSS-3343</v>
      </c>
      <c r="B3344" s="3">
        <v>4158970</v>
      </c>
      <c r="C3344" s="1" t="s">
        <v>9</v>
      </c>
      <c r="D3344" s="1">
        <v>22</v>
      </c>
      <c r="E3344" s="1" t="s">
        <v>14734</v>
      </c>
      <c r="F3344" s="6"/>
      <c r="G3344" s="1" t="s">
        <v>14726</v>
      </c>
    </row>
    <row r="3345" spans="1:7" ht="21" x14ac:dyDescent="0.25">
      <c r="A3345" s="2" t="str">
        <f>HYPERLINK("https://rth.dk/resources/bsgatlas/details.php?id=BSGatlas-TSS-3344","BSGatlas-TSS-3344")</f>
        <v>BSGatlas-TSS-3344</v>
      </c>
      <c r="B3345" s="3">
        <v>4159543</v>
      </c>
      <c r="C3345" s="1" t="s">
        <v>9</v>
      </c>
      <c r="D3345" s="1">
        <v>22</v>
      </c>
      <c r="E3345" s="1" t="s">
        <v>14722</v>
      </c>
      <c r="F3345" s="6"/>
      <c r="G3345" s="1" t="s">
        <v>14726</v>
      </c>
    </row>
    <row r="3346" spans="1:7" ht="21" x14ac:dyDescent="0.25">
      <c r="A3346" s="2" t="str">
        <f>HYPERLINK("https://rth.dk/resources/bsgatlas/details.php?id=BSGatlas-TSS-3345","BSGatlas-TSS-3345")</f>
        <v>BSGatlas-TSS-3345</v>
      </c>
      <c r="B3346" s="3">
        <v>4159765</v>
      </c>
      <c r="C3346" s="1" t="s">
        <v>13</v>
      </c>
      <c r="D3346" s="1">
        <v>22</v>
      </c>
      <c r="E3346" s="1" t="s">
        <v>14720</v>
      </c>
      <c r="F3346" s="6"/>
      <c r="G3346" s="1" t="s">
        <v>14733</v>
      </c>
    </row>
    <row r="3347" spans="1:7" ht="21" x14ac:dyDescent="0.25">
      <c r="A3347" s="2" t="str">
        <f>HYPERLINK("https://rth.dk/resources/bsgatlas/details.php?id=BSGatlas-TSS-3346","BSGatlas-TSS-3346")</f>
        <v>BSGatlas-TSS-3346</v>
      </c>
      <c r="B3347" s="3">
        <v>4164127</v>
      </c>
      <c r="C3347" s="1" t="s">
        <v>13</v>
      </c>
      <c r="D3347" s="1">
        <v>22</v>
      </c>
      <c r="E3347" s="1" t="s">
        <v>14722</v>
      </c>
      <c r="F3347" s="6"/>
      <c r="G3347" s="1" t="s">
        <v>14726</v>
      </c>
    </row>
    <row r="3348" spans="1:7" ht="21" x14ac:dyDescent="0.25">
      <c r="A3348" s="2" t="str">
        <f>HYPERLINK("https://rth.dk/resources/bsgatlas/details.php?id=BSGatlas-TSS-3347","BSGatlas-TSS-3347")</f>
        <v>BSGatlas-TSS-3347</v>
      </c>
      <c r="B3348" s="3">
        <v>4164565</v>
      </c>
      <c r="C3348" s="1" t="s">
        <v>9</v>
      </c>
      <c r="D3348" s="1">
        <v>22</v>
      </c>
      <c r="E3348" s="1" t="s">
        <v>14752</v>
      </c>
      <c r="F3348" s="6"/>
      <c r="G3348" s="1" t="s">
        <v>14726</v>
      </c>
    </row>
    <row r="3349" spans="1:7" ht="21" x14ac:dyDescent="0.25">
      <c r="A3349" s="2" t="str">
        <f>HYPERLINK("https://rth.dk/resources/bsgatlas/details.php?id=BSGatlas-TSS-3348","BSGatlas-TSS-3348")</f>
        <v>BSGatlas-TSS-3348</v>
      </c>
      <c r="B3349" s="3">
        <v>4166725</v>
      </c>
      <c r="C3349" s="1" t="s">
        <v>13</v>
      </c>
      <c r="D3349" s="1">
        <v>22</v>
      </c>
      <c r="E3349" s="1" t="s">
        <v>14722</v>
      </c>
      <c r="F3349" s="6"/>
      <c r="G3349" s="1" t="s">
        <v>14733</v>
      </c>
    </row>
    <row r="3350" spans="1:7" ht="21" x14ac:dyDescent="0.25">
      <c r="A3350" s="2" t="str">
        <f>HYPERLINK("https://rth.dk/resources/bsgatlas/details.php?id=BSGatlas-TSS-3349","BSGatlas-TSS-3349")</f>
        <v>BSGatlas-TSS-3349</v>
      </c>
      <c r="B3350" s="3">
        <v>4167020</v>
      </c>
      <c r="C3350" s="1" t="s">
        <v>13</v>
      </c>
      <c r="D3350" s="1">
        <v>22</v>
      </c>
      <c r="E3350" s="1" t="s">
        <v>14734</v>
      </c>
      <c r="F3350" s="6"/>
      <c r="G3350" s="1" t="s">
        <v>14726</v>
      </c>
    </row>
    <row r="3351" spans="1:7" ht="21" x14ac:dyDescent="0.25">
      <c r="A3351" s="2" t="str">
        <f>HYPERLINK("https://rth.dk/resources/bsgatlas/details.php?id=BSGatlas-TSS-3350","BSGatlas-TSS-3350")</f>
        <v>BSGatlas-TSS-3350</v>
      </c>
      <c r="B3351" s="3">
        <v>4167082</v>
      </c>
      <c r="C3351" s="1" t="s">
        <v>9</v>
      </c>
      <c r="D3351" s="1">
        <v>0</v>
      </c>
      <c r="E3351" s="1" t="s">
        <v>14725</v>
      </c>
      <c r="F3351" s="6" t="s">
        <v>15153</v>
      </c>
      <c r="G3351" s="1" t="s">
        <v>14729</v>
      </c>
    </row>
    <row r="3352" spans="1:7" ht="21" x14ac:dyDescent="0.25">
      <c r="A3352" s="2" t="str">
        <f>HYPERLINK("https://rth.dk/resources/bsgatlas/details.php?id=BSGatlas-TSS-3351","BSGatlas-TSS-3351")</f>
        <v>BSGatlas-TSS-3351</v>
      </c>
      <c r="B3352" s="3">
        <v>4167083</v>
      </c>
      <c r="C3352" s="1" t="s">
        <v>13</v>
      </c>
      <c r="D3352" s="1">
        <v>22</v>
      </c>
      <c r="E3352" s="1" t="s">
        <v>14720</v>
      </c>
      <c r="F3352" s="6"/>
      <c r="G3352" s="1" t="s">
        <v>14726</v>
      </c>
    </row>
    <row r="3353" spans="1:7" ht="21" x14ac:dyDescent="0.25">
      <c r="A3353" s="2" t="str">
        <f>HYPERLINK("https://rth.dk/resources/bsgatlas/details.php?id=BSGatlas-TSS-3352","BSGatlas-TSS-3352")</f>
        <v>BSGatlas-TSS-3352</v>
      </c>
      <c r="B3353" s="3">
        <v>4168066</v>
      </c>
      <c r="C3353" s="1" t="s">
        <v>13</v>
      </c>
      <c r="D3353" s="1">
        <v>22</v>
      </c>
      <c r="E3353" s="1" t="s">
        <v>14722</v>
      </c>
      <c r="F3353" s="6"/>
      <c r="G3353" s="1" t="s">
        <v>14726</v>
      </c>
    </row>
    <row r="3354" spans="1:7" ht="21" x14ac:dyDescent="0.25">
      <c r="A3354" s="2" t="str">
        <f>HYPERLINK("https://rth.dk/resources/bsgatlas/details.php?id=BSGatlas-TSS-3353","BSGatlas-TSS-3353")</f>
        <v>BSGatlas-TSS-3353</v>
      </c>
      <c r="B3354" s="3">
        <v>4168155</v>
      </c>
      <c r="C3354" s="1" t="s">
        <v>9</v>
      </c>
      <c r="D3354" s="1">
        <v>22</v>
      </c>
      <c r="E3354" s="1" t="s">
        <v>14722</v>
      </c>
      <c r="F3354" s="6"/>
      <c r="G3354" s="1" t="s">
        <v>14726</v>
      </c>
    </row>
    <row r="3355" spans="1:7" ht="21" x14ac:dyDescent="0.25">
      <c r="A3355" s="2" t="str">
        <f>HYPERLINK("https://rth.dk/resources/bsgatlas/details.php?id=BSGatlas-TSS-3354","BSGatlas-TSS-3354")</f>
        <v>BSGatlas-TSS-3354</v>
      </c>
      <c r="B3355" s="3">
        <v>4168183</v>
      </c>
      <c r="C3355" s="1" t="s">
        <v>13</v>
      </c>
      <c r="D3355" s="1">
        <v>22</v>
      </c>
      <c r="E3355" s="1" t="s">
        <v>14720</v>
      </c>
      <c r="F3355" s="6"/>
      <c r="G3355" s="1" t="s">
        <v>14726</v>
      </c>
    </row>
    <row r="3356" spans="1:7" ht="21" x14ac:dyDescent="0.25">
      <c r="A3356" s="2" t="str">
        <f>HYPERLINK("https://rth.dk/resources/bsgatlas/details.php?id=BSGatlas-TSS-3355","BSGatlas-TSS-3355")</f>
        <v>BSGatlas-TSS-3355</v>
      </c>
      <c r="B3356" s="3">
        <v>4169942</v>
      </c>
      <c r="C3356" s="1" t="s">
        <v>13</v>
      </c>
      <c r="D3356" s="1">
        <v>22</v>
      </c>
      <c r="E3356" s="1" t="s">
        <v>14722</v>
      </c>
      <c r="F3356" s="6"/>
      <c r="G3356" s="1" t="s">
        <v>14733</v>
      </c>
    </row>
    <row r="3357" spans="1:7" ht="21" x14ac:dyDescent="0.25">
      <c r="A3357" s="2" t="str">
        <f>HYPERLINK("https://rth.dk/resources/bsgatlas/details.php?id=BSGatlas-TSS-3356","BSGatlas-TSS-3356")</f>
        <v>BSGatlas-TSS-3356</v>
      </c>
      <c r="B3357" s="3">
        <v>4169999</v>
      </c>
      <c r="C3357" s="1" t="s">
        <v>9</v>
      </c>
      <c r="D3357" s="1">
        <v>22</v>
      </c>
      <c r="E3357" s="1" t="s">
        <v>14734</v>
      </c>
      <c r="F3357" s="6"/>
      <c r="G3357" s="1" t="s">
        <v>14726</v>
      </c>
    </row>
    <row r="3358" spans="1:7" ht="21" x14ac:dyDescent="0.25">
      <c r="A3358" s="2" t="str">
        <f>HYPERLINK("https://rth.dk/resources/bsgatlas/details.php?id=BSGatlas-TSS-3357","BSGatlas-TSS-3357")</f>
        <v>BSGatlas-TSS-3357</v>
      </c>
      <c r="B3358" s="3">
        <v>4170043</v>
      </c>
      <c r="C3358" s="1" t="s">
        <v>9</v>
      </c>
      <c r="D3358" s="1">
        <v>22</v>
      </c>
      <c r="E3358" s="1" t="s">
        <v>14732</v>
      </c>
      <c r="F3358" s="6"/>
      <c r="G3358" s="1" t="s">
        <v>14726</v>
      </c>
    </row>
    <row r="3359" spans="1:7" ht="21" x14ac:dyDescent="0.25">
      <c r="A3359" s="2" t="str">
        <f>HYPERLINK("https://rth.dk/resources/bsgatlas/details.php?id=BSGatlas-TSS-3358","BSGatlas-TSS-3358")</f>
        <v>BSGatlas-TSS-3358</v>
      </c>
      <c r="B3359" s="3">
        <v>4171461</v>
      </c>
      <c r="C3359" s="1" t="s">
        <v>13</v>
      </c>
      <c r="D3359" s="1">
        <v>22</v>
      </c>
      <c r="E3359" s="1" t="s">
        <v>14720</v>
      </c>
      <c r="F3359" s="6"/>
      <c r="G3359" s="1" t="s">
        <v>14726</v>
      </c>
    </row>
    <row r="3360" spans="1:7" ht="21" x14ac:dyDescent="0.25">
      <c r="A3360" s="2" t="str">
        <f>HYPERLINK("https://rth.dk/resources/bsgatlas/details.php?id=BSGatlas-TSS-3359","BSGatlas-TSS-3359")</f>
        <v>BSGatlas-TSS-3359</v>
      </c>
      <c r="B3360" s="3">
        <v>4172869</v>
      </c>
      <c r="C3360" s="1" t="s">
        <v>13</v>
      </c>
      <c r="D3360" s="1">
        <v>22</v>
      </c>
      <c r="E3360" s="1" t="s">
        <v>14722</v>
      </c>
      <c r="F3360" s="6"/>
      <c r="G3360" s="1" t="s">
        <v>14726</v>
      </c>
    </row>
    <row r="3361" spans="1:7" ht="21" x14ac:dyDescent="0.25">
      <c r="A3361" s="2" t="str">
        <f>HYPERLINK("https://rth.dk/resources/bsgatlas/details.php?id=BSGatlas-TSS-3360","BSGatlas-TSS-3360")</f>
        <v>BSGatlas-TSS-3360</v>
      </c>
      <c r="B3361" s="3">
        <v>4172910</v>
      </c>
      <c r="C3361" s="1" t="s">
        <v>9</v>
      </c>
      <c r="D3361" s="1">
        <v>22</v>
      </c>
      <c r="E3361" s="1" t="s">
        <v>14722</v>
      </c>
      <c r="F3361" s="6"/>
      <c r="G3361" s="1" t="s">
        <v>14733</v>
      </c>
    </row>
    <row r="3362" spans="1:7" ht="21" x14ac:dyDescent="0.25">
      <c r="A3362" s="2" t="str">
        <f>HYPERLINK("https://rth.dk/resources/bsgatlas/details.php?id=BSGatlas-TSS-3361","BSGatlas-TSS-3361")</f>
        <v>BSGatlas-TSS-3361</v>
      </c>
      <c r="B3362" s="3">
        <v>4172935</v>
      </c>
      <c r="C3362" s="1" t="s">
        <v>13</v>
      </c>
      <c r="D3362" s="1">
        <v>22</v>
      </c>
      <c r="E3362" s="1" t="s">
        <v>14720</v>
      </c>
      <c r="F3362" s="6"/>
      <c r="G3362" s="1" t="s">
        <v>14726</v>
      </c>
    </row>
    <row r="3363" spans="1:7" ht="21" x14ac:dyDescent="0.25">
      <c r="A3363" s="2" t="str">
        <f>HYPERLINK("https://rth.dk/resources/bsgatlas/details.php?id=BSGatlas-TSS-3362","BSGatlas-TSS-3362")</f>
        <v>BSGatlas-TSS-3362</v>
      </c>
      <c r="B3363" s="3">
        <v>4177716</v>
      </c>
      <c r="C3363" s="1" t="s">
        <v>13</v>
      </c>
      <c r="D3363" s="1">
        <v>0</v>
      </c>
      <c r="E3363" s="1" t="s">
        <v>14735</v>
      </c>
      <c r="F3363" s="6">
        <v>12662922</v>
      </c>
      <c r="G3363" s="1" t="s">
        <v>14730</v>
      </c>
    </row>
    <row r="3364" spans="1:7" ht="21" x14ac:dyDescent="0.25">
      <c r="A3364" s="2" t="str">
        <f>HYPERLINK("https://rth.dk/resources/bsgatlas/details.php?id=BSGatlas-TSS-3363","BSGatlas-TSS-3363")</f>
        <v>BSGatlas-TSS-3363</v>
      </c>
      <c r="B3364" s="3">
        <v>4178245</v>
      </c>
      <c r="C3364" s="1" t="s">
        <v>9</v>
      </c>
      <c r="D3364" s="1">
        <v>22</v>
      </c>
      <c r="E3364" s="1" t="s">
        <v>14722</v>
      </c>
      <c r="F3364" s="6"/>
      <c r="G3364" s="1" t="s">
        <v>14726</v>
      </c>
    </row>
    <row r="3365" spans="1:7" ht="21" x14ac:dyDescent="0.25">
      <c r="A3365" s="2" t="str">
        <f>HYPERLINK("https://rth.dk/resources/bsgatlas/details.php?id=BSGatlas-TSS-3364","BSGatlas-TSS-3364")</f>
        <v>BSGatlas-TSS-3364</v>
      </c>
      <c r="B3365" s="3">
        <v>4180484</v>
      </c>
      <c r="C3365" s="1" t="s">
        <v>13</v>
      </c>
      <c r="D3365" s="1">
        <v>22</v>
      </c>
      <c r="E3365" s="1" t="s">
        <v>14722</v>
      </c>
      <c r="F3365" s="6"/>
      <c r="G3365" s="1" t="s">
        <v>14733</v>
      </c>
    </row>
    <row r="3366" spans="1:7" ht="21" x14ac:dyDescent="0.25">
      <c r="A3366" s="2" t="str">
        <f>HYPERLINK("https://rth.dk/resources/bsgatlas/details.php?id=BSGatlas-TSS-3365","BSGatlas-TSS-3365")</f>
        <v>BSGatlas-TSS-3365</v>
      </c>
      <c r="B3366" s="3">
        <v>4180515</v>
      </c>
      <c r="C3366" s="1" t="s">
        <v>9</v>
      </c>
      <c r="D3366" s="1">
        <v>22</v>
      </c>
      <c r="E3366" s="1" t="s">
        <v>14722</v>
      </c>
      <c r="F3366" s="6"/>
      <c r="G3366" s="1" t="s">
        <v>14726</v>
      </c>
    </row>
    <row r="3367" spans="1:7" ht="21" x14ac:dyDescent="0.25">
      <c r="A3367" s="2" t="str">
        <f>HYPERLINK("https://rth.dk/resources/bsgatlas/details.php?id=BSGatlas-TSS-3366","BSGatlas-TSS-3366")</f>
        <v>BSGatlas-TSS-3366</v>
      </c>
      <c r="B3367" s="3">
        <v>4183945</v>
      </c>
      <c r="C3367" s="1" t="s">
        <v>9</v>
      </c>
      <c r="D3367" s="1">
        <v>22</v>
      </c>
      <c r="E3367" s="1" t="s">
        <v>14722</v>
      </c>
      <c r="F3367" s="6"/>
      <c r="G3367" s="1" t="s">
        <v>14733</v>
      </c>
    </row>
    <row r="3368" spans="1:7" ht="21" x14ac:dyDescent="0.25">
      <c r="A3368" s="2" t="str">
        <f>HYPERLINK("https://rth.dk/resources/bsgatlas/details.php?id=BSGatlas-TSS-3367","BSGatlas-TSS-3367")</f>
        <v>BSGatlas-TSS-3367</v>
      </c>
      <c r="B3368" s="3">
        <v>4183952</v>
      </c>
      <c r="C3368" s="1" t="s">
        <v>13</v>
      </c>
      <c r="D3368" s="1">
        <v>22</v>
      </c>
      <c r="E3368" s="1" t="s">
        <v>14722</v>
      </c>
      <c r="F3368" s="6"/>
      <c r="G3368" s="1" t="s">
        <v>14726</v>
      </c>
    </row>
    <row r="3369" spans="1:7" ht="21" x14ac:dyDescent="0.25">
      <c r="A3369" s="2" t="str">
        <f>HYPERLINK("https://rth.dk/resources/bsgatlas/details.php?id=BSGatlas-TSS-3368","BSGatlas-TSS-3368")</f>
        <v>BSGatlas-TSS-3368</v>
      </c>
      <c r="B3369" s="3">
        <v>4185751</v>
      </c>
      <c r="C3369" s="1" t="s">
        <v>9</v>
      </c>
      <c r="D3369" s="1">
        <v>22</v>
      </c>
      <c r="E3369" s="1" t="s">
        <v>14722</v>
      </c>
      <c r="F3369" s="6"/>
      <c r="G3369" s="1" t="s">
        <v>14726</v>
      </c>
    </row>
    <row r="3370" spans="1:7" ht="21" x14ac:dyDescent="0.25">
      <c r="A3370" s="2" t="str">
        <f>HYPERLINK("https://rth.dk/resources/bsgatlas/details.php?id=BSGatlas-TSS-3369","BSGatlas-TSS-3369")</f>
        <v>BSGatlas-TSS-3369</v>
      </c>
      <c r="B3370" s="3">
        <v>4185817</v>
      </c>
      <c r="C3370" s="1" t="s">
        <v>9</v>
      </c>
      <c r="D3370" s="1">
        <v>22</v>
      </c>
      <c r="E3370" s="1" t="s">
        <v>14722</v>
      </c>
      <c r="F3370" s="6"/>
      <c r="G3370" s="1" t="s">
        <v>14733</v>
      </c>
    </row>
    <row r="3371" spans="1:7" ht="21" x14ac:dyDescent="0.25">
      <c r="A3371" s="2" t="str">
        <f>HYPERLINK("https://rth.dk/resources/bsgatlas/details.php?id=BSGatlas-TSS-3370","BSGatlas-TSS-3370")</f>
        <v>BSGatlas-TSS-3370</v>
      </c>
      <c r="B3371" s="3">
        <v>4186509</v>
      </c>
      <c r="C3371" s="1" t="s">
        <v>13</v>
      </c>
      <c r="D3371" s="1">
        <v>22</v>
      </c>
      <c r="E3371" s="1" t="s">
        <v>14722</v>
      </c>
      <c r="F3371" s="6"/>
      <c r="G3371" s="1" t="s">
        <v>14733</v>
      </c>
    </row>
    <row r="3372" spans="1:7" ht="21" x14ac:dyDescent="0.25">
      <c r="A3372" s="2" t="str">
        <f>HYPERLINK("https://rth.dk/resources/bsgatlas/details.php?id=BSGatlas-TSS-3371","BSGatlas-TSS-3371")</f>
        <v>BSGatlas-TSS-3371</v>
      </c>
      <c r="B3372" s="3">
        <v>4189176</v>
      </c>
      <c r="C3372" s="1" t="s">
        <v>13</v>
      </c>
      <c r="D3372" s="1">
        <v>0</v>
      </c>
      <c r="E3372" s="1" t="s">
        <v>14722</v>
      </c>
      <c r="F3372" s="6" t="s">
        <v>15154</v>
      </c>
      <c r="G3372" s="1" t="s">
        <v>14729</v>
      </c>
    </row>
    <row r="3373" spans="1:7" ht="21" x14ac:dyDescent="0.25">
      <c r="A3373" s="2" t="str">
        <f>HYPERLINK("https://rth.dk/resources/bsgatlas/details.php?id=BSGatlas-TSS-3372","BSGatlas-TSS-3372")</f>
        <v>BSGatlas-TSS-3372</v>
      </c>
      <c r="B3373" s="3">
        <v>4189369</v>
      </c>
      <c r="C3373" s="1" t="s">
        <v>9</v>
      </c>
      <c r="D3373" s="1">
        <v>22</v>
      </c>
      <c r="E3373" s="1" t="s">
        <v>14722</v>
      </c>
      <c r="F3373" s="6"/>
      <c r="G3373" s="1" t="s">
        <v>14726</v>
      </c>
    </row>
    <row r="3374" spans="1:7" ht="21" x14ac:dyDescent="0.25">
      <c r="A3374" s="2" t="str">
        <f>HYPERLINK("https://rth.dk/resources/bsgatlas/details.php?id=BSGatlas-TSS-3373","BSGatlas-TSS-3373")</f>
        <v>BSGatlas-TSS-3373</v>
      </c>
      <c r="B3374" s="3">
        <v>4189777</v>
      </c>
      <c r="C3374" s="1" t="s">
        <v>9</v>
      </c>
      <c r="D3374" s="1">
        <v>22</v>
      </c>
      <c r="E3374" s="1" t="s">
        <v>14722</v>
      </c>
      <c r="F3374" s="6"/>
      <c r="G3374" s="1" t="s">
        <v>14726</v>
      </c>
    </row>
    <row r="3375" spans="1:7" ht="21" x14ac:dyDescent="0.25">
      <c r="A3375" s="2" t="str">
        <f>HYPERLINK("https://rth.dk/resources/bsgatlas/details.php?id=BSGatlas-TSS-3374","BSGatlas-TSS-3374")</f>
        <v>BSGatlas-TSS-3374</v>
      </c>
      <c r="B3375" s="3">
        <v>4191163</v>
      </c>
      <c r="C3375" s="1" t="s">
        <v>9</v>
      </c>
      <c r="D3375" s="1">
        <v>22</v>
      </c>
      <c r="E3375" s="1" t="s">
        <v>14722</v>
      </c>
      <c r="F3375" s="6"/>
      <c r="G3375" s="1" t="s">
        <v>14726</v>
      </c>
    </row>
    <row r="3376" spans="1:7" ht="21" x14ac:dyDescent="0.25">
      <c r="A3376" s="2" t="str">
        <f>HYPERLINK("https://rth.dk/resources/bsgatlas/details.php?id=BSGatlas-TSS-3375","BSGatlas-TSS-3375")</f>
        <v>BSGatlas-TSS-3375</v>
      </c>
      <c r="B3376" s="3">
        <v>4191173</v>
      </c>
      <c r="C3376" s="1" t="s">
        <v>13</v>
      </c>
      <c r="D3376" s="1">
        <v>22</v>
      </c>
      <c r="E3376" s="1" t="s">
        <v>14722</v>
      </c>
      <c r="F3376" s="6"/>
      <c r="G3376" s="1" t="s">
        <v>14726</v>
      </c>
    </row>
    <row r="3377" spans="1:7" ht="21" x14ac:dyDescent="0.25">
      <c r="A3377" s="2" t="str">
        <f>HYPERLINK("https://rth.dk/resources/bsgatlas/details.php?id=BSGatlas-TSS-3376","BSGatlas-TSS-3376")</f>
        <v>BSGatlas-TSS-3376</v>
      </c>
      <c r="B3377" s="3">
        <v>4194208</v>
      </c>
      <c r="C3377" s="1" t="s">
        <v>13</v>
      </c>
      <c r="D3377" s="1">
        <v>22</v>
      </c>
      <c r="E3377" s="1" t="s">
        <v>14722</v>
      </c>
      <c r="F3377" s="6"/>
      <c r="G3377" s="1" t="s">
        <v>14726</v>
      </c>
    </row>
    <row r="3378" spans="1:7" ht="21" x14ac:dyDescent="0.25">
      <c r="A3378" s="2" t="str">
        <f>HYPERLINK("https://rth.dk/resources/bsgatlas/details.php?id=BSGatlas-TSS-3377","BSGatlas-TSS-3377")</f>
        <v>BSGatlas-TSS-3377</v>
      </c>
      <c r="B3378" s="3">
        <v>4194331</v>
      </c>
      <c r="C3378" s="1" t="s">
        <v>9</v>
      </c>
      <c r="D3378" s="1">
        <v>22</v>
      </c>
      <c r="E3378" s="1" t="s">
        <v>14722</v>
      </c>
      <c r="F3378" s="6"/>
      <c r="G3378" s="1" t="s">
        <v>14726</v>
      </c>
    </row>
    <row r="3379" spans="1:7" ht="21" x14ac:dyDescent="0.25">
      <c r="A3379" s="2" t="str">
        <f>HYPERLINK("https://rth.dk/resources/bsgatlas/details.php?id=BSGatlas-TSS-3378","BSGatlas-TSS-3378")</f>
        <v>BSGatlas-TSS-3378</v>
      </c>
      <c r="B3379" s="3">
        <v>4195451</v>
      </c>
      <c r="C3379" s="1" t="s">
        <v>13</v>
      </c>
      <c r="D3379" s="1">
        <v>22</v>
      </c>
      <c r="E3379" s="1" t="s">
        <v>14725</v>
      </c>
      <c r="F3379" s="6"/>
      <c r="G3379" s="1" t="s">
        <v>14733</v>
      </c>
    </row>
    <row r="3380" spans="1:7" ht="21" x14ac:dyDescent="0.25">
      <c r="A3380" s="2" t="str">
        <f>HYPERLINK("https://rth.dk/resources/bsgatlas/details.php?id=BSGatlas-TSS-3379","BSGatlas-TSS-3379")</f>
        <v>BSGatlas-TSS-3379</v>
      </c>
      <c r="B3380" s="3">
        <v>4197741</v>
      </c>
      <c r="C3380" s="1" t="s">
        <v>9</v>
      </c>
      <c r="D3380" s="1">
        <v>22</v>
      </c>
      <c r="E3380" s="1" t="s">
        <v>14725</v>
      </c>
      <c r="F3380" s="6"/>
      <c r="G3380" s="1" t="s">
        <v>14726</v>
      </c>
    </row>
    <row r="3381" spans="1:7" ht="21" x14ac:dyDescent="0.25">
      <c r="A3381" s="2" t="str">
        <f>HYPERLINK("https://rth.dk/resources/bsgatlas/details.php?id=BSGatlas-TSS-3380","BSGatlas-TSS-3380")</f>
        <v>BSGatlas-TSS-3380</v>
      </c>
      <c r="B3381" s="3">
        <v>4197779</v>
      </c>
      <c r="C3381" s="1" t="s">
        <v>13</v>
      </c>
      <c r="D3381" s="1">
        <v>22</v>
      </c>
      <c r="E3381" s="1" t="s">
        <v>14722</v>
      </c>
      <c r="F3381" s="6"/>
      <c r="G3381" s="1" t="s">
        <v>14726</v>
      </c>
    </row>
    <row r="3382" spans="1:7" ht="21" x14ac:dyDescent="0.25">
      <c r="A3382" s="2" t="str">
        <f>HYPERLINK("https://rth.dk/resources/bsgatlas/details.php?id=BSGatlas-TSS-3381","BSGatlas-TSS-3381")</f>
        <v>BSGatlas-TSS-3381</v>
      </c>
      <c r="B3382" s="3">
        <v>4199799</v>
      </c>
      <c r="C3382" s="1" t="s">
        <v>13</v>
      </c>
      <c r="D3382" s="1">
        <v>22</v>
      </c>
      <c r="E3382" s="1" t="s">
        <v>14722</v>
      </c>
      <c r="F3382" s="6"/>
      <c r="G3382" s="1" t="s">
        <v>14733</v>
      </c>
    </row>
    <row r="3383" spans="1:7" ht="21" x14ac:dyDescent="0.25">
      <c r="A3383" s="2" t="str">
        <f>HYPERLINK("https://rth.dk/resources/bsgatlas/details.php?id=BSGatlas-TSS-3382","BSGatlas-TSS-3382")</f>
        <v>BSGatlas-TSS-3382</v>
      </c>
      <c r="B3383" s="3">
        <v>4201006</v>
      </c>
      <c r="C3383" s="1" t="s">
        <v>13</v>
      </c>
      <c r="D3383" s="1">
        <v>22</v>
      </c>
      <c r="E3383" s="1" t="s">
        <v>14722</v>
      </c>
      <c r="F3383" s="6"/>
      <c r="G3383" s="1" t="s">
        <v>14726</v>
      </c>
    </row>
    <row r="3384" spans="1:7" ht="21" x14ac:dyDescent="0.25">
      <c r="A3384" s="2" t="str">
        <f>HYPERLINK("https://rth.dk/resources/bsgatlas/details.php?id=BSGatlas-TSS-3383","BSGatlas-TSS-3383")</f>
        <v>BSGatlas-TSS-3383</v>
      </c>
      <c r="B3384" s="3">
        <v>4203317</v>
      </c>
      <c r="C3384" s="1" t="s">
        <v>13</v>
      </c>
      <c r="D3384" s="1">
        <v>22</v>
      </c>
      <c r="E3384" s="1" t="s">
        <v>14722</v>
      </c>
      <c r="F3384" s="6"/>
      <c r="G3384" s="1" t="s">
        <v>14726</v>
      </c>
    </row>
    <row r="3385" spans="1:7" ht="21" x14ac:dyDescent="0.25">
      <c r="A3385" s="2" t="str">
        <f>HYPERLINK("https://rth.dk/resources/bsgatlas/details.php?id=BSGatlas-TSS-3384","BSGatlas-TSS-3384")</f>
        <v>BSGatlas-TSS-3384</v>
      </c>
      <c r="B3385" s="3">
        <v>4203367</v>
      </c>
      <c r="C3385" s="1" t="s">
        <v>13</v>
      </c>
      <c r="D3385" s="1">
        <v>22</v>
      </c>
      <c r="E3385" s="1" t="s">
        <v>14722</v>
      </c>
      <c r="F3385" s="6"/>
      <c r="G3385" s="1" t="s">
        <v>14726</v>
      </c>
    </row>
    <row r="3386" spans="1:7" ht="21" x14ac:dyDescent="0.25">
      <c r="A3386" s="2" t="str">
        <f>HYPERLINK("https://rth.dk/resources/bsgatlas/details.php?id=BSGatlas-TSS-3385","BSGatlas-TSS-3385")</f>
        <v>BSGatlas-TSS-3385</v>
      </c>
      <c r="B3386" s="3">
        <v>4204476</v>
      </c>
      <c r="C3386" s="1" t="s">
        <v>13</v>
      </c>
      <c r="D3386" s="1">
        <v>0</v>
      </c>
      <c r="E3386" s="1" t="s">
        <v>14735</v>
      </c>
      <c r="F3386" s="6" t="s">
        <v>14767</v>
      </c>
      <c r="G3386" s="1" t="s">
        <v>14729</v>
      </c>
    </row>
    <row r="3387" spans="1:7" ht="21" x14ac:dyDescent="0.25">
      <c r="A3387" s="2" t="str">
        <f>HYPERLINK("https://rth.dk/resources/bsgatlas/details.php?id=BSGatlas-TSS-3386","BSGatlas-TSS-3386")</f>
        <v>BSGatlas-TSS-3386</v>
      </c>
      <c r="B3387" s="3">
        <v>4204832</v>
      </c>
      <c r="C3387" s="1" t="s">
        <v>9</v>
      </c>
      <c r="D3387" s="1">
        <v>0</v>
      </c>
      <c r="E3387" s="1" t="s">
        <v>14849</v>
      </c>
      <c r="F3387" s="6" t="s">
        <v>14813</v>
      </c>
      <c r="G3387" s="1" t="s">
        <v>14724</v>
      </c>
    </row>
    <row r="3388" spans="1:7" ht="21" x14ac:dyDescent="0.25">
      <c r="A3388" s="2" t="str">
        <f>HYPERLINK("https://rth.dk/resources/bsgatlas/details.php?id=BSGatlas-TSS-3387","BSGatlas-TSS-3387")</f>
        <v>BSGatlas-TSS-3387</v>
      </c>
      <c r="B3388" s="3">
        <v>4205529</v>
      </c>
      <c r="C3388" s="1" t="s">
        <v>9</v>
      </c>
      <c r="D3388" s="1">
        <v>22</v>
      </c>
      <c r="E3388" s="1" t="s">
        <v>14720</v>
      </c>
      <c r="F3388" s="6"/>
      <c r="G3388" s="1" t="s">
        <v>14726</v>
      </c>
    </row>
    <row r="3389" spans="1:7" ht="21" x14ac:dyDescent="0.25">
      <c r="A3389" s="2" t="str">
        <f>HYPERLINK("https://rth.dk/resources/bsgatlas/details.php?id=BSGatlas-TSS-3388","BSGatlas-TSS-3388")</f>
        <v>BSGatlas-TSS-3388</v>
      </c>
      <c r="B3389" s="3">
        <v>4207210</v>
      </c>
      <c r="C3389" s="1" t="s">
        <v>13</v>
      </c>
      <c r="D3389" s="1">
        <v>22</v>
      </c>
      <c r="E3389" s="1" t="s">
        <v>14722</v>
      </c>
      <c r="F3389" s="6"/>
      <c r="G3389" s="1" t="s">
        <v>14726</v>
      </c>
    </row>
    <row r="3390" spans="1:7" ht="21" x14ac:dyDescent="0.25">
      <c r="A3390" s="2" t="str">
        <f>HYPERLINK("https://rth.dk/resources/bsgatlas/details.php?id=BSGatlas-TSS-3389","BSGatlas-TSS-3389")</f>
        <v>BSGatlas-TSS-3389</v>
      </c>
      <c r="B3390" s="3">
        <v>4207302</v>
      </c>
      <c r="C3390" s="1" t="s">
        <v>13</v>
      </c>
      <c r="D3390" s="1">
        <v>22</v>
      </c>
      <c r="E3390" s="1" t="s">
        <v>14758</v>
      </c>
      <c r="F3390" s="6"/>
      <c r="G3390" s="1" t="s">
        <v>14726</v>
      </c>
    </row>
    <row r="3391" spans="1:7" ht="21" x14ac:dyDescent="0.25">
      <c r="A3391" s="2" t="str">
        <f>HYPERLINK("https://rth.dk/resources/bsgatlas/details.php?id=BSGatlas-TSS-3390","BSGatlas-TSS-3390")</f>
        <v>BSGatlas-TSS-3390</v>
      </c>
      <c r="B3391" s="3">
        <v>4207355</v>
      </c>
      <c r="C3391" s="1" t="s">
        <v>9</v>
      </c>
      <c r="D3391" s="1">
        <v>22</v>
      </c>
      <c r="E3391" s="1" t="s">
        <v>14745</v>
      </c>
      <c r="F3391" s="6"/>
      <c r="G3391" s="1" t="s">
        <v>14726</v>
      </c>
    </row>
    <row r="3392" spans="1:7" ht="21" x14ac:dyDescent="0.25">
      <c r="A3392" s="2" t="str">
        <f>HYPERLINK("https://rth.dk/resources/bsgatlas/details.php?id=BSGatlas-TSS-3391","BSGatlas-TSS-3391")</f>
        <v>BSGatlas-TSS-3391</v>
      </c>
      <c r="B3392" s="3">
        <v>4213020</v>
      </c>
      <c r="C3392" s="1" t="s">
        <v>13</v>
      </c>
      <c r="D3392" s="1">
        <v>22</v>
      </c>
      <c r="E3392" s="1" t="s">
        <v>14722</v>
      </c>
      <c r="F3392" s="6"/>
      <c r="G3392" s="1" t="s">
        <v>14733</v>
      </c>
    </row>
    <row r="3393" spans="1:7" ht="21" x14ac:dyDescent="0.25">
      <c r="A3393" s="2" t="str">
        <f>HYPERLINK("https://rth.dk/resources/bsgatlas/details.php?id=BSGatlas-TSS-3392","BSGatlas-TSS-3392")</f>
        <v>BSGatlas-TSS-3392</v>
      </c>
      <c r="B3393" s="3">
        <v>4213085</v>
      </c>
      <c r="C3393" s="1" t="s">
        <v>13</v>
      </c>
      <c r="D3393" s="1">
        <v>22</v>
      </c>
      <c r="E3393" s="1" t="s">
        <v>14722</v>
      </c>
      <c r="F3393" s="6"/>
      <c r="G3393" s="1" t="s">
        <v>14726</v>
      </c>
    </row>
    <row r="3394" spans="1:7" ht="21" x14ac:dyDescent="0.25">
      <c r="A3394" s="2" t="str">
        <f>HYPERLINK("https://rth.dk/resources/bsgatlas/details.php?id=BSGatlas-TSS-3393","BSGatlas-TSS-3393")</f>
        <v>BSGatlas-TSS-3393</v>
      </c>
      <c r="B3394" s="3">
        <v>4213186</v>
      </c>
      <c r="C3394" s="1" t="s">
        <v>9</v>
      </c>
      <c r="D3394" s="1">
        <v>22</v>
      </c>
      <c r="E3394" s="1" t="s">
        <v>14722</v>
      </c>
      <c r="F3394" s="6"/>
      <c r="G3394" s="1" t="s">
        <v>14726</v>
      </c>
    </row>
    <row r="3395" spans="1:7" ht="21" x14ac:dyDescent="0.25">
      <c r="A3395" s="2" t="str">
        <f>HYPERLINK("https://rth.dk/resources/bsgatlas/details.php?id=BSGatlas-TSS-3394","BSGatlas-TSS-3394")</f>
        <v>BSGatlas-TSS-3394</v>
      </c>
      <c r="B3395" s="3">
        <v>4214654</v>
      </c>
      <c r="C3395" s="1" t="s">
        <v>13</v>
      </c>
      <c r="D3395" s="1">
        <v>0</v>
      </c>
      <c r="E3395" s="1" t="s">
        <v>14722</v>
      </c>
      <c r="F3395" s="6" t="s">
        <v>15155</v>
      </c>
      <c r="G3395" s="1" t="s">
        <v>14729</v>
      </c>
    </row>
    <row r="3396" spans="1:7" ht="21" x14ac:dyDescent="0.25">
      <c r="A3396" s="2" t="str">
        <f>HYPERLINK("https://rth.dk/resources/bsgatlas/details.php?id=BSGatlas-TSS-3395","BSGatlas-TSS-3395")</f>
        <v>BSGatlas-TSS-3395</v>
      </c>
      <c r="B3396" s="3">
        <v>4215426</v>
      </c>
      <c r="C3396" s="1" t="s">
        <v>13</v>
      </c>
      <c r="D3396" s="1">
        <v>0</v>
      </c>
      <c r="E3396" s="1" t="s">
        <v>14722</v>
      </c>
      <c r="F3396" s="6" t="s">
        <v>14728</v>
      </c>
      <c r="G3396" s="1" t="s">
        <v>14729</v>
      </c>
    </row>
    <row r="3397" spans="1:7" ht="21" x14ac:dyDescent="0.25">
      <c r="A3397" s="2" t="str">
        <f>HYPERLINK("https://rth.dk/resources/bsgatlas/details.php?id=BSGatlas-TSS-3396","BSGatlas-TSS-3396")</f>
        <v>BSGatlas-TSS-3396</v>
      </c>
      <c r="B3397" s="3">
        <v>4215473</v>
      </c>
      <c r="C3397" s="1" t="s">
        <v>9</v>
      </c>
      <c r="D3397" s="1">
        <v>22</v>
      </c>
      <c r="E3397" s="1" t="s">
        <v>14720</v>
      </c>
      <c r="F3397" s="6"/>
      <c r="G3397" s="1" t="s">
        <v>14726</v>
      </c>
    </row>
    <row r="3398" spans="1:7" ht="21" x14ac:dyDescent="0.25">
      <c r="A3398" s="2" t="str">
        <f>HYPERLINK("https://rth.dk/resources/bsgatlas/details.php?id=BSGatlas-TSS-3397","BSGatlas-TSS-3397")</f>
        <v>BSGatlas-TSS-3397</v>
      </c>
      <c r="B3398" s="3">
        <v>4215495</v>
      </c>
      <c r="C3398" s="1" t="s">
        <v>13</v>
      </c>
      <c r="D3398" s="1">
        <v>0</v>
      </c>
      <c r="E3398" s="1" t="s">
        <v>14722</v>
      </c>
      <c r="F3398" s="6" t="s">
        <v>14728</v>
      </c>
      <c r="G3398" s="1" t="s">
        <v>14724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E124C-137F-5441-BA68-0C985FF4EAFB}">
  <dimension ref="A1:F2667"/>
  <sheetViews>
    <sheetView zoomScale="114" workbookViewId="0">
      <selection activeCell="F9" sqref="F9"/>
    </sheetView>
  </sheetViews>
  <sheetFormatPr baseColWidth="10" defaultRowHeight="16" x14ac:dyDescent="0.2"/>
  <cols>
    <col min="1" max="1" width="30" bestFit="1" customWidth="1"/>
    <col min="2" max="3" width="11.83203125" style="4" bestFit="1" customWidth="1"/>
    <col min="4" max="4" width="11" bestFit="1" customWidth="1"/>
    <col min="5" max="5" width="29.83203125" bestFit="1" customWidth="1"/>
    <col min="6" max="6" width="72.1640625" bestFit="1" customWidth="1"/>
  </cols>
  <sheetData>
    <row r="1" spans="1:6" ht="21" x14ac:dyDescent="0.25">
      <c r="A1" s="1" t="s">
        <v>11404</v>
      </c>
      <c r="B1" s="3" t="s">
        <v>4</v>
      </c>
      <c r="C1" s="3" t="s">
        <v>5</v>
      </c>
      <c r="D1" s="1" t="s">
        <v>6</v>
      </c>
      <c r="E1" s="1" t="s">
        <v>15156</v>
      </c>
      <c r="F1" s="1" t="s">
        <v>11405</v>
      </c>
    </row>
    <row r="2" spans="1:6" ht="21" x14ac:dyDescent="0.25">
      <c r="A2" s="2" t="str">
        <f>HYPERLINK("https://rth.dk/resources/bsgatlas/details.php?id=BSGatlas-terminator-1","BSGatlas-terminator-1")</f>
        <v>BSGatlas-terminator-1</v>
      </c>
      <c r="B2" s="3">
        <v>3037</v>
      </c>
      <c r="C2" s="3">
        <v>3081</v>
      </c>
      <c r="D2" s="1" t="s">
        <v>9</v>
      </c>
      <c r="E2" s="1">
        <v>-14.2</v>
      </c>
      <c r="F2" s="1" t="s">
        <v>15157</v>
      </c>
    </row>
    <row r="3" spans="1:6" ht="21" x14ac:dyDescent="0.25">
      <c r="A3" s="2" t="str">
        <f>HYPERLINK("https://rth.dk/resources/bsgatlas/details.php?id=BSGatlas-terminator-2","BSGatlas-terminator-2")</f>
        <v>BSGatlas-terminator-2</v>
      </c>
      <c r="B3" s="3">
        <v>3082</v>
      </c>
      <c r="C3" s="3">
        <v>3121</v>
      </c>
      <c r="D3" s="1" t="s">
        <v>9</v>
      </c>
      <c r="E3" s="1">
        <v>-16</v>
      </c>
      <c r="F3" s="1" t="s">
        <v>4382</v>
      </c>
    </row>
    <row r="4" spans="1:6" ht="21" x14ac:dyDescent="0.25">
      <c r="A4" s="2" t="str">
        <f>HYPERLINK("https://rth.dk/resources/bsgatlas/details.php?id=BSGatlas-terminator-3","BSGatlas-terminator-3")</f>
        <v>BSGatlas-terminator-3</v>
      </c>
      <c r="B4" s="3">
        <v>6788</v>
      </c>
      <c r="C4" s="3">
        <v>6833</v>
      </c>
      <c r="D4" s="1" t="s">
        <v>9</v>
      </c>
      <c r="E4" s="1">
        <v>-14.4</v>
      </c>
      <c r="F4" s="1" t="s">
        <v>4382</v>
      </c>
    </row>
    <row r="5" spans="1:6" ht="21" x14ac:dyDescent="0.25">
      <c r="A5" s="2" t="str">
        <f>HYPERLINK("https://rth.dk/resources/bsgatlas/details.php?id=BSGatlas-terminator-4","BSGatlas-terminator-4")</f>
        <v>BSGatlas-terminator-4</v>
      </c>
      <c r="B5" s="3">
        <v>9461</v>
      </c>
      <c r="C5" s="3">
        <v>9501</v>
      </c>
      <c r="D5" s="1" t="s">
        <v>9</v>
      </c>
      <c r="E5" s="1">
        <v>-16.899999999999999</v>
      </c>
      <c r="F5" s="1" t="s">
        <v>15158</v>
      </c>
    </row>
    <row r="6" spans="1:6" ht="21" x14ac:dyDescent="0.25">
      <c r="A6" s="2" t="str">
        <f>HYPERLINK("https://rth.dk/resources/bsgatlas/details.php?id=BSGatlas-terminator-5","BSGatlas-terminator-5")</f>
        <v>BSGatlas-terminator-5</v>
      </c>
      <c r="B6" s="3">
        <v>14812</v>
      </c>
      <c r="C6" s="3">
        <v>14850</v>
      </c>
      <c r="D6" s="1" t="s">
        <v>9</v>
      </c>
      <c r="E6" s="1">
        <v>-15.7</v>
      </c>
      <c r="F6" s="1" t="s">
        <v>4382</v>
      </c>
    </row>
    <row r="7" spans="1:6" ht="21" x14ac:dyDescent="0.25">
      <c r="A7" s="2" t="str">
        <f>HYPERLINK("https://rth.dk/resources/bsgatlas/details.php?id=BSGatlas-terminator-6","BSGatlas-terminator-6")</f>
        <v>BSGatlas-terminator-6</v>
      </c>
      <c r="B7" s="3">
        <v>15897</v>
      </c>
      <c r="C7" s="3">
        <v>15941</v>
      </c>
      <c r="D7" s="1" t="s">
        <v>13</v>
      </c>
      <c r="E7" s="1">
        <v>-12.2</v>
      </c>
      <c r="F7" s="1" t="s">
        <v>15157</v>
      </c>
    </row>
    <row r="8" spans="1:6" ht="21" x14ac:dyDescent="0.25">
      <c r="A8" s="2" t="str">
        <f>HYPERLINK("https://rth.dk/resources/bsgatlas/details.php?id=BSGatlas-terminator-7","BSGatlas-terminator-7")</f>
        <v>BSGatlas-terminator-7</v>
      </c>
      <c r="B8" s="3">
        <v>17347</v>
      </c>
      <c r="C8" s="3">
        <v>17391</v>
      </c>
      <c r="D8" s="1" t="s">
        <v>9</v>
      </c>
      <c r="E8" s="1">
        <v>-10.6</v>
      </c>
      <c r="F8" s="1" t="s">
        <v>15157</v>
      </c>
    </row>
    <row r="9" spans="1:6" ht="21" x14ac:dyDescent="0.25">
      <c r="A9" s="2" t="str">
        <f>HYPERLINK("https://rth.dk/resources/bsgatlas/details.php?id=BSGatlas-terminator-8","BSGatlas-terminator-8")</f>
        <v>BSGatlas-terminator-8</v>
      </c>
      <c r="B9" s="3">
        <v>17403</v>
      </c>
      <c r="C9" s="3">
        <v>17445</v>
      </c>
      <c r="D9" s="1" t="s">
        <v>9</v>
      </c>
      <c r="E9" s="1">
        <v>-15.7</v>
      </c>
      <c r="F9" s="1" t="s">
        <v>4382</v>
      </c>
    </row>
    <row r="10" spans="1:6" ht="21" x14ac:dyDescent="0.25">
      <c r="A10" s="2" t="str">
        <f>HYPERLINK("https://rth.dk/resources/bsgatlas/details.php?id=BSGatlas-terminator-9","BSGatlas-terminator-9")</f>
        <v>BSGatlas-terminator-9</v>
      </c>
      <c r="B10" s="3">
        <v>18725</v>
      </c>
      <c r="C10" s="3">
        <v>18769</v>
      </c>
      <c r="D10" s="1" t="s">
        <v>9</v>
      </c>
      <c r="E10" s="1">
        <v>-10.6</v>
      </c>
      <c r="F10" s="1" t="s">
        <v>15157</v>
      </c>
    </row>
    <row r="11" spans="1:6" ht="21" x14ac:dyDescent="0.25">
      <c r="A11" s="2" t="str">
        <f>HYPERLINK("https://rth.dk/resources/bsgatlas/details.php?id=BSGatlas-terminator-10","BSGatlas-terminator-10")</f>
        <v>BSGatlas-terminator-10</v>
      </c>
      <c r="B11" s="3">
        <v>20799</v>
      </c>
      <c r="C11" s="3">
        <v>20853</v>
      </c>
      <c r="D11" s="1" t="s">
        <v>9</v>
      </c>
      <c r="E11" s="1">
        <v>-27.5</v>
      </c>
      <c r="F11" s="1" t="s">
        <v>15158</v>
      </c>
    </row>
    <row r="12" spans="1:6" ht="21" x14ac:dyDescent="0.25">
      <c r="A12" s="2" t="str">
        <f>HYPERLINK("https://rth.dk/resources/bsgatlas/details.php?id=BSGatlas-terminator-11","BSGatlas-terminator-11")</f>
        <v>BSGatlas-terminator-11</v>
      </c>
      <c r="B12" s="3">
        <v>22154</v>
      </c>
      <c r="C12" s="3">
        <v>22204</v>
      </c>
      <c r="D12" s="1" t="s">
        <v>9</v>
      </c>
      <c r="E12" s="1">
        <v>-17.100000000000001</v>
      </c>
      <c r="F12" s="1" t="s">
        <v>15158</v>
      </c>
    </row>
    <row r="13" spans="1:6" ht="21" x14ac:dyDescent="0.25">
      <c r="A13" s="2" t="str">
        <f>HYPERLINK("https://rth.dk/resources/bsgatlas/details.php?id=BSGatlas-terminator-12","BSGatlas-terminator-12")</f>
        <v>BSGatlas-terminator-12</v>
      </c>
      <c r="B13" s="3">
        <v>22385</v>
      </c>
      <c r="C13" s="3">
        <v>22429</v>
      </c>
      <c r="D13" s="1" t="s">
        <v>9</v>
      </c>
      <c r="E13" s="1">
        <v>-12.4</v>
      </c>
      <c r="F13" s="1" t="s">
        <v>15157</v>
      </c>
    </row>
    <row r="14" spans="1:6" ht="21" x14ac:dyDescent="0.25">
      <c r="A14" s="2" t="str">
        <f>HYPERLINK("https://rth.dk/resources/bsgatlas/details.php?id=BSGatlas-terminator-13","BSGatlas-terminator-13")</f>
        <v>BSGatlas-terminator-13</v>
      </c>
      <c r="B14" s="3">
        <v>22463</v>
      </c>
      <c r="C14" s="3">
        <v>22504</v>
      </c>
      <c r="D14" s="1" t="s">
        <v>13</v>
      </c>
      <c r="E14" s="1">
        <v>-14.7</v>
      </c>
      <c r="F14" s="1" t="s">
        <v>15158</v>
      </c>
    </row>
    <row r="15" spans="1:6" ht="21" x14ac:dyDescent="0.25">
      <c r="A15" s="2" t="str">
        <f>HYPERLINK("https://rth.dk/resources/bsgatlas/details.php?id=BSGatlas-terminator-14","BSGatlas-terminator-14")</f>
        <v>BSGatlas-terminator-14</v>
      </c>
      <c r="B15" s="3">
        <v>22496</v>
      </c>
      <c r="C15" s="3">
        <v>22562</v>
      </c>
      <c r="D15" s="1" t="s">
        <v>9</v>
      </c>
      <c r="E15" s="1"/>
      <c r="F15" s="1" t="s">
        <v>15159</v>
      </c>
    </row>
    <row r="16" spans="1:6" ht="21" x14ac:dyDescent="0.25">
      <c r="A16" s="2" t="str">
        <f>HYPERLINK("https://rth.dk/resources/bsgatlas/details.php?id=BSGatlas-terminator-15","BSGatlas-terminator-15")</f>
        <v>BSGatlas-terminator-15</v>
      </c>
      <c r="B16" s="3">
        <v>23134</v>
      </c>
      <c r="C16" s="3">
        <v>23200</v>
      </c>
      <c r="D16" s="1" t="s">
        <v>9</v>
      </c>
      <c r="E16" s="1"/>
      <c r="F16" s="1" t="s">
        <v>15159</v>
      </c>
    </row>
    <row r="17" spans="1:6" ht="21" x14ac:dyDescent="0.25">
      <c r="A17" s="2" t="str">
        <f>HYPERLINK("https://rth.dk/resources/bsgatlas/details.php?id=BSGatlas-terminator-16","BSGatlas-terminator-16")</f>
        <v>BSGatlas-terminator-16</v>
      </c>
      <c r="B17" s="3">
        <v>23841</v>
      </c>
      <c r="C17" s="3">
        <v>23885</v>
      </c>
      <c r="D17" s="1" t="s">
        <v>13</v>
      </c>
      <c r="E17" s="1">
        <v>-11.7</v>
      </c>
      <c r="F17" s="1" t="s">
        <v>15158</v>
      </c>
    </row>
    <row r="18" spans="1:6" ht="21" x14ac:dyDescent="0.25">
      <c r="A18" s="2" t="str">
        <f>HYPERLINK("https://rth.dk/resources/bsgatlas/details.php?id=BSGatlas-terminator-17","BSGatlas-terminator-17")</f>
        <v>BSGatlas-terminator-17</v>
      </c>
      <c r="B18" s="3">
        <v>26704</v>
      </c>
      <c r="C18" s="3">
        <v>26743</v>
      </c>
      <c r="D18" s="1" t="s">
        <v>9</v>
      </c>
      <c r="E18" s="1">
        <v>-12.8</v>
      </c>
      <c r="F18" s="1" t="s">
        <v>15160</v>
      </c>
    </row>
    <row r="19" spans="1:6" ht="21" x14ac:dyDescent="0.25">
      <c r="A19" s="2" t="str">
        <f>HYPERLINK("https://rth.dk/resources/bsgatlas/details.php?id=BSGatlas-terminator-18","BSGatlas-terminator-18")</f>
        <v>BSGatlas-terminator-18</v>
      </c>
      <c r="B19" s="3">
        <v>35357</v>
      </c>
      <c r="C19" s="3">
        <v>35395</v>
      </c>
      <c r="D19" s="1" t="s">
        <v>9</v>
      </c>
      <c r="E19" s="1">
        <v>-14.2</v>
      </c>
      <c r="F19" s="1" t="s">
        <v>4382</v>
      </c>
    </row>
    <row r="20" spans="1:6" ht="21" x14ac:dyDescent="0.25">
      <c r="A20" s="2" t="str">
        <f>HYPERLINK("https://rth.dk/resources/bsgatlas/details.php?id=BSGatlas-terminator-19","BSGatlas-terminator-19")</f>
        <v>BSGatlas-terminator-19</v>
      </c>
      <c r="B20" s="3">
        <v>35720</v>
      </c>
      <c r="C20" s="3">
        <v>35753</v>
      </c>
      <c r="D20" s="1" t="s">
        <v>9</v>
      </c>
      <c r="E20" s="1">
        <v>-9.8000000000000007</v>
      </c>
      <c r="F20" s="1" t="s">
        <v>15158</v>
      </c>
    </row>
    <row r="21" spans="1:6" ht="21" x14ac:dyDescent="0.25">
      <c r="A21" s="2" t="str">
        <f>HYPERLINK("https://rth.dk/resources/bsgatlas/details.php?id=BSGatlas-terminator-20","BSGatlas-terminator-20")</f>
        <v>BSGatlas-terminator-20</v>
      </c>
      <c r="B21" s="3">
        <v>44750</v>
      </c>
      <c r="C21" s="3">
        <v>44794</v>
      </c>
      <c r="D21" s="1" t="s">
        <v>9</v>
      </c>
      <c r="E21" s="1">
        <v>-10.199999999999999</v>
      </c>
      <c r="F21" s="1" t="s">
        <v>15157</v>
      </c>
    </row>
    <row r="22" spans="1:6" ht="21" x14ac:dyDescent="0.25">
      <c r="A22" s="2" t="str">
        <f>HYPERLINK("https://rth.dk/resources/bsgatlas/details.php?id=BSGatlas-terminator-21","BSGatlas-terminator-21")</f>
        <v>BSGatlas-terminator-21</v>
      </c>
      <c r="B22" s="3">
        <v>44790</v>
      </c>
      <c r="C22" s="3">
        <v>44833</v>
      </c>
      <c r="D22" s="1" t="s">
        <v>13</v>
      </c>
      <c r="E22" s="1">
        <v>-12.8</v>
      </c>
      <c r="F22" s="1" t="s">
        <v>15158</v>
      </c>
    </row>
    <row r="23" spans="1:6" ht="21" x14ac:dyDescent="0.25">
      <c r="A23" s="2" t="str">
        <f>HYPERLINK("https://rth.dk/resources/bsgatlas/details.php?id=BSGatlas-terminator-22","BSGatlas-terminator-22")</f>
        <v>BSGatlas-terminator-22</v>
      </c>
      <c r="B23" s="3">
        <v>45147</v>
      </c>
      <c r="C23" s="3">
        <v>45191</v>
      </c>
      <c r="D23" s="1" t="s">
        <v>9</v>
      </c>
      <c r="E23" s="1">
        <v>-14.4</v>
      </c>
      <c r="F23" s="1" t="s">
        <v>15157</v>
      </c>
    </row>
    <row r="24" spans="1:6" ht="21" x14ac:dyDescent="0.25">
      <c r="A24" s="2" t="str">
        <f>HYPERLINK("https://rth.dk/resources/bsgatlas/details.php?id=BSGatlas-terminator-23","BSGatlas-terminator-23")</f>
        <v>BSGatlas-terminator-23</v>
      </c>
      <c r="B24" s="3">
        <v>47589</v>
      </c>
      <c r="C24" s="3">
        <v>47633</v>
      </c>
      <c r="D24" s="1" t="s">
        <v>9</v>
      </c>
      <c r="E24" s="1">
        <v>-14.4</v>
      </c>
      <c r="F24" s="1" t="s">
        <v>15157</v>
      </c>
    </row>
    <row r="25" spans="1:6" ht="21" x14ac:dyDescent="0.25">
      <c r="A25" s="2" t="str">
        <f>HYPERLINK("https://rth.dk/resources/bsgatlas/details.php?id=BSGatlas-terminator-24","BSGatlas-terminator-24")</f>
        <v>BSGatlas-terminator-24</v>
      </c>
      <c r="B25" s="3">
        <v>47635</v>
      </c>
      <c r="C25" s="3">
        <v>47686</v>
      </c>
      <c r="D25" s="1" t="s">
        <v>9</v>
      </c>
      <c r="E25" s="1">
        <v>-13.4</v>
      </c>
      <c r="F25" s="1" t="s">
        <v>4382</v>
      </c>
    </row>
    <row r="26" spans="1:6" ht="21" x14ac:dyDescent="0.25">
      <c r="A26" s="2" t="str">
        <f>HYPERLINK("https://rth.dk/resources/bsgatlas/details.php?id=BSGatlas-terminator-25","BSGatlas-terminator-25")</f>
        <v>BSGatlas-terminator-25</v>
      </c>
      <c r="B26" s="3">
        <v>49881</v>
      </c>
      <c r="C26" s="3">
        <v>49925</v>
      </c>
      <c r="D26" s="1" t="s">
        <v>9</v>
      </c>
      <c r="E26" s="1">
        <v>-11.3</v>
      </c>
      <c r="F26" s="1" t="s">
        <v>15157</v>
      </c>
    </row>
    <row r="27" spans="1:6" ht="21" x14ac:dyDescent="0.25">
      <c r="A27" s="2" t="str">
        <f>HYPERLINK("https://rth.dk/resources/bsgatlas/details.php?id=BSGatlas-terminator-26","BSGatlas-terminator-26")</f>
        <v>BSGatlas-terminator-26</v>
      </c>
      <c r="B27" s="3">
        <v>49954</v>
      </c>
      <c r="C27" s="3">
        <v>49994</v>
      </c>
      <c r="D27" s="1" t="s">
        <v>9</v>
      </c>
      <c r="E27" s="1">
        <v>-14.8</v>
      </c>
      <c r="F27" s="1" t="s">
        <v>4382</v>
      </c>
    </row>
    <row r="28" spans="1:6" ht="21" x14ac:dyDescent="0.25">
      <c r="A28" s="2" t="str">
        <f>HYPERLINK("https://rth.dk/resources/bsgatlas/details.php?id=BSGatlas-terminator-27","BSGatlas-terminator-27")</f>
        <v>BSGatlas-terminator-27</v>
      </c>
      <c r="B28" s="3">
        <v>51502</v>
      </c>
      <c r="C28" s="3">
        <v>51539</v>
      </c>
      <c r="D28" s="1" t="s">
        <v>9</v>
      </c>
      <c r="E28" s="1">
        <v>-10.4</v>
      </c>
      <c r="F28" s="1" t="s">
        <v>15158</v>
      </c>
    </row>
    <row r="29" spans="1:6" ht="21" x14ac:dyDescent="0.25">
      <c r="A29" s="2" t="str">
        <f>HYPERLINK("https://rth.dk/resources/bsgatlas/details.php?id=BSGatlas-terminator-28","BSGatlas-terminator-28")</f>
        <v>BSGatlas-terminator-28</v>
      </c>
      <c r="B29" s="3">
        <v>52558</v>
      </c>
      <c r="C29" s="3">
        <v>52600</v>
      </c>
      <c r="D29" s="1" t="s">
        <v>9</v>
      </c>
      <c r="E29" s="1">
        <v>-15.1</v>
      </c>
      <c r="F29" s="1" t="s">
        <v>15158</v>
      </c>
    </row>
    <row r="30" spans="1:6" ht="21" x14ac:dyDescent="0.25">
      <c r="A30" s="2" t="str">
        <f>HYPERLINK("https://rth.dk/resources/bsgatlas/details.php?id=BSGatlas-terminator-29","BSGatlas-terminator-29")</f>
        <v>BSGatlas-terminator-29</v>
      </c>
      <c r="B30" s="3">
        <v>52913</v>
      </c>
      <c r="C30" s="3">
        <v>52957</v>
      </c>
      <c r="D30" s="1" t="s">
        <v>9</v>
      </c>
      <c r="E30" s="1">
        <v>-9.9</v>
      </c>
      <c r="F30" s="1" t="s">
        <v>15157</v>
      </c>
    </row>
    <row r="31" spans="1:6" ht="21" x14ac:dyDescent="0.25">
      <c r="A31" s="2" t="str">
        <f>HYPERLINK("https://rth.dk/resources/bsgatlas/details.php?id=BSGatlas-terminator-30","BSGatlas-terminator-30")</f>
        <v>BSGatlas-terminator-30</v>
      </c>
      <c r="B31" s="3">
        <v>53022</v>
      </c>
      <c r="C31" s="3">
        <v>53064</v>
      </c>
      <c r="D31" s="1" t="s">
        <v>9</v>
      </c>
      <c r="E31" s="1">
        <v>-12.9</v>
      </c>
      <c r="F31" s="1" t="s">
        <v>15158</v>
      </c>
    </row>
    <row r="32" spans="1:6" ht="21" x14ac:dyDescent="0.25">
      <c r="A32" s="2" t="str">
        <f>HYPERLINK("https://rth.dk/resources/bsgatlas/details.php?id=BSGatlas-terminator-31","BSGatlas-terminator-31")</f>
        <v>BSGatlas-terminator-31</v>
      </c>
      <c r="B32" s="3">
        <v>53373</v>
      </c>
      <c r="C32" s="3">
        <v>53415</v>
      </c>
      <c r="D32" s="1" t="s">
        <v>9</v>
      </c>
      <c r="E32" s="1">
        <v>-16.600000000000001</v>
      </c>
      <c r="F32" s="1" t="s">
        <v>15158</v>
      </c>
    </row>
    <row r="33" spans="1:6" ht="21" x14ac:dyDescent="0.25">
      <c r="A33" s="2" t="str">
        <f>HYPERLINK("https://rth.dk/resources/bsgatlas/details.php?id=BSGatlas-terminator-32","BSGatlas-terminator-32")</f>
        <v>BSGatlas-terminator-32</v>
      </c>
      <c r="B33" s="3">
        <v>55676</v>
      </c>
      <c r="C33" s="3">
        <v>55720</v>
      </c>
      <c r="D33" s="1" t="s">
        <v>9</v>
      </c>
      <c r="E33" s="1">
        <v>-15.5</v>
      </c>
      <c r="F33" s="1" t="s">
        <v>15158</v>
      </c>
    </row>
    <row r="34" spans="1:6" ht="21" x14ac:dyDescent="0.25">
      <c r="A34" s="2" t="str">
        <f>HYPERLINK("https://rth.dk/resources/bsgatlas/details.php?id=BSGatlas-terminator-33","BSGatlas-terminator-33")</f>
        <v>BSGatlas-terminator-33</v>
      </c>
      <c r="B34" s="3">
        <v>56126</v>
      </c>
      <c r="C34" s="3">
        <v>56170</v>
      </c>
      <c r="D34" s="1" t="s">
        <v>9</v>
      </c>
      <c r="E34" s="1">
        <v>-22.3</v>
      </c>
      <c r="F34" s="1" t="s">
        <v>15157</v>
      </c>
    </row>
    <row r="35" spans="1:6" ht="21" x14ac:dyDescent="0.25">
      <c r="A35" s="2" t="str">
        <f>HYPERLINK("https://rth.dk/resources/bsgatlas/details.php?id=BSGatlas-terminator-34","BSGatlas-terminator-34")</f>
        <v>BSGatlas-terminator-34</v>
      </c>
      <c r="B35" s="3">
        <v>56173</v>
      </c>
      <c r="C35" s="3">
        <v>56234</v>
      </c>
      <c r="D35" s="1" t="s">
        <v>9</v>
      </c>
      <c r="E35" s="1">
        <v>-28.1</v>
      </c>
      <c r="F35" s="1" t="s">
        <v>4382</v>
      </c>
    </row>
    <row r="36" spans="1:6" ht="21" x14ac:dyDescent="0.25">
      <c r="A36" s="2" t="str">
        <f>HYPERLINK("https://rth.dk/resources/bsgatlas/details.php?id=BSGatlas-terminator-35","BSGatlas-terminator-35")</f>
        <v>BSGatlas-terminator-35</v>
      </c>
      <c r="B36" s="3">
        <v>57675</v>
      </c>
      <c r="C36" s="3">
        <v>57719</v>
      </c>
      <c r="D36" s="1" t="s">
        <v>13</v>
      </c>
      <c r="E36" s="1">
        <v>-13.8</v>
      </c>
      <c r="F36" s="1" t="s">
        <v>15157</v>
      </c>
    </row>
    <row r="37" spans="1:6" ht="21" x14ac:dyDescent="0.25">
      <c r="A37" s="2" t="str">
        <f>HYPERLINK("https://rth.dk/resources/bsgatlas/details.php?id=BSGatlas-terminator-36","BSGatlas-terminator-36")</f>
        <v>BSGatlas-terminator-36</v>
      </c>
      <c r="B37" s="3">
        <v>59401</v>
      </c>
      <c r="C37" s="3">
        <v>59445</v>
      </c>
      <c r="D37" s="1" t="s">
        <v>9</v>
      </c>
      <c r="E37" s="1">
        <v>-13.4</v>
      </c>
      <c r="F37" s="1" t="s">
        <v>15158</v>
      </c>
    </row>
    <row r="38" spans="1:6" ht="21" x14ac:dyDescent="0.25">
      <c r="A38" s="2" t="str">
        <f>HYPERLINK("https://rth.dk/resources/bsgatlas/details.php?id=BSGatlas-terminator-37","BSGatlas-terminator-37")</f>
        <v>BSGatlas-terminator-37</v>
      </c>
      <c r="B38" s="3">
        <v>64617</v>
      </c>
      <c r="C38" s="3">
        <v>64661</v>
      </c>
      <c r="D38" s="1" t="s">
        <v>9</v>
      </c>
      <c r="E38" s="1">
        <v>-11.6</v>
      </c>
      <c r="F38" s="1" t="s">
        <v>15157</v>
      </c>
    </row>
    <row r="39" spans="1:6" ht="21" x14ac:dyDescent="0.25">
      <c r="A39" s="2" t="str">
        <f>HYPERLINK("https://rth.dk/resources/bsgatlas/details.php?id=BSGatlas-terminator-38","BSGatlas-terminator-38")</f>
        <v>BSGatlas-terminator-38</v>
      </c>
      <c r="B39" s="3">
        <v>64665</v>
      </c>
      <c r="C39" s="3">
        <v>64710</v>
      </c>
      <c r="D39" s="1" t="s">
        <v>9</v>
      </c>
      <c r="E39" s="1">
        <v>-15.2</v>
      </c>
      <c r="F39" s="1" t="s">
        <v>4382</v>
      </c>
    </row>
    <row r="40" spans="1:6" ht="21" x14ac:dyDescent="0.25">
      <c r="A40" s="2" t="str">
        <f>HYPERLINK("https://rth.dk/resources/bsgatlas/details.php?id=BSGatlas-terminator-39","BSGatlas-terminator-39")</f>
        <v>BSGatlas-terminator-39</v>
      </c>
      <c r="B40" s="3">
        <v>68191</v>
      </c>
      <c r="C40" s="3">
        <v>68235</v>
      </c>
      <c r="D40" s="1" t="s">
        <v>13</v>
      </c>
      <c r="E40" s="1">
        <v>-13.9</v>
      </c>
      <c r="F40" s="1" t="s">
        <v>15157</v>
      </c>
    </row>
    <row r="41" spans="1:6" ht="21" x14ac:dyDescent="0.25">
      <c r="A41" s="2" t="str">
        <f>HYPERLINK("https://rth.dk/resources/bsgatlas/details.php?id=BSGatlas-terminator-40","BSGatlas-terminator-40")</f>
        <v>BSGatlas-terminator-40</v>
      </c>
      <c r="B41" s="3">
        <v>69984</v>
      </c>
      <c r="C41" s="3">
        <v>70028</v>
      </c>
      <c r="D41" s="1" t="s">
        <v>9</v>
      </c>
      <c r="E41" s="1">
        <v>-12.5</v>
      </c>
      <c r="F41" s="1" t="s">
        <v>15157</v>
      </c>
    </row>
    <row r="42" spans="1:6" ht="21" x14ac:dyDescent="0.25">
      <c r="A42" s="2" t="str">
        <f>HYPERLINK("https://rth.dk/resources/bsgatlas/details.php?id=BSGatlas-terminator-41","BSGatlas-terminator-41")</f>
        <v>BSGatlas-terminator-41</v>
      </c>
      <c r="B42" s="3">
        <v>70035</v>
      </c>
      <c r="C42" s="3">
        <v>70078</v>
      </c>
      <c r="D42" s="1" t="s">
        <v>9</v>
      </c>
      <c r="E42" s="1">
        <v>-15.7</v>
      </c>
      <c r="F42" s="1" t="s">
        <v>4382</v>
      </c>
    </row>
    <row r="43" spans="1:6" ht="21" x14ac:dyDescent="0.25">
      <c r="A43" s="2" t="str">
        <f>HYPERLINK("https://rth.dk/resources/bsgatlas/details.php?id=BSGatlas-terminator-42","BSGatlas-terminator-42")</f>
        <v>BSGatlas-terminator-42</v>
      </c>
      <c r="B43" s="3">
        <v>70344</v>
      </c>
      <c r="C43" s="3">
        <v>70386</v>
      </c>
      <c r="D43" s="1" t="s">
        <v>9</v>
      </c>
      <c r="E43" s="1">
        <v>-13.9</v>
      </c>
      <c r="F43" s="1" t="s">
        <v>15158</v>
      </c>
    </row>
    <row r="44" spans="1:6" ht="21" x14ac:dyDescent="0.25">
      <c r="A44" s="2" t="str">
        <f>HYPERLINK("https://rth.dk/resources/bsgatlas/details.php?id=BSGatlas-terminator-43","BSGatlas-terminator-43")</f>
        <v>BSGatlas-terminator-43</v>
      </c>
      <c r="B44" s="3">
        <v>70557</v>
      </c>
      <c r="C44" s="3">
        <v>70601</v>
      </c>
      <c r="D44" s="1" t="s">
        <v>9</v>
      </c>
      <c r="E44" s="1">
        <v>-10.8</v>
      </c>
      <c r="F44" s="1" t="s">
        <v>15157</v>
      </c>
    </row>
    <row r="45" spans="1:6" ht="21" x14ac:dyDescent="0.25">
      <c r="A45" s="2" t="str">
        <f>HYPERLINK("https://rth.dk/resources/bsgatlas/details.php?id=BSGatlas-terminator-44","BSGatlas-terminator-44")</f>
        <v>BSGatlas-terminator-44</v>
      </c>
      <c r="B45" s="3">
        <v>71194</v>
      </c>
      <c r="C45" s="3">
        <v>71238</v>
      </c>
      <c r="D45" s="1" t="s">
        <v>13</v>
      </c>
      <c r="E45" s="1">
        <v>-13.9</v>
      </c>
      <c r="F45" s="1" t="s">
        <v>15157</v>
      </c>
    </row>
    <row r="46" spans="1:6" ht="21" x14ac:dyDescent="0.25">
      <c r="A46" s="2" t="str">
        <f>HYPERLINK("https://rth.dk/resources/bsgatlas/details.php?id=BSGatlas-terminator-45","BSGatlas-terminator-45")</f>
        <v>BSGatlas-terminator-45</v>
      </c>
      <c r="B46" s="3">
        <v>76320</v>
      </c>
      <c r="C46" s="3">
        <v>76364</v>
      </c>
      <c r="D46" s="1" t="s">
        <v>13</v>
      </c>
      <c r="E46" s="1">
        <v>-9.1</v>
      </c>
      <c r="F46" s="1" t="s">
        <v>15157</v>
      </c>
    </row>
    <row r="47" spans="1:6" ht="21" x14ac:dyDescent="0.25">
      <c r="A47" s="2" t="str">
        <f>HYPERLINK("https://rth.dk/resources/bsgatlas/details.php?id=BSGatlas-terminator-46","BSGatlas-terminator-46")</f>
        <v>BSGatlas-terminator-46</v>
      </c>
      <c r="B47" s="3">
        <v>78914</v>
      </c>
      <c r="C47" s="3">
        <v>78953</v>
      </c>
      <c r="D47" s="1" t="s">
        <v>9</v>
      </c>
      <c r="E47" s="1">
        <v>-16.100000000000001</v>
      </c>
      <c r="F47" s="1" t="s">
        <v>15158</v>
      </c>
    </row>
    <row r="48" spans="1:6" ht="21" x14ac:dyDescent="0.25">
      <c r="A48" s="2" t="str">
        <f>HYPERLINK("https://rth.dk/resources/bsgatlas/details.php?id=BSGatlas-terminator-47","BSGatlas-terminator-47")</f>
        <v>BSGatlas-terminator-47</v>
      </c>
      <c r="B48" s="3">
        <v>82705</v>
      </c>
      <c r="C48" s="3">
        <v>82742</v>
      </c>
      <c r="D48" s="1" t="s">
        <v>9</v>
      </c>
      <c r="E48" s="1">
        <v>-15.6</v>
      </c>
      <c r="F48" s="1" t="s">
        <v>15158</v>
      </c>
    </row>
    <row r="49" spans="1:6" ht="21" x14ac:dyDescent="0.25">
      <c r="A49" s="2" t="str">
        <f>HYPERLINK("https://rth.dk/resources/bsgatlas/details.php?id=BSGatlas-terminator-48","BSGatlas-terminator-48")</f>
        <v>BSGatlas-terminator-48</v>
      </c>
      <c r="B49" s="3">
        <v>88654</v>
      </c>
      <c r="C49" s="3">
        <v>88694</v>
      </c>
      <c r="D49" s="1" t="s">
        <v>9</v>
      </c>
      <c r="E49" s="1">
        <v>-13</v>
      </c>
      <c r="F49" s="1" t="s">
        <v>4382</v>
      </c>
    </row>
    <row r="50" spans="1:6" ht="21" x14ac:dyDescent="0.25">
      <c r="A50" s="2" t="str">
        <f>HYPERLINK("https://rth.dk/resources/bsgatlas/details.php?id=BSGatlas-terminator-49","BSGatlas-terminator-49")</f>
        <v>BSGatlas-terminator-49</v>
      </c>
      <c r="B50" s="3">
        <v>90229</v>
      </c>
      <c r="C50" s="3">
        <v>90282</v>
      </c>
      <c r="D50" s="1" t="s">
        <v>9</v>
      </c>
      <c r="E50" s="1">
        <v>-25.3</v>
      </c>
      <c r="F50" s="1" t="s">
        <v>15158</v>
      </c>
    </row>
    <row r="51" spans="1:6" ht="21" x14ac:dyDescent="0.25">
      <c r="A51" s="2" t="str">
        <f>HYPERLINK("https://rth.dk/resources/bsgatlas/details.php?id=BSGatlas-terminator-50","BSGatlas-terminator-50")</f>
        <v>BSGatlas-terminator-50</v>
      </c>
      <c r="B51" s="3">
        <v>90346</v>
      </c>
      <c r="C51" s="3">
        <v>90390</v>
      </c>
      <c r="D51" s="1" t="s">
        <v>13</v>
      </c>
      <c r="E51" s="1">
        <v>-16.899999999999999</v>
      </c>
      <c r="F51" s="1" t="s">
        <v>15157</v>
      </c>
    </row>
    <row r="52" spans="1:6" ht="21" x14ac:dyDescent="0.25">
      <c r="A52" s="2" t="str">
        <f>HYPERLINK("https://rth.dk/resources/bsgatlas/details.php?id=BSGatlas-terminator-51","BSGatlas-terminator-51")</f>
        <v>BSGatlas-terminator-51</v>
      </c>
      <c r="B52" s="3">
        <v>105977</v>
      </c>
      <c r="C52" s="3">
        <v>106021</v>
      </c>
      <c r="D52" s="1" t="s">
        <v>9</v>
      </c>
      <c r="E52" s="1">
        <v>-11.7</v>
      </c>
      <c r="F52" s="1" t="s">
        <v>15157</v>
      </c>
    </row>
    <row r="53" spans="1:6" ht="21" x14ac:dyDescent="0.25">
      <c r="A53" s="2" t="str">
        <f>HYPERLINK("https://rth.dk/resources/bsgatlas/details.php?id=BSGatlas-terminator-52","BSGatlas-terminator-52")</f>
        <v>BSGatlas-terminator-52</v>
      </c>
      <c r="B53" s="3">
        <v>108566</v>
      </c>
      <c r="C53" s="3">
        <v>108614</v>
      </c>
      <c r="D53" s="1" t="s">
        <v>9</v>
      </c>
      <c r="E53" s="1">
        <v>-4.4000000000000004</v>
      </c>
      <c r="F53" s="1" t="s">
        <v>4382</v>
      </c>
    </row>
    <row r="54" spans="1:6" ht="21" x14ac:dyDescent="0.25">
      <c r="A54" s="2" t="str">
        <f>HYPERLINK("https://rth.dk/resources/bsgatlas/details.php?id=BSGatlas-terminator-53","BSGatlas-terminator-53")</f>
        <v>BSGatlas-terminator-53</v>
      </c>
      <c r="B54" s="3">
        <v>109574</v>
      </c>
      <c r="C54" s="3">
        <v>109618</v>
      </c>
      <c r="D54" s="1" t="s">
        <v>13</v>
      </c>
      <c r="E54" s="1">
        <v>-11.8</v>
      </c>
      <c r="F54" s="1" t="s">
        <v>15157</v>
      </c>
    </row>
    <row r="55" spans="1:6" ht="21" x14ac:dyDescent="0.25">
      <c r="A55" s="2" t="str">
        <f>HYPERLINK("https://rth.dk/resources/bsgatlas/details.php?id=BSGatlas-terminator-54","BSGatlas-terminator-54")</f>
        <v>BSGatlas-terminator-54</v>
      </c>
      <c r="B55" s="3">
        <v>112716</v>
      </c>
      <c r="C55" s="3">
        <v>112766</v>
      </c>
      <c r="D55" s="1" t="s">
        <v>9</v>
      </c>
      <c r="E55" s="1">
        <v>-23.9</v>
      </c>
      <c r="F55" s="1" t="s">
        <v>4382</v>
      </c>
    </row>
    <row r="56" spans="1:6" ht="21" x14ac:dyDescent="0.25">
      <c r="A56" s="2" t="str">
        <f>HYPERLINK("https://rth.dk/resources/bsgatlas/details.php?id=BSGatlas-terminator-55","BSGatlas-terminator-55")</f>
        <v>BSGatlas-terminator-55</v>
      </c>
      <c r="B56" s="3">
        <v>117032</v>
      </c>
      <c r="C56" s="3">
        <v>117076</v>
      </c>
      <c r="D56" s="1" t="s">
        <v>13</v>
      </c>
      <c r="E56" s="1">
        <v>-10.3</v>
      </c>
      <c r="F56" s="1" t="s">
        <v>15157</v>
      </c>
    </row>
    <row r="57" spans="1:6" ht="21" x14ac:dyDescent="0.25">
      <c r="A57" s="2" t="str">
        <f>HYPERLINK("https://rth.dk/resources/bsgatlas/details.php?id=BSGatlas-terminator-56","BSGatlas-terminator-56")</f>
        <v>BSGatlas-terminator-56</v>
      </c>
      <c r="B57" s="3">
        <v>117861</v>
      </c>
      <c r="C57" s="3">
        <v>117905</v>
      </c>
      <c r="D57" s="1" t="s">
        <v>13</v>
      </c>
      <c r="E57" s="1">
        <v>-10.3</v>
      </c>
      <c r="F57" s="1" t="s">
        <v>15157</v>
      </c>
    </row>
    <row r="58" spans="1:6" ht="21" x14ac:dyDescent="0.25">
      <c r="A58" s="2" t="str">
        <f>HYPERLINK("https://rth.dk/resources/bsgatlas/details.php?id=BSGatlas-terminator-57","BSGatlas-terminator-57")</f>
        <v>BSGatlas-terminator-57</v>
      </c>
      <c r="B58" s="3">
        <v>119761</v>
      </c>
      <c r="C58" s="3">
        <v>119805</v>
      </c>
      <c r="D58" s="1" t="s">
        <v>13</v>
      </c>
      <c r="E58" s="1">
        <v>-10.3</v>
      </c>
      <c r="F58" s="1" t="s">
        <v>15157</v>
      </c>
    </row>
    <row r="59" spans="1:6" ht="21" x14ac:dyDescent="0.25">
      <c r="A59" s="2" t="str">
        <f>HYPERLINK("https://rth.dk/resources/bsgatlas/details.php?id=BSGatlas-terminator-58","BSGatlas-terminator-58")</f>
        <v>BSGatlas-terminator-58</v>
      </c>
      <c r="B59" s="3">
        <v>119905</v>
      </c>
      <c r="C59" s="3">
        <v>119949</v>
      </c>
      <c r="D59" s="1" t="s">
        <v>9</v>
      </c>
      <c r="E59" s="1">
        <v>-13.2</v>
      </c>
      <c r="F59" s="1" t="s">
        <v>15157</v>
      </c>
    </row>
    <row r="60" spans="1:6" ht="21" x14ac:dyDescent="0.25">
      <c r="A60" s="2" t="str">
        <f>HYPERLINK("https://rth.dk/resources/bsgatlas/details.php?id=BSGatlas-terminator-59","BSGatlas-terminator-59")</f>
        <v>BSGatlas-terminator-59</v>
      </c>
      <c r="B60" s="3">
        <v>120872</v>
      </c>
      <c r="C60" s="3">
        <v>120916</v>
      </c>
      <c r="D60" s="1" t="s">
        <v>9</v>
      </c>
      <c r="E60" s="1">
        <v>-11.7</v>
      </c>
      <c r="F60" s="1" t="s">
        <v>15157</v>
      </c>
    </row>
    <row r="61" spans="1:6" ht="21" x14ac:dyDescent="0.25">
      <c r="A61" s="2" t="str">
        <f>HYPERLINK("https://rth.dk/resources/bsgatlas/details.php?id=BSGatlas-terminator-60","BSGatlas-terminator-60")</f>
        <v>BSGatlas-terminator-60</v>
      </c>
      <c r="B61" s="3">
        <v>120945</v>
      </c>
      <c r="C61" s="3">
        <v>120989</v>
      </c>
      <c r="D61" s="1" t="s">
        <v>9</v>
      </c>
      <c r="E61" s="1">
        <v>-11.7</v>
      </c>
      <c r="F61" s="1" t="s">
        <v>15157</v>
      </c>
    </row>
    <row r="62" spans="1:6" ht="21" x14ac:dyDescent="0.25">
      <c r="A62" s="2" t="str">
        <f>HYPERLINK("https://rth.dk/resources/bsgatlas/details.php?id=BSGatlas-terminator-61","BSGatlas-terminator-61")</f>
        <v>BSGatlas-terminator-61</v>
      </c>
      <c r="B62" s="3">
        <v>128604</v>
      </c>
      <c r="C62" s="3">
        <v>128648</v>
      </c>
      <c r="D62" s="1" t="s">
        <v>13</v>
      </c>
      <c r="E62" s="1">
        <v>-7.5</v>
      </c>
      <c r="F62" s="1" t="s">
        <v>15157</v>
      </c>
    </row>
    <row r="63" spans="1:6" ht="21" x14ac:dyDescent="0.25">
      <c r="A63" s="2" t="str">
        <f>HYPERLINK("https://rth.dk/resources/bsgatlas/details.php?id=BSGatlas-terminator-62","BSGatlas-terminator-62")</f>
        <v>BSGatlas-terminator-62</v>
      </c>
      <c r="B63" s="3">
        <v>129088</v>
      </c>
      <c r="C63" s="3">
        <v>129132</v>
      </c>
      <c r="D63" s="1" t="s">
        <v>13</v>
      </c>
      <c r="E63" s="1">
        <v>-7.5</v>
      </c>
      <c r="F63" s="1" t="s">
        <v>15157</v>
      </c>
    </row>
    <row r="64" spans="1:6" ht="21" x14ac:dyDescent="0.25">
      <c r="A64" s="2" t="str">
        <f>HYPERLINK("https://rth.dk/resources/bsgatlas/details.php?id=BSGatlas-terminator-63","BSGatlas-terminator-63")</f>
        <v>BSGatlas-terminator-63</v>
      </c>
      <c r="B64" s="3">
        <v>134045</v>
      </c>
      <c r="C64" s="3">
        <v>134089</v>
      </c>
      <c r="D64" s="1" t="s">
        <v>9</v>
      </c>
      <c r="E64" s="1">
        <v>-12.9</v>
      </c>
      <c r="F64" s="1" t="s">
        <v>15157</v>
      </c>
    </row>
    <row r="65" spans="1:6" ht="21" x14ac:dyDescent="0.25">
      <c r="A65" s="2" t="str">
        <f>HYPERLINK("https://rth.dk/resources/bsgatlas/details.php?id=BSGatlas-terminator-64","BSGatlas-terminator-64")</f>
        <v>BSGatlas-terminator-64</v>
      </c>
      <c r="B65" s="3">
        <v>137425</v>
      </c>
      <c r="C65" s="3">
        <v>137469</v>
      </c>
      <c r="D65" s="1" t="s">
        <v>13</v>
      </c>
      <c r="E65" s="1">
        <v>-12.8</v>
      </c>
      <c r="F65" s="1" t="s">
        <v>15157</v>
      </c>
    </row>
    <row r="66" spans="1:6" ht="21" x14ac:dyDescent="0.25">
      <c r="A66" s="2" t="str">
        <f>HYPERLINK("https://rth.dk/resources/bsgatlas/details.php?id=BSGatlas-terminator-65","BSGatlas-terminator-65")</f>
        <v>BSGatlas-terminator-65</v>
      </c>
      <c r="B66" s="3">
        <v>138833</v>
      </c>
      <c r="C66" s="3">
        <v>138877</v>
      </c>
      <c r="D66" s="1" t="s">
        <v>13</v>
      </c>
      <c r="E66" s="1">
        <v>-12.8</v>
      </c>
      <c r="F66" s="1" t="s">
        <v>15157</v>
      </c>
    </row>
    <row r="67" spans="1:6" ht="21" x14ac:dyDescent="0.25">
      <c r="A67" s="2" t="str">
        <f>HYPERLINK("https://rth.dk/resources/bsgatlas/details.php?id=BSGatlas-terminator-66","BSGatlas-terminator-66")</f>
        <v>BSGatlas-terminator-66</v>
      </c>
      <c r="B67" s="3">
        <v>142353</v>
      </c>
      <c r="C67" s="3">
        <v>142397</v>
      </c>
      <c r="D67" s="1" t="s">
        <v>13</v>
      </c>
      <c r="E67" s="1">
        <v>-15.9</v>
      </c>
      <c r="F67" s="1" t="s">
        <v>15157</v>
      </c>
    </row>
    <row r="68" spans="1:6" ht="21" x14ac:dyDescent="0.25">
      <c r="A68" s="2" t="str">
        <f>HYPERLINK("https://rth.dk/resources/bsgatlas/details.php?id=BSGatlas-terminator-67","BSGatlas-terminator-67")</f>
        <v>BSGatlas-terminator-67</v>
      </c>
      <c r="B68" s="3">
        <v>150295</v>
      </c>
      <c r="C68" s="3">
        <v>150339</v>
      </c>
      <c r="D68" s="1" t="s">
        <v>9</v>
      </c>
      <c r="E68" s="1">
        <v>-10.5</v>
      </c>
      <c r="F68" s="1" t="s">
        <v>15157</v>
      </c>
    </row>
    <row r="69" spans="1:6" ht="21" x14ac:dyDescent="0.25">
      <c r="A69" s="2" t="str">
        <f>HYPERLINK("https://rth.dk/resources/bsgatlas/details.php?id=BSGatlas-terminator-68","BSGatlas-terminator-68")</f>
        <v>BSGatlas-terminator-68</v>
      </c>
      <c r="B69" s="3">
        <v>154645</v>
      </c>
      <c r="C69" s="3">
        <v>154689</v>
      </c>
      <c r="D69" s="1" t="s">
        <v>9</v>
      </c>
      <c r="E69" s="1">
        <v>-13.3</v>
      </c>
      <c r="F69" s="1" t="s">
        <v>15157</v>
      </c>
    </row>
    <row r="70" spans="1:6" ht="21" x14ac:dyDescent="0.25">
      <c r="A70" s="2" t="str">
        <f>HYPERLINK("https://rth.dk/resources/bsgatlas/details.php?id=BSGatlas-terminator-69","BSGatlas-terminator-69")</f>
        <v>BSGatlas-terminator-69</v>
      </c>
      <c r="B70" s="3">
        <v>155892</v>
      </c>
      <c r="C70" s="3">
        <v>155936</v>
      </c>
      <c r="D70" s="1" t="s">
        <v>9</v>
      </c>
      <c r="E70" s="1">
        <v>-10.3</v>
      </c>
      <c r="F70" s="1" t="s">
        <v>15157</v>
      </c>
    </row>
    <row r="71" spans="1:6" ht="21" x14ac:dyDescent="0.25">
      <c r="A71" s="2" t="str">
        <f>HYPERLINK("https://rth.dk/resources/bsgatlas/details.php?id=BSGatlas-terminator-70","BSGatlas-terminator-70")</f>
        <v>BSGatlas-terminator-70</v>
      </c>
      <c r="B71" s="3">
        <v>157308</v>
      </c>
      <c r="C71" s="3">
        <v>157347</v>
      </c>
      <c r="D71" s="1" t="s">
        <v>9</v>
      </c>
      <c r="E71" s="1">
        <v>-13.3</v>
      </c>
      <c r="F71" s="1" t="s">
        <v>4382</v>
      </c>
    </row>
    <row r="72" spans="1:6" ht="21" x14ac:dyDescent="0.25">
      <c r="A72" s="2" t="str">
        <f>HYPERLINK("https://rth.dk/resources/bsgatlas/details.php?id=BSGatlas-terminator-71","BSGatlas-terminator-71")</f>
        <v>BSGatlas-terminator-71</v>
      </c>
      <c r="B72" s="3">
        <v>158017</v>
      </c>
      <c r="C72" s="3">
        <v>158083</v>
      </c>
      <c r="D72" s="1" t="s">
        <v>13</v>
      </c>
      <c r="E72" s="1"/>
      <c r="F72" s="1" t="s">
        <v>15159</v>
      </c>
    </row>
    <row r="73" spans="1:6" ht="21" x14ac:dyDescent="0.25">
      <c r="A73" s="2" t="str">
        <f>HYPERLINK("https://rth.dk/resources/bsgatlas/details.php?id=BSGatlas-terminator-72","BSGatlas-terminator-72")</f>
        <v>BSGatlas-terminator-72</v>
      </c>
      <c r="B73" s="3">
        <v>158443</v>
      </c>
      <c r="C73" s="3">
        <v>158487</v>
      </c>
      <c r="D73" s="1" t="s">
        <v>9</v>
      </c>
      <c r="E73" s="1">
        <v>-9.1</v>
      </c>
      <c r="F73" s="1" t="s">
        <v>15157</v>
      </c>
    </row>
    <row r="74" spans="1:6" ht="21" x14ac:dyDescent="0.25">
      <c r="A74" s="2" t="str">
        <f>HYPERLINK("https://rth.dk/resources/bsgatlas/details.php?id=BSGatlas-terminator-73","BSGatlas-terminator-73")</f>
        <v>BSGatlas-terminator-73</v>
      </c>
      <c r="B74" s="3">
        <v>158467</v>
      </c>
      <c r="C74" s="3">
        <v>158518</v>
      </c>
      <c r="D74" s="1" t="s">
        <v>13</v>
      </c>
      <c r="E74" s="1">
        <v>-17.600000000000001</v>
      </c>
      <c r="F74" s="1" t="s">
        <v>4382</v>
      </c>
    </row>
    <row r="75" spans="1:6" ht="21" x14ac:dyDescent="0.25">
      <c r="A75" s="2" t="str">
        <f>HYPERLINK("https://rth.dk/resources/bsgatlas/details.php?id=BSGatlas-terminator-74","BSGatlas-terminator-74")</f>
        <v>BSGatlas-terminator-74</v>
      </c>
      <c r="B75" s="3">
        <v>159116</v>
      </c>
      <c r="C75" s="3">
        <v>159182</v>
      </c>
      <c r="D75" s="1" t="s">
        <v>13</v>
      </c>
      <c r="E75" s="1"/>
      <c r="F75" s="1" t="s">
        <v>15159</v>
      </c>
    </row>
    <row r="76" spans="1:6" ht="21" x14ac:dyDescent="0.25">
      <c r="A76" s="2" t="str">
        <f>HYPERLINK("https://rth.dk/resources/bsgatlas/details.php?id=BSGatlas-terminator-75","BSGatlas-terminator-75")</f>
        <v>BSGatlas-terminator-75</v>
      </c>
      <c r="B76" s="3">
        <v>159586</v>
      </c>
      <c r="C76" s="3">
        <v>159623</v>
      </c>
      <c r="D76" s="1" t="s">
        <v>13</v>
      </c>
      <c r="E76" s="1">
        <v>-5</v>
      </c>
      <c r="F76" s="1" t="s">
        <v>4382</v>
      </c>
    </row>
    <row r="77" spans="1:6" ht="21" x14ac:dyDescent="0.25">
      <c r="A77" s="2" t="str">
        <f>HYPERLINK("https://rth.dk/resources/bsgatlas/details.php?id=BSGatlas-terminator-76","BSGatlas-terminator-76")</f>
        <v>BSGatlas-terminator-76</v>
      </c>
      <c r="B77" s="3">
        <v>178486</v>
      </c>
      <c r="C77" s="3">
        <v>178530</v>
      </c>
      <c r="D77" s="1" t="s">
        <v>9</v>
      </c>
      <c r="E77" s="1">
        <v>-12</v>
      </c>
      <c r="F77" s="1" t="s">
        <v>15157</v>
      </c>
    </row>
    <row r="78" spans="1:6" ht="21" x14ac:dyDescent="0.25">
      <c r="A78" s="2" t="str">
        <f>HYPERLINK("https://rth.dk/resources/bsgatlas/details.php?id=BSGatlas-terminator-77","BSGatlas-terminator-77")</f>
        <v>BSGatlas-terminator-77</v>
      </c>
      <c r="B78" s="3">
        <v>179544</v>
      </c>
      <c r="C78" s="3">
        <v>179588</v>
      </c>
      <c r="D78" s="1" t="s">
        <v>9</v>
      </c>
      <c r="E78" s="1">
        <v>-10.5</v>
      </c>
      <c r="F78" s="1" t="s">
        <v>15157</v>
      </c>
    </row>
    <row r="79" spans="1:6" ht="21" x14ac:dyDescent="0.25">
      <c r="A79" s="2" t="str">
        <f>HYPERLINK("https://rth.dk/resources/bsgatlas/details.php?id=BSGatlas-terminator-78","BSGatlas-terminator-78")</f>
        <v>BSGatlas-terminator-78</v>
      </c>
      <c r="B79" s="3">
        <v>179576</v>
      </c>
      <c r="C79" s="3">
        <v>179615</v>
      </c>
      <c r="D79" s="1" t="s">
        <v>13</v>
      </c>
      <c r="E79" s="1">
        <v>-13.1</v>
      </c>
      <c r="F79" s="1" t="s">
        <v>15158</v>
      </c>
    </row>
    <row r="80" spans="1:6" ht="21" x14ac:dyDescent="0.25">
      <c r="A80" s="2" t="str">
        <f>HYPERLINK("https://rth.dk/resources/bsgatlas/details.php?id=BSGatlas-terminator-79","BSGatlas-terminator-79")</f>
        <v>BSGatlas-terminator-79</v>
      </c>
      <c r="B80" s="3">
        <v>185143</v>
      </c>
      <c r="C80" s="3">
        <v>185187</v>
      </c>
      <c r="D80" s="1" t="s">
        <v>13</v>
      </c>
      <c r="E80" s="1">
        <v>-10.1</v>
      </c>
      <c r="F80" s="1" t="s">
        <v>15157</v>
      </c>
    </row>
    <row r="81" spans="1:6" ht="21" x14ac:dyDescent="0.25">
      <c r="A81" s="2" t="str">
        <f>HYPERLINK("https://rth.dk/resources/bsgatlas/details.php?id=BSGatlas-terminator-80","BSGatlas-terminator-80")</f>
        <v>BSGatlas-terminator-80</v>
      </c>
      <c r="B81" s="3">
        <v>185193</v>
      </c>
      <c r="C81" s="3">
        <v>185237</v>
      </c>
      <c r="D81" s="1" t="s">
        <v>13</v>
      </c>
      <c r="E81" s="1">
        <v>-10.1</v>
      </c>
      <c r="F81" s="1" t="s">
        <v>15157</v>
      </c>
    </row>
    <row r="82" spans="1:6" ht="21" x14ac:dyDescent="0.25">
      <c r="A82" s="2" t="str">
        <f>HYPERLINK("https://rth.dk/resources/bsgatlas/details.php?id=BSGatlas-terminator-81","BSGatlas-terminator-81")</f>
        <v>BSGatlas-terminator-81</v>
      </c>
      <c r="B82" s="3">
        <v>194619</v>
      </c>
      <c r="C82" s="3">
        <v>194661</v>
      </c>
      <c r="D82" s="1" t="s">
        <v>9</v>
      </c>
      <c r="E82" s="1">
        <v>-15</v>
      </c>
      <c r="F82" s="1" t="s">
        <v>15158</v>
      </c>
    </row>
    <row r="83" spans="1:6" ht="21" x14ac:dyDescent="0.25">
      <c r="A83" s="2" t="str">
        <f>HYPERLINK("https://rth.dk/resources/bsgatlas/details.php?id=BSGatlas-terminator-82","BSGatlas-terminator-82")</f>
        <v>BSGatlas-terminator-82</v>
      </c>
      <c r="B83" s="3">
        <v>195822</v>
      </c>
      <c r="C83" s="3">
        <v>195866</v>
      </c>
      <c r="D83" s="1" t="s">
        <v>13</v>
      </c>
      <c r="E83" s="1">
        <v>-6.9</v>
      </c>
      <c r="F83" s="1" t="s">
        <v>15157</v>
      </c>
    </row>
    <row r="84" spans="1:6" ht="21" x14ac:dyDescent="0.25">
      <c r="A84" s="2" t="str">
        <f>HYPERLINK("https://rth.dk/resources/bsgatlas/details.php?id=BSGatlas-terminator-83","BSGatlas-terminator-83")</f>
        <v>BSGatlas-terminator-83</v>
      </c>
      <c r="B84" s="3">
        <v>196042</v>
      </c>
      <c r="C84" s="3">
        <v>196088</v>
      </c>
      <c r="D84" s="1" t="s">
        <v>9</v>
      </c>
      <c r="E84" s="1">
        <v>-16.2</v>
      </c>
      <c r="F84" s="1" t="s">
        <v>15158</v>
      </c>
    </row>
    <row r="85" spans="1:6" ht="21" x14ac:dyDescent="0.25">
      <c r="A85" s="2" t="str">
        <f>HYPERLINK("https://rth.dk/resources/bsgatlas/details.php?id=BSGatlas-terminator-84","BSGatlas-terminator-84")</f>
        <v>BSGatlas-terminator-84</v>
      </c>
      <c r="B85" s="3">
        <v>199816</v>
      </c>
      <c r="C85" s="3">
        <v>199860</v>
      </c>
      <c r="D85" s="1" t="s">
        <v>9</v>
      </c>
      <c r="E85" s="1">
        <v>-17.5</v>
      </c>
      <c r="F85" s="1" t="s">
        <v>15157</v>
      </c>
    </row>
    <row r="86" spans="1:6" ht="21" x14ac:dyDescent="0.25">
      <c r="A86" s="2" t="str">
        <f>HYPERLINK("https://rth.dk/resources/bsgatlas/details.php?id=BSGatlas-terminator-85","BSGatlas-terminator-85")</f>
        <v>BSGatlas-terminator-85</v>
      </c>
      <c r="B86" s="3">
        <v>201769</v>
      </c>
      <c r="C86" s="3">
        <v>201835</v>
      </c>
      <c r="D86" s="1" t="s">
        <v>13</v>
      </c>
      <c r="E86" s="1"/>
      <c r="F86" s="1" t="s">
        <v>15159</v>
      </c>
    </row>
    <row r="87" spans="1:6" ht="21" x14ac:dyDescent="0.25">
      <c r="A87" s="2" t="str">
        <f>HYPERLINK("https://rth.dk/resources/bsgatlas/details.php?id=BSGatlas-terminator-86","BSGatlas-terminator-86")</f>
        <v>BSGatlas-terminator-86</v>
      </c>
      <c r="B87" s="3">
        <v>202043</v>
      </c>
      <c r="C87" s="3">
        <v>202087</v>
      </c>
      <c r="D87" s="1" t="s">
        <v>9</v>
      </c>
      <c r="E87" s="1">
        <v>-17.5</v>
      </c>
      <c r="F87" s="1" t="s">
        <v>15157</v>
      </c>
    </row>
    <row r="88" spans="1:6" ht="21" x14ac:dyDescent="0.25">
      <c r="A88" s="2" t="str">
        <f>HYPERLINK("https://rth.dk/resources/bsgatlas/details.php?id=BSGatlas-terminator-87","BSGatlas-terminator-87")</f>
        <v>BSGatlas-terminator-87</v>
      </c>
      <c r="B88" s="3">
        <v>205145</v>
      </c>
      <c r="C88" s="3">
        <v>205189</v>
      </c>
      <c r="D88" s="1" t="s">
        <v>9</v>
      </c>
      <c r="E88" s="1">
        <v>-17.5</v>
      </c>
      <c r="F88" s="1" t="s">
        <v>15157</v>
      </c>
    </row>
    <row r="89" spans="1:6" ht="21" x14ac:dyDescent="0.25">
      <c r="A89" s="2" t="str">
        <f>HYPERLINK("https://rth.dk/resources/bsgatlas/details.php?id=BSGatlas-terminator-88","BSGatlas-terminator-88")</f>
        <v>BSGatlas-terminator-88</v>
      </c>
      <c r="B89" s="3">
        <v>205229</v>
      </c>
      <c r="C89" s="3">
        <v>205308</v>
      </c>
      <c r="D89" s="1" t="s">
        <v>9</v>
      </c>
      <c r="E89" s="1">
        <v>-31.7</v>
      </c>
      <c r="F89" s="1" t="s">
        <v>4382</v>
      </c>
    </row>
    <row r="90" spans="1:6" ht="21" x14ac:dyDescent="0.25">
      <c r="A90" s="2" t="str">
        <f>HYPERLINK("https://rth.dk/resources/bsgatlas/details.php?id=BSGatlas-terminator-89","BSGatlas-terminator-89")</f>
        <v>BSGatlas-terminator-89</v>
      </c>
      <c r="B90" s="3">
        <v>211702</v>
      </c>
      <c r="C90" s="3">
        <v>211746</v>
      </c>
      <c r="D90" s="1" t="s">
        <v>9</v>
      </c>
      <c r="E90" s="1">
        <v>-10.8</v>
      </c>
      <c r="F90" s="1" t="s">
        <v>15157</v>
      </c>
    </row>
    <row r="91" spans="1:6" ht="21" x14ac:dyDescent="0.25">
      <c r="A91" s="2" t="str">
        <f>HYPERLINK("https://rth.dk/resources/bsgatlas/details.php?id=BSGatlas-terminator-90","BSGatlas-terminator-90")</f>
        <v>BSGatlas-terminator-90</v>
      </c>
      <c r="B91" s="3">
        <v>212994</v>
      </c>
      <c r="C91" s="3">
        <v>213038</v>
      </c>
      <c r="D91" s="1" t="s">
        <v>9</v>
      </c>
      <c r="E91" s="1">
        <v>-11</v>
      </c>
      <c r="F91" s="1" t="s">
        <v>15157</v>
      </c>
    </row>
    <row r="92" spans="1:6" ht="21" x14ac:dyDescent="0.25">
      <c r="A92" s="2" t="str">
        <f>HYPERLINK("https://rth.dk/resources/bsgatlas/details.php?id=BSGatlas-terminator-91","BSGatlas-terminator-91")</f>
        <v>BSGatlas-terminator-91</v>
      </c>
      <c r="B92" s="3">
        <v>213042</v>
      </c>
      <c r="C92" s="3">
        <v>213086</v>
      </c>
      <c r="D92" s="1" t="s">
        <v>9</v>
      </c>
      <c r="E92" s="1">
        <v>-14.3</v>
      </c>
      <c r="F92" s="1" t="s">
        <v>4382</v>
      </c>
    </row>
    <row r="93" spans="1:6" ht="21" x14ac:dyDescent="0.25">
      <c r="A93" s="2" t="str">
        <f>HYPERLINK("https://rth.dk/resources/bsgatlas/details.php?id=BSGatlas-terminator-92","BSGatlas-terminator-92")</f>
        <v>BSGatlas-terminator-92</v>
      </c>
      <c r="B93" s="3">
        <v>213327</v>
      </c>
      <c r="C93" s="3">
        <v>213371</v>
      </c>
      <c r="D93" s="1" t="s">
        <v>9</v>
      </c>
      <c r="E93" s="1">
        <v>-9.8000000000000007</v>
      </c>
      <c r="F93" s="1" t="s">
        <v>15157</v>
      </c>
    </row>
    <row r="94" spans="1:6" ht="21" x14ac:dyDescent="0.25">
      <c r="A94" s="2" t="str">
        <f>HYPERLINK("https://rth.dk/resources/bsgatlas/details.php?id=BSGatlas-terminator-93","BSGatlas-terminator-93")</f>
        <v>BSGatlas-terminator-93</v>
      </c>
      <c r="B94" s="3">
        <v>213932</v>
      </c>
      <c r="C94" s="3">
        <v>213976</v>
      </c>
      <c r="D94" s="1" t="s">
        <v>13</v>
      </c>
      <c r="E94" s="1">
        <v>-3.5</v>
      </c>
      <c r="F94" s="1" t="s">
        <v>15157</v>
      </c>
    </row>
    <row r="95" spans="1:6" ht="21" x14ac:dyDescent="0.25">
      <c r="A95" s="2" t="str">
        <f>HYPERLINK("https://rth.dk/resources/bsgatlas/details.php?id=BSGatlas-terminator-94","BSGatlas-terminator-94")</f>
        <v>BSGatlas-terminator-94</v>
      </c>
      <c r="B95" s="3">
        <v>214106</v>
      </c>
      <c r="C95" s="3">
        <v>214163</v>
      </c>
      <c r="D95" s="1" t="s">
        <v>9</v>
      </c>
      <c r="E95" s="1">
        <v>-13.4</v>
      </c>
      <c r="F95" s="1" t="s">
        <v>15158</v>
      </c>
    </row>
    <row r="96" spans="1:6" ht="21" x14ac:dyDescent="0.25">
      <c r="A96" s="2" t="str">
        <f>HYPERLINK("https://rth.dk/resources/bsgatlas/details.php?id=BSGatlas-terminator-95","BSGatlas-terminator-95")</f>
        <v>BSGatlas-terminator-95</v>
      </c>
      <c r="B96" s="3">
        <v>220075</v>
      </c>
      <c r="C96" s="3">
        <v>220119</v>
      </c>
      <c r="D96" s="1" t="s">
        <v>9</v>
      </c>
      <c r="E96" s="1">
        <v>-10.9</v>
      </c>
      <c r="F96" s="1" t="s">
        <v>15160</v>
      </c>
    </row>
    <row r="97" spans="1:6" ht="21" x14ac:dyDescent="0.25">
      <c r="A97" s="2" t="str">
        <f>HYPERLINK("https://rth.dk/resources/bsgatlas/details.php?id=BSGatlas-terminator-96","BSGatlas-terminator-96")</f>
        <v>BSGatlas-terminator-96</v>
      </c>
      <c r="B97" s="3">
        <v>223153</v>
      </c>
      <c r="C97" s="3">
        <v>223197</v>
      </c>
      <c r="D97" s="1" t="s">
        <v>9</v>
      </c>
      <c r="E97" s="1">
        <v>-12.1</v>
      </c>
      <c r="F97" s="1" t="s">
        <v>15157</v>
      </c>
    </row>
    <row r="98" spans="1:6" ht="21" x14ac:dyDescent="0.25">
      <c r="A98" s="2" t="str">
        <f>HYPERLINK("https://rth.dk/resources/bsgatlas/details.php?id=BSGatlas-terminator-97","BSGatlas-terminator-97")</f>
        <v>BSGatlas-terminator-97</v>
      </c>
      <c r="B98" s="3">
        <v>224075</v>
      </c>
      <c r="C98" s="3">
        <v>224119</v>
      </c>
      <c r="D98" s="1" t="s">
        <v>13</v>
      </c>
      <c r="E98" s="1">
        <v>-11.9</v>
      </c>
      <c r="F98" s="1" t="s">
        <v>15157</v>
      </c>
    </row>
    <row r="99" spans="1:6" ht="21" x14ac:dyDescent="0.25">
      <c r="A99" s="2" t="str">
        <f>HYPERLINK("https://rth.dk/resources/bsgatlas/details.php?id=BSGatlas-terminator-98","BSGatlas-terminator-98")</f>
        <v>BSGatlas-terminator-98</v>
      </c>
      <c r="B99" s="3">
        <v>226245</v>
      </c>
      <c r="C99" s="3">
        <v>226289</v>
      </c>
      <c r="D99" s="1" t="s">
        <v>9</v>
      </c>
      <c r="E99" s="1">
        <v>-15.2</v>
      </c>
      <c r="F99" s="1" t="s">
        <v>15158</v>
      </c>
    </row>
    <row r="100" spans="1:6" ht="21" x14ac:dyDescent="0.25">
      <c r="A100" s="2" t="str">
        <f>HYPERLINK("https://rth.dk/resources/bsgatlas/details.php?id=BSGatlas-terminator-99","BSGatlas-terminator-99")</f>
        <v>BSGatlas-terminator-99</v>
      </c>
      <c r="B100" s="3">
        <v>227960</v>
      </c>
      <c r="C100" s="3">
        <v>227999</v>
      </c>
      <c r="D100" s="1" t="s">
        <v>9</v>
      </c>
      <c r="E100" s="1">
        <v>-10.6</v>
      </c>
      <c r="F100" s="1" t="s">
        <v>15158</v>
      </c>
    </row>
    <row r="101" spans="1:6" ht="21" x14ac:dyDescent="0.25">
      <c r="A101" s="2" t="str">
        <f>HYPERLINK("https://rth.dk/resources/bsgatlas/details.php?id=BSGatlas-terminator-100","BSGatlas-terminator-100")</f>
        <v>BSGatlas-terminator-100</v>
      </c>
      <c r="B101" s="3">
        <v>228230</v>
      </c>
      <c r="C101" s="3">
        <v>228267</v>
      </c>
      <c r="D101" s="1" t="s">
        <v>13</v>
      </c>
      <c r="E101" s="1">
        <v>-5.5</v>
      </c>
      <c r="F101" s="1" t="s">
        <v>4382</v>
      </c>
    </row>
    <row r="102" spans="1:6" ht="21" x14ac:dyDescent="0.25">
      <c r="A102" s="2" t="str">
        <f>HYPERLINK("https://rth.dk/resources/bsgatlas/details.php?id=BSGatlas-terminator-101","BSGatlas-terminator-101")</f>
        <v>BSGatlas-terminator-101</v>
      </c>
      <c r="B102" s="3">
        <v>228517</v>
      </c>
      <c r="C102" s="3">
        <v>228557</v>
      </c>
      <c r="D102" s="1" t="s">
        <v>9</v>
      </c>
      <c r="E102" s="1">
        <v>-19.2</v>
      </c>
      <c r="F102" s="1" t="s">
        <v>15158</v>
      </c>
    </row>
    <row r="103" spans="1:6" ht="21" x14ac:dyDescent="0.25">
      <c r="A103" s="2" t="str">
        <f>HYPERLINK("https://rth.dk/resources/bsgatlas/details.php?id=BSGatlas-terminator-102","BSGatlas-terminator-102")</f>
        <v>BSGatlas-terminator-102</v>
      </c>
      <c r="B103" s="3">
        <v>230772</v>
      </c>
      <c r="C103" s="3">
        <v>230816</v>
      </c>
      <c r="D103" s="1" t="s">
        <v>13</v>
      </c>
      <c r="E103" s="1">
        <v>-16.100000000000001</v>
      </c>
      <c r="F103" s="1" t="s">
        <v>15158</v>
      </c>
    </row>
    <row r="104" spans="1:6" ht="21" x14ac:dyDescent="0.25">
      <c r="A104" s="2" t="str">
        <f>HYPERLINK("https://rth.dk/resources/bsgatlas/details.php?id=BSGatlas-terminator-103","BSGatlas-terminator-103")</f>
        <v>BSGatlas-terminator-103</v>
      </c>
      <c r="B104" s="3">
        <v>230782</v>
      </c>
      <c r="C104" s="3">
        <v>230826</v>
      </c>
      <c r="D104" s="1" t="s">
        <v>9</v>
      </c>
      <c r="E104" s="1">
        <v>-15.6</v>
      </c>
      <c r="F104" s="1" t="s">
        <v>15158</v>
      </c>
    </row>
    <row r="105" spans="1:6" ht="21" x14ac:dyDescent="0.25">
      <c r="A105" s="2" t="str">
        <f>HYPERLINK("https://rth.dk/resources/bsgatlas/details.php?id=BSGatlas-terminator-104","BSGatlas-terminator-104")</f>
        <v>BSGatlas-terminator-104</v>
      </c>
      <c r="B105" s="3">
        <v>232928</v>
      </c>
      <c r="C105" s="3">
        <v>232972</v>
      </c>
      <c r="D105" s="1" t="s">
        <v>9</v>
      </c>
      <c r="E105" s="1">
        <v>-12.2</v>
      </c>
      <c r="F105" s="1" t="s">
        <v>15157</v>
      </c>
    </row>
    <row r="106" spans="1:6" ht="21" x14ac:dyDescent="0.25">
      <c r="A106" s="2" t="str">
        <f>HYPERLINK("https://rth.dk/resources/bsgatlas/details.php?id=BSGatlas-terminator-105","BSGatlas-terminator-105")</f>
        <v>BSGatlas-terminator-105</v>
      </c>
      <c r="B106" s="3">
        <v>232967</v>
      </c>
      <c r="C106" s="3">
        <v>233008</v>
      </c>
      <c r="D106" s="1" t="s">
        <v>13</v>
      </c>
      <c r="E106" s="1">
        <v>-14.1</v>
      </c>
      <c r="F106" s="1" t="s">
        <v>15158</v>
      </c>
    </row>
    <row r="107" spans="1:6" ht="21" x14ac:dyDescent="0.25">
      <c r="A107" s="2" t="str">
        <f>HYPERLINK("https://rth.dk/resources/bsgatlas/details.php?id=BSGatlas-terminator-106","BSGatlas-terminator-106")</f>
        <v>BSGatlas-terminator-106</v>
      </c>
      <c r="B107" s="3">
        <v>232977</v>
      </c>
      <c r="C107" s="3">
        <v>233018</v>
      </c>
      <c r="D107" s="1" t="s">
        <v>9</v>
      </c>
      <c r="E107" s="1">
        <v>-15.9</v>
      </c>
      <c r="F107" s="1" t="s">
        <v>4382</v>
      </c>
    </row>
    <row r="108" spans="1:6" ht="21" x14ac:dyDescent="0.25">
      <c r="A108" s="2" t="str">
        <f>HYPERLINK("https://rth.dk/resources/bsgatlas/details.php?id=BSGatlas-terminator-107","BSGatlas-terminator-107")</f>
        <v>BSGatlas-terminator-107</v>
      </c>
      <c r="B108" s="3">
        <v>235392</v>
      </c>
      <c r="C108" s="3">
        <v>235433</v>
      </c>
      <c r="D108" s="1" t="s">
        <v>13</v>
      </c>
      <c r="E108" s="1">
        <v>-12.8</v>
      </c>
      <c r="F108" s="1" t="s">
        <v>4382</v>
      </c>
    </row>
    <row r="109" spans="1:6" ht="21" x14ac:dyDescent="0.25">
      <c r="A109" s="2" t="str">
        <f>HYPERLINK("https://rth.dk/resources/bsgatlas/details.php?id=BSGatlas-terminator-108","BSGatlas-terminator-108")</f>
        <v>BSGatlas-terminator-108</v>
      </c>
      <c r="B109" s="3">
        <v>238097</v>
      </c>
      <c r="C109" s="3">
        <v>238141</v>
      </c>
      <c r="D109" s="1" t="s">
        <v>9</v>
      </c>
      <c r="E109" s="1">
        <v>-9.5</v>
      </c>
      <c r="F109" s="1" t="s">
        <v>15157</v>
      </c>
    </row>
    <row r="110" spans="1:6" ht="21" x14ac:dyDescent="0.25">
      <c r="A110" s="2" t="str">
        <f>HYPERLINK("https://rth.dk/resources/bsgatlas/details.php?id=BSGatlas-terminator-109","BSGatlas-terminator-109")</f>
        <v>BSGatlas-terminator-109</v>
      </c>
      <c r="B110" s="3">
        <v>238195</v>
      </c>
      <c r="C110" s="3">
        <v>238239</v>
      </c>
      <c r="D110" s="1" t="s">
        <v>13</v>
      </c>
      <c r="E110" s="1">
        <v>-12.6</v>
      </c>
      <c r="F110" s="1" t="s">
        <v>15157</v>
      </c>
    </row>
    <row r="111" spans="1:6" ht="21" x14ac:dyDescent="0.25">
      <c r="A111" s="2" t="str">
        <f>HYPERLINK("https://rth.dk/resources/bsgatlas/details.php?id=BSGatlas-terminator-110","BSGatlas-terminator-110")</f>
        <v>BSGatlas-terminator-110</v>
      </c>
      <c r="B111" s="3">
        <v>245042</v>
      </c>
      <c r="C111" s="3">
        <v>245095</v>
      </c>
      <c r="D111" s="1" t="s">
        <v>9</v>
      </c>
      <c r="E111" s="1">
        <v>-19.899999999999999</v>
      </c>
      <c r="F111" s="1" t="s">
        <v>15158</v>
      </c>
    </row>
    <row r="112" spans="1:6" ht="21" x14ac:dyDescent="0.25">
      <c r="A112" s="2" t="str">
        <f>HYPERLINK("https://rth.dk/resources/bsgatlas/details.php?id=BSGatlas-terminator-111","BSGatlas-terminator-111")</f>
        <v>BSGatlas-terminator-111</v>
      </c>
      <c r="B112" s="3">
        <v>246457</v>
      </c>
      <c r="C112" s="3">
        <v>246501</v>
      </c>
      <c r="D112" s="1" t="s">
        <v>9</v>
      </c>
      <c r="E112" s="1">
        <v>-15.4</v>
      </c>
      <c r="F112" s="1" t="s">
        <v>15157</v>
      </c>
    </row>
    <row r="113" spans="1:6" ht="21" x14ac:dyDescent="0.25">
      <c r="A113" s="2" t="str">
        <f>HYPERLINK("https://rth.dk/resources/bsgatlas/details.php?id=BSGatlas-terminator-112","BSGatlas-terminator-112")</f>
        <v>BSGatlas-terminator-112</v>
      </c>
      <c r="B113" s="3">
        <v>249493</v>
      </c>
      <c r="C113" s="3">
        <v>249537</v>
      </c>
      <c r="D113" s="1" t="s">
        <v>9</v>
      </c>
      <c r="E113" s="1">
        <v>-8</v>
      </c>
      <c r="F113" s="1" t="s">
        <v>15157</v>
      </c>
    </row>
    <row r="114" spans="1:6" ht="21" x14ac:dyDescent="0.25">
      <c r="A114" s="2" t="str">
        <f>HYPERLINK("https://rth.dk/resources/bsgatlas/details.php?id=BSGatlas-terminator-113","BSGatlas-terminator-113")</f>
        <v>BSGatlas-terminator-113</v>
      </c>
      <c r="B114" s="3">
        <v>249539</v>
      </c>
      <c r="C114" s="3">
        <v>249585</v>
      </c>
      <c r="D114" s="1" t="s">
        <v>9</v>
      </c>
      <c r="E114" s="1">
        <v>-13.1</v>
      </c>
      <c r="F114" s="1" t="s">
        <v>4382</v>
      </c>
    </row>
    <row r="115" spans="1:6" ht="21" x14ac:dyDescent="0.25">
      <c r="A115" s="2" t="str">
        <f>HYPERLINK("https://rth.dk/resources/bsgatlas/details.php?id=BSGatlas-terminator-114","BSGatlas-terminator-114")</f>
        <v>BSGatlas-terminator-114</v>
      </c>
      <c r="B115" s="3">
        <v>251321</v>
      </c>
      <c r="C115" s="3">
        <v>251361</v>
      </c>
      <c r="D115" s="1" t="s">
        <v>9</v>
      </c>
      <c r="E115" s="1">
        <v>-16.899999999999999</v>
      </c>
      <c r="F115" s="1" t="s">
        <v>15158</v>
      </c>
    </row>
    <row r="116" spans="1:6" ht="21" x14ac:dyDescent="0.25">
      <c r="A116" s="2" t="str">
        <f>HYPERLINK("https://rth.dk/resources/bsgatlas/details.php?id=BSGatlas-terminator-115","BSGatlas-terminator-115")</f>
        <v>BSGatlas-terminator-115</v>
      </c>
      <c r="B116" s="3">
        <v>253457</v>
      </c>
      <c r="C116" s="3">
        <v>253501</v>
      </c>
      <c r="D116" s="1" t="s">
        <v>9</v>
      </c>
      <c r="E116" s="1">
        <v>-7.8</v>
      </c>
      <c r="F116" s="1" t="s">
        <v>15157</v>
      </c>
    </row>
    <row r="117" spans="1:6" ht="21" x14ac:dyDescent="0.25">
      <c r="A117" s="2" t="str">
        <f>HYPERLINK("https://rth.dk/resources/bsgatlas/details.php?id=BSGatlas-terminator-116","BSGatlas-terminator-116")</f>
        <v>BSGatlas-terminator-116</v>
      </c>
      <c r="B117" s="3">
        <v>253496</v>
      </c>
      <c r="C117" s="3">
        <v>253540</v>
      </c>
      <c r="D117" s="1" t="s">
        <v>13</v>
      </c>
      <c r="E117" s="1">
        <v>-7.5</v>
      </c>
      <c r="F117" s="1" t="s">
        <v>15157</v>
      </c>
    </row>
    <row r="118" spans="1:6" ht="21" x14ac:dyDescent="0.25">
      <c r="A118" s="2" t="str">
        <f>HYPERLINK("https://rth.dk/resources/bsgatlas/details.php?id=BSGatlas-terminator-117","BSGatlas-terminator-117")</f>
        <v>BSGatlas-terminator-117</v>
      </c>
      <c r="B118" s="3">
        <v>254901</v>
      </c>
      <c r="C118" s="3">
        <v>254945</v>
      </c>
      <c r="D118" s="1" t="s">
        <v>13</v>
      </c>
      <c r="E118" s="1">
        <v>-12.1</v>
      </c>
      <c r="F118" s="1" t="s">
        <v>15157</v>
      </c>
    </row>
    <row r="119" spans="1:6" ht="21" x14ac:dyDescent="0.25">
      <c r="A119" s="2" t="str">
        <f>HYPERLINK("https://rth.dk/resources/bsgatlas/details.php?id=BSGatlas-terminator-118","BSGatlas-terminator-118")</f>
        <v>BSGatlas-terminator-118</v>
      </c>
      <c r="B119" s="3">
        <v>258809</v>
      </c>
      <c r="C119" s="3">
        <v>258849</v>
      </c>
      <c r="D119" s="1" t="s">
        <v>9</v>
      </c>
      <c r="E119" s="1">
        <v>-12.2</v>
      </c>
      <c r="F119" s="1" t="s">
        <v>15158</v>
      </c>
    </row>
    <row r="120" spans="1:6" ht="21" x14ac:dyDescent="0.25">
      <c r="A120" s="2" t="str">
        <f>HYPERLINK("https://rth.dk/resources/bsgatlas/details.php?id=BSGatlas-terminator-119","BSGatlas-terminator-119")</f>
        <v>BSGatlas-terminator-119</v>
      </c>
      <c r="B120" s="3">
        <v>260093</v>
      </c>
      <c r="C120" s="3">
        <v>260134</v>
      </c>
      <c r="D120" s="1" t="s">
        <v>9</v>
      </c>
      <c r="E120" s="1">
        <v>-17.399999999999999</v>
      </c>
      <c r="F120" s="1" t="s">
        <v>15158</v>
      </c>
    </row>
    <row r="121" spans="1:6" ht="21" x14ac:dyDescent="0.25">
      <c r="A121" s="2" t="str">
        <f>HYPERLINK("https://rth.dk/resources/bsgatlas/details.php?id=BSGatlas-terminator-120","BSGatlas-terminator-120")</f>
        <v>BSGatlas-terminator-120</v>
      </c>
      <c r="B121" s="3">
        <v>260118</v>
      </c>
      <c r="C121" s="3">
        <v>260162</v>
      </c>
      <c r="D121" s="1" t="s">
        <v>13</v>
      </c>
      <c r="E121" s="1">
        <v>-9.4</v>
      </c>
      <c r="F121" s="1" t="s">
        <v>15157</v>
      </c>
    </row>
    <row r="122" spans="1:6" ht="21" x14ac:dyDescent="0.25">
      <c r="A122" s="2" t="str">
        <f>HYPERLINK("https://rth.dk/resources/bsgatlas/details.php?id=BSGatlas-terminator-121","BSGatlas-terminator-121")</f>
        <v>BSGatlas-terminator-121</v>
      </c>
      <c r="B122" s="3">
        <v>261568</v>
      </c>
      <c r="C122" s="3">
        <v>261615</v>
      </c>
      <c r="D122" s="1" t="s">
        <v>13</v>
      </c>
      <c r="E122" s="1">
        <v>-15.9</v>
      </c>
      <c r="F122" s="1" t="s">
        <v>4382</v>
      </c>
    </row>
    <row r="123" spans="1:6" ht="21" x14ac:dyDescent="0.25">
      <c r="A123" s="2" t="str">
        <f>HYPERLINK("https://rth.dk/resources/bsgatlas/details.php?id=BSGatlas-terminator-122","BSGatlas-terminator-122")</f>
        <v>BSGatlas-terminator-122</v>
      </c>
      <c r="B123" s="3">
        <v>262684</v>
      </c>
      <c r="C123" s="3">
        <v>262736</v>
      </c>
      <c r="D123" s="1" t="s">
        <v>13</v>
      </c>
      <c r="E123" s="1">
        <v>-15.5</v>
      </c>
      <c r="F123" s="1" t="s">
        <v>15158</v>
      </c>
    </row>
    <row r="124" spans="1:6" ht="21" x14ac:dyDescent="0.25">
      <c r="A124" s="2" t="str">
        <f>HYPERLINK("https://rth.dk/resources/bsgatlas/details.php?id=BSGatlas-terminator-123","BSGatlas-terminator-123")</f>
        <v>BSGatlas-terminator-123</v>
      </c>
      <c r="B124" s="3">
        <v>267618</v>
      </c>
      <c r="C124" s="3">
        <v>267662</v>
      </c>
      <c r="D124" s="1" t="s">
        <v>9</v>
      </c>
      <c r="E124" s="1">
        <v>-6.2</v>
      </c>
      <c r="F124" s="1" t="s">
        <v>15157</v>
      </c>
    </row>
    <row r="125" spans="1:6" ht="21" x14ac:dyDescent="0.25">
      <c r="A125" s="2" t="str">
        <f>HYPERLINK("https://rth.dk/resources/bsgatlas/details.php?id=BSGatlas-terminator-124","BSGatlas-terminator-124")</f>
        <v>BSGatlas-terminator-124</v>
      </c>
      <c r="B125" s="3">
        <v>273866</v>
      </c>
      <c r="C125" s="3">
        <v>273954</v>
      </c>
      <c r="D125" s="1" t="s">
        <v>9</v>
      </c>
      <c r="E125" s="1">
        <v>-9.5</v>
      </c>
      <c r="F125" s="1" t="s">
        <v>15157</v>
      </c>
    </row>
    <row r="126" spans="1:6" ht="21" x14ac:dyDescent="0.25">
      <c r="A126" s="2" t="str">
        <f>HYPERLINK("https://rth.dk/resources/bsgatlas/details.php?id=BSGatlas-terminator-125","BSGatlas-terminator-125")</f>
        <v>BSGatlas-terminator-125</v>
      </c>
      <c r="B126" s="3">
        <v>277039</v>
      </c>
      <c r="C126" s="3">
        <v>277089</v>
      </c>
      <c r="D126" s="1" t="s">
        <v>9</v>
      </c>
      <c r="E126" s="1">
        <v>-19.5</v>
      </c>
      <c r="F126" s="1" t="s">
        <v>15158</v>
      </c>
    </row>
    <row r="127" spans="1:6" ht="21" x14ac:dyDescent="0.25">
      <c r="A127" s="2" t="str">
        <f>HYPERLINK("https://rth.dk/resources/bsgatlas/details.php?id=BSGatlas-terminator-126","BSGatlas-terminator-126")</f>
        <v>BSGatlas-terminator-126</v>
      </c>
      <c r="B127" s="3">
        <v>277364</v>
      </c>
      <c r="C127" s="3">
        <v>277408</v>
      </c>
      <c r="D127" s="1" t="s">
        <v>9</v>
      </c>
      <c r="E127" s="1">
        <v>-9</v>
      </c>
      <c r="F127" s="1" t="s">
        <v>15157</v>
      </c>
    </row>
    <row r="128" spans="1:6" ht="21" x14ac:dyDescent="0.25">
      <c r="A128" s="2" t="str">
        <f>HYPERLINK("https://rth.dk/resources/bsgatlas/details.php?id=BSGatlas-terminator-127","BSGatlas-terminator-127")</f>
        <v>BSGatlas-terminator-127</v>
      </c>
      <c r="B128" s="3">
        <v>278308</v>
      </c>
      <c r="C128" s="3">
        <v>278348</v>
      </c>
      <c r="D128" s="1" t="s">
        <v>9</v>
      </c>
      <c r="E128" s="1">
        <v>-2.7</v>
      </c>
      <c r="F128" s="1" t="s">
        <v>4382</v>
      </c>
    </row>
    <row r="129" spans="1:6" ht="21" x14ac:dyDescent="0.25">
      <c r="A129" s="2" t="str">
        <f>HYPERLINK("https://rth.dk/resources/bsgatlas/details.php?id=BSGatlas-terminator-128","BSGatlas-terminator-128")</f>
        <v>BSGatlas-terminator-128</v>
      </c>
      <c r="B129" s="3">
        <v>280523</v>
      </c>
      <c r="C129" s="3">
        <v>280589</v>
      </c>
      <c r="D129" s="1" t="s">
        <v>13</v>
      </c>
      <c r="E129" s="1"/>
      <c r="F129" s="1" t="s">
        <v>15159</v>
      </c>
    </row>
    <row r="130" spans="1:6" ht="21" x14ac:dyDescent="0.25">
      <c r="A130" s="2" t="str">
        <f>HYPERLINK("https://rth.dk/resources/bsgatlas/details.php?id=BSGatlas-terminator-129","BSGatlas-terminator-129")</f>
        <v>BSGatlas-terminator-129</v>
      </c>
      <c r="B130" s="3">
        <v>281687</v>
      </c>
      <c r="C130" s="3">
        <v>281731</v>
      </c>
      <c r="D130" s="1" t="s">
        <v>9</v>
      </c>
      <c r="E130" s="1">
        <v>-11.4</v>
      </c>
      <c r="F130" s="1" t="s">
        <v>15157</v>
      </c>
    </row>
    <row r="131" spans="1:6" ht="21" x14ac:dyDescent="0.25">
      <c r="A131" s="2" t="str">
        <f>HYPERLINK("https://rth.dk/resources/bsgatlas/details.php?id=BSGatlas-terminator-130","BSGatlas-terminator-130")</f>
        <v>BSGatlas-terminator-130</v>
      </c>
      <c r="B131" s="3">
        <v>281763</v>
      </c>
      <c r="C131" s="3">
        <v>281807</v>
      </c>
      <c r="D131" s="1" t="s">
        <v>13</v>
      </c>
      <c r="E131" s="1">
        <v>-15.6</v>
      </c>
      <c r="F131" s="1" t="s">
        <v>15157</v>
      </c>
    </row>
    <row r="132" spans="1:6" ht="21" x14ac:dyDescent="0.25">
      <c r="A132" s="2" t="str">
        <f>HYPERLINK("https://rth.dk/resources/bsgatlas/details.php?id=BSGatlas-terminator-131","BSGatlas-terminator-131")</f>
        <v>BSGatlas-terminator-131</v>
      </c>
      <c r="B132" s="3">
        <v>282254</v>
      </c>
      <c r="C132" s="3">
        <v>282298</v>
      </c>
      <c r="D132" s="1" t="s">
        <v>13</v>
      </c>
      <c r="E132" s="1">
        <v>-15.6</v>
      </c>
      <c r="F132" s="1" t="s">
        <v>15157</v>
      </c>
    </row>
    <row r="133" spans="1:6" ht="21" x14ac:dyDescent="0.25">
      <c r="A133" s="2" t="str">
        <f>HYPERLINK("https://rth.dk/resources/bsgatlas/details.php?id=BSGatlas-terminator-132","BSGatlas-terminator-132")</f>
        <v>BSGatlas-terminator-132</v>
      </c>
      <c r="B133" s="3">
        <v>282445</v>
      </c>
      <c r="C133" s="3">
        <v>282489</v>
      </c>
      <c r="D133" s="1" t="s">
        <v>13</v>
      </c>
      <c r="E133" s="1">
        <v>-15.6</v>
      </c>
      <c r="F133" s="1" t="s">
        <v>15157</v>
      </c>
    </row>
    <row r="134" spans="1:6" ht="21" x14ac:dyDescent="0.25">
      <c r="A134" s="2" t="str">
        <f>HYPERLINK("https://rth.dk/resources/bsgatlas/details.php?id=BSGatlas-terminator-133","BSGatlas-terminator-133")</f>
        <v>BSGatlas-terminator-133</v>
      </c>
      <c r="B134" s="3">
        <v>282854</v>
      </c>
      <c r="C134" s="3">
        <v>282898</v>
      </c>
      <c r="D134" s="1" t="s">
        <v>9</v>
      </c>
      <c r="E134" s="1">
        <v>-11.4</v>
      </c>
      <c r="F134" s="1" t="s">
        <v>15157</v>
      </c>
    </row>
    <row r="135" spans="1:6" ht="21" x14ac:dyDescent="0.25">
      <c r="A135" s="2" t="str">
        <f>HYPERLINK("https://rth.dk/resources/bsgatlas/details.php?id=BSGatlas-terminator-134","BSGatlas-terminator-134")</f>
        <v>BSGatlas-terminator-134</v>
      </c>
      <c r="B135" s="3">
        <v>282901</v>
      </c>
      <c r="C135" s="3">
        <v>282941</v>
      </c>
      <c r="D135" s="1" t="s">
        <v>9</v>
      </c>
      <c r="E135" s="1">
        <v>-15.1</v>
      </c>
      <c r="F135" s="1" t="s">
        <v>4382</v>
      </c>
    </row>
    <row r="136" spans="1:6" ht="21" x14ac:dyDescent="0.25">
      <c r="A136" s="2" t="str">
        <f>HYPERLINK("https://rth.dk/resources/bsgatlas/details.php?id=BSGatlas-terminator-135","BSGatlas-terminator-135")</f>
        <v>BSGatlas-terminator-135</v>
      </c>
      <c r="B136" s="3">
        <v>283630</v>
      </c>
      <c r="C136" s="3">
        <v>283674</v>
      </c>
      <c r="D136" s="1" t="s">
        <v>9</v>
      </c>
      <c r="E136" s="1">
        <v>-14.1</v>
      </c>
      <c r="F136" s="1" t="s">
        <v>15157</v>
      </c>
    </row>
    <row r="137" spans="1:6" ht="21" x14ac:dyDescent="0.25">
      <c r="A137" s="2" t="str">
        <f>HYPERLINK("https://rth.dk/resources/bsgatlas/details.php?id=BSGatlas-terminator-136","BSGatlas-terminator-136")</f>
        <v>BSGatlas-terminator-136</v>
      </c>
      <c r="B137" s="3">
        <v>283746</v>
      </c>
      <c r="C137" s="3">
        <v>283776</v>
      </c>
      <c r="D137" s="1" t="s">
        <v>9</v>
      </c>
      <c r="E137" s="1">
        <v>-17.5</v>
      </c>
      <c r="F137" s="1" t="s">
        <v>4547</v>
      </c>
    </row>
    <row r="138" spans="1:6" ht="21" x14ac:dyDescent="0.25">
      <c r="A138" s="2" t="str">
        <f>HYPERLINK("https://rth.dk/resources/bsgatlas/details.php?id=BSGatlas-terminator-137","BSGatlas-terminator-137")</f>
        <v>BSGatlas-terminator-137</v>
      </c>
      <c r="B138" s="3">
        <v>286034</v>
      </c>
      <c r="C138" s="3">
        <v>286078</v>
      </c>
      <c r="D138" s="1" t="s">
        <v>13</v>
      </c>
      <c r="E138" s="1">
        <v>-8.5</v>
      </c>
      <c r="F138" s="1" t="s">
        <v>15157</v>
      </c>
    </row>
    <row r="139" spans="1:6" ht="21" x14ac:dyDescent="0.25">
      <c r="A139" s="2" t="str">
        <f>HYPERLINK("https://rth.dk/resources/bsgatlas/details.php?id=BSGatlas-terminator-138","BSGatlas-terminator-138")</f>
        <v>BSGatlas-terminator-138</v>
      </c>
      <c r="B139" s="3">
        <v>288607</v>
      </c>
      <c r="C139" s="3">
        <v>288649</v>
      </c>
      <c r="D139" s="1" t="s">
        <v>13</v>
      </c>
      <c r="E139" s="1">
        <v>-16.600000000000001</v>
      </c>
      <c r="F139" s="1" t="s">
        <v>15158</v>
      </c>
    </row>
    <row r="140" spans="1:6" ht="21" x14ac:dyDescent="0.25">
      <c r="A140" s="2" t="str">
        <f>HYPERLINK("https://rth.dk/resources/bsgatlas/details.php?id=BSGatlas-terminator-139","BSGatlas-terminator-139")</f>
        <v>BSGatlas-terminator-139</v>
      </c>
      <c r="B140" s="3">
        <v>288617</v>
      </c>
      <c r="C140" s="3">
        <v>288659</v>
      </c>
      <c r="D140" s="1" t="s">
        <v>9</v>
      </c>
      <c r="E140" s="1">
        <v>-17.7</v>
      </c>
      <c r="F140" s="1" t="s">
        <v>15158</v>
      </c>
    </row>
    <row r="141" spans="1:6" ht="21" x14ac:dyDescent="0.25">
      <c r="A141" s="2" t="str">
        <f>HYPERLINK("https://rth.dk/resources/bsgatlas/details.php?id=BSGatlas-terminator-140","BSGatlas-terminator-140")</f>
        <v>BSGatlas-terminator-140</v>
      </c>
      <c r="B141" s="3">
        <v>291993</v>
      </c>
      <c r="C141" s="3">
        <v>292037</v>
      </c>
      <c r="D141" s="1" t="s">
        <v>9</v>
      </c>
      <c r="E141" s="1">
        <v>-7.6</v>
      </c>
      <c r="F141" s="1" t="s">
        <v>15157</v>
      </c>
    </row>
    <row r="142" spans="1:6" ht="21" x14ac:dyDescent="0.25">
      <c r="A142" s="2" t="str">
        <f>HYPERLINK("https://rth.dk/resources/bsgatlas/details.php?id=BSGatlas-terminator-141","BSGatlas-terminator-141")</f>
        <v>BSGatlas-terminator-141</v>
      </c>
      <c r="B142" s="3">
        <v>292044</v>
      </c>
      <c r="C142" s="3">
        <v>292081</v>
      </c>
      <c r="D142" s="1" t="s">
        <v>9</v>
      </c>
      <c r="E142" s="1">
        <v>-11</v>
      </c>
      <c r="F142" s="1" t="s">
        <v>4382</v>
      </c>
    </row>
    <row r="143" spans="1:6" ht="21" x14ac:dyDescent="0.25">
      <c r="A143" s="2" t="str">
        <f>HYPERLINK("https://rth.dk/resources/bsgatlas/details.php?id=BSGatlas-terminator-142","BSGatlas-terminator-142")</f>
        <v>BSGatlas-terminator-142</v>
      </c>
      <c r="B143" s="3">
        <v>292851</v>
      </c>
      <c r="C143" s="3">
        <v>292895</v>
      </c>
      <c r="D143" s="1" t="s">
        <v>9</v>
      </c>
      <c r="E143" s="1">
        <v>-15.8</v>
      </c>
      <c r="F143" s="1" t="s">
        <v>15158</v>
      </c>
    </row>
    <row r="144" spans="1:6" ht="21" x14ac:dyDescent="0.25">
      <c r="A144" s="2" t="str">
        <f>HYPERLINK("https://rth.dk/resources/bsgatlas/details.php?id=BSGatlas-terminator-143","BSGatlas-terminator-143")</f>
        <v>BSGatlas-terminator-143</v>
      </c>
      <c r="B144" s="3">
        <v>292883</v>
      </c>
      <c r="C144" s="3">
        <v>292927</v>
      </c>
      <c r="D144" s="1" t="s">
        <v>13</v>
      </c>
      <c r="E144" s="1">
        <v>-12.1</v>
      </c>
      <c r="F144" s="1" t="s">
        <v>15157</v>
      </c>
    </row>
    <row r="145" spans="1:6" ht="21" x14ac:dyDescent="0.25">
      <c r="A145" s="2" t="str">
        <f>HYPERLINK("https://rth.dk/resources/bsgatlas/details.php?id=BSGatlas-terminator-144","BSGatlas-terminator-144")</f>
        <v>BSGatlas-terminator-144</v>
      </c>
      <c r="B145" s="3">
        <v>294547</v>
      </c>
      <c r="C145" s="3">
        <v>294591</v>
      </c>
      <c r="D145" s="1" t="s">
        <v>9</v>
      </c>
      <c r="E145" s="1">
        <v>-12.9</v>
      </c>
      <c r="F145" s="1" t="s">
        <v>15157</v>
      </c>
    </row>
    <row r="146" spans="1:6" ht="21" x14ac:dyDescent="0.25">
      <c r="A146" s="2" t="str">
        <f>HYPERLINK("https://rth.dk/resources/bsgatlas/details.php?id=BSGatlas-terminator-145","BSGatlas-terminator-145")</f>
        <v>BSGatlas-terminator-145</v>
      </c>
      <c r="B146" s="3">
        <v>294570</v>
      </c>
      <c r="C146" s="3">
        <v>294614</v>
      </c>
      <c r="D146" s="1" t="s">
        <v>13</v>
      </c>
      <c r="E146" s="1">
        <v>-16.899999999999999</v>
      </c>
      <c r="F146" s="1" t="s">
        <v>4382</v>
      </c>
    </row>
    <row r="147" spans="1:6" ht="21" x14ac:dyDescent="0.25">
      <c r="A147" s="2" t="str">
        <f>HYPERLINK("https://rth.dk/resources/bsgatlas/details.php?id=BSGatlas-terminator-146","BSGatlas-terminator-146")</f>
        <v>BSGatlas-terminator-146</v>
      </c>
      <c r="B147" s="3">
        <v>294621</v>
      </c>
      <c r="C147" s="3">
        <v>294665</v>
      </c>
      <c r="D147" s="1" t="s">
        <v>13</v>
      </c>
      <c r="E147" s="1">
        <v>-12.9</v>
      </c>
      <c r="F147" s="1" t="s">
        <v>15157</v>
      </c>
    </row>
    <row r="148" spans="1:6" ht="21" x14ac:dyDescent="0.25">
      <c r="A148" s="2" t="str">
        <f>HYPERLINK("https://rth.dk/resources/bsgatlas/details.php?id=BSGatlas-terminator-147","BSGatlas-terminator-147")</f>
        <v>BSGatlas-terminator-147</v>
      </c>
      <c r="B148" s="3">
        <v>298336</v>
      </c>
      <c r="C148" s="3">
        <v>298374</v>
      </c>
      <c r="D148" s="1" t="s">
        <v>9</v>
      </c>
      <c r="E148" s="1">
        <v>-9.8000000000000007</v>
      </c>
      <c r="F148" s="1" t="s">
        <v>4382</v>
      </c>
    </row>
    <row r="149" spans="1:6" ht="21" x14ac:dyDescent="0.25">
      <c r="A149" s="2" t="str">
        <f>HYPERLINK("https://rth.dk/resources/bsgatlas/details.php?id=BSGatlas-terminator-148","BSGatlas-terminator-148")</f>
        <v>BSGatlas-terminator-148</v>
      </c>
      <c r="B149" s="3">
        <v>299393</v>
      </c>
      <c r="C149" s="3">
        <v>299427</v>
      </c>
      <c r="D149" s="1" t="s">
        <v>13</v>
      </c>
      <c r="E149" s="1">
        <v>-13.7</v>
      </c>
      <c r="F149" s="1" t="s">
        <v>15158</v>
      </c>
    </row>
    <row r="150" spans="1:6" ht="21" x14ac:dyDescent="0.25">
      <c r="A150" s="2" t="str">
        <f>HYPERLINK("https://rth.dk/resources/bsgatlas/details.php?id=BSGatlas-terminator-149","BSGatlas-terminator-149")</f>
        <v>BSGatlas-terminator-149</v>
      </c>
      <c r="B150" s="3">
        <v>299403</v>
      </c>
      <c r="C150" s="3">
        <v>299437</v>
      </c>
      <c r="D150" s="1" t="s">
        <v>9</v>
      </c>
      <c r="E150" s="1">
        <v>-8.6</v>
      </c>
      <c r="F150" s="1" t="s">
        <v>4382</v>
      </c>
    </row>
    <row r="151" spans="1:6" ht="21" x14ac:dyDescent="0.25">
      <c r="A151" s="2" t="str">
        <f>HYPERLINK("https://rth.dk/resources/bsgatlas/details.php?id=BSGatlas-terminator-150","BSGatlas-terminator-150")</f>
        <v>BSGatlas-terminator-150</v>
      </c>
      <c r="B151" s="3">
        <v>302341</v>
      </c>
      <c r="C151" s="3">
        <v>302391</v>
      </c>
      <c r="D151" s="1" t="s">
        <v>9</v>
      </c>
      <c r="E151" s="1">
        <v>-19.399999999999999</v>
      </c>
      <c r="F151" s="1" t="s">
        <v>4382</v>
      </c>
    </row>
    <row r="152" spans="1:6" ht="21" x14ac:dyDescent="0.25">
      <c r="A152" s="2" t="str">
        <f>HYPERLINK("https://rth.dk/resources/bsgatlas/details.php?id=BSGatlas-terminator-151","BSGatlas-terminator-151")</f>
        <v>BSGatlas-terminator-151</v>
      </c>
      <c r="B152" s="3">
        <v>305553</v>
      </c>
      <c r="C152" s="3">
        <v>305595</v>
      </c>
      <c r="D152" s="1" t="s">
        <v>9</v>
      </c>
      <c r="E152" s="1">
        <v>-17.399999999999999</v>
      </c>
      <c r="F152" s="1" t="s">
        <v>15158</v>
      </c>
    </row>
    <row r="153" spans="1:6" ht="21" x14ac:dyDescent="0.25">
      <c r="A153" s="2" t="str">
        <f>HYPERLINK("https://rth.dk/resources/bsgatlas/details.php?id=BSGatlas-terminator-152","BSGatlas-terminator-152")</f>
        <v>BSGatlas-terminator-152</v>
      </c>
      <c r="B153" s="3">
        <v>305643</v>
      </c>
      <c r="C153" s="3">
        <v>305687</v>
      </c>
      <c r="D153" s="1" t="s">
        <v>13</v>
      </c>
      <c r="E153" s="1">
        <v>-5.8</v>
      </c>
      <c r="F153" s="1" t="s">
        <v>15157</v>
      </c>
    </row>
    <row r="154" spans="1:6" ht="21" x14ac:dyDescent="0.25">
      <c r="A154" s="2" t="str">
        <f>HYPERLINK("https://rth.dk/resources/bsgatlas/details.php?id=BSGatlas-terminator-153","BSGatlas-terminator-153")</f>
        <v>BSGatlas-terminator-153</v>
      </c>
      <c r="B154" s="3">
        <v>307503</v>
      </c>
      <c r="C154" s="3">
        <v>307547</v>
      </c>
      <c r="D154" s="1" t="s">
        <v>9</v>
      </c>
      <c r="E154" s="1">
        <v>-10.199999999999999</v>
      </c>
      <c r="F154" s="1" t="s">
        <v>15157</v>
      </c>
    </row>
    <row r="155" spans="1:6" ht="21" x14ac:dyDescent="0.25">
      <c r="A155" s="2" t="str">
        <f>HYPERLINK("https://rth.dk/resources/bsgatlas/details.php?id=BSGatlas-terminator-154","BSGatlas-terminator-154")</f>
        <v>BSGatlas-terminator-154</v>
      </c>
      <c r="B155" s="3">
        <v>308119</v>
      </c>
      <c r="C155" s="3">
        <v>308163</v>
      </c>
      <c r="D155" s="1" t="s">
        <v>9</v>
      </c>
      <c r="E155" s="1">
        <v>-10.199999999999999</v>
      </c>
      <c r="F155" s="1" t="s">
        <v>15157</v>
      </c>
    </row>
    <row r="156" spans="1:6" ht="21" x14ac:dyDescent="0.25">
      <c r="A156" s="2" t="str">
        <f>HYPERLINK("https://rth.dk/resources/bsgatlas/details.php?id=BSGatlas-terminator-155","BSGatlas-terminator-155")</f>
        <v>BSGatlas-terminator-155</v>
      </c>
      <c r="B156" s="3">
        <v>309241</v>
      </c>
      <c r="C156" s="3">
        <v>309285</v>
      </c>
      <c r="D156" s="1" t="s">
        <v>9</v>
      </c>
      <c r="E156" s="1">
        <v>-15.9</v>
      </c>
      <c r="F156" s="1" t="s">
        <v>15157</v>
      </c>
    </row>
    <row r="157" spans="1:6" ht="21" x14ac:dyDescent="0.25">
      <c r="A157" s="2" t="str">
        <f>HYPERLINK("https://rth.dk/resources/bsgatlas/details.php?id=BSGatlas-terminator-156","BSGatlas-terminator-156")</f>
        <v>BSGatlas-terminator-156</v>
      </c>
      <c r="B157" s="3">
        <v>310846</v>
      </c>
      <c r="C157" s="3">
        <v>310889</v>
      </c>
      <c r="D157" s="1" t="s">
        <v>9</v>
      </c>
      <c r="E157" s="1">
        <v>-16.399999999999999</v>
      </c>
      <c r="F157" s="1" t="s">
        <v>15158</v>
      </c>
    </row>
    <row r="158" spans="1:6" ht="21" x14ac:dyDescent="0.25">
      <c r="A158" s="2" t="str">
        <f>HYPERLINK("https://rth.dk/resources/bsgatlas/details.php?id=BSGatlas-terminator-157","BSGatlas-terminator-157")</f>
        <v>BSGatlas-terminator-157</v>
      </c>
      <c r="B158" s="3">
        <v>314763</v>
      </c>
      <c r="C158" s="3">
        <v>314807</v>
      </c>
      <c r="D158" s="1" t="s">
        <v>9</v>
      </c>
      <c r="E158" s="1">
        <v>-8.1999999999999993</v>
      </c>
      <c r="F158" s="1" t="s">
        <v>15157</v>
      </c>
    </row>
    <row r="159" spans="1:6" ht="21" x14ac:dyDescent="0.25">
      <c r="A159" s="2" t="str">
        <f>HYPERLINK("https://rth.dk/resources/bsgatlas/details.php?id=BSGatlas-terminator-158","BSGatlas-terminator-158")</f>
        <v>BSGatlas-terminator-158</v>
      </c>
      <c r="B159" s="3">
        <v>317555</v>
      </c>
      <c r="C159" s="3">
        <v>317599</v>
      </c>
      <c r="D159" s="1" t="s">
        <v>9</v>
      </c>
      <c r="E159" s="1">
        <v>-17.5</v>
      </c>
      <c r="F159" s="1" t="s">
        <v>15157</v>
      </c>
    </row>
    <row r="160" spans="1:6" ht="21" x14ac:dyDescent="0.25">
      <c r="A160" s="2" t="str">
        <f>HYPERLINK("https://rth.dk/resources/bsgatlas/details.php?id=BSGatlas-terminator-159","BSGatlas-terminator-159")</f>
        <v>BSGatlas-terminator-159</v>
      </c>
      <c r="B160" s="3">
        <v>317604</v>
      </c>
      <c r="C160" s="3">
        <v>317651</v>
      </c>
      <c r="D160" s="1" t="s">
        <v>9</v>
      </c>
      <c r="E160" s="1">
        <v>-22.6</v>
      </c>
      <c r="F160" s="1" t="s">
        <v>4382</v>
      </c>
    </row>
    <row r="161" spans="1:6" ht="21" x14ac:dyDescent="0.25">
      <c r="A161" s="2" t="str">
        <f>HYPERLINK("https://rth.dk/resources/bsgatlas/details.php?id=BSGatlas-terminator-160","BSGatlas-terminator-160")</f>
        <v>BSGatlas-terminator-160</v>
      </c>
      <c r="B161" s="3">
        <v>318885</v>
      </c>
      <c r="C161" s="3">
        <v>318929</v>
      </c>
      <c r="D161" s="1" t="s">
        <v>9</v>
      </c>
      <c r="E161" s="1">
        <v>-10.6</v>
      </c>
      <c r="F161" s="1" t="s">
        <v>15157</v>
      </c>
    </row>
    <row r="162" spans="1:6" ht="21" x14ac:dyDescent="0.25">
      <c r="A162" s="2" t="str">
        <f>HYPERLINK("https://rth.dk/resources/bsgatlas/details.php?id=BSGatlas-terminator-161","BSGatlas-terminator-161")</f>
        <v>BSGatlas-terminator-161</v>
      </c>
      <c r="B162" s="3">
        <v>319173</v>
      </c>
      <c r="C162" s="3">
        <v>319217</v>
      </c>
      <c r="D162" s="1" t="s">
        <v>13</v>
      </c>
      <c r="E162" s="1">
        <v>-12.6</v>
      </c>
      <c r="F162" s="1" t="s">
        <v>15157</v>
      </c>
    </row>
    <row r="163" spans="1:6" ht="21" x14ac:dyDescent="0.25">
      <c r="A163" s="2" t="str">
        <f>HYPERLINK("https://rth.dk/resources/bsgatlas/details.php?id=BSGatlas-terminator-162","BSGatlas-terminator-162")</f>
        <v>BSGatlas-terminator-162</v>
      </c>
      <c r="B163" s="3">
        <v>320427</v>
      </c>
      <c r="C163" s="3">
        <v>320471</v>
      </c>
      <c r="D163" s="1" t="s">
        <v>13</v>
      </c>
      <c r="E163" s="1">
        <v>-4.8</v>
      </c>
      <c r="F163" s="1" t="s">
        <v>15157</v>
      </c>
    </row>
    <row r="164" spans="1:6" ht="21" x14ac:dyDescent="0.25">
      <c r="A164" s="2" t="str">
        <f>HYPERLINK("https://rth.dk/resources/bsgatlas/details.php?id=BSGatlas-terminator-163","BSGatlas-terminator-163")</f>
        <v>BSGatlas-terminator-163</v>
      </c>
      <c r="B164" s="3">
        <v>320999</v>
      </c>
      <c r="C164" s="3">
        <v>321043</v>
      </c>
      <c r="D164" s="1" t="s">
        <v>13</v>
      </c>
      <c r="E164" s="1">
        <v>-4.8</v>
      </c>
      <c r="F164" s="1" t="s">
        <v>15157</v>
      </c>
    </row>
    <row r="165" spans="1:6" ht="21" x14ac:dyDescent="0.25">
      <c r="A165" s="2" t="str">
        <f>HYPERLINK("https://rth.dk/resources/bsgatlas/details.php?id=BSGatlas-terminator-164","BSGatlas-terminator-164")</f>
        <v>BSGatlas-terminator-164</v>
      </c>
      <c r="B165" s="3">
        <v>323959</v>
      </c>
      <c r="C165" s="3">
        <v>324003</v>
      </c>
      <c r="D165" s="1" t="s">
        <v>9</v>
      </c>
      <c r="E165" s="1">
        <v>-12.2</v>
      </c>
      <c r="F165" s="1" t="s">
        <v>15157</v>
      </c>
    </row>
    <row r="166" spans="1:6" ht="21" x14ac:dyDescent="0.25">
      <c r="A166" s="2" t="str">
        <f>HYPERLINK("https://rth.dk/resources/bsgatlas/details.php?id=BSGatlas-terminator-165","BSGatlas-terminator-165")</f>
        <v>BSGatlas-terminator-165</v>
      </c>
      <c r="B166" s="3">
        <v>323994</v>
      </c>
      <c r="C166" s="3">
        <v>324032</v>
      </c>
      <c r="D166" s="1" t="s">
        <v>13</v>
      </c>
      <c r="E166" s="1">
        <v>-15.4</v>
      </c>
      <c r="F166" s="1" t="s">
        <v>15158</v>
      </c>
    </row>
    <row r="167" spans="1:6" ht="21" x14ac:dyDescent="0.25">
      <c r="A167" s="2" t="str">
        <f>HYPERLINK("https://rth.dk/resources/bsgatlas/details.php?id=BSGatlas-terminator-166","BSGatlas-terminator-166")</f>
        <v>BSGatlas-terminator-166</v>
      </c>
      <c r="B167" s="3">
        <v>324004</v>
      </c>
      <c r="C167" s="3">
        <v>324042</v>
      </c>
      <c r="D167" s="1" t="s">
        <v>9</v>
      </c>
      <c r="E167" s="1">
        <v>-15.4</v>
      </c>
      <c r="F167" s="1" t="s">
        <v>4382</v>
      </c>
    </row>
    <row r="168" spans="1:6" ht="21" x14ac:dyDescent="0.25">
      <c r="A168" s="2" t="str">
        <f>HYPERLINK("https://rth.dk/resources/bsgatlas/details.php?id=BSGatlas-terminator-167","BSGatlas-terminator-167")</f>
        <v>BSGatlas-terminator-167</v>
      </c>
      <c r="B168" s="3">
        <v>326776</v>
      </c>
      <c r="C168" s="3">
        <v>326818</v>
      </c>
      <c r="D168" s="1" t="s">
        <v>9</v>
      </c>
      <c r="E168" s="1">
        <v>-19.600000000000001</v>
      </c>
      <c r="F168" s="1" t="s">
        <v>15158</v>
      </c>
    </row>
    <row r="169" spans="1:6" ht="21" x14ac:dyDescent="0.25">
      <c r="A169" s="2" t="str">
        <f>HYPERLINK("https://rth.dk/resources/bsgatlas/details.php?id=BSGatlas-terminator-168","BSGatlas-terminator-168")</f>
        <v>BSGatlas-terminator-168</v>
      </c>
      <c r="B169" s="3">
        <v>329621</v>
      </c>
      <c r="C169" s="3">
        <v>329661</v>
      </c>
      <c r="D169" s="1" t="s">
        <v>9</v>
      </c>
      <c r="E169" s="1">
        <v>-12.9</v>
      </c>
      <c r="F169" s="1" t="s">
        <v>15158</v>
      </c>
    </row>
    <row r="170" spans="1:6" ht="21" x14ac:dyDescent="0.25">
      <c r="A170" s="2" t="str">
        <f>HYPERLINK("https://rth.dk/resources/bsgatlas/details.php?id=BSGatlas-terminator-169","BSGatlas-terminator-169")</f>
        <v>BSGatlas-terminator-169</v>
      </c>
      <c r="B170" s="3">
        <v>330755</v>
      </c>
      <c r="C170" s="3">
        <v>330799</v>
      </c>
      <c r="D170" s="1" t="s">
        <v>9</v>
      </c>
      <c r="E170" s="1">
        <v>-3.4</v>
      </c>
      <c r="F170" s="1" t="s">
        <v>15157</v>
      </c>
    </row>
    <row r="171" spans="1:6" ht="21" x14ac:dyDescent="0.25">
      <c r="A171" s="2" t="str">
        <f>HYPERLINK("https://rth.dk/resources/bsgatlas/details.php?id=BSGatlas-terminator-170","BSGatlas-terminator-170")</f>
        <v>BSGatlas-terminator-170</v>
      </c>
      <c r="B171" s="3">
        <v>332391</v>
      </c>
      <c r="C171" s="3">
        <v>332435</v>
      </c>
      <c r="D171" s="1" t="s">
        <v>13</v>
      </c>
      <c r="E171" s="1">
        <v>-19.600000000000001</v>
      </c>
      <c r="F171" s="1" t="s">
        <v>4382</v>
      </c>
    </row>
    <row r="172" spans="1:6" ht="21" x14ac:dyDescent="0.25">
      <c r="A172" s="2" t="str">
        <f>HYPERLINK("https://rth.dk/resources/bsgatlas/details.php?id=BSGatlas-terminator-171","BSGatlas-terminator-171")</f>
        <v>BSGatlas-terminator-171</v>
      </c>
      <c r="B172" s="3">
        <v>332401</v>
      </c>
      <c r="C172" s="3">
        <v>332445</v>
      </c>
      <c r="D172" s="1" t="s">
        <v>9</v>
      </c>
      <c r="E172" s="1">
        <v>-19.600000000000001</v>
      </c>
      <c r="F172" s="1" t="s">
        <v>15158</v>
      </c>
    </row>
    <row r="173" spans="1:6" ht="21" x14ac:dyDescent="0.25">
      <c r="A173" s="2" t="str">
        <f>HYPERLINK("https://rth.dk/resources/bsgatlas/details.php?id=BSGatlas-terminator-172","BSGatlas-terminator-172")</f>
        <v>BSGatlas-terminator-172</v>
      </c>
      <c r="B173" s="3">
        <v>332437</v>
      </c>
      <c r="C173" s="3">
        <v>332481</v>
      </c>
      <c r="D173" s="1" t="s">
        <v>13</v>
      </c>
      <c r="E173" s="1">
        <v>-15.6</v>
      </c>
      <c r="F173" s="1" t="s">
        <v>15157</v>
      </c>
    </row>
    <row r="174" spans="1:6" ht="21" x14ac:dyDescent="0.25">
      <c r="A174" s="2" t="str">
        <f>HYPERLINK("https://rth.dk/resources/bsgatlas/details.php?id=BSGatlas-terminator-173","BSGatlas-terminator-173")</f>
        <v>BSGatlas-terminator-173</v>
      </c>
      <c r="B174" s="3">
        <v>335696</v>
      </c>
      <c r="C174" s="3">
        <v>335762</v>
      </c>
      <c r="D174" s="1" t="s">
        <v>13</v>
      </c>
      <c r="E174" s="1"/>
      <c r="F174" s="1" t="s">
        <v>15159</v>
      </c>
    </row>
    <row r="175" spans="1:6" ht="21" x14ac:dyDescent="0.25">
      <c r="A175" s="2" t="str">
        <f>HYPERLINK("https://rth.dk/resources/bsgatlas/details.php?id=BSGatlas-terminator-174","BSGatlas-terminator-174")</f>
        <v>BSGatlas-terminator-174</v>
      </c>
      <c r="B175" s="3">
        <v>336104</v>
      </c>
      <c r="C175" s="3">
        <v>336123</v>
      </c>
      <c r="D175" s="1" t="s">
        <v>9</v>
      </c>
      <c r="E175" s="1">
        <v>-8.6</v>
      </c>
      <c r="F175" s="1" t="s">
        <v>15161</v>
      </c>
    </row>
    <row r="176" spans="1:6" ht="21" x14ac:dyDescent="0.25">
      <c r="A176" s="2" t="str">
        <f>HYPERLINK("https://rth.dk/resources/bsgatlas/details.php?id=BSGatlas-terminator-175","BSGatlas-terminator-175")</f>
        <v>BSGatlas-terminator-175</v>
      </c>
      <c r="B176" s="3">
        <v>338261</v>
      </c>
      <c r="C176" s="3">
        <v>338305</v>
      </c>
      <c r="D176" s="1" t="s">
        <v>13</v>
      </c>
      <c r="E176" s="1">
        <v>-14.1</v>
      </c>
      <c r="F176" s="1" t="s">
        <v>15157</v>
      </c>
    </row>
    <row r="177" spans="1:6" ht="21" x14ac:dyDescent="0.25">
      <c r="A177" s="2" t="str">
        <f>HYPERLINK("https://rth.dk/resources/bsgatlas/details.php?id=BSGatlas-terminator-176","BSGatlas-terminator-176")</f>
        <v>BSGatlas-terminator-176</v>
      </c>
      <c r="B177" s="3">
        <v>339066</v>
      </c>
      <c r="C177" s="3">
        <v>339110</v>
      </c>
      <c r="D177" s="1" t="s">
        <v>9</v>
      </c>
      <c r="E177" s="1">
        <v>-14.1</v>
      </c>
      <c r="F177" s="1" t="s">
        <v>15157</v>
      </c>
    </row>
    <row r="178" spans="1:6" ht="21" x14ac:dyDescent="0.25">
      <c r="A178" s="2" t="str">
        <f>HYPERLINK("https://rth.dk/resources/bsgatlas/details.php?id=BSGatlas-terminator-177","BSGatlas-terminator-177")</f>
        <v>BSGatlas-terminator-177</v>
      </c>
      <c r="B178" s="3">
        <v>339102</v>
      </c>
      <c r="C178" s="3">
        <v>339140</v>
      </c>
      <c r="D178" s="1" t="s">
        <v>13</v>
      </c>
      <c r="E178" s="1">
        <v>-17.399999999999999</v>
      </c>
      <c r="F178" s="1" t="s">
        <v>4382</v>
      </c>
    </row>
    <row r="179" spans="1:6" ht="21" x14ac:dyDescent="0.25">
      <c r="A179" s="2" t="str">
        <f>HYPERLINK("https://rth.dk/resources/bsgatlas/details.php?id=BSGatlas-terminator-178","BSGatlas-terminator-178")</f>
        <v>BSGatlas-terminator-178</v>
      </c>
      <c r="B179" s="3">
        <v>339112</v>
      </c>
      <c r="C179" s="3">
        <v>339150</v>
      </c>
      <c r="D179" s="1" t="s">
        <v>9</v>
      </c>
      <c r="E179" s="1">
        <v>-17.399999999999999</v>
      </c>
      <c r="F179" s="1" t="s">
        <v>4382</v>
      </c>
    </row>
    <row r="180" spans="1:6" ht="21" x14ac:dyDescent="0.25">
      <c r="A180" s="2" t="str">
        <f>HYPERLINK("https://rth.dk/resources/bsgatlas/details.php?id=BSGatlas-terminator-179","BSGatlas-terminator-179")</f>
        <v>BSGatlas-terminator-179</v>
      </c>
      <c r="B180" s="3">
        <v>339141</v>
      </c>
      <c r="C180" s="3">
        <v>339185</v>
      </c>
      <c r="D180" s="1" t="s">
        <v>13</v>
      </c>
      <c r="E180" s="1">
        <v>-14.1</v>
      </c>
      <c r="F180" s="1" t="s">
        <v>15157</v>
      </c>
    </row>
    <row r="181" spans="1:6" ht="21" x14ac:dyDescent="0.25">
      <c r="A181" s="2" t="str">
        <f>HYPERLINK("https://rth.dk/resources/bsgatlas/details.php?id=BSGatlas-terminator-180","BSGatlas-terminator-180")</f>
        <v>BSGatlas-terminator-180</v>
      </c>
      <c r="B181" s="3">
        <v>340584</v>
      </c>
      <c r="C181" s="3">
        <v>340622</v>
      </c>
      <c r="D181" s="1" t="s">
        <v>9</v>
      </c>
      <c r="E181" s="1">
        <v>-16.2</v>
      </c>
      <c r="F181" s="1" t="s">
        <v>15158</v>
      </c>
    </row>
    <row r="182" spans="1:6" ht="21" x14ac:dyDescent="0.25">
      <c r="A182" s="2" t="str">
        <f>HYPERLINK("https://rth.dk/resources/bsgatlas/details.php?id=BSGatlas-terminator-181","BSGatlas-terminator-181")</f>
        <v>BSGatlas-terminator-181</v>
      </c>
      <c r="B182" s="3">
        <v>340615</v>
      </c>
      <c r="C182" s="3">
        <v>340659</v>
      </c>
      <c r="D182" s="1" t="s">
        <v>13</v>
      </c>
      <c r="E182" s="1">
        <v>-13.1</v>
      </c>
      <c r="F182" s="1" t="s">
        <v>15157</v>
      </c>
    </row>
    <row r="183" spans="1:6" ht="21" x14ac:dyDescent="0.25">
      <c r="A183" s="2" t="str">
        <f>HYPERLINK("https://rth.dk/resources/bsgatlas/details.php?id=BSGatlas-terminator-182","BSGatlas-terminator-182")</f>
        <v>BSGatlas-terminator-182</v>
      </c>
      <c r="B183" s="3">
        <v>343503</v>
      </c>
      <c r="C183" s="3">
        <v>343543</v>
      </c>
      <c r="D183" s="1" t="s">
        <v>9</v>
      </c>
      <c r="E183" s="1">
        <v>-9.9</v>
      </c>
      <c r="F183" s="1" t="s">
        <v>4382</v>
      </c>
    </row>
    <row r="184" spans="1:6" ht="21" x14ac:dyDescent="0.25">
      <c r="A184" s="2" t="str">
        <f>HYPERLINK("https://rth.dk/resources/bsgatlas/details.php?id=BSGatlas-terminator-183","BSGatlas-terminator-183")</f>
        <v>BSGatlas-terminator-183</v>
      </c>
      <c r="B184" s="3">
        <v>344303</v>
      </c>
      <c r="C184" s="3">
        <v>344347</v>
      </c>
      <c r="D184" s="1" t="s">
        <v>9</v>
      </c>
      <c r="E184" s="1">
        <v>-5.9</v>
      </c>
      <c r="F184" s="1" t="s">
        <v>15157</v>
      </c>
    </row>
    <row r="185" spans="1:6" ht="21" x14ac:dyDescent="0.25">
      <c r="A185" s="2" t="str">
        <f>HYPERLINK("https://rth.dk/resources/bsgatlas/details.php?id=BSGatlas-terminator-184","BSGatlas-terminator-184")</f>
        <v>BSGatlas-terminator-184</v>
      </c>
      <c r="B185" s="3">
        <v>347038</v>
      </c>
      <c r="C185" s="3">
        <v>347065</v>
      </c>
      <c r="D185" s="1" t="s">
        <v>9</v>
      </c>
      <c r="E185" s="1">
        <v>-18.600000000000001</v>
      </c>
      <c r="F185" s="1" t="s">
        <v>4547</v>
      </c>
    </row>
    <row r="186" spans="1:6" ht="21" x14ac:dyDescent="0.25">
      <c r="A186" s="2" t="str">
        <f>HYPERLINK("https://rth.dk/resources/bsgatlas/details.php?id=BSGatlas-terminator-185","BSGatlas-terminator-185")</f>
        <v>BSGatlas-terminator-185</v>
      </c>
      <c r="B186" s="3">
        <v>348529</v>
      </c>
      <c r="C186" s="3">
        <v>348573</v>
      </c>
      <c r="D186" s="1" t="s">
        <v>9</v>
      </c>
      <c r="E186" s="1">
        <v>-15.9</v>
      </c>
      <c r="F186" s="1" t="s">
        <v>15157</v>
      </c>
    </row>
    <row r="187" spans="1:6" ht="21" x14ac:dyDescent="0.25">
      <c r="A187" s="2" t="str">
        <f>HYPERLINK("https://rth.dk/resources/bsgatlas/details.php?id=BSGatlas-terminator-186","BSGatlas-terminator-186")</f>
        <v>BSGatlas-terminator-186</v>
      </c>
      <c r="B187" s="3">
        <v>349921</v>
      </c>
      <c r="C187" s="3">
        <v>349965</v>
      </c>
      <c r="D187" s="1" t="s">
        <v>13</v>
      </c>
      <c r="E187" s="1">
        <v>-16.899999999999999</v>
      </c>
      <c r="F187" s="1" t="s">
        <v>15157</v>
      </c>
    </row>
    <row r="188" spans="1:6" ht="21" x14ac:dyDescent="0.25">
      <c r="A188" s="2" t="str">
        <f>HYPERLINK("https://rth.dk/resources/bsgatlas/details.php?id=BSGatlas-terminator-187","BSGatlas-terminator-187")</f>
        <v>BSGatlas-terminator-187</v>
      </c>
      <c r="B188" s="3">
        <v>349987</v>
      </c>
      <c r="C188" s="3">
        <v>350031</v>
      </c>
      <c r="D188" s="1" t="s">
        <v>13</v>
      </c>
      <c r="E188" s="1">
        <v>-16.899999999999999</v>
      </c>
      <c r="F188" s="1" t="s">
        <v>15157</v>
      </c>
    </row>
    <row r="189" spans="1:6" ht="21" x14ac:dyDescent="0.25">
      <c r="A189" s="2" t="str">
        <f>HYPERLINK("https://rth.dk/resources/bsgatlas/details.php?id=BSGatlas-terminator-188","BSGatlas-terminator-188")</f>
        <v>BSGatlas-terminator-188</v>
      </c>
      <c r="B189" s="3">
        <v>353856</v>
      </c>
      <c r="C189" s="3">
        <v>353897</v>
      </c>
      <c r="D189" s="1" t="s">
        <v>13</v>
      </c>
      <c r="E189" s="1">
        <v>-13.7</v>
      </c>
      <c r="F189" s="1" t="s">
        <v>15158</v>
      </c>
    </row>
    <row r="190" spans="1:6" ht="21" x14ac:dyDescent="0.25">
      <c r="A190" s="2" t="str">
        <f>HYPERLINK("https://rth.dk/resources/bsgatlas/details.php?id=BSGatlas-terminator-189","BSGatlas-terminator-189")</f>
        <v>BSGatlas-terminator-189</v>
      </c>
      <c r="B190" s="3">
        <v>353885</v>
      </c>
      <c r="C190" s="3">
        <v>353929</v>
      </c>
      <c r="D190" s="1" t="s">
        <v>9</v>
      </c>
      <c r="E190" s="1">
        <v>-6</v>
      </c>
      <c r="F190" s="1" t="s">
        <v>4382</v>
      </c>
    </row>
    <row r="191" spans="1:6" ht="21" x14ac:dyDescent="0.25">
      <c r="A191" s="2" t="str">
        <f>HYPERLINK("https://rth.dk/resources/bsgatlas/details.php?id=BSGatlas-terminator-190","BSGatlas-terminator-190")</f>
        <v>BSGatlas-terminator-190</v>
      </c>
      <c r="B191" s="3">
        <v>356283</v>
      </c>
      <c r="C191" s="3">
        <v>356349</v>
      </c>
      <c r="D191" s="1" t="s">
        <v>9</v>
      </c>
      <c r="E191" s="1"/>
      <c r="F191" s="1" t="s">
        <v>15159</v>
      </c>
    </row>
    <row r="192" spans="1:6" ht="21" x14ac:dyDescent="0.25">
      <c r="A192" s="2" t="str">
        <f>HYPERLINK("https://rth.dk/resources/bsgatlas/details.php?id=BSGatlas-terminator-191","BSGatlas-terminator-191")</f>
        <v>BSGatlas-terminator-191</v>
      </c>
      <c r="B192" s="3">
        <v>364140</v>
      </c>
      <c r="C192" s="3">
        <v>364187</v>
      </c>
      <c r="D192" s="1" t="s">
        <v>9</v>
      </c>
      <c r="E192" s="1">
        <v>-13.6</v>
      </c>
      <c r="F192" s="1" t="s">
        <v>15158</v>
      </c>
    </row>
    <row r="193" spans="1:6" ht="21" x14ac:dyDescent="0.25">
      <c r="A193" s="2" t="str">
        <f>HYPERLINK("https://rth.dk/resources/bsgatlas/details.php?id=BSGatlas-terminator-192","BSGatlas-terminator-192")</f>
        <v>BSGatlas-terminator-192</v>
      </c>
      <c r="B193" s="3">
        <v>367259</v>
      </c>
      <c r="C193" s="3">
        <v>367298</v>
      </c>
      <c r="D193" s="1" t="s">
        <v>9</v>
      </c>
      <c r="E193" s="1">
        <v>-13.5</v>
      </c>
      <c r="F193" s="1" t="s">
        <v>15158</v>
      </c>
    </row>
    <row r="194" spans="1:6" ht="21" x14ac:dyDescent="0.25">
      <c r="A194" s="2" t="str">
        <f>HYPERLINK("https://rth.dk/resources/bsgatlas/details.php?id=BSGatlas-terminator-193","BSGatlas-terminator-193")</f>
        <v>BSGatlas-terminator-193</v>
      </c>
      <c r="B194" s="3">
        <v>367289</v>
      </c>
      <c r="C194" s="3">
        <v>367333</v>
      </c>
      <c r="D194" s="1" t="s">
        <v>13</v>
      </c>
      <c r="E194" s="1">
        <v>-12.6</v>
      </c>
      <c r="F194" s="1" t="s">
        <v>15157</v>
      </c>
    </row>
    <row r="195" spans="1:6" ht="21" x14ac:dyDescent="0.25">
      <c r="A195" s="2" t="str">
        <f>HYPERLINK("https://rth.dk/resources/bsgatlas/details.php?id=BSGatlas-terminator-194","BSGatlas-terminator-194")</f>
        <v>BSGatlas-terminator-194</v>
      </c>
      <c r="B195" s="3">
        <v>369677</v>
      </c>
      <c r="C195" s="3">
        <v>369716</v>
      </c>
      <c r="D195" s="1" t="s">
        <v>9</v>
      </c>
      <c r="E195" s="1">
        <v>-13.5</v>
      </c>
      <c r="F195" s="1" t="s">
        <v>15158</v>
      </c>
    </row>
    <row r="196" spans="1:6" ht="21" x14ac:dyDescent="0.25">
      <c r="A196" s="2" t="str">
        <f>HYPERLINK("https://rth.dk/resources/bsgatlas/details.php?id=BSGatlas-terminator-195","BSGatlas-terminator-195")</f>
        <v>BSGatlas-terminator-195</v>
      </c>
      <c r="B196" s="3">
        <v>370103</v>
      </c>
      <c r="C196" s="3">
        <v>370150</v>
      </c>
      <c r="D196" s="1" t="s">
        <v>9</v>
      </c>
      <c r="E196" s="1">
        <v>-13.7</v>
      </c>
      <c r="F196" s="1" t="s">
        <v>15158</v>
      </c>
    </row>
    <row r="197" spans="1:6" ht="21" x14ac:dyDescent="0.25">
      <c r="A197" s="2" t="str">
        <f>HYPERLINK("https://rth.dk/resources/bsgatlas/details.php?id=BSGatlas-terminator-196","BSGatlas-terminator-196")</f>
        <v>BSGatlas-terminator-196</v>
      </c>
      <c r="B197" s="3">
        <v>371269</v>
      </c>
      <c r="C197" s="3">
        <v>371316</v>
      </c>
      <c r="D197" s="1" t="s">
        <v>13</v>
      </c>
      <c r="E197" s="1">
        <v>-7.3</v>
      </c>
      <c r="F197" s="1" t="s">
        <v>4382</v>
      </c>
    </row>
    <row r="198" spans="1:6" ht="21" x14ac:dyDescent="0.25">
      <c r="A198" s="2" t="str">
        <f>HYPERLINK("https://rth.dk/resources/bsgatlas/details.php?id=BSGatlas-terminator-197","BSGatlas-terminator-197")</f>
        <v>BSGatlas-terminator-197</v>
      </c>
      <c r="B198" s="3">
        <v>371681</v>
      </c>
      <c r="C198" s="3">
        <v>371725</v>
      </c>
      <c r="D198" s="1" t="s">
        <v>13</v>
      </c>
      <c r="E198" s="1">
        <v>-18.399999999999999</v>
      </c>
      <c r="F198" s="1" t="s">
        <v>4382</v>
      </c>
    </row>
    <row r="199" spans="1:6" ht="21" x14ac:dyDescent="0.25">
      <c r="A199" s="2" t="str">
        <f>HYPERLINK("https://rth.dk/resources/bsgatlas/details.php?id=BSGatlas-terminator-198","BSGatlas-terminator-198")</f>
        <v>BSGatlas-terminator-198</v>
      </c>
      <c r="B199" s="3">
        <v>371692</v>
      </c>
      <c r="C199" s="3">
        <v>371736</v>
      </c>
      <c r="D199" s="1" t="s">
        <v>9</v>
      </c>
      <c r="E199" s="1">
        <v>-18.3</v>
      </c>
      <c r="F199" s="1" t="s">
        <v>15158</v>
      </c>
    </row>
    <row r="200" spans="1:6" ht="21" x14ac:dyDescent="0.25">
      <c r="A200" s="2" t="str">
        <f>HYPERLINK("https://rth.dk/resources/bsgatlas/details.php?id=BSGatlas-terminator-199","BSGatlas-terminator-199")</f>
        <v>BSGatlas-terminator-199</v>
      </c>
      <c r="B200" s="3">
        <v>374557</v>
      </c>
      <c r="C200" s="3">
        <v>374597</v>
      </c>
      <c r="D200" s="1" t="s">
        <v>13</v>
      </c>
      <c r="E200" s="1">
        <v>-19.3</v>
      </c>
      <c r="F200" s="1" t="s">
        <v>15158</v>
      </c>
    </row>
    <row r="201" spans="1:6" ht="21" x14ac:dyDescent="0.25">
      <c r="A201" s="2" t="str">
        <f>HYPERLINK("https://rth.dk/resources/bsgatlas/details.php?id=BSGatlas-terminator-200","BSGatlas-terminator-200")</f>
        <v>BSGatlas-terminator-200</v>
      </c>
      <c r="B201" s="3">
        <v>376390</v>
      </c>
      <c r="C201" s="3">
        <v>376430</v>
      </c>
      <c r="D201" s="1" t="s">
        <v>9</v>
      </c>
      <c r="E201" s="1">
        <v>-12</v>
      </c>
      <c r="F201" s="1" t="s">
        <v>15158</v>
      </c>
    </row>
    <row r="202" spans="1:6" ht="21" x14ac:dyDescent="0.25">
      <c r="A202" s="2" t="str">
        <f>HYPERLINK("https://rth.dk/resources/bsgatlas/details.php?id=BSGatlas-terminator-201","BSGatlas-terminator-201")</f>
        <v>BSGatlas-terminator-201</v>
      </c>
      <c r="B202" s="3">
        <v>403118</v>
      </c>
      <c r="C202" s="3">
        <v>403160</v>
      </c>
      <c r="D202" s="1" t="s">
        <v>9</v>
      </c>
      <c r="E202" s="1">
        <v>-17.899999999999999</v>
      </c>
      <c r="F202" s="1" t="s">
        <v>15158</v>
      </c>
    </row>
    <row r="203" spans="1:6" ht="21" x14ac:dyDescent="0.25">
      <c r="A203" s="2" t="str">
        <f>HYPERLINK("https://rth.dk/resources/bsgatlas/details.php?id=BSGatlas-terminator-202","BSGatlas-terminator-202")</f>
        <v>BSGatlas-terminator-202</v>
      </c>
      <c r="B203" s="3">
        <v>404431</v>
      </c>
      <c r="C203" s="3">
        <v>404475</v>
      </c>
      <c r="D203" s="1" t="s">
        <v>13</v>
      </c>
      <c r="E203" s="1">
        <v>-18.100000000000001</v>
      </c>
      <c r="F203" s="1" t="s">
        <v>15158</v>
      </c>
    </row>
    <row r="204" spans="1:6" ht="21" x14ac:dyDescent="0.25">
      <c r="A204" s="2" t="str">
        <f>HYPERLINK("https://rth.dk/resources/bsgatlas/details.php?id=BSGatlas-terminator-203","BSGatlas-terminator-203")</f>
        <v>BSGatlas-terminator-203</v>
      </c>
      <c r="B204" s="3">
        <v>404441</v>
      </c>
      <c r="C204" s="3">
        <v>404485</v>
      </c>
      <c r="D204" s="1" t="s">
        <v>9</v>
      </c>
      <c r="E204" s="1">
        <v>-16</v>
      </c>
      <c r="F204" s="1" t="s">
        <v>15158</v>
      </c>
    </row>
    <row r="205" spans="1:6" ht="21" x14ac:dyDescent="0.25">
      <c r="A205" s="2" t="str">
        <f>HYPERLINK("https://rth.dk/resources/bsgatlas/details.php?id=BSGatlas-terminator-204","BSGatlas-terminator-204")</f>
        <v>BSGatlas-terminator-204</v>
      </c>
      <c r="B205" s="3">
        <v>408204</v>
      </c>
      <c r="C205" s="3">
        <v>408242</v>
      </c>
      <c r="D205" s="1" t="s">
        <v>13</v>
      </c>
      <c r="E205" s="1">
        <v>-11.9</v>
      </c>
      <c r="F205" s="1" t="s">
        <v>4382</v>
      </c>
    </row>
    <row r="206" spans="1:6" ht="21" x14ac:dyDescent="0.25">
      <c r="A206" s="2" t="str">
        <f>HYPERLINK("https://rth.dk/resources/bsgatlas/details.php?id=BSGatlas-terminator-205","BSGatlas-terminator-205")</f>
        <v>BSGatlas-terminator-205</v>
      </c>
      <c r="B206" s="3">
        <v>409023</v>
      </c>
      <c r="C206" s="3">
        <v>409089</v>
      </c>
      <c r="D206" s="1" t="s">
        <v>13</v>
      </c>
      <c r="E206" s="1"/>
      <c r="F206" s="1" t="s">
        <v>15159</v>
      </c>
    </row>
    <row r="207" spans="1:6" ht="21" x14ac:dyDescent="0.25">
      <c r="A207" s="2" t="str">
        <f>HYPERLINK("https://rth.dk/resources/bsgatlas/details.php?id=BSGatlas-terminator-206","BSGatlas-terminator-206")</f>
        <v>BSGatlas-terminator-206</v>
      </c>
      <c r="B207" s="3">
        <v>409122</v>
      </c>
      <c r="C207" s="3">
        <v>409166</v>
      </c>
      <c r="D207" s="1" t="s">
        <v>13</v>
      </c>
      <c r="E207" s="1">
        <v>-16.399999999999999</v>
      </c>
      <c r="F207" s="1" t="s">
        <v>4382</v>
      </c>
    </row>
    <row r="208" spans="1:6" ht="21" x14ac:dyDescent="0.25">
      <c r="A208" s="2" t="str">
        <f>HYPERLINK("https://rth.dk/resources/bsgatlas/details.php?id=BSGatlas-terminator-207","BSGatlas-terminator-207")</f>
        <v>BSGatlas-terminator-207</v>
      </c>
      <c r="B208" s="3">
        <v>409242</v>
      </c>
      <c r="C208" s="3">
        <v>409286</v>
      </c>
      <c r="D208" s="1" t="s">
        <v>13</v>
      </c>
      <c r="E208" s="1">
        <v>-12.6</v>
      </c>
      <c r="F208" s="1" t="s">
        <v>15157</v>
      </c>
    </row>
    <row r="209" spans="1:6" ht="21" x14ac:dyDescent="0.25">
      <c r="A209" s="2" t="str">
        <f>HYPERLINK("https://rth.dk/resources/bsgatlas/details.php?id=BSGatlas-terminator-208","BSGatlas-terminator-208")</f>
        <v>BSGatlas-terminator-208</v>
      </c>
      <c r="B209" s="3">
        <v>415242</v>
      </c>
      <c r="C209" s="3">
        <v>415286</v>
      </c>
      <c r="D209" s="1" t="s">
        <v>9</v>
      </c>
      <c r="E209" s="1">
        <v>-15.1</v>
      </c>
      <c r="F209" s="1" t="s">
        <v>15157</v>
      </c>
    </row>
    <row r="210" spans="1:6" ht="21" x14ac:dyDescent="0.25">
      <c r="A210" s="2" t="str">
        <f>HYPERLINK("https://rth.dk/resources/bsgatlas/details.php?id=BSGatlas-terminator-209","BSGatlas-terminator-209")</f>
        <v>BSGatlas-terminator-209</v>
      </c>
      <c r="B210" s="3">
        <v>416185</v>
      </c>
      <c r="C210" s="3">
        <v>416232</v>
      </c>
      <c r="D210" s="1" t="s">
        <v>13</v>
      </c>
      <c r="E210" s="1">
        <v>-25.2</v>
      </c>
      <c r="F210" s="1" t="s">
        <v>15158</v>
      </c>
    </row>
    <row r="211" spans="1:6" ht="21" x14ac:dyDescent="0.25">
      <c r="A211" s="2" t="str">
        <f>HYPERLINK("https://rth.dk/resources/bsgatlas/details.php?id=BSGatlas-terminator-210","BSGatlas-terminator-210")</f>
        <v>BSGatlas-terminator-210</v>
      </c>
      <c r="B211" s="3">
        <v>416195</v>
      </c>
      <c r="C211" s="3">
        <v>416242</v>
      </c>
      <c r="D211" s="1" t="s">
        <v>9</v>
      </c>
      <c r="E211" s="1">
        <v>-20.100000000000001</v>
      </c>
      <c r="F211" s="1" t="s">
        <v>4382</v>
      </c>
    </row>
    <row r="212" spans="1:6" ht="21" x14ac:dyDescent="0.25">
      <c r="A212" s="2" t="str">
        <f>HYPERLINK("https://rth.dk/resources/bsgatlas/details.php?id=BSGatlas-terminator-211","BSGatlas-terminator-211")</f>
        <v>BSGatlas-terminator-211</v>
      </c>
      <c r="B212" s="3">
        <v>419716</v>
      </c>
      <c r="C212" s="3">
        <v>419760</v>
      </c>
      <c r="D212" s="1" t="s">
        <v>9</v>
      </c>
      <c r="E212" s="1">
        <v>-5.4</v>
      </c>
      <c r="F212" s="1" t="s">
        <v>15157</v>
      </c>
    </row>
    <row r="213" spans="1:6" ht="21" x14ac:dyDescent="0.25">
      <c r="A213" s="2" t="str">
        <f>HYPERLINK("https://rth.dk/resources/bsgatlas/details.php?id=BSGatlas-terminator-212","BSGatlas-terminator-212")</f>
        <v>BSGatlas-terminator-212</v>
      </c>
      <c r="B213" s="3">
        <v>424094</v>
      </c>
      <c r="C213" s="3">
        <v>424149</v>
      </c>
      <c r="D213" s="1" t="s">
        <v>9</v>
      </c>
      <c r="E213" s="1">
        <v>-13.7</v>
      </c>
      <c r="F213" s="1" t="s">
        <v>15158</v>
      </c>
    </row>
    <row r="214" spans="1:6" ht="21" x14ac:dyDescent="0.25">
      <c r="A214" s="2" t="str">
        <f>HYPERLINK("https://rth.dk/resources/bsgatlas/details.php?id=BSGatlas-terminator-213","BSGatlas-terminator-213")</f>
        <v>BSGatlas-terminator-213</v>
      </c>
      <c r="B214" s="3">
        <v>428622</v>
      </c>
      <c r="C214" s="3">
        <v>428666</v>
      </c>
      <c r="D214" s="1" t="s">
        <v>9</v>
      </c>
      <c r="E214" s="1">
        <v>-15</v>
      </c>
      <c r="F214" s="1" t="s">
        <v>15157</v>
      </c>
    </row>
    <row r="215" spans="1:6" ht="21" x14ac:dyDescent="0.25">
      <c r="A215" s="2" t="str">
        <f>HYPERLINK("https://rth.dk/resources/bsgatlas/details.php?id=BSGatlas-terminator-214","BSGatlas-terminator-214")</f>
        <v>BSGatlas-terminator-214</v>
      </c>
      <c r="B215" s="3">
        <v>428805</v>
      </c>
      <c r="C215" s="3">
        <v>428849</v>
      </c>
      <c r="D215" s="1" t="s">
        <v>13</v>
      </c>
      <c r="E215" s="1">
        <v>-10.3</v>
      </c>
      <c r="F215" s="1" t="s">
        <v>15157</v>
      </c>
    </row>
    <row r="216" spans="1:6" ht="21" x14ac:dyDescent="0.25">
      <c r="A216" s="2" t="str">
        <f>HYPERLINK("https://rth.dk/resources/bsgatlas/details.php?id=BSGatlas-terminator-215","BSGatlas-terminator-215")</f>
        <v>BSGatlas-terminator-215</v>
      </c>
      <c r="B216" s="3">
        <v>430088</v>
      </c>
      <c r="C216" s="3">
        <v>430131</v>
      </c>
      <c r="D216" s="1" t="s">
        <v>9</v>
      </c>
      <c r="E216" s="1">
        <v>-18.100000000000001</v>
      </c>
      <c r="F216" s="1" t="s">
        <v>15158</v>
      </c>
    </row>
    <row r="217" spans="1:6" ht="21" x14ac:dyDescent="0.25">
      <c r="A217" s="2" t="str">
        <f>HYPERLINK("https://rth.dk/resources/bsgatlas/details.php?id=BSGatlas-terminator-216","BSGatlas-terminator-216")</f>
        <v>BSGatlas-terminator-216</v>
      </c>
      <c r="B217" s="3">
        <v>430118</v>
      </c>
      <c r="C217" s="3">
        <v>430162</v>
      </c>
      <c r="D217" s="1" t="s">
        <v>13</v>
      </c>
      <c r="E217" s="1">
        <v>-15.8</v>
      </c>
      <c r="F217" s="1" t="s">
        <v>15157</v>
      </c>
    </row>
    <row r="218" spans="1:6" ht="21" x14ac:dyDescent="0.25">
      <c r="A218" s="2" t="str">
        <f>HYPERLINK("https://rth.dk/resources/bsgatlas/details.php?id=BSGatlas-terminator-217","BSGatlas-terminator-217")</f>
        <v>BSGatlas-terminator-217</v>
      </c>
      <c r="B218" s="3">
        <v>430323</v>
      </c>
      <c r="C218" s="3">
        <v>430367</v>
      </c>
      <c r="D218" s="1" t="s">
        <v>13</v>
      </c>
      <c r="E218" s="1">
        <v>-16.5</v>
      </c>
      <c r="F218" s="1" t="s">
        <v>15157</v>
      </c>
    </row>
    <row r="219" spans="1:6" ht="21" x14ac:dyDescent="0.25">
      <c r="A219" s="2" t="str">
        <f>HYPERLINK("https://rth.dk/resources/bsgatlas/details.php?id=BSGatlas-terminator-218","BSGatlas-terminator-218")</f>
        <v>BSGatlas-terminator-218</v>
      </c>
      <c r="B219" s="3">
        <v>430575</v>
      </c>
      <c r="C219" s="3">
        <v>430616</v>
      </c>
      <c r="D219" s="1" t="s">
        <v>13</v>
      </c>
      <c r="E219" s="1">
        <v>-19.100000000000001</v>
      </c>
      <c r="F219" s="1" t="s">
        <v>15158</v>
      </c>
    </row>
    <row r="220" spans="1:6" ht="21" x14ac:dyDescent="0.25">
      <c r="A220" s="2" t="str">
        <f>HYPERLINK("https://rth.dk/resources/bsgatlas/details.php?id=BSGatlas-terminator-219","BSGatlas-terminator-219")</f>
        <v>BSGatlas-terminator-219</v>
      </c>
      <c r="B220" s="3">
        <v>435984</v>
      </c>
      <c r="C220" s="3">
        <v>436028</v>
      </c>
      <c r="D220" s="1" t="s">
        <v>13</v>
      </c>
      <c r="E220" s="1">
        <v>-21.2</v>
      </c>
      <c r="F220" s="1" t="s">
        <v>4382</v>
      </c>
    </row>
    <row r="221" spans="1:6" ht="21" x14ac:dyDescent="0.25">
      <c r="A221" s="2" t="str">
        <f>HYPERLINK("https://rth.dk/resources/bsgatlas/details.php?id=BSGatlas-terminator-220","BSGatlas-terminator-220")</f>
        <v>BSGatlas-terminator-220</v>
      </c>
      <c r="B221" s="3">
        <v>435994</v>
      </c>
      <c r="C221" s="3">
        <v>436038</v>
      </c>
      <c r="D221" s="1" t="s">
        <v>9</v>
      </c>
      <c r="E221" s="1">
        <v>-19.100000000000001</v>
      </c>
      <c r="F221" s="1" t="s">
        <v>15158</v>
      </c>
    </row>
    <row r="222" spans="1:6" ht="21" x14ac:dyDescent="0.25">
      <c r="A222" s="2" t="str">
        <f>HYPERLINK("https://rth.dk/resources/bsgatlas/details.php?id=BSGatlas-terminator-221","BSGatlas-terminator-221")</f>
        <v>BSGatlas-terminator-221</v>
      </c>
      <c r="B222" s="3">
        <v>436035</v>
      </c>
      <c r="C222" s="3">
        <v>436079</v>
      </c>
      <c r="D222" s="1" t="s">
        <v>13</v>
      </c>
      <c r="E222" s="1">
        <v>-13.8</v>
      </c>
      <c r="F222" s="1" t="s">
        <v>15157</v>
      </c>
    </row>
    <row r="223" spans="1:6" ht="21" x14ac:dyDescent="0.25">
      <c r="A223" s="2" t="str">
        <f>HYPERLINK("https://rth.dk/resources/bsgatlas/details.php?id=BSGatlas-terminator-222","BSGatlas-terminator-222")</f>
        <v>BSGatlas-terminator-222</v>
      </c>
      <c r="B223" s="3">
        <v>438466</v>
      </c>
      <c r="C223" s="3">
        <v>438510</v>
      </c>
      <c r="D223" s="1" t="s">
        <v>13</v>
      </c>
      <c r="E223" s="1">
        <v>-22.9</v>
      </c>
      <c r="F223" s="1" t="s">
        <v>15158</v>
      </c>
    </row>
    <row r="224" spans="1:6" ht="21" x14ac:dyDescent="0.25">
      <c r="A224" s="2" t="str">
        <f>HYPERLINK("https://rth.dk/resources/bsgatlas/details.php?id=BSGatlas-terminator-223","BSGatlas-terminator-223")</f>
        <v>BSGatlas-terminator-223</v>
      </c>
      <c r="B224" s="3">
        <v>439812</v>
      </c>
      <c r="C224" s="3">
        <v>439862</v>
      </c>
      <c r="D224" s="1" t="s">
        <v>13</v>
      </c>
      <c r="E224" s="1">
        <v>-11.9</v>
      </c>
      <c r="F224" s="1" t="s">
        <v>4382</v>
      </c>
    </row>
    <row r="225" spans="1:6" ht="21" x14ac:dyDescent="0.25">
      <c r="A225" s="2" t="str">
        <f>HYPERLINK("https://rth.dk/resources/bsgatlas/details.php?id=BSGatlas-terminator-224","BSGatlas-terminator-224")</f>
        <v>BSGatlas-terminator-224</v>
      </c>
      <c r="B225" s="3">
        <v>440024</v>
      </c>
      <c r="C225" s="3">
        <v>440059</v>
      </c>
      <c r="D225" s="1" t="s">
        <v>9</v>
      </c>
      <c r="E225" s="1">
        <v>-10</v>
      </c>
      <c r="F225" s="1" t="s">
        <v>15158</v>
      </c>
    </row>
    <row r="226" spans="1:6" ht="21" x14ac:dyDescent="0.25">
      <c r="A226" s="2" t="str">
        <f>HYPERLINK("https://rth.dk/resources/bsgatlas/details.php?id=BSGatlas-terminator-225","BSGatlas-terminator-225")</f>
        <v>BSGatlas-terminator-225</v>
      </c>
      <c r="B226" s="3">
        <v>444352</v>
      </c>
      <c r="C226" s="3">
        <v>444396</v>
      </c>
      <c r="D226" s="1" t="s">
        <v>9</v>
      </c>
      <c r="E226" s="1">
        <v>-24.2</v>
      </c>
      <c r="F226" s="1" t="s">
        <v>15158</v>
      </c>
    </row>
    <row r="227" spans="1:6" ht="21" x14ac:dyDescent="0.25">
      <c r="A227" s="2" t="str">
        <f>HYPERLINK("https://rth.dk/resources/bsgatlas/details.php?id=BSGatlas-terminator-226","BSGatlas-terminator-226")</f>
        <v>BSGatlas-terminator-226</v>
      </c>
      <c r="B227" s="3">
        <v>445515</v>
      </c>
      <c r="C227" s="3">
        <v>445559</v>
      </c>
      <c r="D227" s="1" t="s">
        <v>9</v>
      </c>
      <c r="E227" s="1">
        <v>-11.7</v>
      </c>
      <c r="F227" s="1" t="s">
        <v>15157</v>
      </c>
    </row>
    <row r="228" spans="1:6" ht="21" x14ac:dyDescent="0.25">
      <c r="A228" s="2" t="str">
        <f>HYPERLINK("https://rth.dk/resources/bsgatlas/details.php?id=BSGatlas-terminator-227","BSGatlas-terminator-227")</f>
        <v>BSGatlas-terminator-227</v>
      </c>
      <c r="B228" s="3">
        <v>446134</v>
      </c>
      <c r="C228" s="3">
        <v>446180</v>
      </c>
      <c r="D228" s="1" t="s">
        <v>9</v>
      </c>
      <c r="E228" s="1">
        <v>-14.3</v>
      </c>
      <c r="F228" s="1" t="s">
        <v>15158</v>
      </c>
    </row>
    <row r="229" spans="1:6" ht="21" x14ac:dyDescent="0.25">
      <c r="A229" s="2" t="str">
        <f>HYPERLINK("https://rth.dk/resources/bsgatlas/details.php?id=BSGatlas-terminator-228","BSGatlas-terminator-228")</f>
        <v>BSGatlas-terminator-228</v>
      </c>
      <c r="B229" s="3">
        <v>446163</v>
      </c>
      <c r="C229" s="3">
        <v>446207</v>
      </c>
      <c r="D229" s="1" t="s">
        <v>13</v>
      </c>
      <c r="E229" s="1">
        <v>-16</v>
      </c>
      <c r="F229" s="1" t="s">
        <v>15157</v>
      </c>
    </row>
    <row r="230" spans="1:6" ht="21" x14ac:dyDescent="0.25">
      <c r="A230" s="2" t="str">
        <f>HYPERLINK("https://rth.dk/resources/bsgatlas/details.php?id=BSGatlas-terminator-229","BSGatlas-terminator-229")</f>
        <v>BSGatlas-terminator-229</v>
      </c>
      <c r="B230" s="3">
        <v>449538</v>
      </c>
      <c r="C230" s="3">
        <v>449577</v>
      </c>
      <c r="D230" s="1" t="s">
        <v>9</v>
      </c>
      <c r="E230" s="1">
        <v>-16.2</v>
      </c>
      <c r="F230" s="1" t="s">
        <v>15158</v>
      </c>
    </row>
    <row r="231" spans="1:6" ht="21" x14ac:dyDescent="0.25">
      <c r="A231" s="2" t="str">
        <f>HYPERLINK("https://rth.dk/resources/bsgatlas/details.php?id=BSGatlas-terminator-230","BSGatlas-terminator-230")</f>
        <v>BSGatlas-terminator-230</v>
      </c>
      <c r="B231" s="3">
        <v>452742</v>
      </c>
      <c r="C231" s="3">
        <v>452783</v>
      </c>
      <c r="D231" s="1" t="s">
        <v>9</v>
      </c>
      <c r="E231" s="1">
        <v>-17.7</v>
      </c>
      <c r="F231" s="1" t="s">
        <v>15158</v>
      </c>
    </row>
    <row r="232" spans="1:6" ht="21" x14ac:dyDescent="0.25">
      <c r="A232" s="2" t="str">
        <f>HYPERLINK("https://rth.dk/resources/bsgatlas/details.php?id=BSGatlas-terminator-231","BSGatlas-terminator-231")</f>
        <v>BSGatlas-terminator-231</v>
      </c>
      <c r="B232" s="3">
        <v>453900</v>
      </c>
      <c r="C232" s="3">
        <v>453930</v>
      </c>
      <c r="D232" s="1" t="s">
        <v>9</v>
      </c>
      <c r="E232" s="1">
        <v>-26.7</v>
      </c>
      <c r="F232" s="1" t="s">
        <v>15161</v>
      </c>
    </row>
    <row r="233" spans="1:6" ht="21" x14ac:dyDescent="0.25">
      <c r="A233" s="2" t="str">
        <f>HYPERLINK("https://rth.dk/resources/bsgatlas/details.php?id=BSGatlas-terminator-232","BSGatlas-terminator-232")</f>
        <v>BSGatlas-terminator-232</v>
      </c>
      <c r="B233" s="3">
        <v>454667</v>
      </c>
      <c r="C233" s="3">
        <v>454712</v>
      </c>
      <c r="D233" s="1" t="s">
        <v>9</v>
      </c>
      <c r="E233" s="1">
        <v>-14.2</v>
      </c>
      <c r="F233" s="1" t="s">
        <v>4382</v>
      </c>
    </row>
    <row r="234" spans="1:6" ht="21" x14ac:dyDescent="0.25">
      <c r="A234" s="2" t="str">
        <f>HYPERLINK("https://rth.dk/resources/bsgatlas/details.php?id=BSGatlas-terminator-233","BSGatlas-terminator-233")</f>
        <v>BSGatlas-terminator-233</v>
      </c>
      <c r="B234" s="3">
        <v>455693</v>
      </c>
      <c r="C234" s="3">
        <v>455737</v>
      </c>
      <c r="D234" s="1" t="s">
        <v>9</v>
      </c>
      <c r="E234" s="1">
        <v>-13.6</v>
      </c>
      <c r="F234" s="1" t="s">
        <v>15157</v>
      </c>
    </row>
    <row r="235" spans="1:6" ht="21" x14ac:dyDescent="0.25">
      <c r="A235" s="2" t="str">
        <f>HYPERLINK("https://rth.dk/resources/bsgatlas/details.php?id=BSGatlas-terminator-234","BSGatlas-terminator-234")</f>
        <v>BSGatlas-terminator-234</v>
      </c>
      <c r="B235" s="3">
        <v>455738</v>
      </c>
      <c r="C235" s="3">
        <v>455788</v>
      </c>
      <c r="D235" s="1" t="s">
        <v>9</v>
      </c>
      <c r="E235" s="1">
        <v>-19.899999999999999</v>
      </c>
      <c r="F235" s="1" t="s">
        <v>4382</v>
      </c>
    </row>
    <row r="236" spans="1:6" ht="21" x14ac:dyDescent="0.25">
      <c r="A236" s="2" t="str">
        <f>HYPERLINK("https://rth.dk/resources/bsgatlas/details.php?id=BSGatlas-terminator-235","BSGatlas-terminator-235")</f>
        <v>BSGatlas-terminator-235</v>
      </c>
      <c r="B236" s="3">
        <v>455769</v>
      </c>
      <c r="C236" s="3">
        <v>455813</v>
      </c>
      <c r="D236" s="1" t="s">
        <v>13</v>
      </c>
      <c r="E236" s="1">
        <v>-10.6</v>
      </c>
      <c r="F236" s="1" t="s">
        <v>15157</v>
      </c>
    </row>
    <row r="237" spans="1:6" ht="21" x14ac:dyDescent="0.25">
      <c r="A237" s="2" t="str">
        <f>HYPERLINK("https://rth.dk/resources/bsgatlas/details.php?id=BSGatlas-terminator-236","BSGatlas-terminator-236")</f>
        <v>BSGatlas-terminator-236</v>
      </c>
      <c r="B237" s="3">
        <v>456772</v>
      </c>
      <c r="C237" s="3">
        <v>456816</v>
      </c>
      <c r="D237" s="1" t="s">
        <v>9</v>
      </c>
      <c r="E237" s="1">
        <v>-11.7</v>
      </c>
      <c r="F237" s="1" t="s">
        <v>15157</v>
      </c>
    </row>
    <row r="238" spans="1:6" ht="21" x14ac:dyDescent="0.25">
      <c r="A238" s="2" t="str">
        <f>HYPERLINK("https://rth.dk/resources/bsgatlas/details.php?id=BSGatlas-terminator-237","BSGatlas-terminator-237")</f>
        <v>BSGatlas-terminator-237</v>
      </c>
      <c r="B238" s="3">
        <v>456823</v>
      </c>
      <c r="C238" s="3">
        <v>456845</v>
      </c>
      <c r="D238" s="1" t="s">
        <v>9</v>
      </c>
      <c r="E238" s="1">
        <v>-14.9</v>
      </c>
      <c r="F238" s="1" t="s">
        <v>4547</v>
      </c>
    </row>
    <row r="239" spans="1:6" ht="21" x14ac:dyDescent="0.25">
      <c r="A239" s="2" t="str">
        <f>HYPERLINK("https://rth.dk/resources/bsgatlas/details.php?id=BSGatlas-terminator-238","BSGatlas-terminator-238")</f>
        <v>BSGatlas-terminator-238</v>
      </c>
      <c r="B239" s="3">
        <v>456848</v>
      </c>
      <c r="C239" s="3">
        <v>456892</v>
      </c>
      <c r="D239" s="1" t="s">
        <v>13</v>
      </c>
      <c r="E239" s="1">
        <v>-11.7</v>
      </c>
      <c r="F239" s="1" t="s">
        <v>15157</v>
      </c>
    </row>
    <row r="240" spans="1:6" ht="21" x14ac:dyDescent="0.25">
      <c r="A240" s="2" t="str">
        <f>HYPERLINK("https://rth.dk/resources/bsgatlas/details.php?id=BSGatlas-terminator-239","BSGatlas-terminator-239")</f>
        <v>BSGatlas-terminator-239</v>
      </c>
      <c r="B240" s="3">
        <v>461063</v>
      </c>
      <c r="C240" s="3">
        <v>461107</v>
      </c>
      <c r="D240" s="1" t="s">
        <v>9</v>
      </c>
      <c r="E240" s="1">
        <v>-12.4</v>
      </c>
      <c r="F240" s="1" t="s">
        <v>15157</v>
      </c>
    </row>
    <row r="241" spans="1:6" ht="21" x14ac:dyDescent="0.25">
      <c r="A241" s="2" t="str">
        <f>HYPERLINK("https://rth.dk/resources/bsgatlas/details.php?id=BSGatlas-terminator-240","BSGatlas-terminator-240")</f>
        <v>BSGatlas-terminator-240</v>
      </c>
      <c r="B241" s="3">
        <v>463072</v>
      </c>
      <c r="C241" s="3">
        <v>463111</v>
      </c>
      <c r="D241" s="1" t="s">
        <v>9</v>
      </c>
      <c r="E241" s="1">
        <v>-14.1</v>
      </c>
      <c r="F241" s="1" t="s">
        <v>15158</v>
      </c>
    </row>
    <row r="242" spans="1:6" ht="21" x14ac:dyDescent="0.25">
      <c r="A242" s="2" t="str">
        <f>HYPERLINK("https://rth.dk/resources/bsgatlas/details.php?id=BSGatlas-terminator-241","BSGatlas-terminator-241")</f>
        <v>BSGatlas-terminator-241</v>
      </c>
      <c r="B242" s="3">
        <v>463093</v>
      </c>
      <c r="C242" s="3">
        <v>463137</v>
      </c>
      <c r="D242" s="1" t="s">
        <v>13</v>
      </c>
      <c r="E242" s="1">
        <v>-11.8</v>
      </c>
      <c r="F242" s="1" t="s">
        <v>15162</v>
      </c>
    </row>
    <row r="243" spans="1:6" ht="21" x14ac:dyDescent="0.25">
      <c r="A243" s="2" t="str">
        <f>HYPERLINK("https://rth.dk/resources/bsgatlas/details.php?id=BSGatlas-terminator-242","BSGatlas-terminator-242")</f>
        <v>BSGatlas-terminator-242</v>
      </c>
      <c r="B243" s="3">
        <v>463391</v>
      </c>
      <c r="C243" s="3">
        <v>463446</v>
      </c>
      <c r="D243" s="1" t="s">
        <v>13</v>
      </c>
      <c r="E243" s="1">
        <v>-10.4</v>
      </c>
      <c r="F243" s="1" t="s">
        <v>4382</v>
      </c>
    </row>
    <row r="244" spans="1:6" ht="21" x14ac:dyDescent="0.25">
      <c r="A244" s="2" t="str">
        <f>HYPERLINK("https://rth.dk/resources/bsgatlas/details.php?id=BSGatlas-terminator-243","BSGatlas-terminator-243")</f>
        <v>BSGatlas-terminator-243</v>
      </c>
      <c r="B244" s="3">
        <v>466902</v>
      </c>
      <c r="C244" s="3">
        <v>466946</v>
      </c>
      <c r="D244" s="1" t="s">
        <v>9</v>
      </c>
      <c r="E244" s="1">
        <v>-10.6</v>
      </c>
      <c r="F244" s="1" t="s">
        <v>15157</v>
      </c>
    </row>
    <row r="245" spans="1:6" ht="21" x14ac:dyDescent="0.25">
      <c r="A245" s="2" t="str">
        <f>HYPERLINK("https://rth.dk/resources/bsgatlas/details.php?id=BSGatlas-terminator-244","BSGatlas-terminator-244")</f>
        <v>BSGatlas-terminator-244</v>
      </c>
      <c r="B245" s="3">
        <v>469220</v>
      </c>
      <c r="C245" s="3">
        <v>469263</v>
      </c>
      <c r="D245" s="1" t="s">
        <v>9</v>
      </c>
      <c r="E245" s="1">
        <v>-15.2</v>
      </c>
      <c r="F245" s="1" t="s">
        <v>15158</v>
      </c>
    </row>
    <row r="246" spans="1:6" ht="21" x14ac:dyDescent="0.25">
      <c r="A246" s="2" t="str">
        <f>HYPERLINK("https://rth.dk/resources/bsgatlas/details.php?id=BSGatlas-terminator-245","BSGatlas-terminator-245")</f>
        <v>BSGatlas-terminator-245</v>
      </c>
      <c r="B246" s="3">
        <v>470899</v>
      </c>
      <c r="C246" s="3">
        <v>470943</v>
      </c>
      <c r="D246" s="1" t="s">
        <v>9</v>
      </c>
      <c r="E246" s="1">
        <v>-12.4</v>
      </c>
      <c r="F246" s="1" t="s">
        <v>15157</v>
      </c>
    </row>
    <row r="247" spans="1:6" ht="21" x14ac:dyDescent="0.25">
      <c r="A247" s="2" t="str">
        <f>HYPERLINK("https://rth.dk/resources/bsgatlas/details.php?id=BSGatlas-terminator-246","BSGatlas-terminator-246")</f>
        <v>BSGatlas-terminator-246</v>
      </c>
      <c r="B247" s="3">
        <v>470968</v>
      </c>
      <c r="C247" s="3">
        <v>471012</v>
      </c>
      <c r="D247" s="1" t="s">
        <v>13</v>
      </c>
      <c r="E247" s="1">
        <v>-11.5</v>
      </c>
      <c r="F247" s="1" t="s">
        <v>15157</v>
      </c>
    </row>
    <row r="248" spans="1:6" ht="21" x14ac:dyDescent="0.25">
      <c r="A248" s="2" t="str">
        <f>HYPERLINK("https://rth.dk/resources/bsgatlas/details.php?id=BSGatlas-terminator-247","BSGatlas-terminator-247")</f>
        <v>BSGatlas-terminator-247</v>
      </c>
      <c r="B248" s="3">
        <v>473089</v>
      </c>
      <c r="C248" s="3">
        <v>473110</v>
      </c>
      <c r="D248" s="1" t="s">
        <v>9</v>
      </c>
      <c r="E248" s="1">
        <v>-15.5</v>
      </c>
      <c r="F248" s="1" t="s">
        <v>15161</v>
      </c>
    </row>
    <row r="249" spans="1:6" ht="21" x14ac:dyDescent="0.25">
      <c r="A249" s="2" t="str">
        <f>HYPERLINK("https://rth.dk/resources/bsgatlas/details.php?id=BSGatlas-terminator-248","BSGatlas-terminator-248")</f>
        <v>BSGatlas-terminator-248</v>
      </c>
      <c r="B249" s="3">
        <v>474569</v>
      </c>
      <c r="C249" s="3">
        <v>474613</v>
      </c>
      <c r="D249" s="1" t="s">
        <v>9</v>
      </c>
      <c r="E249" s="1">
        <v>-12</v>
      </c>
      <c r="F249" s="1" t="s">
        <v>15157</v>
      </c>
    </row>
    <row r="250" spans="1:6" ht="21" x14ac:dyDescent="0.25">
      <c r="A250" s="2" t="str">
        <f>HYPERLINK("https://rth.dk/resources/bsgatlas/details.php?id=BSGatlas-terminator-249","BSGatlas-terminator-249")</f>
        <v>BSGatlas-terminator-249</v>
      </c>
      <c r="B250" s="3">
        <v>474616</v>
      </c>
      <c r="C250" s="3">
        <v>474657</v>
      </c>
      <c r="D250" s="1" t="s">
        <v>9</v>
      </c>
      <c r="E250" s="1">
        <v>-15.3</v>
      </c>
      <c r="F250" s="1" t="s">
        <v>4382</v>
      </c>
    </row>
    <row r="251" spans="1:6" ht="21" x14ac:dyDescent="0.25">
      <c r="A251" s="2" t="str">
        <f>HYPERLINK("https://rth.dk/resources/bsgatlas/details.php?id=BSGatlas-terminator-250","BSGatlas-terminator-250")</f>
        <v>BSGatlas-terminator-250</v>
      </c>
      <c r="B251" s="3">
        <v>475499</v>
      </c>
      <c r="C251" s="3">
        <v>475543</v>
      </c>
      <c r="D251" s="1" t="s">
        <v>9</v>
      </c>
      <c r="E251" s="1">
        <v>-14.9</v>
      </c>
      <c r="F251" s="1" t="s">
        <v>15157</v>
      </c>
    </row>
    <row r="252" spans="1:6" ht="21" x14ac:dyDescent="0.25">
      <c r="A252" s="2" t="str">
        <f>HYPERLINK("https://rth.dk/resources/bsgatlas/details.php?id=BSGatlas-terminator-251","BSGatlas-terminator-251")</f>
        <v>BSGatlas-terminator-251</v>
      </c>
      <c r="B252" s="3">
        <v>475566</v>
      </c>
      <c r="C252" s="3">
        <v>475610</v>
      </c>
      <c r="D252" s="1" t="s">
        <v>13</v>
      </c>
      <c r="E252" s="1">
        <v>-14.9</v>
      </c>
      <c r="F252" s="1" t="s">
        <v>15157</v>
      </c>
    </row>
    <row r="253" spans="1:6" ht="21" x14ac:dyDescent="0.25">
      <c r="A253" s="2" t="str">
        <f>HYPERLINK("https://rth.dk/resources/bsgatlas/details.php?id=BSGatlas-terminator-252","BSGatlas-terminator-252")</f>
        <v>BSGatlas-terminator-252</v>
      </c>
      <c r="B253" s="3">
        <v>478702</v>
      </c>
      <c r="C253" s="3">
        <v>478746</v>
      </c>
      <c r="D253" s="1" t="s">
        <v>9</v>
      </c>
      <c r="E253" s="1">
        <v>-10.4</v>
      </c>
      <c r="F253" s="1" t="s">
        <v>15157</v>
      </c>
    </row>
    <row r="254" spans="1:6" ht="21" x14ac:dyDescent="0.25">
      <c r="A254" s="2" t="str">
        <f>HYPERLINK("https://rth.dk/resources/bsgatlas/details.php?id=BSGatlas-terminator-253","BSGatlas-terminator-253")</f>
        <v>BSGatlas-terminator-253</v>
      </c>
      <c r="B254" s="3">
        <v>485918</v>
      </c>
      <c r="C254" s="3">
        <v>485962</v>
      </c>
      <c r="D254" s="1" t="s">
        <v>9</v>
      </c>
      <c r="E254" s="1">
        <v>-9.9</v>
      </c>
      <c r="F254" s="1" t="s">
        <v>15157</v>
      </c>
    </row>
    <row r="255" spans="1:6" ht="21" x14ac:dyDescent="0.25">
      <c r="A255" s="2" t="str">
        <f>HYPERLINK("https://rth.dk/resources/bsgatlas/details.php?id=BSGatlas-terminator-254","BSGatlas-terminator-254")</f>
        <v>BSGatlas-terminator-254</v>
      </c>
      <c r="B255" s="3">
        <v>486211</v>
      </c>
      <c r="C255" s="3">
        <v>486255</v>
      </c>
      <c r="D255" s="1" t="s">
        <v>9</v>
      </c>
      <c r="E255" s="1">
        <v>-14.7</v>
      </c>
      <c r="F255" s="1" t="s">
        <v>15157</v>
      </c>
    </row>
    <row r="256" spans="1:6" ht="21" x14ac:dyDescent="0.25">
      <c r="A256" s="2" t="str">
        <f>HYPERLINK("https://rth.dk/resources/bsgatlas/details.php?id=BSGatlas-terminator-255","BSGatlas-terminator-255")</f>
        <v>BSGatlas-terminator-255</v>
      </c>
      <c r="B256" s="3">
        <v>488225</v>
      </c>
      <c r="C256" s="3">
        <v>488269</v>
      </c>
      <c r="D256" s="1" t="s">
        <v>9</v>
      </c>
      <c r="E256" s="1">
        <v>-13.9</v>
      </c>
      <c r="F256" s="1" t="s">
        <v>15157</v>
      </c>
    </row>
    <row r="257" spans="1:6" ht="21" x14ac:dyDescent="0.25">
      <c r="A257" s="2" t="str">
        <f>HYPERLINK("https://rth.dk/resources/bsgatlas/details.php?id=BSGatlas-terminator-256","BSGatlas-terminator-256")</f>
        <v>BSGatlas-terminator-256</v>
      </c>
      <c r="B257" s="3">
        <v>489633</v>
      </c>
      <c r="C257" s="3">
        <v>489699</v>
      </c>
      <c r="D257" s="1" t="s">
        <v>13</v>
      </c>
      <c r="E257" s="1"/>
      <c r="F257" s="1" t="s">
        <v>15159</v>
      </c>
    </row>
    <row r="258" spans="1:6" ht="21" x14ac:dyDescent="0.25">
      <c r="A258" s="2" t="str">
        <f>HYPERLINK("https://rth.dk/resources/bsgatlas/details.php?id=BSGatlas-terminator-257","BSGatlas-terminator-257")</f>
        <v>BSGatlas-terminator-257</v>
      </c>
      <c r="B258" s="3">
        <v>490548</v>
      </c>
      <c r="C258" s="3">
        <v>490592</v>
      </c>
      <c r="D258" s="1" t="s">
        <v>13</v>
      </c>
      <c r="E258" s="1">
        <v>-9.1</v>
      </c>
      <c r="F258" s="1" t="s">
        <v>15157</v>
      </c>
    </row>
    <row r="259" spans="1:6" ht="21" x14ac:dyDescent="0.25">
      <c r="A259" s="2" t="str">
        <f>HYPERLINK("https://rth.dk/resources/bsgatlas/details.php?id=BSGatlas-terminator-258","BSGatlas-terminator-258")</f>
        <v>BSGatlas-terminator-258</v>
      </c>
      <c r="B259" s="3">
        <v>490554</v>
      </c>
      <c r="C259" s="3">
        <v>490596</v>
      </c>
      <c r="D259" s="1" t="s">
        <v>9</v>
      </c>
      <c r="E259" s="1">
        <v>-14.4</v>
      </c>
      <c r="F259" s="1" t="s">
        <v>15158</v>
      </c>
    </row>
    <row r="260" spans="1:6" ht="21" x14ac:dyDescent="0.25">
      <c r="A260" s="2" t="str">
        <f>HYPERLINK("https://rth.dk/resources/bsgatlas/details.php?id=BSGatlas-terminator-259","BSGatlas-terminator-259")</f>
        <v>BSGatlas-terminator-259</v>
      </c>
      <c r="B260" s="3">
        <v>490726</v>
      </c>
      <c r="C260" s="3">
        <v>490770</v>
      </c>
      <c r="D260" s="1" t="s">
        <v>13</v>
      </c>
      <c r="E260" s="1">
        <v>-20.3</v>
      </c>
      <c r="F260" s="1" t="s">
        <v>15162</v>
      </c>
    </row>
    <row r="261" spans="1:6" ht="21" x14ac:dyDescent="0.25">
      <c r="A261" s="2" t="str">
        <f>HYPERLINK("https://rth.dk/resources/bsgatlas/details.php?id=BSGatlas-terminator-260","BSGatlas-terminator-260")</f>
        <v>BSGatlas-terminator-260</v>
      </c>
      <c r="B261" s="3">
        <v>491110</v>
      </c>
      <c r="C261" s="3">
        <v>491155</v>
      </c>
      <c r="D261" s="1" t="s">
        <v>13</v>
      </c>
      <c r="E261" s="1">
        <v>-12.2</v>
      </c>
      <c r="F261" s="1" t="s">
        <v>15158</v>
      </c>
    </row>
    <row r="262" spans="1:6" ht="21" x14ac:dyDescent="0.25">
      <c r="A262" s="2" t="str">
        <f>HYPERLINK("https://rth.dk/resources/bsgatlas/details.php?id=BSGatlas-terminator-261","BSGatlas-terminator-261")</f>
        <v>BSGatlas-terminator-261</v>
      </c>
      <c r="B262" s="3">
        <v>492595</v>
      </c>
      <c r="C262" s="3">
        <v>492641</v>
      </c>
      <c r="D262" s="1" t="s">
        <v>13</v>
      </c>
      <c r="E262" s="1">
        <v>-17.7</v>
      </c>
      <c r="F262" s="1" t="s">
        <v>15158</v>
      </c>
    </row>
    <row r="263" spans="1:6" ht="21" x14ac:dyDescent="0.25">
      <c r="A263" s="2" t="str">
        <f>HYPERLINK("https://rth.dk/resources/bsgatlas/details.php?id=BSGatlas-terminator-262","BSGatlas-terminator-262")</f>
        <v>BSGatlas-terminator-262</v>
      </c>
      <c r="B263" s="3">
        <v>492706</v>
      </c>
      <c r="C263" s="3">
        <v>492750</v>
      </c>
      <c r="D263" s="1" t="s">
        <v>13</v>
      </c>
      <c r="E263" s="1">
        <v>-13.4</v>
      </c>
      <c r="F263" s="1" t="s">
        <v>15157</v>
      </c>
    </row>
    <row r="264" spans="1:6" ht="21" x14ac:dyDescent="0.25">
      <c r="A264" s="2" t="str">
        <f>HYPERLINK("https://rth.dk/resources/bsgatlas/details.php?id=BSGatlas-terminator-263","BSGatlas-terminator-263")</f>
        <v>BSGatlas-terminator-263</v>
      </c>
      <c r="B264" s="3">
        <v>494379</v>
      </c>
      <c r="C264" s="3">
        <v>494424</v>
      </c>
      <c r="D264" s="1" t="s">
        <v>9</v>
      </c>
      <c r="E264" s="1">
        <v>-11.5</v>
      </c>
      <c r="F264" s="1" t="s">
        <v>15158</v>
      </c>
    </row>
    <row r="265" spans="1:6" ht="21" x14ac:dyDescent="0.25">
      <c r="A265" s="2" t="str">
        <f>HYPERLINK("https://rth.dk/resources/bsgatlas/details.php?id=BSGatlas-terminator-264","BSGatlas-terminator-264")</f>
        <v>BSGatlas-terminator-264</v>
      </c>
      <c r="B265" s="3">
        <v>494488</v>
      </c>
      <c r="C265" s="3">
        <v>494532</v>
      </c>
      <c r="D265" s="1" t="s">
        <v>13</v>
      </c>
      <c r="E265" s="1">
        <v>-14.2</v>
      </c>
      <c r="F265" s="1" t="s">
        <v>15157</v>
      </c>
    </row>
    <row r="266" spans="1:6" ht="21" x14ac:dyDescent="0.25">
      <c r="A266" s="2" t="str">
        <f>HYPERLINK("https://rth.dk/resources/bsgatlas/details.php?id=BSGatlas-terminator-265","BSGatlas-terminator-265")</f>
        <v>BSGatlas-terminator-265</v>
      </c>
      <c r="B266" s="3">
        <v>494910</v>
      </c>
      <c r="C266" s="3">
        <v>494955</v>
      </c>
      <c r="D266" s="1" t="s">
        <v>9</v>
      </c>
      <c r="E266" s="1">
        <v>-20.7</v>
      </c>
      <c r="F266" s="1" t="s">
        <v>15158</v>
      </c>
    </row>
    <row r="267" spans="1:6" ht="21" x14ac:dyDescent="0.25">
      <c r="A267" s="2" t="str">
        <f>HYPERLINK("https://rth.dk/resources/bsgatlas/details.php?id=BSGatlas-terminator-266","BSGatlas-terminator-266")</f>
        <v>BSGatlas-terminator-266</v>
      </c>
      <c r="B267" s="3">
        <v>495373</v>
      </c>
      <c r="C267" s="3">
        <v>495439</v>
      </c>
      <c r="D267" s="1" t="s">
        <v>13</v>
      </c>
      <c r="E267" s="1"/>
      <c r="F267" s="1" t="s">
        <v>15159</v>
      </c>
    </row>
    <row r="268" spans="1:6" ht="21" x14ac:dyDescent="0.25">
      <c r="A268" s="2" t="str">
        <f>HYPERLINK("https://rth.dk/resources/bsgatlas/details.php?id=BSGatlas-terminator-267","BSGatlas-terminator-267")</f>
        <v>BSGatlas-terminator-267</v>
      </c>
      <c r="B268" s="3">
        <v>495622</v>
      </c>
      <c r="C268" s="3">
        <v>495710</v>
      </c>
      <c r="D268" s="1" t="s">
        <v>9</v>
      </c>
      <c r="E268" s="1">
        <v>-16.600000000000001</v>
      </c>
      <c r="F268" s="1" t="s">
        <v>15157</v>
      </c>
    </row>
    <row r="269" spans="1:6" ht="21" x14ac:dyDescent="0.25">
      <c r="A269" s="2" t="str">
        <f>HYPERLINK("https://rth.dk/resources/bsgatlas/details.php?id=BSGatlas-terminator-268","BSGatlas-terminator-268")</f>
        <v>BSGatlas-terminator-268</v>
      </c>
      <c r="B269" s="3">
        <v>495694</v>
      </c>
      <c r="C269" s="3">
        <v>495736</v>
      </c>
      <c r="D269" s="1" t="s">
        <v>13</v>
      </c>
      <c r="E269" s="1">
        <v>-16.7</v>
      </c>
      <c r="F269" s="1" t="s">
        <v>15158</v>
      </c>
    </row>
    <row r="270" spans="1:6" ht="21" x14ac:dyDescent="0.25">
      <c r="A270" s="2" t="str">
        <f>HYPERLINK("https://rth.dk/resources/bsgatlas/details.php?id=BSGatlas-terminator-269","BSGatlas-terminator-269")</f>
        <v>BSGatlas-terminator-269</v>
      </c>
      <c r="B270" s="3">
        <v>501435</v>
      </c>
      <c r="C270" s="3">
        <v>501472</v>
      </c>
      <c r="D270" s="1" t="s">
        <v>9</v>
      </c>
      <c r="E270" s="1">
        <v>-14.7</v>
      </c>
      <c r="F270" s="1" t="s">
        <v>15158</v>
      </c>
    </row>
    <row r="271" spans="1:6" ht="21" x14ac:dyDescent="0.25">
      <c r="A271" s="2" t="str">
        <f>HYPERLINK("https://rth.dk/resources/bsgatlas/details.php?id=BSGatlas-terminator-270","BSGatlas-terminator-270")</f>
        <v>BSGatlas-terminator-270</v>
      </c>
      <c r="B271" s="3">
        <v>501456</v>
      </c>
      <c r="C271" s="3">
        <v>501500</v>
      </c>
      <c r="D271" s="1" t="s">
        <v>13</v>
      </c>
      <c r="E271" s="1">
        <v>-12.6</v>
      </c>
      <c r="F271" s="1" t="s">
        <v>15157</v>
      </c>
    </row>
    <row r="272" spans="1:6" ht="21" x14ac:dyDescent="0.25">
      <c r="A272" s="2" t="str">
        <f>HYPERLINK("https://rth.dk/resources/bsgatlas/details.php?id=BSGatlas-terminator-271","BSGatlas-terminator-271")</f>
        <v>BSGatlas-terminator-271</v>
      </c>
      <c r="B272" s="3">
        <v>502810</v>
      </c>
      <c r="C272" s="3">
        <v>502854</v>
      </c>
      <c r="D272" s="1" t="s">
        <v>9</v>
      </c>
      <c r="E272" s="1">
        <v>-12.4</v>
      </c>
      <c r="F272" s="1" t="s">
        <v>15162</v>
      </c>
    </row>
    <row r="273" spans="1:6" ht="21" x14ac:dyDescent="0.25">
      <c r="A273" s="2" t="str">
        <f>HYPERLINK("https://rth.dk/resources/bsgatlas/details.php?id=BSGatlas-terminator-272","BSGatlas-terminator-272")</f>
        <v>BSGatlas-terminator-272</v>
      </c>
      <c r="B273" s="3">
        <v>504977</v>
      </c>
      <c r="C273" s="3">
        <v>505021</v>
      </c>
      <c r="D273" s="1" t="s">
        <v>9</v>
      </c>
      <c r="E273" s="1">
        <v>-18.399999999999999</v>
      </c>
      <c r="F273" s="1" t="s">
        <v>15157</v>
      </c>
    </row>
    <row r="274" spans="1:6" ht="21" x14ac:dyDescent="0.25">
      <c r="A274" s="2" t="str">
        <f>HYPERLINK("https://rth.dk/resources/bsgatlas/details.php?id=BSGatlas-terminator-273","BSGatlas-terminator-273")</f>
        <v>BSGatlas-terminator-273</v>
      </c>
      <c r="B274" s="3">
        <v>506287</v>
      </c>
      <c r="C274" s="3">
        <v>506333</v>
      </c>
      <c r="D274" s="1" t="s">
        <v>9</v>
      </c>
      <c r="E274" s="1">
        <v>-9.5</v>
      </c>
      <c r="F274" s="1" t="s">
        <v>15158</v>
      </c>
    </row>
    <row r="275" spans="1:6" ht="21" x14ac:dyDescent="0.25">
      <c r="A275" s="2" t="str">
        <f>HYPERLINK("https://rth.dk/resources/bsgatlas/details.php?id=BSGatlas-terminator-274","BSGatlas-terminator-274")</f>
        <v>BSGatlas-terminator-274</v>
      </c>
      <c r="B275" s="3">
        <v>506289</v>
      </c>
      <c r="C275" s="3">
        <v>506323</v>
      </c>
      <c r="D275" s="1" t="s">
        <v>13</v>
      </c>
      <c r="E275" s="1">
        <v>-10.1</v>
      </c>
      <c r="F275" s="1" t="s">
        <v>15158</v>
      </c>
    </row>
    <row r="276" spans="1:6" ht="21" x14ac:dyDescent="0.25">
      <c r="A276" s="2" t="str">
        <f>HYPERLINK("https://rth.dk/resources/bsgatlas/details.php?id=BSGatlas-terminator-275","BSGatlas-terminator-275")</f>
        <v>BSGatlas-terminator-275</v>
      </c>
      <c r="B276" s="3">
        <v>507667</v>
      </c>
      <c r="C276" s="3">
        <v>507714</v>
      </c>
      <c r="D276" s="1" t="s">
        <v>13</v>
      </c>
      <c r="E276" s="1">
        <v>-16.5</v>
      </c>
      <c r="F276" s="1" t="s">
        <v>15160</v>
      </c>
    </row>
    <row r="277" spans="1:6" ht="21" x14ac:dyDescent="0.25">
      <c r="A277" s="2" t="str">
        <f>HYPERLINK("https://rth.dk/resources/bsgatlas/details.php?id=BSGatlas-terminator-276","BSGatlas-terminator-276")</f>
        <v>BSGatlas-terminator-276</v>
      </c>
      <c r="B277" s="3">
        <v>507774</v>
      </c>
      <c r="C277" s="3">
        <v>507841</v>
      </c>
      <c r="D277" s="1" t="s">
        <v>9</v>
      </c>
      <c r="E277" s="1">
        <v>-20.100000000000001</v>
      </c>
      <c r="F277" s="1" t="s">
        <v>4382</v>
      </c>
    </row>
    <row r="278" spans="1:6" ht="21" x14ac:dyDescent="0.25">
      <c r="A278" s="2" t="str">
        <f>HYPERLINK("https://rth.dk/resources/bsgatlas/details.php?id=BSGatlas-terminator-277","BSGatlas-terminator-277")</f>
        <v>BSGatlas-terminator-277</v>
      </c>
      <c r="B278" s="3">
        <v>509278</v>
      </c>
      <c r="C278" s="3">
        <v>509322</v>
      </c>
      <c r="D278" s="1" t="s">
        <v>9</v>
      </c>
      <c r="E278" s="1">
        <v>-9.6</v>
      </c>
      <c r="F278" s="1" t="s">
        <v>15157</v>
      </c>
    </row>
    <row r="279" spans="1:6" ht="21" x14ac:dyDescent="0.25">
      <c r="A279" s="2" t="str">
        <f>HYPERLINK("https://rth.dk/resources/bsgatlas/details.php?id=BSGatlas-terminator-278","BSGatlas-terminator-278")</f>
        <v>BSGatlas-terminator-278</v>
      </c>
      <c r="B279" s="3">
        <v>512612</v>
      </c>
      <c r="C279" s="3">
        <v>512656</v>
      </c>
      <c r="D279" s="1" t="s">
        <v>9</v>
      </c>
      <c r="E279" s="1">
        <v>-13.1</v>
      </c>
      <c r="F279" s="1" t="s">
        <v>15157</v>
      </c>
    </row>
    <row r="280" spans="1:6" ht="21" x14ac:dyDescent="0.25">
      <c r="A280" s="2" t="str">
        <f>HYPERLINK("https://rth.dk/resources/bsgatlas/details.php?id=BSGatlas-terminator-279","BSGatlas-terminator-279")</f>
        <v>BSGatlas-terminator-279</v>
      </c>
      <c r="B280" s="3">
        <v>514712</v>
      </c>
      <c r="C280" s="3">
        <v>514756</v>
      </c>
      <c r="D280" s="1" t="s">
        <v>9</v>
      </c>
      <c r="E280" s="1">
        <v>-17.100000000000001</v>
      </c>
      <c r="F280" s="1" t="s">
        <v>15157</v>
      </c>
    </row>
    <row r="281" spans="1:6" ht="21" x14ac:dyDescent="0.25">
      <c r="A281" s="2" t="str">
        <f>HYPERLINK("https://rth.dk/resources/bsgatlas/details.php?id=BSGatlas-terminator-280","BSGatlas-terminator-280")</f>
        <v>BSGatlas-terminator-280</v>
      </c>
      <c r="B281" s="3">
        <v>514766</v>
      </c>
      <c r="C281" s="3">
        <v>514810</v>
      </c>
      <c r="D281" s="1" t="s">
        <v>13</v>
      </c>
      <c r="E281" s="1">
        <v>-8.8000000000000007</v>
      </c>
      <c r="F281" s="1" t="s">
        <v>15157</v>
      </c>
    </row>
    <row r="282" spans="1:6" ht="21" x14ac:dyDescent="0.25">
      <c r="A282" s="2" t="str">
        <f>HYPERLINK("https://rth.dk/resources/bsgatlas/details.php?id=BSGatlas-terminator-281","BSGatlas-terminator-281")</f>
        <v>BSGatlas-terminator-281</v>
      </c>
      <c r="B282" s="3">
        <v>514951</v>
      </c>
      <c r="C282" s="3">
        <v>514995</v>
      </c>
      <c r="D282" s="1" t="s">
        <v>13</v>
      </c>
      <c r="E282" s="1">
        <v>-13.8</v>
      </c>
      <c r="F282" s="1" t="s">
        <v>4382</v>
      </c>
    </row>
    <row r="283" spans="1:6" ht="21" x14ac:dyDescent="0.25">
      <c r="A283" s="2" t="str">
        <f>HYPERLINK("https://rth.dk/resources/bsgatlas/details.php?id=BSGatlas-terminator-282","BSGatlas-terminator-282")</f>
        <v>BSGatlas-terminator-282</v>
      </c>
      <c r="B283" s="3">
        <v>515003</v>
      </c>
      <c r="C283" s="3">
        <v>515045</v>
      </c>
      <c r="D283" s="1" t="s">
        <v>9</v>
      </c>
      <c r="E283" s="1">
        <v>-19.100000000000001</v>
      </c>
      <c r="F283" s="1" t="s">
        <v>4382</v>
      </c>
    </row>
    <row r="284" spans="1:6" ht="21" x14ac:dyDescent="0.25">
      <c r="A284" s="2" t="str">
        <f>HYPERLINK("https://rth.dk/resources/bsgatlas/details.php?id=BSGatlas-terminator-283","BSGatlas-terminator-283")</f>
        <v>BSGatlas-terminator-283</v>
      </c>
      <c r="B284" s="3">
        <v>517261</v>
      </c>
      <c r="C284" s="3">
        <v>517299</v>
      </c>
      <c r="D284" s="1" t="s">
        <v>9</v>
      </c>
      <c r="E284" s="1">
        <v>-11.5</v>
      </c>
      <c r="F284" s="1" t="s">
        <v>15158</v>
      </c>
    </row>
    <row r="285" spans="1:6" ht="21" x14ac:dyDescent="0.25">
      <c r="A285" s="2" t="str">
        <f>HYPERLINK("https://rth.dk/resources/bsgatlas/details.php?id=BSGatlas-terminator-284","BSGatlas-terminator-284")</f>
        <v>BSGatlas-terminator-284</v>
      </c>
      <c r="B285" s="3">
        <v>519104</v>
      </c>
      <c r="C285" s="3">
        <v>519148</v>
      </c>
      <c r="D285" s="1" t="s">
        <v>13</v>
      </c>
      <c r="E285" s="1">
        <v>-10.199999999999999</v>
      </c>
      <c r="F285" s="1" t="s">
        <v>15157</v>
      </c>
    </row>
    <row r="286" spans="1:6" ht="21" x14ac:dyDescent="0.25">
      <c r="A286" s="2" t="str">
        <f>HYPERLINK("https://rth.dk/resources/bsgatlas/details.php?id=BSGatlas-terminator-285","BSGatlas-terminator-285")</f>
        <v>BSGatlas-terminator-285</v>
      </c>
      <c r="B286" s="3">
        <v>519251</v>
      </c>
      <c r="C286" s="3">
        <v>519295</v>
      </c>
      <c r="D286" s="1" t="s">
        <v>9</v>
      </c>
      <c r="E286" s="1">
        <v>-8.9</v>
      </c>
      <c r="F286" s="1" t="s">
        <v>15157</v>
      </c>
    </row>
    <row r="287" spans="1:6" ht="21" x14ac:dyDescent="0.25">
      <c r="A287" s="2" t="str">
        <f>HYPERLINK("https://rth.dk/resources/bsgatlas/details.php?id=BSGatlas-terminator-286","BSGatlas-terminator-286")</f>
        <v>BSGatlas-terminator-286</v>
      </c>
      <c r="B287" s="3">
        <v>519301</v>
      </c>
      <c r="C287" s="3">
        <v>519339</v>
      </c>
      <c r="D287" s="1" t="s">
        <v>9</v>
      </c>
      <c r="E287" s="1">
        <v>-11.8</v>
      </c>
      <c r="F287" s="1" t="s">
        <v>4382</v>
      </c>
    </row>
    <row r="288" spans="1:6" ht="21" x14ac:dyDescent="0.25">
      <c r="A288" s="2" t="str">
        <f>HYPERLINK("https://rth.dk/resources/bsgatlas/details.php?id=BSGatlas-terminator-287","BSGatlas-terminator-287")</f>
        <v>BSGatlas-terminator-287</v>
      </c>
      <c r="B288" s="3">
        <v>524213</v>
      </c>
      <c r="C288" s="3">
        <v>524257</v>
      </c>
      <c r="D288" s="1" t="s">
        <v>9</v>
      </c>
      <c r="E288" s="1">
        <v>-6</v>
      </c>
      <c r="F288" s="1" t="s">
        <v>15157</v>
      </c>
    </row>
    <row r="289" spans="1:6" ht="21" x14ac:dyDescent="0.25">
      <c r="A289" s="2" t="str">
        <f>HYPERLINK("https://rth.dk/resources/bsgatlas/details.php?id=BSGatlas-terminator-288","BSGatlas-terminator-288")</f>
        <v>BSGatlas-terminator-288</v>
      </c>
      <c r="B289" s="3">
        <v>524258</v>
      </c>
      <c r="C289" s="3">
        <v>524297</v>
      </c>
      <c r="D289" s="1" t="s">
        <v>9</v>
      </c>
      <c r="E289" s="1">
        <v>-13.5</v>
      </c>
      <c r="F289" s="1" t="s">
        <v>4382</v>
      </c>
    </row>
    <row r="290" spans="1:6" ht="21" x14ac:dyDescent="0.25">
      <c r="A290" s="2" t="str">
        <f>HYPERLINK("https://rth.dk/resources/bsgatlas/details.php?id=BSGatlas-terminator-289","BSGatlas-terminator-289")</f>
        <v>BSGatlas-terminator-289</v>
      </c>
      <c r="B290" s="3">
        <v>525602</v>
      </c>
      <c r="C290" s="3">
        <v>525646</v>
      </c>
      <c r="D290" s="1" t="s">
        <v>9</v>
      </c>
      <c r="E290" s="1">
        <v>-6.8</v>
      </c>
      <c r="F290" s="1" t="s">
        <v>15157</v>
      </c>
    </row>
    <row r="291" spans="1:6" ht="21" x14ac:dyDescent="0.25">
      <c r="A291" s="2" t="str">
        <f>HYPERLINK("https://rth.dk/resources/bsgatlas/details.php?id=BSGatlas-terminator-290","BSGatlas-terminator-290")</f>
        <v>BSGatlas-terminator-290</v>
      </c>
      <c r="B291" s="3">
        <v>528626</v>
      </c>
      <c r="C291" s="3">
        <v>528670</v>
      </c>
      <c r="D291" s="1" t="s">
        <v>13</v>
      </c>
      <c r="E291" s="1">
        <v>-9.1999999999999993</v>
      </c>
      <c r="F291" s="1" t="s">
        <v>15157</v>
      </c>
    </row>
    <row r="292" spans="1:6" ht="21" x14ac:dyDescent="0.25">
      <c r="A292" s="2" t="str">
        <f>HYPERLINK("https://rth.dk/resources/bsgatlas/details.php?id=BSGatlas-terminator-291","BSGatlas-terminator-291")</f>
        <v>BSGatlas-terminator-291</v>
      </c>
      <c r="B292" s="3">
        <v>529298</v>
      </c>
      <c r="C292" s="3">
        <v>529342</v>
      </c>
      <c r="D292" s="1" t="s">
        <v>9</v>
      </c>
      <c r="E292" s="1">
        <v>-13.7</v>
      </c>
      <c r="F292" s="1" t="s">
        <v>15157</v>
      </c>
    </row>
    <row r="293" spans="1:6" ht="21" x14ac:dyDescent="0.25">
      <c r="A293" s="2" t="str">
        <f>HYPERLINK("https://rth.dk/resources/bsgatlas/details.php?id=BSGatlas-terminator-292","BSGatlas-terminator-292")</f>
        <v>BSGatlas-terminator-292</v>
      </c>
      <c r="B293" s="3">
        <v>529387</v>
      </c>
      <c r="C293" s="3">
        <v>529431</v>
      </c>
      <c r="D293" s="1" t="s">
        <v>9</v>
      </c>
      <c r="E293" s="1">
        <v>-13.7</v>
      </c>
      <c r="F293" s="1" t="s">
        <v>15157</v>
      </c>
    </row>
    <row r="294" spans="1:6" ht="21" x14ac:dyDescent="0.25">
      <c r="A294" s="2" t="str">
        <f>HYPERLINK("https://rth.dk/resources/bsgatlas/details.php?id=BSGatlas-terminator-293","BSGatlas-terminator-293")</f>
        <v>BSGatlas-terminator-293</v>
      </c>
      <c r="B294" s="3">
        <v>529455</v>
      </c>
      <c r="C294" s="3">
        <v>529499</v>
      </c>
      <c r="D294" s="1" t="s">
        <v>13</v>
      </c>
      <c r="E294" s="1">
        <v>-9.1999999999999993</v>
      </c>
      <c r="F294" s="1" t="s">
        <v>15157</v>
      </c>
    </row>
    <row r="295" spans="1:6" ht="21" x14ac:dyDescent="0.25">
      <c r="A295" s="2" t="str">
        <f>HYPERLINK("https://rth.dk/resources/bsgatlas/details.php?id=BSGatlas-terminator-294","BSGatlas-terminator-294")</f>
        <v>BSGatlas-terminator-294</v>
      </c>
      <c r="B295" s="3">
        <v>530319</v>
      </c>
      <c r="C295" s="3">
        <v>530385</v>
      </c>
      <c r="D295" s="1" t="s">
        <v>9</v>
      </c>
      <c r="E295" s="1"/>
      <c r="F295" s="1" t="s">
        <v>15159</v>
      </c>
    </row>
    <row r="296" spans="1:6" ht="21" x14ac:dyDescent="0.25">
      <c r="A296" s="2" t="str">
        <f>HYPERLINK("https://rth.dk/resources/bsgatlas/details.php?id=BSGatlas-terminator-295","BSGatlas-terminator-295")</f>
        <v>BSGatlas-terminator-295</v>
      </c>
      <c r="B296" s="3">
        <v>530914</v>
      </c>
      <c r="C296" s="3">
        <v>530958</v>
      </c>
      <c r="D296" s="1" t="s">
        <v>13</v>
      </c>
      <c r="E296" s="1">
        <v>-11.8</v>
      </c>
      <c r="F296" s="1" t="s">
        <v>15157</v>
      </c>
    </row>
    <row r="297" spans="1:6" ht="21" x14ac:dyDescent="0.25">
      <c r="A297" s="2" t="str">
        <f>HYPERLINK("https://rth.dk/resources/bsgatlas/details.php?id=BSGatlas-terminator-296","BSGatlas-terminator-296")</f>
        <v>BSGatlas-terminator-296</v>
      </c>
      <c r="B297" s="3">
        <v>534754</v>
      </c>
      <c r="C297" s="3">
        <v>534798</v>
      </c>
      <c r="D297" s="1" t="s">
        <v>9</v>
      </c>
      <c r="E297" s="1">
        <v>-23.1</v>
      </c>
      <c r="F297" s="1" t="s">
        <v>15157</v>
      </c>
    </row>
    <row r="298" spans="1:6" ht="21" x14ac:dyDescent="0.25">
      <c r="A298" s="2" t="str">
        <f>HYPERLINK("https://rth.dk/resources/bsgatlas/details.php?id=BSGatlas-terminator-297","BSGatlas-terminator-297")</f>
        <v>BSGatlas-terminator-297</v>
      </c>
      <c r="B298" s="3">
        <v>537592</v>
      </c>
      <c r="C298" s="3">
        <v>537636</v>
      </c>
      <c r="D298" s="1" t="s">
        <v>9</v>
      </c>
      <c r="E298" s="1">
        <v>-7.8</v>
      </c>
      <c r="F298" s="1" t="s">
        <v>15157</v>
      </c>
    </row>
    <row r="299" spans="1:6" ht="21" x14ac:dyDescent="0.25">
      <c r="A299" s="2" t="str">
        <f>HYPERLINK("https://rth.dk/resources/bsgatlas/details.php?id=BSGatlas-terminator-298","BSGatlas-terminator-298")</f>
        <v>BSGatlas-terminator-298</v>
      </c>
      <c r="B299" s="3">
        <v>545930</v>
      </c>
      <c r="C299" s="3">
        <v>545974</v>
      </c>
      <c r="D299" s="1" t="s">
        <v>9</v>
      </c>
      <c r="E299" s="1">
        <v>-14.7</v>
      </c>
      <c r="F299" s="1" t="s">
        <v>15157</v>
      </c>
    </row>
    <row r="300" spans="1:6" ht="21" x14ac:dyDescent="0.25">
      <c r="A300" s="2" t="str">
        <f>HYPERLINK("https://rth.dk/resources/bsgatlas/details.php?id=BSGatlas-terminator-299","BSGatlas-terminator-299")</f>
        <v>BSGatlas-terminator-299</v>
      </c>
      <c r="B300" s="3">
        <v>546006</v>
      </c>
      <c r="C300" s="3">
        <v>546116</v>
      </c>
      <c r="D300" s="1" t="s">
        <v>13</v>
      </c>
      <c r="E300" s="1">
        <v>-18.7</v>
      </c>
      <c r="F300" s="1" t="s">
        <v>15162</v>
      </c>
    </row>
    <row r="301" spans="1:6" ht="21" x14ac:dyDescent="0.25">
      <c r="A301" s="2" t="str">
        <f>HYPERLINK("https://rth.dk/resources/bsgatlas/details.php?id=BSGatlas-terminator-300","BSGatlas-terminator-300")</f>
        <v>BSGatlas-terminator-300</v>
      </c>
      <c r="B301" s="3">
        <v>548533</v>
      </c>
      <c r="C301" s="3">
        <v>548577</v>
      </c>
      <c r="D301" s="1" t="s">
        <v>9</v>
      </c>
      <c r="E301" s="1">
        <v>-10.4</v>
      </c>
      <c r="F301" s="1" t="s">
        <v>15157</v>
      </c>
    </row>
    <row r="302" spans="1:6" ht="21" x14ac:dyDescent="0.25">
      <c r="A302" s="2" t="str">
        <f>HYPERLINK("https://rth.dk/resources/bsgatlas/details.php?id=BSGatlas-terminator-301","BSGatlas-terminator-301")</f>
        <v>BSGatlas-terminator-301</v>
      </c>
      <c r="B302" s="3">
        <v>548580</v>
      </c>
      <c r="C302" s="3">
        <v>548625</v>
      </c>
      <c r="D302" s="1" t="s">
        <v>9</v>
      </c>
      <c r="E302" s="1">
        <v>-13.1</v>
      </c>
      <c r="F302" s="1" t="s">
        <v>4382</v>
      </c>
    </row>
    <row r="303" spans="1:6" ht="21" x14ac:dyDescent="0.25">
      <c r="A303" s="2" t="str">
        <f>HYPERLINK("https://rth.dk/resources/bsgatlas/details.php?id=BSGatlas-terminator-302","BSGatlas-terminator-302")</f>
        <v>BSGatlas-terminator-302</v>
      </c>
      <c r="B303" s="3">
        <v>549890</v>
      </c>
      <c r="C303" s="3">
        <v>549956</v>
      </c>
      <c r="D303" s="1" t="s">
        <v>13</v>
      </c>
      <c r="E303" s="1"/>
      <c r="F303" s="1" t="s">
        <v>15159</v>
      </c>
    </row>
    <row r="304" spans="1:6" ht="21" x14ac:dyDescent="0.25">
      <c r="A304" s="2" t="str">
        <f>HYPERLINK("https://rth.dk/resources/bsgatlas/details.php?id=BSGatlas-terminator-303","BSGatlas-terminator-303")</f>
        <v>BSGatlas-terminator-303</v>
      </c>
      <c r="B304" s="3">
        <v>549930</v>
      </c>
      <c r="C304" s="3">
        <v>549974</v>
      </c>
      <c r="D304" s="1" t="s">
        <v>9</v>
      </c>
      <c r="E304" s="1">
        <v>-12.2</v>
      </c>
      <c r="F304" s="1" t="s">
        <v>15162</v>
      </c>
    </row>
    <row r="305" spans="1:6" ht="21" x14ac:dyDescent="0.25">
      <c r="A305" s="2" t="str">
        <f>HYPERLINK("https://rth.dk/resources/bsgatlas/details.php?id=BSGatlas-terminator-304","BSGatlas-terminator-304")</f>
        <v>BSGatlas-terminator-304</v>
      </c>
      <c r="B305" s="3">
        <v>549962</v>
      </c>
      <c r="C305" s="3">
        <v>550006</v>
      </c>
      <c r="D305" s="1" t="s">
        <v>13</v>
      </c>
      <c r="E305" s="1">
        <v>-18.7</v>
      </c>
      <c r="F305" s="1" t="s">
        <v>15157</v>
      </c>
    </row>
    <row r="306" spans="1:6" ht="21" x14ac:dyDescent="0.25">
      <c r="A306" s="2" t="str">
        <f>HYPERLINK("https://rth.dk/resources/bsgatlas/details.php?id=BSGatlas-terminator-305","BSGatlas-terminator-305")</f>
        <v>BSGatlas-terminator-305</v>
      </c>
      <c r="B306" s="3">
        <v>551934</v>
      </c>
      <c r="C306" s="3">
        <v>551978</v>
      </c>
      <c r="D306" s="1" t="s">
        <v>9</v>
      </c>
      <c r="E306" s="1">
        <v>-15.7</v>
      </c>
      <c r="F306" s="1" t="s">
        <v>15162</v>
      </c>
    </row>
    <row r="307" spans="1:6" ht="21" x14ac:dyDescent="0.25">
      <c r="A307" s="2" t="str">
        <f>HYPERLINK("https://rth.dk/resources/bsgatlas/details.php?id=BSGatlas-terminator-306","BSGatlas-terminator-306")</f>
        <v>BSGatlas-terminator-306</v>
      </c>
      <c r="B307" s="3">
        <v>558035</v>
      </c>
      <c r="C307" s="3">
        <v>558079</v>
      </c>
      <c r="D307" s="1" t="s">
        <v>9</v>
      </c>
      <c r="E307" s="1">
        <v>-12.8</v>
      </c>
      <c r="F307" s="1" t="s">
        <v>15157</v>
      </c>
    </row>
    <row r="308" spans="1:6" ht="21" x14ac:dyDescent="0.25">
      <c r="A308" s="2" t="str">
        <f>HYPERLINK("https://rth.dk/resources/bsgatlas/details.php?id=BSGatlas-terminator-307","BSGatlas-terminator-307")</f>
        <v>BSGatlas-terminator-307</v>
      </c>
      <c r="B308" s="3">
        <v>559159</v>
      </c>
      <c r="C308" s="3">
        <v>559203</v>
      </c>
      <c r="D308" s="1" t="s">
        <v>13</v>
      </c>
      <c r="E308" s="1">
        <v>-12.9</v>
      </c>
      <c r="F308" s="1" t="s">
        <v>15157</v>
      </c>
    </row>
    <row r="309" spans="1:6" ht="21" x14ac:dyDescent="0.25">
      <c r="A309" s="2" t="str">
        <f>HYPERLINK("https://rth.dk/resources/bsgatlas/details.php?id=BSGatlas-terminator-308","BSGatlas-terminator-308")</f>
        <v>BSGatlas-terminator-308</v>
      </c>
      <c r="B309" s="3">
        <v>559329</v>
      </c>
      <c r="C309" s="3">
        <v>559395</v>
      </c>
      <c r="D309" s="1" t="s">
        <v>13</v>
      </c>
      <c r="E309" s="1"/>
      <c r="F309" s="1" t="s">
        <v>15159</v>
      </c>
    </row>
    <row r="310" spans="1:6" ht="21" x14ac:dyDescent="0.25">
      <c r="A310" s="2" t="str">
        <f>HYPERLINK("https://rth.dk/resources/bsgatlas/details.php?id=BSGatlas-terminator-309","BSGatlas-terminator-309")</f>
        <v>BSGatlas-terminator-309</v>
      </c>
      <c r="B310" s="3">
        <v>559345</v>
      </c>
      <c r="C310" s="3">
        <v>559389</v>
      </c>
      <c r="D310" s="1" t="s">
        <v>9</v>
      </c>
      <c r="E310" s="1">
        <v>-11.3</v>
      </c>
      <c r="F310" s="1" t="s">
        <v>15157</v>
      </c>
    </row>
    <row r="311" spans="1:6" ht="21" x14ac:dyDescent="0.25">
      <c r="A311" s="2" t="str">
        <f>HYPERLINK("https://rth.dk/resources/bsgatlas/details.php?id=BSGatlas-terminator-310","BSGatlas-terminator-310")</f>
        <v>BSGatlas-terminator-310</v>
      </c>
      <c r="B311" s="3">
        <v>559446</v>
      </c>
      <c r="C311" s="3">
        <v>559490</v>
      </c>
      <c r="D311" s="1" t="s">
        <v>9</v>
      </c>
      <c r="E311" s="1">
        <v>-11.3</v>
      </c>
      <c r="F311" s="1" t="s">
        <v>15157</v>
      </c>
    </row>
    <row r="312" spans="1:6" ht="21" x14ac:dyDescent="0.25">
      <c r="A312" s="2" t="str">
        <f>HYPERLINK("https://rth.dk/resources/bsgatlas/details.php?id=BSGatlas-terminator-311","BSGatlas-terminator-311")</f>
        <v>BSGatlas-terminator-311</v>
      </c>
      <c r="B312" s="3">
        <v>561111</v>
      </c>
      <c r="C312" s="3">
        <v>561155</v>
      </c>
      <c r="D312" s="1" t="s">
        <v>9</v>
      </c>
      <c r="E312" s="1">
        <v>-9.5</v>
      </c>
      <c r="F312" s="1" t="s">
        <v>15157</v>
      </c>
    </row>
    <row r="313" spans="1:6" ht="21" x14ac:dyDescent="0.25">
      <c r="A313" s="2" t="str">
        <f>HYPERLINK("https://rth.dk/resources/bsgatlas/details.php?id=BSGatlas-terminator-312","BSGatlas-terminator-312")</f>
        <v>BSGatlas-terminator-312</v>
      </c>
      <c r="B313" s="3">
        <v>566055</v>
      </c>
      <c r="C313" s="3">
        <v>566099</v>
      </c>
      <c r="D313" s="1" t="s">
        <v>9</v>
      </c>
      <c r="E313" s="1">
        <v>-12.2</v>
      </c>
      <c r="F313" s="1" t="s">
        <v>15157</v>
      </c>
    </row>
    <row r="314" spans="1:6" ht="21" x14ac:dyDescent="0.25">
      <c r="A314" s="2" t="str">
        <f>HYPERLINK("https://rth.dk/resources/bsgatlas/details.php?id=BSGatlas-terminator-313","BSGatlas-terminator-313")</f>
        <v>BSGatlas-terminator-313</v>
      </c>
      <c r="B314" s="3">
        <v>568115</v>
      </c>
      <c r="C314" s="3">
        <v>568159</v>
      </c>
      <c r="D314" s="1" t="s">
        <v>9</v>
      </c>
      <c r="E314" s="1">
        <v>-4.5</v>
      </c>
      <c r="F314" s="1" t="s">
        <v>15157</v>
      </c>
    </row>
    <row r="315" spans="1:6" ht="21" x14ac:dyDescent="0.25">
      <c r="A315" s="2" t="str">
        <f>HYPERLINK("https://rth.dk/resources/bsgatlas/details.php?id=BSGatlas-terminator-314","BSGatlas-terminator-314")</f>
        <v>BSGatlas-terminator-314</v>
      </c>
      <c r="B315" s="3">
        <v>568959</v>
      </c>
      <c r="C315" s="3">
        <v>569003</v>
      </c>
      <c r="D315" s="1" t="s">
        <v>9</v>
      </c>
      <c r="E315" s="1">
        <v>-6.9</v>
      </c>
      <c r="F315" s="1" t="s">
        <v>15157</v>
      </c>
    </row>
    <row r="316" spans="1:6" ht="21" x14ac:dyDescent="0.25">
      <c r="A316" s="2" t="str">
        <f>HYPERLINK("https://rth.dk/resources/bsgatlas/details.php?id=BSGatlas-terminator-315","BSGatlas-terminator-315")</f>
        <v>BSGatlas-terminator-315</v>
      </c>
      <c r="B316" s="3">
        <v>569035</v>
      </c>
      <c r="C316" s="3">
        <v>569079</v>
      </c>
      <c r="D316" s="1" t="s">
        <v>13</v>
      </c>
      <c r="E316" s="1">
        <v>-6.9</v>
      </c>
      <c r="F316" s="1" t="s">
        <v>15157</v>
      </c>
    </row>
    <row r="317" spans="1:6" ht="21" x14ac:dyDescent="0.25">
      <c r="A317" s="2" t="str">
        <f>HYPERLINK("https://rth.dk/resources/bsgatlas/details.php?id=BSGatlas-terminator-316","BSGatlas-terminator-316")</f>
        <v>BSGatlas-terminator-316</v>
      </c>
      <c r="B317" s="3">
        <v>573435</v>
      </c>
      <c r="C317" s="3">
        <v>573479</v>
      </c>
      <c r="D317" s="1" t="s">
        <v>13</v>
      </c>
      <c r="E317" s="1">
        <v>-11.3</v>
      </c>
      <c r="F317" s="1" t="s">
        <v>15157</v>
      </c>
    </row>
    <row r="318" spans="1:6" ht="21" x14ac:dyDescent="0.25">
      <c r="A318" s="2" t="str">
        <f>HYPERLINK("https://rth.dk/resources/bsgatlas/details.php?id=BSGatlas-terminator-317","BSGatlas-terminator-317")</f>
        <v>BSGatlas-terminator-317</v>
      </c>
      <c r="B318" s="3">
        <v>575427</v>
      </c>
      <c r="C318" s="3">
        <v>575471</v>
      </c>
      <c r="D318" s="1" t="s">
        <v>9</v>
      </c>
      <c r="E318" s="1">
        <v>-12.2</v>
      </c>
      <c r="F318" s="1" t="s">
        <v>15157</v>
      </c>
    </row>
    <row r="319" spans="1:6" ht="21" x14ac:dyDescent="0.25">
      <c r="A319" s="2" t="str">
        <f>HYPERLINK("https://rth.dk/resources/bsgatlas/details.php?id=BSGatlas-terminator-318","BSGatlas-terminator-318")</f>
        <v>BSGatlas-terminator-318</v>
      </c>
      <c r="B319" s="3">
        <v>575625</v>
      </c>
      <c r="C319" s="3">
        <v>575669</v>
      </c>
      <c r="D319" s="1" t="s">
        <v>9</v>
      </c>
      <c r="E319" s="1">
        <v>-12.2</v>
      </c>
      <c r="F319" s="1" t="s">
        <v>15157</v>
      </c>
    </row>
    <row r="320" spans="1:6" ht="21" x14ac:dyDescent="0.25">
      <c r="A320" s="2" t="str">
        <f>HYPERLINK("https://rth.dk/resources/bsgatlas/details.php?id=BSGatlas-terminator-319","BSGatlas-terminator-319")</f>
        <v>BSGatlas-terminator-319</v>
      </c>
      <c r="B320" s="3">
        <v>575702</v>
      </c>
      <c r="C320" s="3">
        <v>575746</v>
      </c>
      <c r="D320" s="1" t="s">
        <v>13</v>
      </c>
      <c r="E320" s="1">
        <v>-12.9</v>
      </c>
      <c r="F320" s="1" t="s">
        <v>15157</v>
      </c>
    </row>
    <row r="321" spans="1:6" ht="21" x14ac:dyDescent="0.25">
      <c r="A321" s="2" t="str">
        <f>HYPERLINK("https://rth.dk/resources/bsgatlas/details.php?id=BSGatlas-terminator-320","BSGatlas-terminator-320")</f>
        <v>BSGatlas-terminator-320</v>
      </c>
      <c r="B321" s="3">
        <v>579189</v>
      </c>
      <c r="C321" s="3">
        <v>579233</v>
      </c>
      <c r="D321" s="1" t="s">
        <v>9</v>
      </c>
      <c r="E321" s="1">
        <v>-6.3</v>
      </c>
      <c r="F321" s="1" t="s">
        <v>15157</v>
      </c>
    </row>
    <row r="322" spans="1:6" ht="21" x14ac:dyDescent="0.25">
      <c r="A322" s="2" t="str">
        <f>HYPERLINK("https://rth.dk/resources/bsgatlas/details.php?id=BSGatlas-terminator-321","BSGatlas-terminator-321")</f>
        <v>BSGatlas-terminator-321</v>
      </c>
      <c r="B322" s="3">
        <v>581719</v>
      </c>
      <c r="C322" s="3">
        <v>581763</v>
      </c>
      <c r="D322" s="1" t="s">
        <v>9</v>
      </c>
      <c r="E322" s="1">
        <v>-19.2</v>
      </c>
      <c r="F322" s="1" t="s">
        <v>15157</v>
      </c>
    </row>
    <row r="323" spans="1:6" ht="21" x14ac:dyDescent="0.25">
      <c r="A323" s="2" t="str">
        <f>HYPERLINK("https://rth.dk/resources/bsgatlas/details.php?id=BSGatlas-terminator-322","BSGatlas-terminator-322")</f>
        <v>BSGatlas-terminator-322</v>
      </c>
      <c r="B323" s="3">
        <v>582467</v>
      </c>
      <c r="C323" s="3">
        <v>582511</v>
      </c>
      <c r="D323" s="1" t="s">
        <v>9</v>
      </c>
      <c r="E323" s="1">
        <v>-13.6</v>
      </c>
      <c r="F323" s="1" t="s">
        <v>15157</v>
      </c>
    </row>
    <row r="324" spans="1:6" ht="21" x14ac:dyDescent="0.25">
      <c r="A324" s="2" t="str">
        <f>HYPERLINK("https://rth.dk/resources/bsgatlas/details.php?id=BSGatlas-terminator-323","BSGatlas-terminator-323")</f>
        <v>BSGatlas-terminator-323</v>
      </c>
      <c r="B324" s="3">
        <v>586559</v>
      </c>
      <c r="C324" s="3">
        <v>586603</v>
      </c>
      <c r="D324" s="1" t="s">
        <v>9</v>
      </c>
      <c r="E324" s="1">
        <v>-4.5</v>
      </c>
      <c r="F324" s="1" t="s">
        <v>15157</v>
      </c>
    </row>
    <row r="325" spans="1:6" ht="21" x14ac:dyDescent="0.25">
      <c r="A325" s="2" t="str">
        <f>HYPERLINK("https://rth.dk/resources/bsgatlas/details.php?id=BSGatlas-terminator-324","BSGatlas-terminator-324")</f>
        <v>BSGatlas-terminator-324</v>
      </c>
      <c r="B325" s="3">
        <v>586611</v>
      </c>
      <c r="C325" s="3">
        <v>586655</v>
      </c>
      <c r="D325" s="1" t="s">
        <v>13</v>
      </c>
      <c r="E325" s="1">
        <v>-10.8</v>
      </c>
      <c r="F325" s="1" t="s">
        <v>15157</v>
      </c>
    </row>
    <row r="326" spans="1:6" ht="21" x14ac:dyDescent="0.25">
      <c r="A326" s="2" t="str">
        <f>HYPERLINK("https://rth.dk/resources/bsgatlas/details.php?id=BSGatlas-terminator-325","BSGatlas-terminator-325")</f>
        <v>BSGatlas-terminator-325</v>
      </c>
      <c r="B326" s="3">
        <v>589612</v>
      </c>
      <c r="C326" s="3">
        <v>589661</v>
      </c>
      <c r="D326" s="1" t="s">
        <v>9</v>
      </c>
      <c r="E326" s="1">
        <v>-9.6</v>
      </c>
      <c r="F326" s="1" t="s">
        <v>15158</v>
      </c>
    </row>
    <row r="327" spans="1:6" ht="21" x14ac:dyDescent="0.25">
      <c r="A327" s="2" t="str">
        <f>HYPERLINK("https://rth.dk/resources/bsgatlas/details.php?id=BSGatlas-terminator-326","BSGatlas-terminator-326")</f>
        <v>BSGatlas-terminator-326</v>
      </c>
      <c r="B327" s="3">
        <v>591885</v>
      </c>
      <c r="C327" s="3">
        <v>591936</v>
      </c>
      <c r="D327" s="1" t="s">
        <v>9</v>
      </c>
      <c r="E327" s="1">
        <v>-13.7</v>
      </c>
      <c r="F327" s="1" t="s">
        <v>4382</v>
      </c>
    </row>
    <row r="328" spans="1:6" ht="21" x14ac:dyDescent="0.25">
      <c r="A328" s="2" t="str">
        <f>HYPERLINK("https://rth.dk/resources/bsgatlas/details.php?id=BSGatlas-terminator-327","BSGatlas-terminator-327")</f>
        <v>BSGatlas-terminator-327</v>
      </c>
      <c r="B328" s="3">
        <v>591918</v>
      </c>
      <c r="C328" s="3">
        <v>591962</v>
      </c>
      <c r="D328" s="1" t="s">
        <v>13</v>
      </c>
      <c r="E328" s="1">
        <v>-8.8000000000000007</v>
      </c>
      <c r="F328" s="1" t="s">
        <v>15162</v>
      </c>
    </row>
    <row r="329" spans="1:6" ht="21" x14ac:dyDescent="0.25">
      <c r="A329" s="2" t="str">
        <f>HYPERLINK("https://rth.dk/resources/bsgatlas/details.php?id=BSGatlas-terminator-328","BSGatlas-terminator-328")</f>
        <v>BSGatlas-terminator-328</v>
      </c>
      <c r="B329" s="3">
        <v>592196</v>
      </c>
      <c r="C329" s="3">
        <v>592238</v>
      </c>
      <c r="D329" s="1" t="s">
        <v>13</v>
      </c>
      <c r="E329" s="1">
        <v>-12.9</v>
      </c>
      <c r="F329" s="1" t="s">
        <v>4382</v>
      </c>
    </row>
    <row r="330" spans="1:6" ht="21" x14ac:dyDescent="0.25">
      <c r="A330" s="2" t="str">
        <f>HYPERLINK("https://rth.dk/resources/bsgatlas/details.php?id=BSGatlas-terminator-329","BSGatlas-terminator-329")</f>
        <v>BSGatlas-terminator-329</v>
      </c>
      <c r="B330" s="3">
        <v>593370</v>
      </c>
      <c r="C330" s="3">
        <v>593403</v>
      </c>
      <c r="D330" s="1" t="s">
        <v>13</v>
      </c>
      <c r="E330" s="1">
        <v>-7.1</v>
      </c>
      <c r="F330" s="1" t="s">
        <v>4382</v>
      </c>
    </row>
    <row r="331" spans="1:6" ht="21" x14ac:dyDescent="0.25">
      <c r="A331" s="2" t="str">
        <f>HYPERLINK("https://rth.dk/resources/bsgatlas/details.php?id=BSGatlas-terminator-330","BSGatlas-terminator-330")</f>
        <v>BSGatlas-terminator-330</v>
      </c>
      <c r="B331" s="3">
        <v>595107</v>
      </c>
      <c r="C331" s="3">
        <v>595151</v>
      </c>
      <c r="D331" s="1" t="s">
        <v>13</v>
      </c>
      <c r="E331" s="1">
        <v>-6.2</v>
      </c>
      <c r="F331" s="1" t="s">
        <v>15157</v>
      </c>
    </row>
    <row r="332" spans="1:6" ht="21" x14ac:dyDescent="0.25">
      <c r="A332" s="2" t="str">
        <f>HYPERLINK("https://rth.dk/resources/bsgatlas/details.php?id=BSGatlas-terminator-331","BSGatlas-terminator-331")</f>
        <v>BSGatlas-terminator-331</v>
      </c>
      <c r="B332" s="3">
        <v>598512</v>
      </c>
      <c r="C332" s="3">
        <v>598556</v>
      </c>
      <c r="D332" s="1" t="s">
        <v>9</v>
      </c>
      <c r="E332" s="1">
        <v>-9.3000000000000007</v>
      </c>
      <c r="F332" s="1" t="s">
        <v>15157</v>
      </c>
    </row>
    <row r="333" spans="1:6" ht="21" x14ac:dyDescent="0.25">
      <c r="A333" s="2" t="str">
        <f>HYPERLINK("https://rth.dk/resources/bsgatlas/details.php?id=BSGatlas-terminator-332","BSGatlas-terminator-332")</f>
        <v>BSGatlas-terminator-332</v>
      </c>
      <c r="B333" s="3">
        <v>598559</v>
      </c>
      <c r="C333" s="3">
        <v>598588</v>
      </c>
      <c r="D333" s="1" t="s">
        <v>9</v>
      </c>
      <c r="E333" s="1">
        <v>-17.899999999999999</v>
      </c>
      <c r="F333" s="1" t="s">
        <v>4547</v>
      </c>
    </row>
    <row r="334" spans="1:6" ht="21" x14ac:dyDescent="0.25">
      <c r="A334" s="2" t="str">
        <f>HYPERLINK("https://rth.dk/resources/bsgatlas/details.php?id=BSGatlas-terminator-333","BSGatlas-terminator-333")</f>
        <v>BSGatlas-terminator-333</v>
      </c>
      <c r="B334" s="3">
        <v>599033</v>
      </c>
      <c r="C334" s="3">
        <v>599077</v>
      </c>
      <c r="D334" s="1" t="s">
        <v>9</v>
      </c>
      <c r="E334" s="1">
        <v>-6</v>
      </c>
      <c r="F334" s="1" t="s">
        <v>15157</v>
      </c>
    </row>
    <row r="335" spans="1:6" ht="21" x14ac:dyDescent="0.25">
      <c r="A335" s="2" t="str">
        <f>HYPERLINK("https://rth.dk/resources/bsgatlas/details.php?id=BSGatlas-terminator-334","BSGatlas-terminator-334")</f>
        <v>BSGatlas-terminator-334</v>
      </c>
      <c r="B335" s="3">
        <v>599109</v>
      </c>
      <c r="C335" s="3">
        <v>599153</v>
      </c>
      <c r="D335" s="1" t="s">
        <v>13</v>
      </c>
      <c r="E335" s="1">
        <v>-6</v>
      </c>
      <c r="F335" s="1" t="s">
        <v>15157</v>
      </c>
    </row>
    <row r="336" spans="1:6" ht="21" x14ac:dyDescent="0.25">
      <c r="A336" s="2" t="str">
        <f>HYPERLINK("https://rth.dk/resources/bsgatlas/details.php?id=BSGatlas-terminator-335","BSGatlas-terminator-335")</f>
        <v>BSGatlas-terminator-335</v>
      </c>
      <c r="B336" s="3">
        <v>599527</v>
      </c>
      <c r="C336" s="3">
        <v>599571</v>
      </c>
      <c r="D336" s="1" t="s">
        <v>13</v>
      </c>
      <c r="E336" s="1">
        <v>-12.4</v>
      </c>
      <c r="F336" s="1" t="s">
        <v>15162</v>
      </c>
    </row>
    <row r="337" spans="1:6" ht="21" x14ac:dyDescent="0.25">
      <c r="A337" s="2" t="str">
        <f>HYPERLINK("https://rth.dk/resources/bsgatlas/details.php?id=BSGatlas-terminator-336","BSGatlas-terminator-336")</f>
        <v>BSGatlas-terminator-336</v>
      </c>
      <c r="B337" s="3">
        <v>600067</v>
      </c>
      <c r="C337" s="3">
        <v>600111</v>
      </c>
      <c r="D337" s="1" t="s">
        <v>9</v>
      </c>
      <c r="E337" s="1">
        <v>-6</v>
      </c>
      <c r="F337" s="1" t="s">
        <v>15157</v>
      </c>
    </row>
    <row r="338" spans="1:6" ht="21" x14ac:dyDescent="0.25">
      <c r="A338" s="2" t="str">
        <f>HYPERLINK("https://rth.dk/resources/bsgatlas/details.php?id=BSGatlas-terminator-337","BSGatlas-terminator-337")</f>
        <v>BSGatlas-terminator-337</v>
      </c>
      <c r="B338" s="3">
        <v>600187</v>
      </c>
      <c r="C338" s="3">
        <v>600221</v>
      </c>
      <c r="D338" s="1" t="s">
        <v>13</v>
      </c>
      <c r="E338" s="1">
        <v>-4.7</v>
      </c>
      <c r="F338" s="1" t="s">
        <v>4382</v>
      </c>
    </row>
    <row r="339" spans="1:6" ht="21" x14ac:dyDescent="0.25">
      <c r="A339" s="2" t="str">
        <f>HYPERLINK("https://rth.dk/resources/bsgatlas/details.php?id=BSGatlas-terminator-338","BSGatlas-terminator-338")</f>
        <v>BSGatlas-terminator-338</v>
      </c>
      <c r="B339" s="3">
        <v>602046</v>
      </c>
      <c r="C339" s="3">
        <v>602100</v>
      </c>
      <c r="D339" s="1" t="s">
        <v>9</v>
      </c>
      <c r="E339" s="1">
        <v>-15</v>
      </c>
      <c r="F339" s="1" t="s">
        <v>4382</v>
      </c>
    </row>
    <row r="340" spans="1:6" ht="21" x14ac:dyDescent="0.25">
      <c r="A340" s="2" t="str">
        <f>HYPERLINK("https://rth.dk/resources/bsgatlas/details.php?id=BSGatlas-terminator-339","BSGatlas-terminator-339")</f>
        <v>BSGatlas-terminator-339</v>
      </c>
      <c r="B340" s="3">
        <v>604697</v>
      </c>
      <c r="C340" s="3">
        <v>604741</v>
      </c>
      <c r="D340" s="1" t="s">
        <v>13</v>
      </c>
      <c r="E340" s="1">
        <v>-8.8000000000000007</v>
      </c>
      <c r="F340" s="1" t="s">
        <v>15157</v>
      </c>
    </row>
    <row r="341" spans="1:6" ht="21" x14ac:dyDescent="0.25">
      <c r="A341" s="2" t="str">
        <f>HYPERLINK("https://rth.dk/resources/bsgatlas/details.php?id=BSGatlas-terminator-340","BSGatlas-terminator-340")</f>
        <v>BSGatlas-terminator-340</v>
      </c>
      <c r="B341" s="3">
        <v>605236</v>
      </c>
      <c r="C341" s="3">
        <v>605302</v>
      </c>
      <c r="D341" s="1" t="s">
        <v>9</v>
      </c>
      <c r="E341" s="1"/>
      <c r="F341" s="1" t="s">
        <v>15159</v>
      </c>
    </row>
    <row r="342" spans="1:6" ht="21" x14ac:dyDescent="0.25">
      <c r="A342" s="2" t="str">
        <f>HYPERLINK("https://rth.dk/resources/bsgatlas/details.php?id=BSGatlas-terminator-341","BSGatlas-terminator-341")</f>
        <v>BSGatlas-terminator-341</v>
      </c>
      <c r="B342" s="3">
        <v>606435</v>
      </c>
      <c r="C342" s="3">
        <v>606479</v>
      </c>
      <c r="D342" s="1" t="s">
        <v>13</v>
      </c>
      <c r="E342" s="1">
        <v>-11.8</v>
      </c>
      <c r="F342" s="1" t="s">
        <v>15157</v>
      </c>
    </row>
    <row r="343" spans="1:6" ht="21" x14ac:dyDescent="0.25">
      <c r="A343" s="2" t="str">
        <f>HYPERLINK("https://rth.dk/resources/bsgatlas/details.php?id=BSGatlas-terminator-342","BSGatlas-terminator-342")</f>
        <v>BSGatlas-terminator-342</v>
      </c>
      <c r="B343" s="3">
        <v>606555</v>
      </c>
      <c r="C343" s="3">
        <v>606599</v>
      </c>
      <c r="D343" s="1" t="s">
        <v>9</v>
      </c>
      <c r="E343" s="1">
        <v>-13.3</v>
      </c>
      <c r="F343" s="1" t="s">
        <v>15157</v>
      </c>
    </row>
    <row r="344" spans="1:6" ht="21" x14ac:dyDescent="0.25">
      <c r="A344" s="2" t="str">
        <f>HYPERLINK("https://rth.dk/resources/bsgatlas/details.php?id=BSGatlas-terminator-343","BSGatlas-terminator-343")</f>
        <v>BSGatlas-terminator-343</v>
      </c>
      <c r="B344" s="3">
        <v>606676</v>
      </c>
      <c r="C344" s="3">
        <v>606720</v>
      </c>
      <c r="D344" s="1" t="s">
        <v>13</v>
      </c>
      <c r="E344" s="1">
        <v>-13.3</v>
      </c>
      <c r="F344" s="1" t="s">
        <v>15157</v>
      </c>
    </row>
    <row r="345" spans="1:6" ht="21" x14ac:dyDescent="0.25">
      <c r="A345" s="2" t="str">
        <f>HYPERLINK("https://rth.dk/resources/bsgatlas/details.php?id=BSGatlas-terminator-344","BSGatlas-terminator-344")</f>
        <v>BSGatlas-terminator-344</v>
      </c>
      <c r="B345" s="3">
        <v>608219</v>
      </c>
      <c r="C345" s="3">
        <v>608241</v>
      </c>
      <c r="D345" s="1" t="s">
        <v>13</v>
      </c>
      <c r="E345" s="1">
        <v>-17.8</v>
      </c>
      <c r="F345" s="1" t="s">
        <v>15161</v>
      </c>
    </row>
    <row r="346" spans="1:6" ht="21" x14ac:dyDescent="0.25">
      <c r="A346" s="2" t="str">
        <f>HYPERLINK("https://rth.dk/resources/bsgatlas/details.php?id=BSGatlas-terminator-345","BSGatlas-terminator-345")</f>
        <v>BSGatlas-terminator-345</v>
      </c>
      <c r="B346" s="3">
        <v>612047</v>
      </c>
      <c r="C346" s="3">
        <v>612091</v>
      </c>
      <c r="D346" s="1" t="s">
        <v>9</v>
      </c>
      <c r="E346" s="1">
        <v>-15.3</v>
      </c>
      <c r="F346" s="1" t="s">
        <v>4382</v>
      </c>
    </row>
    <row r="347" spans="1:6" ht="21" x14ac:dyDescent="0.25">
      <c r="A347" s="2" t="str">
        <f>HYPERLINK("https://rth.dk/resources/bsgatlas/details.php?id=BSGatlas-terminator-346","BSGatlas-terminator-346")</f>
        <v>BSGatlas-terminator-346</v>
      </c>
      <c r="B347" s="3">
        <v>612144</v>
      </c>
      <c r="C347" s="3">
        <v>612188</v>
      </c>
      <c r="D347" s="1" t="s">
        <v>9</v>
      </c>
      <c r="E347" s="1">
        <v>-13.9</v>
      </c>
      <c r="F347" s="1" t="s">
        <v>15157</v>
      </c>
    </row>
    <row r="348" spans="1:6" ht="21" x14ac:dyDescent="0.25">
      <c r="A348" s="2" t="str">
        <f>HYPERLINK("https://rth.dk/resources/bsgatlas/details.php?id=BSGatlas-terminator-347","BSGatlas-terminator-347")</f>
        <v>BSGatlas-terminator-347</v>
      </c>
      <c r="B348" s="3">
        <v>612173</v>
      </c>
      <c r="C348" s="3">
        <v>612217</v>
      </c>
      <c r="D348" s="1" t="s">
        <v>13</v>
      </c>
      <c r="E348" s="1">
        <v>-16.600000000000001</v>
      </c>
      <c r="F348" s="1" t="s">
        <v>15157</v>
      </c>
    </row>
    <row r="349" spans="1:6" ht="21" x14ac:dyDescent="0.25">
      <c r="A349" s="2" t="str">
        <f>HYPERLINK("https://rth.dk/resources/bsgatlas/details.php?id=BSGatlas-terminator-348","BSGatlas-terminator-348")</f>
        <v>BSGatlas-terminator-348</v>
      </c>
      <c r="B349" s="3">
        <v>614806</v>
      </c>
      <c r="C349" s="3">
        <v>614850</v>
      </c>
      <c r="D349" s="1" t="s">
        <v>9</v>
      </c>
      <c r="E349" s="1">
        <v>-7.5</v>
      </c>
      <c r="F349" s="1" t="s">
        <v>15157</v>
      </c>
    </row>
    <row r="350" spans="1:6" ht="21" x14ac:dyDescent="0.25">
      <c r="A350" s="2" t="str">
        <f>HYPERLINK("https://rth.dk/resources/bsgatlas/details.php?id=BSGatlas-terminator-349","BSGatlas-terminator-349")</f>
        <v>BSGatlas-terminator-349</v>
      </c>
      <c r="B350" s="3">
        <v>617886</v>
      </c>
      <c r="C350" s="3">
        <v>617930</v>
      </c>
      <c r="D350" s="1" t="s">
        <v>9</v>
      </c>
      <c r="E350" s="1">
        <v>-7.1</v>
      </c>
      <c r="F350" s="1" t="s">
        <v>15157</v>
      </c>
    </row>
    <row r="351" spans="1:6" ht="21" x14ac:dyDescent="0.25">
      <c r="A351" s="2" t="str">
        <f>HYPERLINK("https://rth.dk/resources/bsgatlas/details.php?id=BSGatlas-terminator-350","BSGatlas-terminator-350")</f>
        <v>BSGatlas-terminator-350</v>
      </c>
      <c r="B351" s="3">
        <v>619272</v>
      </c>
      <c r="C351" s="3">
        <v>619316</v>
      </c>
      <c r="D351" s="1" t="s">
        <v>9</v>
      </c>
      <c r="E351" s="1">
        <v>-12.6</v>
      </c>
      <c r="F351" s="1" t="s">
        <v>15157</v>
      </c>
    </row>
    <row r="352" spans="1:6" ht="21" x14ac:dyDescent="0.25">
      <c r="A352" s="2" t="str">
        <f>HYPERLINK("https://rth.dk/resources/bsgatlas/details.php?id=BSGatlas-terminator-351","BSGatlas-terminator-351")</f>
        <v>BSGatlas-terminator-351</v>
      </c>
      <c r="B352" s="3">
        <v>619274</v>
      </c>
      <c r="C352" s="3">
        <v>619320</v>
      </c>
      <c r="D352" s="1" t="s">
        <v>13</v>
      </c>
      <c r="E352" s="1">
        <v>-22.2</v>
      </c>
      <c r="F352" s="1" t="s">
        <v>4382</v>
      </c>
    </row>
    <row r="353" spans="1:6" ht="21" x14ac:dyDescent="0.25">
      <c r="A353" s="2" t="str">
        <f>HYPERLINK("https://rth.dk/resources/bsgatlas/details.php?id=BSGatlas-terminator-352","BSGatlas-terminator-352")</f>
        <v>BSGatlas-terminator-352</v>
      </c>
      <c r="B353" s="3">
        <v>619325</v>
      </c>
      <c r="C353" s="3">
        <v>619369</v>
      </c>
      <c r="D353" s="1" t="s">
        <v>13</v>
      </c>
      <c r="E353" s="1">
        <v>-12.6</v>
      </c>
      <c r="F353" s="1" t="s">
        <v>15157</v>
      </c>
    </row>
    <row r="354" spans="1:6" ht="21" x14ac:dyDescent="0.25">
      <c r="A354" s="2" t="str">
        <f>HYPERLINK("https://rth.dk/resources/bsgatlas/details.php?id=BSGatlas-terminator-353","BSGatlas-terminator-353")</f>
        <v>BSGatlas-terminator-353</v>
      </c>
      <c r="B354" s="3">
        <v>622175</v>
      </c>
      <c r="C354" s="3">
        <v>622219</v>
      </c>
      <c r="D354" s="1" t="s">
        <v>9</v>
      </c>
      <c r="E354" s="1">
        <v>-8.1</v>
      </c>
      <c r="F354" s="1" t="s">
        <v>15157</v>
      </c>
    </row>
    <row r="355" spans="1:6" ht="21" x14ac:dyDescent="0.25">
      <c r="A355" s="2" t="str">
        <f>HYPERLINK("https://rth.dk/resources/bsgatlas/details.php?id=BSGatlas-terminator-354","BSGatlas-terminator-354")</f>
        <v>BSGatlas-terminator-354</v>
      </c>
      <c r="B355" s="3">
        <v>622270</v>
      </c>
      <c r="C355" s="3">
        <v>622314</v>
      </c>
      <c r="D355" s="1" t="s">
        <v>13</v>
      </c>
      <c r="E355" s="1">
        <v>-13</v>
      </c>
      <c r="F355" s="1" t="s">
        <v>15157</v>
      </c>
    </row>
    <row r="356" spans="1:6" ht="21" x14ac:dyDescent="0.25">
      <c r="A356" s="2" t="str">
        <f>HYPERLINK("https://rth.dk/resources/bsgatlas/details.php?id=BSGatlas-terminator-355","BSGatlas-terminator-355")</f>
        <v>BSGatlas-terminator-355</v>
      </c>
      <c r="B356" s="3">
        <v>624308</v>
      </c>
      <c r="C356" s="3">
        <v>624352</v>
      </c>
      <c r="D356" s="1" t="s">
        <v>9</v>
      </c>
      <c r="E356" s="1">
        <v>-8.1</v>
      </c>
      <c r="F356" s="1" t="s">
        <v>15157</v>
      </c>
    </row>
    <row r="357" spans="1:6" ht="21" x14ac:dyDescent="0.25">
      <c r="A357" s="2" t="str">
        <f>HYPERLINK("https://rth.dk/resources/bsgatlas/details.php?id=BSGatlas-terminator-356","BSGatlas-terminator-356")</f>
        <v>BSGatlas-terminator-356</v>
      </c>
      <c r="B357" s="3">
        <v>625112</v>
      </c>
      <c r="C357" s="3">
        <v>625151</v>
      </c>
      <c r="D357" s="1" t="s">
        <v>9</v>
      </c>
      <c r="E357" s="1">
        <v>-13.2</v>
      </c>
      <c r="F357" s="1" t="s">
        <v>15158</v>
      </c>
    </row>
    <row r="358" spans="1:6" ht="21" x14ac:dyDescent="0.25">
      <c r="A358" s="2" t="str">
        <f>HYPERLINK("https://rth.dk/resources/bsgatlas/details.php?id=BSGatlas-terminator-357","BSGatlas-terminator-357")</f>
        <v>BSGatlas-terminator-357</v>
      </c>
      <c r="B358" s="3">
        <v>625132</v>
      </c>
      <c r="C358" s="3">
        <v>625176</v>
      </c>
      <c r="D358" s="1" t="s">
        <v>13</v>
      </c>
      <c r="E358" s="1">
        <v>-12.4</v>
      </c>
      <c r="F358" s="1" t="s">
        <v>15157</v>
      </c>
    </row>
    <row r="359" spans="1:6" ht="21" x14ac:dyDescent="0.25">
      <c r="A359" s="2" t="str">
        <f>HYPERLINK("https://rth.dk/resources/bsgatlas/details.php?id=BSGatlas-terminator-358","BSGatlas-terminator-358")</f>
        <v>BSGatlas-terminator-358</v>
      </c>
      <c r="B359" s="3">
        <v>626329</v>
      </c>
      <c r="C359" s="3">
        <v>626379</v>
      </c>
      <c r="D359" s="1" t="s">
        <v>13</v>
      </c>
      <c r="E359" s="1">
        <v>-19.399999999999999</v>
      </c>
      <c r="F359" s="1" t="s">
        <v>15161</v>
      </c>
    </row>
    <row r="360" spans="1:6" ht="21" x14ac:dyDescent="0.25">
      <c r="A360" s="2" t="str">
        <f>HYPERLINK("https://rth.dk/resources/bsgatlas/details.php?id=BSGatlas-terminator-359","BSGatlas-terminator-359")</f>
        <v>BSGatlas-terminator-359</v>
      </c>
      <c r="B360" s="3">
        <v>633834</v>
      </c>
      <c r="C360" s="3">
        <v>633878</v>
      </c>
      <c r="D360" s="1" t="s">
        <v>9</v>
      </c>
      <c r="E360" s="1">
        <v>-5.4</v>
      </c>
      <c r="F360" s="1" t="s">
        <v>15157</v>
      </c>
    </row>
    <row r="361" spans="1:6" ht="21" x14ac:dyDescent="0.25">
      <c r="A361" s="2" t="str">
        <f>HYPERLINK("https://rth.dk/resources/bsgatlas/details.php?id=BSGatlas-terminator-360","BSGatlas-terminator-360")</f>
        <v>BSGatlas-terminator-360</v>
      </c>
      <c r="B361" s="3">
        <v>633871</v>
      </c>
      <c r="C361" s="3">
        <v>633916</v>
      </c>
      <c r="D361" s="1" t="s">
        <v>13</v>
      </c>
      <c r="E361" s="1">
        <v>-20.9</v>
      </c>
      <c r="F361" s="1" t="s">
        <v>4382</v>
      </c>
    </row>
    <row r="362" spans="1:6" ht="21" x14ac:dyDescent="0.25">
      <c r="A362" s="2" t="str">
        <f>HYPERLINK("https://rth.dk/resources/bsgatlas/details.php?id=BSGatlas-terminator-361","BSGatlas-terminator-361")</f>
        <v>BSGatlas-terminator-361</v>
      </c>
      <c r="B362" s="3">
        <v>633951</v>
      </c>
      <c r="C362" s="3">
        <v>633995</v>
      </c>
      <c r="D362" s="1" t="s">
        <v>13</v>
      </c>
      <c r="E362" s="1">
        <v>-17.600000000000001</v>
      </c>
      <c r="F362" s="1" t="s">
        <v>15157</v>
      </c>
    </row>
    <row r="363" spans="1:6" ht="21" x14ac:dyDescent="0.25">
      <c r="A363" s="2" t="str">
        <f>HYPERLINK("https://rth.dk/resources/bsgatlas/details.php?id=BSGatlas-terminator-362","BSGatlas-terminator-362")</f>
        <v>BSGatlas-terminator-362</v>
      </c>
      <c r="B363" s="3">
        <v>634944</v>
      </c>
      <c r="C363" s="3">
        <v>634988</v>
      </c>
      <c r="D363" s="1" t="s">
        <v>13</v>
      </c>
      <c r="E363" s="1">
        <v>-9</v>
      </c>
      <c r="F363" s="1" t="s">
        <v>15157</v>
      </c>
    </row>
    <row r="364" spans="1:6" ht="21" x14ac:dyDescent="0.25">
      <c r="A364" s="2" t="str">
        <f>HYPERLINK("https://rth.dk/resources/bsgatlas/details.php?id=BSGatlas-terminator-363","BSGatlas-terminator-363")</f>
        <v>BSGatlas-terminator-363</v>
      </c>
      <c r="B364" s="3">
        <v>640456</v>
      </c>
      <c r="C364" s="3">
        <v>640500</v>
      </c>
      <c r="D364" s="1" t="s">
        <v>9</v>
      </c>
      <c r="E364" s="1">
        <v>-5.4</v>
      </c>
      <c r="F364" s="1" t="s">
        <v>15157</v>
      </c>
    </row>
    <row r="365" spans="1:6" ht="21" x14ac:dyDescent="0.25">
      <c r="A365" s="2" t="str">
        <f>HYPERLINK("https://rth.dk/resources/bsgatlas/details.php?id=BSGatlas-terminator-364","BSGatlas-terminator-364")</f>
        <v>BSGatlas-terminator-364</v>
      </c>
      <c r="B365" s="3">
        <v>644240</v>
      </c>
      <c r="C365" s="3">
        <v>644284</v>
      </c>
      <c r="D365" s="1" t="s">
        <v>9</v>
      </c>
      <c r="E365" s="1">
        <v>-10.1</v>
      </c>
      <c r="F365" s="1" t="s">
        <v>15157</v>
      </c>
    </row>
    <row r="366" spans="1:6" ht="21" x14ac:dyDescent="0.25">
      <c r="A366" s="2" t="str">
        <f>HYPERLINK("https://rth.dk/resources/bsgatlas/details.php?id=BSGatlas-terminator-365","BSGatlas-terminator-365")</f>
        <v>BSGatlas-terminator-365</v>
      </c>
      <c r="B366" s="3">
        <v>644523</v>
      </c>
      <c r="C366" s="3">
        <v>644567</v>
      </c>
      <c r="D366" s="1" t="s">
        <v>13</v>
      </c>
      <c r="E366" s="1">
        <v>-12.6</v>
      </c>
      <c r="F366" s="1" t="s">
        <v>15157</v>
      </c>
    </row>
    <row r="367" spans="1:6" ht="21" x14ac:dyDescent="0.25">
      <c r="A367" s="2" t="str">
        <f>HYPERLINK("https://rth.dk/resources/bsgatlas/details.php?id=BSGatlas-terminator-366","BSGatlas-terminator-366")</f>
        <v>BSGatlas-terminator-366</v>
      </c>
      <c r="B367" s="3">
        <v>648662</v>
      </c>
      <c r="C367" s="3">
        <v>648706</v>
      </c>
      <c r="D367" s="1" t="s">
        <v>9</v>
      </c>
      <c r="E367" s="1">
        <v>-12.7</v>
      </c>
      <c r="F367" s="1" t="s">
        <v>15157</v>
      </c>
    </row>
    <row r="368" spans="1:6" ht="21" x14ac:dyDescent="0.25">
      <c r="A368" s="2" t="str">
        <f>HYPERLINK("https://rth.dk/resources/bsgatlas/details.php?id=BSGatlas-terminator-367","BSGatlas-terminator-367")</f>
        <v>BSGatlas-terminator-367</v>
      </c>
      <c r="B368" s="3">
        <v>648737</v>
      </c>
      <c r="C368" s="3">
        <v>648781</v>
      </c>
      <c r="D368" s="1" t="s">
        <v>13</v>
      </c>
      <c r="E368" s="1">
        <v>-12.7</v>
      </c>
      <c r="F368" s="1" t="s">
        <v>15157</v>
      </c>
    </row>
    <row r="369" spans="1:6" ht="21" x14ac:dyDescent="0.25">
      <c r="A369" s="2" t="str">
        <f>HYPERLINK("https://rth.dk/resources/bsgatlas/details.php?id=BSGatlas-terminator-368","BSGatlas-terminator-368")</f>
        <v>BSGatlas-terminator-368</v>
      </c>
      <c r="B369" s="3">
        <v>651942</v>
      </c>
      <c r="C369" s="3">
        <v>651996</v>
      </c>
      <c r="D369" s="1" t="s">
        <v>9</v>
      </c>
      <c r="E369" s="1">
        <v>-20</v>
      </c>
      <c r="F369" s="1" t="s">
        <v>15160</v>
      </c>
    </row>
    <row r="370" spans="1:6" ht="21" x14ac:dyDescent="0.25">
      <c r="A370" s="2" t="str">
        <f>HYPERLINK("https://rth.dk/resources/bsgatlas/details.php?id=BSGatlas-terminator-369","BSGatlas-terminator-369")</f>
        <v>BSGatlas-terminator-369</v>
      </c>
      <c r="B370" s="3">
        <v>657681</v>
      </c>
      <c r="C370" s="3">
        <v>657725</v>
      </c>
      <c r="D370" s="1" t="s">
        <v>9</v>
      </c>
      <c r="E370" s="1">
        <v>-15.1</v>
      </c>
      <c r="F370" s="1" t="s">
        <v>15157</v>
      </c>
    </row>
    <row r="371" spans="1:6" ht="21" x14ac:dyDescent="0.25">
      <c r="A371" s="2" t="str">
        <f>HYPERLINK("https://rth.dk/resources/bsgatlas/details.php?id=BSGatlas-terminator-370","BSGatlas-terminator-370")</f>
        <v>BSGatlas-terminator-370</v>
      </c>
      <c r="B371" s="3">
        <v>657727</v>
      </c>
      <c r="C371" s="3">
        <v>657770</v>
      </c>
      <c r="D371" s="1" t="s">
        <v>9</v>
      </c>
      <c r="E371" s="1">
        <v>-18.2</v>
      </c>
      <c r="F371" s="1" t="s">
        <v>4382</v>
      </c>
    </row>
    <row r="372" spans="1:6" ht="21" x14ac:dyDescent="0.25">
      <c r="A372" s="2" t="str">
        <f>HYPERLINK("https://rth.dk/resources/bsgatlas/details.php?id=BSGatlas-terminator-371","BSGatlas-terminator-371")</f>
        <v>BSGatlas-terminator-371</v>
      </c>
      <c r="B372" s="3">
        <v>657755</v>
      </c>
      <c r="C372" s="3">
        <v>657799</v>
      </c>
      <c r="D372" s="1" t="s">
        <v>13</v>
      </c>
      <c r="E372" s="1">
        <v>-15.6</v>
      </c>
      <c r="F372" s="1" t="s">
        <v>15157</v>
      </c>
    </row>
    <row r="373" spans="1:6" ht="21" x14ac:dyDescent="0.25">
      <c r="A373" s="2" t="str">
        <f>HYPERLINK("https://rth.dk/resources/bsgatlas/details.php?id=BSGatlas-terminator-372","BSGatlas-terminator-372")</f>
        <v>BSGatlas-terminator-372</v>
      </c>
      <c r="B373" s="3">
        <v>663159</v>
      </c>
      <c r="C373" s="3">
        <v>663265</v>
      </c>
      <c r="D373" s="1" t="s">
        <v>9</v>
      </c>
      <c r="E373" s="1">
        <v>-18.100000000000001</v>
      </c>
      <c r="F373" s="1" t="s">
        <v>15162</v>
      </c>
    </row>
    <row r="374" spans="1:6" ht="21" x14ac:dyDescent="0.25">
      <c r="A374" s="2" t="str">
        <f>HYPERLINK("https://rth.dk/resources/bsgatlas/details.php?id=BSGatlas-terminator-373","BSGatlas-terminator-373")</f>
        <v>BSGatlas-terminator-373</v>
      </c>
      <c r="B374" s="3">
        <v>664523</v>
      </c>
      <c r="C374" s="3">
        <v>664567</v>
      </c>
      <c r="D374" s="1" t="s">
        <v>9</v>
      </c>
      <c r="E374" s="1">
        <v>-13.9</v>
      </c>
      <c r="F374" s="1" t="s">
        <v>15157</v>
      </c>
    </row>
    <row r="375" spans="1:6" ht="21" x14ac:dyDescent="0.25">
      <c r="A375" s="2" t="str">
        <f>HYPERLINK("https://rth.dk/resources/bsgatlas/details.php?id=BSGatlas-terminator-374","BSGatlas-terminator-374")</f>
        <v>BSGatlas-terminator-374</v>
      </c>
      <c r="B375" s="3">
        <v>664685</v>
      </c>
      <c r="C375" s="3">
        <v>664728</v>
      </c>
      <c r="D375" s="1" t="s">
        <v>13</v>
      </c>
      <c r="E375" s="1">
        <v>-18</v>
      </c>
      <c r="F375" s="1" t="s">
        <v>4382</v>
      </c>
    </row>
    <row r="376" spans="1:6" ht="21" x14ac:dyDescent="0.25">
      <c r="A376" s="2" t="str">
        <f>HYPERLINK("https://rth.dk/resources/bsgatlas/details.php?id=BSGatlas-terminator-375","BSGatlas-terminator-375")</f>
        <v>BSGatlas-terminator-375</v>
      </c>
      <c r="B376" s="3">
        <v>664695</v>
      </c>
      <c r="C376" s="3">
        <v>664738</v>
      </c>
      <c r="D376" s="1" t="s">
        <v>9</v>
      </c>
      <c r="E376" s="1">
        <v>-16.399999999999999</v>
      </c>
      <c r="F376" s="1" t="s">
        <v>4382</v>
      </c>
    </row>
    <row r="377" spans="1:6" ht="21" x14ac:dyDescent="0.25">
      <c r="A377" s="2" t="str">
        <f>HYPERLINK("https://rth.dk/resources/bsgatlas/details.php?id=BSGatlas-terminator-376","BSGatlas-terminator-376")</f>
        <v>BSGatlas-terminator-376</v>
      </c>
      <c r="B377" s="3">
        <v>664775</v>
      </c>
      <c r="C377" s="3">
        <v>664819</v>
      </c>
      <c r="D377" s="1" t="s">
        <v>13</v>
      </c>
      <c r="E377" s="1">
        <v>-13.9</v>
      </c>
      <c r="F377" s="1" t="s">
        <v>15157</v>
      </c>
    </row>
    <row r="378" spans="1:6" ht="21" x14ac:dyDescent="0.25">
      <c r="A378" s="2" t="str">
        <f>HYPERLINK("https://rth.dk/resources/bsgatlas/details.php?id=BSGatlas-terminator-377","BSGatlas-terminator-377")</f>
        <v>BSGatlas-terminator-377</v>
      </c>
      <c r="B378" s="3">
        <v>671012</v>
      </c>
      <c r="C378" s="3">
        <v>671056</v>
      </c>
      <c r="D378" s="1" t="s">
        <v>9</v>
      </c>
      <c r="E378" s="1">
        <v>-14</v>
      </c>
      <c r="F378" s="1" t="s">
        <v>15157</v>
      </c>
    </row>
    <row r="379" spans="1:6" ht="21" x14ac:dyDescent="0.25">
      <c r="A379" s="2" t="str">
        <f>HYPERLINK("https://rth.dk/resources/bsgatlas/details.php?id=BSGatlas-terminator-378","BSGatlas-terminator-378")</f>
        <v>BSGatlas-terminator-378</v>
      </c>
      <c r="B379" s="3">
        <v>671934</v>
      </c>
      <c r="C379" s="3">
        <v>671974</v>
      </c>
      <c r="D379" s="1" t="s">
        <v>9</v>
      </c>
      <c r="E379" s="1">
        <v>-21.5</v>
      </c>
      <c r="F379" s="1" t="s">
        <v>4382</v>
      </c>
    </row>
    <row r="380" spans="1:6" ht="21" x14ac:dyDescent="0.25">
      <c r="A380" s="2" t="str">
        <f>HYPERLINK("https://rth.dk/resources/bsgatlas/details.php?id=BSGatlas-terminator-379","BSGatlas-terminator-379")</f>
        <v>BSGatlas-terminator-379</v>
      </c>
      <c r="B380" s="3">
        <v>674788</v>
      </c>
      <c r="C380" s="3">
        <v>674832</v>
      </c>
      <c r="D380" s="1" t="s">
        <v>13</v>
      </c>
      <c r="E380" s="1">
        <v>-13.5</v>
      </c>
      <c r="F380" s="1" t="s">
        <v>4382</v>
      </c>
    </row>
    <row r="381" spans="1:6" ht="21" x14ac:dyDescent="0.25">
      <c r="A381" s="2" t="str">
        <f>HYPERLINK("https://rth.dk/resources/bsgatlas/details.php?id=BSGatlas-terminator-380","BSGatlas-terminator-380")</f>
        <v>BSGatlas-terminator-380</v>
      </c>
      <c r="B381" s="3">
        <v>674798</v>
      </c>
      <c r="C381" s="3">
        <v>674842</v>
      </c>
      <c r="D381" s="1" t="s">
        <v>9</v>
      </c>
      <c r="E381" s="1">
        <v>-15</v>
      </c>
      <c r="F381" s="1" t="s">
        <v>15158</v>
      </c>
    </row>
    <row r="382" spans="1:6" ht="21" x14ac:dyDescent="0.25">
      <c r="A382" s="2" t="str">
        <f>HYPERLINK("https://rth.dk/resources/bsgatlas/details.php?id=BSGatlas-terminator-381","BSGatlas-terminator-381")</f>
        <v>BSGatlas-terminator-381</v>
      </c>
      <c r="B382" s="3">
        <v>677858</v>
      </c>
      <c r="C382" s="3">
        <v>677901</v>
      </c>
      <c r="D382" s="1" t="s">
        <v>13</v>
      </c>
      <c r="E382" s="1">
        <v>-18.7</v>
      </c>
      <c r="F382" s="1" t="s">
        <v>15158</v>
      </c>
    </row>
    <row r="383" spans="1:6" ht="21" x14ac:dyDescent="0.25">
      <c r="A383" s="2" t="str">
        <f>HYPERLINK("https://rth.dk/resources/bsgatlas/details.php?id=BSGatlas-terminator-382","BSGatlas-terminator-382")</f>
        <v>BSGatlas-terminator-382</v>
      </c>
      <c r="B383" s="3">
        <v>677871</v>
      </c>
      <c r="C383" s="3">
        <v>677908</v>
      </c>
      <c r="D383" s="1" t="s">
        <v>9</v>
      </c>
      <c r="E383" s="1">
        <v>-13.4</v>
      </c>
      <c r="F383" s="1" t="s">
        <v>15158</v>
      </c>
    </row>
    <row r="384" spans="1:6" ht="21" x14ac:dyDescent="0.25">
      <c r="A384" s="2" t="str">
        <f>HYPERLINK("https://rth.dk/resources/bsgatlas/details.php?id=BSGatlas-terminator-383","BSGatlas-terminator-383")</f>
        <v>BSGatlas-terminator-383</v>
      </c>
      <c r="B384" s="3">
        <v>679725</v>
      </c>
      <c r="C384" s="3">
        <v>679769</v>
      </c>
      <c r="D384" s="1" t="s">
        <v>9</v>
      </c>
      <c r="E384" s="1">
        <v>-7.4</v>
      </c>
      <c r="F384" s="1" t="s">
        <v>15157</v>
      </c>
    </row>
    <row r="385" spans="1:6" ht="21" x14ac:dyDescent="0.25">
      <c r="A385" s="2" t="str">
        <f>HYPERLINK("https://rth.dk/resources/bsgatlas/details.php?id=BSGatlas-terminator-384","BSGatlas-terminator-384")</f>
        <v>BSGatlas-terminator-384</v>
      </c>
      <c r="B385" s="3">
        <v>679778</v>
      </c>
      <c r="C385" s="3">
        <v>679817</v>
      </c>
      <c r="D385" s="1" t="s">
        <v>9</v>
      </c>
      <c r="E385" s="1">
        <v>-10.199999999999999</v>
      </c>
      <c r="F385" s="1" t="s">
        <v>4382</v>
      </c>
    </row>
    <row r="386" spans="1:6" ht="21" x14ac:dyDescent="0.25">
      <c r="A386" s="2" t="str">
        <f>HYPERLINK("https://rth.dk/resources/bsgatlas/details.php?id=BSGatlas-terminator-385","BSGatlas-terminator-385")</f>
        <v>BSGatlas-terminator-385</v>
      </c>
      <c r="B386" s="3">
        <v>680825</v>
      </c>
      <c r="C386" s="3">
        <v>680869</v>
      </c>
      <c r="D386" s="1" t="s">
        <v>9</v>
      </c>
      <c r="E386" s="1">
        <v>-13.9</v>
      </c>
      <c r="F386" s="1" t="s">
        <v>15157</v>
      </c>
    </row>
    <row r="387" spans="1:6" ht="21" x14ac:dyDescent="0.25">
      <c r="A387" s="2" t="str">
        <f>HYPERLINK("https://rth.dk/resources/bsgatlas/details.php?id=BSGatlas-terminator-386","BSGatlas-terminator-386")</f>
        <v>BSGatlas-terminator-386</v>
      </c>
      <c r="B387" s="3">
        <v>680901</v>
      </c>
      <c r="C387" s="3">
        <v>680945</v>
      </c>
      <c r="D387" s="1" t="s">
        <v>13</v>
      </c>
      <c r="E387" s="1">
        <v>-10.1</v>
      </c>
      <c r="F387" s="1" t="s">
        <v>15157</v>
      </c>
    </row>
    <row r="388" spans="1:6" ht="21" x14ac:dyDescent="0.25">
      <c r="A388" s="2" t="str">
        <f>HYPERLINK("https://rth.dk/resources/bsgatlas/details.php?id=BSGatlas-terminator-387","BSGatlas-terminator-387")</f>
        <v>BSGatlas-terminator-387</v>
      </c>
      <c r="B388" s="3">
        <v>681143</v>
      </c>
      <c r="C388" s="3">
        <v>681187</v>
      </c>
      <c r="D388" s="1" t="s">
        <v>13</v>
      </c>
      <c r="E388" s="1">
        <v>-8.4</v>
      </c>
      <c r="F388" s="1" t="s">
        <v>15162</v>
      </c>
    </row>
    <row r="389" spans="1:6" ht="21" x14ac:dyDescent="0.25">
      <c r="A389" s="2" t="str">
        <f>HYPERLINK("https://rth.dk/resources/bsgatlas/details.php?id=BSGatlas-terminator-388","BSGatlas-terminator-388")</f>
        <v>BSGatlas-terminator-388</v>
      </c>
      <c r="B389" s="3">
        <v>683419</v>
      </c>
      <c r="C389" s="3">
        <v>683457</v>
      </c>
      <c r="D389" s="1" t="s">
        <v>13</v>
      </c>
      <c r="E389" s="1">
        <v>-11.3</v>
      </c>
      <c r="F389" s="1" t="s">
        <v>15158</v>
      </c>
    </row>
    <row r="390" spans="1:6" ht="21" x14ac:dyDescent="0.25">
      <c r="A390" s="2" t="str">
        <f>HYPERLINK("https://rth.dk/resources/bsgatlas/details.php?id=BSGatlas-terminator-389","BSGatlas-terminator-389")</f>
        <v>BSGatlas-terminator-389</v>
      </c>
      <c r="B390" s="3">
        <v>685105</v>
      </c>
      <c r="C390" s="3">
        <v>685148</v>
      </c>
      <c r="D390" s="1" t="s">
        <v>13</v>
      </c>
      <c r="E390" s="1">
        <v>-15.7</v>
      </c>
      <c r="F390" s="1" t="s">
        <v>15158</v>
      </c>
    </row>
    <row r="391" spans="1:6" ht="21" x14ac:dyDescent="0.25">
      <c r="A391" s="2" t="str">
        <f>HYPERLINK("https://rth.dk/resources/bsgatlas/details.php?id=BSGatlas-terminator-390","BSGatlas-terminator-390")</f>
        <v>BSGatlas-terminator-390</v>
      </c>
      <c r="B391" s="3">
        <v>687777</v>
      </c>
      <c r="C391" s="3">
        <v>687821</v>
      </c>
      <c r="D391" s="1" t="s">
        <v>9</v>
      </c>
      <c r="E391" s="1">
        <v>-10.199999999999999</v>
      </c>
      <c r="F391" s="1" t="s">
        <v>15157</v>
      </c>
    </row>
    <row r="392" spans="1:6" ht="21" x14ac:dyDescent="0.25">
      <c r="A392" s="2" t="str">
        <f>HYPERLINK("https://rth.dk/resources/bsgatlas/details.php?id=BSGatlas-terminator-391","BSGatlas-terminator-391")</f>
        <v>BSGatlas-terminator-391</v>
      </c>
      <c r="B392" s="3">
        <v>688052</v>
      </c>
      <c r="C392" s="3">
        <v>688096</v>
      </c>
      <c r="D392" s="1" t="s">
        <v>13</v>
      </c>
      <c r="E392" s="1">
        <v>-12.9</v>
      </c>
      <c r="F392" s="1" t="s">
        <v>15157</v>
      </c>
    </row>
    <row r="393" spans="1:6" ht="21" x14ac:dyDescent="0.25">
      <c r="A393" s="2" t="str">
        <f>HYPERLINK("https://rth.dk/resources/bsgatlas/details.php?id=BSGatlas-terminator-392","BSGatlas-terminator-392")</f>
        <v>BSGatlas-terminator-392</v>
      </c>
      <c r="B393" s="3">
        <v>692655</v>
      </c>
      <c r="C393" s="3">
        <v>692710</v>
      </c>
      <c r="D393" s="1" t="s">
        <v>9</v>
      </c>
      <c r="E393" s="1">
        <v>-17.8</v>
      </c>
      <c r="F393" s="1" t="s">
        <v>4382</v>
      </c>
    </row>
    <row r="394" spans="1:6" ht="21" x14ac:dyDescent="0.25">
      <c r="A394" s="2" t="str">
        <f>HYPERLINK("https://rth.dk/resources/bsgatlas/details.php?id=BSGatlas-terminator-393","BSGatlas-terminator-393")</f>
        <v>BSGatlas-terminator-393</v>
      </c>
      <c r="B394" s="3">
        <v>694245</v>
      </c>
      <c r="C394" s="3">
        <v>694289</v>
      </c>
      <c r="D394" s="1" t="s">
        <v>9</v>
      </c>
      <c r="E394" s="1">
        <v>-18.5</v>
      </c>
      <c r="F394" s="1" t="s">
        <v>15157</v>
      </c>
    </row>
    <row r="395" spans="1:6" ht="21" x14ac:dyDescent="0.25">
      <c r="A395" s="2" t="str">
        <f>HYPERLINK("https://rth.dk/resources/bsgatlas/details.php?id=BSGatlas-terminator-394","BSGatlas-terminator-394")</f>
        <v>BSGatlas-terminator-394</v>
      </c>
      <c r="B395" s="3">
        <v>694294</v>
      </c>
      <c r="C395" s="3">
        <v>694345</v>
      </c>
      <c r="D395" s="1" t="s">
        <v>9</v>
      </c>
      <c r="E395" s="1">
        <v>-24.1</v>
      </c>
      <c r="F395" s="1" t="s">
        <v>4382</v>
      </c>
    </row>
    <row r="396" spans="1:6" ht="21" x14ac:dyDescent="0.25">
      <c r="A396" s="2" t="str">
        <f>HYPERLINK("https://rth.dk/resources/bsgatlas/details.php?id=BSGatlas-terminator-395","BSGatlas-terminator-395")</f>
        <v>BSGatlas-terminator-395</v>
      </c>
      <c r="B396" s="3">
        <v>694531</v>
      </c>
      <c r="C396" s="3">
        <v>694575</v>
      </c>
      <c r="D396" s="1" t="s">
        <v>9</v>
      </c>
      <c r="E396" s="1">
        <v>-11.3</v>
      </c>
      <c r="F396" s="1" t="s">
        <v>15157</v>
      </c>
    </row>
    <row r="397" spans="1:6" ht="21" x14ac:dyDescent="0.25">
      <c r="A397" s="2" t="str">
        <f>HYPERLINK("https://rth.dk/resources/bsgatlas/details.php?id=BSGatlas-terminator-396","BSGatlas-terminator-396")</f>
        <v>BSGatlas-terminator-396</v>
      </c>
      <c r="B397" s="3">
        <v>695996</v>
      </c>
      <c r="C397" s="3">
        <v>696016</v>
      </c>
      <c r="D397" s="1" t="s">
        <v>9</v>
      </c>
      <c r="E397" s="1">
        <v>-17.3</v>
      </c>
      <c r="F397" s="1" t="s">
        <v>15161</v>
      </c>
    </row>
    <row r="398" spans="1:6" ht="21" x14ac:dyDescent="0.25">
      <c r="A398" s="2" t="str">
        <f>HYPERLINK("https://rth.dk/resources/bsgatlas/details.php?id=BSGatlas-terminator-397","BSGatlas-terminator-397")</f>
        <v>BSGatlas-terminator-397</v>
      </c>
      <c r="B398" s="3">
        <v>696961</v>
      </c>
      <c r="C398" s="3">
        <v>697005</v>
      </c>
      <c r="D398" s="1" t="s">
        <v>9</v>
      </c>
      <c r="E398" s="1">
        <v>-10.7</v>
      </c>
      <c r="F398" s="1" t="s">
        <v>15157</v>
      </c>
    </row>
    <row r="399" spans="1:6" ht="21" x14ac:dyDescent="0.25">
      <c r="A399" s="2" t="str">
        <f>HYPERLINK("https://rth.dk/resources/bsgatlas/details.php?id=BSGatlas-terminator-398","BSGatlas-terminator-398")</f>
        <v>BSGatlas-terminator-398</v>
      </c>
      <c r="B399" s="3">
        <v>697309</v>
      </c>
      <c r="C399" s="3">
        <v>697353</v>
      </c>
      <c r="D399" s="1" t="s">
        <v>9</v>
      </c>
      <c r="E399" s="1">
        <v>-9</v>
      </c>
      <c r="F399" s="1" t="s">
        <v>15157</v>
      </c>
    </row>
    <row r="400" spans="1:6" ht="21" x14ac:dyDescent="0.25">
      <c r="A400" s="2" t="str">
        <f>HYPERLINK("https://rth.dk/resources/bsgatlas/details.php?id=BSGatlas-terminator-399","BSGatlas-terminator-399")</f>
        <v>BSGatlas-terminator-399</v>
      </c>
      <c r="B400" s="3">
        <v>698257</v>
      </c>
      <c r="C400" s="3">
        <v>698301</v>
      </c>
      <c r="D400" s="1" t="s">
        <v>9</v>
      </c>
      <c r="E400" s="1">
        <v>-17.600000000000001</v>
      </c>
      <c r="F400" s="1" t="s">
        <v>15157</v>
      </c>
    </row>
    <row r="401" spans="1:6" ht="21" x14ac:dyDescent="0.25">
      <c r="A401" s="2" t="str">
        <f>HYPERLINK("https://rth.dk/resources/bsgatlas/details.php?id=BSGatlas-terminator-400","BSGatlas-terminator-400")</f>
        <v>BSGatlas-terminator-400</v>
      </c>
      <c r="B401" s="3">
        <v>698507</v>
      </c>
      <c r="C401" s="3">
        <v>698581</v>
      </c>
      <c r="D401" s="1" t="s">
        <v>9</v>
      </c>
      <c r="E401" s="1">
        <v>-24.5</v>
      </c>
      <c r="F401" s="1" t="s">
        <v>4382</v>
      </c>
    </row>
    <row r="402" spans="1:6" ht="21" x14ac:dyDescent="0.25">
      <c r="A402" s="2" t="str">
        <f>HYPERLINK("https://rth.dk/resources/bsgatlas/details.php?id=BSGatlas-terminator-401","BSGatlas-terminator-401")</f>
        <v>BSGatlas-terminator-401</v>
      </c>
      <c r="B402" s="3">
        <v>703463</v>
      </c>
      <c r="C402" s="3">
        <v>703507</v>
      </c>
      <c r="D402" s="1" t="s">
        <v>13</v>
      </c>
      <c r="E402" s="1">
        <v>-16.7</v>
      </c>
      <c r="F402" s="1" t="s">
        <v>15157</v>
      </c>
    </row>
    <row r="403" spans="1:6" ht="21" x14ac:dyDescent="0.25">
      <c r="A403" s="2" t="str">
        <f>HYPERLINK("https://rth.dk/resources/bsgatlas/details.php?id=BSGatlas-terminator-402","BSGatlas-terminator-402")</f>
        <v>BSGatlas-terminator-402</v>
      </c>
      <c r="B403" s="3">
        <v>706876</v>
      </c>
      <c r="C403" s="3">
        <v>706926</v>
      </c>
      <c r="D403" s="1" t="s">
        <v>9</v>
      </c>
      <c r="E403" s="1">
        <v>-12</v>
      </c>
      <c r="F403" s="1" t="s">
        <v>4382</v>
      </c>
    </row>
    <row r="404" spans="1:6" ht="21" x14ac:dyDescent="0.25">
      <c r="A404" s="2" t="str">
        <f>HYPERLINK("https://rth.dk/resources/bsgatlas/details.php?id=BSGatlas-terminator-403","BSGatlas-terminator-403")</f>
        <v>BSGatlas-terminator-403</v>
      </c>
      <c r="B404" s="3">
        <v>711422</v>
      </c>
      <c r="C404" s="3">
        <v>711460</v>
      </c>
      <c r="D404" s="1" t="s">
        <v>9</v>
      </c>
      <c r="E404" s="1">
        <v>-15.1</v>
      </c>
      <c r="F404" s="1" t="s">
        <v>15158</v>
      </c>
    </row>
    <row r="405" spans="1:6" ht="21" x14ac:dyDescent="0.25">
      <c r="A405" s="2" t="str">
        <f>HYPERLINK("https://rth.dk/resources/bsgatlas/details.php?id=BSGatlas-terminator-404","BSGatlas-terminator-404")</f>
        <v>BSGatlas-terminator-404</v>
      </c>
      <c r="B405" s="3">
        <v>713220</v>
      </c>
      <c r="C405" s="3">
        <v>713264</v>
      </c>
      <c r="D405" s="1" t="s">
        <v>9</v>
      </c>
      <c r="E405" s="1">
        <v>-14.2</v>
      </c>
      <c r="F405" s="1" t="s">
        <v>15157</v>
      </c>
    </row>
    <row r="406" spans="1:6" ht="21" x14ac:dyDescent="0.25">
      <c r="A406" s="2" t="str">
        <f>HYPERLINK("https://rth.dk/resources/bsgatlas/details.php?id=BSGatlas-terminator-405","BSGatlas-terminator-405")</f>
        <v>BSGatlas-terminator-405</v>
      </c>
      <c r="B406" s="3">
        <v>713297</v>
      </c>
      <c r="C406" s="3">
        <v>713341</v>
      </c>
      <c r="D406" s="1" t="s">
        <v>13</v>
      </c>
      <c r="E406" s="1">
        <v>-13.9</v>
      </c>
      <c r="F406" s="1" t="s">
        <v>15157</v>
      </c>
    </row>
    <row r="407" spans="1:6" ht="21" x14ac:dyDescent="0.25">
      <c r="A407" s="2" t="str">
        <f>HYPERLINK("https://rth.dk/resources/bsgatlas/details.php?id=BSGatlas-terminator-406","BSGatlas-terminator-406")</f>
        <v>BSGatlas-terminator-406</v>
      </c>
      <c r="B407" s="3">
        <v>713965</v>
      </c>
      <c r="C407" s="3">
        <v>714009</v>
      </c>
      <c r="D407" s="1" t="s">
        <v>9</v>
      </c>
      <c r="E407" s="1">
        <v>-14.2</v>
      </c>
      <c r="F407" s="1" t="s">
        <v>15157</v>
      </c>
    </row>
    <row r="408" spans="1:6" ht="21" x14ac:dyDescent="0.25">
      <c r="A408" s="2" t="str">
        <f>HYPERLINK("https://rth.dk/resources/bsgatlas/details.php?id=BSGatlas-terminator-407","BSGatlas-terminator-407")</f>
        <v>BSGatlas-terminator-407</v>
      </c>
      <c r="B408" s="3">
        <v>716586</v>
      </c>
      <c r="C408" s="3">
        <v>716630</v>
      </c>
      <c r="D408" s="1" t="s">
        <v>9</v>
      </c>
      <c r="E408" s="1">
        <v>-15.8</v>
      </c>
      <c r="F408" s="1" t="s">
        <v>15157</v>
      </c>
    </row>
    <row r="409" spans="1:6" ht="21" x14ac:dyDescent="0.25">
      <c r="A409" s="2" t="str">
        <f>HYPERLINK("https://rth.dk/resources/bsgatlas/details.php?id=BSGatlas-terminator-408","BSGatlas-terminator-408")</f>
        <v>BSGatlas-terminator-408</v>
      </c>
      <c r="B409" s="3">
        <v>716750</v>
      </c>
      <c r="C409" s="3">
        <v>716775</v>
      </c>
      <c r="D409" s="1" t="s">
        <v>9</v>
      </c>
      <c r="E409" s="1">
        <v>-21.3</v>
      </c>
      <c r="F409" s="1" t="s">
        <v>15161</v>
      </c>
    </row>
    <row r="410" spans="1:6" ht="21" x14ac:dyDescent="0.25">
      <c r="A410" s="2" t="str">
        <f>HYPERLINK("https://rth.dk/resources/bsgatlas/details.php?id=BSGatlas-terminator-409","BSGatlas-terminator-409")</f>
        <v>BSGatlas-terminator-409</v>
      </c>
      <c r="B410" s="3">
        <v>716772</v>
      </c>
      <c r="C410" s="3">
        <v>716816</v>
      </c>
      <c r="D410" s="1" t="s">
        <v>13</v>
      </c>
      <c r="E410" s="1">
        <v>-15.8</v>
      </c>
      <c r="F410" s="1" t="s">
        <v>15157</v>
      </c>
    </row>
    <row r="411" spans="1:6" ht="21" x14ac:dyDescent="0.25">
      <c r="A411" s="2" t="str">
        <f>HYPERLINK("https://rth.dk/resources/bsgatlas/details.php?id=BSGatlas-terminator-410","BSGatlas-terminator-410")</f>
        <v>BSGatlas-terminator-410</v>
      </c>
      <c r="B411" s="3">
        <v>724818</v>
      </c>
      <c r="C411" s="3">
        <v>724872</v>
      </c>
      <c r="D411" s="1" t="s">
        <v>9</v>
      </c>
      <c r="E411" s="1">
        <v>-22.1</v>
      </c>
      <c r="F411" s="1" t="s">
        <v>4382</v>
      </c>
    </row>
    <row r="412" spans="1:6" ht="21" x14ac:dyDescent="0.25">
      <c r="A412" s="2" t="str">
        <f>HYPERLINK("https://rth.dk/resources/bsgatlas/details.php?id=BSGatlas-terminator-411","BSGatlas-terminator-411")</f>
        <v>BSGatlas-terminator-411</v>
      </c>
      <c r="B412" s="3">
        <v>724912</v>
      </c>
      <c r="C412" s="3">
        <v>724956</v>
      </c>
      <c r="D412" s="1" t="s">
        <v>13</v>
      </c>
      <c r="E412" s="1">
        <v>-17.7</v>
      </c>
      <c r="F412" s="1" t="s">
        <v>15157</v>
      </c>
    </row>
    <row r="413" spans="1:6" ht="21" x14ac:dyDescent="0.25">
      <c r="A413" s="2" t="str">
        <f>HYPERLINK("https://rth.dk/resources/bsgatlas/details.php?id=BSGatlas-terminator-412","BSGatlas-terminator-412")</f>
        <v>BSGatlas-terminator-412</v>
      </c>
      <c r="B413" s="3">
        <v>725958</v>
      </c>
      <c r="C413" s="3">
        <v>726002</v>
      </c>
      <c r="D413" s="1" t="s">
        <v>9</v>
      </c>
      <c r="E413" s="1">
        <v>-17</v>
      </c>
      <c r="F413" s="1" t="s">
        <v>15157</v>
      </c>
    </row>
    <row r="414" spans="1:6" ht="21" x14ac:dyDescent="0.25">
      <c r="A414" s="2" t="str">
        <f>HYPERLINK("https://rth.dk/resources/bsgatlas/details.php?id=BSGatlas-terminator-413","BSGatlas-terminator-413")</f>
        <v>BSGatlas-terminator-413</v>
      </c>
      <c r="B414" s="3">
        <v>725992</v>
      </c>
      <c r="C414" s="3">
        <v>726037</v>
      </c>
      <c r="D414" s="1" t="s">
        <v>13</v>
      </c>
      <c r="E414" s="1">
        <v>-19.3</v>
      </c>
      <c r="F414" s="1" t="s">
        <v>15158</v>
      </c>
    </row>
    <row r="415" spans="1:6" ht="21" x14ac:dyDescent="0.25">
      <c r="A415" s="2" t="str">
        <f>HYPERLINK("https://rth.dk/resources/bsgatlas/details.php?id=BSGatlas-terminator-414","BSGatlas-terminator-414")</f>
        <v>BSGatlas-terminator-414</v>
      </c>
      <c r="B415" s="3">
        <v>726795</v>
      </c>
      <c r="C415" s="3">
        <v>726837</v>
      </c>
      <c r="D415" s="1" t="s">
        <v>13</v>
      </c>
      <c r="E415" s="1">
        <v>-17.2</v>
      </c>
      <c r="F415" s="1" t="s">
        <v>15158</v>
      </c>
    </row>
    <row r="416" spans="1:6" ht="21" x14ac:dyDescent="0.25">
      <c r="A416" s="2" t="str">
        <f>HYPERLINK("https://rth.dk/resources/bsgatlas/details.php?id=BSGatlas-terminator-415","BSGatlas-terminator-415")</f>
        <v>BSGatlas-terminator-415</v>
      </c>
      <c r="B416" s="3">
        <v>731898</v>
      </c>
      <c r="C416" s="3">
        <v>731942</v>
      </c>
      <c r="D416" s="1" t="s">
        <v>9</v>
      </c>
      <c r="E416" s="1">
        <v>-9.6</v>
      </c>
      <c r="F416" s="1" t="s">
        <v>15157</v>
      </c>
    </row>
    <row r="417" spans="1:6" ht="21" x14ac:dyDescent="0.25">
      <c r="A417" s="2" t="str">
        <f>HYPERLINK("https://rth.dk/resources/bsgatlas/details.php?id=BSGatlas-terminator-416","BSGatlas-terminator-416")</f>
        <v>BSGatlas-terminator-416</v>
      </c>
      <c r="B417" s="3">
        <v>731974</v>
      </c>
      <c r="C417" s="3">
        <v>732018</v>
      </c>
      <c r="D417" s="1" t="s">
        <v>13</v>
      </c>
      <c r="E417" s="1">
        <v>-11.4</v>
      </c>
      <c r="F417" s="1" t="s">
        <v>15157</v>
      </c>
    </row>
    <row r="418" spans="1:6" ht="21" x14ac:dyDescent="0.25">
      <c r="A418" s="2" t="str">
        <f>HYPERLINK("https://rth.dk/resources/bsgatlas/details.php?id=BSGatlas-terminator-417","BSGatlas-terminator-417")</f>
        <v>BSGatlas-terminator-417</v>
      </c>
      <c r="B418" s="3">
        <v>736078</v>
      </c>
      <c r="C418" s="3">
        <v>736122</v>
      </c>
      <c r="D418" s="1" t="s">
        <v>9</v>
      </c>
      <c r="E418" s="1">
        <v>-12.7</v>
      </c>
      <c r="F418" s="1" t="s">
        <v>15157</v>
      </c>
    </row>
    <row r="419" spans="1:6" ht="21" x14ac:dyDescent="0.25">
      <c r="A419" s="2" t="str">
        <f>HYPERLINK("https://rth.dk/resources/bsgatlas/details.php?id=BSGatlas-terminator-418","BSGatlas-terminator-418")</f>
        <v>BSGatlas-terminator-418</v>
      </c>
      <c r="B419" s="3">
        <v>739510</v>
      </c>
      <c r="C419" s="3">
        <v>739554</v>
      </c>
      <c r="D419" s="1" t="s">
        <v>9</v>
      </c>
      <c r="E419" s="1">
        <v>-8.8000000000000007</v>
      </c>
      <c r="F419" s="1" t="s">
        <v>15162</v>
      </c>
    </row>
    <row r="420" spans="1:6" ht="21" x14ac:dyDescent="0.25">
      <c r="A420" s="2" t="str">
        <f>HYPERLINK("https://rth.dk/resources/bsgatlas/details.php?id=BSGatlas-terminator-419","BSGatlas-terminator-419")</f>
        <v>BSGatlas-terminator-419</v>
      </c>
      <c r="B420" s="3">
        <v>747070</v>
      </c>
      <c r="C420" s="3">
        <v>747114</v>
      </c>
      <c r="D420" s="1" t="s">
        <v>13</v>
      </c>
      <c r="E420" s="1">
        <v>-11.7</v>
      </c>
      <c r="F420" s="1" t="s">
        <v>15157</v>
      </c>
    </row>
    <row r="421" spans="1:6" ht="21" x14ac:dyDescent="0.25">
      <c r="A421" s="2" t="str">
        <f>HYPERLINK("https://rth.dk/resources/bsgatlas/details.php?id=BSGatlas-terminator-420","BSGatlas-terminator-420")</f>
        <v>BSGatlas-terminator-420</v>
      </c>
      <c r="B421" s="3">
        <v>747156</v>
      </c>
      <c r="C421" s="3">
        <v>747222</v>
      </c>
      <c r="D421" s="1" t="s">
        <v>9</v>
      </c>
      <c r="E421" s="1"/>
      <c r="F421" s="1" t="s">
        <v>15159</v>
      </c>
    </row>
    <row r="422" spans="1:6" ht="21" x14ac:dyDescent="0.25">
      <c r="A422" s="2" t="str">
        <f>HYPERLINK("https://rth.dk/resources/bsgatlas/details.php?id=BSGatlas-terminator-421","BSGatlas-terminator-421")</f>
        <v>BSGatlas-terminator-421</v>
      </c>
      <c r="B422" s="3">
        <v>752185</v>
      </c>
      <c r="C422" s="3">
        <v>752229</v>
      </c>
      <c r="D422" s="1" t="s">
        <v>9</v>
      </c>
      <c r="E422" s="1">
        <v>-7.6</v>
      </c>
      <c r="F422" s="1" t="s">
        <v>15157</v>
      </c>
    </row>
    <row r="423" spans="1:6" ht="21" x14ac:dyDescent="0.25">
      <c r="A423" s="2" t="str">
        <f>HYPERLINK("https://rth.dk/resources/bsgatlas/details.php?id=BSGatlas-terminator-422","BSGatlas-terminator-422")</f>
        <v>BSGatlas-terminator-422</v>
      </c>
      <c r="B423" s="3">
        <v>752236</v>
      </c>
      <c r="C423" s="3">
        <v>752270</v>
      </c>
      <c r="D423" s="1" t="s">
        <v>9</v>
      </c>
      <c r="E423" s="1">
        <v>-8.8000000000000007</v>
      </c>
      <c r="F423" s="1" t="s">
        <v>4382</v>
      </c>
    </row>
    <row r="424" spans="1:6" ht="21" x14ac:dyDescent="0.25">
      <c r="A424" s="2" t="str">
        <f>HYPERLINK("https://rth.dk/resources/bsgatlas/details.php?id=BSGatlas-terminator-423","BSGatlas-terminator-423")</f>
        <v>BSGatlas-terminator-423</v>
      </c>
      <c r="B424" s="3">
        <v>752392</v>
      </c>
      <c r="C424" s="3">
        <v>752436</v>
      </c>
      <c r="D424" s="1" t="s">
        <v>13</v>
      </c>
      <c r="E424" s="1">
        <v>-7.6</v>
      </c>
      <c r="F424" s="1" t="s">
        <v>15157</v>
      </c>
    </row>
    <row r="425" spans="1:6" ht="21" x14ac:dyDescent="0.25">
      <c r="A425" s="2" t="str">
        <f>HYPERLINK("https://rth.dk/resources/bsgatlas/details.php?id=BSGatlas-terminator-424","BSGatlas-terminator-424")</f>
        <v>BSGatlas-terminator-424</v>
      </c>
      <c r="B425" s="3">
        <v>753091</v>
      </c>
      <c r="C425" s="3">
        <v>753135</v>
      </c>
      <c r="D425" s="1" t="s">
        <v>9</v>
      </c>
      <c r="E425" s="1">
        <v>-11.4</v>
      </c>
      <c r="F425" s="1" t="s">
        <v>15157</v>
      </c>
    </row>
    <row r="426" spans="1:6" ht="21" x14ac:dyDescent="0.25">
      <c r="A426" s="2" t="str">
        <f>HYPERLINK("https://rth.dk/resources/bsgatlas/details.php?id=BSGatlas-terminator-425","BSGatlas-terminator-425")</f>
        <v>BSGatlas-terminator-425</v>
      </c>
      <c r="B426" s="3">
        <v>753250</v>
      </c>
      <c r="C426" s="3">
        <v>753294</v>
      </c>
      <c r="D426" s="1" t="s">
        <v>13</v>
      </c>
      <c r="E426" s="1">
        <v>-7.6</v>
      </c>
      <c r="F426" s="1" t="s">
        <v>15157</v>
      </c>
    </row>
    <row r="427" spans="1:6" ht="21" x14ac:dyDescent="0.25">
      <c r="A427" s="2" t="str">
        <f>HYPERLINK("https://rth.dk/resources/bsgatlas/details.php?id=BSGatlas-terminator-426","BSGatlas-terminator-426")</f>
        <v>BSGatlas-terminator-426</v>
      </c>
      <c r="B427" s="3">
        <v>753680</v>
      </c>
      <c r="C427" s="3">
        <v>753724</v>
      </c>
      <c r="D427" s="1" t="s">
        <v>9</v>
      </c>
      <c r="E427" s="1">
        <v>-9</v>
      </c>
      <c r="F427" s="1" t="s">
        <v>15157</v>
      </c>
    </row>
    <row r="428" spans="1:6" ht="21" x14ac:dyDescent="0.25">
      <c r="A428" s="2" t="str">
        <f>HYPERLINK("https://rth.dk/resources/bsgatlas/details.php?id=BSGatlas-terminator-427","BSGatlas-terminator-427")</f>
        <v>BSGatlas-terminator-427</v>
      </c>
      <c r="B428" s="3">
        <v>754360</v>
      </c>
      <c r="C428" s="3">
        <v>754404</v>
      </c>
      <c r="D428" s="1" t="s">
        <v>9</v>
      </c>
      <c r="E428" s="1">
        <v>-9</v>
      </c>
      <c r="F428" s="1" t="s">
        <v>15157</v>
      </c>
    </row>
    <row r="429" spans="1:6" ht="21" x14ac:dyDescent="0.25">
      <c r="A429" s="2" t="str">
        <f>HYPERLINK("https://rth.dk/resources/bsgatlas/details.php?id=BSGatlas-terminator-428","BSGatlas-terminator-428")</f>
        <v>BSGatlas-terminator-428</v>
      </c>
      <c r="B429" s="3">
        <v>755784</v>
      </c>
      <c r="C429" s="3">
        <v>755826</v>
      </c>
      <c r="D429" s="1" t="s">
        <v>9</v>
      </c>
      <c r="E429" s="1">
        <v>-16.3</v>
      </c>
      <c r="F429" s="1" t="s">
        <v>4382</v>
      </c>
    </row>
    <row r="430" spans="1:6" ht="21" x14ac:dyDescent="0.25">
      <c r="A430" s="2" t="str">
        <f>HYPERLINK("https://rth.dk/resources/bsgatlas/details.php?id=BSGatlas-terminator-429","BSGatlas-terminator-429")</f>
        <v>BSGatlas-terminator-429</v>
      </c>
      <c r="B430" s="3">
        <v>757598</v>
      </c>
      <c r="C430" s="3">
        <v>757642</v>
      </c>
      <c r="D430" s="1" t="s">
        <v>9</v>
      </c>
      <c r="E430" s="1">
        <v>-5.8</v>
      </c>
      <c r="F430" s="1" t="s">
        <v>15157</v>
      </c>
    </row>
    <row r="431" spans="1:6" ht="21" x14ac:dyDescent="0.25">
      <c r="A431" s="2" t="str">
        <f>HYPERLINK("https://rth.dk/resources/bsgatlas/details.php?id=BSGatlas-terminator-430","BSGatlas-terminator-430")</f>
        <v>BSGatlas-terminator-430</v>
      </c>
      <c r="B431" s="3">
        <v>761490</v>
      </c>
      <c r="C431" s="3">
        <v>761534</v>
      </c>
      <c r="D431" s="1" t="s">
        <v>9</v>
      </c>
      <c r="E431" s="1">
        <v>-10.3</v>
      </c>
      <c r="F431" s="1" t="s">
        <v>15157</v>
      </c>
    </row>
    <row r="432" spans="1:6" ht="21" x14ac:dyDescent="0.25">
      <c r="A432" s="2" t="str">
        <f>HYPERLINK("https://rth.dk/resources/bsgatlas/details.php?id=BSGatlas-terminator-431","BSGatlas-terminator-431")</f>
        <v>BSGatlas-terminator-431</v>
      </c>
      <c r="B432" s="3">
        <v>781344</v>
      </c>
      <c r="C432" s="3">
        <v>781388</v>
      </c>
      <c r="D432" s="1" t="s">
        <v>13</v>
      </c>
      <c r="E432" s="1">
        <v>-20.3</v>
      </c>
      <c r="F432" s="1" t="s">
        <v>15157</v>
      </c>
    </row>
    <row r="433" spans="1:6" ht="21" x14ac:dyDescent="0.25">
      <c r="A433" s="2" t="str">
        <f>HYPERLINK("https://rth.dk/resources/bsgatlas/details.php?id=BSGatlas-terminator-432","BSGatlas-terminator-432")</f>
        <v>BSGatlas-terminator-432</v>
      </c>
      <c r="B433" s="3">
        <v>783359</v>
      </c>
      <c r="C433" s="3">
        <v>783425</v>
      </c>
      <c r="D433" s="1" t="s">
        <v>13</v>
      </c>
      <c r="E433" s="1"/>
      <c r="F433" s="1" t="s">
        <v>15159</v>
      </c>
    </row>
    <row r="434" spans="1:6" ht="21" x14ac:dyDescent="0.25">
      <c r="A434" s="2" t="str">
        <f>HYPERLINK("https://rth.dk/resources/bsgatlas/details.php?id=BSGatlas-terminator-433","BSGatlas-terminator-433")</f>
        <v>BSGatlas-terminator-433</v>
      </c>
      <c r="B434" s="3">
        <v>785052</v>
      </c>
      <c r="C434" s="3">
        <v>785096</v>
      </c>
      <c r="D434" s="1" t="s">
        <v>9</v>
      </c>
      <c r="E434" s="1">
        <v>-7.1</v>
      </c>
      <c r="F434" s="1" t="s">
        <v>15157</v>
      </c>
    </row>
    <row r="435" spans="1:6" ht="21" x14ac:dyDescent="0.25">
      <c r="A435" s="2" t="str">
        <f>HYPERLINK("https://rth.dk/resources/bsgatlas/details.php?id=BSGatlas-terminator-434","BSGatlas-terminator-434")</f>
        <v>BSGatlas-terminator-434</v>
      </c>
      <c r="B435" s="3">
        <v>785106</v>
      </c>
      <c r="C435" s="3">
        <v>785150</v>
      </c>
      <c r="D435" s="1" t="s">
        <v>13</v>
      </c>
      <c r="E435" s="1">
        <v>-9.1</v>
      </c>
      <c r="F435" s="1" t="s">
        <v>15157</v>
      </c>
    </row>
    <row r="436" spans="1:6" ht="21" x14ac:dyDescent="0.25">
      <c r="A436" s="2" t="str">
        <f>HYPERLINK("https://rth.dk/resources/bsgatlas/details.php?id=BSGatlas-terminator-435","BSGatlas-terminator-435")</f>
        <v>BSGatlas-terminator-435</v>
      </c>
      <c r="B436" s="3">
        <v>785404</v>
      </c>
      <c r="C436" s="3">
        <v>785448</v>
      </c>
      <c r="D436" s="1" t="s">
        <v>9</v>
      </c>
      <c r="E436" s="1">
        <v>-5</v>
      </c>
      <c r="F436" s="1" t="s">
        <v>15157</v>
      </c>
    </row>
    <row r="437" spans="1:6" ht="21" x14ac:dyDescent="0.25">
      <c r="A437" s="2" t="str">
        <f>HYPERLINK("https://rth.dk/resources/bsgatlas/details.php?id=BSGatlas-terminator-436","BSGatlas-terminator-436")</f>
        <v>BSGatlas-terminator-436</v>
      </c>
      <c r="B437" s="3">
        <v>785986</v>
      </c>
      <c r="C437" s="3">
        <v>786030</v>
      </c>
      <c r="D437" s="1" t="s">
        <v>13</v>
      </c>
      <c r="E437" s="1">
        <v>-13.7</v>
      </c>
      <c r="F437" s="1" t="s">
        <v>15157</v>
      </c>
    </row>
    <row r="438" spans="1:6" ht="21" x14ac:dyDescent="0.25">
      <c r="A438" s="2" t="str">
        <f>HYPERLINK("https://rth.dk/resources/bsgatlas/details.php?id=BSGatlas-terminator-437","BSGatlas-terminator-437")</f>
        <v>BSGatlas-terminator-437</v>
      </c>
      <c r="B438" s="3">
        <v>787530</v>
      </c>
      <c r="C438" s="3">
        <v>787574</v>
      </c>
      <c r="D438" s="1" t="s">
        <v>9</v>
      </c>
      <c r="E438" s="1">
        <v>-21.2</v>
      </c>
      <c r="F438" s="1" t="s">
        <v>15157</v>
      </c>
    </row>
    <row r="439" spans="1:6" ht="21" x14ac:dyDescent="0.25">
      <c r="A439" s="2" t="str">
        <f>HYPERLINK("https://rth.dk/resources/bsgatlas/details.php?id=BSGatlas-terminator-438","BSGatlas-terminator-438")</f>
        <v>BSGatlas-terminator-438</v>
      </c>
      <c r="B439" s="3">
        <v>788550</v>
      </c>
      <c r="C439" s="3">
        <v>788638</v>
      </c>
      <c r="D439" s="1" t="s">
        <v>9</v>
      </c>
      <c r="E439" s="1">
        <v>-10.7</v>
      </c>
      <c r="F439" s="1" t="s">
        <v>15157</v>
      </c>
    </row>
    <row r="440" spans="1:6" ht="21" x14ac:dyDescent="0.25">
      <c r="A440" s="2" t="str">
        <f>HYPERLINK("https://rth.dk/resources/bsgatlas/details.php?id=BSGatlas-terminator-439","BSGatlas-terminator-439")</f>
        <v>BSGatlas-terminator-439</v>
      </c>
      <c r="B440" s="3">
        <v>789540</v>
      </c>
      <c r="C440" s="3">
        <v>789628</v>
      </c>
      <c r="D440" s="1" t="s">
        <v>9</v>
      </c>
      <c r="E440" s="1">
        <v>-10.7</v>
      </c>
      <c r="F440" s="1" t="s">
        <v>15157</v>
      </c>
    </row>
    <row r="441" spans="1:6" ht="21" x14ac:dyDescent="0.25">
      <c r="A441" s="2" t="str">
        <f>HYPERLINK("https://rth.dk/resources/bsgatlas/details.php?id=BSGatlas-terminator-440","BSGatlas-terminator-440")</f>
        <v>BSGatlas-terminator-440</v>
      </c>
      <c r="B441" s="3">
        <v>791388</v>
      </c>
      <c r="C441" s="3">
        <v>791432</v>
      </c>
      <c r="D441" s="1" t="s">
        <v>9</v>
      </c>
      <c r="E441" s="1">
        <v>-12.6</v>
      </c>
      <c r="F441" s="1" t="s">
        <v>15157</v>
      </c>
    </row>
    <row r="442" spans="1:6" ht="21" x14ac:dyDescent="0.25">
      <c r="A442" s="2" t="str">
        <f>HYPERLINK("https://rth.dk/resources/bsgatlas/details.php?id=BSGatlas-terminator-441","BSGatlas-terminator-441")</f>
        <v>BSGatlas-terminator-441</v>
      </c>
      <c r="B442" s="3">
        <v>791464</v>
      </c>
      <c r="C442" s="3">
        <v>791508</v>
      </c>
      <c r="D442" s="1" t="s">
        <v>13</v>
      </c>
      <c r="E442" s="1">
        <v>-11.6</v>
      </c>
      <c r="F442" s="1" t="s">
        <v>15157</v>
      </c>
    </row>
    <row r="443" spans="1:6" ht="21" x14ac:dyDescent="0.25">
      <c r="A443" s="2" t="str">
        <f>HYPERLINK("https://rth.dk/resources/bsgatlas/details.php?id=BSGatlas-terminator-442","BSGatlas-terminator-442")</f>
        <v>BSGatlas-terminator-442</v>
      </c>
      <c r="B443" s="3">
        <v>795832</v>
      </c>
      <c r="C443" s="3">
        <v>795876</v>
      </c>
      <c r="D443" s="1" t="s">
        <v>9</v>
      </c>
      <c r="E443" s="1">
        <v>-9.8000000000000007</v>
      </c>
      <c r="F443" s="1" t="s">
        <v>15157</v>
      </c>
    </row>
    <row r="444" spans="1:6" ht="21" x14ac:dyDescent="0.25">
      <c r="A444" s="2" t="str">
        <f>HYPERLINK("https://rth.dk/resources/bsgatlas/details.php?id=BSGatlas-terminator-443","BSGatlas-terminator-443")</f>
        <v>BSGatlas-terminator-443</v>
      </c>
      <c r="B444" s="3">
        <v>798238</v>
      </c>
      <c r="C444" s="3">
        <v>798294</v>
      </c>
      <c r="D444" s="1" t="s">
        <v>9</v>
      </c>
      <c r="E444" s="1">
        <v>-30</v>
      </c>
      <c r="F444" s="1" t="s">
        <v>15158</v>
      </c>
    </row>
    <row r="445" spans="1:6" ht="21" x14ac:dyDescent="0.25">
      <c r="A445" s="2" t="str">
        <f>HYPERLINK("https://rth.dk/resources/bsgatlas/details.php?id=BSGatlas-terminator-444","BSGatlas-terminator-444")</f>
        <v>BSGatlas-terminator-444</v>
      </c>
      <c r="B445" s="3">
        <v>798372</v>
      </c>
      <c r="C445" s="3">
        <v>798416</v>
      </c>
      <c r="D445" s="1" t="s">
        <v>13</v>
      </c>
      <c r="E445" s="1">
        <v>-23.4</v>
      </c>
      <c r="F445" s="1" t="s">
        <v>15157</v>
      </c>
    </row>
    <row r="446" spans="1:6" ht="21" x14ac:dyDescent="0.25">
      <c r="A446" s="2" t="str">
        <f>HYPERLINK("https://rth.dk/resources/bsgatlas/details.php?id=BSGatlas-terminator-445","BSGatlas-terminator-445")</f>
        <v>BSGatlas-terminator-445</v>
      </c>
      <c r="B446" s="3">
        <v>803136</v>
      </c>
      <c r="C446" s="3">
        <v>803180</v>
      </c>
      <c r="D446" s="1" t="s">
        <v>9</v>
      </c>
      <c r="E446" s="1">
        <v>-15.2</v>
      </c>
      <c r="F446" s="1" t="s">
        <v>15157</v>
      </c>
    </row>
    <row r="447" spans="1:6" ht="21" x14ac:dyDescent="0.25">
      <c r="A447" s="2" t="str">
        <f>HYPERLINK("https://rth.dk/resources/bsgatlas/details.php?id=BSGatlas-terminator-446","BSGatlas-terminator-446")</f>
        <v>BSGatlas-terminator-446</v>
      </c>
      <c r="B447" s="3">
        <v>803276</v>
      </c>
      <c r="C447" s="3">
        <v>803316</v>
      </c>
      <c r="D447" s="1" t="s">
        <v>13</v>
      </c>
      <c r="E447" s="1">
        <v>-20.6</v>
      </c>
      <c r="F447" s="1" t="s">
        <v>15158</v>
      </c>
    </row>
    <row r="448" spans="1:6" ht="21" x14ac:dyDescent="0.25">
      <c r="A448" s="2" t="str">
        <f>HYPERLINK("https://rth.dk/resources/bsgatlas/details.php?id=BSGatlas-terminator-447","BSGatlas-terminator-447")</f>
        <v>BSGatlas-terminator-447</v>
      </c>
      <c r="B448" s="3">
        <v>803287</v>
      </c>
      <c r="C448" s="3">
        <v>803326</v>
      </c>
      <c r="D448" s="1" t="s">
        <v>9</v>
      </c>
      <c r="E448" s="1">
        <v>-18.600000000000001</v>
      </c>
      <c r="F448" s="1" t="s">
        <v>15158</v>
      </c>
    </row>
    <row r="449" spans="1:6" ht="21" x14ac:dyDescent="0.25">
      <c r="A449" s="2" t="str">
        <f>HYPERLINK("https://rth.dk/resources/bsgatlas/details.php?id=BSGatlas-terminator-448","BSGatlas-terminator-448")</f>
        <v>BSGatlas-terminator-448</v>
      </c>
      <c r="B449" s="3">
        <v>804628</v>
      </c>
      <c r="C449" s="3">
        <v>804677</v>
      </c>
      <c r="D449" s="1" t="s">
        <v>13</v>
      </c>
      <c r="E449" s="1">
        <v>-22.2</v>
      </c>
      <c r="F449" s="1" t="s">
        <v>15158</v>
      </c>
    </row>
    <row r="450" spans="1:6" ht="21" x14ac:dyDescent="0.25">
      <c r="A450" s="2" t="str">
        <f>HYPERLINK("https://rth.dk/resources/bsgatlas/details.php?id=BSGatlas-terminator-449","BSGatlas-terminator-449")</f>
        <v>BSGatlas-terminator-449</v>
      </c>
      <c r="B450" s="3">
        <v>805407</v>
      </c>
      <c r="C450" s="3">
        <v>805450</v>
      </c>
      <c r="D450" s="1" t="s">
        <v>13</v>
      </c>
      <c r="E450" s="1">
        <v>-19</v>
      </c>
      <c r="F450" s="1" t="s">
        <v>4382</v>
      </c>
    </row>
    <row r="451" spans="1:6" ht="21" x14ac:dyDescent="0.25">
      <c r="A451" s="2" t="str">
        <f>HYPERLINK("https://rth.dk/resources/bsgatlas/details.php?id=BSGatlas-terminator-450","BSGatlas-terminator-450")</f>
        <v>BSGatlas-terminator-450</v>
      </c>
      <c r="B451" s="3">
        <v>805456</v>
      </c>
      <c r="C451" s="3">
        <v>805500</v>
      </c>
      <c r="D451" s="1" t="s">
        <v>13</v>
      </c>
      <c r="E451" s="1">
        <v>-15.4</v>
      </c>
      <c r="F451" s="1" t="s">
        <v>15157</v>
      </c>
    </row>
    <row r="452" spans="1:6" ht="21" x14ac:dyDescent="0.25">
      <c r="A452" s="2" t="str">
        <f>HYPERLINK("https://rth.dk/resources/bsgatlas/details.php?id=BSGatlas-terminator-451","BSGatlas-terminator-451")</f>
        <v>BSGatlas-terminator-451</v>
      </c>
      <c r="B452" s="3">
        <v>809420</v>
      </c>
      <c r="C452" s="3">
        <v>809463</v>
      </c>
      <c r="D452" s="1" t="s">
        <v>9</v>
      </c>
      <c r="E452" s="1">
        <v>-19.600000000000001</v>
      </c>
      <c r="F452" s="1" t="s">
        <v>15158</v>
      </c>
    </row>
    <row r="453" spans="1:6" ht="21" x14ac:dyDescent="0.25">
      <c r="A453" s="2" t="str">
        <f>HYPERLINK("https://rth.dk/resources/bsgatlas/details.php?id=BSGatlas-terminator-452","BSGatlas-terminator-452")</f>
        <v>BSGatlas-terminator-452</v>
      </c>
      <c r="B453" s="3">
        <v>811445</v>
      </c>
      <c r="C453" s="3">
        <v>811486</v>
      </c>
      <c r="D453" s="1" t="s">
        <v>9</v>
      </c>
      <c r="E453" s="1">
        <v>-18.100000000000001</v>
      </c>
      <c r="F453" s="1" t="s">
        <v>15158</v>
      </c>
    </row>
    <row r="454" spans="1:6" ht="21" x14ac:dyDescent="0.25">
      <c r="A454" s="2" t="str">
        <f>HYPERLINK("https://rth.dk/resources/bsgatlas/details.php?id=BSGatlas-terminator-453","BSGatlas-terminator-453")</f>
        <v>BSGatlas-terminator-453</v>
      </c>
      <c r="B454" s="3">
        <v>811549</v>
      </c>
      <c r="C454" s="3">
        <v>811593</v>
      </c>
      <c r="D454" s="1" t="s">
        <v>13</v>
      </c>
      <c r="E454" s="1">
        <v>-10.199999999999999</v>
      </c>
      <c r="F454" s="1" t="s">
        <v>15157</v>
      </c>
    </row>
    <row r="455" spans="1:6" ht="21" x14ac:dyDescent="0.25">
      <c r="A455" s="2" t="str">
        <f>HYPERLINK("https://rth.dk/resources/bsgatlas/details.php?id=BSGatlas-terminator-454","BSGatlas-terminator-454")</f>
        <v>BSGatlas-terminator-454</v>
      </c>
      <c r="B455" s="3">
        <v>811980</v>
      </c>
      <c r="C455" s="3">
        <v>812024</v>
      </c>
      <c r="D455" s="1" t="s">
        <v>9</v>
      </c>
      <c r="E455" s="1">
        <v>-8</v>
      </c>
      <c r="F455" s="1" t="s">
        <v>15157</v>
      </c>
    </row>
    <row r="456" spans="1:6" ht="21" x14ac:dyDescent="0.25">
      <c r="A456" s="2" t="str">
        <f>HYPERLINK("https://rth.dk/resources/bsgatlas/details.php?id=BSGatlas-terminator-455","BSGatlas-terminator-455")</f>
        <v>BSGatlas-terminator-455</v>
      </c>
      <c r="B456" s="3">
        <v>812025</v>
      </c>
      <c r="C456" s="3">
        <v>812068</v>
      </c>
      <c r="D456" s="1" t="s">
        <v>9</v>
      </c>
      <c r="E456" s="1">
        <v>-12.4</v>
      </c>
      <c r="F456" s="1" t="s">
        <v>4382</v>
      </c>
    </row>
    <row r="457" spans="1:6" ht="21" x14ac:dyDescent="0.25">
      <c r="A457" s="2" t="str">
        <f>HYPERLINK("https://rth.dk/resources/bsgatlas/details.php?id=BSGatlas-terminator-456","BSGatlas-terminator-456")</f>
        <v>BSGatlas-terminator-456</v>
      </c>
      <c r="B457" s="3">
        <v>812376</v>
      </c>
      <c r="C457" s="3">
        <v>812420</v>
      </c>
      <c r="D457" s="1" t="s">
        <v>9</v>
      </c>
      <c r="E457" s="1">
        <v>-8</v>
      </c>
      <c r="F457" s="1" t="s">
        <v>15157</v>
      </c>
    </row>
    <row r="458" spans="1:6" ht="21" x14ac:dyDescent="0.25">
      <c r="A458" s="2" t="str">
        <f>HYPERLINK("https://rth.dk/resources/bsgatlas/details.php?id=BSGatlas-terminator-457","BSGatlas-terminator-457")</f>
        <v>BSGatlas-terminator-457</v>
      </c>
      <c r="B458" s="3">
        <v>812571</v>
      </c>
      <c r="C458" s="3">
        <v>812606</v>
      </c>
      <c r="D458" s="1" t="s">
        <v>9</v>
      </c>
      <c r="E458" s="1">
        <v>-7.3</v>
      </c>
      <c r="F458" s="1" t="s">
        <v>4382</v>
      </c>
    </row>
    <row r="459" spans="1:6" ht="21" x14ac:dyDescent="0.25">
      <c r="A459" s="2" t="str">
        <f>HYPERLINK("https://rth.dk/resources/bsgatlas/details.php?id=BSGatlas-terminator-458","BSGatlas-terminator-458")</f>
        <v>BSGatlas-terminator-458</v>
      </c>
      <c r="B459" s="3">
        <v>813822</v>
      </c>
      <c r="C459" s="3">
        <v>813863</v>
      </c>
      <c r="D459" s="1" t="s">
        <v>9</v>
      </c>
      <c r="E459" s="1">
        <v>-15.5</v>
      </c>
      <c r="F459" s="1" t="s">
        <v>4382</v>
      </c>
    </row>
    <row r="460" spans="1:6" ht="21" x14ac:dyDescent="0.25">
      <c r="A460" s="2" t="str">
        <f>HYPERLINK("https://rth.dk/resources/bsgatlas/details.php?id=BSGatlas-terminator-459","BSGatlas-terminator-459")</f>
        <v>BSGatlas-terminator-459</v>
      </c>
      <c r="B460" s="3">
        <v>813860</v>
      </c>
      <c r="C460" s="3">
        <v>813904</v>
      </c>
      <c r="D460" s="1" t="s">
        <v>13</v>
      </c>
      <c r="E460" s="1">
        <v>-11.6</v>
      </c>
      <c r="F460" s="1" t="s">
        <v>15157</v>
      </c>
    </row>
    <row r="461" spans="1:6" ht="21" x14ac:dyDescent="0.25">
      <c r="A461" s="2" t="str">
        <f>HYPERLINK("https://rth.dk/resources/bsgatlas/details.php?id=BSGatlas-terminator-460","BSGatlas-terminator-460")</f>
        <v>BSGatlas-terminator-460</v>
      </c>
      <c r="B461" s="3">
        <v>814337</v>
      </c>
      <c r="C461" s="3">
        <v>814376</v>
      </c>
      <c r="D461" s="1" t="s">
        <v>13</v>
      </c>
      <c r="E461" s="1">
        <v>-16.399999999999999</v>
      </c>
      <c r="F461" s="1" t="s">
        <v>4382</v>
      </c>
    </row>
    <row r="462" spans="1:6" ht="21" x14ac:dyDescent="0.25">
      <c r="A462" s="2" t="str">
        <f>HYPERLINK("https://rth.dk/resources/bsgatlas/details.php?id=BSGatlas-terminator-461","BSGatlas-terminator-461")</f>
        <v>BSGatlas-terminator-461</v>
      </c>
      <c r="B462" s="3">
        <v>814386</v>
      </c>
      <c r="C462" s="3">
        <v>814430</v>
      </c>
      <c r="D462" s="1" t="s">
        <v>13</v>
      </c>
      <c r="E462" s="1">
        <v>-12</v>
      </c>
      <c r="F462" s="1" t="s">
        <v>15157</v>
      </c>
    </row>
    <row r="463" spans="1:6" ht="21" x14ac:dyDescent="0.25">
      <c r="A463" s="2" t="str">
        <f>HYPERLINK("https://rth.dk/resources/bsgatlas/details.php?id=BSGatlas-terminator-462","BSGatlas-terminator-462")</f>
        <v>BSGatlas-terminator-462</v>
      </c>
      <c r="B463" s="3">
        <v>817245</v>
      </c>
      <c r="C463" s="3">
        <v>817277</v>
      </c>
      <c r="D463" s="1" t="s">
        <v>9</v>
      </c>
      <c r="E463" s="1">
        <v>-8.6999999999999993</v>
      </c>
      <c r="F463" s="1" t="s">
        <v>15158</v>
      </c>
    </row>
    <row r="464" spans="1:6" ht="21" x14ac:dyDescent="0.25">
      <c r="A464" s="2" t="str">
        <f>HYPERLINK("https://rth.dk/resources/bsgatlas/details.php?id=BSGatlas-terminator-463","BSGatlas-terminator-463")</f>
        <v>BSGatlas-terminator-463</v>
      </c>
      <c r="B464" s="3">
        <v>817761</v>
      </c>
      <c r="C464" s="3">
        <v>817799</v>
      </c>
      <c r="D464" s="1" t="s">
        <v>13</v>
      </c>
      <c r="E464" s="1">
        <v>-15.7</v>
      </c>
      <c r="F464" s="1" t="s">
        <v>15158</v>
      </c>
    </row>
    <row r="465" spans="1:6" ht="21" x14ac:dyDescent="0.25">
      <c r="A465" s="2" t="str">
        <f>HYPERLINK("https://rth.dk/resources/bsgatlas/details.php?id=BSGatlas-terminator-464","BSGatlas-terminator-464")</f>
        <v>BSGatlas-terminator-464</v>
      </c>
      <c r="B465" s="3">
        <v>817771</v>
      </c>
      <c r="C465" s="3">
        <v>817811</v>
      </c>
      <c r="D465" s="1" t="s">
        <v>9</v>
      </c>
      <c r="E465" s="1">
        <v>-17</v>
      </c>
      <c r="F465" s="1" t="s">
        <v>4382</v>
      </c>
    </row>
    <row r="466" spans="1:6" ht="21" x14ac:dyDescent="0.25">
      <c r="A466" s="2" t="str">
        <f>HYPERLINK("https://rth.dk/resources/bsgatlas/details.php?id=BSGatlas-terminator-465","BSGatlas-terminator-465")</f>
        <v>BSGatlas-terminator-465</v>
      </c>
      <c r="B466" s="3">
        <v>820758</v>
      </c>
      <c r="C466" s="3">
        <v>820802</v>
      </c>
      <c r="D466" s="1" t="s">
        <v>9</v>
      </c>
      <c r="E466" s="1">
        <v>-13.7</v>
      </c>
      <c r="F466" s="1" t="s">
        <v>15157</v>
      </c>
    </row>
    <row r="467" spans="1:6" ht="21" x14ac:dyDescent="0.25">
      <c r="A467" s="2" t="str">
        <f>HYPERLINK("https://rth.dk/resources/bsgatlas/details.php?id=BSGatlas-terminator-466","BSGatlas-terminator-466")</f>
        <v>BSGatlas-terminator-466</v>
      </c>
      <c r="B467" s="3">
        <v>821199</v>
      </c>
      <c r="C467" s="3">
        <v>821265</v>
      </c>
      <c r="D467" s="1" t="s">
        <v>13</v>
      </c>
      <c r="E467" s="1"/>
      <c r="F467" s="1" t="s">
        <v>15159</v>
      </c>
    </row>
    <row r="468" spans="1:6" ht="21" x14ac:dyDescent="0.25">
      <c r="A468" s="2" t="str">
        <f>HYPERLINK("https://rth.dk/resources/bsgatlas/details.php?id=BSGatlas-terminator-467","BSGatlas-terminator-467")</f>
        <v>BSGatlas-terminator-467</v>
      </c>
      <c r="B468" s="3">
        <v>822382</v>
      </c>
      <c r="C468" s="3">
        <v>822433</v>
      </c>
      <c r="D468" s="1" t="s">
        <v>9</v>
      </c>
      <c r="E468" s="1">
        <v>-19.2</v>
      </c>
      <c r="F468" s="1" t="s">
        <v>4382</v>
      </c>
    </row>
    <row r="469" spans="1:6" ht="21" x14ac:dyDescent="0.25">
      <c r="A469" s="2" t="str">
        <f>HYPERLINK("https://rth.dk/resources/bsgatlas/details.php?id=BSGatlas-terminator-468","BSGatlas-terminator-468")</f>
        <v>BSGatlas-terminator-468</v>
      </c>
      <c r="B469" s="3">
        <v>825743</v>
      </c>
      <c r="C469" s="3">
        <v>825781</v>
      </c>
      <c r="D469" s="1" t="s">
        <v>13</v>
      </c>
      <c r="E469" s="1">
        <v>-9.3000000000000007</v>
      </c>
      <c r="F469" s="1" t="s">
        <v>4382</v>
      </c>
    </row>
    <row r="470" spans="1:6" ht="21" x14ac:dyDescent="0.25">
      <c r="A470" s="2" t="str">
        <f>HYPERLINK("https://rth.dk/resources/bsgatlas/details.php?id=BSGatlas-terminator-469","BSGatlas-terminator-469")</f>
        <v>BSGatlas-terminator-469</v>
      </c>
      <c r="B470" s="3">
        <v>825784</v>
      </c>
      <c r="C470" s="3">
        <v>825828</v>
      </c>
      <c r="D470" s="1" t="s">
        <v>13</v>
      </c>
      <c r="E470" s="1">
        <v>-13.9</v>
      </c>
      <c r="F470" s="1" t="s">
        <v>15157</v>
      </c>
    </row>
    <row r="471" spans="1:6" ht="21" x14ac:dyDescent="0.25">
      <c r="A471" s="2" t="str">
        <f>HYPERLINK("https://rth.dk/resources/bsgatlas/details.php?id=BSGatlas-terminator-470","BSGatlas-terminator-470")</f>
        <v>BSGatlas-terminator-470</v>
      </c>
      <c r="B471" s="3">
        <v>827434</v>
      </c>
      <c r="C471" s="3">
        <v>827478</v>
      </c>
      <c r="D471" s="1" t="s">
        <v>13</v>
      </c>
      <c r="E471" s="1">
        <v>-3.6</v>
      </c>
      <c r="F471" s="1" t="s">
        <v>15157</v>
      </c>
    </row>
    <row r="472" spans="1:6" ht="21" x14ac:dyDescent="0.25">
      <c r="A472" s="2" t="str">
        <f>HYPERLINK("https://rth.dk/resources/bsgatlas/details.php?id=BSGatlas-terminator-471","BSGatlas-terminator-471")</f>
        <v>BSGatlas-terminator-471</v>
      </c>
      <c r="B472" s="3">
        <v>827817</v>
      </c>
      <c r="C472" s="3">
        <v>827850</v>
      </c>
      <c r="D472" s="1" t="s">
        <v>9</v>
      </c>
      <c r="E472" s="1">
        <v>-8.4</v>
      </c>
      <c r="F472" s="1" t="s">
        <v>15158</v>
      </c>
    </row>
    <row r="473" spans="1:6" ht="21" x14ac:dyDescent="0.25">
      <c r="A473" s="2" t="str">
        <f>HYPERLINK("https://rth.dk/resources/bsgatlas/details.php?id=BSGatlas-terminator-472","BSGatlas-terminator-472")</f>
        <v>BSGatlas-terminator-472</v>
      </c>
      <c r="B473" s="3">
        <v>829263</v>
      </c>
      <c r="C473" s="3">
        <v>829305</v>
      </c>
      <c r="D473" s="1" t="s">
        <v>9</v>
      </c>
      <c r="E473" s="1">
        <v>-12.4</v>
      </c>
      <c r="F473" s="1" t="s">
        <v>15158</v>
      </c>
    </row>
    <row r="474" spans="1:6" ht="21" x14ac:dyDescent="0.25">
      <c r="A474" s="2" t="str">
        <f>HYPERLINK("https://rth.dk/resources/bsgatlas/details.php?id=BSGatlas-terminator-473","BSGatlas-terminator-473")</f>
        <v>BSGatlas-terminator-473</v>
      </c>
      <c r="B474" s="3">
        <v>830823</v>
      </c>
      <c r="C474" s="3">
        <v>830859</v>
      </c>
      <c r="D474" s="1" t="s">
        <v>9</v>
      </c>
      <c r="E474" s="1">
        <v>-12.6</v>
      </c>
      <c r="F474" s="1" t="s">
        <v>15158</v>
      </c>
    </row>
    <row r="475" spans="1:6" ht="21" x14ac:dyDescent="0.25">
      <c r="A475" s="2" t="str">
        <f>HYPERLINK("https://rth.dk/resources/bsgatlas/details.php?id=BSGatlas-terminator-474","BSGatlas-terminator-474")</f>
        <v>BSGatlas-terminator-474</v>
      </c>
      <c r="B475" s="3">
        <v>834134</v>
      </c>
      <c r="C475" s="3">
        <v>834178</v>
      </c>
      <c r="D475" s="1" t="s">
        <v>9</v>
      </c>
      <c r="E475" s="1">
        <v>-6.5</v>
      </c>
      <c r="F475" s="1" t="s">
        <v>15157</v>
      </c>
    </row>
    <row r="476" spans="1:6" ht="21" x14ac:dyDescent="0.25">
      <c r="A476" s="2" t="str">
        <f>HYPERLINK("https://rth.dk/resources/bsgatlas/details.php?id=BSGatlas-terminator-475","BSGatlas-terminator-475")</f>
        <v>BSGatlas-terminator-475</v>
      </c>
      <c r="B476" s="3">
        <v>834185</v>
      </c>
      <c r="C476" s="3">
        <v>834220</v>
      </c>
      <c r="D476" s="1" t="s">
        <v>9</v>
      </c>
      <c r="E476" s="1">
        <v>-8.9</v>
      </c>
      <c r="F476" s="1" t="s">
        <v>4382</v>
      </c>
    </row>
    <row r="477" spans="1:6" ht="21" x14ac:dyDescent="0.25">
      <c r="A477" s="2" t="str">
        <f>HYPERLINK("https://rth.dk/resources/bsgatlas/details.php?id=BSGatlas-terminator-476","BSGatlas-terminator-476")</f>
        <v>BSGatlas-terminator-476</v>
      </c>
      <c r="B477" s="3">
        <v>836530</v>
      </c>
      <c r="C477" s="3">
        <v>836568</v>
      </c>
      <c r="D477" s="1" t="s">
        <v>9</v>
      </c>
      <c r="E477" s="1">
        <v>-15.8</v>
      </c>
      <c r="F477" s="1" t="s">
        <v>15158</v>
      </c>
    </row>
    <row r="478" spans="1:6" ht="21" x14ac:dyDescent="0.25">
      <c r="A478" s="2" t="str">
        <f>HYPERLINK("https://rth.dk/resources/bsgatlas/details.php?id=BSGatlas-terminator-477","BSGatlas-terminator-477")</f>
        <v>BSGatlas-terminator-477</v>
      </c>
      <c r="B478" s="3">
        <v>837418</v>
      </c>
      <c r="C478" s="3">
        <v>837461</v>
      </c>
      <c r="D478" s="1" t="s">
        <v>13</v>
      </c>
      <c r="E478" s="1">
        <v>-11.1</v>
      </c>
      <c r="F478" s="1" t="s">
        <v>4382</v>
      </c>
    </row>
    <row r="479" spans="1:6" ht="21" x14ac:dyDescent="0.25">
      <c r="A479" s="2" t="str">
        <f>HYPERLINK("https://rth.dk/resources/bsgatlas/details.php?id=BSGatlas-terminator-478","BSGatlas-terminator-478")</f>
        <v>BSGatlas-terminator-478</v>
      </c>
      <c r="B479" s="3">
        <v>838744</v>
      </c>
      <c r="C479" s="3">
        <v>838787</v>
      </c>
      <c r="D479" s="1" t="s">
        <v>9</v>
      </c>
      <c r="E479" s="1">
        <v>-19.8</v>
      </c>
      <c r="F479" s="1" t="s">
        <v>4382</v>
      </c>
    </row>
    <row r="480" spans="1:6" ht="21" x14ac:dyDescent="0.25">
      <c r="A480" s="2" t="str">
        <f>HYPERLINK("https://rth.dk/resources/bsgatlas/details.php?id=BSGatlas-terminator-479","BSGatlas-terminator-479")</f>
        <v>BSGatlas-terminator-479</v>
      </c>
      <c r="B480" s="3">
        <v>838775</v>
      </c>
      <c r="C480" s="3">
        <v>838819</v>
      </c>
      <c r="D480" s="1" t="s">
        <v>13</v>
      </c>
      <c r="E480" s="1">
        <v>-14.8</v>
      </c>
      <c r="F480" s="1" t="s">
        <v>15157</v>
      </c>
    </row>
    <row r="481" spans="1:6" ht="21" x14ac:dyDescent="0.25">
      <c r="A481" s="2" t="str">
        <f>HYPERLINK("https://rth.dk/resources/bsgatlas/details.php?id=BSGatlas-terminator-480","BSGatlas-terminator-480")</f>
        <v>BSGatlas-terminator-480</v>
      </c>
      <c r="B481" s="3">
        <v>839296</v>
      </c>
      <c r="C481" s="3">
        <v>839350</v>
      </c>
      <c r="D481" s="1" t="s">
        <v>13</v>
      </c>
      <c r="E481" s="1">
        <v>-20</v>
      </c>
      <c r="F481" s="1" t="s">
        <v>4382</v>
      </c>
    </row>
    <row r="482" spans="1:6" ht="21" x14ac:dyDescent="0.25">
      <c r="A482" s="2" t="str">
        <f>HYPERLINK("https://rth.dk/resources/bsgatlas/details.php?id=BSGatlas-terminator-481","BSGatlas-terminator-481")</f>
        <v>BSGatlas-terminator-481</v>
      </c>
      <c r="B482" s="3">
        <v>841878</v>
      </c>
      <c r="C482" s="3">
        <v>841922</v>
      </c>
      <c r="D482" s="1" t="s">
        <v>9</v>
      </c>
      <c r="E482" s="1">
        <v>-16.899999999999999</v>
      </c>
      <c r="F482" s="1" t="s">
        <v>15157</v>
      </c>
    </row>
    <row r="483" spans="1:6" ht="21" x14ac:dyDescent="0.25">
      <c r="A483" s="2" t="str">
        <f>HYPERLINK("https://rth.dk/resources/bsgatlas/details.php?id=BSGatlas-terminator-482","BSGatlas-terminator-482")</f>
        <v>BSGatlas-terminator-482</v>
      </c>
      <c r="B483" s="3">
        <v>842004</v>
      </c>
      <c r="C483" s="3">
        <v>842045</v>
      </c>
      <c r="D483" s="1" t="s">
        <v>13</v>
      </c>
      <c r="E483" s="1">
        <v>-18.399999999999999</v>
      </c>
      <c r="F483" s="1" t="s">
        <v>15158</v>
      </c>
    </row>
    <row r="484" spans="1:6" ht="21" x14ac:dyDescent="0.25">
      <c r="A484" s="2" t="str">
        <f>HYPERLINK("https://rth.dk/resources/bsgatlas/details.php?id=BSGatlas-terminator-483","BSGatlas-terminator-483")</f>
        <v>BSGatlas-terminator-483</v>
      </c>
      <c r="B484" s="3">
        <v>842014</v>
      </c>
      <c r="C484" s="3">
        <v>842055</v>
      </c>
      <c r="D484" s="1" t="s">
        <v>9</v>
      </c>
      <c r="E484" s="1">
        <v>-22</v>
      </c>
      <c r="F484" s="1" t="s">
        <v>15158</v>
      </c>
    </row>
    <row r="485" spans="1:6" ht="21" x14ac:dyDescent="0.25">
      <c r="A485" s="2" t="str">
        <f>HYPERLINK("https://rth.dk/resources/bsgatlas/details.php?id=BSGatlas-terminator-484","BSGatlas-terminator-484")</f>
        <v>BSGatlas-terminator-484</v>
      </c>
      <c r="B485" s="3">
        <v>844749</v>
      </c>
      <c r="C485" s="3">
        <v>844793</v>
      </c>
      <c r="D485" s="1" t="s">
        <v>13</v>
      </c>
      <c r="E485" s="1">
        <v>-15.9</v>
      </c>
      <c r="F485" s="1" t="s">
        <v>15157</v>
      </c>
    </row>
    <row r="486" spans="1:6" ht="21" x14ac:dyDescent="0.25">
      <c r="A486" s="2" t="str">
        <f>HYPERLINK("https://rth.dk/resources/bsgatlas/details.php?id=BSGatlas-terminator-485","BSGatlas-terminator-485")</f>
        <v>BSGatlas-terminator-485</v>
      </c>
      <c r="B486" s="3">
        <v>846362</v>
      </c>
      <c r="C486" s="3">
        <v>846396</v>
      </c>
      <c r="D486" s="1" t="s">
        <v>9</v>
      </c>
      <c r="E486" s="1">
        <v>-7.1</v>
      </c>
      <c r="F486" s="1" t="s">
        <v>4382</v>
      </c>
    </row>
    <row r="487" spans="1:6" ht="21" x14ac:dyDescent="0.25">
      <c r="A487" s="2" t="str">
        <f>HYPERLINK("https://rth.dk/resources/bsgatlas/details.php?id=BSGatlas-terminator-486","BSGatlas-terminator-486")</f>
        <v>BSGatlas-terminator-486</v>
      </c>
      <c r="B487" s="3">
        <v>849519</v>
      </c>
      <c r="C487" s="3">
        <v>849585</v>
      </c>
      <c r="D487" s="1" t="s">
        <v>9</v>
      </c>
      <c r="E487" s="1"/>
      <c r="F487" s="1" t="s">
        <v>15159</v>
      </c>
    </row>
    <row r="488" spans="1:6" ht="21" x14ac:dyDescent="0.25">
      <c r="A488" s="2" t="str">
        <f>HYPERLINK("https://rth.dk/resources/bsgatlas/details.php?id=BSGatlas-terminator-487","BSGatlas-terminator-487")</f>
        <v>BSGatlas-terminator-487</v>
      </c>
      <c r="B488" s="3">
        <v>850337</v>
      </c>
      <c r="C488" s="3">
        <v>850381</v>
      </c>
      <c r="D488" s="1" t="s">
        <v>13</v>
      </c>
      <c r="E488" s="1">
        <v>-15.2</v>
      </c>
      <c r="F488" s="1" t="s">
        <v>15157</v>
      </c>
    </row>
    <row r="489" spans="1:6" ht="21" x14ac:dyDescent="0.25">
      <c r="A489" s="2" t="str">
        <f>HYPERLINK("https://rth.dk/resources/bsgatlas/details.php?id=BSGatlas-terminator-488","BSGatlas-terminator-488")</f>
        <v>BSGatlas-terminator-488</v>
      </c>
      <c r="B489" s="3">
        <v>854273</v>
      </c>
      <c r="C489" s="3">
        <v>854314</v>
      </c>
      <c r="D489" s="1" t="s">
        <v>9</v>
      </c>
      <c r="E489" s="1">
        <v>-16.8</v>
      </c>
      <c r="F489" s="1" t="s">
        <v>15158</v>
      </c>
    </row>
    <row r="490" spans="1:6" ht="21" x14ac:dyDescent="0.25">
      <c r="A490" s="2" t="str">
        <f>HYPERLINK("https://rth.dk/resources/bsgatlas/details.php?id=BSGatlas-terminator-489","BSGatlas-terminator-489")</f>
        <v>BSGatlas-terminator-489</v>
      </c>
      <c r="B490" s="3">
        <v>855036</v>
      </c>
      <c r="C490" s="3">
        <v>855080</v>
      </c>
      <c r="D490" s="1" t="s">
        <v>9</v>
      </c>
      <c r="E490" s="1">
        <v>-16.899999999999999</v>
      </c>
      <c r="F490" s="1" t="s">
        <v>15157</v>
      </c>
    </row>
    <row r="491" spans="1:6" ht="21" x14ac:dyDescent="0.25">
      <c r="A491" s="2" t="str">
        <f>HYPERLINK("https://rth.dk/resources/bsgatlas/details.php?id=BSGatlas-terminator-490","BSGatlas-terminator-490")</f>
        <v>BSGatlas-terminator-490</v>
      </c>
      <c r="B491" s="3">
        <v>855072</v>
      </c>
      <c r="C491" s="3">
        <v>855127</v>
      </c>
      <c r="D491" s="1" t="s">
        <v>13</v>
      </c>
      <c r="E491" s="1">
        <v>-18.7</v>
      </c>
      <c r="F491" s="1" t="s">
        <v>15158</v>
      </c>
    </row>
    <row r="492" spans="1:6" ht="21" x14ac:dyDescent="0.25">
      <c r="A492" s="2" t="str">
        <f>HYPERLINK("https://rth.dk/resources/bsgatlas/details.php?id=BSGatlas-terminator-491","BSGatlas-terminator-491")</f>
        <v>BSGatlas-terminator-491</v>
      </c>
      <c r="B492" s="3">
        <v>855081</v>
      </c>
      <c r="C492" s="3">
        <v>855124</v>
      </c>
      <c r="D492" s="1" t="s">
        <v>9</v>
      </c>
      <c r="E492" s="1">
        <v>-20.8</v>
      </c>
      <c r="F492" s="1" t="s">
        <v>4382</v>
      </c>
    </row>
    <row r="493" spans="1:6" ht="21" x14ac:dyDescent="0.25">
      <c r="A493" s="2" t="str">
        <f>HYPERLINK("https://rth.dk/resources/bsgatlas/details.php?id=BSGatlas-terminator-492","BSGatlas-terminator-492")</f>
        <v>BSGatlas-terminator-492</v>
      </c>
      <c r="B493" s="3">
        <v>860266</v>
      </c>
      <c r="C493" s="3">
        <v>860305</v>
      </c>
      <c r="D493" s="1" t="s">
        <v>9</v>
      </c>
      <c r="E493" s="1">
        <v>-17.8</v>
      </c>
      <c r="F493" s="1" t="s">
        <v>15158</v>
      </c>
    </row>
    <row r="494" spans="1:6" ht="21" x14ac:dyDescent="0.25">
      <c r="A494" s="2" t="str">
        <f>HYPERLINK("https://rth.dk/resources/bsgatlas/details.php?id=BSGatlas-terminator-493","BSGatlas-terminator-493")</f>
        <v>BSGatlas-terminator-493</v>
      </c>
      <c r="B494" s="3">
        <v>860271</v>
      </c>
      <c r="C494" s="3">
        <v>860315</v>
      </c>
      <c r="D494" s="1" t="s">
        <v>13</v>
      </c>
      <c r="E494" s="1">
        <v>-11.1</v>
      </c>
      <c r="F494" s="1" t="s">
        <v>15157</v>
      </c>
    </row>
    <row r="495" spans="1:6" ht="21" x14ac:dyDescent="0.25">
      <c r="A495" s="2" t="str">
        <f>HYPERLINK("https://rth.dk/resources/bsgatlas/details.php?id=BSGatlas-terminator-494","BSGatlas-terminator-494")</f>
        <v>BSGatlas-terminator-494</v>
      </c>
      <c r="B495" s="3">
        <v>861623</v>
      </c>
      <c r="C495" s="3">
        <v>861667</v>
      </c>
      <c r="D495" s="1" t="s">
        <v>13</v>
      </c>
      <c r="E495" s="1">
        <v>-11.6</v>
      </c>
      <c r="F495" s="1" t="s">
        <v>15157</v>
      </c>
    </row>
    <row r="496" spans="1:6" ht="21" x14ac:dyDescent="0.25">
      <c r="A496" s="2" t="str">
        <f>HYPERLINK("https://rth.dk/resources/bsgatlas/details.php?id=BSGatlas-terminator-495","BSGatlas-terminator-495")</f>
        <v>BSGatlas-terminator-495</v>
      </c>
      <c r="B496" s="3">
        <v>863691</v>
      </c>
      <c r="C496" s="3">
        <v>863735</v>
      </c>
      <c r="D496" s="1" t="s">
        <v>13</v>
      </c>
      <c r="E496" s="1">
        <v>-3</v>
      </c>
      <c r="F496" s="1" t="s">
        <v>15157</v>
      </c>
    </row>
    <row r="497" spans="1:6" ht="21" x14ac:dyDescent="0.25">
      <c r="A497" s="2" t="str">
        <f>HYPERLINK("https://rth.dk/resources/bsgatlas/details.php?id=BSGatlas-terminator-496","BSGatlas-terminator-496")</f>
        <v>BSGatlas-terminator-496</v>
      </c>
      <c r="B497" s="3">
        <v>863815</v>
      </c>
      <c r="C497" s="3">
        <v>863859</v>
      </c>
      <c r="D497" s="1" t="s">
        <v>13</v>
      </c>
      <c r="E497" s="1">
        <v>-17.8</v>
      </c>
      <c r="F497" s="1" t="s">
        <v>15158</v>
      </c>
    </row>
    <row r="498" spans="1:6" ht="21" x14ac:dyDescent="0.25">
      <c r="A498" s="2" t="str">
        <f>HYPERLINK("https://rth.dk/resources/bsgatlas/details.php?id=BSGatlas-terminator-497","BSGatlas-terminator-497")</f>
        <v>BSGatlas-terminator-497</v>
      </c>
      <c r="B498" s="3">
        <v>863825</v>
      </c>
      <c r="C498" s="3">
        <v>863869</v>
      </c>
      <c r="D498" s="1" t="s">
        <v>9</v>
      </c>
      <c r="E498" s="1">
        <v>-22.1</v>
      </c>
      <c r="F498" s="1" t="s">
        <v>15158</v>
      </c>
    </row>
    <row r="499" spans="1:6" ht="21" x14ac:dyDescent="0.25">
      <c r="A499" s="2" t="str">
        <f>HYPERLINK("https://rth.dk/resources/bsgatlas/details.php?id=BSGatlas-terminator-498","BSGatlas-terminator-498")</f>
        <v>BSGatlas-terminator-498</v>
      </c>
      <c r="B499" s="3">
        <v>867119</v>
      </c>
      <c r="C499" s="3">
        <v>867159</v>
      </c>
      <c r="D499" s="1" t="s">
        <v>13</v>
      </c>
      <c r="E499" s="1">
        <v>-13.5</v>
      </c>
      <c r="F499" s="1" t="s">
        <v>15158</v>
      </c>
    </row>
    <row r="500" spans="1:6" ht="21" x14ac:dyDescent="0.25">
      <c r="A500" s="2" t="str">
        <f>HYPERLINK("https://rth.dk/resources/bsgatlas/details.php?id=BSGatlas-terminator-499","BSGatlas-terminator-499")</f>
        <v>BSGatlas-terminator-499</v>
      </c>
      <c r="B500" s="3">
        <v>867129</v>
      </c>
      <c r="C500" s="3">
        <v>867169</v>
      </c>
      <c r="D500" s="1" t="s">
        <v>9</v>
      </c>
      <c r="E500" s="1">
        <v>-13.6</v>
      </c>
      <c r="F500" s="1" t="s">
        <v>15158</v>
      </c>
    </row>
    <row r="501" spans="1:6" ht="21" x14ac:dyDescent="0.25">
      <c r="A501" s="2" t="str">
        <f>HYPERLINK("https://rth.dk/resources/bsgatlas/details.php?id=BSGatlas-terminator-500","BSGatlas-terminator-500")</f>
        <v>BSGatlas-terminator-500</v>
      </c>
      <c r="B501" s="3">
        <v>869456</v>
      </c>
      <c r="C501" s="3">
        <v>869492</v>
      </c>
      <c r="D501" s="1" t="s">
        <v>9</v>
      </c>
      <c r="E501" s="1">
        <v>-8.3000000000000007</v>
      </c>
      <c r="F501" s="1" t="s">
        <v>15158</v>
      </c>
    </row>
    <row r="502" spans="1:6" ht="21" x14ac:dyDescent="0.25">
      <c r="A502" s="2" t="str">
        <f>HYPERLINK("https://rth.dk/resources/bsgatlas/details.php?id=BSGatlas-terminator-501","BSGatlas-terminator-501")</f>
        <v>BSGatlas-terminator-501</v>
      </c>
      <c r="B502" s="3">
        <v>870344</v>
      </c>
      <c r="C502" s="3">
        <v>870386</v>
      </c>
      <c r="D502" s="1" t="s">
        <v>13</v>
      </c>
      <c r="E502" s="1">
        <v>-16.8</v>
      </c>
      <c r="F502" s="1" t="s">
        <v>15158</v>
      </c>
    </row>
    <row r="503" spans="1:6" ht="21" x14ac:dyDescent="0.25">
      <c r="A503" s="2" t="str">
        <f>HYPERLINK("https://rth.dk/resources/bsgatlas/details.php?id=BSGatlas-terminator-502","BSGatlas-terminator-502")</f>
        <v>BSGatlas-terminator-502</v>
      </c>
      <c r="B503" s="3">
        <v>870356</v>
      </c>
      <c r="C503" s="3">
        <v>870396</v>
      </c>
      <c r="D503" s="1" t="s">
        <v>9</v>
      </c>
      <c r="E503" s="1">
        <v>-14.1</v>
      </c>
      <c r="F503" s="1" t="s">
        <v>15158</v>
      </c>
    </row>
    <row r="504" spans="1:6" ht="21" x14ac:dyDescent="0.25">
      <c r="A504" s="2" t="str">
        <f>HYPERLINK("https://rth.dk/resources/bsgatlas/details.php?id=BSGatlas-terminator-503","BSGatlas-terminator-503")</f>
        <v>BSGatlas-terminator-503</v>
      </c>
      <c r="B504" s="3">
        <v>871313</v>
      </c>
      <c r="C504" s="3">
        <v>871351</v>
      </c>
      <c r="D504" s="1" t="s">
        <v>13</v>
      </c>
      <c r="E504" s="1">
        <v>-11.4</v>
      </c>
      <c r="F504" s="1" t="s">
        <v>15158</v>
      </c>
    </row>
    <row r="505" spans="1:6" ht="21" x14ac:dyDescent="0.25">
      <c r="A505" s="2" t="str">
        <f>HYPERLINK("https://rth.dk/resources/bsgatlas/details.php?id=BSGatlas-terminator-504","BSGatlas-terminator-504")</f>
        <v>BSGatlas-terminator-504</v>
      </c>
      <c r="B505" s="3">
        <v>874792</v>
      </c>
      <c r="C505" s="3">
        <v>874836</v>
      </c>
      <c r="D505" s="1" t="s">
        <v>9</v>
      </c>
      <c r="E505" s="1">
        <v>-12.6</v>
      </c>
      <c r="F505" s="1" t="s">
        <v>15157</v>
      </c>
    </row>
    <row r="506" spans="1:6" ht="21" x14ac:dyDescent="0.25">
      <c r="A506" s="2" t="str">
        <f>HYPERLINK("https://rth.dk/resources/bsgatlas/details.php?id=BSGatlas-terminator-505","BSGatlas-terminator-505")</f>
        <v>BSGatlas-terminator-505</v>
      </c>
      <c r="B506" s="3">
        <v>874837</v>
      </c>
      <c r="C506" s="3">
        <v>874898</v>
      </c>
      <c r="D506" s="1" t="s">
        <v>9</v>
      </c>
      <c r="E506" s="1">
        <v>-21.8</v>
      </c>
      <c r="F506" s="1" t="s">
        <v>4382</v>
      </c>
    </row>
    <row r="507" spans="1:6" ht="21" x14ac:dyDescent="0.25">
      <c r="A507" s="2" t="str">
        <f>HYPERLINK("https://rth.dk/resources/bsgatlas/details.php?id=BSGatlas-terminator-506","BSGatlas-terminator-506")</f>
        <v>BSGatlas-terminator-506</v>
      </c>
      <c r="B507" s="3">
        <v>877467</v>
      </c>
      <c r="C507" s="3">
        <v>877512</v>
      </c>
      <c r="D507" s="1" t="s">
        <v>9</v>
      </c>
      <c r="E507" s="1">
        <v>-15.2</v>
      </c>
      <c r="F507" s="1" t="s">
        <v>15160</v>
      </c>
    </row>
    <row r="508" spans="1:6" ht="21" x14ac:dyDescent="0.25">
      <c r="A508" s="2" t="str">
        <f>HYPERLINK("https://rth.dk/resources/bsgatlas/details.php?id=BSGatlas-terminator-507","BSGatlas-terminator-507")</f>
        <v>BSGatlas-terminator-507</v>
      </c>
      <c r="B508" s="3">
        <v>878753</v>
      </c>
      <c r="C508" s="3">
        <v>878797</v>
      </c>
      <c r="D508" s="1" t="s">
        <v>9</v>
      </c>
      <c r="E508" s="1">
        <v>-9</v>
      </c>
      <c r="F508" s="1" t="s">
        <v>15157</v>
      </c>
    </row>
    <row r="509" spans="1:6" ht="21" x14ac:dyDescent="0.25">
      <c r="A509" s="2" t="str">
        <f>HYPERLINK("https://rth.dk/resources/bsgatlas/details.php?id=BSGatlas-terminator-508","BSGatlas-terminator-508")</f>
        <v>BSGatlas-terminator-508</v>
      </c>
      <c r="B509" s="3">
        <v>878806</v>
      </c>
      <c r="C509" s="3">
        <v>878844</v>
      </c>
      <c r="D509" s="1" t="s">
        <v>9</v>
      </c>
      <c r="E509" s="1">
        <v>-11.7</v>
      </c>
      <c r="F509" s="1" t="s">
        <v>4382</v>
      </c>
    </row>
    <row r="510" spans="1:6" ht="21" x14ac:dyDescent="0.25">
      <c r="A510" s="2" t="str">
        <f>HYPERLINK("https://rth.dk/resources/bsgatlas/details.php?id=BSGatlas-terminator-509","BSGatlas-terminator-509")</f>
        <v>BSGatlas-terminator-509</v>
      </c>
      <c r="B510" s="3">
        <v>881028</v>
      </c>
      <c r="C510" s="3">
        <v>881072</v>
      </c>
      <c r="D510" s="1" t="s">
        <v>13</v>
      </c>
      <c r="E510" s="1">
        <v>-9.9</v>
      </c>
      <c r="F510" s="1" t="s">
        <v>15157</v>
      </c>
    </row>
    <row r="511" spans="1:6" ht="21" x14ac:dyDescent="0.25">
      <c r="A511" s="2" t="str">
        <f>HYPERLINK("https://rth.dk/resources/bsgatlas/details.php?id=BSGatlas-terminator-510","BSGatlas-terminator-510")</f>
        <v>BSGatlas-terminator-510</v>
      </c>
      <c r="B511" s="3">
        <v>883649</v>
      </c>
      <c r="C511" s="3">
        <v>883695</v>
      </c>
      <c r="D511" s="1" t="s">
        <v>9</v>
      </c>
      <c r="E511" s="1">
        <v>-18.5</v>
      </c>
      <c r="F511" s="1" t="s">
        <v>15158</v>
      </c>
    </row>
    <row r="512" spans="1:6" ht="21" x14ac:dyDescent="0.25">
      <c r="A512" s="2" t="str">
        <f>HYPERLINK("https://rth.dk/resources/bsgatlas/details.php?id=BSGatlas-terminator-511","BSGatlas-terminator-511")</f>
        <v>BSGatlas-terminator-511</v>
      </c>
      <c r="B512" s="3">
        <v>885801</v>
      </c>
      <c r="C512" s="3">
        <v>885843</v>
      </c>
      <c r="D512" s="1" t="s">
        <v>13</v>
      </c>
      <c r="E512" s="1">
        <v>-19.3</v>
      </c>
      <c r="F512" s="1" t="s">
        <v>15158</v>
      </c>
    </row>
    <row r="513" spans="1:6" ht="21" x14ac:dyDescent="0.25">
      <c r="A513" s="2" t="str">
        <f>HYPERLINK("https://rth.dk/resources/bsgatlas/details.php?id=BSGatlas-terminator-512","BSGatlas-terminator-512")</f>
        <v>BSGatlas-terminator-512</v>
      </c>
      <c r="B513" s="3">
        <v>885811</v>
      </c>
      <c r="C513" s="3">
        <v>885853</v>
      </c>
      <c r="D513" s="1" t="s">
        <v>9</v>
      </c>
      <c r="E513" s="1">
        <v>-14.9</v>
      </c>
      <c r="F513" s="1" t="s">
        <v>15158</v>
      </c>
    </row>
    <row r="514" spans="1:6" ht="21" x14ac:dyDescent="0.25">
      <c r="A514" s="2" t="str">
        <f>HYPERLINK("https://rth.dk/resources/bsgatlas/details.php?id=BSGatlas-terminator-513","BSGatlas-terminator-513")</f>
        <v>BSGatlas-terminator-513</v>
      </c>
      <c r="B514" s="3">
        <v>893800</v>
      </c>
      <c r="C514" s="3">
        <v>893837</v>
      </c>
      <c r="D514" s="1" t="s">
        <v>9</v>
      </c>
      <c r="E514" s="1">
        <v>-13.4</v>
      </c>
      <c r="F514" s="1" t="s">
        <v>15158</v>
      </c>
    </row>
    <row r="515" spans="1:6" ht="21" x14ac:dyDescent="0.25">
      <c r="A515" s="2" t="str">
        <f>HYPERLINK("https://rth.dk/resources/bsgatlas/details.php?id=BSGatlas-terminator-514","BSGatlas-terminator-514")</f>
        <v>BSGatlas-terminator-514</v>
      </c>
      <c r="B515" s="3">
        <v>897428</v>
      </c>
      <c r="C515" s="3">
        <v>897470</v>
      </c>
      <c r="D515" s="1" t="s">
        <v>9</v>
      </c>
      <c r="E515" s="1">
        <v>-13.5</v>
      </c>
      <c r="F515" s="1" t="s">
        <v>15158</v>
      </c>
    </row>
    <row r="516" spans="1:6" ht="21" x14ac:dyDescent="0.25">
      <c r="A516" s="2" t="str">
        <f>HYPERLINK("https://rth.dk/resources/bsgatlas/details.php?id=BSGatlas-terminator-515","BSGatlas-terminator-515")</f>
        <v>BSGatlas-terminator-515</v>
      </c>
      <c r="B516" s="3">
        <v>898869</v>
      </c>
      <c r="C516" s="3">
        <v>898916</v>
      </c>
      <c r="D516" s="1" t="s">
        <v>9</v>
      </c>
      <c r="E516" s="1">
        <v>-24</v>
      </c>
      <c r="F516" s="1" t="s">
        <v>15158</v>
      </c>
    </row>
    <row r="517" spans="1:6" ht="21" x14ac:dyDescent="0.25">
      <c r="A517" s="2" t="str">
        <f>HYPERLINK("https://rth.dk/resources/bsgatlas/details.php?id=BSGatlas-terminator-516","BSGatlas-terminator-516")</f>
        <v>BSGatlas-terminator-516</v>
      </c>
      <c r="B517" s="3">
        <v>899750</v>
      </c>
      <c r="C517" s="3">
        <v>899794</v>
      </c>
      <c r="D517" s="1" t="s">
        <v>13</v>
      </c>
      <c r="E517" s="1">
        <v>-9.5</v>
      </c>
      <c r="F517" s="1" t="s">
        <v>15157</v>
      </c>
    </row>
    <row r="518" spans="1:6" ht="21" x14ac:dyDescent="0.25">
      <c r="A518" s="2" t="str">
        <f>HYPERLINK("https://rth.dk/resources/bsgatlas/details.php?id=BSGatlas-terminator-517","BSGatlas-terminator-517")</f>
        <v>BSGatlas-terminator-517</v>
      </c>
      <c r="B518" s="3">
        <v>903696</v>
      </c>
      <c r="C518" s="3">
        <v>903743</v>
      </c>
      <c r="D518" s="1" t="s">
        <v>9</v>
      </c>
      <c r="E518" s="1">
        <v>-16.2</v>
      </c>
      <c r="F518" s="1" t="s">
        <v>15158</v>
      </c>
    </row>
    <row r="519" spans="1:6" ht="21" x14ac:dyDescent="0.25">
      <c r="A519" s="2" t="str">
        <f>HYPERLINK("https://rth.dk/resources/bsgatlas/details.php?id=BSGatlas-terminator-518","BSGatlas-terminator-518")</f>
        <v>BSGatlas-terminator-518</v>
      </c>
      <c r="B519" s="3">
        <v>905702</v>
      </c>
      <c r="C519" s="3">
        <v>905736</v>
      </c>
      <c r="D519" s="1" t="s">
        <v>9</v>
      </c>
      <c r="E519" s="1">
        <v>-8.9</v>
      </c>
      <c r="F519" s="1" t="s">
        <v>15158</v>
      </c>
    </row>
    <row r="520" spans="1:6" ht="21" x14ac:dyDescent="0.25">
      <c r="A520" s="2" t="str">
        <f>HYPERLINK("https://rth.dk/resources/bsgatlas/details.php?id=BSGatlas-terminator-519","BSGatlas-terminator-519")</f>
        <v>BSGatlas-terminator-519</v>
      </c>
      <c r="B520" s="3">
        <v>909115</v>
      </c>
      <c r="C520" s="3">
        <v>909155</v>
      </c>
      <c r="D520" s="1" t="s">
        <v>13</v>
      </c>
      <c r="E520" s="1">
        <v>-15.2</v>
      </c>
      <c r="F520" s="1" t="s">
        <v>15160</v>
      </c>
    </row>
    <row r="521" spans="1:6" ht="21" x14ac:dyDescent="0.25">
      <c r="A521" s="2" t="str">
        <f>HYPERLINK("https://rth.dk/resources/bsgatlas/details.php?id=BSGatlas-terminator-520","BSGatlas-terminator-520")</f>
        <v>BSGatlas-terminator-520</v>
      </c>
      <c r="B521" s="3">
        <v>910608</v>
      </c>
      <c r="C521" s="3">
        <v>910652</v>
      </c>
      <c r="D521" s="1" t="s">
        <v>9</v>
      </c>
      <c r="E521" s="1">
        <v>-8.5</v>
      </c>
      <c r="F521" s="1" t="s">
        <v>15157</v>
      </c>
    </row>
    <row r="522" spans="1:6" ht="21" x14ac:dyDescent="0.25">
      <c r="A522" s="2" t="str">
        <f>HYPERLINK("https://rth.dk/resources/bsgatlas/details.php?id=BSGatlas-terminator-521","BSGatlas-terminator-521")</f>
        <v>BSGatlas-terminator-521</v>
      </c>
      <c r="B522" s="3">
        <v>910663</v>
      </c>
      <c r="C522" s="3">
        <v>910705</v>
      </c>
      <c r="D522" s="1" t="s">
        <v>9</v>
      </c>
      <c r="E522" s="1">
        <v>-11.2</v>
      </c>
      <c r="F522" s="1" t="s">
        <v>4382</v>
      </c>
    </row>
    <row r="523" spans="1:6" ht="21" x14ac:dyDescent="0.25">
      <c r="A523" s="2" t="str">
        <f>HYPERLINK("https://rth.dk/resources/bsgatlas/details.php?id=BSGatlas-terminator-522","BSGatlas-terminator-522")</f>
        <v>BSGatlas-terminator-522</v>
      </c>
      <c r="B523" s="3">
        <v>911921</v>
      </c>
      <c r="C523" s="3">
        <v>911962</v>
      </c>
      <c r="D523" s="1" t="s">
        <v>13</v>
      </c>
      <c r="E523" s="1">
        <v>-20</v>
      </c>
      <c r="F523" s="1" t="s">
        <v>15158</v>
      </c>
    </row>
    <row r="524" spans="1:6" ht="21" x14ac:dyDescent="0.25">
      <c r="A524" s="2" t="str">
        <f>HYPERLINK("https://rth.dk/resources/bsgatlas/details.php?id=BSGatlas-terminator-523","BSGatlas-terminator-523")</f>
        <v>BSGatlas-terminator-523</v>
      </c>
      <c r="B524" s="3">
        <v>911931</v>
      </c>
      <c r="C524" s="3">
        <v>911973</v>
      </c>
      <c r="D524" s="1" t="s">
        <v>9</v>
      </c>
      <c r="E524" s="1">
        <v>-21.9</v>
      </c>
      <c r="F524" s="1" t="s">
        <v>4382</v>
      </c>
    </row>
    <row r="525" spans="1:6" ht="21" x14ac:dyDescent="0.25">
      <c r="A525" s="2" t="str">
        <f>HYPERLINK("https://rth.dk/resources/bsgatlas/details.php?id=BSGatlas-terminator-524","BSGatlas-terminator-524")</f>
        <v>BSGatlas-terminator-524</v>
      </c>
      <c r="B525" s="3">
        <v>914595</v>
      </c>
      <c r="C525" s="3">
        <v>914632</v>
      </c>
      <c r="D525" s="1" t="s">
        <v>9</v>
      </c>
      <c r="E525" s="1">
        <v>-7.7</v>
      </c>
      <c r="F525" s="1" t="s">
        <v>4382</v>
      </c>
    </row>
    <row r="526" spans="1:6" ht="21" x14ac:dyDescent="0.25">
      <c r="A526" s="2" t="str">
        <f>HYPERLINK("https://rth.dk/resources/bsgatlas/details.php?id=BSGatlas-terminator-525","BSGatlas-terminator-525")</f>
        <v>BSGatlas-terminator-525</v>
      </c>
      <c r="B526" s="3">
        <v>916071</v>
      </c>
      <c r="C526" s="3">
        <v>916120</v>
      </c>
      <c r="D526" s="1" t="s">
        <v>13</v>
      </c>
      <c r="E526" s="1">
        <v>-17.3</v>
      </c>
      <c r="F526" s="1" t="s">
        <v>15158</v>
      </c>
    </row>
    <row r="527" spans="1:6" ht="21" x14ac:dyDescent="0.25">
      <c r="A527" s="2" t="str">
        <f>HYPERLINK("https://rth.dk/resources/bsgatlas/details.php?id=BSGatlas-terminator-526","BSGatlas-terminator-526")</f>
        <v>BSGatlas-terminator-526</v>
      </c>
      <c r="B527" s="3">
        <v>919322</v>
      </c>
      <c r="C527" s="3">
        <v>919365</v>
      </c>
      <c r="D527" s="1" t="s">
        <v>13</v>
      </c>
      <c r="E527" s="1">
        <v>-18.399999999999999</v>
      </c>
      <c r="F527" s="1" t="s">
        <v>15158</v>
      </c>
    </row>
    <row r="528" spans="1:6" ht="21" x14ac:dyDescent="0.25">
      <c r="A528" s="2" t="str">
        <f>HYPERLINK("https://rth.dk/resources/bsgatlas/details.php?id=BSGatlas-terminator-527","BSGatlas-terminator-527")</f>
        <v>BSGatlas-terminator-527</v>
      </c>
      <c r="B528" s="3">
        <v>919332</v>
      </c>
      <c r="C528" s="3">
        <v>919375</v>
      </c>
      <c r="D528" s="1" t="s">
        <v>9</v>
      </c>
      <c r="E528" s="1">
        <v>-19</v>
      </c>
      <c r="F528" s="1" t="s">
        <v>15158</v>
      </c>
    </row>
    <row r="529" spans="1:6" ht="21" x14ac:dyDescent="0.25">
      <c r="A529" s="2" t="str">
        <f>HYPERLINK("https://rth.dk/resources/bsgatlas/details.php?id=BSGatlas-terminator-528","BSGatlas-terminator-528")</f>
        <v>BSGatlas-terminator-528</v>
      </c>
      <c r="B529" s="3">
        <v>922462</v>
      </c>
      <c r="C529" s="3">
        <v>922506</v>
      </c>
      <c r="D529" s="1" t="s">
        <v>9</v>
      </c>
      <c r="E529" s="1">
        <v>-12.8</v>
      </c>
      <c r="F529" s="1" t="s">
        <v>15157</v>
      </c>
    </row>
    <row r="530" spans="1:6" ht="21" x14ac:dyDescent="0.25">
      <c r="A530" s="2" t="str">
        <f>HYPERLINK("https://rth.dk/resources/bsgatlas/details.php?id=BSGatlas-terminator-529","BSGatlas-terminator-529")</f>
        <v>BSGatlas-terminator-529</v>
      </c>
      <c r="B530" s="3">
        <v>922507</v>
      </c>
      <c r="C530" s="3">
        <v>922552</v>
      </c>
      <c r="D530" s="1" t="s">
        <v>9</v>
      </c>
      <c r="E530" s="1">
        <v>-15.9</v>
      </c>
      <c r="F530" s="1" t="s">
        <v>4382</v>
      </c>
    </row>
    <row r="531" spans="1:6" ht="21" x14ac:dyDescent="0.25">
      <c r="A531" s="2" t="str">
        <f>HYPERLINK("https://rth.dk/resources/bsgatlas/details.php?id=BSGatlas-terminator-530","BSGatlas-terminator-530")</f>
        <v>BSGatlas-terminator-530</v>
      </c>
      <c r="B531" s="3">
        <v>924161</v>
      </c>
      <c r="C531" s="3">
        <v>924207</v>
      </c>
      <c r="D531" s="1" t="s">
        <v>13</v>
      </c>
      <c r="E531" s="1">
        <v>-22.1</v>
      </c>
      <c r="F531" s="1" t="s">
        <v>15158</v>
      </c>
    </row>
    <row r="532" spans="1:6" ht="21" x14ac:dyDescent="0.25">
      <c r="A532" s="2" t="str">
        <f>HYPERLINK("https://rth.dk/resources/bsgatlas/details.php?id=BSGatlas-terminator-531","BSGatlas-terminator-531")</f>
        <v>BSGatlas-terminator-531</v>
      </c>
      <c r="B532" s="3">
        <v>924171</v>
      </c>
      <c r="C532" s="3">
        <v>924217</v>
      </c>
      <c r="D532" s="1" t="s">
        <v>9</v>
      </c>
      <c r="E532" s="1">
        <v>-23.5</v>
      </c>
      <c r="F532" s="1" t="s">
        <v>15158</v>
      </c>
    </row>
    <row r="533" spans="1:6" ht="21" x14ac:dyDescent="0.25">
      <c r="A533" s="2" t="str">
        <f>HYPERLINK("https://rth.dk/resources/bsgatlas/details.php?id=BSGatlas-terminator-532","BSGatlas-terminator-532")</f>
        <v>BSGatlas-terminator-532</v>
      </c>
      <c r="B533" s="3">
        <v>926749</v>
      </c>
      <c r="C533" s="3">
        <v>926787</v>
      </c>
      <c r="D533" s="1" t="s">
        <v>9</v>
      </c>
      <c r="E533" s="1">
        <v>-14.8</v>
      </c>
      <c r="F533" s="1" t="s">
        <v>15158</v>
      </c>
    </row>
    <row r="534" spans="1:6" ht="21" x14ac:dyDescent="0.25">
      <c r="A534" s="2" t="str">
        <f>HYPERLINK("https://rth.dk/resources/bsgatlas/details.php?id=BSGatlas-terminator-533","BSGatlas-terminator-533")</f>
        <v>BSGatlas-terminator-533</v>
      </c>
      <c r="B534" s="3">
        <v>928069</v>
      </c>
      <c r="C534" s="3">
        <v>928109</v>
      </c>
      <c r="D534" s="1" t="s">
        <v>13</v>
      </c>
      <c r="E534" s="1">
        <v>-15.2</v>
      </c>
      <c r="F534" s="1" t="s">
        <v>15158</v>
      </c>
    </row>
    <row r="535" spans="1:6" ht="21" x14ac:dyDescent="0.25">
      <c r="A535" s="2" t="str">
        <f>HYPERLINK("https://rth.dk/resources/bsgatlas/details.php?id=BSGatlas-terminator-534","BSGatlas-terminator-534")</f>
        <v>BSGatlas-terminator-534</v>
      </c>
      <c r="B535" s="3">
        <v>928079</v>
      </c>
      <c r="C535" s="3">
        <v>928119</v>
      </c>
      <c r="D535" s="1" t="s">
        <v>9</v>
      </c>
      <c r="E535" s="1">
        <v>-15.8</v>
      </c>
      <c r="F535" s="1" t="s">
        <v>4382</v>
      </c>
    </row>
    <row r="536" spans="1:6" ht="21" x14ac:dyDescent="0.25">
      <c r="A536" s="2" t="str">
        <f>HYPERLINK("https://rth.dk/resources/bsgatlas/details.php?id=BSGatlas-terminator-535","BSGatlas-terminator-535")</f>
        <v>BSGatlas-terminator-535</v>
      </c>
      <c r="B536" s="3">
        <v>928625</v>
      </c>
      <c r="C536" s="3">
        <v>928669</v>
      </c>
      <c r="D536" s="1" t="s">
        <v>9</v>
      </c>
      <c r="E536" s="1">
        <v>-10.6</v>
      </c>
      <c r="F536" s="1" t="s">
        <v>15157</v>
      </c>
    </row>
    <row r="537" spans="1:6" ht="21" x14ac:dyDescent="0.25">
      <c r="A537" s="2" t="str">
        <f>HYPERLINK("https://rth.dk/resources/bsgatlas/details.php?id=BSGatlas-terminator-536","BSGatlas-terminator-536")</f>
        <v>BSGatlas-terminator-536</v>
      </c>
      <c r="B537" s="3">
        <v>930601</v>
      </c>
      <c r="C537" s="3">
        <v>930639</v>
      </c>
      <c r="D537" s="1" t="s">
        <v>9</v>
      </c>
      <c r="E537" s="1">
        <v>-11.6</v>
      </c>
      <c r="F537" s="1" t="s">
        <v>15158</v>
      </c>
    </row>
    <row r="538" spans="1:6" ht="21" x14ac:dyDescent="0.25">
      <c r="A538" s="2" t="str">
        <f>HYPERLINK("https://rth.dk/resources/bsgatlas/details.php?id=BSGatlas-terminator-537","BSGatlas-terminator-537")</f>
        <v>BSGatlas-terminator-537</v>
      </c>
      <c r="B538" s="3">
        <v>931812</v>
      </c>
      <c r="C538" s="3">
        <v>931847</v>
      </c>
      <c r="D538" s="1" t="s">
        <v>9</v>
      </c>
      <c r="E538" s="1">
        <v>-5.6</v>
      </c>
      <c r="F538" s="1" t="s">
        <v>4382</v>
      </c>
    </row>
    <row r="539" spans="1:6" ht="21" x14ac:dyDescent="0.25">
      <c r="A539" s="2" t="str">
        <f>HYPERLINK("https://rth.dk/resources/bsgatlas/details.php?id=BSGatlas-terminator-538","BSGatlas-terminator-538")</f>
        <v>BSGatlas-terminator-538</v>
      </c>
      <c r="B539" s="3">
        <v>934434</v>
      </c>
      <c r="C539" s="3">
        <v>934477</v>
      </c>
      <c r="D539" s="1" t="s">
        <v>13</v>
      </c>
      <c r="E539" s="1">
        <v>-20.2</v>
      </c>
      <c r="F539" s="1" t="s">
        <v>15158</v>
      </c>
    </row>
    <row r="540" spans="1:6" ht="21" x14ac:dyDescent="0.25">
      <c r="A540" s="2" t="str">
        <f>HYPERLINK("https://rth.dk/resources/bsgatlas/details.php?id=BSGatlas-terminator-539","BSGatlas-terminator-539")</f>
        <v>BSGatlas-terminator-539</v>
      </c>
      <c r="B540" s="3">
        <v>934444</v>
      </c>
      <c r="C540" s="3">
        <v>934487</v>
      </c>
      <c r="D540" s="1" t="s">
        <v>9</v>
      </c>
      <c r="E540" s="1">
        <v>-15.6</v>
      </c>
      <c r="F540" s="1" t="s">
        <v>15158</v>
      </c>
    </row>
    <row r="541" spans="1:6" ht="21" x14ac:dyDescent="0.25">
      <c r="A541" s="2" t="str">
        <f>HYPERLINK("https://rth.dk/resources/bsgatlas/details.php?id=BSGatlas-terminator-540","BSGatlas-terminator-540")</f>
        <v>BSGatlas-terminator-540</v>
      </c>
      <c r="B541" s="3">
        <v>936485</v>
      </c>
      <c r="C541" s="3">
        <v>936522</v>
      </c>
      <c r="D541" s="1" t="s">
        <v>13</v>
      </c>
      <c r="E541" s="1">
        <v>-8.8000000000000007</v>
      </c>
      <c r="F541" s="1" t="s">
        <v>4382</v>
      </c>
    </row>
    <row r="542" spans="1:6" ht="21" x14ac:dyDescent="0.25">
      <c r="A542" s="2" t="str">
        <f>HYPERLINK("https://rth.dk/resources/bsgatlas/details.php?id=BSGatlas-terminator-541","BSGatlas-terminator-541")</f>
        <v>BSGatlas-terminator-541</v>
      </c>
      <c r="B542" s="3">
        <v>936728</v>
      </c>
      <c r="C542" s="3">
        <v>936777</v>
      </c>
      <c r="D542" s="1" t="s">
        <v>9</v>
      </c>
      <c r="E542" s="1">
        <v>-18.2</v>
      </c>
      <c r="F542" s="1" t="s">
        <v>4382</v>
      </c>
    </row>
    <row r="543" spans="1:6" ht="21" x14ac:dyDescent="0.25">
      <c r="A543" s="2" t="str">
        <f>HYPERLINK("https://rth.dk/resources/bsgatlas/details.php?id=BSGatlas-terminator-542","BSGatlas-terminator-542")</f>
        <v>BSGatlas-terminator-542</v>
      </c>
      <c r="B543" s="3">
        <v>938155</v>
      </c>
      <c r="C543" s="3">
        <v>938199</v>
      </c>
      <c r="D543" s="1" t="s">
        <v>13</v>
      </c>
      <c r="E543" s="1">
        <v>-7.1</v>
      </c>
      <c r="F543" s="1" t="s">
        <v>15157</v>
      </c>
    </row>
    <row r="544" spans="1:6" ht="21" x14ac:dyDescent="0.25">
      <c r="A544" s="2" t="str">
        <f>HYPERLINK("https://rth.dk/resources/bsgatlas/details.php?id=BSGatlas-terminator-543","BSGatlas-terminator-543")</f>
        <v>BSGatlas-terminator-543</v>
      </c>
      <c r="B544" s="3">
        <v>938168</v>
      </c>
      <c r="C544" s="3">
        <v>938212</v>
      </c>
      <c r="D544" s="1" t="s">
        <v>9</v>
      </c>
      <c r="E544" s="1">
        <v>-14.5</v>
      </c>
      <c r="F544" s="1" t="s">
        <v>15158</v>
      </c>
    </row>
    <row r="545" spans="1:6" ht="21" x14ac:dyDescent="0.25">
      <c r="A545" s="2" t="str">
        <f>HYPERLINK("https://rth.dk/resources/bsgatlas/details.php?id=BSGatlas-terminator-544","BSGatlas-terminator-544")</f>
        <v>BSGatlas-terminator-544</v>
      </c>
      <c r="B545" s="3">
        <v>938548</v>
      </c>
      <c r="C545" s="3">
        <v>938592</v>
      </c>
      <c r="D545" s="1" t="s">
        <v>9</v>
      </c>
      <c r="E545" s="1">
        <v>-11.5</v>
      </c>
      <c r="F545" s="1" t="s">
        <v>15157</v>
      </c>
    </row>
    <row r="546" spans="1:6" ht="21" x14ac:dyDescent="0.25">
      <c r="A546" s="2" t="str">
        <f>HYPERLINK("https://rth.dk/resources/bsgatlas/details.php?id=BSGatlas-terminator-545","BSGatlas-terminator-545")</f>
        <v>BSGatlas-terminator-545</v>
      </c>
      <c r="B546" s="3">
        <v>939230</v>
      </c>
      <c r="C546" s="3">
        <v>939274</v>
      </c>
      <c r="D546" s="1" t="s">
        <v>9</v>
      </c>
      <c r="E546" s="1">
        <v>-7</v>
      </c>
      <c r="F546" s="1" t="s">
        <v>15157</v>
      </c>
    </row>
    <row r="547" spans="1:6" ht="21" x14ac:dyDescent="0.25">
      <c r="A547" s="2" t="str">
        <f>HYPERLINK("https://rth.dk/resources/bsgatlas/details.php?id=BSGatlas-terminator-546","BSGatlas-terminator-546")</f>
        <v>BSGatlas-terminator-546</v>
      </c>
      <c r="B547" s="3">
        <v>941056</v>
      </c>
      <c r="C547" s="3">
        <v>941100</v>
      </c>
      <c r="D547" s="1" t="s">
        <v>9</v>
      </c>
      <c r="E547" s="1">
        <v>-14.1</v>
      </c>
      <c r="F547" s="1" t="s">
        <v>15157</v>
      </c>
    </row>
    <row r="548" spans="1:6" ht="21" x14ac:dyDescent="0.25">
      <c r="A548" s="2" t="str">
        <f>HYPERLINK("https://rth.dk/resources/bsgatlas/details.php?id=BSGatlas-terminator-547","BSGatlas-terminator-547")</f>
        <v>BSGatlas-terminator-547</v>
      </c>
      <c r="B548" s="3">
        <v>941157</v>
      </c>
      <c r="C548" s="3">
        <v>941201</v>
      </c>
      <c r="D548" s="1" t="s">
        <v>13</v>
      </c>
      <c r="E548" s="1">
        <v>-9.4</v>
      </c>
      <c r="F548" s="1" t="s">
        <v>15157</v>
      </c>
    </row>
    <row r="549" spans="1:6" ht="21" x14ac:dyDescent="0.25">
      <c r="A549" s="2" t="str">
        <f>HYPERLINK("https://rth.dk/resources/bsgatlas/details.php?id=BSGatlas-terminator-548","BSGatlas-terminator-548")</f>
        <v>BSGatlas-terminator-548</v>
      </c>
      <c r="B549" s="3">
        <v>942430</v>
      </c>
      <c r="C549" s="3">
        <v>942474</v>
      </c>
      <c r="D549" s="1" t="s">
        <v>13</v>
      </c>
      <c r="E549" s="1">
        <v>-11</v>
      </c>
      <c r="F549" s="1" t="s">
        <v>15157</v>
      </c>
    </row>
    <row r="550" spans="1:6" ht="21" x14ac:dyDescent="0.25">
      <c r="A550" s="2" t="str">
        <f>HYPERLINK("https://rth.dk/resources/bsgatlas/details.php?id=BSGatlas-terminator-549","BSGatlas-terminator-549")</f>
        <v>BSGatlas-terminator-549</v>
      </c>
      <c r="B550" s="3">
        <v>944923</v>
      </c>
      <c r="C550" s="3">
        <v>944971</v>
      </c>
      <c r="D550" s="1" t="s">
        <v>9</v>
      </c>
      <c r="E550" s="1">
        <v>-19.8</v>
      </c>
      <c r="F550" s="1" t="s">
        <v>15158</v>
      </c>
    </row>
    <row r="551" spans="1:6" ht="21" x14ac:dyDescent="0.25">
      <c r="A551" s="2" t="str">
        <f>HYPERLINK("https://rth.dk/resources/bsgatlas/details.php?id=BSGatlas-terminator-550","BSGatlas-terminator-550")</f>
        <v>BSGatlas-terminator-550</v>
      </c>
      <c r="B551" s="3">
        <v>944960</v>
      </c>
      <c r="C551" s="3">
        <v>945004</v>
      </c>
      <c r="D551" s="1" t="s">
        <v>13</v>
      </c>
      <c r="E551" s="1">
        <v>-14.2</v>
      </c>
      <c r="F551" s="1" t="s">
        <v>15157</v>
      </c>
    </row>
    <row r="552" spans="1:6" ht="21" x14ac:dyDescent="0.25">
      <c r="A552" s="2" t="str">
        <f>HYPERLINK("https://rth.dk/resources/bsgatlas/details.php?id=BSGatlas-terminator-551","BSGatlas-terminator-551")</f>
        <v>BSGatlas-terminator-551</v>
      </c>
      <c r="B552" s="3">
        <v>946434</v>
      </c>
      <c r="C552" s="3">
        <v>946478</v>
      </c>
      <c r="D552" s="1" t="s">
        <v>13</v>
      </c>
      <c r="E552" s="1">
        <v>-7.8</v>
      </c>
      <c r="F552" s="1" t="s">
        <v>15157</v>
      </c>
    </row>
    <row r="553" spans="1:6" ht="21" x14ac:dyDescent="0.25">
      <c r="A553" s="2" t="str">
        <f>HYPERLINK("https://rth.dk/resources/bsgatlas/details.php?id=BSGatlas-terminator-552","BSGatlas-terminator-552")</f>
        <v>BSGatlas-terminator-552</v>
      </c>
      <c r="B553" s="3">
        <v>951727</v>
      </c>
      <c r="C553" s="3">
        <v>951771</v>
      </c>
      <c r="D553" s="1" t="s">
        <v>9</v>
      </c>
      <c r="E553" s="1">
        <v>-11</v>
      </c>
      <c r="F553" s="1" t="s">
        <v>15157</v>
      </c>
    </row>
    <row r="554" spans="1:6" ht="21" x14ac:dyDescent="0.25">
      <c r="A554" s="2" t="str">
        <f>HYPERLINK("https://rth.dk/resources/bsgatlas/details.php?id=BSGatlas-terminator-553","BSGatlas-terminator-553")</f>
        <v>BSGatlas-terminator-553</v>
      </c>
      <c r="B554" s="3">
        <v>953006</v>
      </c>
      <c r="C554" s="3">
        <v>953045</v>
      </c>
      <c r="D554" s="1" t="s">
        <v>9</v>
      </c>
      <c r="E554" s="1">
        <v>-11.7</v>
      </c>
      <c r="F554" s="1" t="s">
        <v>15160</v>
      </c>
    </row>
    <row r="555" spans="1:6" ht="21" x14ac:dyDescent="0.25">
      <c r="A555" s="2" t="str">
        <f>HYPERLINK("https://rth.dk/resources/bsgatlas/details.php?id=BSGatlas-terminator-554","BSGatlas-terminator-554")</f>
        <v>BSGatlas-terminator-554</v>
      </c>
      <c r="B555" s="3">
        <v>953135</v>
      </c>
      <c r="C555" s="3">
        <v>953179</v>
      </c>
      <c r="D555" s="1" t="s">
        <v>9</v>
      </c>
      <c r="E555" s="1">
        <v>-12.4</v>
      </c>
      <c r="F555" s="1" t="s">
        <v>15157</v>
      </c>
    </row>
    <row r="556" spans="1:6" ht="21" x14ac:dyDescent="0.25">
      <c r="A556" s="2" t="str">
        <f>HYPERLINK("https://rth.dk/resources/bsgatlas/details.php?id=BSGatlas-terminator-555","BSGatlas-terminator-555")</f>
        <v>BSGatlas-terminator-555</v>
      </c>
      <c r="B556" s="3">
        <v>953281</v>
      </c>
      <c r="C556" s="3">
        <v>953325</v>
      </c>
      <c r="D556" s="1" t="s">
        <v>13</v>
      </c>
      <c r="E556" s="1">
        <v>-12.4</v>
      </c>
      <c r="F556" s="1" t="s">
        <v>15157</v>
      </c>
    </row>
    <row r="557" spans="1:6" ht="21" x14ac:dyDescent="0.25">
      <c r="A557" s="2" t="str">
        <f>HYPERLINK("https://rth.dk/resources/bsgatlas/details.php?id=BSGatlas-terminator-556","BSGatlas-terminator-556")</f>
        <v>BSGatlas-terminator-556</v>
      </c>
      <c r="B557" s="3">
        <v>953305</v>
      </c>
      <c r="C557" s="3">
        <v>953327</v>
      </c>
      <c r="D557" s="1" t="s">
        <v>9</v>
      </c>
      <c r="E557" s="1">
        <v>-14.6</v>
      </c>
      <c r="F557" s="1" t="s">
        <v>4547</v>
      </c>
    </row>
    <row r="558" spans="1:6" ht="21" x14ac:dyDescent="0.25">
      <c r="A558" s="2" t="str">
        <f>HYPERLINK("https://rth.dk/resources/bsgatlas/details.php?id=BSGatlas-terminator-557","BSGatlas-terminator-557")</f>
        <v>BSGatlas-terminator-557</v>
      </c>
      <c r="B558" s="3">
        <v>953335</v>
      </c>
      <c r="C558" s="3">
        <v>953368</v>
      </c>
      <c r="D558" s="1" t="s">
        <v>13</v>
      </c>
      <c r="E558" s="1">
        <v>-8.4</v>
      </c>
      <c r="F558" s="1" t="s">
        <v>15158</v>
      </c>
    </row>
    <row r="559" spans="1:6" ht="21" x14ac:dyDescent="0.25">
      <c r="A559" s="2" t="str">
        <f>HYPERLINK("https://rth.dk/resources/bsgatlas/details.php?id=BSGatlas-terminator-558","BSGatlas-terminator-558")</f>
        <v>BSGatlas-terminator-558</v>
      </c>
      <c r="B559" s="3">
        <v>953345</v>
      </c>
      <c r="C559" s="3">
        <v>953378</v>
      </c>
      <c r="D559" s="1" t="s">
        <v>9</v>
      </c>
      <c r="E559" s="1">
        <v>-8.4</v>
      </c>
      <c r="F559" s="1" t="s">
        <v>4382</v>
      </c>
    </row>
    <row r="560" spans="1:6" ht="21" x14ac:dyDescent="0.25">
      <c r="A560" s="2" t="str">
        <f>HYPERLINK("https://rth.dk/resources/bsgatlas/details.php?id=BSGatlas-terminator-559","BSGatlas-terminator-559")</f>
        <v>BSGatlas-terminator-559</v>
      </c>
      <c r="B560" s="3">
        <v>954455</v>
      </c>
      <c r="C560" s="3">
        <v>954499</v>
      </c>
      <c r="D560" s="1" t="s">
        <v>9</v>
      </c>
      <c r="E560" s="1">
        <v>-18.2</v>
      </c>
      <c r="F560" s="1" t="s">
        <v>15157</v>
      </c>
    </row>
    <row r="561" spans="1:6" ht="21" x14ac:dyDescent="0.25">
      <c r="A561" s="2" t="str">
        <f>HYPERLINK("https://rth.dk/resources/bsgatlas/details.php?id=BSGatlas-terminator-560","BSGatlas-terminator-560")</f>
        <v>BSGatlas-terminator-560</v>
      </c>
      <c r="B561" s="3">
        <v>954531</v>
      </c>
      <c r="C561" s="3">
        <v>954575</v>
      </c>
      <c r="D561" s="1" t="s">
        <v>13</v>
      </c>
      <c r="E561" s="1">
        <v>-18.2</v>
      </c>
      <c r="F561" s="1" t="s">
        <v>15157</v>
      </c>
    </row>
    <row r="562" spans="1:6" ht="21" x14ac:dyDescent="0.25">
      <c r="A562" s="2" t="str">
        <f>HYPERLINK("https://rth.dk/resources/bsgatlas/details.php?id=BSGatlas-terminator-561","BSGatlas-terminator-561")</f>
        <v>BSGatlas-terminator-561</v>
      </c>
      <c r="B562" s="3">
        <v>955771</v>
      </c>
      <c r="C562" s="3">
        <v>955815</v>
      </c>
      <c r="D562" s="1" t="s">
        <v>9</v>
      </c>
      <c r="E562" s="1">
        <v>-12.4</v>
      </c>
      <c r="F562" s="1" t="s">
        <v>15157</v>
      </c>
    </row>
    <row r="563" spans="1:6" ht="21" x14ac:dyDescent="0.25">
      <c r="A563" s="2" t="str">
        <f>HYPERLINK("https://rth.dk/resources/bsgatlas/details.php?id=BSGatlas-terminator-562","BSGatlas-terminator-562")</f>
        <v>BSGatlas-terminator-562</v>
      </c>
      <c r="B563" s="3">
        <v>957621</v>
      </c>
      <c r="C563" s="3">
        <v>957665</v>
      </c>
      <c r="D563" s="1" t="s">
        <v>9</v>
      </c>
      <c r="E563" s="1">
        <v>-15.3</v>
      </c>
      <c r="F563" s="1" t="s">
        <v>15157</v>
      </c>
    </row>
    <row r="564" spans="1:6" ht="21" x14ac:dyDescent="0.25">
      <c r="A564" s="2" t="str">
        <f>HYPERLINK("https://rth.dk/resources/bsgatlas/details.php?id=BSGatlas-terminator-563","BSGatlas-terminator-563")</f>
        <v>BSGatlas-terminator-563</v>
      </c>
      <c r="B564" s="3">
        <v>958580</v>
      </c>
      <c r="C564" s="3">
        <v>958646</v>
      </c>
      <c r="D564" s="1" t="s">
        <v>9</v>
      </c>
      <c r="E564" s="1"/>
      <c r="F564" s="1" t="s">
        <v>15159</v>
      </c>
    </row>
    <row r="565" spans="1:6" ht="21" x14ac:dyDescent="0.25">
      <c r="A565" s="2" t="str">
        <f>HYPERLINK("https://rth.dk/resources/bsgatlas/details.php?id=BSGatlas-terminator-564","BSGatlas-terminator-564")</f>
        <v>BSGatlas-terminator-564</v>
      </c>
      <c r="B565" s="3">
        <v>959247</v>
      </c>
      <c r="C565" s="3">
        <v>959296</v>
      </c>
      <c r="D565" s="1" t="s">
        <v>9</v>
      </c>
      <c r="E565" s="1">
        <v>-17.600000000000001</v>
      </c>
      <c r="F565" s="1" t="s">
        <v>4382</v>
      </c>
    </row>
    <row r="566" spans="1:6" ht="21" x14ac:dyDescent="0.25">
      <c r="A566" s="2" t="str">
        <f>HYPERLINK("https://rth.dk/resources/bsgatlas/details.php?id=BSGatlas-terminator-565","BSGatlas-terminator-565")</f>
        <v>BSGatlas-terminator-565</v>
      </c>
      <c r="B566" s="3">
        <v>959486</v>
      </c>
      <c r="C566" s="3">
        <v>959523</v>
      </c>
      <c r="D566" s="1" t="s">
        <v>13</v>
      </c>
      <c r="E566" s="1">
        <v>-10.6</v>
      </c>
      <c r="F566" s="1" t="s">
        <v>15158</v>
      </c>
    </row>
    <row r="567" spans="1:6" ht="21" x14ac:dyDescent="0.25">
      <c r="A567" s="2" t="str">
        <f>HYPERLINK("https://rth.dk/resources/bsgatlas/details.php?id=BSGatlas-terminator-566","BSGatlas-terminator-566")</f>
        <v>BSGatlas-terminator-566</v>
      </c>
      <c r="B567" s="3">
        <v>959496</v>
      </c>
      <c r="C567" s="3">
        <v>959533</v>
      </c>
      <c r="D567" s="1" t="s">
        <v>9</v>
      </c>
      <c r="E567" s="1">
        <v>-7.2</v>
      </c>
      <c r="F567" s="1" t="s">
        <v>4382</v>
      </c>
    </row>
    <row r="568" spans="1:6" ht="21" x14ac:dyDescent="0.25">
      <c r="A568" s="2" t="str">
        <f>HYPERLINK("https://rth.dk/resources/bsgatlas/details.php?id=BSGatlas-terminator-567","BSGatlas-terminator-567")</f>
        <v>BSGatlas-terminator-567</v>
      </c>
      <c r="B568" s="3">
        <v>961273</v>
      </c>
      <c r="C568" s="3">
        <v>961317</v>
      </c>
      <c r="D568" s="1" t="s">
        <v>9</v>
      </c>
      <c r="E568" s="1">
        <v>-19.7</v>
      </c>
      <c r="F568" s="1" t="s">
        <v>15157</v>
      </c>
    </row>
    <row r="569" spans="1:6" ht="21" x14ac:dyDescent="0.25">
      <c r="A569" s="2" t="str">
        <f>HYPERLINK("https://rth.dk/resources/bsgatlas/details.php?id=BSGatlas-terminator-568","BSGatlas-terminator-568")</f>
        <v>BSGatlas-terminator-568</v>
      </c>
      <c r="B569" s="3">
        <v>965158</v>
      </c>
      <c r="C569" s="3">
        <v>965227</v>
      </c>
      <c r="D569" s="1" t="s">
        <v>9</v>
      </c>
      <c r="E569" s="1">
        <v>-14.3</v>
      </c>
      <c r="F569" s="1" t="s">
        <v>4382</v>
      </c>
    </row>
    <row r="570" spans="1:6" ht="21" x14ac:dyDescent="0.25">
      <c r="A570" s="2" t="str">
        <f>HYPERLINK("https://rth.dk/resources/bsgatlas/details.php?id=BSGatlas-terminator-569","BSGatlas-terminator-569")</f>
        <v>BSGatlas-terminator-569</v>
      </c>
      <c r="B570" s="3">
        <v>965792</v>
      </c>
      <c r="C570" s="3">
        <v>965835</v>
      </c>
      <c r="D570" s="1" t="s">
        <v>9</v>
      </c>
      <c r="E570" s="1">
        <v>-15.4</v>
      </c>
      <c r="F570" s="1" t="s">
        <v>4382</v>
      </c>
    </row>
    <row r="571" spans="1:6" ht="21" x14ac:dyDescent="0.25">
      <c r="A571" s="2" t="str">
        <f>HYPERLINK("https://rth.dk/resources/bsgatlas/details.php?id=BSGatlas-terminator-570","BSGatlas-terminator-570")</f>
        <v>BSGatlas-terminator-570</v>
      </c>
      <c r="B571" s="3">
        <v>966143</v>
      </c>
      <c r="C571" s="3">
        <v>966187</v>
      </c>
      <c r="D571" s="1" t="s">
        <v>9</v>
      </c>
      <c r="E571" s="1">
        <v>-10.1</v>
      </c>
      <c r="F571" s="1" t="s">
        <v>15157</v>
      </c>
    </row>
    <row r="572" spans="1:6" ht="21" x14ac:dyDescent="0.25">
      <c r="A572" s="2" t="str">
        <f>HYPERLINK("https://rth.dk/resources/bsgatlas/details.php?id=BSGatlas-terminator-571","BSGatlas-terminator-571")</f>
        <v>BSGatlas-terminator-571</v>
      </c>
      <c r="B572" s="3">
        <v>966185</v>
      </c>
      <c r="C572" s="3">
        <v>966211</v>
      </c>
      <c r="D572" s="1" t="s">
        <v>13</v>
      </c>
      <c r="E572" s="1">
        <v>-15.4</v>
      </c>
      <c r="F572" s="1" t="s">
        <v>15161</v>
      </c>
    </row>
    <row r="573" spans="1:6" ht="21" x14ac:dyDescent="0.25">
      <c r="A573" s="2" t="str">
        <f>HYPERLINK("https://rth.dk/resources/bsgatlas/details.php?id=BSGatlas-terminator-572","BSGatlas-terminator-572")</f>
        <v>BSGatlas-terminator-572</v>
      </c>
      <c r="B573" s="3">
        <v>967222</v>
      </c>
      <c r="C573" s="3">
        <v>967266</v>
      </c>
      <c r="D573" s="1" t="s">
        <v>13</v>
      </c>
      <c r="E573" s="1">
        <v>-7.9</v>
      </c>
      <c r="F573" s="1" t="s">
        <v>15157</v>
      </c>
    </row>
    <row r="574" spans="1:6" ht="21" x14ac:dyDescent="0.25">
      <c r="A574" s="2" t="str">
        <f>HYPERLINK("https://rth.dk/resources/bsgatlas/details.php?id=BSGatlas-terminator-573","BSGatlas-terminator-573")</f>
        <v>BSGatlas-terminator-573</v>
      </c>
      <c r="B574" s="3">
        <v>967256</v>
      </c>
      <c r="C574" s="3">
        <v>967300</v>
      </c>
      <c r="D574" s="1" t="s">
        <v>9</v>
      </c>
      <c r="E574" s="1">
        <v>-15.5</v>
      </c>
      <c r="F574" s="1" t="s">
        <v>15162</v>
      </c>
    </row>
    <row r="575" spans="1:6" ht="21" x14ac:dyDescent="0.25">
      <c r="A575" s="2" t="str">
        <f>HYPERLINK("https://rth.dk/resources/bsgatlas/details.php?id=BSGatlas-terminator-574","BSGatlas-terminator-574")</f>
        <v>BSGatlas-terminator-574</v>
      </c>
      <c r="B575" s="3">
        <v>969082</v>
      </c>
      <c r="C575" s="3">
        <v>969126</v>
      </c>
      <c r="D575" s="1" t="s">
        <v>9</v>
      </c>
      <c r="E575" s="1">
        <v>-15.1</v>
      </c>
      <c r="F575" s="1" t="s">
        <v>15157</v>
      </c>
    </row>
    <row r="576" spans="1:6" ht="21" x14ac:dyDescent="0.25">
      <c r="A576" s="2" t="str">
        <f>HYPERLINK("https://rth.dk/resources/bsgatlas/details.php?id=BSGatlas-terminator-575","BSGatlas-terminator-575")</f>
        <v>BSGatlas-terminator-575</v>
      </c>
      <c r="B576" s="3">
        <v>969158</v>
      </c>
      <c r="C576" s="3">
        <v>969202</v>
      </c>
      <c r="D576" s="1" t="s">
        <v>13</v>
      </c>
      <c r="E576" s="1">
        <v>-6</v>
      </c>
      <c r="F576" s="1" t="s">
        <v>15157</v>
      </c>
    </row>
    <row r="577" spans="1:6" ht="21" x14ac:dyDescent="0.25">
      <c r="A577" s="2" t="str">
        <f>HYPERLINK("https://rth.dk/resources/bsgatlas/details.php?id=BSGatlas-terminator-576","BSGatlas-terminator-576")</f>
        <v>BSGatlas-terminator-576</v>
      </c>
      <c r="B577" s="3">
        <v>970578</v>
      </c>
      <c r="C577" s="3">
        <v>970622</v>
      </c>
      <c r="D577" s="1" t="s">
        <v>9</v>
      </c>
      <c r="E577" s="1">
        <v>-15.1</v>
      </c>
      <c r="F577" s="1" t="s">
        <v>15157</v>
      </c>
    </row>
    <row r="578" spans="1:6" ht="21" x14ac:dyDescent="0.25">
      <c r="A578" s="2" t="str">
        <f>HYPERLINK("https://rth.dk/resources/bsgatlas/details.php?id=BSGatlas-terminator-577","BSGatlas-terminator-577")</f>
        <v>BSGatlas-terminator-577</v>
      </c>
      <c r="B578" s="3">
        <v>972668</v>
      </c>
      <c r="C578" s="3">
        <v>972756</v>
      </c>
      <c r="D578" s="1" t="s">
        <v>9</v>
      </c>
      <c r="E578" s="1">
        <v>-15.3</v>
      </c>
      <c r="F578" s="1" t="s">
        <v>15157</v>
      </c>
    </row>
    <row r="579" spans="1:6" ht="21" x14ac:dyDescent="0.25">
      <c r="A579" s="2" t="str">
        <f>HYPERLINK("https://rth.dk/resources/bsgatlas/details.php?id=BSGatlas-terminator-578","BSGatlas-terminator-578")</f>
        <v>BSGatlas-terminator-578</v>
      </c>
      <c r="B579" s="3">
        <v>972778</v>
      </c>
      <c r="C579" s="3">
        <v>972822</v>
      </c>
      <c r="D579" s="1" t="s">
        <v>9</v>
      </c>
      <c r="E579" s="1">
        <v>-15.3</v>
      </c>
      <c r="F579" s="1" t="s">
        <v>15157</v>
      </c>
    </row>
    <row r="580" spans="1:6" ht="21" x14ac:dyDescent="0.25">
      <c r="A580" s="2" t="str">
        <f>HYPERLINK("https://rth.dk/resources/bsgatlas/details.php?id=BSGatlas-terminator-579","BSGatlas-terminator-579")</f>
        <v>BSGatlas-terminator-579</v>
      </c>
      <c r="B580" s="3">
        <v>972825</v>
      </c>
      <c r="C580" s="3">
        <v>972866</v>
      </c>
      <c r="D580" s="1" t="s">
        <v>9</v>
      </c>
      <c r="E580" s="1">
        <v>-18.5</v>
      </c>
      <c r="F580" s="1" t="s">
        <v>4382</v>
      </c>
    </row>
    <row r="581" spans="1:6" ht="21" x14ac:dyDescent="0.25">
      <c r="A581" s="2" t="str">
        <f>HYPERLINK("https://rth.dk/resources/bsgatlas/details.php?id=BSGatlas-terminator-580","BSGatlas-terminator-580")</f>
        <v>BSGatlas-terminator-580</v>
      </c>
      <c r="B581" s="3">
        <v>972854</v>
      </c>
      <c r="C581" s="3">
        <v>972898</v>
      </c>
      <c r="D581" s="1" t="s">
        <v>13</v>
      </c>
      <c r="E581" s="1">
        <v>-13.5</v>
      </c>
      <c r="F581" s="1" t="s">
        <v>15157</v>
      </c>
    </row>
    <row r="582" spans="1:6" ht="21" x14ac:dyDescent="0.25">
      <c r="A582" s="2" t="str">
        <f>HYPERLINK("https://rth.dk/resources/bsgatlas/details.php?id=BSGatlas-terminator-581","BSGatlas-terminator-581")</f>
        <v>BSGatlas-terminator-581</v>
      </c>
      <c r="B582" s="3">
        <v>973702</v>
      </c>
      <c r="C582" s="3">
        <v>973746</v>
      </c>
      <c r="D582" s="1" t="s">
        <v>9</v>
      </c>
      <c r="E582" s="1">
        <v>-15.3</v>
      </c>
      <c r="F582" s="1" t="s">
        <v>15157</v>
      </c>
    </row>
    <row r="583" spans="1:6" ht="21" x14ac:dyDescent="0.25">
      <c r="A583" s="2" t="str">
        <f>HYPERLINK("https://rth.dk/resources/bsgatlas/details.php?id=BSGatlas-terminator-582","BSGatlas-terminator-582")</f>
        <v>BSGatlas-terminator-582</v>
      </c>
      <c r="B583" s="3">
        <v>975054</v>
      </c>
      <c r="C583" s="3">
        <v>975097</v>
      </c>
      <c r="D583" s="1" t="s">
        <v>9</v>
      </c>
      <c r="E583" s="1">
        <v>-19.2</v>
      </c>
      <c r="F583" s="1" t="s">
        <v>15158</v>
      </c>
    </row>
    <row r="584" spans="1:6" ht="21" x14ac:dyDescent="0.25">
      <c r="A584" s="2" t="str">
        <f>HYPERLINK("https://rth.dk/resources/bsgatlas/details.php?id=BSGatlas-terminator-583","BSGatlas-terminator-583")</f>
        <v>BSGatlas-terminator-583</v>
      </c>
      <c r="B584" s="3">
        <v>975670</v>
      </c>
      <c r="C584" s="3">
        <v>975714</v>
      </c>
      <c r="D584" s="1" t="s">
        <v>13</v>
      </c>
      <c r="E584" s="1">
        <v>-11.2</v>
      </c>
      <c r="F584" s="1" t="s">
        <v>15157</v>
      </c>
    </row>
    <row r="585" spans="1:6" ht="21" x14ac:dyDescent="0.25">
      <c r="A585" s="2" t="str">
        <f>HYPERLINK("https://rth.dk/resources/bsgatlas/details.php?id=BSGatlas-terminator-584","BSGatlas-terminator-584")</f>
        <v>BSGatlas-terminator-584</v>
      </c>
      <c r="B585" s="3">
        <v>976366</v>
      </c>
      <c r="C585" s="3">
        <v>976410</v>
      </c>
      <c r="D585" s="1" t="s">
        <v>9</v>
      </c>
      <c r="E585" s="1">
        <v>-5.6</v>
      </c>
      <c r="F585" s="1" t="s">
        <v>15157</v>
      </c>
    </row>
    <row r="586" spans="1:6" ht="21" x14ac:dyDescent="0.25">
      <c r="A586" s="2" t="str">
        <f>HYPERLINK("https://rth.dk/resources/bsgatlas/details.php?id=BSGatlas-terminator-585","BSGatlas-terminator-585")</f>
        <v>BSGatlas-terminator-585</v>
      </c>
      <c r="B586" s="3">
        <v>976411</v>
      </c>
      <c r="C586" s="3">
        <v>976444</v>
      </c>
      <c r="D586" s="1" t="s">
        <v>9</v>
      </c>
      <c r="E586" s="1">
        <v>-7.8</v>
      </c>
      <c r="F586" s="1" t="s">
        <v>4382</v>
      </c>
    </row>
    <row r="587" spans="1:6" ht="21" x14ac:dyDescent="0.25">
      <c r="A587" s="2" t="str">
        <f>HYPERLINK("https://rth.dk/resources/bsgatlas/details.php?id=BSGatlas-terminator-586","BSGatlas-terminator-586")</f>
        <v>BSGatlas-terminator-586</v>
      </c>
      <c r="B587" s="3">
        <v>980280</v>
      </c>
      <c r="C587" s="3">
        <v>980324</v>
      </c>
      <c r="D587" s="1" t="s">
        <v>9</v>
      </c>
      <c r="E587" s="1">
        <v>-14.4</v>
      </c>
      <c r="F587" s="1" t="s">
        <v>15157</v>
      </c>
    </row>
    <row r="588" spans="1:6" ht="21" x14ac:dyDescent="0.25">
      <c r="A588" s="2" t="str">
        <f>HYPERLINK("https://rth.dk/resources/bsgatlas/details.php?id=BSGatlas-terminator-587","BSGatlas-terminator-587")</f>
        <v>BSGatlas-terminator-587</v>
      </c>
      <c r="B588" s="3">
        <v>984160</v>
      </c>
      <c r="C588" s="3">
        <v>984217</v>
      </c>
      <c r="D588" s="1" t="s">
        <v>9</v>
      </c>
      <c r="E588" s="1">
        <v>-16.600000000000001</v>
      </c>
      <c r="F588" s="1" t="s">
        <v>15158</v>
      </c>
    </row>
    <row r="589" spans="1:6" ht="21" x14ac:dyDescent="0.25">
      <c r="A589" s="2" t="str">
        <f>HYPERLINK("https://rth.dk/resources/bsgatlas/details.php?id=BSGatlas-terminator-588","BSGatlas-terminator-588")</f>
        <v>BSGatlas-terminator-588</v>
      </c>
      <c r="B589" s="3">
        <v>984164</v>
      </c>
      <c r="C589" s="3">
        <v>984246</v>
      </c>
      <c r="D589" s="1" t="s">
        <v>13</v>
      </c>
      <c r="E589" s="1">
        <v>-17.5</v>
      </c>
      <c r="F589" s="1" t="s">
        <v>4382</v>
      </c>
    </row>
    <row r="590" spans="1:6" ht="21" x14ac:dyDescent="0.25">
      <c r="A590" s="2" t="str">
        <f>HYPERLINK("https://rth.dk/resources/bsgatlas/details.php?id=BSGatlas-terminator-589","BSGatlas-terminator-589")</f>
        <v>BSGatlas-terminator-589</v>
      </c>
      <c r="B590" s="3">
        <v>984254</v>
      </c>
      <c r="C590" s="3">
        <v>984298</v>
      </c>
      <c r="D590" s="1" t="s">
        <v>13</v>
      </c>
      <c r="E590" s="1">
        <v>-13.1</v>
      </c>
      <c r="F590" s="1" t="s">
        <v>15157</v>
      </c>
    </row>
    <row r="591" spans="1:6" ht="21" x14ac:dyDescent="0.25">
      <c r="A591" s="2" t="str">
        <f>HYPERLINK("https://rth.dk/resources/bsgatlas/details.php?id=BSGatlas-terminator-590","BSGatlas-terminator-590")</f>
        <v>BSGatlas-terminator-590</v>
      </c>
      <c r="B591" s="3">
        <v>985668</v>
      </c>
      <c r="C591" s="3">
        <v>985712</v>
      </c>
      <c r="D591" s="1" t="s">
        <v>9</v>
      </c>
      <c r="E591" s="1">
        <v>-7.3</v>
      </c>
      <c r="F591" s="1" t="s">
        <v>15157</v>
      </c>
    </row>
    <row r="592" spans="1:6" ht="21" x14ac:dyDescent="0.25">
      <c r="A592" s="2" t="str">
        <f>HYPERLINK("https://rth.dk/resources/bsgatlas/details.php?id=BSGatlas-terminator-591","BSGatlas-terminator-591")</f>
        <v>BSGatlas-terminator-591</v>
      </c>
      <c r="B592" s="3">
        <v>987980</v>
      </c>
      <c r="C592" s="3">
        <v>988046</v>
      </c>
      <c r="D592" s="1" t="s">
        <v>13</v>
      </c>
      <c r="E592" s="1"/>
      <c r="F592" s="1" t="s">
        <v>15159</v>
      </c>
    </row>
    <row r="593" spans="1:6" ht="21" x14ac:dyDescent="0.25">
      <c r="A593" s="2" t="str">
        <f>HYPERLINK("https://rth.dk/resources/bsgatlas/details.php?id=BSGatlas-terminator-592","BSGatlas-terminator-592")</f>
        <v>BSGatlas-terminator-592</v>
      </c>
      <c r="B593" s="3">
        <v>988373</v>
      </c>
      <c r="C593" s="3">
        <v>988428</v>
      </c>
      <c r="D593" s="1" t="s">
        <v>13</v>
      </c>
      <c r="E593" s="1">
        <v>-16.100000000000001</v>
      </c>
      <c r="F593" s="1" t="s">
        <v>4382</v>
      </c>
    </row>
    <row r="594" spans="1:6" ht="21" x14ac:dyDescent="0.25">
      <c r="A594" s="2" t="str">
        <f>HYPERLINK("https://rth.dk/resources/bsgatlas/details.php?id=BSGatlas-terminator-593","BSGatlas-terminator-593")</f>
        <v>BSGatlas-terminator-593</v>
      </c>
      <c r="B594" s="3">
        <v>988374</v>
      </c>
      <c r="C594" s="3">
        <v>988426</v>
      </c>
      <c r="D594" s="1" t="s">
        <v>9</v>
      </c>
      <c r="E594" s="1">
        <v>-16.399999999999999</v>
      </c>
      <c r="F594" s="1" t="s">
        <v>15158</v>
      </c>
    </row>
    <row r="595" spans="1:6" ht="21" x14ac:dyDescent="0.25">
      <c r="A595" s="2" t="str">
        <f>HYPERLINK("https://rth.dk/resources/bsgatlas/details.php?id=BSGatlas-terminator-594","BSGatlas-terminator-594")</f>
        <v>BSGatlas-terminator-594</v>
      </c>
      <c r="B595" s="3">
        <v>989544</v>
      </c>
      <c r="C595" s="3">
        <v>989588</v>
      </c>
      <c r="D595" s="1" t="s">
        <v>9</v>
      </c>
      <c r="E595" s="1">
        <v>-12.9</v>
      </c>
      <c r="F595" s="1" t="s">
        <v>15157</v>
      </c>
    </row>
    <row r="596" spans="1:6" ht="21" x14ac:dyDescent="0.25">
      <c r="A596" s="2" t="str">
        <f>HYPERLINK("https://rth.dk/resources/bsgatlas/details.php?id=BSGatlas-terminator-595","BSGatlas-terminator-595")</f>
        <v>BSGatlas-terminator-595</v>
      </c>
      <c r="B596" s="3">
        <v>989596</v>
      </c>
      <c r="C596" s="3">
        <v>989634</v>
      </c>
      <c r="D596" s="1" t="s">
        <v>9</v>
      </c>
      <c r="E596" s="1">
        <v>-16.100000000000001</v>
      </c>
      <c r="F596" s="1" t="s">
        <v>4382</v>
      </c>
    </row>
    <row r="597" spans="1:6" ht="21" x14ac:dyDescent="0.25">
      <c r="A597" s="2" t="str">
        <f>HYPERLINK("https://rth.dk/resources/bsgatlas/details.php?id=BSGatlas-terminator-596","BSGatlas-terminator-596")</f>
        <v>BSGatlas-terminator-596</v>
      </c>
      <c r="B597" s="3">
        <v>990534</v>
      </c>
      <c r="C597" s="3">
        <v>990578</v>
      </c>
      <c r="D597" s="1" t="s">
        <v>9</v>
      </c>
      <c r="E597" s="1">
        <v>-16.100000000000001</v>
      </c>
      <c r="F597" s="1" t="s">
        <v>15157</v>
      </c>
    </row>
    <row r="598" spans="1:6" ht="21" x14ac:dyDescent="0.25">
      <c r="A598" s="2" t="str">
        <f>HYPERLINK("https://rth.dk/resources/bsgatlas/details.php?id=BSGatlas-terminator-597","BSGatlas-terminator-597")</f>
        <v>BSGatlas-terminator-597</v>
      </c>
      <c r="B598" s="3">
        <v>990607</v>
      </c>
      <c r="C598" s="3">
        <v>990651</v>
      </c>
      <c r="D598" s="1" t="s">
        <v>13</v>
      </c>
      <c r="E598" s="1">
        <v>-12.9</v>
      </c>
      <c r="F598" s="1" t="s">
        <v>15157</v>
      </c>
    </row>
    <row r="599" spans="1:6" ht="21" x14ac:dyDescent="0.25">
      <c r="A599" s="2" t="str">
        <f>HYPERLINK("https://rth.dk/resources/bsgatlas/details.php?id=BSGatlas-terminator-598","BSGatlas-terminator-598")</f>
        <v>BSGatlas-terminator-598</v>
      </c>
      <c r="B599" s="3">
        <v>990676</v>
      </c>
      <c r="C599" s="3">
        <v>990752</v>
      </c>
      <c r="D599" s="1" t="s">
        <v>9</v>
      </c>
      <c r="E599" s="1">
        <v>-20.9</v>
      </c>
      <c r="F599" s="1" t="s">
        <v>4382</v>
      </c>
    </row>
    <row r="600" spans="1:6" ht="21" x14ac:dyDescent="0.25">
      <c r="A600" s="2" t="str">
        <f>HYPERLINK("https://rth.dk/resources/bsgatlas/details.php?id=BSGatlas-terminator-599","BSGatlas-terminator-599")</f>
        <v>BSGatlas-terminator-599</v>
      </c>
      <c r="B600" s="3">
        <v>995551</v>
      </c>
      <c r="C600" s="3">
        <v>995595</v>
      </c>
      <c r="D600" s="1" t="s">
        <v>9</v>
      </c>
      <c r="E600" s="1">
        <v>-8.8000000000000007</v>
      </c>
      <c r="F600" s="1" t="s">
        <v>15157</v>
      </c>
    </row>
    <row r="601" spans="1:6" ht="21" x14ac:dyDescent="0.25">
      <c r="A601" s="2" t="str">
        <f>HYPERLINK("https://rth.dk/resources/bsgatlas/details.php?id=BSGatlas-terminator-600","BSGatlas-terminator-600")</f>
        <v>BSGatlas-terminator-600</v>
      </c>
      <c r="B601" s="3">
        <v>997585</v>
      </c>
      <c r="C601" s="3">
        <v>997629</v>
      </c>
      <c r="D601" s="1" t="s">
        <v>13</v>
      </c>
      <c r="E601" s="1">
        <v>-9.1</v>
      </c>
      <c r="F601" s="1" t="s">
        <v>15157</v>
      </c>
    </row>
    <row r="602" spans="1:6" ht="21" x14ac:dyDescent="0.25">
      <c r="A602" s="2" t="str">
        <f>HYPERLINK("https://rth.dk/resources/bsgatlas/details.php?id=BSGatlas-terminator-601","BSGatlas-terminator-601")</f>
        <v>BSGatlas-terminator-601</v>
      </c>
      <c r="B602" s="3">
        <v>997592</v>
      </c>
      <c r="C602" s="3">
        <v>997640</v>
      </c>
      <c r="D602" s="1" t="s">
        <v>9</v>
      </c>
      <c r="E602" s="1">
        <v>-15.8</v>
      </c>
      <c r="F602" s="1" t="s">
        <v>15158</v>
      </c>
    </row>
    <row r="603" spans="1:6" ht="21" x14ac:dyDescent="0.25">
      <c r="A603" s="2" t="str">
        <f>HYPERLINK("https://rth.dk/resources/bsgatlas/details.php?id=BSGatlas-terminator-602","BSGatlas-terminator-602")</f>
        <v>BSGatlas-terminator-602</v>
      </c>
      <c r="B603" s="3">
        <v>999904</v>
      </c>
      <c r="C603" s="3">
        <v>999948</v>
      </c>
      <c r="D603" s="1" t="s">
        <v>9</v>
      </c>
      <c r="E603" s="1">
        <v>-10.5</v>
      </c>
      <c r="F603" s="1" t="s">
        <v>15157</v>
      </c>
    </row>
    <row r="604" spans="1:6" ht="21" x14ac:dyDescent="0.25">
      <c r="A604" s="2" t="str">
        <f>HYPERLINK("https://rth.dk/resources/bsgatlas/details.php?id=BSGatlas-terminator-603","BSGatlas-terminator-603")</f>
        <v>BSGatlas-terminator-603</v>
      </c>
      <c r="B604" s="3">
        <v>1002380</v>
      </c>
      <c r="C604" s="3">
        <v>1002482</v>
      </c>
      <c r="D604" s="1" t="s">
        <v>9</v>
      </c>
      <c r="E604" s="1">
        <v>-30.9</v>
      </c>
      <c r="F604" s="1" t="s">
        <v>15158</v>
      </c>
    </row>
    <row r="605" spans="1:6" ht="21" x14ac:dyDescent="0.25">
      <c r="A605" s="2" t="str">
        <f>HYPERLINK("https://rth.dk/resources/bsgatlas/details.php?id=BSGatlas-terminator-604","BSGatlas-terminator-604")</f>
        <v>BSGatlas-terminator-604</v>
      </c>
      <c r="B605" s="3">
        <v>1004885</v>
      </c>
      <c r="C605" s="3">
        <v>1004953</v>
      </c>
      <c r="D605" s="1" t="s">
        <v>9</v>
      </c>
      <c r="E605" s="1">
        <v>-37.5</v>
      </c>
      <c r="F605" s="1" t="s">
        <v>15160</v>
      </c>
    </row>
    <row r="606" spans="1:6" ht="21" x14ac:dyDescent="0.25">
      <c r="A606" s="2" t="str">
        <f>HYPERLINK("https://rth.dk/resources/bsgatlas/details.php?id=BSGatlas-terminator-605","BSGatlas-terminator-605")</f>
        <v>BSGatlas-terminator-605</v>
      </c>
      <c r="B606" s="3">
        <v>1006588</v>
      </c>
      <c r="C606" s="3">
        <v>1006632</v>
      </c>
      <c r="D606" s="1" t="s">
        <v>9</v>
      </c>
      <c r="E606" s="1">
        <v>-11.4</v>
      </c>
      <c r="F606" s="1" t="s">
        <v>15157</v>
      </c>
    </row>
    <row r="607" spans="1:6" ht="21" x14ac:dyDescent="0.25">
      <c r="A607" s="2" t="str">
        <f>HYPERLINK("https://rth.dk/resources/bsgatlas/details.php?id=BSGatlas-terminator-606","BSGatlas-terminator-606")</f>
        <v>BSGatlas-terminator-606</v>
      </c>
      <c r="B607" s="3">
        <v>1006645</v>
      </c>
      <c r="C607" s="3">
        <v>1006682</v>
      </c>
      <c r="D607" s="1" t="s">
        <v>9</v>
      </c>
      <c r="E607" s="1">
        <v>-13.5</v>
      </c>
      <c r="F607" s="1" t="s">
        <v>4382</v>
      </c>
    </row>
    <row r="608" spans="1:6" ht="21" x14ac:dyDescent="0.25">
      <c r="A608" s="2" t="str">
        <f>HYPERLINK("https://rth.dk/resources/bsgatlas/details.php?id=BSGatlas-terminator-607","BSGatlas-terminator-607")</f>
        <v>BSGatlas-terminator-607</v>
      </c>
      <c r="B608" s="3">
        <v>1008486</v>
      </c>
      <c r="C608" s="3">
        <v>1008530</v>
      </c>
      <c r="D608" s="1" t="s">
        <v>9</v>
      </c>
      <c r="E608" s="1">
        <v>-13</v>
      </c>
      <c r="F608" s="1" t="s">
        <v>15157</v>
      </c>
    </row>
    <row r="609" spans="1:6" ht="21" x14ac:dyDescent="0.25">
      <c r="A609" s="2" t="str">
        <f>HYPERLINK("https://rth.dk/resources/bsgatlas/details.php?id=BSGatlas-terminator-608","BSGatlas-terminator-608")</f>
        <v>BSGatlas-terminator-608</v>
      </c>
      <c r="B609" s="3">
        <v>1010945</v>
      </c>
      <c r="C609" s="3">
        <v>1010993</v>
      </c>
      <c r="D609" s="1" t="s">
        <v>9</v>
      </c>
      <c r="E609" s="1">
        <v>-19.600000000000001</v>
      </c>
      <c r="F609" s="1" t="s">
        <v>15158</v>
      </c>
    </row>
    <row r="610" spans="1:6" ht="21" x14ac:dyDescent="0.25">
      <c r="A610" s="2" t="str">
        <f>HYPERLINK("https://rth.dk/resources/bsgatlas/details.php?id=BSGatlas-terminator-609","BSGatlas-terminator-609")</f>
        <v>BSGatlas-terminator-609</v>
      </c>
      <c r="B610" s="3">
        <v>1010983</v>
      </c>
      <c r="C610" s="3">
        <v>1011027</v>
      </c>
      <c r="D610" s="1" t="s">
        <v>13</v>
      </c>
      <c r="E610" s="1">
        <v>-17.2</v>
      </c>
      <c r="F610" s="1" t="s">
        <v>15157</v>
      </c>
    </row>
    <row r="611" spans="1:6" ht="21" x14ac:dyDescent="0.25">
      <c r="A611" s="2" t="str">
        <f>HYPERLINK("https://rth.dk/resources/bsgatlas/details.php?id=BSGatlas-terminator-610","BSGatlas-terminator-610")</f>
        <v>BSGatlas-terminator-610</v>
      </c>
      <c r="B611" s="3">
        <v>1011757</v>
      </c>
      <c r="C611" s="3">
        <v>1011782</v>
      </c>
      <c r="D611" s="1" t="s">
        <v>13</v>
      </c>
      <c r="E611" s="1">
        <v>-18.5</v>
      </c>
      <c r="F611" s="1" t="s">
        <v>15161</v>
      </c>
    </row>
    <row r="612" spans="1:6" ht="21" x14ac:dyDescent="0.25">
      <c r="A612" s="2" t="str">
        <f>HYPERLINK("https://rth.dk/resources/bsgatlas/details.php?id=BSGatlas-terminator-611","BSGatlas-terminator-611")</f>
        <v>BSGatlas-terminator-611</v>
      </c>
      <c r="B612" s="3">
        <v>1011869</v>
      </c>
      <c r="C612" s="3">
        <v>1011913</v>
      </c>
      <c r="D612" s="1" t="s">
        <v>13</v>
      </c>
      <c r="E612" s="1">
        <v>-14.2</v>
      </c>
      <c r="F612" s="1" t="s">
        <v>15157</v>
      </c>
    </row>
    <row r="613" spans="1:6" ht="21" x14ac:dyDescent="0.25">
      <c r="A613" s="2" t="str">
        <f>HYPERLINK("https://rth.dk/resources/bsgatlas/details.php?id=BSGatlas-terminator-612","BSGatlas-terminator-612")</f>
        <v>BSGatlas-terminator-612</v>
      </c>
      <c r="B613" s="3">
        <v>1013382</v>
      </c>
      <c r="C613" s="3">
        <v>1013425</v>
      </c>
      <c r="D613" s="1" t="s">
        <v>13</v>
      </c>
      <c r="E613" s="1">
        <v>-11.2</v>
      </c>
      <c r="F613" s="1" t="s">
        <v>15158</v>
      </c>
    </row>
    <row r="614" spans="1:6" ht="21" x14ac:dyDescent="0.25">
      <c r="A614" s="2" t="str">
        <f>HYPERLINK("https://rth.dk/resources/bsgatlas/details.php?id=BSGatlas-terminator-613","BSGatlas-terminator-613")</f>
        <v>BSGatlas-terminator-613</v>
      </c>
      <c r="B614" s="3">
        <v>1013584</v>
      </c>
      <c r="C614" s="3">
        <v>1013650</v>
      </c>
      <c r="D614" s="1" t="s">
        <v>9</v>
      </c>
      <c r="E614" s="1"/>
      <c r="F614" s="1" t="s">
        <v>15159</v>
      </c>
    </row>
    <row r="615" spans="1:6" ht="21" x14ac:dyDescent="0.25">
      <c r="A615" s="2" t="str">
        <f>HYPERLINK("https://rth.dk/resources/bsgatlas/details.php?id=BSGatlas-terminator-614","BSGatlas-terminator-614")</f>
        <v>BSGatlas-terminator-614</v>
      </c>
      <c r="B615" s="3">
        <v>1013908</v>
      </c>
      <c r="C615" s="3">
        <v>1013952</v>
      </c>
      <c r="D615" s="1" t="s">
        <v>9</v>
      </c>
      <c r="E615" s="1">
        <v>-11.6</v>
      </c>
      <c r="F615" s="1" t="s">
        <v>15157</v>
      </c>
    </row>
    <row r="616" spans="1:6" ht="21" x14ac:dyDescent="0.25">
      <c r="A616" s="2" t="str">
        <f>HYPERLINK("https://rth.dk/resources/bsgatlas/details.php?id=BSGatlas-terminator-615","BSGatlas-terminator-615")</f>
        <v>BSGatlas-terminator-615</v>
      </c>
      <c r="B616" s="3">
        <v>1013941</v>
      </c>
      <c r="C616" s="3">
        <v>1013985</v>
      </c>
      <c r="D616" s="1" t="s">
        <v>13</v>
      </c>
      <c r="E616" s="1">
        <v>-14.5</v>
      </c>
      <c r="F616" s="1" t="s">
        <v>15157</v>
      </c>
    </row>
    <row r="617" spans="1:6" ht="21" x14ac:dyDescent="0.25">
      <c r="A617" s="2" t="str">
        <f>HYPERLINK("https://rth.dk/resources/bsgatlas/details.php?id=BSGatlas-terminator-616","BSGatlas-terminator-616")</f>
        <v>BSGatlas-terminator-616</v>
      </c>
      <c r="B617" s="3">
        <v>1017043</v>
      </c>
      <c r="C617" s="3">
        <v>1017085</v>
      </c>
      <c r="D617" s="1" t="s">
        <v>13</v>
      </c>
      <c r="E617" s="1">
        <v>-16.8</v>
      </c>
      <c r="F617" s="1" t="s">
        <v>4382</v>
      </c>
    </row>
    <row r="618" spans="1:6" ht="21" x14ac:dyDescent="0.25">
      <c r="A618" s="2" t="str">
        <f>HYPERLINK("https://rth.dk/resources/bsgatlas/details.php?id=BSGatlas-terminator-617","BSGatlas-terminator-617")</f>
        <v>BSGatlas-terminator-617</v>
      </c>
      <c r="B618" s="3">
        <v>1017055</v>
      </c>
      <c r="C618" s="3">
        <v>1017094</v>
      </c>
      <c r="D618" s="1" t="s">
        <v>9</v>
      </c>
      <c r="E618" s="1">
        <v>-13.3</v>
      </c>
      <c r="F618" s="1" t="s">
        <v>15158</v>
      </c>
    </row>
    <row r="619" spans="1:6" ht="21" x14ac:dyDescent="0.25">
      <c r="A619" s="2" t="str">
        <f>HYPERLINK("https://rth.dk/resources/bsgatlas/details.php?id=BSGatlas-terminator-618","BSGatlas-terminator-618")</f>
        <v>BSGatlas-terminator-618</v>
      </c>
      <c r="B619" s="3">
        <v>1017087</v>
      </c>
      <c r="C619" s="3">
        <v>1017131</v>
      </c>
      <c r="D619" s="1" t="s">
        <v>13</v>
      </c>
      <c r="E619" s="1">
        <v>-13.2</v>
      </c>
      <c r="F619" s="1" t="s">
        <v>15157</v>
      </c>
    </row>
    <row r="620" spans="1:6" ht="21" x14ac:dyDescent="0.25">
      <c r="A620" s="2" t="str">
        <f>HYPERLINK("https://rth.dk/resources/bsgatlas/details.php?id=BSGatlas-terminator-619","BSGatlas-terminator-619")</f>
        <v>BSGatlas-terminator-619</v>
      </c>
      <c r="B620" s="3">
        <v>1019842</v>
      </c>
      <c r="C620" s="3">
        <v>1019886</v>
      </c>
      <c r="D620" s="1" t="s">
        <v>9</v>
      </c>
      <c r="E620" s="1">
        <v>-9.8000000000000007</v>
      </c>
      <c r="F620" s="1" t="s">
        <v>15157</v>
      </c>
    </row>
    <row r="621" spans="1:6" ht="21" x14ac:dyDescent="0.25">
      <c r="A621" s="2" t="str">
        <f>HYPERLINK("https://rth.dk/resources/bsgatlas/details.php?id=BSGatlas-terminator-620","BSGatlas-terminator-620")</f>
        <v>BSGatlas-terminator-620</v>
      </c>
      <c r="B621" s="3">
        <v>1020001</v>
      </c>
      <c r="C621" s="3">
        <v>1020038</v>
      </c>
      <c r="D621" s="1" t="s">
        <v>13</v>
      </c>
      <c r="E621" s="1">
        <v>-11.9</v>
      </c>
      <c r="F621" s="1" t="s">
        <v>4382</v>
      </c>
    </row>
    <row r="622" spans="1:6" ht="21" x14ac:dyDescent="0.25">
      <c r="A622" s="2" t="str">
        <f>HYPERLINK("https://rth.dk/resources/bsgatlas/details.php?id=BSGatlas-terminator-621","BSGatlas-terminator-621")</f>
        <v>BSGatlas-terminator-621</v>
      </c>
      <c r="B622" s="3">
        <v>1020011</v>
      </c>
      <c r="C622" s="3">
        <v>1020048</v>
      </c>
      <c r="D622" s="1" t="s">
        <v>9</v>
      </c>
      <c r="E622" s="1">
        <v>-13.3</v>
      </c>
      <c r="F622" s="1" t="s">
        <v>15158</v>
      </c>
    </row>
    <row r="623" spans="1:6" ht="21" x14ac:dyDescent="0.25">
      <c r="A623" s="2" t="str">
        <f>HYPERLINK("https://rth.dk/resources/bsgatlas/details.php?id=BSGatlas-terminator-622","BSGatlas-terminator-622")</f>
        <v>BSGatlas-terminator-622</v>
      </c>
      <c r="B623" s="3">
        <v>1023107</v>
      </c>
      <c r="C623" s="3">
        <v>1023142</v>
      </c>
      <c r="D623" s="1" t="s">
        <v>9</v>
      </c>
      <c r="E623" s="1">
        <v>-9.3000000000000007</v>
      </c>
      <c r="F623" s="1" t="s">
        <v>15158</v>
      </c>
    </row>
    <row r="624" spans="1:6" ht="21" x14ac:dyDescent="0.25">
      <c r="A624" s="2" t="str">
        <f>HYPERLINK("https://rth.dk/resources/bsgatlas/details.php?id=BSGatlas-terminator-623","BSGatlas-terminator-623")</f>
        <v>BSGatlas-terminator-623</v>
      </c>
      <c r="B624" s="3">
        <v>1024705</v>
      </c>
      <c r="C624" s="3">
        <v>1024749</v>
      </c>
      <c r="D624" s="1" t="s">
        <v>9</v>
      </c>
      <c r="E624" s="1">
        <v>-12.3</v>
      </c>
      <c r="F624" s="1" t="s">
        <v>15157</v>
      </c>
    </row>
    <row r="625" spans="1:6" ht="21" x14ac:dyDescent="0.25">
      <c r="A625" s="2" t="str">
        <f>HYPERLINK("https://rth.dk/resources/bsgatlas/details.php?id=BSGatlas-terminator-624","BSGatlas-terminator-624")</f>
        <v>BSGatlas-terminator-624</v>
      </c>
      <c r="B625" s="3">
        <v>1024755</v>
      </c>
      <c r="C625" s="3">
        <v>1024798</v>
      </c>
      <c r="D625" s="1" t="s">
        <v>9</v>
      </c>
      <c r="E625" s="1">
        <v>-18.3</v>
      </c>
      <c r="F625" s="1" t="s">
        <v>4382</v>
      </c>
    </row>
    <row r="626" spans="1:6" ht="21" x14ac:dyDescent="0.25">
      <c r="A626" s="2" t="str">
        <f>HYPERLINK("https://rth.dk/resources/bsgatlas/details.php?id=BSGatlas-terminator-625","BSGatlas-terminator-625")</f>
        <v>BSGatlas-terminator-625</v>
      </c>
      <c r="B626" s="3">
        <v>1026179</v>
      </c>
      <c r="C626" s="3">
        <v>1026223</v>
      </c>
      <c r="D626" s="1" t="s">
        <v>9</v>
      </c>
      <c r="E626" s="1">
        <v>-14.8</v>
      </c>
      <c r="F626" s="1" t="s">
        <v>15157</v>
      </c>
    </row>
    <row r="627" spans="1:6" ht="21" x14ac:dyDescent="0.25">
      <c r="A627" s="2" t="str">
        <f>HYPERLINK("https://rth.dk/resources/bsgatlas/details.php?id=BSGatlas-terminator-626","BSGatlas-terminator-626")</f>
        <v>BSGatlas-terminator-626</v>
      </c>
      <c r="B627" s="3">
        <v>1028159</v>
      </c>
      <c r="C627" s="3">
        <v>1028203</v>
      </c>
      <c r="D627" s="1" t="s">
        <v>9</v>
      </c>
      <c r="E627" s="1">
        <v>-12.1</v>
      </c>
      <c r="F627" s="1" t="s">
        <v>15157</v>
      </c>
    </row>
    <row r="628" spans="1:6" ht="21" x14ac:dyDescent="0.25">
      <c r="A628" s="2" t="str">
        <f>HYPERLINK("https://rth.dk/resources/bsgatlas/details.php?id=BSGatlas-terminator-627","BSGatlas-terminator-627")</f>
        <v>BSGatlas-terminator-627</v>
      </c>
      <c r="B628" s="3">
        <v>1028196</v>
      </c>
      <c r="C628" s="3">
        <v>1028233</v>
      </c>
      <c r="D628" s="1" t="s">
        <v>13</v>
      </c>
      <c r="E628" s="1">
        <v>-12.6</v>
      </c>
      <c r="F628" s="1" t="s">
        <v>4382</v>
      </c>
    </row>
    <row r="629" spans="1:6" ht="21" x14ac:dyDescent="0.25">
      <c r="A629" s="2" t="str">
        <f>HYPERLINK("https://rth.dk/resources/bsgatlas/details.php?id=BSGatlas-terminator-628","BSGatlas-terminator-628")</f>
        <v>BSGatlas-terminator-628</v>
      </c>
      <c r="B629" s="3">
        <v>1028206</v>
      </c>
      <c r="C629" s="3">
        <v>1028243</v>
      </c>
      <c r="D629" s="1" t="s">
        <v>9</v>
      </c>
      <c r="E629" s="1">
        <v>-15.9</v>
      </c>
      <c r="F629" s="1" t="s">
        <v>4382</v>
      </c>
    </row>
    <row r="630" spans="1:6" ht="21" x14ac:dyDescent="0.25">
      <c r="A630" s="2" t="str">
        <f>HYPERLINK("https://rth.dk/resources/bsgatlas/details.php?id=BSGatlas-terminator-629","BSGatlas-terminator-629")</f>
        <v>BSGatlas-terminator-629</v>
      </c>
      <c r="B630" s="3">
        <v>1028235</v>
      </c>
      <c r="C630" s="3">
        <v>1028279</v>
      </c>
      <c r="D630" s="1" t="s">
        <v>13</v>
      </c>
      <c r="E630" s="1">
        <v>-11.1</v>
      </c>
      <c r="F630" s="1" t="s">
        <v>15157</v>
      </c>
    </row>
    <row r="631" spans="1:6" ht="21" x14ac:dyDescent="0.25">
      <c r="A631" s="2" t="str">
        <f>HYPERLINK("https://rth.dk/resources/bsgatlas/details.php?id=BSGatlas-terminator-630","BSGatlas-terminator-630")</f>
        <v>BSGatlas-terminator-630</v>
      </c>
      <c r="B631" s="3">
        <v>1030237</v>
      </c>
      <c r="C631" s="3">
        <v>1030281</v>
      </c>
      <c r="D631" s="1" t="s">
        <v>13</v>
      </c>
      <c r="E631" s="1">
        <v>-10.199999999999999</v>
      </c>
      <c r="F631" s="1" t="s">
        <v>15157</v>
      </c>
    </row>
    <row r="632" spans="1:6" ht="21" x14ac:dyDescent="0.25">
      <c r="A632" s="2" t="str">
        <f>HYPERLINK("https://rth.dk/resources/bsgatlas/details.php?id=BSGatlas-terminator-631","BSGatlas-terminator-631")</f>
        <v>BSGatlas-terminator-631</v>
      </c>
      <c r="B632" s="3">
        <v>1031261</v>
      </c>
      <c r="C632" s="3">
        <v>1031300</v>
      </c>
      <c r="D632" s="1" t="s">
        <v>9</v>
      </c>
      <c r="E632" s="1">
        <v>-13.7</v>
      </c>
      <c r="F632" s="1" t="s">
        <v>15158</v>
      </c>
    </row>
    <row r="633" spans="1:6" ht="21" x14ac:dyDescent="0.25">
      <c r="A633" s="2" t="str">
        <f>HYPERLINK("https://rth.dk/resources/bsgatlas/details.php?id=BSGatlas-terminator-632","BSGatlas-terminator-632")</f>
        <v>BSGatlas-terminator-632</v>
      </c>
      <c r="B633" s="3">
        <v>1031987</v>
      </c>
      <c r="C633" s="3">
        <v>1032031</v>
      </c>
      <c r="D633" s="1" t="s">
        <v>9</v>
      </c>
      <c r="E633" s="1">
        <v>-6.1</v>
      </c>
      <c r="F633" s="1" t="s">
        <v>15157</v>
      </c>
    </row>
    <row r="634" spans="1:6" ht="21" x14ac:dyDescent="0.25">
      <c r="A634" s="2" t="str">
        <f>HYPERLINK("https://rth.dk/resources/bsgatlas/details.php?id=BSGatlas-terminator-633","BSGatlas-terminator-633")</f>
        <v>BSGatlas-terminator-633</v>
      </c>
      <c r="B634" s="3">
        <v>1032032</v>
      </c>
      <c r="C634" s="3">
        <v>1032069</v>
      </c>
      <c r="D634" s="1" t="s">
        <v>9</v>
      </c>
      <c r="E634" s="1">
        <v>-8.1</v>
      </c>
      <c r="F634" s="1" t="s">
        <v>4382</v>
      </c>
    </row>
    <row r="635" spans="1:6" ht="21" x14ac:dyDescent="0.25">
      <c r="A635" s="2" t="str">
        <f>HYPERLINK("https://rth.dk/resources/bsgatlas/details.php?id=BSGatlas-terminator-634","BSGatlas-terminator-634")</f>
        <v>BSGatlas-terminator-634</v>
      </c>
      <c r="B635" s="3">
        <v>1032060</v>
      </c>
      <c r="C635" s="3">
        <v>1032104</v>
      </c>
      <c r="D635" s="1" t="s">
        <v>13</v>
      </c>
      <c r="E635" s="1">
        <v>-9.1</v>
      </c>
      <c r="F635" s="1" t="s">
        <v>15157</v>
      </c>
    </row>
    <row r="636" spans="1:6" ht="21" x14ac:dyDescent="0.25">
      <c r="A636" s="2" t="str">
        <f>HYPERLINK("https://rth.dk/resources/bsgatlas/details.php?id=BSGatlas-terminator-635","BSGatlas-terminator-635")</f>
        <v>BSGatlas-terminator-635</v>
      </c>
      <c r="B636" s="3">
        <v>1035190</v>
      </c>
      <c r="C636" s="3">
        <v>1035234</v>
      </c>
      <c r="D636" s="1" t="s">
        <v>9</v>
      </c>
      <c r="E636" s="1">
        <v>-9.1</v>
      </c>
      <c r="F636" s="1" t="s">
        <v>15157</v>
      </c>
    </row>
    <row r="637" spans="1:6" ht="21" x14ac:dyDescent="0.25">
      <c r="A637" s="2" t="str">
        <f>HYPERLINK("https://rth.dk/resources/bsgatlas/details.php?id=BSGatlas-terminator-636","BSGatlas-terminator-636")</f>
        <v>BSGatlas-terminator-636</v>
      </c>
      <c r="B637" s="3">
        <v>1036807</v>
      </c>
      <c r="C637" s="3">
        <v>1036851</v>
      </c>
      <c r="D637" s="1" t="s">
        <v>9</v>
      </c>
      <c r="E637" s="1">
        <v>-10.5</v>
      </c>
      <c r="F637" s="1" t="s">
        <v>15157</v>
      </c>
    </row>
    <row r="638" spans="1:6" ht="21" x14ac:dyDescent="0.25">
      <c r="A638" s="2" t="str">
        <f>HYPERLINK("https://rth.dk/resources/bsgatlas/details.php?id=BSGatlas-terminator-637","BSGatlas-terminator-637")</f>
        <v>BSGatlas-terminator-637</v>
      </c>
      <c r="B638" s="3">
        <v>1036893</v>
      </c>
      <c r="C638" s="3">
        <v>1036937</v>
      </c>
      <c r="D638" s="1" t="s">
        <v>9</v>
      </c>
      <c r="E638" s="1">
        <v>-10.5</v>
      </c>
      <c r="F638" s="1" t="s">
        <v>15157</v>
      </c>
    </row>
    <row r="639" spans="1:6" ht="21" x14ac:dyDescent="0.25">
      <c r="A639" s="2" t="str">
        <f>HYPERLINK("https://rth.dk/resources/bsgatlas/details.php?id=BSGatlas-terminator-638","BSGatlas-terminator-638")</f>
        <v>BSGatlas-terminator-638</v>
      </c>
      <c r="B639" s="3">
        <v>1038763</v>
      </c>
      <c r="C639" s="3">
        <v>1038807</v>
      </c>
      <c r="D639" s="1" t="s">
        <v>9</v>
      </c>
      <c r="E639" s="1">
        <v>-14.5</v>
      </c>
      <c r="F639" s="1" t="s">
        <v>15162</v>
      </c>
    </row>
    <row r="640" spans="1:6" ht="21" x14ac:dyDescent="0.25">
      <c r="A640" s="2" t="str">
        <f>HYPERLINK("https://rth.dk/resources/bsgatlas/details.php?id=BSGatlas-terminator-639","BSGatlas-terminator-639")</f>
        <v>BSGatlas-terminator-639</v>
      </c>
      <c r="B640" s="3">
        <v>1039982</v>
      </c>
      <c r="C640" s="3">
        <v>1040026</v>
      </c>
      <c r="D640" s="1" t="s">
        <v>9</v>
      </c>
      <c r="E640" s="1">
        <v>-12.3</v>
      </c>
      <c r="F640" s="1" t="s">
        <v>15157</v>
      </c>
    </row>
    <row r="641" spans="1:6" ht="21" x14ac:dyDescent="0.25">
      <c r="A641" s="2" t="str">
        <f>HYPERLINK("https://rth.dk/resources/bsgatlas/details.php?id=BSGatlas-terminator-640","BSGatlas-terminator-640")</f>
        <v>BSGatlas-terminator-640</v>
      </c>
      <c r="B641" s="3">
        <v>1040787</v>
      </c>
      <c r="C641" s="3">
        <v>1040831</v>
      </c>
      <c r="D641" s="1" t="s">
        <v>9</v>
      </c>
      <c r="E641" s="1">
        <v>-9.1999999999999993</v>
      </c>
      <c r="F641" s="1" t="s">
        <v>15157</v>
      </c>
    </row>
    <row r="642" spans="1:6" ht="21" x14ac:dyDescent="0.25">
      <c r="A642" s="2" t="str">
        <f>HYPERLINK("https://rth.dk/resources/bsgatlas/details.php?id=BSGatlas-terminator-641","BSGatlas-terminator-641")</f>
        <v>BSGatlas-terminator-641</v>
      </c>
      <c r="B642" s="3">
        <v>1040863</v>
      </c>
      <c r="C642" s="3">
        <v>1040907</v>
      </c>
      <c r="D642" s="1" t="s">
        <v>13</v>
      </c>
      <c r="E642" s="1">
        <v>-9.1999999999999993</v>
      </c>
      <c r="F642" s="1" t="s">
        <v>15157</v>
      </c>
    </row>
    <row r="643" spans="1:6" ht="21" x14ac:dyDescent="0.25">
      <c r="A643" s="2" t="str">
        <f>HYPERLINK("https://rth.dk/resources/bsgatlas/details.php?id=BSGatlas-terminator-642","BSGatlas-terminator-642")</f>
        <v>BSGatlas-terminator-642</v>
      </c>
      <c r="B643" s="3">
        <v>1042811</v>
      </c>
      <c r="C643" s="3">
        <v>1042855</v>
      </c>
      <c r="D643" s="1" t="s">
        <v>9</v>
      </c>
      <c r="E643" s="1">
        <v>-11.5</v>
      </c>
      <c r="F643" s="1" t="s">
        <v>15157</v>
      </c>
    </row>
    <row r="644" spans="1:6" ht="21" x14ac:dyDescent="0.25">
      <c r="A644" s="2" t="str">
        <f>HYPERLINK("https://rth.dk/resources/bsgatlas/details.php?id=BSGatlas-terminator-643","BSGatlas-terminator-643")</f>
        <v>BSGatlas-terminator-643</v>
      </c>
      <c r="B644" s="3">
        <v>1042887</v>
      </c>
      <c r="C644" s="3">
        <v>1042931</v>
      </c>
      <c r="D644" s="1" t="s">
        <v>13</v>
      </c>
      <c r="E644" s="1">
        <v>-11.5</v>
      </c>
      <c r="F644" s="1" t="s">
        <v>15157</v>
      </c>
    </row>
    <row r="645" spans="1:6" ht="21" x14ac:dyDescent="0.25">
      <c r="A645" s="2" t="str">
        <f>HYPERLINK("https://rth.dk/resources/bsgatlas/details.php?id=BSGatlas-terminator-644","BSGatlas-terminator-644")</f>
        <v>BSGatlas-terminator-644</v>
      </c>
      <c r="B645" s="3">
        <v>1044341</v>
      </c>
      <c r="C645" s="3">
        <v>1044381</v>
      </c>
      <c r="D645" s="1" t="s">
        <v>13</v>
      </c>
      <c r="E645" s="1">
        <v>-15.8</v>
      </c>
      <c r="F645" s="1" t="s">
        <v>4382</v>
      </c>
    </row>
    <row r="646" spans="1:6" ht="21" x14ac:dyDescent="0.25">
      <c r="A646" s="2" t="str">
        <f>HYPERLINK("https://rth.dk/resources/bsgatlas/details.php?id=BSGatlas-terminator-645","BSGatlas-terminator-645")</f>
        <v>BSGatlas-terminator-645</v>
      </c>
      <c r="B646" s="3">
        <v>1044383</v>
      </c>
      <c r="C646" s="3">
        <v>1044427</v>
      </c>
      <c r="D646" s="1" t="s">
        <v>13</v>
      </c>
      <c r="E646" s="1">
        <v>-12.2</v>
      </c>
      <c r="F646" s="1" t="s">
        <v>15157</v>
      </c>
    </row>
    <row r="647" spans="1:6" ht="21" x14ac:dyDescent="0.25">
      <c r="A647" s="2" t="str">
        <f>HYPERLINK("https://rth.dk/resources/bsgatlas/details.php?id=BSGatlas-terminator-646","BSGatlas-terminator-646")</f>
        <v>BSGatlas-terminator-646</v>
      </c>
      <c r="B647" s="3">
        <v>1045106</v>
      </c>
      <c r="C647" s="3">
        <v>1045150</v>
      </c>
      <c r="D647" s="1" t="s">
        <v>9</v>
      </c>
      <c r="E647" s="1">
        <v>-14.4</v>
      </c>
      <c r="F647" s="1" t="s">
        <v>15157</v>
      </c>
    </row>
    <row r="648" spans="1:6" ht="21" x14ac:dyDescent="0.25">
      <c r="A648" s="2" t="str">
        <f>HYPERLINK("https://rth.dk/resources/bsgatlas/details.php?id=BSGatlas-terminator-647","BSGatlas-terminator-647")</f>
        <v>BSGatlas-terminator-647</v>
      </c>
      <c r="B648" s="3">
        <v>1049059</v>
      </c>
      <c r="C648" s="3">
        <v>1049103</v>
      </c>
      <c r="D648" s="1" t="s">
        <v>9</v>
      </c>
      <c r="E648" s="1">
        <v>-10.9</v>
      </c>
      <c r="F648" s="1" t="s">
        <v>15157</v>
      </c>
    </row>
    <row r="649" spans="1:6" ht="21" x14ac:dyDescent="0.25">
      <c r="A649" s="2" t="str">
        <f>HYPERLINK("https://rth.dk/resources/bsgatlas/details.php?id=BSGatlas-terminator-648","BSGatlas-terminator-648")</f>
        <v>BSGatlas-terminator-648</v>
      </c>
      <c r="B649" s="3">
        <v>1049135</v>
      </c>
      <c r="C649" s="3">
        <v>1049179</v>
      </c>
      <c r="D649" s="1" t="s">
        <v>13</v>
      </c>
      <c r="E649" s="1">
        <v>-10.9</v>
      </c>
      <c r="F649" s="1" t="s">
        <v>15157</v>
      </c>
    </row>
    <row r="650" spans="1:6" ht="21" x14ac:dyDescent="0.25">
      <c r="A650" s="2" t="str">
        <f>HYPERLINK("https://rth.dk/resources/bsgatlas/details.php?id=BSGatlas-terminator-649","BSGatlas-terminator-649")</f>
        <v>BSGatlas-terminator-649</v>
      </c>
      <c r="B650" s="3">
        <v>1049973</v>
      </c>
      <c r="C650" s="3">
        <v>1050015</v>
      </c>
      <c r="D650" s="1" t="s">
        <v>13</v>
      </c>
      <c r="E650" s="1">
        <v>-20.2</v>
      </c>
      <c r="F650" s="1" t="s">
        <v>15158</v>
      </c>
    </row>
    <row r="651" spans="1:6" ht="21" x14ac:dyDescent="0.25">
      <c r="A651" s="2" t="str">
        <f>HYPERLINK("https://rth.dk/resources/bsgatlas/details.php?id=BSGatlas-terminator-650","BSGatlas-terminator-650")</f>
        <v>BSGatlas-terminator-650</v>
      </c>
      <c r="B651" s="3">
        <v>1049983</v>
      </c>
      <c r="C651" s="3">
        <v>1050027</v>
      </c>
      <c r="D651" s="1" t="s">
        <v>9</v>
      </c>
      <c r="E651" s="1">
        <v>-10.9</v>
      </c>
      <c r="F651" s="1" t="s">
        <v>15157</v>
      </c>
    </row>
    <row r="652" spans="1:6" ht="21" x14ac:dyDescent="0.25">
      <c r="A652" s="2" t="str">
        <f>HYPERLINK("https://rth.dk/resources/bsgatlas/details.php?id=BSGatlas-terminator-651","BSGatlas-terminator-651")</f>
        <v>BSGatlas-terminator-651</v>
      </c>
      <c r="B652" s="3">
        <v>1050455</v>
      </c>
      <c r="C652" s="3">
        <v>1050499</v>
      </c>
      <c r="D652" s="1" t="s">
        <v>13</v>
      </c>
      <c r="E652" s="1">
        <v>-11.8</v>
      </c>
      <c r="F652" s="1" t="s">
        <v>15157</v>
      </c>
    </row>
    <row r="653" spans="1:6" ht="21" x14ac:dyDescent="0.25">
      <c r="A653" s="2" t="str">
        <f>HYPERLINK("https://rth.dk/resources/bsgatlas/details.php?id=BSGatlas-terminator-652","BSGatlas-terminator-652")</f>
        <v>BSGatlas-terminator-652</v>
      </c>
      <c r="B653" s="3">
        <v>1050769</v>
      </c>
      <c r="C653" s="3">
        <v>1050819</v>
      </c>
      <c r="D653" s="1" t="s">
        <v>13</v>
      </c>
      <c r="E653" s="1">
        <v>-13.4</v>
      </c>
      <c r="F653" s="1" t="s">
        <v>15158</v>
      </c>
    </row>
    <row r="654" spans="1:6" ht="21" x14ac:dyDescent="0.25">
      <c r="A654" s="2" t="str">
        <f>HYPERLINK("https://rth.dk/resources/bsgatlas/details.php?id=BSGatlas-terminator-653","BSGatlas-terminator-653")</f>
        <v>BSGatlas-terminator-653</v>
      </c>
      <c r="B654" s="3">
        <v>1055065</v>
      </c>
      <c r="C654" s="3">
        <v>1055109</v>
      </c>
      <c r="D654" s="1" t="s">
        <v>9</v>
      </c>
      <c r="E654" s="1">
        <v>-12.3</v>
      </c>
      <c r="F654" s="1" t="s">
        <v>15157</v>
      </c>
    </row>
    <row r="655" spans="1:6" ht="21" x14ac:dyDescent="0.25">
      <c r="A655" s="2" t="str">
        <f>HYPERLINK("https://rth.dk/resources/bsgatlas/details.php?id=BSGatlas-terminator-654","BSGatlas-terminator-654")</f>
        <v>BSGatlas-terminator-654</v>
      </c>
      <c r="B655" s="3">
        <v>1055094</v>
      </c>
      <c r="C655" s="3">
        <v>1055148</v>
      </c>
      <c r="D655" s="1" t="s">
        <v>13</v>
      </c>
      <c r="E655" s="1">
        <v>-14.7</v>
      </c>
      <c r="F655" s="1" t="s">
        <v>4382</v>
      </c>
    </row>
    <row r="656" spans="1:6" ht="21" x14ac:dyDescent="0.25">
      <c r="A656" s="2" t="str">
        <f>HYPERLINK("https://rth.dk/resources/bsgatlas/details.php?id=BSGatlas-terminator-655","BSGatlas-terminator-655")</f>
        <v>BSGatlas-terminator-655</v>
      </c>
      <c r="B656" s="3">
        <v>1055228</v>
      </c>
      <c r="C656" s="3">
        <v>1055272</v>
      </c>
      <c r="D656" s="1" t="s">
        <v>13</v>
      </c>
      <c r="E656" s="1">
        <v>-12.3</v>
      </c>
      <c r="F656" s="1" t="s">
        <v>15157</v>
      </c>
    </row>
    <row r="657" spans="1:6" ht="21" x14ac:dyDescent="0.25">
      <c r="A657" s="2" t="str">
        <f>HYPERLINK("https://rth.dk/resources/bsgatlas/details.php?id=BSGatlas-terminator-656","BSGatlas-terminator-656")</f>
        <v>BSGatlas-terminator-656</v>
      </c>
      <c r="B657" s="3">
        <v>1056472</v>
      </c>
      <c r="C657" s="3">
        <v>1056516</v>
      </c>
      <c r="D657" s="1" t="s">
        <v>9</v>
      </c>
      <c r="E657" s="1">
        <v>-4.8</v>
      </c>
      <c r="F657" s="1" t="s">
        <v>15157</v>
      </c>
    </row>
    <row r="658" spans="1:6" ht="21" x14ac:dyDescent="0.25">
      <c r="A658" s="2" t="str">
        <f>HYPERLINK("https://rth.dk/resources/bsgatlas/details.php?id=BSGatlas-terminator-657","BSGatlas-terminator-657")</f>
        <v>BSGatlas-terminator-657</v>
      </c>
      <c r="B658" s="3">
        <v>1056557</v>
      </c>
      <c r="C658" s="3">
        <v>1056601</v>
      </c>
      <c r="D658" s="1" t="s">
        <v>9</v>
      </c>
      <c r="E658" s="1">
        <v>-4.8</v>
      </c>
      <c r="F658" s="1" t="s">
        <v>15162</v>
      </c>
    </row>
    <row r="659" spans="1:6" ht="21" x14ac:dyDescent="0.25">
      <c r="A659" s="2" t="str">
        <f>HYPERLINK("https://rth.dk/resources/bsgatlas/details.php?id=BSGatlas-terminator-658","BSGatlas-terminator-658")</f>
        <v>BSGatlas-terminator-658</v>
      </c>
      <c r="B659" s="3">
        <v>1057568</v>
      </c>
      <c r="C659" s="3">
        <v>1057616</v>
      </c>
      <c r="D659" s="1" t="s">
        <v>9</v>
      </c>
      <c r="E659" s="1">
        <v>-22.5</v>
      </c>
      <c r="F659" s="1" t="s">
        <v>15158</v>
      </c>
    </row>
    <row r="660" spans="1:6" ht="21" x14ac:dyDescent="0.25">
      <c r="A660" s="2" t="str">
        <f>HYPERLINK("https://rth.dk/resources/bsgatlas/details.php?id=BSGatlas-terminator-659","BSGatlas-terminator-659")</f>
        <v>BSGatlas-terminator-659</v>
      </c>
      <c r="B660" s="3">
        <v>1059171</v>
      </c>
      <c r="C660" s="3">
        <v>1059212</v>
      </c>
      <c r="D660" s="1" t="s">
        <v>9</v>
      </c>
      <c r="E660" s="1">
        <v>-17.100000000000001</v>
      </c>
      <c r="F660" s="1" t="s">
        <v>15158</v>
      </c>
    </row>
    <row r="661" spans="1:6" ht="21" x14ac:dyDescent="0.25">
      <c r="A661" s="2" t="str">
        <f>HYPERLINK("https://rth.dk/resources/bsgatlas/details.php?id=BSGatlas-terminator-660","BSGatlas-terminator-660")</f>
        <v>BSGatlas-terminator-660</v>
      </c>
      <c r="B661" s="3">
        <v>1059187</v>
      </c>
      <c r="C661" s="3">
        <v>1059231</v>
      </c>
      <c r="D661" s="1" t="s">
        <v>13</v>
      </c>
      <c r="E661" s="1">
        <v>-14.4</v>
      </c>
      <c r="F661" s="1" t="s">
        <v>15157</v>
      </c>
    </row>
    <row r="662" spans="1:6" ht="21" x14ac:dyDescent="0.25">
      <c r="A662" s="2" t="str">
        <f>HYPERLINK("https://rth.dk/resources/bsgatlas/details.php?id=BSGatlas-terminator-661","BSGatlas-terminator-661")</f>
        <v>BSGatlas-terminator-661</v>
      </c>
      <c r="B662" s="3">
        <v>1062237</v>
      </c>
      <c r="C662" s="3">
        <v>1062281</v>
      </c>
      <c r="D662" s="1" t="s">
        <v>9</v>
      </c>
      <c r="E662" s="1">
        <v>-7.5</v>
      </c>
      <c r="F662" s="1" t="s">
        <v>15157</v>
      </c>
    </row>
    <row r="663" spans="1:6" ht="21" x14ac:dyDescent="0.25">
      <c r="A663" s="2" t="str">
        <f>HYPERLINK("https://rth.dk/resources/bsgatlas/details.php?id=BSGatlas-terminator-662","BSGatlas-terminator-662")</f>
        <v>BSGatlas-terminator-662</v>
      </c>
      <c r="B663" s="3">
        <v>1064701</v>
      </c>
      <c r="C663" s="3">
        <v>1064745</v>
      </c>
      <c r="D663" s="1" t="s">
        <v>9</v>
      </c>
      <c r="E663" s="1">
        <v>-12.8</v>
      </c>
      <c r="F663" s="1" t="s">
        <v>15157</v>
      </c>
    </row>
    <row r="664" spans="1:6" ht="21" x14ac:dyDescent="0.25">
      <c r="A664" s="2" t="str">
        <f>HYPERLINK("https://rth.dk/resources/bsgatlas/details.php?id=BSGatlas-terminator-663","BSGatlas-terminator-663")</f>
        <v>BSGatlas-terminator-663</v>
      </c>
      <c r="B664" s="3">
        <v>1065525</v>
      </c>
      <c r="C664" s="3">
        <v>1065569</v>
      </c>
      <c r="D664" s="1" t="s">
        <v>13</v>
      </c>
      <c r="E664" s="1">
        <v>-15.2</v>
      </c>
      <c r="F664" s="1" t="s">
        <v>15157</v>
      </c>
    </row>
    <row r="665" spans="1:6" ht="21" x14ac:dyDescent="0.25">
      <c r="A665" s="2" t="str">
        <f>HYPERLINK("https://rth.dk/resources/bsgatlas/details.php?id=BSGatlas-terminator-664","BSGatlas-terminator-664")</f>
        <v>BSGatlas-terminator-664</v>
      </c>
      <c r="B665" s="3">
        <v>1069981</v>
      </c>
      <c r="C665" s="3">
        <v>1070039</v>
      </c>
      <c r="D665" s="1" t="s">
        <v>9</v>
      </c>
      <c r="E665" s="1">
        <v>-20.8</v>
      </c>
      <c r="F665" s="1" t="s">
        <v>15158</v>
      </c>
    </row>
    <row r="666" spans="1:6" ht="21" x14ac:dyDescent="0.25">
      <c r="A666" s="2" t="str">
        <f>HYPERLINK("https://rth.dk/resources/bsgatlas/details.php?id=BSGatlas-terminator-665","BSGatlas-terminator-665")</f>
        <v>BSGatlas-terminator-665</v>
      </c>
      <c r="B666" s="3">
        <v>1070294</v>
      </c>
      <c r="C666" s="3">
        <v>1070338</v>
      </c>
      <c r="D666" s="1" t="s">
        <v>9</v>
      </c>
      <c r="E666" s="1">
        <v>-22</v>
      </c>
      <c r="F666" s="1" t="s">
        <v>15157</v>
      </c>
    </row>
    <row r="667" spans="1:6" ht="21" x14ac:dyDescent="0.25">
      <c r="A667" s="2" t="str">
        <f>HYPERLINK("https://rth.dk/resources/bsgatlas/details.php?id=BSGatlas-terminator-666","BSGatlas-terminator-666")</f>
        <v>BSGatlas-terminator-666</v>
      </c>
      <c r="B667" s="3">
        <v>1070332</v>
      </c>
      <c r="C667" s="3">
        <v>1070376</v>
      </c>
      <c r="D667" s="1" t="s">
        <v>13</v>
      </c>
      <c r="E667" s="1">
        <v>-22</v>
      </c>
      <c r="F667" s="1" t="s">
        <v>15157</v>
      </c>
    </row>
    <row r="668" spans="1:6" ht="21" x14ac:dyDescent="0.25">
      <c r="A668" s="2" t="str">
        <f>HYPERLINK("https://rth.dk/resources/bsgatlas/details.php?id=BSGatlas-terminator-667","BSGatlas-terminator-667")</f>
        <v>BSGatlas-terminator-667</v>
      </c>
      <c r="B668" s="3">
        <v>1070530</v>
      </c>
      <c r="C668" s="3">
        <v>1070574</v>
      </c>
      <c r="D668" s="1" t="s">
        <v>13</v>
      </c>
      <c r="E668" s="1">
        <v>-22</v>
      </c>
      <c r="F668" s="1" t="s">
        <v>15157</v>
      </c>
    </row>
    <row r="669" spans="1:6" ht="21" x14ac:dyDescent="0.25">
      <c r="A669" s="2" t="str">
        <f>HYPERLINK("https://rth.dk/resources/bsgatlas/details.php?id=BSGatlas-terminator-668","BSGatlas-terminator-668")</f>
        <v>BSGatlas-terminator-668</v>
      </c>
      <c r="B669" s="3">
        <v>1071497</v>
      </c>
      <c r="C669" s="3">
        <v>1071523</v>
      </c>
      <c r="D669" s="1" t="s">
        <v>9</v>
      </c>
      <c r="E669" s="1"/>
      <c r="F669" s="1" t="s">
        <v>4547</v>
      </c>
    </row>
    <row r="670" spans="1:6" ht="21" x14ac:dyDescent="0.25">
      <c r="A670" s="2" t="str">
        <f>HYPERLINK("https://rth.dk/resources/bsgatlas/details.php?id=BSGatlas-terminator-669","BSGatlas-terminator-669")</f>
        <v>BSGatlas-terminator-669</v>
      </c>
      <c r="B670" s="3">
        <v>1071710</v>
      </c>
      <c r="C670" s="3">
        <v>1071742</v>
      </c>
      <c r="D670" s="1" t="s">
        <v>9</v>
      </c>
      <c r="E670" s="1">
        <v>-17.600000000000001</v>
      </c>
      <c r="F670" s="1" t="s">
        <v>15163</v>
      </c>
    </row>
    <row r="671" spans="1:6" ht="21" x14ac:dyDescent="0.25">
      <c r="A671" s="2" t="str">
        <f>HYPERLINK("https://rth.dk/resources/bsgatlas/details.php?id=BSGatlas-terminator-670","BSGatlas-terminator-670")</f>
        <v>BSGatlas-terminator-670</v>
      </c>
      <c r="B671" s="3">
        <v>1071730</v>
      </c>
      <c r="C671" s="3">
        <v>1071774</v>
      </c>
      <c r="D671" s="1" t="s">
        <v>13</v>
      </c>
      <c r="E671" s="1">
        <v>-17.600000000000001</v>
      </c>
      <c r="F671" s="1" t="s">
        <v>15157</v>
      </c>
    </row>
    <row r="672" spans="1:6" ht="21" x14ac:dyDescent="0.25">
      <c r="A672" s="2" t="str">
        <f>HYPERLINK("https://rth.dk/resources/bsgatlas/details.php?id=BSGatlas-terminator-671","BSGatlas-terminator-671")</f>
        <v>BSGatlas-terminator-671</v>
      </c>
      <c r="B672" s="3">
        <v>1071940</v>
      </c>
      <c r="C672" s="3">
        <v>1072006</v>
      </c>
      <c r="D672" s="1" t="s">
        <v>13</v>
      </c>
      <c r="E672" s="1"/>
      <c r="F672" s="1" t="s">
        <v>15159</v>
      </c>
    </row>
    <row r="673" spans="1:6" ht="21" x14ac:dyDescent="0.25">
      <c r="A673" s="2" t="str">
        <f>HYPERLINK("https://rth.dk/resources/bsgatlas/details.php?id=BSGatlas-terminator-672","BSGatlas-terminator-672")</f>
        <v>BSGatlas-terminator-672</v>
      </c>
      <c r="B673" s="3">
        <v>1072192</v>
      </c>
      <c r="C673" s="3">
        <v>1072258</v>
      </c>
      <c r="D673" s="1" t="s">
        <v>9</v>
      </c>
      <c r="E673" s="1"/>
      <c r="F673" s="1" t="s">
        <v>15159</v>
      </c>
    </row>
    <row r="674" spans="1:6" ht="21" x14ac:dyDescent="0.25">
      <c r="A674" s="2" t="str">
        <f>HYPERLINK("https://rth.dk/resources/bsgatlas/details.php?id=BSGatlas-terminator-673","BSGatlas-terminator-673")</f>
        <v>BSGatlas-terminator-673</v>
      </c>
      <c r="B674" s="3">
        <v>1072984</v>
      </c>
      <c r="C674" s="3">
        <v>1073028</v>
      </c>
      <c r="D674" s="1" t="s">
        <v>13</v>
      </c>
      <c r="E674" s="1">
        <v>-12.3</v>
      </c>
      <c r="F674" s="1" t="s">
        <v>15162</v>
      </c>
    </row>
    <row r="675" spans="1:6" ht="21" x14ac:dyDescent="0.25">
      <c r="A675" s="2" t="str">
        <f>HYPERLINK("https://rth.dk/resources/bsgatlas/details.php?id=BSGatlas-terminator-674","BSGatlas-terminator-674")</f>
        <v>BSGatlas-terminator-674</v>
      </c>
      <c r="B675" s="3">
        <v>1073160</v>
      </c>
      <c r="C675" s="3">
        <v>1073204</v>
      </c>
      <c r="D675" s="1" t="s">
        <v>13</v>
      </c>
      <c r="E675" s="1">
        <v>-12.3</v>
      </c>
      <c r="F675" s="1" t="s">
        <v>15157</v>
      </c>
    </row>
    <row r="676" spans="1:6" ht="21" x14ac:dyDescent="0.25">
      <c r="A676" s="2" t="str">
        <f>HYPERLINK("https://rth.dk/resources/bsgatlas/details.php?id=BSGatlas-terminator-675","BSGatlas-terminator-675")</f>
        <v>BSGatlas-terminator-675</v>
      </c>
      <c r="B676" s="3">
        <v>1073810</v>
      </c>
      <c r="C676" s="3">
        <v>1073854</v>
      </c>
      <c r="D676" s="1" t="s">
        <v>9</v>
      </c>
      <c r="E676" s="1">
        <v>-7.1</v>
      </c>
      <c r="F676" s="1" t="s">
        <v>15162</v>
      </c>
    </row>
    <row r="677" spans="1:6" ht="21" x14ac:dyDescent="0.25">
      <c r="A677" s="2" t="str">
        <f>HYPERLINK("https://rth.dk/resources/bsgatlas/details.php?id=BSGatlas-terminator-676","BSGatlas-terminator-676")</f>
        <v>BSGatlas-terminator-676</v>
      </c>
      <c r="B677" s="3">
        <v>1073877</v>
      </c>
      <c r="C677" s="3">
        <v>1073921</v>
      </c>
      <c r="D677" s="1" t="s">
        <v>13</v>
      </c>
      <c r="E677" s="1">
        <v>-7.9</v>
      </c>
      <c r="F677" s="1" t="s">
        <v>15157</v>
      </c>
    </row>
    <row r="678" spans="1:6" ht="21" x14ac:dyDescent="0.25">
      <c r="A678" s="2" t="str">
        <f>HYPERLINK("https://rth.dk/resources/bsgatlas/details.php?id=BSGatlas-terminator-677","BSGatlas-terminator-677")</f>
        <v>BSGatlas-terminator-677</v>
      </c>
      <c r="B678" s="3">
        <v>1074596</v>
      </c>
      <c r="C678" s="3">
        <v>1074637</v>
      </c>
      <c r="D678" s="1" t="s">
        <v>13</v>
      </c>
      <c r="E678" s="1">
        <v>-14.6</v>
      </c>
      <c r="F678" s="1" t="s">
        <v>15158</v>
      </c>
    </row>
    <row r="679" spans="1:6" ht="21" x14ac:dyDescent="0.25">
      <c r="A679" s="2" t="str">
        <f>HYPERLINK("https://rth.dk/resources/bsgatlas/details.php?id=BSGatlas-terminator-678","BSGatlas-terminator-678")</f>
        <v>BSGatlas-terminator-678</v>
      </c>
      <c r="B679" s="3">
        <v>1075193</v>
      </c>
      <c r="C679" s="3">
        <v>1075229</v>
      </c>
      <c r="D679" s="1" t="s">
        <v>13</v>
      </c>
      <c r="E679" s="1"/>
      <c r="F679" s="1" t="s">
        <v>4547</v>
      </c>
    </row>
    <row r="680" spans="1:6" ht="21" x14ac:dyDescent="0.25">
      <c r="A680" s="2" t="str">
        <f>HYPERLINK("https://rth.dk/resources/bsgatlas/details.php?id=BSGatlas-terminator-679","BSGatlas-terminator-679")</f>
        <v>BSGatlas-terminator-679</v>
      </c>
      <c r="B680" s="3">
        <v>1075975</v>
      </c>
      <c r="C680" s="3">
        <v>1076041</v>
      </c>
      <c r="D680" s="1" t="s">
        <v>9</v>
      </c>
      <c r="E680" s="1"/>
      <c r="F680" s="1" t="s">
        <v>15159</v>
      </c>
    </row>
    <row r="681" spans="1:6" ht="21" x14ac:dyDescent="0.25">
      <c r="A681" s="2" t="str">
        <f>HYPERLINK("https://rth.dk/resources/bsgatlas/details.php?id=BSGatlas-terminator-680","BSGatlas-terminator-680")</f>
        <v>BSGatlas-terminator-680</v>
      </c>
      <c r="B681" s="3">
        <v>1076524</v>
      </c>
      <c r="C681" s="3">
        <v>1076568</v>
      </c>
      <c r="D681" s="1" t="s">
        <v>13</v>
      </c>
      <c r="E681" s="1">
        <v>-8.6</v>
      </c>
      <c r="F681" s="1" t="s">
        <v>15157</v>
      </c>
    </row>
    <row r="682" spans="1:6" ht="21" x14ac:dyDescent="0.25">
      <c r="A682" s="2" t="str">
        <f>HYPERLINK("https://rth.dk/resources/bsgatlas/details.php?id=BSGatlas-terminator-681","BSGatlas-terminator-681")</f>
        <v>BSGatlas-terminator-681</v>
      </c>
      <c r="B682" s="3">
        <v>1076980</v>
      </c>
      <c r="C682" s="3">
        <v>1077024</v>
      </c>
      <c r="D682" s="1" t="s">
        <v>9</v>
      </c>
      <c r="E682" s="1">
        <v>-13.3</v>
      </c>
      <c r="F682" s="1" t="s">
        <v>15157</v>
      </c>
    </row>
    <row r="683" spans="1:6" ht="21" x14ac:dyDescent="0.25">
      <c r="A683" s="2" t="str">
        <f>HYPERLINK("https://rth.dk/resources/bsgatlas/details.php?id=BSGatlas-terminator-682","BSGatlas-terminator-682")</f>
        <v>BSGatlas-terminator-682</v>
      </c>
      <c r="B683" s="3">
        <v>1077045</v>
      </c>
      <c r="C683" s="3">
        <v>1077089</v>
      </c>
      <c r="D683" s="1" t="s">
        <v>13</v>
      </c>
      <c r="E683" s="1">
        <v>-14.2</v>
      </c>
      <c r="F683" s="1" t="s">
        <v>15157</v>
      </c>
    </row>
    <row r="684" spans="1:6" ht="21" x14ac:dyDescent="0.25">
      <c r="A684" s="2" t="str">
        <f>HYPERLINK("https://rth.dk/resources/bsgatlas/details.php?id=BSGatlas-terminator-683","BSGatlas-terminator-683")</f>
        <v>BSGatlas-terminator-683</v>
      </c>
      <c r="B684" s="3">
        <v>1080074</v>
      </c>
      <c r="C684" s="3">
        <v>1080118</v>
      </c>
      <c r="D684" s="1" t="s">
        <v>9</v>
      </c>
      <c r="E684" s="1">
        <v>-14.6</v>
      </c>
      <c r="F684" s="1" t="s">
        <v>15157</v>
      </c>
    </row>
    <row r="685" spans="1:6" ht="21" x14ac:dyDescent="0.25">
      <c r="A685" s="2" t="str">
        <f>HYPERLINK("https://rth.dk/resources/bsgatlas/details.php?id=BSGatlas-terminator-684","BSGatlas-terminator-684")</f>
        <v>BSGatlas-terminator-684</v>
      </c>
      <c r="B685" s="3">
        <v>1080138</v>
      </c>
      <c r="C685" s="3">
        <v>1080182</v>
      </c>
      <c r="D685" s="1" t="s">
        <v>13</v>
      </c>
      <c r="E685" s="1">
        <v>-14.6</v>
      </c>
      <c r="F685" s="1" t="s">
        <v>15157</v>
      </c>
    </row>
    <row r="686" spans="1:6" ht="21" x14ac:dyDescent="0.25">
      <c r="A686" s="2" t="str">
        <f>HYPERLINK("https://rth.dk/resources/bsgatlas/details.php?id=BSGatlas-terminator-685","BSGatlas-terminator-685")</f>
        <v>BSGatlas-terminator-685</v>
      </c>
      <c r="B686" s="3">
        <v>1080203</v>
      </c>
      <c r="C686" s="3">
        <v>1080247</v>
      </c>
      <c r="D686" s="1" t="s">
        <v>13</v>
      </c>
      <c r="E686" s="1">
        <v>-14.6</v>
      </c>
      <c r="F686" s="1" t="s">
        <v>15157</v>
      </c>
    </row>
    <row r="687" spans="1:6" ht="21" x14ac:dyDescent="0.25">
      <c r="A687" s="2" t="str">
        <f>HYPERLINK("https://rth.dk/resources/bsgatlas/details.php?id=BSGatlas-terminator-686","BSGatlas-terminator-686")</f>
        <v>BSGatlas-terminator-686</v>
      </c>
      <c r="B687" s="3">
        <v>1083194</v>
      </c>
      <c r="C687" s="3">
        <v>1083234</v>
      </c>
      <c r="D687" s="1" t="s">
        <v>13</v>
      </c>
      <c r="E687" s="1">
        <v>-17.100000000000001</v>
      </c>
      <c r="F687" s="1" t="s">
        <v>15158</v>
      </c>
    </row>
    <row r="688" spans="1:6" ht="21" x14ac:dyDescent="0.25">
      <c r="A688" s="2" t="str">
        <f>HYPERLINK("https://rth.dk/resources/bsgatlas/details.php?id=BSGatlas-terminator-687","BSGatlas-terminator-687")</f>
        <v>BSGatlas-terminator-687</v>
      </c>
      <c r="B688" s="3">
        <v>1085976</v>
      </c>
      <c r="C688" s="3">
        <v>1086023</v>
      </c>
      <c r="D688" s="1" t="s">
        <v>9</v>
      </c>
      <c r="E688" s="1">
        <v>-6.3</v>
      </c>
      <c r="F688" s="1" t="s">
        <v>4382</v>
      </c>
    </row>
    <row r="689" spans="1:6" ht="21" x14ac:dyDescent="0.25">
      <c r="A689" s="2" t="str">
        <f>HYPERLINK("https://rth.dk/resources/bsgatlas/details.php?id=BSGatlas-terminator-688","BSGatlas-terminator-688")</f>
        <v>BSGatlas-terminator-688</v>
      </c>
      <c r="B689" s="3">
        <v>1088178</v>
      </c>
      <c r="C689" s="3">
        <v>1088222</v>
      </c>
      <c r="D689" s="1" t="s">
        <v>9</v>
      </c>
      <c r="E689" s="1">
        <v>-11.6</v>
      </c>
      <c r="F689" s="1" t="s">
        <v>15157</v>
      </c>
    </row>
    <row r="690" spans="1:6" ht="21" x14ac:dyDescent="0.25">
      <c r="A690" s="2" t="str">
        <f>HYPERLINK("https://rth.dk/resources/bsgatlas/details.php?id=BSGatlas-terminator-689","BSGatlas-terminator-689")</f>
        <v>BSGatlas-terminator-689</v>
      </c>
      <c r="B690" s="3">
        <v>1089607</v>
      </c>
      <c r="C690" s="3">
        <v>1089646</v>
      </c>
      <c r="D690" s="1" t="s">
        <v>9</v>
      </c>
      <c r="E690" s="1">
        <v>-15</v>
      </c>
      <c r="F690" s="1" t="s">
        <v>15158</v>
      </c>
    </row>
    <row r="691" spans="1:6" ht="21" x14ac:dyDescent="0.25">
      <c r="A691" s="2" t="str">
        <f>HYPERLINK("https://rth.dk/resources/bsgatlas/details.php?id=BSGatlas-terminator-690","BSGatlas-terminator-690")</f>
        <v>BSGatlas-terminator-690</v>
      </c>
      <c r="B691" s="3">
        <v>1092688</v>
      </c>
      <c r="C691" s="3">
        <v>1092732</v>
      </c>
      <c r="D691" s="1" t="s">
        <v>9</v>
      </c>
      <c r="E691" s="1">
        <v>-7.3</v>
      </c>
      <c r="F691" s="1" t="s">
        <v>15157</v>
      </c>
    </row>
    <row r="692" spans="1:6" ht="21" x14ac:dyDescent="0.25">
      <c r="A692" s="2" t="str">
        <f>HYPERLINK("https://rth.dk/resources/bsgatlas/details.php?id=BSGatlas-terminator-691","BSGatlas-terminator-691")</f>
        <v>BSGatlas-terminator-691</v>
      </c>
      <c r="B692" s="3">
        <v>1092721</v>
      </c>
      <c r="C692" s="3">
        <v>1092780</v>
      </c>
      <c r="D692" s="1" t="s">
        <v>13</v>
      </c>
      <c r="E692" s="1">
        <v>-15.5</v>
      </c>
      <c r="F692" s="1" t="s">
        <v>15158</v>
      </c>
    </row>
    <row r="693" spans="1:6" ht="21" x14ac:dyDescent="0.25">
      <c r="A693" s="2" t="str">
        <f>HYPERLINK("https://rth.dk/resources/bsgatlas/details.php?id=BSGatlas-terminator-692","BSGatlas-terminator-692")</f>
        <v>BSGatlas-terminator-692</v>
      </c>
      <c r="B693" s="3">
        <v>1096472</v>
      </c>
      <c r="C693" s="3">
        <v>1096516</v>
      </c>
      <c r="D693" s="1" t="s">
        <v>9</v>
      </c>
      <c r="E693" s="1">
        <v>-20.3</v>
      </c>
      <c r="F693" s="1" t="s">
        <v>15157</v>
      </c>
    </row>
    <row r="694" spans="1:6" ht="21" x14ac:dyDescent="0.25">
      <c r="A694" s="2" t="str">
        <f>HYPERLINK("https://rth.dk/resources/bsgatlas/details.php?id=BSGatlas-terminator-693","BSGatlas-terminator-693")</f>
        <v>BSGatlas-terminator-693</v>
      </c>
      <c r="B694" s="3">
        <v>1096568</v>
      </c>
      <c r="C694" s="3">
        <v>1096612</v>
      </c>
      <c r="D694" s="1" t="s">
        <v>13</v>
      </c>
      <c r="E694" s="1">
        <v>-21.9</v>
      </c>
      <c r="F694" s="1" t="s">
        <v>15157</v>
      </c>
    </row>
    <row r="695" spans="1:6" ht="21" x14ac:dyDescent="0.25">
      <c r="A695" s="2" t="str">
        <f>HYPERLINK("https://rth.dk/resources/bsgatlas/details.php?id=BSGatlas-terminator-694","BSGatlas-terminator-694")</f>
        <v>BSGatlas-terminator-694</v>
      </c>
      <c r="B695" s="3">
        <v>1098111</v>
      </c>
      <c r="C695" s="3">
        <v>1098155</v>
      </c>
      <c r="D695" s="1" t="s">
        <v>13</v>
      </c>
      <c r="E695" s="1">
        <v>-13.6</v>
      </c>
      <c r="F695" s="1" t="s">
        <v>15157</v>
      </c>
    </row>
    <row r="696" spans="1:6" ht="21" x14ac:dyDescent="0.25">
      <c r="A696" s="2" t="str">
        <f>HYPERLINK("https://rth.dk/resources/bsgatlas/details.php?id=BSGatlas-terminator-695","BSGatlas-terminator-695")</f>
        <v>BSGatlas-terminator-695</v>
      </c>
      <c r="B696" s="3">
        <v>1100829</v>
      </c>
      <c r="C696" s="3">
        <v>1100873</v>
      </c>
      <c r="D696" s="1" t="s">
        <v>9</v>
      </c>
      <c r="E696" s="1">
        <v>-10</v>
      </c>
      <c r="F696" s="1" t="s">
        <v>15157</v>
      </c>
    </row>
    <row r="697" spans="1:6" ht="21" x14ac:dyDescent="0.25">
      <c r="A697" s="2" t="str">
        <f>HYPERLINK("https://rth.dk/resources/bsgatlas/details.php?id=BSGatlas-terminator-696","BSGatlas-terminator-696")</f>
        <v>BSGatlas-terminator-696</v>
      </c>
      <c r="B697" s="3">
        <v>1102516</v>
      </c>
      <c r="C697" s="3">
        <v>1102559</v>
      </c>
      <c r="D697" s="1" t="s">
        <v>13</v>
      </c>
      <c r="E697" s="1">
        <v>-13.4</v>
      </c>
      <c r="F697" s="1" t="s">
        <v>15158</v>
      </c>
    </row>
    <row r="698" spans="1:6" ht="21" x14ac:dyDescent="0.25">
      <c r="A698" s="2" t="str">
        <f>HYPERLINK("https://rth.dk/resources/bsgatlas/details.php?id=BSGatlas-terminator-697","BSGatlas-terminator-697")</f>
        <v>BSGatlas-terminator-697</v>
      </c>
      <c r="B698" s="3">
        <v>1102517</v>
      </c>
      <c r="C698" s="3">
        <v>1102564</v>
      </c>
      <c r="D698" s="1" t="s">
        <v>9</v>
      </c>
      <c r="E698" s="1">
        <v>-14.1</v>
      </c>
      <c r="F698" s="1" t="s">
        <v>15158</v>
      </c>
    </row>
    <row r="699" spans="1:6" ht="21" x14ac:dyDescent="0.25">
      <c r="A699" s="2" t="str">
        <f>HYPERLINK("https://rth.dk/resources/bsgatlas/details.php?id=BSGatlas-terminator-698","BSGatlas-terminator-698")</f>
        <v>BSGatlas-terminator-698</v>
      </c>
      <c r="B699" s="3">
        <v>1104373</v>
      </c>
      <c r="C699" s="3">
        <v>1104418</v>
      </c>
      <c r="D699" s="1" t="s">
        <v>13</v>
      </c>
      <c r="E699" s="1">
        <v>-15.2</v>
      </c>
      <c r="F699" s="1" t="s">
        <v>15158</v>
      </c>
    </row>
    <row r="700" spans="1:6" ht="21" x14ac:dyDescent="0.25">
      <c r="A700" s="2" t="str">
        <f>HYPERLINK("https://rth.dk/resources/bsgatlas/details.php?id=BSGatlas-terminator-699","BSGatlas-terminator-699")</f>
        <v>BSGatlas-terminator-699</v>
      </c>
      <c r="B700" s="3">
        <v>1104383</v>
      </c>
      <c r="C700" s="3">
        <v>1104428</v>
      </c>
      <c r="D700" s="1" t="s">
        <v>9</v>
      </c>
      <c r="E700" s="1">
        <v>-15.8</v>
      </c>
      <c r="F700" s="1" t="s">
        <v>15158</v>
      </c>
    </row>
    <row r="701" spans="1:6" ht="21" x14ac:dyDescent="0.25">
      <c r="A701" s="2" t="str">
        <f>HYPERLINK("https://rth.dk/resources/bsgatlas/details.php?id=BSGatlas-terminator-700","BSGatlas-terminator-700")</f>
        <v>BSGatlas-terminator-700</v>
      </c>
      <c r="B701" s="3">
        <v>1107495</v>
      </c>
      <c r="C701" s="3">
        <v>1107539</v>
      </c>
      <c r="D701" s="1" t="s">
        <v>9</v>
      </c>
      <c r="E701" s="1">
        <v>-15.3</v>
      </c>
      <c r="F701" s="1" t="s">
        <v>15157</v>
      </c>
    </row>
    <row r="702" spans="1:6" ht="21" x14ac:dyDescent="0.25">
      <c r="A702" s="2" t="str">
        <f>HYPERLINK("https://rth.dk/resources/bsgatlas/details.php?id=BSGatlas-terminator-701","BSGatlas-terminator-701")</f>
        <v>BSGatlas-terminator-701</v>
      </c>
      <c r="B702" s="3">
        <v>1108661</v>
      </c>
      <c r="C702" s="3">
        <v>1108705</v>
      </c>
      <c r="D702" s="1" t="s">
        <v>9</v>
      </c>
      <c r="E702" s="1">
        <v>-10.9</v>
      </c>
      <c r="F702" s="1" t="s">
        <v>15157</v>
      </c>
    </row>
    <row r="703" spans="1:6" ht="21" x14ac:dyDescent="0.25">
      <c r="A703" s="2" t="str">
        <f>HYPERLINK("https://rth.dk/resources/bsgatlas/details.php?id=BSGatlas-terminator-702","BSGatlas-terminator-702")</f>
        <v>BSGatlas-terminator-702</v>
      </c>
      <c r="B703" s="3">
        <v>1108707</v>
      </c>
      <c r="C703" s="3">
        <v>1108744</v>
      </c>
      <c r="D703" s="1" t="s">
        <v>9</v>
      </c>
      <c r="E703" s="1">
        <v>-14.1</v>
      </c>
      <c r="F703" s="1" t="s">
        <v>4382</v>
      </c>
    </row>
    <row r="704" spans="1:6" ht="21" x14ac:dyDescent="0.25">
      <c r="A704" s="2" t="str">
        <f>HYPERLINK("https://rth.dk/resources/bsgatlas/details.php?id=BSGatlas-terminator-703","BSGatlas-terminator-703")</f>
        <v>BSGatlas-terminator-703</v>
      </c>
      <c r="B704" s="3">
        <v>1108737</v>
      </c>
      <c r="C704" s="3">
        <v>1108781</v>
      </c>
      <c r="D704" s="1" t="s">
        <v>13</v>
      </c>
      <c r="E704" s="1">
        <v>-10.9</v>
      </c>
      <c r="F704" s="1" t="s">
        <v>15157</v>
      </c>
    </row>
    <row r="705" spans="1:6" ht="21" x14ac:dyDescent="0.25">
      <c r="A705" s="2" t="str">
        <f>HYPERLINK("https://rth.dk/resources/bsgatlas/details.php?id=BSGatlas-terminator-704","BSGatlas-terminator-704")</f>
        <v>BSGatlas-terminator-704</v>
      </c>
      <c r="B705" s="3">
        <v>1112575</v>
      </c>
      <c r="C705" s="3">
        <v>1112614</v>
      </c>
      <c r="D705" s="1" t="s">
        <v>13</v>
      </c>
      <c r="E705" s="1">
        <v>-10.1</v>
      </c>
      <c r="F705" s="1" t="s">
        <v>15158</v>
      </c>
    </row>
    <row r="706" spans="1:6" ht="21" x14ac:dyDescent="0.25">
      <c r="A706" s="2" t="str">
        <f>HYPERLINK("https://rth.dk/resources/bsgatlas/details.php?id=BSGatlas-terminator-705","BSGatlas-terminator-705")</f>
        <v>BSGatlas-terminator-705</v>
      </c>
      <c r="B706" s="3">
        <v>1114022</v>
      </c>
      <c r="C706" s="3">
        <v>1114059</v>
      </c>
      <c r="D706" s="1" t="s">
        <v>13</v>
      </c>
      <c r="E706" s="1">
        <v>-9.6</v>
      </c>
      <c r="F706" s="1" t="s">
        <v>4382</v>
      </c>
    </row>
    <row r="707" spans="1:6" ht="21" x14ac:dyDescent="0.25">
      <c r="A707" s="2" t="str">
        <f>HYPERLINK("https://rth.dk/resources/bsgatlas/details.php?id=BSGatlas-terminator-706","BSGatlas-terminator-706")</f>
        <v>BSGatlas-terminator-706</v>
      </c>
      <c r="B707" s="3">
        <v>1116547</v>
      </c>
      <c r="C707" s="3">
        <v>1116587</v>
      </c>
      <c r="D707" s="1" t="s">
        <v>13</v>
      </c>
      <c r="E707" s="1">
        <v>-15.7</v>
      </c>
      <c r="F707" s="1" t="s">
        <v>4382</v>
      </c>
    </row>
    <row r="708" spans="1:6" ht="21" x14ac:dyDescent="0.25">
      <c r="A708" s="2" t="str">
        <f>HYPERLINK("https://rth.dk/resources/bsgatlas/details.php?id=BSGatlas-terminator-707","BSGatlas-terminator-707")</f>
        <v>BSGatlas-terminator-707</v>
      </c>
      <c r="B708" s="3">
        <v>1116557</v>
      </c>
      <c r="C708" s="3">
        <v>1116597</v>
      </c>
      <c r="D708" s="1" t="s">
        <v>9</v>
      </c>
      <c r="E708" s="1">
        <v>-15.7</v>
      </c>
      <c r="F708" s="1" t="s">
        <v>15158</v>
      </c>
    </row>
    <row r="709" spans="1:6" ht="21" x14ac:dyDescent="0.25">
      <c r="A709" s="2" t="str">
        <f>HYPERLINK("https://rth.dk/resources/bsgatlas/details.php?id=BSGatlas-terminator-708","BSGatlas-terminator-708")</f>
        <v>BSGatlas-terminator-708</v>
      </c>
      <c r="B709" s="3">
        <v>1116594</v>
      </c>
      <c r="C709" s="3">
        <v>1116638</v>
      </c>
      <c r="D709" s="1" t="s">
        <v>13</v>
      </c>
      <c r="E709" s="1">
        <v>-12.3</v>
      </c>
      <c r="F709" s="1" t="s">
        <v>15157</v>
      </c>
    </row>
    <row r="710" spans="1:6" ht="21" x14ac:dyDescent="0.25">
      <c r="A710" s="2" t="str">
        <f>HYPERLINK("https://rth.dk/resources/bsgatlas/details.php?id=BSGatlas-terminator-709","BSGatlas-terminator-709")</f>
        <v>BSGatlas-terminator-709</v>
      </c>
      <c r="B710" s="3">
        <v>1117683</v>
      </c>
      <c r="C710" s="3">
        <v>1117738</v>
      </c>
      <c r="D710" s="1" t="s">
        <v>9</v>
      </c>
      <c r="E710" s="1">
        <v>-16.7</v>
      </c>
      <c r="F710" s="1" t="s">
        <v>4382</v>
      </c>
    </row>
    <row r="711" spans="1:6" ht="21" x14ac:dyDescent="0.25">
      <c r="A711" s="2" t="str">
        <f>HYPERLINK("https://rth.dk/resources/bsgatlas/details.php?id=BSGatlas-terminator-710","BSGatlas-terminator-710")</f>
        <v>BSGatlas-terminator-710</v>
      </c>
      <c r="B711" s="3">
        <v>1117684</v>
      </c>
      <c r="C711" s="3">
        <v>1117728</v>
      </c>
      <c r="D711" s="1" t="s">
        <v>13</v>
      </c>
      <c r="E711" s="1">
        <v>-16.100000000000001</v>
      </c>
      <c r="F711" s="1" t="s">
        <v>4382</v>
      </c>
    </row>
    <row r="712" spans="1:6" ht="21" x14ac:dyDescent="0.25">
      <c r="A712" s="2" t="str">
        <f>HYPERLINK("https://rth.dk/resources/bsgatlas/details.php?id=BSGatlas-terminator-711","BSGatlas-terminator-711")</f>
        <v>BSGatlas-terminator-711</v>
      </c>
      <c r="B712" s="3">
        <v>1117735</v>
      </c>
      <c r="C712" s="3">
        <v>1117779</v>
      </c>
      <c r="D712" s="1" t="s">
        <v>13</v>
      </c>
      <c r="E712" s="1">
        <v>-14.6</v>
      </c>
      <c r="F712" s="1" t="s">
        <v>15157</v>
      </c>
    </row>
    <row r="713" spans="1:6" ht="21" x14ac:dyDescent="0.25">
      <c r="A713" s="2" t="str">
        <f>HYPERLINK("https://rth.dk/resources/bsgatlas/details.php?id=BSGatlas-terminator-712","BSGatlas-terminator-712")</f>
        <v>BSGatlas-terminator-712</v>
      </c>
      <c r="B713" s="3">
        <v>1117857</v>
      </c>
      <c r="C713" s="3">
        <v>1117901</v>
      </c>
      <c r="D713" s="1" t="s">
        <v>9</v>
      </c>
      <c r="E713" s="1">
        <v>-4.5</v>
      </c>
      <c r="F713" s="1" t="s">
        <v>15157</v>
      </c>
    </row>
    <row r="714" spans="1:6" ht="21" x14ac:dyDescent="0.25">
      <c r="A714" s="2" t="str">
        <f>HYPERLINK("https://rth.dk/resources/bsgatlas/details.php?id=BSGatlas-terminator-713","BSGatlas-terminator-713")</f>
        <v>BSGatlas-terminator-713</v>
      </c>
      <c r="B714" s="3">
        <v>1119089</v>
      </c>
      <c r="C714" s="3">
        <v>1119133</v>
      </c>
      <c r="D714" s="1" t="s">
        <v>9</v>
      </c>
      <c r="E714" s="1">
        <v>-11.2</v>
      </c>
      <c r="F714" s="1" t="s">
        <v>15157</v>
      </c>
    </row>
    <row r="715" spans="1:6" ht="21" x14ac:dyDescent="0.25">
      <c r="A715" s="2" t="str">
        <f>HYPERLINK("https://rth.dk/resources/bsgatlas/details.php?id=BSGatlas-terminator-714","BSGatlas-terminator-714")</f>
        <v>BSGatlas-terminator-714</v>
      </c>
      <c r="B715" s="3">
        <v>1119115</v>
      </c>
      <c r="C715" s="3">
        <v>1119155</v>
      </c>
      <c r="D715" s="1" t="s">
        <v>13</v>
      </c>
      <c r="E715" s="1">
        <v>-14.5</v>
      </c>
      <c r="F715" s="1" t="s">
        <v>15158</v>
      </c>
    </row>
    <row r="716" spans="1:6" ht="21" x14ac:dyDescent="0.25">
      <c r="A716" s="2" t="str">
        <f>HYPERLINK("https://rth.dk/resources/bsgatlas/details.php?id=BSGatlas-terminator-715","BSGatlas-terminator-715")</f>
        <v>BSGatlas-terminator-715</v>
      </c>
      <c r="B716" s="3">
        <v>1121013</v>
      </c>
      <c r="C716" s="3">
        <v>1121057</v>
      </c>
      <c r="D716" s="1" t="s">
        <v>13</v>
      </c>
      <c r="E716" s="1">
        <v>-11.2</v>
      </c>
      <c r="F716" s="1" t="s">
        <v>15157</v>
      </c>
    </row>
    <row r="717" spans="1:6" ht="21" x14ac:dyDescent="0.25">
      <c r="A717" s="2" t="str">
        <f>HYPERLINK("https://rth.dk/resources/bsgatlas/details.php?id=BSGatlas-terminator-716","BSGatlas-terminator-716")</f>
        <v>BSGatlas-terminator-716</v>
      </c>
      <c r="B717" s="3">
        <v>1122668</v>
      </c>
      <c r="C717" s="3">
        <v>1122720</v>
      </c>
      <c r="D717" s="1" t="s">
        <v>9</v>
      </c>
      <c r="E717" s="1">
        <v>-10.199999999999999</v>
      </c>
      <c r="F717" s="1" t="s">
        <v>15158</v>
      </c>
    </row>
    <row r="718" spans="1:6" ht="21" x14ac:dyDescent="0.25">
      <c r="A718" s="2" t="str">
        <f>HYPERLINK("https://rth.dk/resources/bsgatlas/details.php?id=BSGatlas-terminator-717","BSGatlas-terminator-717")</f>
        <v>BSGatlas-terminator-717</v>
      </c>
      <c r="B718" s="3">
        <v>1124905</v>
      </c>
      <c r="C718" s="3">
        <v>1124949</v>
      </c>
      <c r="D718" s="1" t="s">
        <v>9</v>
      </c>
      <c r="E718" s="1">
        <v>-9.9</v>
      </c>
      <c r="F718" s="1" t="s">
        <v>15157</v>
      </c>
    </row>
    <row r="719" spans="1:6" ht="21" x14ac:dyDescent="0.25">
      <c r="A719" s="2" t="str">
        <f>HYPERLINK("https://rth.dk/resources/bsgatlas/details.php?id=BSGatlas-terminator-718","BSGatlas-terminator-718")</f>
        <v>BSGatlas-terminator-718</v>
      </c>
      <c r="B719" s="3">
        <v>1124955</v>
      </c>
      <c r="C719" s="3">
        <v>1125014</v>
      </c>
      <c r="D719" s="1" t="s">
        <v>13</v>
      </c>
      <c r="E719" s="1">
        <v>-12.2</v>
      </c>
      <c r="F719" s="1" t="s">
        <v>15160</v>
      </c>
    </row>
    <row r="720" spans="1:6" ht="21" x14ac:dyDescent="0.25">
      <c r="A720" s="2" t="str">
        <f>HYPERLINK("https://rth.dk/resources/bsgatlas/details.php?id=BSGatlas-terminator-719","BSGatlas-terminator-719")</f>
        <v>BSGatlas-terminator-719</v>
      </c>
      <c r="B720" s="3">
        <v>1126305</v>
      </c>
      <c r="C720" s="3">
        <v>1126349</v>
      </c>
      <c r="D720" s="1" t="s">
        <v>9</v>
      </c>
      <c r="E720" s="1">
        <v>-9.4</v>
      </c>
      <c r="F720" s="1" t="s">
        <v>15157</v>
      </c>
    </row>
    <row r="721" spans="1:6" ht="21" x14ac:dyDescent="0.25">
      <c r="A721" s="2" t="str">
        <f>HYPERLINK("https://rth.dk/resources/bsgatlas/details.php?id=BSGatlas-terminator-720","BSGatlas-terminator-720")</f>
        <v>BSGatlas-terminator-720</v>
      </c>
      <c r="B721" s="3">
        <v>1126337</v>
      </c>
      <c r="C721" s="3">
        <v>1126390</v>
      </c>
      <c r="D721" s="1" t="s">
        <v>13</v>
      </c>
      <c r="E721" s="1">
        <v>-11.6</v>
      </c>
      <c r="F721" s="1" t="s">
        <v>4382</v>
      </c>
    </row>
    <row r="722" spans="1:6" ht="21" x14ac:dyDescent="0.25">
      <c r="A722" s="2" t="str">
        <f>HYPERLINK("https://rth.dk/resources/bsgatlas/details.php?id=BSGatlas-terminator-721","BSGatlas-terminator-721")</f>
        <v>BSGatlas-terminator-721</v>
      </c>
      <c r="B722" s="3">
        <v>1130780</v>
      </c>
      <c r="C722" s="3">
        <v>1130824</v>
      </c>
      <c r="D722" s="1" t="s">
        <v>13</v>
      </c>
      <c r="E722" s="1">
        <v>-7.1</v>
      </c>
      <c r="F722" s="1" t="s">
        <v>15162</v>
      </c>
    </row>
    <row r="723" spans="1:6" ht="21" x14ac:dyDescent="0.25">
      <c r="A723" s="2" t="str">
        <f>HYPERLINK("https://rth.dk/resources/bsgatlas/details.php?id=BSGatlas-terminator-722","BSGatlas-terminator-722")</f>
        <v>BSGatlas-terminator-722</v>
      </c>
      <c r="B723" s="3">
        <v>1130923</v>
      </c>
      <c r="C723" s="3">
        <v>1130960</v>
      </c>
      <c r="D723" s="1" t="s">
        <v>9</v>
      </c>
      <c r="E723" s="1">
        <v>-4.7</v>
      </c>
      <c r="F723" s="1" t="s">
        <v>4382</v>
      </c>
    </row>
    <row r="724" spans="1:6" ht="21" x14ac:dyDescent="0.25">
      <c r="A724" s="2" t="str">
        <f>HYPERLINK("https://rth.dk/resources/bsgatlas/details.php?id=BSGatlas-terminator-723","BSGatlas-terminator-723")</f>
        <v>BSGatlas-terminator-723</v>
      </c>
      <c r="B724" s="3">
        <v>1131049</v>
      </c>
      <c r="C724" s="3">
        <v>1131115</v>
      </c>
      <c r="D724" s="1" t="s">
        <v>9</v>
      </c>
      <c r="E724" s="1"/>
      <c r="F724" s="1" t="s">
        <v>15159</v>
      </c>
    </row>
    <row r="725" spans="1:6" ht="21" x14ac:dyDescent="0.25">
      <c r="A725" s="2" t="str">
        <f>HYPERLINK("https://rth.dk/resources/bsgatlas/details.php?id=BSGatlas-terminator-724","BSGatlas-terminator-724")</f>
        <v>BSGatlas-terminator-724</v>
      </c>
      <c r="B725" s="3">
        <v>1135686</v>
      </c>
      <c r="C725" s="3">
        <v>1135730</v>
      </c>
      <c r="D725" s="1" t="s">
        <v>13</v>
      </c>
      <c r="E725" s="1">
        <v>-11.5</v>
      </c>
      <c r="F725" s="1" t="s">
        <v>15157</v>
      </c>
    </row>
    <row r="726" spans="1:6" ht="21" x14ac:dyDescent="0.25">
      <c r="A726" s="2" t="str">
        <f>HYPERLINK("https://rth.dk/resources/bsgatlas/details.php?id=BSGatlas-terminator-725","BSGatlas-terminator-725")</f>
        <v>BSGatlas-terminator-725</v>
      </c>
      <c r="B726" s="3">
        <v>1143503</v>
      </c>
      <c r="C726" s="3">
        <v>1143553</v>
      </c>
      <c r="D726" s="1" t="s">
        <v>9</v>
      </c>
      <c r="E726" s="1">
        <v>-25.4</v>
      </c>
      <c r="F726" s="1" t="s">
        <v>4382</v>
      </c>
    </row>
    <row r="727" spans="1:6" ht="21" x14ac:dyDescent="0.25">
      <c r="A727" s="2" t="str">
        <f>HYPERLINK("https://rth.dk/resources/bsgatlas/details.php?id=BSGatlas-terminator-726","BSGatlas-terminator-726")</f>
        <v>BSGatlas-terminator-726</v>
      </c>
      <c r="B727" s="3">
        <v>1147460</v>
      </c>
      <c r="C727" s="3">
        <v>1147526</v>
      </c>
      <c r="D727" s="1" t="s">
        <v>13</v>
      </c>
      <c r="E727" s="1"/>
      <c r="F727" s="1" t="s">
        <v>15159</v>
      </c>
    </row>
    <row r="728" spans="1:6" ht="21" x14ac:dyDescent="0.25">
      <c r="A728" s="2" t="str">
        <f>HYPERLINK("https://rth.dk/resources/bsgatlas/details.php?id=BSGatlas-terminator-727","BSGatlas-terminator-727")</f>
        <v>BSGatlas-terminator-727</v>
      </c>
      <c r="B728" s="3">
        <v>1148450</v>
      </c>
      <c r="C728" s="3">
        <v>1148505</v>
      </c>
      <c r="D728" s="1" t="s">
        <v>13</v>
      </c>
      <c r="E728" s="1">
        <v>-20.5</v>
      </c>
      <c r="F728" s="1" t="s">
        <v>15158</v>
      </c>
    </row>
    <row r="729" spans="1:6" ht="21" x14ac:dyDescent="0.25">
      <c r="A729" s="2" t="str">
        <f>HYPERLINK("https://rth.dk/resources/bsgatlas/details.php?id=BSGatlas-terminator-728","BSGatlas-terminator-728")</f>
        <v>BSGatlas-terminator-728</v>
      </c>
      <c r="B729" s="3">
        <v>1148455</v>
      </c>
      <c r="C729" s="3">
        <v>1148506</v>
      </c>
      <c r="D729" s="1" t="s">
        <v>9</v>
      </c>
      <c r="E729" s="1">
        <v>-17.600000000000001</v>
      </c>
      <c r="F729" s="1" t="s">
        <v>15158</v>
      </c>
    </row>
    <row r="730" spans="1:6" ht="21" x14ac:dyDescent="0.25">
      <c r="A730" s="2" t="str">
        <f>HYPERLINK("https://rth.dk/resources/bsgatlas/details.php?id=BSGatlas-terminator-729","BSGatlas-terminator-729")</f>
        <v>BSGatlas-terminator-729</v>
      </c>
      <c r="B730" s="3">
        <v>1150668</v>
      </c>
      <c r="C730" s="3">
        <v>1150712</v>
      </c>
      <c r="D730" s="1" t="s">
        <v>13</v>
      </c>
      <c r="E730" s="1">
        <v>-15.3</v>
      </c>
      <c r="F730" s="1" t="s">
        <v>15162</v>
      </c>
    </row>
    <row r="731" spans="1:6" ht="21" x14ac:dyDescent="0.25">
      <c r="A731" s="2" t="str">
        <f>HYPERLINK("https://rth.dk/resources/bsgatlas/details.php?id=BSGatlas-terminator-730","BSGatlas-terminator-730")</f>
        <v>BSGatlas-terminator-730</v>
      </c>
      <c r="B731" s="3">
        <v>1151054</v>
      </c>
      <c r="C731" s="3">
        <v>1151098</v>
      </c>
      <c r="D731" s="1" t="s">
        <v>9</v>
      </c>
      <c r="E731" s="1">
        <v>-10.3</v>
      </c>
      <c r="F731" s="1" t="s">
        <v>15157</v>
      </c>
    </row>
    <row r="732" spans="1:6" ht="21" x14ac:dyDescent="0.25">
      <c r="A732" s="2" t="str">
        <f>HYPERLINK("https://rth.dk/resources/bsgatlas/details.php?id=BSGatlas-terminator-731","BSGatlas-terminator-731")</f>
        <v>BSGatlas-terminator-731</v>
      </c>
      <c r="B732" s="3">
        <v>1151252</v>
      </c>
      <c r="C732" s="3">
        <v>1151318</v>
      </c>
      <c r="D732" s="1" t="s">
        <v>9</v>
      </c>
      <c r="E732" s="1"/>
      <c r="F732" s="1" t="s">
        <v>15159</v>
      </c>
    </row>
    <row r="733" spans="1:6" ht="21" x14ac:dyDescent="0.25">
      <c r="A733" s="2" t="str">
        <f>HYPERLINK("https://rth.dk/resources/bsgatlas/details.php?id=BSGatlas-terminator-732","BSGatlas-terminator-732")</f>
        <v>BSGatlas-terminator-732</v>
      </c>
      <c r="B733" s="3">
        <v>1153496</v>
      </c>
      <c r="C733" s="3">
        <v>1153540</v>
      </c>
      <c r="D733" s="1" t="s">
        <v>9</v>
      </c>
      <c r="E733" s="1">
        <v>-11.7</v>
      </c>
      <c r="F733" s="1" t="s">
        <v>15157</v>
      </c>
    </row>
    <row r="734" spans="1:6" ht="21" x14ac:dyDescent="0.25">
      <c r="A734" s="2" t="str">
        <f>HYPERLINK("https://rth.dk/resources/bsgatlas/details.php?id=BSGatlas-terminator-733","BSGatlas-terminator-733")</f>
        <v>BSGatlas-terminator-733</v>
      </c>
      <c r="B734" s="3">
        <v>1153587</v>
      </c>
      <c r="C734" s="3">
        <v>1153631</v>
      </c>
      <c r="D734" s="1" t="s">
        <v>9</v>
      </c>
      <c r="E734" s="1">
        <v>-11.7</v>
      </c>
      <c r="F734" s="1" t="s">
        <v>15157</v>
      </c>
    </row>
    <row r="735" spans="1:6" ht="21" x14ac:dyDescent="0.25">
      <c r="A735" s="2" t="str">
        <f>HYPERLINK("https://rth.dk/resources/bsgatlas/details.php?id=BSGatlas-terminator-734","BSGatlas-terminator-734")</f>
        <v>BSGatlas-terminator-734</v>
      </c>
      <c r="B735" s="3">
        <v>1153935</v>
      </c>
      <c r="C735" s="3">
        <v>1153979</v>
      </c>
      <c r="D735" s="1" t="s">
        <v>13</v>
      </c>
      <c r="E735" s="1">
        <v>-8</v>
      </c>
      <c r="F735" s="1" t="s">
        <v>15157</v>
      </c>
    </row>
    <row r="736" spans="1:6" ht="21" x14ac:dyDescent="0.25">
      <c r="A736" s="2" t="str">
        <f>HYPERLINK("https://rth.dk/resources/bsgatlas/details.php?id=BSGatlas-terminator-735","BSGatlas-terminator-735")</f>
        <v>BSGatlas-terminator-735</v>
      </c>
      <c r="B736" s="3">
        <v>1156464</v>
      </c>
      <c r="C736" s="3">
        <v>1156514</v>
      </c>
      <c r="D736" s="1" t="s">
        <v>9</v>
      </c>
      <c r="E736" s="1">
        <v>-15.2</v>
      </c>
      <c r="F736" s="1" t="s">
        <v>15158</v>
      </c>
    </row>
    <row r="737" spans="1:6" ht="21" x14ac:dyDescent="0.25">
      <c r="A737" s="2" t="str">
        <f>HYPERLINK("https://rth.dk/resources/bsgatlas/details.php?id=BSGatlas-terminator-736","BSGatlas-terminator-736")</f>
        <v>BSGatlas-terminator-736</v>
      </c>
      <c r="B737" s="3">
        <v>1159128</v>
      </c>
      <c r="C737" s="3">
        <v>1159184</v>
      </c>
      <c r="D737" s="1" t="s">
        <v>9</v>
      </c>
      <c r="E737" s="1">
        <v>-19.899999999999999</v>
      </c>
      <c r="F737" s="1" t="s">
        <v>15160</v>
      </c>
    </row>
    <row r="738" spans="1:6" ht="21" x14ac:dyDescent="0.25">
      <c r="A738" s="2" t="str">
        <f>HYPERLINK("https://rth.dk/resources/bsgatlas/details.php?id=BSGatlas-terminator-737","BSGatlas-terminator-737")</f>
        <v>BSGatlas-terminator-737</v>
      </c>
      <c r="B738" s="3">
        <v>1164122</v>
      </c>
      <c r="C738" s="3">
        <v>1164166</v>
      </c>
      <c r="D738" s="1" t="s">
        <v>9</v>
      </c>
      <c r="E738" s="1">
        <v>-9.6</v>
      </c>
      <c r="F738" s="1" t="s">
        <v>15157</v>
      </c>
    </row>
    <row r="739" spans="1:6" ht="21" x14ac:dyDescent="0.25">
      <c r="A739" s="2" t="str">
        <f>HYPERLINK("https://rth.dk/resources/bsgatlas/details.php?id=BSGatlas-terminator-738","BSGatlas-terminator-738")</f>
        <v>BSGatlas-terminator-738</v>
      </c>
      <c r="B739" s="3">
        <v>1165398</v>
      </c>
      <c r="C739" s="3">
        <v>1165442</v>
      </c>
      <c r="D739" s="1" t="s">
        <v>9</v>
      </c>
      <c r="E739" s="1">
        <v>-13.4</v>
      </c>
      <c r="F739" s="1" t="s">
        <v>15157</v>
      </c>
    </row>
    <row r="740" spans="1:6" ht="21" x14ac:dyDescent="0.25">
      <c r="A740" s="2" t="str">
        <f>HYPERLINK("https://rth.dk/resources/bsgatlas/details.php?id=BSGatlas-terminator-739","BSGatlas-terminator-739")</f>
        <v>BSGatlas-terminator-739</v>
      </c>
      <c r="B740" s="3">
        <v>1165446</v>
      </c>
      <c r="C740" s="3">
        <v>1165490</v>
      </c>
      <c r="D740" s="1" t="s">
        <v>13</v>
      </c>
      <c r="E740" s="1">
        <v>-13.4</v>
      </c>
      <c r="F740" s="1" t="s">
        <v>15157</v>
      </c>
    </row>
    <row r="741" spans="1:6" ht="21" x14ac:dyDescent="0.25">
      <c r="A741" s="2" t="str">
        <f>HYPERLINK("https://rth.dk/resources/bsgatlas/details.php?id=BSGatlas-terminator-740","BSGatlas-terminator-740")</f>
        <v>BSGatlas-terminator-740</v>
      </c>
      <c r="B741" s="3">
        <v>1168059</v>
      </c>
      <c r="C741" s="3">
        <v>1168103</v>
      </c>
      <c r="D741" s="1" t="s">
        <v>13</v>
      </c>
      <c r="E741" s="1">
        <v>-17.3</v>
      </c>
      <c r="F741" s="1" t="s">
        <v>15162</v>
      </c>
    </row>
    <row r="742" spans="1:6" ht="21" x14ac:dyDescent="0.25">
      <c r="A742" s="2" t="str">
        <f>HYPERLINK("https://rth.dk/resources/bsgatlas/details.php?id=BSGatlas-terminator-741","BSGatlas-terminator-741")</f>
        <v>BSGatlas-terminator-741</v>
      </c>
      <c r="B742" s="3">
        <v>1169842</v>
      </c>
      <c r="C742" s="3">
        <v>1169889</v>
      </c>
      <c r="D742" s="1" t="s">
        <v>13</v>
      </c>
      <c r="E742" s="1">
        <v>-9.3000000000000007</v>
      </c>
      <c r="F742" s="1" t="s">
        <v>15158</v>
      </c>
    </row>
    <row r="743" spans="1:6" ht="21" x14ac:dyDescent="0.25">
      <c r="A743" s="2" t="str">
        <f>HYPERLINK("https://rth.dk/resources/bsgatlas/details.php?id=BSGatlas-terminator-742","BSGatlas-terminator-742")</f>
        <v>BSGatlas-terminator-742</v>
      </c>
      <c r="B743" s="3">
        <v>1169845</v>
      </c>
      <c r="C743" s="3">
        <v>1169887</v>
      </c>
      <c r="D743" s="1" t="s">
        <v>9</v>
      </c>
      <c r="E743" s="1">
        <v>-8.3000000000000007</v>
      </c>
      <c r="F743" s="1" t="s">
        <v>15158</v>
      </c>
    </row>
    <row r="744" spans="1:6" ht="21" x14ac:dyDescent="0.25">
      <c r="A744" s="2" t="str">
        <f>HYPERLINK("https://rth.dk/resources/bsgatlas/details.php?id=BSGatlas-terminator-743","BSGatlas-terminator-743")</f>
        <v>BSGatlas-terminator-743</v>
      </c>
      <c r="B744" s="3">
        <v>1173675</v>
      </c>
      <c r="C744" s="3">
        <v>1173717</v>
      </c>
      <c r="D744" s="1" t="s">
        <v>13</v>
      </c>
      <c r="E744" s="1">
        <v>-6.9</v>
      </c>
      <c r="F744" s="1" t="s">
        <v>4382</v>
      </c>
    </row>
    <row r="745" spans="1:6" ht="21" x14ac:dyDescent="0.25">
      <c r="A745" s="2" t="str">
        <f>HYPERLINK("https://rth.dk/resources/bsgatlas/details.php?id=BSGatlas-terminator-744","BSGatlas-terminator-744")</f>
        <v>BSGatlas-terminator-744</v>
      </c>
      <c r="B745" s="3">
        <v>1174087</v>
      </c>
      <c r="C745" s="3">
        <v>1174150</v>
      </c>
      <c r="D745" s="1" t="s">
        <v>9</v>
      </c>
      <c r="E745" s="1">
        <v>-25.7</v>
      </c>
      <c r="F745" s="1" t="s">
        <v>15158</v>
      </c>
    </row>
    <row r="746" spans="1:6" ht="21" x14ac:dyDescent="0.25">
      <c r="A746" s="2" t="str">
        <f>HYPERLINK("https://rth.dk/resources/bsgatlas/details.php?id=BSGatlas-terminator-745","BSGatlas-terminator-745")</f>
        <v>BSGatlas-terminator-745</v>
      </c>
      <c r="B746" s="3">
        <v>1174837</v>
      </c>
      <c r="C746" s="3">
        <v>1174887</v>
      </c>
      <c r="D746" s="1" t="s">
        <v>13</v>
      </c>
      <c r="E746" s="1">
        <v>-17.600000000000001</v>
      </c>
      <c r="F746" s="1" t="s">
        <v>15158</v>
      </c>
    </row>
    <row r="747" spans="1:6" ht="21" x14ac:dyDescent="0.25">
      <c r="A747" s="2" t="str">
        <f>HYPERLINK("https://rth.dk/resources/bsgatlas/details.php?id=BSGatlas-terminator-746","BSGatlas-terminator-746")</f>
        <v>BSGatlas-terminator-746</v>
      </c>
      <c r="B747" s="3">
        <v>1177354</v>
      </c>
      <c r="C747" s="3">
        <v>1177398</v>
      </c>
      <c r="D747" s="1" t="s">
        <v>13</v>
      </c>
      <c r="E747" s="1">
        <v>-11.7</v>
      </c>
      <c r="F747" s="1" t="s">
        <v>15157</v>
      </c>
    </row>
    <row r="748" spans="1:6" ht="21" x14ac:dyDescent="0.25">
      <c r="A748" s="2" t="str">
        <f>HYPERLINK("https://rth.dk/resources/bsgatlas/details.php?id=BSGatlas-terminator-747","BSGatlas-terminator-747")</f>
        <v>BSGatlas-terminator-747</v>
      </c>
      <c r="B748" s="3">
        <v>1178762</v>
      </c>
      <c r="C748" s="3">
        <v>1178806</v>
      </c>
      <c r="D748" s="1" t="s">
        <v>13</v>
      </c>
      <c r="E748" s="1">
        <v>-16.2</v>
      </c>
      <c r="F748" s="1" t="s">
        <v>15157</v>
      </c>
    </row>
    <row r="749" spans="1:6" ht="21" x14ac:dyDescent="0.25">
      <c r="A749" s="2" t="str">
        <f>HYPERLINK("https://rth.dk/resources/bsgatlas/details.php?id=BSGatlas-terminator-748","BSGatlas-terminator-748")</f>
        <v>BSGatlas-terminator-748</v>
      </c>
      <c r="B749" s="3">
        <v>1180646</v>
      </c>
      <c r="C749" s="3">
        <v>1180664</v>
      </c>
      <c r="D749" s="1" t="s">
        <v>13</v>
      </c>
      <c r="E749" s="1">
        <v>-7.3</v>
      </c>
      <c r="F749" s="1" t="s">
        <v>15161</v>
      </c>
    </row>
    <row r="750" spans="1:6" ht="21" x14ac:dyDescent="0.25">
      <c r="A750" s="2" t="str">
        <f>HYPERLINK("https://rth.dk/resources/bsgatlas/details.php?id=BSGatlas-terminator-749","BSGatlas-terminator-749")</f>
        <v>BSGatlas-terminator-749</v>
      </c>
      <c r="B750" s="3">
        <v>1182360</v>
      </c>
      <c r="C750" s="3">
        <v>1182404</v>
      </c>
      <c r="D750" s="1" t="s">
        <v>9</v>
      </c>
      <c r="E750" s="1">
        <v>-21.5</v>
      </c>
      <c r="F750" s="1" t="s">
        <v>15157</v>
      </c>
    </row>
    <row r="751" spans="1:6" ht="21" x14ac:dyDescent="0.25">
      <c r="A751" s="2" t="str">
        <f>HYPERLINK("https://rth.dk/resources/bsgatlas/details.php?id=BSGatlas-terminator-750","BSGatlas-terminator-750")</f>
        <v>BSGatlas-terminator-750</v>
      </c>
      <c r="B751" s="3">
        <v>1182436</v>
      </c>
      <c r="C751" s="3">
        <v>1182480</v>
      </c>
      <c r="D751" s="1" t="s">
        <v>13</v>
      </c>
      <c r="E751" s="1">
        <v>-21.5</v>
      </c>
      <c r="F751" s="1" t="s">
        <v>15157</v>
      </c>
    </row>
    <row r="752" spans="1:6" ht="21" x14ac:dyDescent="0.25">
      <c r="A752" s="2" t="str">
        <f>HYPERLINK("https://rth.dk/resources/bsgatlas/details.php?id=BSGatlas-terminator-751","BSGatlas-terminator-751")</f>
        <v>BSGatlas-terminator-751</v>
      </c>
      <c r="B752" s="3">
        <v>1185859</v>
      </c>
      <c r="C752" s="3">
        <v>1185947</v>
      </c>
      <c r="D752" s="1" t="s">
        <v>9</v>
      </c>
      <c r="E752" s="1">
        <v>-12.6</v>
      </c>
      <c r="F752" s="1" t="s">
        <v>15157</v>
      </c>
    </row>
    <row r="753" spans="1:6" ht="21" x14ac:dyDescent="0.25">
      <c r="A753" s="2" t="str">
        <f>HYPERLINK("https://rth.dk/resources/bsgatlas/details.php?id=BSGatlas-terminator-752","BSGatlas-terminator-752")</f>
        <v>BSGatlas-terminator-752</v>
      </c>
      <c r="B753" s="3">
        <v>1187619</v>
      </c>
      <c r="C753" s="3">
        <v>1187663</v>
      </c>
      <c r="D753" s="1" t="s">
        <v>9</v>
      </c>
      <c r="E753" s="1">
        <v>-8.6</v>
      </c>
      <c r="F753" s="1" t="s">
        <v>15157</v>
      </c>
    </row>
    <row r="754" spans="1:6" ht="21" x14ac:dyDescent="0.25">
      <c r="A754" s="2" t="str">
        <f>HYPERLINK("https://rth.dk/resources/bsgatlas/details.php?id=BSGatlas-terminator-753","BSGatlas-terminator-753")</f>
        <v>BSGatlas-terminator-753</v>
      </c>
      <c r="B754" s="3">
        <v>1187695</v>
      </c>
      <c r="C754" s="3">
        <v>1187739</v>
      </c>
      <c r="D754" s="1" t="s">
        <v>13</v>
      </c>
      <c r="E754" s="1">
        <v>-7.7</v>
      </c>
      <c r="F754" s="1" t="s">
        <v>15157</v>
      </c>
    </row>
    <row r="755" spans="1:6" ht="21" x14ac:dyDescent="0.25">
      <c r="A755" s="2" t="str">
        <f>HYPERLINK("https://rth.dk/resources/bsgatlas/details.php?id=BSGatlas-terminator-754","BSGatlas-terminator-754")</f>
        <v>BSGatlas-terminator-754</v>
      </c>
      <c r="B755" s="3">
        <v>1189993</v>
      </c>
      <c r="C755" s="3">
        <v>1190045</v>
      </c>
      <c r="D755" s="1" t="s">
        <v>9</v>
      </c>
      <c r="E755" s="1">
        <v>-19.2</v>
      </c>
      <c r="F755" s="1" t="s">
        <v>15158</v>
      </c>
    </row>
    <row r="756" spans="1:6" ht="21" x14ac:dyDescent="0.25">
      <c r="A756" s="2" t="str">
        <f>HYPERLINK("https://rth.dk/resources/bsgatlas/details.php?id=BSGatlas-terminator-755","BSGatlas-terminator-755")</f>
        <v>BSGatlas-terminator-755</v>
      </c>
      <c r="B756" s="3">
        <v>1190027</v>
      </c>
      <c r="C756" s="3">
        <v>1190071</v>
      </c>
      <c r="D756" s="1" t="s">
        <v>13</v>
      </c>
      <c r="E756" s="1">
        <v>-17.3</v>
      </c>
      <c r="F756" s="1" t="s">
        <v>15157</v>
      </c>
    </row>
    <row r="757" spans="1:6" ht="21" x14ac:dyDescent="0.25">
      <c r="A757" s="2" t="str">
        <f>HYPERLINK("https://rth.dk/resources/bsgatlas/details.php?id=BSGatlas-terminator-756","BSGatlas-terminator-756")</f>
        <v>BSGatlas-terminator-756</v>
      </c>
      <c r="B757" s="3">
        <v>1192525</v>
      </c>
      <c r="C757" s="3">
        <v>1192569</v>
      </c>
      <c r="D757" s="1" t="s">
        <v>9</v>
      </c>
      <c r="E757" s="1">
        <v>-14.7</v>
      </c>
      <c r="F757" s="1" t="s">
        <v>15157</v>
      </c>
    </row>
    <row r="758" spans="1:6" ht="21" x14ac:dyDescent="0.25">
      <c r="A758" s="2" t="str">
        <f>HYPERLINK("https://rth.dk/resources/bsgatlas/details.php?id=BSGatlas-terminator-757","BSGatlas-terminator-757")</f>
        <v>BSGatlas-terminator-757</v>
      </c>
      <c r="B758" s="3">
        <v>1194769</v>
      </c>
      <c r="C758" s="3">
        <v>1194813</v>
      </c>
      <c r="D758" s="1" t="s">
        <v>9</v>
      </c>
      <c r="E758" s="1">
        <v>-13.2</v>
      </c>
      <c r="F758" s="1" t="s">
        <v>15157</v>
      </c>
    </row>
    <row r="759" spans="1:6" ht="21" x14ac:dyDescent="0.25">
      <c r="A759" s="2" t="str">
        <f>HYPERLINK("https://rth.dk/resources/bsgatlas/details.php?id=BSGatlas-terminator-758","BSGatlas-terminator-758")</f>
        <v>BSGatlas-terminator-758</v>
      </c>
      <c r="B759" s="3">
        <v>1204361</v>
      </c>
      <c r="C759" s="3">
        <v>1204405</v>
      </c>
      <c r="D759" s="1" t="s">
        <v>9</v>
      </c>
      <c r="E759" s="1">
        <v>-11.1</v>
      </c>
      <c r="F759" s="1" t="s">
        <v>15157</v>
      </c>
    </row>
    <row r="760" spans="1:6" ht="21" x14ac:dyDescent="0.25">
      <c r="A760" s="2" t="str">
        <f>HYPERLINK("https://rth.dk/resources/bsgatlas/details.php?id=BSGatlas-terminator-759","BSGatlas-terminator-759")</f>
        <v>BSGatlas-terminator-759</v>
      </c>
      <c r="B760" s="3">
        <v>1204409</v>
      </c>
      <c r="C760" s="3">
        <v>1204449</v>
      </c>
      <c r="D760" s="1" t="s">
        <v>9</v>
      </c>
      <c r="E760" s="1">
        <v>-14.3</v>
      </c>
      <c r="F760" s="1" t="s">
        <v>4382</v>
      </c>
    </row>
    <row r="761" spans="1:6" ht="21" x14ac:dyDescent="0.25">
      <c r="A761" s="2" t="str">
        <f>HYPERLINK("https://rth.dk/resources/bsgatlas/details.php?id=BSGatlas-terminator-760","BSGatlas-terminator-760")</f>
        <v>BSGatlas-terminator-760</v>
      </c>
      <c r="B761" s="3">
        <v>1204434</v>
      </c>
      <c r="C761" s="3">
        <v>1204478</v>
      </c>
      <c r="D761" s="1" t="s">
        <v>13</v>
      </c>
      <c r="E761" s="1">
        <v>-11.2</v>
      </c>
      <c r="F761" s="1" t="s">
        <v>15162</v>
      </c>
    </row>
    <row r="762" spans="1:6" ht="21" x14ac:dyDescent="0.25">
      <c r="A762" s="2" t="str">
        <f>HYPERLINK("https://rth.dk/resources/bsgatlas/details.php?id=BSGatlas-terminator-761","BSGatlas-terminator-761")</f>
        <v>BSGatlas-terminator-761</v>
      </c>
      <c r="B762" s="3">
        <v>1204692</v>
      </c>
      <c r="C762" s="3">
        <v>1204734</v>
      </c>
      <c r="D762" s="1" t="s">
        <v>9</v>
      </c>
      <c r="E762" s="1">
        <v>-13.9</v>
      </c>
      <c r="F762" s="1" t="s">
        <v>15158</v>
      </c>
    </row>
    <row r="763" spans="1:6" ht="21" x14ac:dyDescent="0.25">
      <c r="A763" s="2" t="str">
        <f>HYPERLINK("https://rth.dk/resources/bsgatlas/details.php?id=BSGatlas-terminator-762","BSGatlas-terminator-762")</f>
        <v>BSGatlas-terminator-762</v>
      </c>
      <c r="B763" s="3">
        <v>1204720</v>
      </c>
      <c r="C763" s="3">
        <v>1204764</v>
      </c>
      <c r="D763" s="1" t="s">
        <v>13</v>
      </c>
      <c r="E763" s="1">
        <v>-10.9</v>
      </c>
      <c r="F763" s="1" t="s">
        <v>15157</v>
      </c>
    </row>
    <row r="764" spans="1:6" ht="21" x14ac:dyDescent="0.25">
      <c r="A764" s="2" t="str">
        <f>HYPERLINK("https://rth.dk/resources/bsgatlas/details.php?id=BSGatlas-terminator-763","BSGatlas-terminator-763")</f>
        <v>BSGatlas-terminator-763</v>
      </c>
      <c r="B764" s="3">
        <v>1205876</v>
      </c>
      <c r="C764" s="3">
        <v>1205920</v>
      </c>
      <c r="D764" s="1" t="s">
        <v>9</v>
      </c>
      <c r="E764" s="1">
        <v>-10</v>
      </c>
      <c r="F764" s="1" t="s">
        <v>15157</v>
      </c>
    </row>
    <row r="765" spans="1:6" ht="21" x14ac:dyDescent="0.25">
      <c r="A765" s="2" t="str">
        <f>HYPERLINK("https://rth.dk/resources/bsgatlas/details.php?id=BSGatlas-terminator-764","BSGatlas-terminator-764")</f>
        <v>BSGatlas-terminator-764</v>
      </c>
      <c r="B765" s="3">
        <v>1207745</v>
      </c>
      <c r="C765" s="3">
        <v>1207789</v>
      </c>
      <c r="D765" s="1" t="s">
        <v>9</v>
      </c>
      <c r="E765" s="1">
        <v>-10.4</v>
      </c>
      <c r="F765" s="1" t="s">
        <v>15157</v>
      </c>
    </row>
    <row r="766" spans="1:6" ht="21" x14ac:dyDescent="0.25">
      <c r="A766" s="2" t="str">
        <f>HYPERLINK("https://rth.dk/resources/bsgatlas/details.php?id=BSGatlas-terminator-765","BSGatlas-terminator-765")</f>
        <v>BSGatlas-terminator-765</v>
      </c>
      <c r="B766" s="3">
        <v>1207790</v>
      </c>
      <c r="C766" s="3">
        <v>1207829</v>
      </c>
      <c r="D766" s="1" t="s">
        <v>9</v>
      </c>
      <c r="E766" s="1">
        <v>-11.7</v>
      </c>
      <c r="F766" s="1" t="s">
        <v>4382</v>
      </c>
    </row>
    <row r="767" spans="1:6" ht="21" x14ac:dyDescent="0.25">
      <c r="A767" s="2" t="str">
        <f>HYPERLINK("https://rth.dk/resources/bsgatlas/details.php?id=BSGatlas-terminator-766","BSGatlas-terminator-766")</f>
        <v>BSGatlas-terminator-766</v>
      </c>
      <c r="B767" s="3">
        <v>1207812</v>
      </c>
      <c r="C767" s="3">
        <v>1207856</v>
      </c>
      <c r="D767" s="1" t="s">
        <v>13</v>
      </c>
      <c r="E767" s="1">
        <v>-10.4</v>
      </c>
      <c r="F767" s="1" t="s">
        <v>15157</v>
      </c>
    </row>
    <row r="768" spans="1:6" ht="21" x14ac:dyDescent="0.25">
      <c r="A768" s="2" t="str">
        <f>HYPERLINK("https://rth.dk/resources/bsgatlas/details.php?id=BSGatlas-terminator-767","BSGatlas-terminator-767")</f>
        <v>BSGatlas-terminator-767</v>
      </c>
      <c r="B768" s="3">
        <v>1210253</v>
      </c>
      <c r="C768" s="3">
        <v>1210297</v>
      </c>
      <c r="D768" s="1" t="s">
        <v>9</v>
      </c>
      <c r="E768" s="1">
        <v>-18.5</v>
      </c>
      <c r="F768" s="1" t="s">
        <v>15157</v>
      </c>
    </row>
    <row r="769" spans="1:6" ht="21" x14ac:dyDescent="0.25">
      <c r="A769" s="2" t="str">
        <f>HYPERLINK("https://rth.dk/resources/bsgatlas/details.php?id=BSGatlas-terminator-768","BSGatlas-terminator-768")</f>
        <v>BSGatlas-terminator-768</v>
      </c>
      <c r="B769" s="3">
        <v>1210414</v>
      </c>
      <c r="C769" s="3">
        <v>1210474</v>
      </c>
      <c r="D769" s="1" t="s">
        <v>9</v>
      </c>
      <c r="E769" s="1">
        <v>-22.9</v>
      </c>
      <c r="F769" s="1" t="s">
        <v>15158</v>
      </c>
    </row>
    <row r="770" spans="1:6" ht="21" x14ac:dyDescent="0.25">
      <c r="A770" s="2" t="str">
        <f>HYPERLINK("https://rth.dk/resources/bsgatlas/details.php?id=BSGatlas-terminator-769","BSGatlas-terminator-769")</f>
        <v>BSGatlas-terminator-769</v>
      </c>
      <c r="B770" s="3">
        <v>1215136</v>
      </c>
      <c r="C770" s="3">
        <v>1215180</v>
      </c>
      <c r="D770" s="1" t="s">
        <v>9</v>
      </c>
      <c r="E770" s="1">
        <v>-13.3</v>
      </c>
      <c r="F770" s="1" t="s">
        <v>15157</v>
      </c>
    </row>
    <row r="771" spans="1:6" ht="21" x14ac:dyDescent="0.25">
      <c r="A771" s="2" t="str">
        <f>HYPERLINK("https://rth.dk/resources/bsgatlas/details.php?id=BSGatlas-terminator-770","BSGatlas-terminator-770")</f>
        <v>BSGatlas-terminator-770</v>
      </c>
      <c r="B771" s="3">
        <v>1217113</v>
      </c>
      <c r="C771" s="3">
        <v>1217157</v>
      </c>
      <c r="D771" s="1" t="s">
        <v>9</v>
      </c>
      <c r="E771" s="1">
        <v>-11.6</v>
      </c>
      <c r="F771" s="1" t="s">
        <v>15157</v>
      </c>
    </row>
    <row r="772" spans="1:6" ht="21" x14ac:dyDescent="0.25">
      <c r="A772" s="2" t="str">
        <f>HYPERLINK("https://rth.dk/resources/bsgatlas/details.php?id=BSGatlas-terminator-771","BSGatlas-terminator-771")</f>
        <v>BSGatlas-terminator-771</v>
      </c>
      <c r="B772" s="3">
        <v>1217163</v>
      </c>
      <c r="C772" s="3">
        <v>1217222</v>
      </c>
      <c r="D772" s="1" t="s">
        <v>9</v>
      </c>
      <c r="E772" s="1">
        <v>-14.9</v>
      </c>
      <c r="F772" s="1" t="s">
        <v>4382</v>
      </c>
    </row>
    <row r="773" spans="1:6" ht="21" x14ac:dyDescent="0.25">
      <c r="A773" s="2" t="str">
        <f>HYPERLINK("https://rth.dk/resources/bsgatlas/details.php?id=BSGatlas-terminator-772","BSGatlas-terminator-772")</f>
        <v>BSGatlas-terminator-772</v>
      </c>
      <c r="B773" s="3">
        <v>1218036</v>
      </c>
      <c r="C773" s="3">
        <v>1218080</v>
      </c>
      <c r="D773" s="1" t="s">
        <v>9</v>
      </c>
      <c r="E773" s="1">
        <v>-11.6</v>
      </c>
      <c r="F773" s="1" t="s">
        <v>15157</v>
      </c>
    </row>
    <row r="774" spans="1:6" ht="21" x14ac:dyDescent="0.25">
      <c r="A774" s="2" t="str">
        <f>HYPERLINK("https://rth.dk/resources/bsgatlas/details.php?id=BSGatlas-terminator-773","BSGatlas-terminator-773")</f>
        <v>BSGatlas-terminator-773</v>
      </c>
      <c r="B774" s="3">
        <v>1218070</v>
      </c>
      <c r="C774" s="3">
        <v>1218119</v>
      </c>
      <c r="D774" s="1" t="s">
        <v>13</v>
      </c>
      <c r="E774" s="1">
        <v>-13.3</v>
      </c>
      <c r="F774" s="1" t="s">
        <v>15158</v>
      </c>
    </row>
    <row r="775" spans="1:6" ht="21" x14ac:dyDescent="0.25">
      <c r="A775" s="2" t="str">
        <f>HYPERLINK("https://rth.dk/resources/bsgatlas/details.php?id=BSGatlas-terminator-774","BSGatlas-terminator-774")</f>
        <v>BSGatlas-terminator-774</v>
      </c>
      <c r="B775" s="3">
        <v>1219129</v>
      </c>
      <c r="C775" s="3">
        <v>1219190</v>
      </c>
      <c r="D775" s="1" t="s">
        <v>13</v>
      </c>
      <c r="E775" s="1">
        <v>-23.9</v>
      </c>
      <c r="F775" s="1" t="s">
        <v>15158</v>
      </c>
    </row>
    <row r="776" spans="1:6" ht="21" x14ac:dyDescent="0.25">
      <c r="A776" s="2" t="str">
        <f>HYPERLINK("https://rth.dk/resources/bsgatlas/details.php?id=BSGatlas-terminator-775","BSGatlas-terminator-775")</f>
        <v>BSGatlas-terminator-775</v>
      </c>
      <c r="B776" s="3">
        <v>1221358</v>
      </c>
      <c r="C776" s="3">
        <v>1221402</v>
      </c>
      <c r="D776" s="1" t="s">
        <v>9</v>
      </c>
      <c r="E776" s="1">
        <v>-15.6</v>
      </c>
      <c r="F776" s="1" t="s">
        <v>15157</v>
      </c>
    </row>
    <row r="777" spans="1:6" ht="21" x14ac:dyDescent="0.25">
      <c r="A777" s="2" t="str">
        <f>HYPERLINK("https://rth.dk/resources/bsgatlas/details.php?id=BSGatlas-terminator-776","BSGatlas-terminator-776")</f>
        <v>BSGatlas-terminator-776</v>
      </c>
      <c r="B777" s="3">
        <v>1225398</v>
      </c>
      <c r="C777" s="3">
        <v>1225442</v>
      </c>
      <c r="D777" s="1" t="s">
        <v>9</v>
      </c>
      <c r="E777" s="1">
        <v>-15.2</v>
      </c>
      <c r="F777" s="1" t="s">
        <v>15157</v>
      </c>
    </row>
    <row r="778" spans="1:6" ht="21" x14ac:dyDescent="0.25">
      <c r="A778" s="2" t="str">
        <f>HYPERLINK("https://rth.dk/resources/bsgatlas/details.php?id=BSGatlas-terminator-777","BSGatlas-terminator-777")</f>
        <v>BSGatlas-terminator-777</v>
      </c>
      <c r="B778" s="3">
        <v>1225454</v>
      </c>
      <c r="C778" s="3">
        <v>1225499</v>
      </c>
      <c r="D778" s="1" t="s">
        <v>9</v>
      </c>
      <c r="E778" s="1">
        <v>-20.9</v>
      </c>
      <c r="F778" s="1" t="s">
        <v>4382</v>
      </c>
    </row>
    <row r="779" spans="1:6" ht="21" x14ac:dyDescent="0.25">
      <c r="A779" s="2" t="str">
        <f>HYPERLINK("https://rth.dk/resources/bsgatlas/details.php?id=BSGatlas-terminator-778","BSGatlas-terminator-778")</f>
        <v>BSGatlas-terminator-778</v>
      </c>
      <c r="B779" s="3">
        <v>1228099</v>
      </c>
      <c r="C779" s="3">
        <v>1228144</v>
      </c>
      <c r="D779" s="1" t="s">
        <v>13</v>
      </c>
      <c r="E779" s="1">
        <v>-10.3</v>
      </c>
      <c r="F779" s="1" t="s">
        <v>4382</v>
      </c>
    </row>
    <row r="780" spans="1:6" ht="21" x14ac:dyDescent="0.25">
      <c r="A780" s="2" t="str">
        <f>HYPERLINK("https://rth.dk/resources/bsgatlas/details.php?id=BSGatlas-terminator-779","BSGatlas-terminator-779")</f>
        <v>BSGatlas-terminator-779</v>
      </c>
      <c r="B780" s="3">
        <v>1228106</v>
      </c>
      <c r="C780" s="3">
        <v>1228147</v>
      </c>
      <c r="D780" s="1" t="s">
        <v>9</v>
      </c>
      <c r="E780" s="1">
        <v>-16.8</v>
      </c>
      <c r="F780" s="1" t="s">
        <v>15158</v>
      </c>
    </row>
    <row r="781" spans="1:6" ht="21" x14ac:dyDescent="0.25">
      <c r="A781" s="2" t="str">
        <f>HYPERLINK("https://rth.dk/resources/bsgatlas/details.php?id=BSGatlas-terminator-780","BSGatlas-terminator-780")</f>
        <v>BSGatlas-terminator-780</v>
      </c>
      <c r="B781" s="3">
        <v>1229724</v>
      </c>
      <c r="C781" s="3">
        <v>1229765</v>
      </c>
      <c r="D781" s="1" t="s">
        <v>9</v>
      </c>
      <c r="E781" s="1">
        <v>-15.1</v>
      </c>
      <c r="F781" s="1" t="s">
        <v>15158</v>
      </c>
    </row>
    <row r="782" spans="1:6" ht="21" x14ac:dyDescent="0.25">
      <c r="A782" s="2" t="str">
        <f>HYPERLINK("https://rth.dk/resources/bsgatlas/details.php?id=BSGatlas-terminator-781","BSGatlas-terminator-781")</f>
        <v>BSGatlas-terminator-781</v>
      </c>
      <c r="B782" s="3">
        <v>1231080</v>
      </c>
      <c r="C782" s="3">
        <v>1231128</v>
      </c>
      <c r="D782" s="1" t="s">
        <v>9</v>
      </c>
      <c r="E782" s="1">
        <v>-7.6</v>
      </c>
      <c r="F782" s="1" t="s">
        <v>4382</v>
      </c>
    </row>
    <row r="783" spans="1:6" ht="21" x14ac:dyDescent="0.25">
      <c r="A783" s="2" t="str">
        <f>HYPERLINK("https://rth.dk/resources/bsgatlas/details.php?id=BSGatlas-terminator-782","BSGatlas-terminator-782")</f>
        <v>BSGatlas-terminator-782</v>
      </c>
      <c r="B783" s="3">
        <v>1233020</v>
      </c>
      <c r="C783" s="3">
        <v>1233064</v>
      </c>
      <c r="D783" s="1" t="s">
        <v>9</v>
      </c>
      <c r="E783" s="1">
        <v>-15.2</v>
      </c>
      <c r="F783" s="1" t="s">
        <v>15157</v>
      </c>
    </row>
    <row r="784" spans="1:6" ht="21" x14ac:dyDescent="0.25">
      <c r="A784" s="2" t="str">
        <f>HYPERLINK("https://rth.dk/resources/bsgatlas/details.php?id=BSGatlas-terminator-783","BSGatlas-terminator-783")</f>
        <v>BSGatlas-terminator-783</v>
      </c>
      <c r="B784" s="3">
        <v>1233124</v>
      </c>
      <c r="C784" s="3">
        <v>1233168</v>
      </c>
      <c r="D784" s="1" t="s">
        <v>13</v>
      </c>
      <c r="E784" s="1">
        <v>-15.2</v>
      </c>
      <c r="F784" s="1" t="s">
        <v>15157</v>
      </c>
    </row>
    <row r="785" spans="1:6" ht="21" x14ac:dyDescent="0.25">
      <c r="A785" s="2" t="str">
        <f>HYPERLINK("https://rth.dk/resources/bsgatlas/details.php?id=BSGatlas-terminator-784","BSGatlas-terminator-784")</f>
        <v>BSGatlas-terminator-784</v>
      </c>
      <c r="B785" s="3">
        <v>1233459</v>
      </c>
      <c r="C785" s="3">
        <v>1233503</v>
      </c>
      <c r="D785" s="1" t="s">
        <v>9</v>
      </c>
      <c r="E785" s="1">
        <v>-11.6</v>
      </c>
      <c r="F785" s="1" t="s">
        <v>15157</v>
      </c>
    </row>
    <row r="786" spans="1:6" ht="21" x14ac:dyDescent="0.25">
      <c r="A786" s="2" t="str">
        <f>HYPERLINK("https://rth.dk/resources/bsgatlas/details.php?id=BSGatlas-terminator-785","BSGatlas-terminator-785")</f>
        <v>BSGatlas-terminator-785</v>
      </c>
      <c r="B786" s="3">
        <v>1233623</v>
      </c>
      <c r="C786" s="3">
        <v>1233667</v>
      </c>
      <c r="D786" s="1" t="s">
        <v>13</v>
      </c>
      <c r="E786" s="1">
        <v>-13.3</v>
      </c>
      <c r="F786" s="1" t="s">
        <v>15157</v>
      </c>
    </row>
    <row r="787" spans="1:6" ht="21" x14ac:dyDescent="0.25">
      <c r="A787" s="2" t="str">
        <f>HYPERLINK("https://rth.dk/resources/bsgatlas/details.php?id=BSGatlas-terminator-786","BSGatlas-terminator-786")</f>
        <v>BSGatlas-terminator-786</v>
      </c>
      <c r="B787" s="3">
        <v>1235125</v>
      </c>
      <c r="C787" s="3">
        <v>1235167</v>
      </c>
      <c r="D787" s="1" t="s">
        <v>13</v>
      </c>
      <c r="E787" s="1">
        <v>-11.8</v>
      </c>
      <c r="F787" s="1" t="s">
        <v>15158</v>
      </c>
    </row>
    <row r="788" spans="1:6" ht="21" x14ac:dyDescent="0.25">
      <c r="A788" s="2" t="str">
        <f>HYPERLINK("https://rth.dk/resources/bsgatlas/details.php?id=BSGatlas-terminator-787","BSGatlas-terminator-787")</f>
        <v>BSGatlas-terminator-787</v>
      </c>
      <c r="B788" s="3">
        <v>1239311</v>
      </c>
      <c r="C788" s="3">
        <v>1239355</v>
      </c>
      <c r="D788" s="1" t="s">
        <v>9</v>
      </c>
      <c r="E788" s="1">
        <v>-12.8</v>
      </c>
      <c r="F788" s="1" t="s">
        <v>15157</v>
      </c>
    </row>
    <row r="789" spans="1:6" ht="21" x14ac:dyDescent="0.25">
      <c r="A789" s="2" t="str">
        <f>HYPERLINK("https://rth.dk/resources/bsgatlas/details.php?id=BSGatlas-terminator-788","BSGatlas-terminator-788")</f>
        <v>BSGatlas-terminator-788</v>
      </c>
      <c r="B789" s="3">
        <v>1239387</v>
      </c>
      <c r="C789" s="3">
        <v>1239431</v>
      </c>
      <c r="D789" s="1" t="s">
        <v>13</v>
      </c>
      <c r="E789" s="1">
        <v>-12.8</v>
      </c>
      <c r="F789" s="1" t="s">
        <v>15157</v>
      </c>
    </row>
    <row r="790" spans="1:6" ht="21" x14ac:dyDescent="0.25">
      <c r="A790" s="2" t="str">
        <f>HYPERLINK("https://rth.dk/resources/bsgatlas/details.php?id=BSGatlas-terminator-789","BSGatlas-terminator-789")</f>
        <v>BSGatlas-terminator-789</v>
      </c>
      <c r="B790" s="3">
        <v>1242371</v>
      </c>
      <c r="C790" s="3">
        <v>1242434</v>
      </c>
      <c r="D790" s="1" t="s">
        <v>9</v>
      </c>
      <c r="E790" s="1">
        <v>-15.6</v>
      </c>
      <c r="F790" s="1" t="s">
        <v>15158</v>
      </c>
    </row>
    <row r="791" spans="1:6" ht="21" x14ac:dyDescent="0.25">
      <c r="A791" s="2" t="str">
        <f>HYPERLINK("https://rth.dk/resources/bsgatlas/details.php?id=BSGatlas-terminator-790","BSGatlas-terminator-790")</f>
        <v>BSGatlas-terminator-790</v>
      </c>
      <c r="B791" s="3">
        <v>1247635</v>
      </c>
      <c r="C791" s="3">
        <v>1247690</v>
      </c>
      <c r="D791" s="1" t="s">
        <v>9</v>
      </c>
      <c r="E791" s="1">
        <v>-18.5</v>
      </c>
      <c r="F791" s="1" t="s">
        <v>15158</v>
      </c>
    </row>
    <row r="792" spans="1:6" ht="21" x14ac:dyDescent="0.25">
      <c r="A792" s="2" t="str">
        <f>HYPERLINK("https://rth.dk/resources/bsgatlas/details.php?id=BSGatlas-terminator-791","BSGatlas-terminator-791")</f>
        <v>BSGatlas-terminator-791</v>
      </c>
      <c r="B792" s="3">
        <v>1248570</v>
      </c>
      <c r="C792" s="3">
        <v>1248616</v>
      </c>
      <c r="D792" s="1" t="s">
        <v>9</v>
      </c>
      <c r="E792" s="1">
        <v>-15.8</v>
      </c>
      <c r="F792" s="1" t="s">
        <v>15158</v>
      </c>
    </row>
    <row r="793" spans="1:6" ht="21" x14ac:dyDescent="0.25">
      <c r="A793" s="2" t="str">
        <f>HYPERLINK("https://rth.dk/resources/bsgatlas/details.php?id=BSGatlas-terminator-792","BSGatlas-terminator-792")</f>
        <v>BSGatlas-terminator-792</v>
      </c>
      <c r="B793" s="3">
        <v>1249348</v>
      </c>
      <c r="C793" s="3">
        <v>1249431</v>
      </c>
      <c r="D793" s="1" t="s">
        <v>13</v>
      </c>
      <c r="E793" s="1">
        <v>-21.6</v>
      </c>
      <c r="F793" s="1" t="s">
        <v>4382</v>
      </c>
    </row>
    <row r="794" spans="1:6" ht="21" x14ac:dyDescent="0.25">
      <c r="A794" s="2" t="str">
        <f>HYPERLINK("https://rth.dk/resources/bsgatlas/details.php?id=BSGatlas-terminator-793","BSGatlas-terminator-793")</f>
        <v>BSGatlas-terminator-793</v>
      </c>
      <c r="B794" s="3">
        <v>1249358</v>
      </c>
      <c r="C794" s="3">
        <v>1249404</v>
      </c>
      <c r="D794" s="1" t="s">
        <v>9</v>
      </c>
      <c r="E794" s="1">
        <v>-16.600000000000001</v>
      </c>
      <c r="F794" s="1" t="s">
        <v>15158</v>
      </c>
    </row>
    <row r="795" spans="1:6" ht="21" x14ac:dyDescent="0.25">
      <c r="A795" s="2" t="str">
        <f>HYPERLINK("https://rth.dk/resources/bsgatlas/details.php?id=BSGatlas-terminator-794","BSGatlas-terminator-794")</f>
        <v>BSGatlas-terminator-794</v>
      </c>
      <c r="B795" s="3">
        <v>1249409</v>
      </c>
      <c r="C795" s="3">
        <v>1249453</v>
      </c>
      <c r="D795" s="1" t="s">
        <v>9</v>
      </c>
      <c r="E795" s="1">
        <v>-13.4</v>
      </c>
      <c r="F795" s="1" t="s">
        <v>15157</v>
      </c>
    </row>
    <row r="796" spans="1:6" ht="21" x14ac:dyDescent="0.25">
      <c r="A796" s="2" t="str">
        <f>HYPERLINK("https://rth.dk/resources/bsgatlas/details.php?id=BSGatlas-terminator-795","BSGatlas-terminator-795")</f>
        <v>BSGatlas-terminator-795</v>
      </c>
      <c r="B796" s="3">
        <v>1249441</v>
      </c>
      <c r="C796" s="3">
        <v>1249485</v>
      </c>
      <c r="D796" s="1" t="s">
        <v>13</v>
      </c>
      <c r="E796" s="1">
        <v>-9.3000000000000007</v>
      </c>
      <c r="F796" s="1" t="s">
        <v>15157</v>
      </c>
    </row>
    <row r="797" spans="1:6" ht="21" x14ac:dyDescent="0.25">
      <c r="A797" s="2" t="str">
        <f>HYPERLINK("https://rth.dk/resources/bsgatlas/details.php?id=BSGatlas-terminator-796","BSGatlas-terminator-796")</f>
        <v>BSGatlas-terminator-796</v>
      </c>
      <c r="B797" s="3">
        <v>1249921</v>
      </c>
      <c r="C797" s="3">
        <v>1249969</v>
      </c>
      <c r="D797" s="1" t="s">
        <v>13</v>
      </c>
      <c r="E797" s="1">
        <v>-21.4</v>
      </c>
      <c r="F797" s="1" t="s">
        <v>4382</v>
      </c>
    </row>
    <row r="798" spans="1:6" ht="21" x14ac:dyDescent="0.25">
      <c r="A798" s="2" t="str">
        <f>HYPERLINK("https://rth.dk/resources/bsgatlas/details.php?id=BSGatlas-terminator-797","BSGatlas-terminator-797")</f>
        <v>BSGatlas-terminator-797</v>
      </c>
      <c r="B798" s="3">
        <v>1250611</v>
      </c>
      <c r="C798" s="3">
        <v>1250651</v>
      </c>
      <c r="D798" s="1" t="s">
        <v>13</v>
      </c>
      <c r="E798" s="1">
        <v>-13.5</v>
      </c>
      <c r="F798" s="1" t="s">
        <v>4382</v>
      </c>
    </row>
    <row r="799" spans="1:6" ht="21" x14ac:dyDescent="0.25">
      <c r="A799" s="2" t="str">
        <f>HYPERLINK("https://rth.dk/resources/bsgatlas/details.php?id=BSGatlas-terminator-798","BSGatlas-terminator-798")</f>
        <v>BSGatlas-terminator-798</v>
      </c>
      <c r="B799" s="3">
        <v>1250619</v>
      </c>
      <c r="C799" s="3">
        <v>1250707</v>
      </c>
      <c r="D799" s="1" t="s">
        <v>9</v>
      </c>
      <c r="E799" s="1">
        <v>-10.4</v>
      </c>
      <c r="F799" s="1" t="s">
        <v>15157</v>
      </c>
    </row>
    <row r="800" spans="1:6" ht="21" x14ac:dyDescent="0.25">
      <c r="A800" s="2" t="str">
        <f>HYPERLINK("https://rth.dk/resources/bsgatlas/details.php?id=BSGatlas-terminator-799","BSGatlas-terminator-799")</f>
        <v>BSGatlas-terminator-799</v>
      </c>
      <c r="B800" s="3">
        <v>1250658</v>
      </c>
      <c r="C800" s="3">
        <v>1250702</v>
      </c>
      <c r="D800" s="1" t="s">
        <v>13</v>
      </c>
      <c r="E800" s="1">
        <v>-10.4</v>
      </c>
      <c r="F800" s="1" t="s">
        <v>15157</v>
      </c>
    </row>
    <row r="801" spans="1:6" ht="21" x14ac:dyDescent="0.25">
      <c r="A801" s="2" t="str">
        <f>HYPERLINK("https://rth.dk/resources/bsgatlas/details.php?id=BSGatlas-terminator-800","BSGatlas-terminator-800")</f>
        <v>BSGatlas-terminator-800</v>
      </c>
      <c r="B801" s="3">
        <v>1252587</v>
      </c>
      <c r="C801" s="3">
        <v>1252631</v>
      </c>
      <c r="D801" s="1" t="s">
        <v>13</v>
      </c>
      <c r="E801" s="1">
        <v>-6.8</v>
      </c>
      <c r="F801" s="1" t="s">
        <v>15157</v>
      </c>
    </row>
    <row r="802" spans="1:6" ht="21" x14ac:dyDescent="0.25">
      <c r="A802" s="2" t="str">
        <f>HYPERLINK("https://rth.dk/resources/bsgatlas/details.php?id=BSGatlas-terminator-801","BSGatlas-terminator-801")</f>
        <v>BSGatlas-terminator-801</v>
      </c>
      <c r="B802" s="3">
        <v>1252730</v>
      </c>
      <c r="C802" s="3">
        <v>1252769</v>
      </c>
      <c r="D802" s="1" t="s">
        <v>9</v>
      </c>
      <c r="E802" s="1">
        <v>-8.6</v>
      </c>
      <c r="F802" s="1" t="s">
        <v>15158</v>
      </c>
    </row>
    <row r="803" spans="1:6" ht="21" x14ac:dyDescent="0.25">
      <c r="A803" s="2" t="str">
        <f>HYPERLINK("https://rth.dk/resources/bsgatlas/details.php?id=BSGatlas-terminator-802","BSGatlas-terminator-802")</f>
        <v>BSGatlas-terminator-802</v>
      </c>
      <c r="B803" s="3">
        <v>1253171</v>
      </c>
      <c r="C803" s="3">
        <v>1253215</v>
      </c>
      <c r="D803" s="1" t="s">
        <v>9</v>
      </c>
      <c r="E803" s="1">
        <v>-22.4</v>
      </c>
      <c r="F803" s="1" t="s">
        <v>15157</v>
      </c>
    </row>
    <row r="804" spans="1:6" ht="21" x14ac:dyDescent="0.25">
      <c r="A804" s="2" t="str">
        <f>HYPERLINK("https://rth.dk/resources/bsgatlas/details.php?id=BSGatlas-terminator-803","BSGatlas-terminator-803")</f>
        <v>BSGatlas-terminator-803</v>
      </c>
      <c r="B804" s="3">
        <v>1253251</v>
      </c>
      <c r="C804" s="3">
        <v>1253310</v>
      </c>
      <c r="D804" s="1" t="s">
        <v>9</v>
      </c>
      <c r="E804" s="1">
        <v>-26.7</v>
      </c>
      <c r="F804" s="1" t="s">
        <v>4382</v>
      </c>
    </row>
    <row r="805" spans="1:6" ht="21" x14ac:dyDescent="0.25">
      <c r="A805" s="2" t="str">
        <f>HYPERLINK("https://rth.dk/resources/bsgatlas/details.php?id=BSGatlas-terminator-804","BSGatlas-terminator-804")</f>
        <v>BSGatlas-terminator-804</v>
      </c>
      <c r="B805" s="3">
        <v>1253621</v>
      </c>
      <c r="C805" s="3">
        <v>1253665</v>
      </c>
      <c r="D805" s="1" t="s">
        <v>13</v>
      </c>
      <c r="E805" s="1">
        <v>-14.3</v>
      </c>
      <c r="F805" s="1" t="s">
        <v>15157</v>
      </c>
    </row>
    <row r="806" spans="1:6" ht="21" x14ac:dyDescent="0.25">
      <c r="A806" s="2" t="str">
        <f>HYPERLINK("https://rth.dk/resources/bsgatlas/details.php?id=BSGatlas-terminator-805","BSGatlas-terminator-805")</f>
        <v>BSGatlas-terminator-805</v>
      </c>
      <c r="B806" s="3">
        <v>1253626</v>
      </c>
      <c r="C806" s="3">
        <v>1253687</v>
      </c>
      <c r="D806" s="1" t="s">
        <v>9</v>
      </c>
      <c r="E806" s="1">
        <v>-15.3</v>
      </c>
      <c r="F806" s="1" t="s">
        <v>15158</v>
      </c>
    </row>
    <row r="807" spans="1:6" ht="21" x14ac:dyDescent="0.25">
      <c r="A807" s="2" t="str">
        <f>HYPERLINK("https://rth.dk/resources/bsgatlas/details.php?id=BSGatlas-terminator-806","BSGatlas-terminator-806")</f>
        <v>BSGatlas-terminator-806</v>
      </c>
      <c r="B807" s="3">
        <v>1253709</v>
      </c>
      <c r="C807" s="3">
        <v>1253753</v>
      </c>
      <c r="D807" s="1" t="s">
        <v>13</v>
      </c>
      <c r="E807" s="1">
        <v>-14.3</v>
      </c>
      <c r="F807" s="1" t="s">
        <v>15157</v>
      </c>
    </row>
    <row r="808" spans="1:6" ht="21" x14ac:dyDescent="0.25">
      <c r="A808" s="2" t="str">
        <f>HYPERLINK("https://rth.dk/resources/bsgatlas/details.php?id=BSGatlas-terminator-807","BSGatlas-terminator-807")</f>
        <v>BSGatlas-terminator-807</v>
      </c>
      <c r="B808" s="3">
        <v>1254736</v>
      </c>
      <c r="C808" s="3">
        <v>1254802</v>
      </c>
      <c r="D808" s="1" t="s">
        <v>9</v>
      </c>
      <c r="E808" s="1"/>
      <c r="F808" s="1" t="s">
        <v>15159</v>
      </c>
    </row>
    <row r="809" spans="1:6" ht="21" x14ac:dyDescent="0.25">
      <c r="A809" s="2" t="str">
        <f>HYPERLINK("https://rth.dk/resources/bsgatlas/details.php?id=BSGatlas-terminator-808","BSGatlas-terminator-808")</f>
        <v>BSGatlas-terminator-808</v>
      </c>
      <c r="B809" s="3">
        <v>1256317</v>
      </c>
      <c r="C809" s="3">
        <v>1256361</v>
      </c>
      <c r="D809" s="1" t="s">
        <v>9</v>
      </c>
      <c r="E809" s="1">
        <v>-6.1</v>
      </c>
      <c r="F809" s="1" t="s">
        <v>15157</v>
      </c>
    </row>
    <row r="810" spans="1:6" ht="21" x14ac:dyDescent="0.25">
      <c r="A810" s="2" t="str">
        <f>HYPERLINK("https://rth.dk/resources/bsgatlas/details.php?id=BSGatlas-terminator-809","BSGatlas-terminator-809")</f>
        <v>BSGatlas-terminator-809</v>
      </c>
      <c r="B810" s="3">
        <v>1256407</v>
      </c>
      <c r="C810" s="3">
        <v>1256451</v>
      </c>
      <c r="D810" s="1" t="s">
        <v>13</v>
      </c>
      <c r="E810" s="1">
        <v>-6.1</v>
      </c>
      <c r="F810" s="1" t="s">
        <v>15157</v>
      </c>
    </row>
    <row r="811" spans="1:6" ht="21" x14ac:dyDescent="0.25">
      <c r="A811" s="2" t="str">
        <f>HYPERLINK("https://rth.dk/resources/bsgatlas/details.php?id=BSGatlas-terminator-810","BSGatlas-terminator-810")</f>
        <v>BSGatlas-terminator-810</v>
      </c>
      <c r="B811" s="3">
        <v>1258407</v>
      </c>
      <c r="C811" s="3">
        <v>1258451</v>
      </c>
      <c r="D811" s="1" t="s">
        <v>9</v>
      </c>
      <c r="E811" s="1">
        <v>-15.2</v>
      </c>
      <c r="F811" s="1" t="s">
        <v>15157</v>
      </c>
    </row>
    <row r="812" spans="1:6" ht="21" x14ac:dyDescent="0.25">
      <c r="A812" s="2" t="str">
        <f>HYPERLINK("https://rth.dk/resources/bsgatlas/details.php?id=BSGatlas-terminator-811","BSGatlas-terminator-811")</f>
        <v>BSGatlas-terminator-811</v>
      </c>
      <c r="B812" s="3">
        <v>1260778</v>
      </c>
      <c r="C812" s="3">
        <v>1260820</v>
      </c>
      <c r="D812" s="1" t="s">
        <v>9</v>
      </c>
      <c r="E812" s="1">
        <v>-17.100000000000001</v>
      </c>
      <c r="F812" s="1" t="s">
        <v>15158</v>
      </c>
    </row>
    <row r="813" spans="1:6" ht="21" x14ac:dyDescent="0.25">
      <c r="A813" s="2" t="str">
        <f>HYPERLINK("https://rth.dk/resources/bsgatlas/details.php?id=BSGatlas-terminator-812","BSGatlas-terminator-812")</f>
        <v>BSGatlas-terminator-812</v>
      </c>
      <c r="B813" s="3">
        <v>1260810</v>
      </c>
      <c r="C813" s="3">
        <v>1260854</v>
      </c>
      <c r="D813" s="1" t="s">
        <v>13</v>
      </c>
      <c r="E813" s="1">
        <v>-7.3</v>
      </c>
      <c r="F813" s="1" t="s">
        <v>15157</v>
      </c>
    </row>
    <row r="814" spans="1:6" ht="21" x14ac:dyDescent="0.25">
      <c r="A814" s="2" t="str">
        <f>HYPERLINK("https://rth.dk/resources/bsgatlas/details.php?id=BSGatlas-terminator-813","BSGatlas-terminator-813")</f>
        <v>BSGatlas-terminator-813</v>
      </c>
      <c r="B814" s="3">
        <v>1262302</v>
      </c>
      <c r="C814" s="3">
        <v>1262368</v>
      </c>
      <c r="D814" s="1" t="s">
        <v>9</v>
      </c>
      <c r="E814" s="1"/>
      <c r="F814" s="1" t="s">
        <v>15159</v>
      </c>
    </row>
    <row r="815" spans="1:6" ht="21" x14ac:dyDescent="0.25">
      <c r="A815" s="2" t="str">
        <f>HYPERLINK("https://rth.dk/resources/bsgatlas/details.php?id=BSGatlas-terminator-814","BSGatlas-terminator-814")</f>
        <v>BSGatlas-terminator-814</v>
      </c>
      <c r="B815" s="3">
        <v>1262829</v>
      </c>
      <c r="C815" s="3">
        <v>1262873</v>
      </c>
      <c r="D815" s="1" t="s">
        <v>9</v>
      </c>
      <c r="E815" s="1">
        <v>-9.1</v>
      </c>
      <c r="F815" s="1" t="s">
        <v>15157</v>
      </c>
    </row>
    <row r="816" spans="1:6" ht="21" x14ac:dyDescent="0.25">
      <c r="A816" s="2" t="str">
        <f>HYPERLINK("https://rth.dk/resources/bsgatlas/details.php?id=BSGatlas-terminator-815","BSGatlas-terminator-815")</f>
        <v>BSGatlas-terminator-815</v>
      </c>
      <c r="B816" s="3">
        <v>1262883</v>
      </c>
      <c r="C816" s="3">
        <v>1262927</v>
      </c>
      <c r="D816" s="1" t="s">
        <v>13</v>
      </c>
      <c r="E816" s="1">
        <v>-7.9</v>
      </c>
      <c r="F816" s="1" t="s">
        <v>15162</v>
      </c>
    </row>
    <row r="817" spans="1:6" ht="21" x14ac:dyDescent="0.25">
      <c r="A817" s="2" t="str">
        <f>HYPERLINK("https://rth.dk/resources/bsgatlas/details.php?id=BSGatlas-terminator-816","BSGatlas-terminator-816")</f>
        <v>BSGatlas-terminator-816</v>
      </c>
      <c r="B817" s="3">
        <v>1263634</v>
      </c>
      <c r="C817" s="3">
        <v>1263678</v>
      </c>
      <c r="D817" s="1" t="s">
        <v>13</v>
      </c>
      <c r="E817" s="1">
        <v>-14.2</v>
      </c>
      <c r="F817" s="1" t="s">
        <v>15162</v>
      </c>
    </row>
    <row r="818" spans="1:6" ht="21" x14ac:dyDescent="0.25">
      <c r="A818" s="2" t="str">
        <f>HYPERLINK("https://rth.dk/resources/bsgatlas/details.php?id=BSGatlas-terminator-817","BSGatlas-terminator-817")</f>
        <v>BSGatlas-terminator-817</v>
      </c>
      <c r="B818" s="3">
        <v>1263802</v>
      </c>
      <c r="C818" s="3">
        <v>1263846</v>
      </c>
      <c r="D818" s="1" t="s">
        <v>13</v>
      </c>
      <c r="E818" s="1">
        <v>-14.2</v>
      </c>
      <c r="F818" s="1" t="s">
        <v>15157</v>
      </c>
    </row>
    <row r="819" spans="1:6" ht="21" x14ac:dyDescent="0.25">
      <c r="A819" s="2" t="str">
        <f>HYPERLINK("https://rth.dk/resources/bsgatlas/details.php?id=BSGatlas-terminator-818","BSGatlas-terminator-818")</f>
        <v>BSGatlas-terminator-818</v>
      </c>
      <c r="B819" s="3">
        <v>1264479</v>
      </c>
      <c r="C819" s="3">
        <v>1264523</v>
      </c>
      <c r="D819" s="1" t="s">
        <v>9</v>
      </c>
      <c r="E819" s="1">
        <v>-24.7</v>
      </c>
      <c r="F819" s="1" t="s">
        <v>15162</v>
      </c>
    </row>
    <row r="820" spans="1:6" ht="21" x14ac:dyDescent="0.25">
      <c r="A820" s="2" t="str">
        <f>HYPERLINK("https://rth.dk/resources/bsgatlas/details.php?id=BSGatlas-terminator-819","BSGatlas-terminator-819")</f>
        <v>BSGatlas-terminator-819</v>
      </c>
      <c r="B820" s="3">
        <v>1265365</v>
      </c>
      <c r="C820" s="3">
        <v>1265409</v>
      </c>
      <c r="D820" s="1" t="s">
        <v>9</v>
      </c>
      <c r="E820" s="1">
        <v>-24.7</v>
      </c>
      <c r="F820" s="1" t="s">
        <v>15157</v>
      </c>
    </row>
    <row r="821" spans="1:6" ht="21" x14ac:dyDescent="0.25">
      <c r="A821" s="2" t="str">
        <f>HYPERLINK("https://rth.dk/resources/bsgatlas/details.php?id=BSGatlas-terminator-820","BSGatlas-terminator-820")</f>
        <v>BSGatlas-terminator-820</v>
      </c>
      <c r="B821" s="3">
        <v>1265411</v>
      </c>
      <c r="C821" s="3">
        <v>1265482</v>
      </c>
      <c r="D821" s="1" t="s">
        <v>9</v>
      </c>
      <c r="E821" s="1">
        <v>-32.6</v>
      </c>
      <c r="F821" s="1" t="s">
        <v>4382</v>
      </c>
    </row>
    <row r="822" spans="1:6" ht="21" x14ac:dyDescent="0.25">
      <c r="A822" s="2" t="str">
        <f>HYPERLINK("https://rth.dk/resources/bsgatlas/details.php?id=BSGatlas-terminator-821","BSGatlas-terminator-821")</f>
        <v>BSGatlas-terminator-821</v>
      </c>
      <c r="B822" s="3">
        <v>1267361</v>
      </c>
      <c r="C822" s="3">
        <v>1267405</v>
      </c>
      <c r="D822" s="1" t="s">
        <v>9</v>
      </c>
      <c r="E822" s="1">
        <v>-7.2</v>
      </c>
      <c r="F822" s="1" t="s">
        <v>15157</v>
      </c>
    </row>
    <row r="823" spans="1:6" ht="21" x14ac:dyDescent="0.25">
      <c r="A823" s="2" t="str">
        <f>HYPERLINK("https://rth.dk/resources/bsgatlas/details.php?id=BSGatlas-terminator-822","BSGatlas-terminator-822")</f>
        <v>BSGatlas-terminator-822</v>
      </c>
      <c r="B823" s="3">
        <v>1267414</v>
      </c>
      <c r="C823" s="3">
        <v>1267449</v>
      </c>
      <c r="D823" s="1" t="s">
        <v>9</v>
      </c>
      <c r="E823" s="1">
        <v>-9.1</v>
      </c>
      <c r="F823" s="1" t="s">
        <v>4382</v>
      </c>
    </row>
    <row r="824" spans="1:6" ht="21" x14ac:dyDescent="0.25">
      <c r="A824" s="2" t="str">
        <f>HYPERLINK("https://rth.dk/resources/bsgatlas/details.php?id=BSGatlas-terminator-823","BSGatlas-terminator-823")</f>
        <v>BSGatlas-terminator-823</v>
      </c>
      <c r="B824" s="3">
        <v>1269607</v>
      </c>
      <c r="C824" s="3">
        <v>1269651</v>
      </c>
      <c r="D824" s="1" t="s">
        <v>9</v>
      </c>
      <c r="E824" s="1">
        <v>-14.2</v>
      </c>
      <c r="F824" s="1" t="s">
        <v>15162</v>
      </c>
    </row>
    <row r="825" spans="1:6" ht="21" x14ac:dyDescent="0.25">
      <c r="A825" s="2" t="str">
        <f>HYPERLINK("https://rth.dk/resources/bsgatlas/details.php?id=BSGatlas-terminator-824","BSGatlas-terminator-824")</f>
        <v>BSGatlas-terminator-824</v>
      </c>
      <c r="B825" s="3">
        <v>1269642</v>
      </c>
      <c r="C825" s="3">
        <v>1269700</v>
      </c>
      <c r="D825" s="1" t="s">
        <v>13</v>
      </c>
      <c r="E825" s="1">
        <v>-16.399999999999999</v>
      </c>
      <c r="F825" s="1" t="s">
        <v>15160</v>
      </c>
    </row>
    <row r="826" spans="1:6" ht="21" x14ac:dyDescent="0.25">
      <c r="A826" s="2" t="str">
        <f>HYPERLINK("https://rth.dk/resources/bsgatlas/details.php?id=BSGatlas-terminator-825","BSGatlas-terminator-825")</f>
        <v>BSGatlas-terminator-825</v>
      </c>
      <c r="B826" s="3">
        <v>1272531</v>
      </c>
      <c r="C826" s="3">
        <v>1272575</v>
      </c>
      <c r="D826" s="1" t="s">
        <v>9</v>
      </c>
      <c r="E826" s="1">
        <v>-9.1</v>
      </c>
      <c r="F826" s="1" t="s">
        <v>15157</v>
      </c>
    </row>
    <row r="827" spans="1:6" ht="21" x14ac:dyDescent="0.25">
      <c r="A827" s="2" t="str">
        <f>HYPERLINK("https://rth.dk/resources/bsgatlas/details.php?id=BSGatlas-terminator-826","BSGatlas-terminator-826")</f>
        <v>BSGatlas-terminator-826</v>
      </c>
      <c r="B827" s="3">
        <v>1276249</v>
      </c>
      <c r="C827" s="3">
        <v>1276293</v>
      </c>
      <c r="D827" s="1" t="s">
        <v>9</v>
      </c>
      <c r="E827" s="1">
        <v>-10.199999999999999</v>
      </c>
      <c r="F827" s="1" t="s">
        <v>15157</v>
      </c>
    </row>
    <row r="828" spans="1:6" ht="21" x14ac:dyDescent="0.25">
      <c r="A828" s="2" t="str">
        <f>HYPERLINK("https://rth.dk/resources/bsgatlas/details.php?id=BSGatlas-terminator-827","BSGatlas-terminator-827")</f>
        <v>BSGatlas-terminator-827</v>
      </c>
      <c r="B828" s="3">
        <v>1276339</v>
      </c>
      <c r="C828" s="3">
        <v>1276383</v>
      </c>
      <c r="D828" s="1" t="s">
        <v>13</v>
      </c>
      <c r="E828" s="1">
        <v>-9.9</v>
      </c>
      <c r="F828" s="1" t="s">
        <v>15157</v>
      </c>
    </row>
    <row r="829" spans="1:6" ht="21" x14ac:dyDescent="0.25">
      <c r="A829" s="2" t="str">
        <f>HYPERLINK("https://rth.dk/resources/bsgatlas/details.php?id=BSGatlas-terminator-828","BSGatlas-terminator-828")</f>
        <v>BSGatlas-terminator-828</v>
      </c>
      <c r="B829" s="3">
        <v>1276981</v>
      </c>
      <c r="C829" s="3">
        <v>1277019</v>
      </c>
      <c r="D829" s="1" t="s">
        <v>13</v>
      </c>
      <c r="E829" s="1">
        <v>-16.100000000000001</v>
      </c>
      <c r="F829" s="1" t="s">
        <v>4547</v>
      </c>
    </row>
    <row r="830" spans="1:6" ht="21" x14ac:dyDescent="0.25">
      <c r="A830" s="2" t="str">
        <f>HYPERLINK("https://rth.dk/resources/bsgatlas/details.php?id=BSGatlas-terminator-829","BSGatlas-terminator-829")</f>
        <v>BSGatlas-terminator-829</v>
      </c>
      <c r="B830" s="3">
        <v>1278142</v>
      </c>
      <c r="C830" s="3">
        <v>1278186</v>
      </c>
      <c r="D830" s="1" t="s">
        <v>9</v>
      </c>
      <c r="E830" s="1">
        <v>-12.5</v>
      </c>
      <c r="F830" s="1" t="s">
        <v>15157</v>
      </c>
    </row>
    <row r="831" spans="1:6" ht="21" x14ac:dyDescent="0.25">
      <c r="A831" s="2" t="str">
        <f>HYPERLINK("https://rth.dk/resources/bsgatlas/details.php?id=BSGatlas-terminator-830","BSGatlas-terminator-830")</f>
        <v>BSGatlas-terminator-830</v>
      </c>
      <c r="B831" s="3">
        <v>1278218</v>
      </c>
      <c r="C831" s="3">
        <v>1278262</v>
      </c>
      <c r="D831" s="1" t="s">
        <v>13</v>
      </c>
      <c r="E831" s="1">
        <v>-7</v>
      </c>
      <c r="F831" s="1" t="s">
        <v>15157</v>
      </c>
    </row>
    <row r="832" spans="1:6" ht="21" x14ac:dyDescent="0.25">
      <c r="A832" s="2" t="str">
        <f>HYPERLINK("https://rth.dk/resources/bsgatlas/details.php?id=BSGatlas-terminator-831","BSGatlas-terminator-831")</f>
        <v>BSGatlas-terminator-831</v>
      </c>
      <c r="B832" s="3">
        <v>1280574</v>
      </c>
      <c r="C832" s="3">
        <v>1280614</v>
      </c>
      <c r="D832" s="1" t="s">
        <v>13</v>
      </c>
      <c r="E832" s="1">
        <v>-12.8</v>
      </c>
      <c r="F832" s="1" t="s">
        <v>15158</v>
      </c>
    </row>
    <row r="833" spans="1:6" ht="21" x14ac:dyDescent="0.25">
      <c r="A833" s="2" t="str">
        <f>HYPERLINK("https://rth.dk/resources/bsgatlas/details.php?id=BSGatlas-terminator-832","BSGatlas-terminator-832")</f>
        <v>BSGatlas-terminator-832</v>
      </c>
      <c r="B833" s="3">
        <v>1282498</v>
      </c>
      <c r="C833" s="3">
        <v>1282542</v>
      </c>
      <c r="D833" s="1" t="s">
        <v>9</v>
      </c>
      <c r="E833" s="1">
        <v>-13.8</v>
      </c>
      <c r="F833" s="1" t="s">
        <v>15157</v>
      </c>
    </row>
    <row r="834" spans="1:6" ht="21" x14ac:dyDescent="0.25">
      <c r="A834" s="2" t="str">
        <f>HYPERLINK("https://rth.dk/resources/bsgatlas/details.php?id=BSGatlas-terminator-833","BSGatlas-terminator-833")</f>
        <v>BSGatlas-terminator-833</v>
      </c>
      <c r="B834" s="3">
        <v>1282526</v>
      </c>
      <c r="C834" s="3">
        <v>1282576</v>
      </c>
      <c r="D834" s="1" t="s">
        <v>13</v>
      </c>
      <c r="E834" s="1">
        <v>-17.3</v>
      </c>
      <c r="F834" s="1" t="s">
        <v>15158</v>
      </c>
    </row>
    <row r="835" spans="1:6" ht="21" x14ac:dyDescent="0.25">
      <c r="A835" s="2" t="str">
        <f>HYPERLINK("https://rth.dk/resources/bsgatlas/details.php?id=BSGatlas-terminator-834","BSGatlas-terminator-834")</f>
        <v>BSGatlas-terminator-834</v>
      </c>
      <c r="B835" s="3">
        <v>1283111</v>
      </c>
      <c r="C835" s="3">
        <v>1283161</v>
      </c>
      <c r="D835" s="1" t="s">
        <v>13</v>
      </c>
      <c r="E835" s="1">
        <v>-16.8</v>
      </c>
      <c r="F835" s="1" t="s">
        <v>15158</v>
      </c>
    </row>
    <row r="836" spans="1:6" ht="21" x14ac:dyDescent="0.25">
      <c r="A836" s="2" t="str">
        <f>HYPERLINK("https://rth.dk/resources/bsgatlas/details.php?id=BSGatlas-terminator-835","BSGatlas-terminator-835")</f>
        <v>BSGatlas-terminator-835</v>
      </c>
      <c r="B836" s="3">
        <v>1284379</v>
      </c>
      <c r="C836" s="3">
        <v>1284423</v>
      </c>
      <c r="D836" s="1" t="s">
        <v>13</v>
      </c>
      <c r="E836" s="1">
        <v>-10.1</v>
      </c>
      <c r="F836" s="1" t="s">
        <v>15157</v>
      </c>
    </row>
    <row r="837" spans="1:6" ht="21" x14ac:dyDescent="0.25">
      <c r="A837" s="2" t="str">
        <f>HYPERLINK("https://rth.dk/resources/bsgatlas/details.php?id=BSGatlas-terminator-836","BSGatlas-terminator-836")</f>
        <v>BSGatlas-terminator-836</v>
      </c>
      <c r="B837" s="3">
        <v>1284830</v>
      </c>
      <c r="C837" s="3">
        <v>1284865</v>
      </c>
      <c r="D837" s="1" t="s">
        <v>13</v>
      </c>
      <c r="E837" s="1">
        <v>-11.6</v>
      </c>
      <c r="F837" s="1" t="s">
        <v>15158</v>
      </c>
    </row>
    <row r="838" spans="1:6" ht="21" x14ac:dyDescent="0.25">
      <c r="A838" s="2" t="str">
        <f>HYPERLINK("https://rth.dk/resources/bsgatlas/details.php?id=BSGatlas-terminator-837","BSGatlas-terminator-837")</f>
        <v>BSGatlas-terminator-837</v>
      </c>
      <c r="B838" s="3">
        <v>1289072</v>
      </c>
      <c r="C838" s="3">
        <v>1289116</v>
      </c>
      <c r="D838" s="1" t="s">
        <v>9</v>
      </c>
      <c r="E838" s="1">
        <v>-15</v>
      </c>
      <c r="F838" s="1" t="s">
        <v>15157</v>
      </c>
    </row>
    <row r="839" spans="1:6" ht="21" x14ac:dyDescent="0.25">
      <c r="A839" s="2" t="str">
        <f>HYPERLINK("https://rth.dk/resources/bsgatlas/details.php?id=BSGatlas-terminator-838","BSGatlas-terminator-838")</f>
        <v>BSGatlas-terminator-838</v>
      </c>
      <c r="B839" s="3">
        <v>1289285</v>
      </c>
      <c r="C839" s="3">
        <v>1289329</v>
      </c>
      <c r="D839" s="1" t="s">
        <v>13</v>
      </c>
      <c r="E839" s="1">
        <v>-3</v>
      </c>
      <c r="F839" s="1" t="s">
        <v>15157</v>
      </c>
    </row>
    <row r="840" spans="1:6" ht="21" x14ac:dyDescent="0.25">
      <c r="A840" s="2" t="str">
        <f>HYPERLINK("https://rth.dk/resources/bsgatlas/details.php?id=BSGatlas-terminator-839","BSGatlas-terminator-839")</f>
        <v>BSGatlas-terminator-839</v>
      </c>
      <c r="B840" s="3">
        <v>1289890</v>
      </c>
      <c r="C840" s="3">
        <v>1289934</v>
      </c>
      <c r="D840" s="1" t="s">
        <v>9</v>
      </c>
      <c r="E840" s="1">
        <v>-17</v>
      </c>
      <c r="F840" s="1" t="s">
        <v>15157</v>
      </c>
    </row>
    <row r="841" spans="1:6" ht="21" x14ac:dyDescent="0.25">
      <c r="A841" s="2" t="str">
        <f>HYPERLINK("https://rth.dk/resources/bsgatlas/details.php?id=BSGatlas-terminator-840","BSGatlas-terminator-840")</f>
        <v>BSGatlas-terminator-840</v>
      </c>
      <c r="B841" s="3">
        <v>1290624</v>
      </c>
      <c r="C841" s="3">
        <v>1290668</v>
      </c>
      <c r="D841" s="1" t="s">
        <v>9</v>
      </c>
      <c r="E841" s="1">
        <v>-7</v>
      </c>
      <c r="F841" s="1" t="s">
        <v>15157</v>
      </c>
    </row>
    <row r="842" spans="1:6" ht="21" x14ac:dyDescent="0.25">
      <c r="A842" s="2" t="str">
        <f>HYPERLINK("https://rth.dk/resources/bsgatlas/details.php?id=BSGatlas-terminator-841","BSGatlas-terminator-841")</f>
        <v>BSGatlas-terminator-841</v>
      </c>
      <c r="B842" s="3">
        <v>1290627</v>
      </c>
      <c r="C842" s="3">
        <v>1290715</v>
      </c>
      <c r="D842" s="1" t="s">
        <v>13</v>
      </c>
      <c r="E842" s="1">
        <v>-7</v>
      </c>
      <c r="F842" s="1" t="s">
        <v>15157</v>
      </c>
    </row>
    <row r="843" spans="1:6" ht="21" x14ac:dyDescent="0.25">
      <c r="A843" s="2" t="str">
        <f>HYPERLINK("https://rth.dk/resources/bsgatlas/details.php?id=BSGatlas-terminator-842","BSGatlas-terminator-842")</f>
        <v>BSGatlas-terminator-842</v>
      </c>
      <c r="B843" s="3">
        <v>1293770</v>
      </c>
      <c r="C843" s="3">
        <v>1293814</v>
      </c>
      <c r="D843" s="1" t="s">
        <v>13</v>
      </c>
      <c r="E843" s="1">
        <v>-9.5</v>
      </c>
      <c r="F843" s="1" t="s">
        <v>15157</v>
      </c>
    </row>
    <row r="844" spans="1:6" ht="21" x14ac:dyDescent="0.25">
      <c r="A844" s="2" t="str">
        <f>HYPERLINK("https://rth.dk/resources/bsgatlas/details.php?id=BSGatlas-terminator-843","BSGatlas-terminator-843")</f>
        <v>BSGatlas-terminator-843</v>
      </c>
      <c r="B844" s="3">
        <v>1294907</v>
      </c>
      <c r="C844" s="3">
        <v>1294951</v>
      </c>
      <c r="D844" s="1" t="s">
        <v>9</v>
      </c>
      <c r="E844" s="1">
        <v>-14.5</v>
      </c>
      <c r="F844" s="1" t="s">
        <v>15157</v>
      </c>
    </row>
    <row r="845" spans="1:6" ht="21" x14ac:dyDescent="0.25">
      <c r="A845" s="2" t="str">
        <f>HYPERLINK("https://rth.dk/resources/bsgatlas/details.php?id=BSGatlas-terminator-844","BSGatlas-terminator-844")</f>
        <v>BSGatlas-terminator-844</v>
      </c>
      <c r="B845" s="3">
        <v>1294983</v>
      </c>
      <c r="C845" s="3">
        <v>1295027</v>
      </c>
      <c r="D845" s="1" t="s">
        <v>13</v>
      </c>
      <c r="E845" s="1">
        <v>-12.8</v>
      </c>
      <c r="F845" s="1" t="s">
        <v>15157</v>
      </c>
    </row>
    <row r="846" spans="1:6" ht="21" x14ac:dyDescent="0.25">
      <c r="A846" s="2" t="str">
        <f>HYPERLINK("https://rth.dk/resources/bsgatlas/details.php?id=BSGatlas-terminator-845","BSGatlas-terminator-845")</f>
        <v>BSGatlas-terminator-845</v>
      </c>
      <c r="B846" s="3">
        <v>1296633</v>
      </c>
      <c r="C846" s="3">
        <v>1296677</v>
      </c>
      <c r="D846" s="1" t="s">
        <v>13</v>
      </c>
      <c r="E846" s="1">
        <v>-14.5</v>
      </c>
      <c r="F846" s="1" t="s">
        <v>15157</v>
      </c>
    </row>
    <row r="847" spans="1:6" ht="21" x14ac:dyDescent="0.25">
      <c r="A847" s="2" t="str">
        <f>HYPERLINK("https://rth.dk/resources/bsgatlas/details.php?id=BSGatlas-terminator-846","BSGatlas-terminator-846")</f>
        <v>BSGatlas-terminator-846</v>
      </c>
      <c r="B847" s="3">
        <v>1300229</v>
      </c>
      <c r="C847" s="3">
        <v>1300273</v>
      </c>
      <c r="D847" s="1" t="s">
        <v>9</v>
      </c>
      <c r="E847" s="1">
        <v>-23.1</v>
      </c>
      <c r="F847" s="1" t="s">
        <v>15157</v>
      </c>
    </row>
    <row r="848" spans="1:6" ht="21" x14ac:dyDescent="0.25">
      <c r="A848" s="2" t="str">
        <f>HYPERLINK("https://rth.dk/resources/bsgatlas/details.php?id=BSGatlas-terminator-847","BSGatlas-terminator-847")</f>
        <v>BSGatlas-terminator-847</v>
      </c>
      <c r="B848" s="3">
        <v>1309757</v>
      </c>
      <c r="C848" s="3">
        <v>1309801</v>
      </c>
      <c r="D848" s="1" t="s">
        <v>9</v>
      </c>
      <c r="E848" s="1">
        <v>-7.4</v>
      </c>
      <c r="F848" s="1" t="s">
        <v>15157</v>
      </c>
    </row>
    <row r="849" spans="1:6" ht="21" x14ac:dyDescent="0.25">
      <c r="A849" s="2" t="str">
        <f>HYPERLINK("https://rth.dk/resources/bsgatlas/details.php?id=BSGatlas-terminator-848","BSGatlas-terminator-848")</f>
        <v>BSGatlas-terminator-848</v>
      </c>
      <c r="B849" s="3">
        <v>1312816</v>
      </c>
      <c r="C849" s="3">
        <v>1312858</v>
      </c>
      <c r="D849" s="1" t="s">
        <v>9</v>
      </c>
      <c r="E849" s="1">
        <v>-14.6</v>
      </c>
      <c r="F849" s="1" t="s">
        <v>4382</v>
      </c>
    </row>
    <row r="850" spans="1:6" ht="21" x14ac:dyDescent="0.25">
      <c r="A850" s="2" t="str">
        <f>HYPERLINK("https://rth.dk/resources/bsgatlas/details.php?id=BSGatlas-terminator-849","BSGatlas-terminator-849")</f>
        <v>BSGatlas-terminator-849</v>
      </c>
      <c r="B850" s="3">
        <v>1312848</v>
      </c>
      <c r="C850" s="3">
        <v>1312892</v>
      </c>
      <c r="D850" s="1" t="s">
        <v>13</v>
      </c>
      <c r="E850" s="1">
        <v>-11.3</v>
      </c>
      <c r="F850" s="1" t="s">
        <v>15157</v>
      </c>
    </row>
    <row r="851" spans="1:6" ht="21" x14ac:dyDescent="0.25">
      <c r="A851" s="2" t="str">
        <f>HYPERLINK("https://rth.dk/resources/bsgatlas/details.php?id=BSGatlas-terminator-850","BSGatlas-terminator-850")</f>
        <v>BSGatlas-terminator-850</v>
      </c>
      <c r="B851" s="3">
        <v>1313815</v>
      </c>
      <c r="C851" s="3">
        <v>1313859</v>
      </c>
      <c r="D851" s="1" t="s">
        <v>13</v>
      </c>
      <c r="E851" s="1">
        <v>-7.4</v>
      </c>
      <c r="F851" s="1" t="s">
        <v>15157</v>
      </c>
    </row>
    <row r="852" spans="1:6" ht="21" x14ac:dyDescent="0.25">
      <c r="A852" s="2" t="str">
        <f>HYPERLINK("https://rth.dk/resources/bsgatlas/details.php?id=BSGatlas-terminator-851","BSGatlas-terminator-851")</f>
        <v>BSGatlas-terminator-851</v>
      </c>
      <c r="B852" s="3">
        <v>1315675</v>
      </c>
      <c r="C852" s="3">
        <v>1315719</v>
      </c>
      <c r="D852" s="1" t="s">
        <v>9</v>
      </c>
      <c r="E852" s="1">
        <v>-13</v>
      </c>
      <c r="F852" s="1" t="s">
        <v>15157</v>
      </c>
    </row>
    <row r="853" spans="1:6" ht="21" x14ac:dyDescent="0.25">
      <c r="A853" s="2" t="str">
        <f>HYPERLINK("https://rth.dk/resources/bsgatlas/details.php?id=BSGatlas-terminator-852","BSGatlas-terminator-852")</f>
        <v>BSGatlas-terminator-852</v>
      </c>
      <c r="B853" s="3">
        <v>1315726</v>
      </c>
      <c r="C853" s="3">
        <v>1315770</v>
      </c>
      <c r="D853" s="1" t="s">
        <v>9</v>
      </c>
      <c r="E853" s="1">
        <v>-16.7</v>
      </c>
      <c r="F853" s="1" t="s">
        <v>4382</v>
      </c>
    </row>
    <row r="854" spans="1:6" ht="21" x14ac:dyDescent="0.25">
      <c r="A854" s="2" t="str">
        <f>HYPERLINK("https://rth.dk/resources/bsgatlas/details.php?id=BSGatlas-terminator-853","BSGatlas-terminator-853")</f>
        <v>BSGatlas-terminator-853</v>
      </c>
      <c r="B854" s="3">
        <v>1317137</v>
      </c>
      <c r="C854" s="3">
        <v>1317158</v>
      </c>
      <c r="D854" s="1" t="s">
        <v>9</v>
      </c>
      <c r="E854" s="1">
        <v>-17</v>
      </c>
      <c r="F854" s="1" t="s">
        <v>15161</v>
      </c>
    </row>
    <row r="855" spans="1:6" ht="21" x14ac:dyDescent="0.25">
      <c r="A855" s="2" t="str">
        <f>HYPERLINK("https://rth.dk/resources/bsgatlas/details.php?id=BSGatlas-terminator-854","BSGatlas-terminator-854")</f>
        <v>BSGatlas-terminator-854</v>
      </c>
      <c r="B855" s="3">
        <v>1317156</v>
      </c>
      <c r="C855" s="3">
        <v>1317200</v>
      </c>
      <c r="D855" s="1" t="s">
        <v>13</v>
      </c>
      <c r="E855" s="1">
        <v>-3.2</v>
      </c>
      <c r="F855" s="1" t="s">
        <v>15157</v>
      </c>
    </row>
    <row r="856" spans="1:6" ht="21" x14ac:dyDescent="0.25">
      <c r="A856" s="2" t="str">
        <f>HYPERLINK("https://rth.dk/resources/bsgatlas/details.php?id=BSGatlas-terminator-855","BSGatlas-terminator-855")</f>
        <v>BSGatlas-terminator-855</v>
      </c>
      <c r="B856" s="3">
        <v>1318470</v>
      </c>
      <c r="C856" s="3">
        <v>1318514</v>
      </c>
      <c r="D856" s="1" t="s">
        <v>9</v>
      </c>
      <c r="E856" s="1">
        <v>-17</v>
      </c>
      <c r="F856" s="1" t="s">
        <v>15157</v>
      </c>
    </row>
    <row r="857" spans="1:6" ht="21" x14ac:dyDescent="0.25">
      <c r="A857" s="2" t="str">
        <f>HYPERLINK("https://rth.dk/resources/bsgatlas/details.php?id=BSGatlas-terminator-856","BSGatlas-terminator-856")</f>
        <v>BSGatlas-terminator-856</v>
      </c>
      <c r="B857" s="3">
        <v>1318475</v>
      </c>
      <c r="C857" s="3">
        <v>1318519</v>
      </c>
      <c r="D857" s="1" t="s">
        <v>13</v>
      </c>
      <c r="E857" s="1">
        <v>-16</v>
      </c>
      <c r="F857" s="1" t="s">
        <v>15157</v>
      </c>
    </row>
    <row r="858" spans="1:6" ht="21" x14ac:dyDescent="0.25">
      <c r="A858" s="2" t="str">
        <f>HYPERLINK("https://rth.dk/resources/bsgatlas/details.php?id=BSGatlas-terminator-857","BSGatlas-terminator-857")</f>
        <v>BSGatlas-terminator-857</v>
      </c>
      <c r="B858" s="3">
        <v>1319607</v>
      </c>
      <c r="C858" s="3">
        <v>1319673</v>
      </c>
      <c r="D858" s="1" t="s">
        <v>13</v>
      </c>
      <c r="E858" s="1"/>
      <c r="F858" s="1" t="s">
        <v>15159</v>
      </c>
    </row>
    <row r="859" spans="1:6" ht="21" x14ac:dyDescent="0.25">
      <c r="A859" s="2" t="str">
        <f>HYPERLINK("https://rth.dk/resources/bsgatlas/details.php?id=BSGatlas-terminator-858","BSGatlas-terminator-858")</f>
        <v>BSGatlas-terminator-858</v>
      </c>
      <c r="B859" s="3">
        <v>1320492</v>
      </c>
      <c r="C859" s="3">
        <v>1320536</v>
      </c>
      <c r="D859" s="1" t="s">
        <v>9</v>
      </c>
      <c r="E859" s="1">
        <v>-20.100000000000001</v>
      </c>
      <c r="F859" s="1" t="s">
        <v>15157</v>
      </c>
    </row>
    <row r="860" spans="1:6" ht="21" x14ac:dyDescent="0.25">
      <c r="A860" s="2" t="str">
        <f>HYPERLINK("https://rth.dk/resources/bsgatlas/details.php?id=BSGatlas-terminator-859","BSGatlas-terminator-859")</f>
        <v>BSGatlas-terminator-859</v>
      </c>
      <c r="B860" s="3">
        <v>1321226</v>
      </c>
      <c r="C860" s="3">
        <v>1321270</v>
      </c>
      <c r="D860" s="1" t="s">
        <v>13</v>
      </c>
      <c r="E860" s="1">
        <v>-7.9</v>
      </c>
      <c r="F860" s="1" t="s">
        <v>15162</v>
      </c>
    </row>
    <row r="861" spans="1:6" ht="21" x14ac:dyDescent="0.25">
      <c r="A861" s="2" t="str">
        <f>HYPERLINK("https://rth.dk/resources/bsgatlas/details.php?id=BSGatlas-terminator-860","BSGatlas-terminator-860")</f>
        <v>BSGatlas-terminator-860</v>
      </c>
      <c r="B861" s="3">
        <v>1324386</v>
      </c>
      <c r="C861" s="3">
        <v>1324451</v>
      </c>
      <c r="D861" s="1" t="s">
        <v>9</v>
      </c>
      <c r="E861" s="1">
        <v>-34.700000000000003</v>
      </c>
      <c r="F861" s="1" t="s">
        <v>4382</v>
      </c>
    </row>
    <row r="862" spans="1:6" ht="21" x14ac:dyDescent="0.25">
      <c r="A862" s="2" t="str">
        <f>HYPERLINK("https://rth.dk/resources/bsgatlas/details.php?id=BSGatlas-terminator-861","BSGatlas-terminator-861")</f>
        <v>BSGatlas-terminator-861</v>
      </c>
      <c r="B862" s="3">
        <v>1334266</v>
      </c>
      <c r="C862" s="3">
        <v>1334308</v>
      </c>
      <c r="D862" s="1" t="s">
        <v>9</v>
      </c>
      <c r="E862" s="1">
        <v>-15.6</v>
      </c>
      <c r="F862" s="1" t="s">
        <v>4382</v>
      </c>
    </row>
    <row r="863" spans="1:6" ht="21" x14ac:dyDescent="0.25">
      <c r="A863" s="2" t="str">
        <f>HYPERLINK("https://rth.dk/resources/bsgatlas/details.php?id=BSGatlas-terminator-862","BSGatlas-terminator-862")</f>
        <v>BSGatlas-terminator-862</v>
      </c>
      <c r="B863" s="3">
        <v>1336374</v>
      </c>
      <c r="C863" s="3">
        <v>1336418</v>
      </c>
      <c r="D863" s="1" t="s">
        <v>9</v>
      </c>
      <c r="E863" s="1">
        <v>-12.1</v>
      </c>
      <c r="F863" s="1" t="s">
        <v>15157</v>
      </c>
    </row>
    <row r="864" spans="1:6" ht="21" x14ac:dyDescent="0.25">
      <c r="A864" s="2" t="str">
        <f>HYPERLINK("https://rth.dk/resources/bsgatlas/details.php?id=BSGatlas-terminator-863","BSGatlas-terminator-863")</f>
        <v>BSGatlas-terminator-863</v>
      </c>
      <c r="B864" s="3">
        <v>1348169</v>
      </c>
      <c r="C864" s="3">
        <v>1348213</v>
      </c>
      <c r="D864" s="1" t="s">
        <v>9</v>
      </c>
      <c r="E864" s="1">
        <v>-12.5</v>
      </c>
      <c r="F864" s="1" t="s">
        <v>15157</v>
      </c>
    </row>
    <row r="865" spans="1:6" ht="21" x14ac:dyDescent="0.25">
      <c r="A865" s="2" t="str">
        <f>HYPERLINK("https://rth.dk/resources/bsgatlas/details.php?id=BSGatlas-terminator-864","BSGatlas-terminator-864")</f>
        <v>BSGatlas-terminator-864</v>
      </c>
      <c r="B865" s="3">
        <v>1348221</v>
      </c>
      <c r="C865" s="3">
        <v>1348265</v>
      </c>
      <c r="D865" s="1" t="s">
        <v>13</v>
      </c>
      <c r="E865" s="1">
        <v>-12.5</v>
      </c>
      <c r="F865" s="1" t="s">
        <v>15157</v>
      </c>
    </row>
    <row r="866" spans="1:6" ht="21" x14ac:dyDescent="0.25">
      <c r="A866" s="2" t="str">
        <f>HYPERLINK("https://rth.dk/resources/bsgatlas/details.php?id=BSGatlas-terminator-865","BSGatlas-terminator-865")</f>
        <v>BSGatlas-terminator-865</v>
      </c>
      <c r="B866" s="3">
        <v>1348426</v>
      </c>
      <c r="C866" s="3">
        <v>1348470</v>
      </c>
      <c r="D866" s="1" t="s">
        <v>13</v>
      </c>
      <c r="E866" s="1">
        <v>-12.5</v>
      </c>
      <c r="F866" s="1" t="s">
        <v>15157</v>
      </c>
    </row>
    <row r="867" spans="1:6" ht="21" x14ac:dyDescent="0.25">
      <c r="A867" s="2" t="str">
        <f>HYPERLINK("https://rth.dk/resources/bsgatlas/details.php?id=BSGatlas-terminator-866","BSGatlas-terminator-866")</f>
        <v>BSGatlas-terminator-866</v>
      </c>
      <c r="B867" s="3">
        <v>1349439</v>
      </c>
      <c r="C867" s="3">
        <v>1349460</v>
      </c>
      <c r="D867" s="1" t="s">
        <v>13</v>
      </c>
      <c r="E867" s="1">
        <v>-14.1</v>
      </c>
      <c r="F867" s="1" t="s">
        <v>4547</v>
      </c>
    </row>
    <row r="868" spans="1:6" ht="21" x14ac:dyDescent="0.25">
      <c r="A868" s="2" t="str">
        <f>HYPERLINK("https://rth.dk/resources/bsgatlas/details.php?id=BSGatlas-terminator-867","BSGatlas-terminator-867")</f>
        <v>BSGatlas-terminator-867</v>
      </c>
      <c r="B868" s="3">
        <v>1349475</v>
      </c>
      <c r="C868" s="3">
        <v>1349519</v>
      </c>
      <c r="D868" s="1" t="s">
        <v>13</v>
      </c>
      <c r="E868" s="1">
        <v>-11</v>
      </c>
      <c r="F868" s="1" t="s">
        <v>15157</v>
      </c>
    </row>
    <row r="869" spans="1:6" ht="21" x14ac:dyDescent="0.25">
      <c r="A869" s="2" t="str">
        <f>HYPERLINK("https://rth.dk/resources/bsgatlas/details.php?id=BSGatlas-terminator-868","BSGatlas-terminator-868")</f>
        <v>BSGatlas-terminator-868</v>
      </c>
      <c r="B869" s="3">
        <v>1351368</v>
      </c>
      <c r="C869" s="3">
        <v>1351412</v>
      </c>
      <c r="D869" s="1" t="s">
        <v>13</v>
      </c>
      <c r="E869" s="1">
        <v>-14.4</v>
      </c>
      <c r="F869" s="1" t="s">
        <v>15157</v>
      </c>
    </row>
    <row r="870" spans="1:6" ht="21" x14ac:dyDescent="0.25">
      <c r="A870" s="2" t="str">
        <f>HYPERLINK("https://rth.dk/resources/bsgatlas/details.php?id=BSGatlas-terminator-869","BSGatlas-terminator-869")</f>
        <v>BSGatlas-terminator-869</v>
      </c>
      <c r="B870" s="3">
        <v>1353996</v>
      </c>
      <c r="C870" s="3">
        <v>1354040</v>
      </c>
      <c r="D870" s="1" t="s">
        <v>9</v>
      </c>
      <c r="E870" s="1">
        <v>-17.5</v>
      </c>
      <c r="F870" s="1" t="s">
        <v>15157</v>
      </c>
    </row>
    <row r="871" spans="1:6" ht="21" x14ac:dyDescent="0.25">
      <c r="A871" s="2" t="str">
        <f>HYPERLINK("https://rth.dk/resources/bsgatlas/details.php?id=BSGatlas-terminator-870","BSGatlas-terminator-870")</f>
        <v>BSGatlas-terminator-870</v>
      </c>
      <c r="B871" s="3">
        <v>1354045</v>
      </c>
      <c r="C871" s="3">
        <v>1354067</v>
      </c>
      <c r="D871" s="1" t="s">
        <v>9</v>
      </c>
      <c r="E871" s="1">
        <v>-18.5</v>
      </c>
      <c r="F871" s="1" t="s">
        <v>4547</v>
      </c>
    </row>
    <row r="872" spans="1:6" ht="21" x14ac:dyDescent="0.25">
      <c r="A872" s="2" t="str">
        <f>HYPERLINK("https://rth.dk/resources/bsgatlas/details.php?id=BSGatlas-terminator-871","BSGatlas-terminator-871")</f>
        <v>BSGatlas-terminator-871</v>
      </c>
      <c r="B872" s="3">
        <v>1355300</v>
      </c>
      <c r="C872" s="3">
        <v>1355344</v>
      </c>
      <c r="D872" s="1" t="s">
        <v>9</v>
      </c>
      <c r="E872" s="1">
        <v>-17.5</v>
      </c>
      <c r="F872" s="1" t="s">
        <v>15157</v>
      </c>
    </row>
    <row r="873" spans="1:6" ht="21" x14ac:dyDescent="0.25">
      <c r="A873" s="2" t="str">
        <f>HYPERLINK("https://rth.dk/resources/bsgatlas/details.php?id=BSGatlas-terminator-872","BSGatlas-terminator-872")</f>
        <v>BSGatlas-terminator-872</v>
      </c>
      <c r="B873" s="3">
        <v>1356742</v>
      </c>
      <c r="C873" s="3">
        <v>1356808</v>
      </c>
      <c r="D873" s="1" t="s">
        <v>13</v>
      </c>
      <c r="E873" s="1"/>
      <c r="F873" s="1" t="s">
        <v>15159</v>
      </c>
    </row>
    <row r="874" spans="1:6" ht="21" x14ac:dyDescent="0.25">
      <c r="A874" s="2" t="str">
        <f>HYPERLINK("https://rth.dk/resources/bsgatlas/details.php?id=BSGatlas-terminator-873","BSGatlas-terminator-873")</f>
        <v>BSGatlas-terminator-873</v>
      </c>
      <c r="B874" s="3">
        <v>1357439</v>
      </c>
      <c r="C874" s="3">
        <v>1357483</v>
      </c>
      <c r="D874" s="1" t="s">
        <v>13</v>
      </c>
      <c r="E874" s="1">
        <v>-19.100000000000001</v>
      </c>
      <c r="F874" s="1" t="s">
        <v>15157</v>
      </c>
    </row>
    <row r="875" spans="1:6" ht="21" x14ac:dyDescent="0.25">
      <c r="A875" s="2" t="str">
        <f>HYPERLINK("https://rth.dk/resources/bsgatlas/details.php?id=BSGatlas-terminator-874","BSGatlas-terminator-874")</f>
        <v>BSGatlas-terminator-874</v>
      </c>
      <c r="B875" s="3">
        <v>1357507</v>
      </c>
      <c r="C875" s="3">
        <v>1357551</v>
      </c>
      <c r="D875" s="1" t="s">
        <v>13</v>
      </c>
      <c r="E875" s="1">
        <v>-19.100000000000001</v>
      </c>
      <c r="F875" s="1" t="s">
        <v>15157</v>
      </c>
    </row>
    <row r="876" spans="1:6" ht="21" x14ac:dyDescent="0.25">
      <c r="A876" s="2" t="str">
        <f>HYPERLINK("https://rth.dk/resources/bsgatlas/details.php?id=BSGatlas-terminator-875","BSGatlas-terminator-875")</f>
        <v>BSGatlas-terminator-875</v>
      </c>
      <c r="B876" s="3">
        <v>1357885</v>
      </c>
      <c r="C876" s="3">
        <v>1357932</v>
      </c>
      <c r="D876" s="1" t="s">
        <v>13</v>
      </c>
      <c r="E876" s="1">
        <v>-24.4</v>
      </c>
      <c r="F876" s="1" t="s">
        <v>15158</v>
      </c>
    </row>
    <row r="877" spans="1:6" ht="21" x14ac:dyDescent="0.25">
      <c r="A877" s="2" t="str">
        <f>HYPERLINK("https://rth.dk/resources/bsgatlas/details.php?id=BSGatlas-terminator-876","BSGatlas-terminator-876")</f>
        <v>BSGatlas-terminator-876</v>
      </c>
      <c r="B877" s="3">
        <v>1360266</v>
      </c>
      <c r="C877" s="3">
        <v>1360305</v>
      </c>
      <c r="D877" s="1" t="s">
        <v>9</v>
      </c>
      <c r="E877" s="1">
        <v>-13.6</v>
      </c>
      <c r="F877" s="1" t="s">
        <v>15158</v>
      </c>
    </row>
    <row r="878" spans="1:6" ht="21" x14ac:dyDescent="0.25">
      <c r="A878" s="2" t="str">
        <f>HYPERLINK("https://rth.dk/resources/bsgatlas/details.php?id=BSGatlas-terminator-877","BSGatlas-terminator-877")</f>
        <v>BSGatlas-terminator-877</v>
      </c>
      <c r="B878" s="3">
        <v>1365772</v>
      </c>
      <c r="C878" s="3">
        <v>1365816</v>
      </c>
      <c r="D878" s="1" t="s">
        <v>9</v>
      </c>
      <c r="E878" s="1">
        <v>-13.9</v>
      </c>
      <c r="F878" s="1" t="s">
        <v>15157</v>
      </c>
    </row>
    <row r="879" spans="1:6" ht="21" x14ac:dyDescent="0.25">
      <c r="A879" s="2" t="str">
        <f>HYPERLINK("https://rth.dk/resources/bsgatlas/details.php?id=BSGatlas-terminator-878","BSGatlas-terminator-878")</f>
        <v>BSGatlas-terminator-878</v>
      </c>
      <c r="B879" s="3">
        <v>1365819</v>
      </c>
      <c r="C879" s="3">
        <v>1365847</v>
      </c>
      <c r="D879" s="1" t="s">
        <v>9</v>
      </c>
      <c r="E879" s="1">
        <v>-17.3</v>
      </c>
      <c r="F879" s="1" t="s">
        <v>4547</v>
      </c>
    </row>
    <row r="880" spans="1:6" ht="21" x14ac:dyDescent="0.25">
      <c r="A880" s="2" t="str">
        <f>HYPERLINK("https://rth.dk/resources/bsgatlas/details.php?id=BSGatlas-terminator-879","BSGatlas-terminator-879")</f>
        <v>BSGatlas-terminator-879</v>
      </c>
      <c r="B880" s="3">
        <v>1369094</v>
      </c>
      <c r="C880" s="3">
        <v>1369160</v>
      </c>
      <c r="D880" s="1" t="s">
        <v>13</v>
      </c>
      <c r="E880" s="1"/>
      <c r="F880" s="1" t="s">
        <v>15159</v>
      </c>
    </row>
    <row r="881" spans="1:6" ht="21" x14ac:dyDescent="0.25">
      <c r="A881" s="2" t="str">
        <f>HYPERLINK("https://rth.dk/resources/bsgatlas/details.php?id=BSGatlas-terminator-880","BSGatlas-terminator-880")</f>
        <v>BSGatlas-terminator-880</v>
      </c>
      <c r="B881" s="3">
        <v>1369801</v>
      </c>
      <c r="C881" s="3">
        <v>1369845</v>
      </c>
      <c r="D881" s="1" t="s">
        <v>9</v>
      </c>
      <c r="E881" s="1">
        <v>-13.9</v>
      </c>
      <c r="F881" s="1" t="s">
        <v>15157</v>
      </c>
    </row>
    <row r="882" spans="1:6" ht="21" x14ac:dyDescent="0.25">
      <c r="A882" s="2" t="str">
        <f>HYPERLINK("https://rth.dk/resources/bsgatlas/details.php?id=BSGatlas-terminator-881","BSGatlas-terminator-881")</f>
        <v>BSGatlas-terminator-881</v>
      </c>
      <c r="B882" s="3">
        <v>1369826</v>
      </c>
      <c r="C882" s="3">
        <v>1369873</v>
      </c>
      <c r="D882" s="1" t="s">
        <v>13</v>
      </c>
      <c r="E882" s="1">
        <v>-20</v>
      </c>
      <c r="F882" s="1" t="s">
        <v>4382</v>
      </c>
    </row>
    <row r="883" spans="1:6" ht="21" x14ac:dyDescent="0.25">
      <c r="A883" s="2" t="str">
        <f>HYPERLINK("https://rth.dk/resources/bsgatlas/details.php?id=BSGatlas-terminator-882","BSGatlas-terminator-882")</f>
        <v>BSGatlas-terminator-882</v>
      </c>
      <c r="B883" s="3">
        <v>1369877</v>
      </c>
      <c r="C883" s="3">
        <v>1369921</v>
      </c>
      <c r="D883" s="1" t="s">
        <v>13</v>
      </c>
      <c r="E883" s="1">
        <v>-15.6</v>
      </c>
      <c r="F883" s="1" t="s">
        <v>15157</v>
      </c>
    </row>
    <row r="884" spans="1:6" ht="21" x14ac:dyDescent="0.25">
      <c r="A884" s="2" t="str">
        <f>HYPERLINK("https://rth.dk/resources/bsgatlas/details.php?id=BSGatlas-terminator-883","BSGatlas-terminator-883")</f>
        <v>BSGatlas-terminator-883</v>
      </c>
      <c r="B884" s="3">
        <v>1371003</v>
      </c>
      <c r="C884" s="3">
        <v>1371069</v>
      </c>
      <c r="D884" s="1" t="s">
        <v>9</v>
      </c>
      <c r="E884" s="1"/>
      <c r="F884" s="1" t="s">
        <v>15159</v>
      </c>
    </row>
    <row r="885" spans="1:6" ht="21" x14ac:dyDescent="0.25">
      <c r="A885" s="2" t="str">
        <f>HYPERLINK("https://rth.dk/resources/bsgatlas/details.php?id=BSGatlas-terminator-884","BSGatlas-terminator-884")</f>
        <v>BSGatlas-terminator-884</v>
      </c>
      <c r="B885" s="3">
        <v>1372522</v>
      </c>
      <c r="C885" s="3">
        <v>1372566</v>
      </c>
      <c r="D885" s="1" t="s">
        <v>9</v>
      </c>
      <c r="E885" s="1">
        <v>-10.9</v>
      </c>
      <c r="F885" s="1" t="s">
        <v>15157</v>
      </c>
    </row>
    <row r="886" spans="1:6" ht="21" x14ac:dyDescent="0.25">
      <c r="A886" s="2" t="str">
        <f>HYPERLINK("https://rth.dk/resources/bsgatlas/details.php?id=BSGatlas-terminator-885","BSGatlas-terminator-885")</f>
        <v>BSGatlas-terminator-885</v>
      </c>
      <c r="B886" s="3">
        <v>1374001</v>
      </c>
      <c r="C886" s="3">
        <v>1374042</v>
      </c>
      <c r="D886" s="1" t="s">
        <v>9</v>
      </c>
      <c r="E886" s="1">
        <v>-12.3</v>
      </c>
      <c r="F886" s="1" t="s">
        <v>15158</v>
      </c>
    </row>
    <row r="887" spans="1:6" ht="21" x14ac:dyDescent="0.25">
      <c r="A887" s="2" t="str">
        <f>HYPERLINK("https://rth.dk/resources/bsgatlas/details.php?id=BSGatlas-terminator-886","BSGatlas-terminator-886")</f>
        <v>BSGatlas-terminator-886</v>
      </c>
      <c r="B887" s="3">
        <v>1375124</v>
      </c>
      <c r="C887" s="3">
        <v>1375168</v>
      </c>
      <c r="D887" s="1" t="s">
        <v>9</v>
      </c>
      <c r="E887" s="1">
        <v>-7.2</v>
      </c>
      <c r="F887" s="1" t="s">
        <v>15157</v>
      </c>
    </row>
    <row r="888" spans="1:6" ht="21" x14ac:dyDescent="0.25">
      <c r="A888" s="2" t="str">
        <f>HYPERLINK("https://rth.dk/resources/bsgatlas/details.php?id=BSGatlas-terminator-887","BSGatlas-terminator-887")</f>
        <v>BSGatlas-terminator-887</v>
      </c>
      <c r="B888" s="3">
        <v>1376380</v>
      </c>
      <c r="C888" s="3">
        <v>1376424</v>
      </c>
      <c r="D888" s="1" t="s">
        <v>9</v>
      </c>
      <c r="E888" s="1">
        <v>-18.5</v>
      </c>
      <c r="F888" s="1" t="s">
        <v>15157</v>
      </c>
    </row>
    <row r="889" spans="1:6" ht="21" x14ac:dyDescent="0.25">
      <c r="A889" s="2" t="str">
        <f>HYPERLINK("https://rth.dk/resources/bsgatlas/details.php?id=BSGatlas-terminator-888","BSGatlas-terminator-888")</f>
        <v>BSGatlas-terminator-888</v>
      </c>
      <c r="B889" s="3">
        <v>1378114</v>
      </c>
      <c r="C889" s="3">
        <v>1378158</v>
      </c>
      <c r="D889" s="1" t="s">
        <v>9</v>
      </c>
      <c r="E889" s="1">
        <v>-13.1</v>
      </c>
      <c r="F889" s="1" t="s">
        <v>15157</v>
      </c>
    </row>
    <row r="890" spans="1:6" ht="21" x14ac:dyDescent="0.25">
      <c r="A890" s="2" t="str">
        <f>HYPERLINK("https://rth.dk/resources/bsgatlas/details.php?id=BSGatlas-terminator-889","BSGatlas-terminator-889")</f>
        <v>BSGatlas-terminator-889</v>
      </c>
      <c r="B890" s="3">
        <v>1378379</v>
      </c>
      <c r="C890" s="3">
        <v>1378423</v>
      </c>
      <c r="D890" s="1" t="s">
        <v>9</v>
      </c>
      <c r="E890" s="1">
        <v>-17.600000000000001</v>
      </c>
      <c r="F890" s="1" t="s">
        <v>15157</v>
      </c>
    </row>
    <row r="891" spans="1:6" ht="21" x14ac:dyDescent="0.25">
      <c r="A891" s="2" t="str">
        <f>HYPERLINK("https://rth.dk/resources/bsgatlas/details.php?id=BSGatlas-terminator-890","BSGatlas-terminator-890")</f>
        <v>BSGatlas-terminator-890</v>
      </c>
      <c r="B891" s="3">
        <v>1378424</v>
      </c>
      <c r="C891" s="3">
        <v>1378463</v>
      </c>
      <c r="D891" s="1" t="s">
        <v>9</v>
      </c>
      <c r="E891" s="1"/>
      <c r="F891" s="1" t="s">
        <v>4547</v>
      </c>
    </row>
    <row r="892" spans="1:6" ht="21" x14ac:dyDescent="0.25">
      <c r="A892" s="2" t="str">
        <f>HYPERLINK("https://rth.dk/resources/bsgatlas/details.php?id=BSGatlas-terminator-891","BSGatlas-terminator-891")</f>
        <v>BSGatlas-terminator-891</v>
      </c>
      <c r="B892" s="3">
        <v>1380821</v>
      </c>
      <c r="C892" s="3">
        <v>1380865</v>
      </c>
      <c r="D892" s="1" t="s">
        <v>9</v>
      </c>
      <c r="E892" s="1">
        <v>-11</v>
      </c>
      <c r="F892" s="1" t="s">
        <v>15157</v>
      </c>
    </row>
    <row r="893" spans="1:6" ht="21" x14ac:dyDescent="0.25">
      <c r="A893" s="2" t="str">
        <f>HYPERLINK("https://rth.dk/resources/bsgatlas/details.php?id=BSGatlas-terminator-892","BSGatlas-terminator-892")</f>
        <v>BSGatlas-terminator-892</v>
      </c>
      <c r="B893" s="3">
        <v>1381396</v>
      </c>
      <c r="C893" s="3">
        <v>1381440</v>
      </c>
      <c r="D893" s="1" t="s">
        <v>13</v>
      </c>
      <c r="E893" s="1">
        <v>-19.3</v>
      </c>
      <c r="F893" s="1" t="s">
        <v>4382</v>
      </c>
    </row>
    <row r="894" spans="1:6" ht="21" x14ac:dyDescent="0.25">
      <c r="A894" s="2" t="str">
        <f>HYPERLINK("https://rth.dk/resources/bsgatlas/details.php?id=BSGatlas-terminator-893","BSGatlas-terminator-893")</f>
        <v>BSGatlas-terminator-893</v>
      </c>
      <c r="B894" s="3">
        <v>1381406</v>
      </c>
      <c r="C894" s="3">
        <v>1381452</v>
      </c>
      <c r="D894" s="1" t="s">
        <v>9</v>
      </c>
      <c r="E894" s="1">
        <v>-22.8</v>
      </c>
      <c r="F894" s="1" t="s">
        <v>15158</v>
      </c>
    </row>
    <row r="895" spans="1:6" ht="21" x14ac:dyDescent="0.25">
      <c r="A895" s="2" t="str">
        <f>HYPERLINK("https://rth.dk/resources/bsgatlas/details.php?id=BSGatlas-terminator-894","BSGatlas-terminator-894")</f>
        <v>BSGatlas-terminator-894</v>
      </c>
      <c r="B895" s="3">
        <v>1381446</v>
      </c>
      <c r="C895" s="3">
        <v>1381490</v>
      </c>
      <c r="D895" s="1" t="s">
        <v>13</v>
      </c>
      <c r="E895" s="1">
        <v>-16.600000000000001</v>
      </c>
      <c r="F895" s="1" t="s">
        <v>15157</v>
      </c>
    </row>
    <row r="896" spans="1:6" ht="21" x14ac:dyDescent="0.25">
      <c r="A896" s="2" t="str">
        <f>HYPERLINK("https://rth.dk/resources/bsgatlas/details.php?id=BSGatlas-terminator-895","BSGatlas-terminator-895")</f>
        <v>BSGatlas-terminator-895</v>
      </c>
      <c r="B896" s="3">
        <v>1382386</v>
      </c>
      <c r="C896" s="3">
        <v>1382430</v>
      </c>
      <c r="D896" s="1" t="s">
        <v>9</v>
      </c>
      <c r="E896" s="1">
        <v>-12.1</v>
      </c>
      <c r="F896" s="1" t="s">
        <v>15157</v>
      </c>
    </row>
    <row r="897" spans="1:6" ht="21" x14ac:dyDescent="0.25">
      <c r="A897" s="2" t="str">
        <f>HYPERLINK("https://rth.dk/resources/bsgatlas/details.php?id=BSGatlas-terminator-896","BSGatlas-terminator-896")</f>
        <v>BSGatlas-terminator-896</v>
      </c>
      <c r="B897" s="3">
        <v>1382433</v>
      </c>
      <c r="C897" s="3">
        <v>1382474</v>
      </c>
      <c r="D897" s="1" t="s">
        <v>9</v>
      </c>
      <c r="E897" s="1">
        <v>-15.1</v>
      </c>
      <c r="F897" s="1" t="s">
        <v>4382</v>
      </c>
    </row>
    <row r="898" spans="1:6" ht="21" x14ac:dyDescent="0.25">
      <c r="A898" s="2" t="str">
        <f>HYPERLINK("https://rth.dk/resources/bsgatlas/details.php?id=BSGatlas-terminator-897","BSGatlas-terminator-897")</f>
        <v>BSGatlas-terminator-897</v>
      </c>
      <c r="B898" s="3">
        <v>1382635</v>
      </c>
      <c r="C898" s="3">
        <v>1382679</v>
      </c>
      <c r="D898" s="1" t="s">
        <v>13</v>
      </c>
      <c r="E898" s="1">
        <v>-17.7</v>
      </c>
      <c r="F898" s="1" t="s">
        <v>15158</v>
      </c>
    </row>
    <row r="899" spans="1:6" ht="21" x14ac:dyDescent="0.25">
      <c r="A899" s="2" t="str">
        <f>HYPERLINK("https://rth.dk/resources/bsgatlas/details.php?id=BSGatlas-terminator-898","BSGatlas-terminator-898")</f>
        <v>BSGatlas-terminator-898</v>
      </c>
      <c r="B899" s="3">
        <v>1383241</v>
      </c>
      <c r="C899" s="3">
        <v>1383285</v>
      </c>
      <c r="D899" s="1" t="s">
        <v>9</v>
      </c>
      <c r="E899" s="1">
        <v>-11.5</v>
      </c>
      <c r="F899" s="1" t="s">
        <v>15162</v>
      </c>
    </row>
    <row r="900" spans="1:6" ht="21" x14ac:dyDescent="0.25">
      <c r="A900" s="2" t="str">
        <f>HYPERLINK("https://rth.dk/resources/bsgatlas/details.php?id=BSGatlas-terminator-899","BSGatlas-terminator-899")</f>
        <v>BSGatlas-terminator-899</v>
      </c>
      <c r="B900" s="3">
        <v>1383317</v>
      </c>
      <c r="C900" s="3">
        <v>1383361</v>
      </c>
      <c r="D900" s="1" t="s">
        <v>13</v>
      </c>
      <c r="E900" s="1">
        <v>-11.5</v>
      </c>
      <c r="F900" s="1" t="s">
        <v>15157</v>
      </c>
    </row>
    <row r="901" spans="1:6" ht="21" x14ac:dyDescent="0.25">
      <c r="A901" s="2" t="str">
        <f>HYPERLINK("https://rth.dk/resources/bsgatlas/details.php?id=BSGatlas-terminator-900","BSGatlas-terminator-900")</f>
        <v>BSGatlas-terminator-900</v>
      </c>
      <c r="B901" s="3">
        <v>1385673</v>
      </c>
      <c r="C901" s="3">
        <v>1385725</v>
      </c>
      <c r="D901" s="1" t="s">
        <v>13</v>
      </c>
      <c r="E901" s="1">
        <v>-19.5</v>
      </c>
      <c r="F901" s="1" t="s">
        <v>15158</v>
      </c>
    </row>
    <row r="902" spans="1:6" ht="21" x14ac:dyDescent="0.25">
      <c r="A902" s="2" t="str">
        <f>HYPERLINK("https://rth.dk/resources/bsgatlas/details.php?id=BSGatlas-terminator-901","BSGatlas-terminator-901")</f>
        <v>BSGatlas-terminator-901</v>
      </c>
      <c r="B902" s="3">
        <v>1387993</v>
      </c>
      <c r="C902" s="3">
        <v>1388037</v>
      </c>
      <c r="D902" s="1" t="s">
        <v>9</v>
      </c>
      <c r="E902" s="1">
        <v>-12.1</v>
      </c>
      <c r="F902" s="1" t="s">
        <v>15157</v>
      </c>
    </row>
    <row r="903" spans="1:6" ht="21" x14ac:dyDescent="0.25">
      <c r="A903" s="2" t="str">
        <f>HYPERLINK("https://rth.dk/resources/bsgatlas/details.php?id=BSGatlas-terminator-902","BSGatlas-terminator-902")</f>
        <v>BSGatlas-terminator-902</v>
      </c>
      <c r="B903" s="3">
        <v>1388069</v>
      </c>
      <c r="C903" s="3">
        <v>1388113</v>
      </c>
      <c r="D903" s="1" t="s">
        <v>13</v>
      </c>
      <c r="E903" s="1">
        <v>-12.1</v>
      </c>
      <c r="F903" s="1" t="s">
        <v>15157</v>
      </c>
    </row>
    <row r="904" spans="1:6" ht="21" x14ac:dyDescent="0.25">
      <c r="A904" s="2" t="str">
        <f>HYPERLINK("https://rth.dk/resources/bsgatlas/details.php?id=BSGatlas-terminator-903","BSGatlas-terminator-903")</f>
        <v>BSGatlas-terminator-903</v>
      </c>
      <c r="B904" s="3">
        <v>1391698</v>
      </c>
      <c r="C904" s="3">
        <v>1391742</v>
      </c>
      <c r="D904" s="1" t="s">
        <v>13</v>
      </c>
      <c r="E904" s="1">
        <v>-10.9</v>
      </c>
      <c r="F904" s="1" t="s">
        <v>15157</v>
      </c>
    </row>
    <row r="905" spans="1:6" ht="21" x14ac:dyDescent="0.25">
      <c r="A905" s="2" t="str">
        <f>HYPERLINK("https://rth.dk/resources/bsgatlas/details.php?id=BSGatlas-terminator-904","BSGatlas-terminator-904")</f>
        <v>BSGatlas-terminator-904</v>
      </c>
      <c r="B905" s="3">
        <v>1395252</v>
      </c>
      <c r="C905" s="3">
        <v>1395296</v>
      </c>
      <c r="D905" s="1" t="s">
        <v>9</v>
      </c>
      <c r="E905" s="1">
        <v>-13.7</v>
      </c>
      <c r="F905" s="1" t="s">
        <v>15157</v>
      </c>
    </row>
    <row r="906" spans="1:6" ht="21" x14ac:dyDescent="0.25">
      <c r="A906" s="2" t="str">
        <f>HYPERLINK("https://rth.dk/resources/bsgatlas/details.php?id=BSGatlas-terminator-905","BSGatlas-terminator-905")</f>
        <v>BSGatlas-terminator-905</v>
      </c>
      <c r="B906" s="3">
        <v>1395459</v>
      </c>
      <c r="C906" s="3">
        <v>1395503</v>
      </c>
      <c r="D906" s="1" t="s">
        <v>9</v>
      </c>
      <c r="E906" s="1">
        <v>-5.9</v>
      </c>
      <c r="F906" s="1" t="s">
        <v>15157</v>
      </c>
    </row>
    <row r="907" spans="1:6" ht="21" x14ac:dyDescent="0.25">
      <c r="A907" s="2" t="str">
        <f>HYPERLINK("https://rth.dk/resources/bsgatlas/details.php?id=BSGatlas-terminator-906","BSGatlas-terminator-906")</f>
        <v>BSGatlas-terminator-906</v>
      </c>
      <c r="B907" s="3">
        <v>1395809</v>
      </c>
      <c r="C907" s="3">
        <v>1395824</v>
      </c>
      <c r="D907" s="1" t="s">
        <v>9</v>
      </c>
      <c r="E907" s="1"/>
      <c r="F907" s="1" t="s">
        <v>4547</v>
      </c>
    </row>
    <row r="908" spans="1:6" ht="21" x14ac:dyDescent="0.25">
      <c r="A908" s="2" t="str">
        <f>HYPERLINK("https://rth.dk/resources/bsgatlas/details.php?id=BSGatlas-terminator-907","BSGatlas-terminator-907")</f>
        <v>BSGatlas-terminator-907</v>
      </c>
      <c r="B908" s="3">
        <v>1397337</v>
      </c>
      <c r="C908" s="3">
        <v>1397381</v>
      </c>
      <c r="D908" s="1" t="s">
        <v>9</v>
      </c>
      <c r="E908" s="1">
        <v>-8.9</v>
      </c>
      <c r="F908" s="1" t="s">
        <v>15157</v>
      </c>
    </row>
    <row r="909" spans="1:6" ht="21" x14ac:dyDescent="0.25">
      <c r="A909" s="2" t="str">
        <f>HYPERLINK("https://rth.dk/resources/bsgatlas/details.php?id=BSGatlas-terminator-908","BSGatlas-terminator-908")</f>
        <v>BSGatlas-terminator-908</v>
      </c>
      <c r="B909" s="3">
        <v>1397363</v>
      </c>
      <c r="C909" s="3">
        <v>1397406</v>
      </c>
      <c r="D909" s="1" t="s">
        <v>13</v>
      </c>
      <c r="E909" s="1">
        <v>-12.4</v>
      </c>
      <c r="F909" s="1" t="s">
        <v>4382</v>
      </c>
    </row>
    <row r="910" spans="1:6" ht="21" x14ac:dyDescent="0.25">
      <c r="A910" s="2" t="str">
        <f>HYPERLINK("https://rth.dk/resources/bsgatlas/details.php?id=BSGatlas-terminator-909","BSGatlas-terminator-909")</f>
        <v>BSGatlas-terminator-909</v>
      </c>
      <c r="B910" s="3">
        <v>1398343</v>
      </c>
      <c r="C910" s="3">
        <v>1398388</v>
      </c>
      <c r="D910" s="1" t="s">
        <v>9</v>
      </c>
      <c r="E910" s="1">
        <v>-14.1</v>
      </c>
      <c r="F910" s="1" t="s">
        <v>15158</v>
      </c>
    </row>
    <row r="911" spans="1:6" ht="21" x14ac:dyDescent="0.25">
      <c r="A911" s="2" t="str">
        <f>HYPERLINK("https://rth.dk/resources/bsgatlas/details.php?id=BSGatlas-terminator-910","BSGatlas-terminator-910")</f>
        <v>BSGatlas-terminator-910</v>
      </c>
      <c r="B911" s="3">
        <v>1398923</v>
      </c>
      <c r="C911" s="3">
        <v>1398967</v>
      </c>
      <c r="D911" s="1" t="s">
        <v>9</v>
      </c>
      <c r="E911" s="1">
        <v>-9.8000000000000007</v>
      </c>
      <c r="F911" s="1" t="s">
        <v>15157</v>
      </c>
    </row>
    <row r="912" spans="1:6" ht="21" x14ac:dyDescent="0.25">
      <c r="A912" s="2" t="str">
        <f>HYPERLINK("https://rth.dk/resources/bsgatlas/details.php?id=BSGatlas-terminator-911","BSGatlas-terminator-911")</f>
        <v>BSGatlas-terminator-911</v>
      </c>
      <c r="B912" s="3">
        <v>1400685</v>
      </c>
      <c r="C912" s="3">
        <v>1400729</v>
      </c>
      <c r="D912" s="1" t="s">
        <v>9</v>
      </c>
      <c r="E912" s="1">
        <v>-7</v>
      </c>
      <c r="F912" s="1" t="s">
        <v>15157</v>
      </c>
    </row>
    <row r="913" spans="1:6" ht="21" x14ac:dyDescent="0.25">
      <c r="A913" s="2" t="str">
        <f>HYPERLINK("https://rth.dk/resources/bsgatlas/details.php?id=BSGatlas-terminator-912","BSGatlas-terminator-912")</f>
        <v>BSGatlas-terminator-912</v>
      </c>
      <c r="B913" s="3">
        <v>1404455</v>
      </c>
      <c r="C913" s="3">
        <v>1404499</v>
      </c>
      <c r="D913" s="1" t="s">
        <v>9</v>
      </c>
      <c r="E913" s="1">
        <v>-13.7</v>
      </c>
      <c r="F913" s="1" t="s">
        <v>15157</v>
      </c>
    </row>
    <row r="914" spans="1:6" ht="21" x14ac:dyDescent="0.25">
      <c r="A914" s="2" t="str">
        <f>HYPERLINK("https://rth.dk/resources/bsgatlas/details.php?id=BSGatlas-terminator-913","BSGatlas-terminator-913")</f>
        <v>BSGatlas-terminator-913</v>
      </c>
      <c r="B914" s="3">
        <v>1404545</v>
      </c>
      <c r="C914" s="3">
        <v>1404589</v>
      </c>
      <c r="D914" s="1" t="s">
        <v>13</v>
      </c>
      <c r="E914" s="1">
        <v>-13.7</v>
      </c>
      <c r="F914" s="1" t="s">
        <v>15157</v>
      </c>
    </row>
    <row r="915" spans="1:6" ht="21" x14ac:dyDescent="0.25">
      <c r="A915" s="2" t="str">
        <f>HYPERLINK("https://rth.dk/resources/bsgatlas/details.php?id=BSGatlas-terminator-914","BSGatlas-terminator-914")</f>
        <v>BSGatlas-terminator-914</v>
      </c>
      <c r="B915" s="3">
        <v>1407339</v>
      </c>
      <c r="C915" s="3">
        <v>1407383</v>
      </c>
      <c r="D915" s="1" t="s">
        <v>13</v>
      </c>
      <c r="E915" s="1">
        <v>-9</v>
      </c>
      <c r="F915" s="1" t="s">
        <v>15157</v>
      </c>
    </row>
    <row r="916" spans="1:6" ht="21" x14ac:dyDescent="0.25">
      <c r="A916" s="2" t="str">
        <f>HYPERLINK("https://rth.dk/resources/bsgatlas/details.php?id=BSGatlas-terminator-915","BSGatlas-terminator-915")</f>
        <v>BSGatlas-terminator-915</v>
      </c>
      <c r="B916" s="3">
        <v>1410695</v>
      </c>
      <c r="C916" s="3">
        <v>1410739</v>
      </c>
      <c r="D916" s="1" t="s">
        <v>9</v>
      </c>
      <c r="E916" s="1">
        <v>-15</v>
      </c>
      <c r="F916" s="1" t="s">
        <v>15157</v>
      </c>
    </row>
    <row r="917" spans="1:6" ht="21" x14ac:dyDescent="0.25">
      <c r="A917" s="2" t="str">
        <f>HYPERLINK("https://rth.dk/resources/bsgatlas/details.php?id=BSGatlas-terminator-916","BSGatlas-terminator-916")</f>
        <v>BSGatlas-terminator-916</v>
      </c>
      <c r="B917" s="3">
        <v>1411594</v>
      </c>
      <c r="C917" s="3">
        <v>1411638</v>
      </c>
      <c r="D917" s="1" t="s">
        <v>9</v>
      </c>
      <c r="E917" s="1">
        <v>-13.7</v>
      </c>
      <c r="F917" s="1" t="s">
        <v>15157</v>
      </c>
    </row>
    <row r="918" spans="1:6" ht="21" x14ac:dyDescent="0.25">
      <c r="A918" s="2" t="str">
        <f>HYPERLINK("https://rth.dk/resources/bsgatlas/details.php?id=BSGatlas-terminator-917","BSGatlas-terminator-917")</f>
        <v>BSGatlas-terminator-917</v>
      </c>
      <c r="B918" s="3">
        <v>1413748</v>
      </c>
      <c r="C918" s="3">
        <v>1413792</v>
      </c>
      <c r="D918" s="1" t="s">
        <v>13</v>
      </c>
      <c r="E918" s="1">
        <v>-18.3</v>
      </c>
      <c r="F918" s="1" t="s">
        <v>15158</v>
      </c>
    </row>
    <row r="919" spans="1:6" ht="21" x14ac:dyDescent="0.25">
      <c r="A919" s="2" t="str">
        <f>HYPERLINK("https://rth.dk/resources/bsgatlas/details.php?id=BSGatlas-terminator-918","BSGatlas-terminator-918")</f>
        <v>BSGatlas-terminator-918</v>
      </c>
      <c r="B919" s="3">
        <v>1414110</v>
      </c>
      <c r="C919" s="3">
        <v>1414159</v>
      </c>
      <c r="D919" s="1" t="s">
        <v>9</v>
      </c>
      <c r="E919" s="1">
        <v>-14.4</v>
      </c>
      <c r="F919" s="1" t="s">
        <v>4382</v>
      </c>
    </row>
    <row r="920" spans="1:6" ht="21" x14ac:dyDescent="0.25">
      <c r="A920" s="2" t="str">
        <f>HYPERLINK("https://rth.dk/resources/bsgatlas/details.php?id=BSGatlas-terminator-919","BSGatlas-terminator-919")</f>
        <v>BSGatlas-terminator-919</v>
      </c>
      <c r="B920" s="3">
        <v>1414137</v>
      </c>
      <c r="C920" s="3">
        <v>1414181</v>
      </c>
      <c r="D920" s="1" t="s">
        <v>13</v>
      </c>
      <c r="E920" s="1">
        <v>-15.2</v>
      </c>
      <c r="F920" s="1" t="s">
        <v>15157</v>
      </c>
    </row>
    <row r="921" spans="1:6" ht="21" x14ac:dyDescent="0.25">
      <c r="A921" s="2" t="str">
        <f>HYPERLINK("https://rth.dk/resources/bsgatlas/details.php?id=BSGatlas-terminator-920","BSGatlas-terminator-920")</f>
        <v>BSGatlas-terminator-920</v>
      </c>
      <c r="B921" s="3">
        <v>1415865</v>
      </c>
      <c r="C921" s="3">
        <v>1415909</v>
      </c>
      <c r="D921" s="1" t="s">
        <v>9</v>
      </c>
      <c r="E921" s="1">
        <v>-13.4</v>
      </c>
      <c r="F921" s="1" t="s">
        <v>15157</v>
      </c>
    </row>
    <row r="922" spans="1:6" ht="21" x14ac:dyDescent="0.25">
      <c r="A922" s="2" t="str">
        <f>HYPERLINK("https://rth.dk/resources/bsgatlas/details.php?id=BSGatlas-terminator-921","BSGatlas-terminator-921")</f>
        <v>BSGatlas-terminator-921</v>
      </c>
      <c r="B922" s="3">
        <v>1417382</v>
      </c>
      <c r="C922" s="3">
        <v>1417426</v>
      </c>
      <c r="D922" s="1" t="s">
        <v>9</v>
      </c>
      <c r="E922" s="1">
        <v>-10.7</v>
      </c>
      <c r="F922" s="1" t="s">
        <v>15157</v>
      </c>
    </row>
    <row r="923" spans="1:6" ht="21" x14ac:dyDescent="0.25">
      <c r="A923" s="2" t="str">
        <f>HYPERLINK("https://rth.dk/resources/bsgatlas/details.php?id=BSGatlas-terminator-922","BSGatlas-terminator-922")</f>
        <v>BSGatlas-terminator-922</v>
      </c>
      <c r="B923" s="3">
        <v>1417869</v>
      </c>
      <c r="C923" s="3">
        <v>1417913</v>
      </c>
      <c r="D923" s="1" t="s">
        <v>9</v>
      </c>
      <c r="E923" s="1">
        <v>-19.7</v>
      </c>
      <c r="F923" s="1" t="s">
        <v>15157</v>
      </c>
    </row>
    <row r="924" spans="1:6" ht="21" x14ac:dyDescent="0.25">
      <c r="A924" s="2" t="str">
        <f>HYPERLINK("https://rth.dk/resources/bsgatlas/details.php?id=BSGatlas-terminator-923","BSGatlas-terminator-923")</f>
        <v>BSGatlas-terminator-923</v>
      </c>
      <c r="B924" s="3">
        <v>1417939</v>
      </c>
      <c r="C924" s="3">
        <v>1417983</v>
      </c>
      <c r="D924" s="1" t="s">
        <v>13</v>
      </c>
      <c r="E924" s="1">
        <v>-16.899999999999999</v>
      </c>
      <c r="F924" s="1" t="s">
        <v>15157</v>
      </c>
    </row>
    <row r="925" spans="1:6" ht="21" x14ac:dyDescent="0.25">
      <c r="A925" s="2" t="str">
        <f>HYPERLINK("https://rth.dk/resources/bsgatlas/details.php?id=BSGatlas-terminator-924","BSGatlas-terminator-924")</f>
        <v>BSGatlas-terminator-924</v>
      </c>
      <c r="B925" s="3">
        <v>1421171</v>
      </c>
      <c r="C925" s="3">
        <v>1421237</v>
      </c>
      <c r="D925" s="1" t="s">
        <v>13</v>
      </c>
      <c r="E925" s="1"/>
      <c r="F925" s="1" t="s">
        <v>15159</v>
      </c>
    </row>
    <row r="926" spans="1:6" ht="21" x14ac:dyDescent="0.25">
      <c r="A926" s="2" t="str">
        <f>HYPERLINK("https://rth.dk/resources/bsgatlas/details.php?id=BSGatlas-terminator-925","BSGatlas-terminator-925")</f>
        <v>BSGatlas-terminator-925</v>
      </c>
      <c r="B926" s="3">
        <v>1422110</v>
      </c>
      <c r="C926" s="3">
        <v>1422182</v>
      </c>
      <c r="D926" s="1" t="s">
        <v>9</v>
      </c>
      <c r="E926" s="1">
        <v>-21.2</v>
      </c>
      <c r="F926" s="1" t="s">
        <v>15160</v>
      </c>
    </row>
    <row r="927" spans="1:6" ht="21" x14ac:dyDescent="0.25">
      <c r="A927" s="2" t="str">
        <f>HYPERLINK("https://rth.dk/resources/bsgatlas/details.php?id=BSGatlas-terminator-926","BSGatlas-terminator-926")</f>
        <v>BSGatlas-terminator-926</v>
      </c>
      <c r="B927" s="3">
        <v>1422117</v>
      </c>
      <c r="C927" s="3">
        <v>1422179</v>
      </c>
      <c r="D927" s="1" t="s">
        <v>13</v>
      </c>
      <c r="E927" s="1">
        <v>-24.4</v>
      </c>
      <c r="F927" s="1" t="s">
        <v>15158</v>
      </c>
    </row>
    <row r="928" spans="1:6" ht="21" x14ac:dyDescent="0.25">
      <c r="A928" s="2" t="str">
        <f>HYPERLINK("https://rth.dk/resources/bsgatlas/details.php?id=BSGatlas-terminator-927","BSGatlas-terminator-927")</f>
        <v>BSGatlas-terminator-927</v>
      </c>
      <c r="B928" s="3">
        <v>1423279</v>
      </c>
      <c r="C928" s="3">
        <v>1423323</v>
      </c>
      <c r="D928" s="1" t="s">
        <v>9</v>
      </c>
      <c r="E928" s="1">
        <v>-15.5</v>
      </c>
      <c r="F928" s="1" t="s">
        <v>15157</v>
      </c>
    </row>
    <row r="929" spans="1:6" ht="21" x14ac:dyDescent="0.25">
      <c r="A929" s="2" t="str">
        <f>HYPERLINK("https://rth.dk/resources/bsgatlas/details.php?id=BSGatlas-terminator-928","BSGatlas-terminator-928")</f>
        <v>BSGatlas-terminator-928</v>
      </c>
      <c r="B929" s="3">
        <v>1424483</v>
      </c>
      <c r="C929" s="3">
        <v>1424507</v>
      </c>
      <c r="D929" s="1" t="s">
        <v>13</v>
      </c>
      <c r="E929" s="1">
        <v>-17.600000000000001</v>
      </c>
      <c r="F929" s="1" t="s">
        <v>15161</v>
      </c>
    </row>
    <row r="930" spans="1:6" ht="21" x14ac:dyDescent="0.25">
      <c r="A930" s="2" t="str">
        <f>HYPERLINK("https://rth.dk/resources/bsgatlas/details.php?id=BSGatlas-terminator-929","BSGatlas-terminator-929")</f>
        <v>BSGatlas-terminator-929</v>
      </c>
      <c r="B930" s="3">
        <v>1424587</v>
      </c>
      <c r="C930" s="3">
        <v>1424636</v>
      </c>
      <c r="D930" s="1" t="s">
        <v>13</v>
      </c>
      <c r="E930" s="1">
        <v>-11.2</v>
      </c>
      <c r="F930" s="1" t="s">
        <v>4382</v>
      </c>
    </row>
    <row r="931" spans="1:6" ht="21" x14ac:dyDescent="0.25">
      <c r="A931" s="2" t="str">
        <f>HYPERLINK("https://rth.dk/resources/bsgatlas/details.php?id=BSGatlas-terminator-930","BSGatlas-terminator-930")</f>
        <v>BSGatlas-terminator-930</v>
      </c>
      <c r="B931" s="3">
        <v>1426953</v>
      </c>
      <c r="C931" s="3">
        <v>1426997</v>
      </c>
      <c r="D931" s="1" t="s">
        <v>9</v>
      </c>
      <c r="E931" s="1">
        <v>-10.7</v>
      </c>
      <c r="F931" s="1" t="s">
        <v>15157</v>
      </c>
    </row>
    <row r="932" spans="1:6" ht="21" x14ac:dyDescent="0.25">
      <c r="A932" s="2" t="str">
        <f>HYPERLINK("https://rth.dk/resources/bsgatlas/details.php?id=BSGatlas-terminator-931","BSGatlas-terminator-931")</f>
        <v>BSGatlas-terminator-931</v>
      </c>
      <c r="B932" s="3">
        <v>1429934</v>
      </c>
      <c r="C932" s="3">
        <v>1430000</v>
      </c>
      <c r="D932" s="1" t="s">
        <v>13</v>
      </c>
      <c r="E932" s="1"/>
      <c r="F932" s="1" t="s">
        <v>15159</v>
      </c>
    </row>
    <row r="933" spans="1:6" ht="21" x14ac:dyDescent="0.25">
      <c r="A933" s="2" t="str">
        <f>HYPERLINK("https://rth.dk/resources/bsgatlas/details.php?id=BSGatlas-terminator-932","BSGatlas-terminator-932")</f>
        <v>BSGatlas-terminator-932</v>
      </c>
      <c r="B933" s="3">
        <v>1430116</v>
      </c>
      <c r="C933" s="3">
        <v>1430166</v>
      </c>
      <c r="D933" s="1" t="s">
        <v>9</v>
      </c>
      <c r="E933" s="1">
        <v>-18.399999999999999</v>
      </c>
      <c r="F933" s="1" t="s">
        <v>15158</v>
      </c>
    </row>
    <row r="934" spans="1:6" ht="21" x14ac:dyDescent="0.25">
      <c r="A934" s="2" t="str">
        <f>HYPERLINK("https://rth.dk/resources/bsgatlas/details.php?id=BSGatlas-terminator-933","BSGatlas-terminator-933")</f>
        <v>BSGatlas-terminator-933</v>
      </c>
      <c r="B934" s="3">
        <v>1430197</v>
      </c>
      <c r="C934" s="3">
        <v>1430241</v>
      </c>
      <c r="D934" s="1" t="s">
        <v>13</v>
      </c>
      <c r="E934" s="1">
        <v>-11.3</v>
      </c>
      <c r="F934" s="1" t="s">
        <v>15157</v>
      </c>
    </row>
    <row r="935" spans="1:6" ht="21" x14ac:dyDescent="0.25">
      <c r="A935" s="2" t="str">
        <f>HYPERLINK("https://rth.dk/resources/bsgatlas/details.php?id=BSGatlas-terminator-934","BSGatlas-terminator-934")</f>
        <v>BSGatlas-terminator-934</v>
      </c>
      <c r="B935" s="3">
        <v>1430659</v>
      </c>
      <c r="C935" s="3">
        <v>1430703</v>
      </c>
      <c r="D935" s="1" t="s">
        <v>13</v>
      </c>
      <c r="E935" s="1">
        <v>-11.3</v>
      </c>
      <c r="F935" s="1" t="s">
        <v>15157</v>
      </c>
    </row>
    <row r="936" spans="1:6" ht="21" x14ac:dyDescent="0.25">
      <c r="A936" s="2" t="str">
        <f>HYPERLINK("https://rth.dk/resources/bsgatlas/details.php?id=BSGatlas-terminator-935","BSGatlas-terminator-935")</f>
        <v>BSGatlas-terminator-935</v>
      </c>
      <c r="B936" s="3">
        <v>1430913</v>
      </c>
      <c r="C936" s="3">
        <v>1430957</v>
      </c>
      <c r="D936" s="1" t="s">
        <v>9</v>
      </c>
      <c r="E936" s="1">
        <v>-5.9</v>
      </c>
      <c r="F936" s="1" t="s">
        <v>15157</v>
      </c>
    </row>
    <row r="937" spans="1:6" ht="21" x14ac:dyDescent="0.25">
      <c r="A937" s="2" t="str">
        <f>HYPERLINK("https://rth.dk/resources/bsgatlas/details.php?id=BSGatlas-terminator-936","BSGatlas-terminator-936")</f>
        <v>BSGatlas-terminator-936</v>
      </c>
      <c r="B937" s="3">
        <v>1430961</v>
      </c>
      <c r="C937" s="3">
        <v>1431003</v>
      </c>
      <c r="D937" s="1" t="s">
        <v>9</v>
      </c>
      <c r="E937" s="1">
        <v>-9.5</v>
      </c>
      <c r="F937" s="1" t="s">
        <v>4382</v>
      </c>
    </row>
    <row r="938" spans="1:6" ht="21" x14ac:dyDescent="0.25">
      <c r="A938" s="2" t="str">
        <f>HYPERLINK("https://rth.dk/resources/bsgatlas/details.php?id=BSGatlas-terminator-937","BSGatlas-terminator-937")</f>
        <v>BSGatlas-terminator-937</v>
      </c>
      <c r="B938" s="3">
        <v>1431476</v>
      </c>
      <c r="C938" s="3">
        <v>1431520</v>
      </c>
      <c r="D938" s="1" t="s">
        <v>13</v>
      </c>
      <c r="E938" s="1">
        <v>-11.3</v>
      </c>
      <c r="F938" s="1" t="s">
        <v>15157</v>
      </c>
    </row>
    <row r="939" spans="1:6" ht="21" x14ac:dyDescent="0.25">
      <c r="A939" s="2" t="str">
        <f>HYPERLINK("https://rth.dk/resources/bsgatlas/details.php?id=BSGatlas-terminator-938","BSGatlas-terminator-938")</f>
        <v>BSGatlas-terminator-938</v>
      </c>
      <c r="B939" s="3">
        <v>1433597</v>
      </c>
      <c r="C939" s="3">
        <v>1433641</v>
      </c>
      <c r="D939" s="1" t="s">
        <v>9</v>
      </c>
      <c r="E939" s="1">
        <v>-8.9</v>
      </c>
      <c r="F939" s="1" t="s">
        <v>15157</v>
      </c>
    </row>
    <row r="940" spans="1:6" ht="21" x14ac:dyDescent="0.25">
      <c r="A940" s="2" t="str">
        <f>HYPERLINK("https://rth.dk/resources/bsgatlas/details.php?id=BSGatlas-terminator-939","BSGatlas-terminator-939")</f>
        <v>BSGatlas-terminator-939</v>
      </c>
      <c r="B940" s="3">
        <v>1433627</v>
      </c>
      <c r="C940" s="3">
        <v>1433673</v>
      </c>
      <c r="D940" s="1" t="s">
        <v>13</v>
      </c>
      <c r="E940" s="1">
        <v>-15.6</v>
      </c>
      <c r="F940" s="1" t="s">
        <v>15158</v>
      </c>
    </row>
    <row r="941" spans="1:6" ht="21" x14ac:dyDescent="0.25">
      <c r="A941" s="2" t="str">
        <f>HYPERLINK("https://rth.dk/resources/bsgatlas/details.php?id=BSGatlas-terminator-940","BSGatlas-terminator-940")</f>
        <v>BSGatlas-terminator-940</v>
      </c>
      <c r="B941" s="3">
        <v>1434135</v>
      </c>
      <c r="C941" s="3">
        <v>1434179</v>
      </c>
      <c r="D941" s="1" t="s">
        <v>13</v>
      </c>
      <c r="E941" s="1">
        <v>-12.4</v>
      </c>
      <c r="F941" s="1" t="s">
        <v>15157</v>
      </c>
    </row>
    <row r="942" spans="1:6" ht="21" x14ac:dyDescent="0.25">
      <c r="A942" s="2" t="str">
        <f>HYPERLINK("https://rth.dk/resources/bsgatlas/details.php?id=BSGatlas-terminator-941","BSGatlas-terminator-941")</f>
        <v>BSGatlas-terminator-941</v>
      </c>
      <c r="B942" s="3">
        <v>1435393</v>
      </c>
      <c r="C942" s="3">
        <v>1435437</v>
      </c>
      <c r="D942" s="1" t="s">
        <v>13</v>
      </c>
      <c r="E942" s="1">
        <v>-15.4</v>
      </c>
      <c r="F942" s="1" t="s">
        <v>15162</v>
      </c>
    </row>
    <row r="943" spans="1:6" ht="21" x14ac:dyDescent="0.25">
      <c r="A943" s="2" t="str">
        <f>HYPERLINK("https://rth.dk/resources/bsgatlas/details.php?id=BSGatlas-terminator-942","BSGatlas-terminator-942")</f>
        <v>BSGatlas-terminator-942</v>
      </c>
      <c r="B943" s="3">
        <v>1435584</v>
      </c>
      <c r="C943" s="3">
        <v>1435626</v>
      </c>
      <c r="D943" s="1" t="s">
        <v>13</v>
      </c>
      <c r="E943" s="1">
        <v>-17.7</v>
      </c>
      <c r="F943" s="1" t="s">
        <v>4382</v>
      </c>
    </row>
    <row r="944" spans="1:6" ht="21" x14ac:dyDescent="0.25">
      <c r="A944" s="2" t="str">
        <f>HYPERLINK("https://rth.dk/resources/bsgatlas/details.php?id=BSGatlas-terminator-943","BSGatlas-terminator-943")</f>
        <v>BSGatlas-terminator-943</v>
      </c>
      <c r="B944" s="3">
        <v>1435628</v>
      </c>
      <c r="C944" s="3">
        <v>1435672</v>
      </c>
      <c r="D944" s="1" t="s">
        <v>13</v>
      </c>
      <c r="E944" s="1">
        <v>-13.6</v>
      </c>
      <c r="F944" s="1" t="s">
        <v>15157</v>
      </c>
    </row>
    <row r="945" spans="1:6" ht="21" x14ac:dyDescent="0.25">
      <c r="A945" s="2" t="str">
        <f>HYPERLINK("https://rth.dk/resources/bsgatlas/details.php?id=BSGatlas-terminator-944","BSGatlas-terminator-944")</f>
        <v>BSGatlas-terminator-944</v>
      </c>
      <c r="B945" s="3">
        <v>1439314</v>
      </c>
      <c r="C945" s="3">
        <v>1439354</v>
      </c>
      <c r="D945" s="1" t="s">
        <v>9</v>
      </c>
      <c r="E945" s="1">
        <v>-14.7</v>
      </c>
      <c r="F945" s="1" t="s">
        <v>15158</v>
      </c>
    </row>
    <row r="946" spans="1:6" ht="21" x14ac:dyDescent="0.25">
      <c r="A946" s="2" t="str">
        <f>HYPERLINK("https://rth.dk/resources/bsgatlas/details.php?id=BSGatlas-terminator-945","BSGatlas-terminator-945")</f>
        <v>BSGatlas-terminator-945</v>
      </c>
      <c r="B946" s="3">
        <v>1442001</v>
      </c>
      <c r="C946" s="3">
        <v>1442045</v>
      </c>
      <c r="D946" s="1" t="s">
        <v>9</v>
      </c>
      <c r="E946" s="1">
        <v>-7.8</v>
      </c>
      <c r="F946" s="1" t="s">
        <v>15162</v>
      </c>
    </row>
    <row r="947" spans="1:6" ht="21" x14ac:dyDescent="0.25">
      <c r="A947" s="2" t="str">
        <f>HYPERLINK("https://rth.dk/resources/bsgatlas/details.php?id=BSGatlas-terminator-946","BSGatlas-terminator-946")</f>
        <v>BSGatlas-terminator-946</v>
      </c>
      <c r="B947" s="3">
        <v>1442011</v>
      </c>
      <c r="C947" s="3">
        <v>1442055</v>
      </c>
      <c r="D947" s="1" t="s">
        <v>13</v>
      </c>
      <c r="E947" s="1">
        <v>-7.6</v>
      </c>
      <c r="F947" s="1" t="s">
        <v>15157</v>
      </c>
    </row>
    <row r="948" spans="1:6" ht="21" x14ac:dyDescent="0.25">
      <c r="A948" s="2" t="str">
        <f>HYPERLINK("https://rth.dk/resources/bsgatlas/details.php?id=BSGatlas-terminator-947","BSGatlas-terminator-947")</f>
        <v>BSGatlas-terminator-947</v>
      </c>
      <c r="B948" s="3">
        <v>1442121</v>
      </c>
      <c r="C948" s="3">
        <v>1442165</v>
      </c>
      <c r="D948" s="1" t="s">
        <v>13</v>
      </c>
      <c r="E948" s="1">
        <v>-7.6</v>
      </c>
      <c r="F948" s="1" t="s">
        <v>15162</v>
      </c>
    </row>
    <row r="949" spans="1:6" ht="21" x14ac:dyDescent="0.25">
      <c r="A949" s="2" t="str">
        <f>HYPERLINK("https://rth.dk/resources/bsgatlas/details.php?id=BSGatlas-terminator-948","BSGatlas-terminator-948")</f>
        <v>BSGatlas-terminator-948</v>
      </c>
      <c r="B949" s="3">
        <v>1443651</v>
      </c>
      <c r="C949" s="3">
        <v>1443695</v>
      </c>
      <c r="D949" s="1" t="s">
        <v>9</v>
      </c>
      <c r="E949" s="1">
        <v>-9.1</v>
      </c>
      <c r="F949" s="1" t="s">
        <v>15157</v>
      </c>
    </row>
    <row r="950" spans="1:6" ht="21" x14ac:dyDescent="0.25">
      <c r="A950" s="2" t="str">
        <f>HYPERLINK("https://rth.dk/resources/bsgatlas/details.php?id=BSGatlas-terminator-949","BSGatlas-terminator-949")</f>
        <v>BSGatlas-terminator-949</v>
      </c>
      <c r="B950" s="3">
        <v>1446995</v>
      </c>
      <c r="C950" s="3">
        <v>1447039</v>
      </c>
      <c r="D950" s="1" t="s">
        <v>9</v>
      </c>
      <c r="E950" s="1">
        <v>-9</v>
      </c>
      <c r="F950" s="1" t="s">
        <v>15157</v>
      </c>
    </row>
    <row r="951" spans="1:6" ht="21" x14ac:dyDescent="0.25">
      <c r="A951" s="2" t="str">
        <f>HYPERLINK("https://rth.dk/resources/bsgatlas/details.php?id=BSGatlas-terminator-950","BSGatlas-terminator-950")</f>
        <v>BSGatlas-terminator-950</v>
      </c>
      <c r="B951" s="3">
        <v>1447517</v>
      </c>
      <c r="C951" s="3">
        <v>1447562</v>
      </c>
      <c r="D951" s="1" t="s">
        <v>9</v>
      </c>
      <c r="E951" s="1">
        <v>-10.8</v>
      </c>
      <c r="F951" s="1" t="s">
        <v>4382</v>
      </c>
    </row>
    <row r="952" spans="1:6" ht="21" x14ac:dyDescent="0.25">
      <c r="A952" s="2" t="str">
        <f>HYPERLINK("https://rth.dk/resources/bsgatlas/details.php?id=BSGatlas-terminator-951","BSGatlas-terminator-951")</f>
        <v>BSGatlas-terminator-951</v>
      </c>
      <c r="B952" s="3">
        <v>1447599</v>
      </c>
      <c r="C952" s="3">
        <v>1447643</v>
      </c>
      <c r="D952" s="1" t="s">
        <v>13</v>
      </c>
      <c r="E952" s="1">
        <v>-9.9</v>
      </c>
      <c r="F952" s="1" t="s">
        <v>15162</v>
      </c>
    </row>
    <row r="953" spans="1:6" ht="21" x14ac:dyDescent="0.25">
      <c r="A953" s="2" t="str">
        <f>HYPERLINK("https://rth.dk/resources/bsgatlas/details.php?id=BSGatlas-terminator-952","BSGatlas-terminator-952")</f>
        <v>BSGatlas-terminator-952</v>
      </c>
      <c r="B953" s="3">
        <v>1448161</v>
      </c>
      <c r="C953" s="3">
        <v>1448205</v>
      </c>
      <c r="D953" s="1" t="s">
        <v>9</v>
      </c>
      <c r="E953" s="1">
        <v>-10.6</v>
      </c>
      <c r="F953" s="1" t="s">
        <v>15157</v>
      </c>
    </row>
    <row r="954" spans="1:6" ht="21" x14ac:dyDescent="0.25">
      <c r="A954" s="2" t="str">
        <f>HYPERLINK("https://rth.dk/resources/bsgatlas/details.php?id=BSGatlas-terminator-953","BSGatlas-terminator-953")</f>
        <v>BSGatlas-terminator-953</v>
      </c>
      <c r="B954" s="3">
        <v>1449041</v>
      </c>
      <c r="C954" s="3">
        <v>1449085</v>
      </c>
      <c r="D954" s="1" t="s">
        <v>9</v>
      </c>
      <c r="E954" s="1">
        <v>-11.9</v>
      </c>
      <c r="F954" s="1" t="s">
        <v>15157</v>
      </c>
    </row>
    <row r="955" spans="1:6" ht="21" x14ac:dyDescent="0.25">
      <c r="A955" s="2" t="str">
        <f>HYPERLINK("https://rth.dk/resources/bsgatlas/details.php?id=BSGatlas-terminator-954","BSGatlas-terminator-954")</f>
        <v>BSGatlas-terminator-954</v>
      </c>
      <c r="B955" s="3">
        <v>1449117</v>
      </c>
      <c r="C955" s="3">
        <v>1449178</v>
      </c>
      <c r="D955" s="1" t="s">
        <v>9</v>
      </c>
      <c r="E955" s="1">
        <v>-17.7</v>
      </c>
      <c r="F955" s="1" t="s">
        <v>4382</v>
      </c>
    </row>
    <row r="956" spans="1:6" ht="21" x14ac:dyDescent="0.25">
      <c r="A956" s="2" t="str">
        <f>HYPERLINK("https://rth.dk/resources/bsgatlas/details.php?id=BSGatlas-terminator-955","BSGatlas-terminator-955")</f>
        <v>BSGatlas-terminator-955</v>
      </c>
      <c r="B956" s="3">
        <v>1451130</v>
      </c>
      <c r="C956" s="3">
        <v>1451171</v>
      </c>
      <c r="D956" s="1" t="s">
        <v>9</v>
      </c>
      <c r="E956" s="1">
        <v>-14.3</v>
      </c>
      <c r="F956" s="1" t="s">
        <v>15158</v>
      </c>
    </row>
    <row r="957" spans="1:6" ht="21" x14ac:dyDescent="0.25">
      <c r="A957" s="2" t="str">
        <f>HYPERLINK("https://rth.dk/resources/bsgatlas/details.php?id=BSGatlas-terminator-956","BSGatlas-terminator-956")</f>
        <v>BSGatlas-terminator-956</v>
      </c>
      <c r="B957" s="3">
        <v>1453282</v>
      </c>
      <c r="C957" s="3">
        <v>1453326</v>
      </c>
      <c r="D957" s="1" t="s">
        <v>9</v>
      </c>
      <c r="E957" s="1">
        <v>-21.6</v>
      </c>
      <c r="F957" s="1" t="s">
        <v>15158</v>
      </c>
    </row>
    <row r="958" spans="1:6" ht="21" x14ac:dyDescent="0.25">
      <c r="A958" s="2" t="str">
        <f>HYPERLINK("https://rth.dk/resources/bsgatlas/details.php?id=BSGatlas-terminator-957","BSGatlas-terminator-957")</f>
        <v>BSGatlas-terminator-957</v>
      </c>
      <c r="B958" s="3">
        <v>1453319</v>
      </c>
      <c r="C958" s="3">
        <v>1453363</v>
      </c>
      <c r="D958" s="1" t="s">
        <v>13</v>
      </c>
      <c r="E958" s="1">
        <v>-18</v>
      </c>
      <c r="F958" s="1" t="s">
        <v>15157</v>
      </c>
    </row>
    <row r="959" spans="1:6" ht="21" x14ac:dyDescent="0.25">
      <c r="A959" s="2" t="str">
        <f>HYPERLINK("https://rth.dk/resources/bsgatlas/details.php?id=BSGatlas-terminator-958","BSGatlas-terminator-958")</f>
        <v>BSGatlas-terminator-958</v>
      </c>
      <c r="B959" s="3">
        <v>1454409</v>
      </c>
      <c r="C959" s="3">
        <v>1454453</v>
      </c>
      <c r="D959" s="1" t="s">
        <v>9</v>
      </c>
      <c r="E959" s="1">
        <v>-6.2</v>
      </c>
      <c r="F959" s="1" t="s">
        <v>15157</v>
      </c>
    </row>
    <row r="960" spans="1:6" ht="21" x14ac:dyDescent="0.25">
      <c r="A960" s="2" t="str">
        <f>HYPERLINK("https://rth.dk/resources/bsgatlas/details.php?id=BSGatlas-terminator-959","BSGatlas-terminator-959")</f>
        <v>BSGatlas-terminator-959</v>
      </c>
      <c r="B960" s="3">
        <v>1454739</v>
      </c>
      <c r="C960" s="3">
        <v>1454783</v>
      </c>
      <c r="D960" s="1" t="s">
        <v>9</v>
      </c>
      <c r="E960" s="1">
        <v>-6.2</v>
      </c>
      <c r="F960" s="1" t="s">
        <v>15157</v>
      </c>
    </row>
    <row r="961" spans="1:6" ht="21" x14ac:dyDescent="0.25">
      <c r="A961" s="2" t="str">
        <f>HYPERLINK("https://rth.dk/resources/bsgatlas/details.php?id=BSGatlas-terminator-960","BSGatlas-terminator-960")</f>
        <v>BSGatlas-terminator-960</v>
      </c>
      <c r="B961" s="3">
        <v>1456938</v>
      </c>
      <c r="C961" s="3">
        <v>1456982</v>
      </c>
      <c r="D961" s="1" t="s">
        <v>9</v>
      </c>
      <c r="E961" s="1">
        <v>-6.2</v>
      </c>
      <c r="F961" s="1" t="s">
        <v>15157</v>
      </c>
    </row>
    <row r="962" spans="1:6" ht="21" x14ac:dyDescent="0.25">
      <c r="A962" s="2" t="str">
        <f>HYPERLINK("https://rth.dk/resources/bsgatlas/details.php?id=BSGatlas-terminator-961","BSGatlas-terminator-961")</f>
        <v>BSGatlas-terminator-961</v>
      </c>
      <c r="B962" s="3">
        <v>1461368</v>
      </c>
      <c r="C962" s="3">
        <v>1461411</v>
      </c>
      <c r="D962" s="1" t="s">
        <v>9</v>
      </c>
      <c r="E962" s="1">
        <v>-17.899999999999999</v>
      </c>
      <c r="F962" s="1" t="s">
        <v>15158</v>
      </c>
    </row>
    <row r="963" spans="1:6" ht="21" x14ac:dyDescent="0.25">
      <c r="A963" s="2" t="str">
        <f>HYPERLINK("https://rth.dk/resources/bsgatlas/details.php?id=BSGatlas-terminator-962","BSGatlas-terminator-962")</f>
        <v>BSGatlas-terminator-962</v>
      </c>
      <c r="B963" s="3">
        <v>1461440</v>
      </c>
      <c r="C963" s="3">
        <v>1461506</v>
      </c>
      <c r="D963" s="1" t="s">
        <v>13</v>
      </c>
      <c r="E963" s="1"/>
      <c r="F963" s="1" t="s">
        <v>15159</v>
      </c>
    </row>
    <row r="964" spans="1:6" ht="21" x14ac:dyDescent="0.25">
      <c r="A964" s="2" t="str">
        <f>HYPERLINK("https://rth.dk/resources/bsgatlas/details.php?id=BSGatlas-terminator-963","BSGatlas-terminator-963")</f>
        <v>BSGatlas-terminator-963</v>
      </c>
      <c r="B964" s="3">
        <v>1462746</v>
      </c>
      <c r="C964" s="3">
        <v>1462790</v>
      </c>
      <c r="D964" s="1" t="s">
        <v>9</v>
      </c>
      <c r="E964" s="1">
        <v>-13.2</v>
      </c>
      <c r="F964" s="1" t="s">
        <v>15157</v>
      </c>
    </row>
    <row r="965" spans="1:6" ht="21" x14ac:dyDescent="0.25">
      <c r="A965" s="2" t="str">
        <f>HYPERLINK("https://rth.dk/resources/bsgatlas/details.php?id=BSGatlas-terminator-964","BSGatlas-terminator-964")</f>
        <v>BSGatlas-terminator-964</v>
      </c>
      <c r="B965" s="3">
        <v>1462795</v>
      </c>
      <c r="C965" s="3">
        <v>1462839</v>
      </c>
      <c r="D965" s="1" t="s">
        <v>9</v>
      </c>
      <c r="E965" s="1">
        <v>-16.899999999999999</v>
      </c>
      <c r="F965" s="1" t="s">
        <v>4382</v>
      </c>
    </row>
    <row r="966" spans="1:6" ht="21" x14ac:dyDescent="0.25">
      <c r="A966" s="2" t="str">
        <f>HYPERLINK("https://rth.dk/resources/bsgatlas/details.php?id=BSGatlas-terminator-965","BSGatlas-terminator-965")</f>
        <v>BSGatlas-terminator-965</v>
      </c>
      <c r="B966" s="3">
        <v>1465544</v>
      </c>
      <c r="C966" s="3">
        <v>1465588</v>
      </c>
      <c r="D966" s="1" t="s">
        <v>9</v>
      </c>
      <c r="E966" s="1">
        <v>-12.1</v>
      </c>
      <c r="F966" s="1" t="s">
        <v>15157</v>
      </c>
    </row>
    <row r="967" spans="1:6" ht="21" x14ac:dyDescent="0.25">
      <c r="A967" s="2" t="str">
        <f>HYPERLINK("https://rth.dk/resources/bsgatlas/details.php?id=BSGatlas-terminator-966","BSGatlas-terminator-966")</f>
        <v>BSGatlas-terminator-966</v>
      </c>
      <c r="B967" s="3">
        <v>1465606</v>
      </c>
      <c r="C967" s="3">
        <v>1465631</v>
      </c>
      <c r="D967" s="1" t="s">
        <v>9</v>
      </c>
      <c r="E967" s="1">
        <v>-18.399999999999999</v>
      </c>
      <c r="F967" s="1" t="s">
        <v>4547</v>
      </c>
    </row>
    <row r="968" spans="1:6" ht="21" x14ac:dyDescent="0.25">
      <c r="A968" s="2" t="str">
        <f>HYPERLINK("https://rth.dk/resources/bsgatlas/details.php?id=BSGatlas-terminator-967","BSGatlas-terminator-967")</f>
        <v>BSGatlas-terminator-967</v>
      </c>
      <c r="B968" s="3">
        <v>1465687</v>
      </c>
      <c r="C968" s="3">
        <v>1465731</v>
      </c>
      <c r="D968" s="1" t="s">
        <v>13</v>
      </c>
      <c r="E968" s="1">
        <v>-14.5</v>
      </c>
      <c r="F968" s="1" t="s">
        <v>15157</v>
      </c>
    </row>
    <row r="969" spans="1:6" ht="21" x14ac:dyDescent="0.25">
      <c r="A969" s="2" t="str">
        <f>HYPERLINK("https://rth.dk/resources/bsgatlas/details.php?id=BSGatlas-terminator-968","BSGatlas-terminator-968")</f>
        <v>BSGatlas-terminator-968</v>
      </c>
      <c r="B969" s="3">
        <v>1466557</v>
      </c>
      <c r="C969" s="3">
        <v>1466601</v>
      </c>
      <c r="D969" s="1" t="s">
        <v>9</v>
      </c>
      <c r="E969" s="1">
        <v>-14.5</v>
      </c>
      <c r="F969" s="1" t="s">
        <v>15157</v>
      </c>
    </row>
    <row r="970" spans="1:6" ht="21" x14ac:dyDescent="0.25">
      <c r="A970" s="2" t="str">
        <f>HYPERLINK("https://rth.dk/resources/bsgatlas/details.php?id=BSGatlas-terminator-969","BSGatlas-terminator-969")</f>
        <v>BSGatlas-terminator-969</v>
      </c>
      <c r="B970" s="3">
        <v>1466633</v>
      </c>
      <c r="C970" s="3">
        <v>1466677</v>
      </c>
      <c r="D970" s="1" t="s">
        <v>13</v>
      </c>
      <c r="E970" s="1">
        <v>-14.5</v>
      </c>
      <c r="F970" s="1" t="s">
        <v>15157</v>
      </c>
    </row>
    <row r="971" spans="1:6" ht="21" x14ac:dyDescent="0.25">
      <c r="A971" s="2" t="str">
        <f>HYPERLINK("https://rth.dk/resources/bsgatlas/details.php?id=BSGatlas-terminator-970","BSGatlas-terminator-970")</f>
        <v>BSGatlas-terminator-970</v>
      </c>
      <c r="B971" s="3">
        <v>1469821</v>
      </c>
      <c r="C971" s="3">
        <v>1469865</v>
      </c>
      <c r="D971" s="1" t="s">
        <v>9</v>
      </c>
      <c r="E971" s="1">
        <v>-12</v>
      </c>
      <c r="F971" s="1" t="s">
        <v>15157</v>
      </c>
    </row>
    <row r="972" spans="1:6" ht="21" x14ac:dyDescent="0.25">
      <c r="A972" s="2" t="str">
        <f>HYPERLINK("https://rth.dk/resources/bsgatlas/details.php?id=BSGatlas-terminator-971","BSGatlas-terminator-971")</f>
        <v>BSGatlas-terminator-971</v>
      </c>
      <c r="B972" s="3">
        <v>1471842</v>
      </c>
      <c r="C972" s="3">
        <v>1471884</v>
      </c>
      <c r="D972" s="1" t="s">
        <v>9</v>
      </c>
      <c r="E972" s="1">
        <v>-12.8</v>
      </c>
      <c r="F972" s="1" t="s">
        <v>4382</v>
      </c>
    </row>
    <row r="973" spans="1:6" ht="21" x14ac:dyDescent="0.25">
      <c r="A973" s="2" t="str">
        <f>HYPERLINK("https://rth.dk/resources/bsgatlas/details.php?id=BSGatlas-terminator-972","BSGatlas-terminator-972")</f>
        <v>BSGatlas-terminator-972</v>
      </c>
      <c r="B973" s="3">
        <v>1471869</v>
      </c>
      <c r="C973" s="3">
        <v>1471913</v>
      </c>
      <c r="D973" s="1" t="s">
        <v>13</v>
      </c>
      <c r="E973" s="1">
        <v>-4.7</v>
      </c>
      <c r="F973" s="1" t="s">
        <v>15157</v>
      </c>
    </row>
    <row r="974" spans="1:6" ht="21" x14ac:dyDescent="0.25">
      <c r="A974" s="2" t="str">
        <f>HYPERLINK("https://rth.dk/resources/bsgatlas/details.php?id=BSGatlas-terminator-973","BSGatlas-terminator-973")</f>
        <v>BSGatlas-terminator-973</v>
      </c>
      <c r="B974" s="3">
        <v>1473588</v>
      </c>
      <c r="C974" s="3">
        <v>1473632</v>
      </c>
      <c r="D974" s="1" t="s">
        <v>13</v>
      </c>
      <c r="E974" s="1">
        <v>-7.7</v>
      </c>
      <c r="F974" s="1" t="s">
        <v>15157</v>
      </c>
    </row>
    <row r="975" spans="1:6" ht="21" x14ac:dyDescent="0.25">
      <c r="A975" s="2" t="str">
        <f>HYPERLINK("https://rth.dk/resources/bsgatlas/details.php?id=BSGatlas-terminator-974","BSGatlas-terminator-974")</f>
        <v>BSGatlas-terminator-974</v>
      </c>
      <c r="B975" s="3">
        <v>1474509</v>
      </c>
      <c r="C975" s="3">
        <v>1474556</v>
      </c>
      <c r="D975" s="1" t="s">
        <v>13</v>
      </c>
      <c r="E975" s="1">
        <v>-18.5</v>
      </c>
      <c r="F975" s="1" t="s">
        <v>15158</v>
      </c>
    </row>
    <row r="976" spans="1:6" ht="21" x14ac:dyDescent="0.25">
      <c r="A976" s="2" t="str">
        <f>HYPERLINK("https://rth.dk/resources/bsgatlas/details.php?id=BSGatlas-terminator-975","BSGatlas-terminator-975")</f>
        <v>BSGatlas-terminator-975</v>
      </c>
      <c r="B976" s="3">
        <v>1474519</v>
      </c>
      <c r="C976" s="3">
        <v>1474566</v>
      </c>
      <c r="D976" s="1" t="s">
        <v>9</v>
      </c>
      <c r="E976" s="1">
        <v>-18.8</v>
      </c>
      <c r="F976" s="1" t="s">
        <v>15158</v>
      </c>
    </row>
    <row r="977" spans="1:6" ht="21" x14ac:dyDescent="0.25">
      <c r="A977" s="2" t="str">
        <f>HYPERLINK("https://rth.dk/resources/bsgatlas/details.php?id=BSGatlas-terminator-976","BSGatlas-terminator-976")</f>
        <v>BSGatlas-terminator-976</v>
      </c>
      <c r="B977" s="3">
        <v>1475150</v>
      </c>
      <c r="C977" s="3">
        <v>1475194</v>
      </c>
      <c r="D977" s="1" t="s">
        <v>13</v>
      </c>
      <c r="E977" s="1">
        <v>-14.2</v>
      </c>
      <c r="F977" s="1" t="s">
        <v>15157</v>
      </c>
    </row>
    <row r="978" spans="1:6" ht="21" x14ac:dyDescent="0.25">
      <c r="A978" s="2" t="str">
        <f>HYPERLINK("https://rth.dk/resources/bsgatlas/details.php?id=BSGatlas-terminator-977","BSGatlas-terminator-977")</f>
        <v>BSGatlas-terminator-977</v>
      </c>
      <c r="B978" s="3">
        <v>1476501</v>
      </c>
      <c r="C978" s="3">
        <v>1476534</v>
      </c>
      <c r="D978" s="1" t="s">
        <v>13</v>
      </c>
      <c r="E978" s="1">
        <v>-2.5</v>
      </c>
      <c r="F978" s="1" t="s">
        <v>4382</v>
      </c>
    </row>
    <row r="979" spans="1:6" ht="21" x14ac:dyDescent="0.25">
      <c r="A979" s="2" t="str">
        <f>HYPERLINK("https://rth.dk/resources/bsgatlas/details.php?id=BSGatlas-terminator-978","BSGatlas-terminator-978")</f>
        <v>BSGatlas-terminator-978</v>
      </c>
      <c r="B979" s="3">
        <v>1479012</v>
      </c>
      <c r="C979" s="3">
        <v>1479056</v>
      </c>
      <c r="D979" s="1" t="s">
        <v>13</v>
      </c>
      <c r="E979" s="1">
        <v>-4.8</v>
      </c>
      <c r="F979" s="1" t="s">
        <v>15157</v>
      </c>
    </row>
    <row r="980" spans="1:6" ht="21" x14ac:dyDescent="0.25">
      <c r="A980" s="2" t="str">
        <f>HYPERLINK("https://rth.dk/resources/bsgatlas/details.php?id=BSGatlas-terminator-979","BSGatlas-terminator-979")</f>
        <v>BSGatlas-terminator-979</v>
      </c>
      <c r="B980" s="3">
        <v>1481446</v>
      </c>
      <c r="C980" s="3">
        <v>1481506</v>
      </c>
      <c r="D980" s="1" t="s">
        <v>9</v>
      </c>
      <c r="E980" s="1">
        <v>-16.899999999999999</v>
      </c>
      <c r="F980" s="1" t="s">
        <v>15158</v>
      </c>
    </row>
    <row r="981" spans="1:6" ht="21" x14ac:dyDescent="0.25">
      <c r="A981" s="2" t="str">
        <f>HYPERLINK("https://rth.dk/resources/bsgatlas/details.php?id=BSGatlas-terminator-980","BSGatlas-terminator-980")</f>
        <v>BSGatlas-terminator-980</v>
      </c>
      <c r="B981" s="3">
        <v>1483428</v>
      </c>
      <c r="C981" s="3">
        <v>1483472</v>
      </c>
      <c r="D981" s="1" t="s">
        <v>9</v>
      </c>
      <c r="E981" s="1">
        <v>-7.5</v>
      </c>
      <c r="F981" s="1" t="s">
        <v>15157</v>
      </c>
    </row>
    <row r="982" spans="1:6" ht="21" x14ac:dyDescent="0.25">
      <c r="A982" s="2" t="str">
        <f>HYPERLINK("https://rth.dk/resources/bsgatlas/details.php?id=BSGatlas-terminator-981","BSGatlas-terminator-981")</f>
        <v>BSGatlas-terminator-981</v>
      </c>
      <c r="B982" s="3">
        <v>1483575</v>
      </c>
      <c r="C982" s="3">
        <v>1483619</v>
      </c>
      <c r="D982" s="1" t="s">
        <v>9</v>
      </c>
      <c r="E982" s="1">
        <v>-8.8000000000000007</v>
      </c>
      <c r="F982" s="1" t="s">
        <v>15157</v>
      </c>
    </row>
    <row r="983" spans="1:6" ht="21" x14ac:dyDescent="0.25">
      <c r="A983" s="2" t="str">
        <f>HYPERLINK("https://rth.dk/resources/bsgatlas/details.php?id=BSGatlas-terminator-982","BSGatlas-terminator-982")</f>
        <v>BSGatlas-terminator-982</v>
      </c>
      <c r="B983" s="3">
        <v>1485289</v>
      </c>
      <c r="C983" s="3">
        <v>1485333</v>
      </c>
      <c r="D983" s="1" t="s">
        <v>9</v>
      </c>
      <c r="E983" s="1">
        <v>-6.8</v>
      </c>
      <c r="F983" s="1" t="s">
        <v>15157</v>
      </c>
    </row>
    <row r="984" spans="1:6" ht="21" x14ac:dyDescent="0.25">
      <c r="A984" s="2" t="str">
        <f>HYPERLINK("https://rth.dk/resources/bsgatlas/details.php?id=BSGatlas-terminator-983","BSGatlas-terminator-983")</f>
        <v>BSGatlas-terminator-983</v>
      </c>
      <c r="B984" s="3">
        <v>1486923</v>
      </c>
      <c r="C984" s="3">
        <v>1486959</v>
      </c>
      <c r="D984" s="1" t="s">
        <v>9</v>
      </c>
      <c r="E984" s="1">
        <v>-11.2</v>
      </c>
      <c r="F984" s="1" t="s">
        <v>15158</v>
      </c>
    </row>
    <row r="985" spans="1:6" ht="21" x14ac:dyDescent="0.25">
      <c r="A985" s="2" t="str">
        <f>HYPERLINK("https://rth.dk/resources/bsgatlas/details.php?id=BSGatlas-terminator-984","BSGatlas-terminator-984")</f>
        <v>BSGatlas-terminator-984</v>
      </c>
      <c r="B985" s="3">
        <v>1488840</v>
      </c>
      <c r="C985" s="3">
        <v>1488884</v>
      </c>
      <c r="D985" s="1" t="s">
        <v>9</v>
      </c>
      <c r="E985" s="1">
        <v>-9</v>
      </c>
      <c r="F985" s="1" t="s">
        <v>15157</v>
      </c>
    </row>
    <row r="986" spans="1:6" ht="21" x14ac:dyDescent="0.25">
      <c r="A986" s="2" t="str">
        <f>HYPERLINK("https://rth.dk/resources/bsgatlas/details.php?id=BSGatlas-terminator-985","BSGatlas-terminator-985")</f>
        <v>BSGatlas-terminator-985</v>
      </c>
      <c r="B986" s="3">
        <v>1488960</v>
      </c>
      <c r="C986" s="3">
        <v>1489004</v>
      </c>
      <c r="D986" s="1" t="s">
        <v>13</v>
      </c>
      <c r="E986" s="1">
        <v>-15</v>
      </c>
      <c r="F986" s="1" t="s">
        <v>15157</v>
      </c>
    </row>
    <row r="987" spans="1:6" ht="21" x14ac:dyDescent="0.25">
      <c r="A987" s="2" t="str">
        <f>HYPERLINK("https://rth.dk/resources/bsgatlas/details.php?id=BSGatlas-terminator-986","BSGatlas-terminator-986")</f>
        <v>BSGatlas-terminator-986</v>
      </c>
      <c r="B987" s="3">
        <v>1491150</v>
      </c>
      <c r="C987" s="3">
        <v>1491194</v>
      </c>
      <c r="D987" s="1" t="s">
        <v>9</v>
      </c>
      <c r="E987" s="1">
        <v>-9.9</v>
      </c>
      <c r="F987" s="1" t="s">
        <v>15157</v>
      </c>
    </row>
    <row r="988" spans="1:6" ht="21" x14ac:dyDescent="0.25">
      <c r="A988" s="2" t="str">
        <f>HYPERLINK("https://rth.dk/resources/bsgatlas/details.php?id=BSGatlas-terminator-987","BSGatlas-terminator-987")</f>
        <v>BSGatlas-terminator-987</v>
      </c>
      <c r="B988" s="3">
        <v>1491211</v>
      </c>
      <c r="C988" s="3">
        <v>1491255</v>
      </c>
      <c r="D988" s="1" t="s">
        <v>13</v>
      </c>
      <c r="E988" s="1">
        <v>-9.9</v>
      </c>
      <c r="F988" s="1" t="s">
        <v>15157</v>
      </c>
    </row>
    <row r="989" spans="1:6" ht="21" x14ac:dyDescent="0.25">
      <c r="A989" s="2" t="str">
        <f>HYPERLINK("https://rth.dk/resources/bsgatlas/details.php?id=BSGatlas-terminator-988","BSGatlas-terminator-988")</f>
        <v>BSGatlas-terminator-988</v>
      </c>
      <c r="B989" s="3">
        <v>1493307</v>
      </c>
      <c r="C989" s="3">
        <v>1493351</v>
      </c>
      <c r="D989" s="1" t="s">
        <v>9</v>
      </c>
      <c r="E989" s="1">
        <v>-5.4</v>
      </c>
      <c r="F989" s="1" t="s">
        <v>15157</v>
      </c>
    </row>
    <row r="990" spans="1:6" ht="21" x14ac:dyDescent="0.25">
      <c r="A990" s="2" t="str">
        <f>HYPERLINK("https://rth.dk/resources/bsgatlas/details.php?id=BSGatlas-terminator-989","BSGatlas-terminator-989")</f>
        <v>BSGatlas-terminator-989</v>
      </c>
      <c r="B990" s="3">
        <v>1494318</v>
      </c>
      <c r="C990" s="3">
        <v>1494362</v>
      </c>
      <c r="D990" s="1" t="s">
        <v>9</v>
      </c>
      <c r="E990" s="1">
        <v>-9</v>
      </c>
      <c r="F990" s="1" t="s">
        <v>15157</v>
      </c>
    </row>
    <row r="991" spans="1:6" ht="21" x14ac:dyDescent="0.25">
      <c r="A991" s="2" t="str">
        <f>HYPERLINK("https://rth.dk/resources/bsgatlas/details.php?id=BSGatlas-terminator-990","BSGatlas-terminator-990")</f>
        <v>BSGatlas-terminator-990</v>
      </c>
      <c r="B991" s="3">
        <v>1494361</v>
      </c>
      <c r="C991" s="3">
        <v>1494402</v>
      </c>
      <c r="D991" s="1" t="s">
        <v>13</v>
      </c>
      <c r="E991" s="1">
        <v>-13</v>
      </c>
      <c r="F991" s="1" t="s">
        <v>15158</v>
      </c>
    </row>
    <row r="992" spans="1:6" ht="21" x14ac:dyDescent="0.25">
      <c r="A992" s="2" t="str">
        <f>HYPERLINK("https://rth.dk/resources/bsgatlas/details.php?id=BSGatlas-terminator-991","BSGatlas-terminator-991")</f>
        <v>BSGatlas-terminator-991</v>
      </c>
      <c r="B992" s="3">
        <v>1494371</v>
      </c>
      <c r="C992" s="3">
        <v>1494412</v>
      </c>
      <c r="D992" s="1" t="s">
        <v>9</v>
      </c>
      <c r="E992" s="1">
        <v>-13</v>
      </c>
      <c r="F992" s="1" t="s">
        <v>4382</v>
      </c>
    </row>
    <row r="993" spans="1:6" ht="21" x14ac:dyDescent="0.25">
      <c r="A993" s="2" t="str">
        <f>HYPERLINK("https://rth.dk/resources/bsgatlas/details.php?id=BSGatlas-terminator-992","BSGatlas-terminator-992")</f>
        <v>BSGatlas-terminator-992</v>
      </c>
      <c r="B993" s="3">
        <v>1499622</v>
      </c>
      <c r="C993" s="3">
        <v>1499666</v>
      </c>
      <c r="D993" s="1" t="s">
        <v>9</v>
      </c>
      <c r="E993" s="1">
        <v>-16.899999999999999</v>
      </c>
      <c r="F993" s="1" t="s">
        <v>15157</v>
      </c>
    </row>
    <row r="994" spans="1:6" ht="21" x14ac:dyDescent="0.25">
      <c r="A994" s="2" t="str">
        <f>HYPERLINK("https://rth.dk/resources/bsgatlas/details.php?id=BSGatlas-terminator-993","BSGatlas-terminator-993")</f>
        <v>BSGatlas-terminator-993</v>
      </c>
      <c r="B994" s="3">
        <v>1507294</v>
      </c>
      <c r="C994" s="3">
        <v>1507334</v>
      </c>
      <c r="D994" s="1" t="s">
        <v>9</v>
      </c>
      <c r="E994" s="1">
        <v>-15.5</v>
      </c>
      <c r="F994" s="1" t="s">
        <v>15158</v>
      </c>
    </row>
    <row r="995" spans="1:6" ht="21" x14ac:dyDescent="0.25">
      <c r="A995" s="2" t="str">
        <f>HYPERLINK("https://rth.dk/resources/bsgatlas/details.php?id=BSGatlas-terminator-994","BSGatlas-terminator-994")</f>
        <v>BSGatlas-terminator-994</v>
      </c>
      <c r="B995" s="3">
        <v>1511167</v>
      </c>
      <c r="C995" s="3">
        <v>1511209</v>
      </c>
      <c r="D995" s="1" t="s">
        <v>9</v>
      </c>
      <c r="E995" s="1">
        <v>-14.8</v>
      </c>
      <c r="F995" s="1" t="s">
        <v>15158</v>
      </c>
    </row>
    <row r="996" spans="1:6" ht="21" x14ac:dyDescent="0.25">
      <c r="A996" s="2" t="str">
        <f>HYPERLINK("https://rth.dk/resources/bsgatlas/details.php?id=BSGatlas-terminator-995","BSGatlas-terminator-995")</f>
        <v>BSGatlas-terminator-995</v>
      </c>
      <c r="B996" s="3">
        <v>1511888</v>
      </c>
      <c r="C996" s="3">
        <v>1511934</v>
      </c>
      <c r="D996" s="1" t="s">
        <v>9</v>
      </c>
      <c r="E996" s="1">
        <v>-15.7</v>
      </c>
      <c r="F996" s="1" t="s">
        <v>15158</v>
      </c>
    </row>
    <row r="997" spans="1:6" ht="21" x14ac:dyDescent="0.25">
      <c r="A997" s="2" t="str">
        <f>HYPERLINK("https://rth.dk/resources/bsgatlas/details.php?id=BSGatlas-terminator-996","BSGatlas-terminator-996")</f>
        <v>BSGatlas-terminator-996</v>
      </c>
      <c r="B997" s="3">
        <v>1511906</v>
      </c>
      <c r="C997" s="3">
        <v>1511950</v>
      </c>
      <c r="D997" s="1" t="s">
        <v>13</v>
      </c>
      <c r="E997" s="1">
        <v>-9.8000000000000007</v>
      </c>
      <c r="F997" s="1" t="s">
        <v>15157</v>
      </c>
    </row>
    <row r="998" spans="1:6" ht="21" x14ac:dyDescent="0.25">
      <c r="A998" s="2" t="str">
        <f>HYPERLINK("https://rth.dk/resources/bsgatlas/details.php?id=BSGatlas-terminator-997","BSGatlas-terminator-997")</f>
        <v>BSGatlas-terminator-997</v>
      </c>
      <c r="B998" s="3">
        <v>1513961</v>
      </c>
      <c r="C998" s="3">
        <v>1514005</v>
      </c>
      <c r="D998" s="1" t="s">
        <v>9</v>
      </c>
      <c r="E998" s="1">
        <v>-7.6</v>
      </c>
      <c r="F998" s="1" t="s">
        <v>15157</v>
      </c>
    </row>
    <row r="999" spans="1:6" ht="21" x14ac:dyDescent="0.25">
      <c r="A999" s="2" t="str">
        <f>HYPERLINK("https://rth.dk/resources/bsgatlas/details.php?id=BSGatlas-terminator-998","BSGatlas-terminator-998")</f>
        <v>BSGatlas-terminator-998</v>
      </c>
      <c r="B999" s="3">
        <v>1514946</v>
      </c>
      <c r="C999" s="3">
        <v>1514990</v>
      </c>
      <c r="D999" s="1" t="s">
        <v>9</v>
      </c>
      <c r="E999" s="1">
        <v>-9.6</v>
      </c>
      <c r="F999" s="1" t="s">
        <v>15157</v>
      </c>
    </row>
    <row r="1000" spans="1:6" ht="21" x14ac:dyDescent="0.25">
      <c r="A1000" s="2" t="str">
        <f>HYPERLINK("https://rth.dk/resources/bsgatlas/details.php?id=BSGatlas-terminator-999","BSGatlas-terminator-999")</f>
        <v>BSGatlas-terminator-999</v>
      </c>
      <c r="B1000" s="3">
        <v>1514986</v>
      </c>
      <c r="C1000" s="3">
        <v>1515030</v>
      </c>
      <c r="D1000" s="1" t="s">
        <v>13</v>
      </c>
      <c r="E1000" s="1">
        <v>-9.6</v>
      </c>
      <c r="F1000" s="1" t="s">
        <v>15157</v>
      </c>
    </row>
    <row r="1001" spans="1:6" ht="21" x14ac:dyDescent="0.25">
      <c r="A1001" s="2" t="str">
        <f>HYPERLINK("https://rth.dk/resources/bsgatlas/details.php?id=BSGatlas-terminator-1000","BSGatlas-terminator-1000")</f>
        <v>BSGatlas-terminator-1000</v>
      </c>
      <c r="B1001" s="3">
        <v>1516328</v>
      </c>
      <c r="C1001" s="3">
        <v>1516372</v>
      </c>
      <c r="D1001" s="1" t="s">
        <v>13</v>
      </c>
      <c r="E1001" s="1">
        <v>-9.1</v>
      </c>
      <c r="F1001" s="1" t="s">
        <v>15157</v>
      </c>
    </row>
    <row r="1002" spans="1:6" ht="21" x14ac:dyDescent="0.25">
      <c r="A1002" s="2" t="str">
        <f>HYPERLINK("https://rth.dk/resources/bsgatlas/details.php?id=BSGatlas-terminator-1001","BSGatlas-terminator-1001")</f>
        <v>BSGatlas-terminator-1001</v>
      </c>
      <c r="B1002" s="3">
        <v>1518154</v>
      </c>
      <c r="C1002" s="3">
        <v>1518196</v>
      </c>
      <c r="D1002" s="1" t="s">
        <v>9</v>
      </c>
      <c r="E1002" s="1">
        <v>-15.2</v>
      </c>
      <c r="F1002" s="1" t="s">
        <v>15158</v>
      </c>
    </row>
    <row r="1003" spans="1:6" ht="21" x14ac:dyDescent="0.25">
      <c r="A1003" s="2" t="str">
        <f>HYPERLINK("https://rth.dk/resources/bsgatlas/details.php?id=BSGatlas-terminator-1002","BSGatlas-terminator-1002")</f>
        <v>BSGatlas-terminator-1002</v>
      </c>
      <c r="B1003" s="3">
        <v>1518176</v>
      </c>
      <c r="C1003" s="3">
        <v>1518220</v>
      </c>
      <c r="D1003" s="1" t="s">
        <v>13</v>
      </c>
      <c r="E1003" s="1">
        <v>-11</v>
      </c>
      <c r="F1003" s="1" t="s">
        <v>15157</v>
      </c>
    </row>
    <row r="1004" spans="1:6" ht="21" x14ac:dyDescent="0.25">
      <c r="A1004" s="2" t="str">
        <f>HYPERLINK("https://rth.dk/resources/bsgatlas/details.php?id=BSGatlas-terminator-1003","BSGatlas-terminator-1003")</f>
        <v>BSGatlas-terminator-1003</v>
      </c>
      <c r="B1004" s="3">
        <v>1521158</v>
      </c>
      <c r="C1004" s="3">
        <v>1521202</v>
      </c>
      <c r="D1004" s="1" t="s">
        <v>9</v>
      </c>
      <c r="E1004" s="1">
        <v>-8.1999999999999993</v>
      </c>
      <c r="F1004" s="1" t="s">
        <v>15157</v>
      </c>
    </row>
    <row r="1005" spans="1:6" ht="21" x14ac:dyDescent="0.25">
      <c r="A1005" s="2" t="str">
        <f>HYPERLINK("https://rth.dk/resources/bsgatlas/details.php?id=BSGatlas-terminator-1004","BSGatlas-terminator-1004")</f>
        <v>BSGatlas-terminator-1004</v>
      </c>
      <c r="B1005" s="3">
        <v>1522446</v>
      </c>
      <c r="C1005" s="3">
        <v>1522512</v>
      </c>
      <c r="D1005" s="1" t="s">
        <v>13</v>
      </c>
      <c r="E1005" s="1"/>
      <c r="F1005" s="1" t="s">
        <v>15159</v>
      </c>
    </row>
    <row r="1006" spans="1:6" ht="21" x14ac:dyDescent="0.25">
      <c r="A1006" s="2" t="str">
        <f>HYPERLINK("https://rth.dk/resources/bsgatlas/details.php?id=BSGatlas-terminator-1005","BSGatlas-terminator-1005")</f>
        <v>BSGatlas-terminator-1005</v>
      </c>
      <c r="B1006" s="3">
        <v>1523051</v>
      </c>
      <c r="C1006" s="3">
        <v>1523095</v>
      </c>
      <c r="D1006" s="1" t="s">
        <v>9</v>
      </c>
      <c r="E1006" s="1">
        <v>-19.5</v>
      </c>
      <c r="F1006" s="1" t="s">
        <v>15157</v>
      </c>
    </row>
    <row r="1007" spans="1:6" ht="21" x14ac:dyDescent="0.25">
      <c r="A1007" s="2" t="str">
        <f>HYPERLINK("https://rth.dk/resources/bsgatlas/details.php?id=BSGatlas-terminator-1006","BSGatlas-terminator-1006")</f>
        <v>BSGatlas-terminator-1006</v>
      </c>
      <c r="B1007" s="3">
        <v>1523106</v>
      </c>
      <c r="C1007" s="3">
        <v>1523150</v>
      </c>
      <c r="D1007" s="1" t="s">
        <v>13</v>
      </c>
      <c r="E1007" s="1">
        <v>-19.5</v>
      </c>
      <c r="F1007" s="1" t="s">
        <v>15157</v>
      </c>
    </row>
    <row r="1008" spans="1:6" ht="21" x14ac:dyDescent="0.25">
      <c r="A1008" s="2" t="str">
        <f>HYPERLINK("https://rth.dk/resources/bsgatlas/details.php?id=BSGatlas-terminator-1007","BSGatlas-terminator-1007")</f>
        <v>BSGatlas-terminator-1007</v>
      </c>
      <c r="B1008" s="3">
        <v>1526108</v>
      </c>
      <c r="C1008" s="3">
        <v>1526152</v>
      </c>
      <c r="D1008" s="1" t="s">
        <v>9</v>
      </c>
      <c r="E1008" s="1">
        <v>-15.4</v>
      </c>
      <c r="F1008" s="1" t="s">
        <v>15157</v>
      </c>
    </row>
    <row r="1009" spans="1:6" ht="21" x14ac:dyDescent="0.25">
      <c r="A1009" s="2" t="str">
        <f>HYPERLINK("https://rth.dk/resources/bsgatlas/details.php?id=BSGatlas-terminator-1008","BSGatlas-terminator-1008")</f>
        <v>BSGatlas-terminator-1008</v>
      </c>
      <c r="B1009" s="3">
        <v>1526184</v>
      </c>
      <c r="C1009" s="3">
        <v>1526228</v>
      </c>
      <c r="D1009" s="1" t="s">
        <v>13</v>
      </c>
      <c r="E1009" s="1">
        <v>-15.4</v>
      </c>
      <c r="F1009" s="1" t="s">
        <v>15157</v>
      </c>
    </row>
    <row r="1010" spans="1:6" ht="21" x14ac:dyDescent="0.25">
      <c r="A1010" s="2" t="str">
        <f>HYPERLINK("https://rth.dk/resources/bsgatlas/details.php?id=BSGatlas-terminator-1009","BSGatlas-terminator-1009")</f>
        <v>BSGatlas-terminator-1009</v>
      </c>
      <c r="B1010" s="3">
        <v>1526812</v>
      </c>
      <c r="C1010" s="3">
        <v>1526856</v>
      </c>
      <c r="D1010" s="1" t="s">
        <v>9</v>
      </c>
      <c r="E1010" s="1">
        <v>-17.100000000000001</v>
      </c>
      <c r="F1010" s="1" t="s">
        <v>15157</v>
      </c>
    </row>
    <row r="1011" spans="1:6" ht="21" x14ac:dyDescent="0.25">
      <c r="A1011" s="2" t="str">
        <f>HYPERLINK("https://rth.dk/resources/bsgatlas/details.php?id=BSGatlas-terminator-1010","BSGatlas-terminator-1010")</f>
        <v>BSGatlas-terminator-1010</v>
      </c>
      <c r="B1011" s="3">
        <v>1526836</v>
      </c>
      <c r="C1011" s="3">
        <v>1526880</v>
      </c>
      <c r="D1011" s="1" t="s">
        <v>13</v>
      </c>
      <c r="E1011" s="1">
        <v>-15.3</v>
      </c>
      <c r="F1011" s="1" t="s">
        <v>15157</v>
      </c>
    </row>
    <row r="1012" spans="1:6" ht="21" x14ac:dyDescent="0.25">
      <c r="A1012" s="2" t="str">
        <f>HYPERLINK("https://rth.dk/resources/bsgatlas/details.php?id=BSGatlas-terminator-1011","BSGatlas-terminator-1011")</f>
        <v>BSGatlas-terminator-1011</v>
      </c>
      <c r="B1012" s="3">
        <v>1527827</v>
      </c>
      <c r="C1012" s="3">
        <v>1527871</v>
      </c>
      <c r="D1012" s="1" t="s">
        <v>9</v>
      </c>
      <c r="E1012" s="1">
        <v>-9.9</v>
      </c>
      <c r="F1012" s="1" t="s">
        <v>15157</v>
      </c>
    </row>
    <row r="1013" spans="1:6" ht="21" x14ac:dyDescent="0.25">
      <c r="A1013" s="2" t="str">
        <f>HYPERLINK("https://rth.dk/resources/bsgatlas/details.php?id=BSGatlas-terminator-1012","BSGatlas-terminator-1012")</f>
        <v>BSGatlas-terminator-1012</v>
      </c>
      <c r="B1013" s="3">
        <v>1533293</v>
      </c>
      <c r="C1013" s="3">
        <v>1533336</v>
      </c>
      <c r="D1013" s="1" t="s">
        <v>9</v>
      </c>
      <c r="E1013" s="1">
        <v>-18.5</v>
      </c>
      <c r="F1013" s="1" t="s">
        <v>15158</v>
      </c>
    </row>
    <row r="1014" spans="1:6" ht="21" x14ac:dyDescent="0.25">
      <c r="A1014" s="2" t="str">
        <f>HYPERLINK("https://rth.dk/resources/bsgatlas/details.php?id=BSGatlas-terminator-1013","BSGatlas-terminator-1013")</f>
        <v>BSGatlas-terminator-1013</v>
      </c>
      <c r="B1014" s="3">
        <v>1533353</v>
      </c>
      <c r="C1014" s="3">
        <v>1533397</v>
      </c>
      <c r="D1014" s="1" t="s">
        <v>13</v>
      </c>
      <c r="E1014" s="1">
        <v>-12.1</v>
      </c>
      <c r="F1014" s="1" t="s">
        <v>15157</v>
      </c>
    </row>
    <row r="1015" spans="1:6" ht="21" x14ac:dyDescent="0.25">
      <c r="A1015" s="2" t="str">
        <f>HYPERLINK("https://rth.dk/resources/bsgatlas/details.php?id=BSGatlas-terminator-1014","BSGatlas-terminator-1014")</f>
        <v>BSGatlas-terminator-1014</v>
      </c>
      <c r="B1015" s="3">
        <v>1533950</v>
      </c>
      <c r="C1015" s="3">
        <v>1533994</v>
      </c>
      <c r="D1015" s="1" t="s">
        <v>13</v>
      </c>
      <c r="E1015" s="1">
        <v>-16.8</v>
      </c>
      <c r="F1015" s="1" t="s">
        <v>15157</v>
      </c>
    </row>
    <row r="1016" spans="1:6" ht="21" x14ac:dyDescent="0.25">
      <c r="A1016" s="2" t="str">
        <f>HYPERLINK("https://rth.dk/resources/bsgatlas/details.php?id=BSGatlas-terminator-1015","BSGatlas-terminator-1015")</f>
        <v>BSGatlas-terminator-1015</v>
      </c>
      <c r="B1016" s="3">
        <v>1534104</v>
      </c>
      <c r="C1016" s="3">
        <v>1534148</v>
      </c>
      <c r="D1016" s="1" t="s">
        <v>13</v>
      </c>
      <c r="E1016" s="1">
        <v>-16.8</v>
      </c>
      <c r="F1016" s="1" t="s">
        <v>15157</v>
      </c>
    </row>
    <row r="1017" spans="1:6" ht="21" x14ac:dyDescent="0.25">
      <c r="A1017" s="2" t="str">
        <f>HYPERLINK("https://rth.dk/resources/bsgatlas/details.php?id=BSGatlas-terminator-1016","BSGatlas-terminator-1016")</f>
        <v>BSGatlas-terminator-1016</v>
      </c>
      <c r="B1017" s="3">
        <v>1534204</v>
      </c>
      <c r="C1017" s="3">
        <v>1534248</v>
      </c>
      <c r="D1017" s="1" t="s">
        <v>9</v>
      </c>
      <c r="E1017" s="1">
        <v>-16.8</v>
      </c>
      <c r="F1017" s="1" t="s">
        <v>15157</v>
      </c>
    </row>
    <row r="1018" spans="1:6" ht="21" x14ac:dyDescent="0.25">
      <c r="A1018" s="2" t="str">
        <f>HYPERLINK("https://rth.dk/resources/bsgatlas/details.php?id=BSGatlas-terminator-1017","BSGatlas-terminator-1017")</f>
        <v>BSGatlas-terminator-1017</v>
      </c>
      <c r="B1018" s="3">
        <v>1534275</v>
      </c>
      <c r="C1018" s="3">
        <v>1534319</v>
      </c>
      <c r="D1018" s="1" t="s">
        <v>13</v>
      </c>
      <c r="E1018" s="1">
        <v>-16.8</v>
      </c>
      <c r="F1018" s="1" t="s">
        <v>15157</v>
      </c>
    </row>
    <row r="1019" spans="1:6" ht="21" x14ac:dyDescent="0.25">
      <c r="A1019" s="2" t="str">
        <f>HYPERLINK("https://rth.dk/resources/bsgatlas/details.php?id=BSGatlas-terminator-1018","BSGatlas-terminator-1018")</f>
        <v>BSGatlas-terminator-1018</v>
      </c>
      <c r="B1019" s="3">
        <v>1536162</v>
      </c>
      <c r="C1019" s="3">
        <v>1536206</v>
      </c>
      <c r="D1019" s="1" t="s">
        <v>9</v>
      </c>
      <c r="E1019" s="1">
        <v>-16.100000000000001</v>
      </c>
      <c r="F1019" s="1" t="s">
        <v>15157</v>
      </c>
    </row>
    <row r="1020" spans="1:6" ht="21" x14ac:dyDescent="0.25">
      <c r="A1020" s="2" t="str">
        <f>HYPERLINK("https://rth.dk/resources/bsgatlas/details.php?id=BSGatlas-terminator-1019","BSGatlas-terminator-1019")</f>
        <v>BSGatlas-terminator-1019</v>
      </c>
      <c r="B1020" s="3">
        <v>1536238</v>
      </c>
      <c r="C1020" s="3">
        <v>1536282</v>
      </c>
      <c r="D1020" s="1" t="s">
        <v>13</v>
      </c>
      <c r="E1020" s="1">
        <v>-14.5</v>
      </c>
      <c r="F1020" s="1" t="s">
        <v>15157</v>
      </c>
    </row>
    <row r="1021" spans="1:6" ht="21" x14ac:dyDescent="0.25">
      <c r="A1021" s="2" t="str">
        <f>HYPERLINK("https://rth.dk/resources/bsgatlas/details.php?id=BSGatlas-terminator-1020","BSGatlas-terminator-1020")</f>
        <v>BSGatlas-terminator-1020</v>
      </c>
      <c r="B1021" s="3">
        <v>1537096</v>
      </c>
      <c r="C1021" s="3">
        <v>1537140</v>
      </c>
      <c r="D1021" s="1" t="s">
        <v>13</v>
      </c>
      <c r="E1021" s="1">
        <v>-14.5</v>
      </c>
      <c r="F1021" s="1" t="s">
        <v>15157</v>
      </c>
    </row>
    <row r="1022" spans="1:6" ht="21" x14ac:dyDescent="0.25">
      <c r="A1022" s="2" t="str">
        <f>HYPERLINK("https://rth.dk/resources/bsgatlas/details.php?id=BSGatlas-terminator-1021","BSGatlas-terminator-1021")</f>
        <v>BSGatlas-terminator-1021</v>
      </c>
      <c r="B1022" s="3">
        <v>1537272</v>
      </c>
      <c r="C1022" s="3">
        <v>1537316</v>
      </c>
      <c r="D1022" s="1" t="s">
        <v>9</v>
      </c>
      <c r="E1022" s="1">
        <v>-8.1</v>
      </c>
      <c r="F1022" s="1" t="s">
        <v>15157</v>
      </c>
    </row>
    <row r="1023" spans="1:6" ht="21" x14ac:dyDescent="0.25">
      <c r="A1023" s="2" t="str">
        <f>HYPERLINK("https://rth.dk/resources/bsgatlas/details.php?id=BSGatlas-terminator-1022","BSGatlas-terminator-1022")</f>
        <v>BSGatlas-terminator-1022</v>
      </c>
      <c r="B1023" s="3">
        <v>1538627</v>
      </c>
      <c r="C1023" s="3">
        <v>1538671</v>
      </c>
      <c r="D1023" s="1" t="s">
        <v>9</v>
      </c>
      <c r="E1023" s="1">
        <v>-11.8</v>
      </c>
      <c r="F1023" s="1" t="s">
        <v>15157</v>
      </c>
    </row>
    <row r="1024" spans="1:6" ht="21" x14ac:dyDescent="0.25">
      <c r="A1024" s="2" t="str">
        <f>HYPERLINK("https://rth.dk/resources/bsgatlas/details.php?id=BSGatlas-terminator-1023","BSGatlas-terminator-1023")</f>
        <v>BSGatlas-terminator-1023</v>
      </c>
      <c r="B1024" s="3">
        <v>1538746</v>
      </c>
      <c r="C1024" s="3">
        <v>1538790</v>
      </c>
      <c r="D1024" s="1" t="s">
        <v>13</v>
      </c>
      <c r="E1024" s="1">
        <v>-12.8</v>
      </c>
      <c r="F1024" s="1" t="s">
        <v>15157</v>
      </c>
    </row>
    <row r="1025" spans="1:6" ht="21" x14ac:dyDescent="0.25">
      <c r="A1025" s="2" t="str">
        <f>HYPERLINK("https://rth.dk/resources/bsgatlas/details.php?id=BSGatlas-terminator-1024","BSGatlas-terminator-1024")</f>
        <v>BSGatlas-terminator-1024</v>
      </c>
      <c r="B1025" s="3">
        <v>1539613</v>
      </c>
      <c r="C1025" s="3">
        <v>1539679</v>
      </c>
      <c r="D1025" s="1" t="s">
        <v>9</v>
      </c>
      <c r="E1025" s="1"/>
      <c r="F1025" s="1" t="s">
        <v>15159</v>
      </c>
    </row>
    <row r="1026" spans="1:6" ht="21" x14ac:dyDescent="0.25">
      <c r="A1026" s="2" t="str">
        <f>HYPERLINK("https://rth.dk/resources/bsgatlas/details.php?id=BSGatlas-terminator-1025","BSGatlas-terminator-1025")</f>
        <v>BSGatlas-terminator-1025</v>
      </c>
      <c r="B1026" s="3">
        <v>1539992</v>
      </c>
      <c r="C1026" s="3">
        <v>1540029</v>
      </c>
      <c r="D1026" s="1" t="s">
        <v>13</v>
      </c>
      <c r="E1026" s="1">
        <v>-12.9</v>
      </c>
      <c r="F1026" s="1" t="s">
        <v>4382</v>
      </c>
    </row>
    <row r="1027" spans="1:6" ht="21" x14ac:dyDescent="0.25">
      <c r="A1027" s="2" t="str">
        <f>HYPERLINK("https://rth.dk/resources/bsgatlas/details.php?id=BSGatlas-terminator-1026","BSGatlas-terminator-1026")</f>
        <v>BSGatlas-terminator-1026</v>
      </c>
      <c r="B1027" s="3">
        <v>1544882</v>
      </c>
      <c r="C1027" s="3">
        <v>1544941</v>
      </c>
      <c r="D1027" s="1" t="s">
        <v>9</v>
      </c>
      <c r="E1027" s="1">
        <v>-17.8</v>
      </c>
      <c r="F1027" s="1" t="s">
        <v>4382</v>
      </c>
    </row>
    <row r="1028" spans="1:6" ht="21" x14ac:dyDescent="0.25">
      <c r="A1028" s="2" t="str">
        <f>HYPERLINK("https://rth.dk/resources/bsgatlas/details.php?id=BSGatlas-terminator-1027","BSGatlas-terminator-1027")</f>
        <v>BSGatlas-terminator-1027</v>
      </c>
      <c r="B1028" s="3">
        <v>1544928</v>
      </c>
      <c r="C1028" s="3">
        <v>1544972</v>
      </c>
      <c r="D1028" s="1" t="s">
        <v>13</v>
      </c>
      <c r="E1028" s="1">
        <v>-11.7</v>
      </c>
      <c r="F1028" s="1" t="s">
        <v>15157</v>
      </c>
    </row>
    <row r="1029" spans="1:6" ht="21" x14ac:dyDescent="0.25">
      <c r="A1029" s="2" t="str">
        <f>HYPERLINK("https://rth.dk/resources/bsgatlas/details.php?id=BSGatlas-terminator-1028","BSGatlas-terminator-1028")</f>
        <v>BSGatlas-terminator-1028</v>
      </c>
      <c r="B1029" s="3">
        <v>1545781</v>
      </c>
      <c r="C1029" s="3">
        <v>1545825</v>
      </c>
      <c r="D1029" s="1" t="s">
        <v>13</v>
      </c>
      <c r="E1029" s="1">
        <v>-8.3000000000000007</v>
      </c>
      <c r="F1029" s="1" t="s">
        <v>15157</v>
      </c>
    </row>
    <row r="1030" spans="1:6" ht="21" x14ac:dyDescent="0.25">
      <c r="A1030" s="2" t="str">
        <f>HYPERLINK("https://rth.dk/resources/bsgatlas/details.php?id=BSGatlas-terminator-1029","BSGatlas-terminator-1029")</f>
        <v>BSGatlas-terminator-1029</v>
      </c>
      <c r="B1030" s="3">
        <v>1545852</v>
      </c>
      <c r="C1030" s="3">
        <v>1545896</v>
      </c>
      <c r="D1030" s="1" t="s">
        <v>13</v>
      </c>
      <c r="E1030" s="1">
        <v>-8.3000000000000007</v>
      </c>
      <c r="F1030" s="1" t="s">
        <v>15157</v>
      </c>
    </row>
    <row r="1031" spans="1:6" ht="21" x14ac:dyDescent="0.25">
      <c r="A1031" s="2" t="str">
        <f>HYPERLINK("https://rth.dk/resources/bsgatlas/details.php?id=BSGatlas-terminator-1030","BSGatlas-terminator-1030")</f>
        <v>BSGatlas-terminator-1030</v>
      </c>
      <c r="B1031" s="3">
        <v>1548285</v>
      </c>
      <c r="C1031" s="3">
        <v>1548329</v>
      </c>
      <c r="D1031" s="1" t="s">
        <v>9</v>
      </c>
      <c r="E1031" s="1">
        <v>-12.5</v>
      </c>
      <c r="F1031" s="1" t="s">
        <v>15157</v>
      </c>
    </row>
    <row r="1032" spans="1:6" ht="21" x14ac:dyDescent="0.25">
      <c r="A1032" s="2" t="str">
        <f>HYPERLINK("https://rth.dk/resources/bsgatlas/details.php?id=BSGatlas-terminator-1031","BSGatlas-terminator-1031")</f>
        <v>BSGatlas-terminator-1031</v>
      </c>
      <c r="B1032" s="3">
        <v>1548360</v>
      </c>
      <c r="C1032" s="3">
        <v>1548404</v>
      </c>
      <c r="D1032" s="1" t="s">
        <v>13</v>
      </c>
      <c r="E1032" s="1">
        <v>-12.5</v>
      </c>
      <c r="F1032" s="1" t="s">
        <v>15157</v>
      </c>
    </row>
    <row r="1033" spans="1:6" ht="21" x14ac:dyDescent="0.25">
      <c r="A1033" s="2" t="str">
        <f>HYPERLINK("https://rth.dk/resources/bsgatlas/details.php?id=BSGatlas-terminator-1032","BSGatlas-terminator-1032")</f>
        <v>BSGatlas-terminator-1032</v>
      </c>
      <c r="B1033" s="3">
        <v>1548645</v>
      </c>
      <c r="C1033" s="3">
        <v>1548692</v>
      </c>
      <c r="D1033" s="1" t="s">
        <v>13</v>
      </c>
      <c r="E1033" s="1">
        <v>-9.4</v>
      </c>
      <c r="F1033" s="1" t="s">
        <v>15158</v>
      </c>
    </row>
    <row r="1034" spans="1:6" ht="21" x14ac:dyDescent="0.25">
      <c r="A1034" s="2" t="str">
        <f>HYPERLINK("https://rth.dk/resources/bsgatlas/details.php?id=BSGatlas-terminator-1033","BSGatlas-terminator-1033")</f>
        <v>BSGatlas-terminator-1033</v>
      </c>
      <c r="B1034" s="3">
        <v>1550670</v>
      </c>
      <c r="C1034" s="3">
        <v>1550714</v>
      </c>
      <c r="D1034" s="1" t="s">
        <v>13</v>
      </c>
      <c r="E1034" s="1">
        <v>-7.2</v>
      </c>
      <c r="F1034" s="1" t="s">
        <v>15162</v>
      </c>
    </row>
    <row r="1035" spans="1:6" ht="21" x14ac:dyDescent="0.25">
      <c r="A1035" s="2" t="str">
        <f>HYPERLINK("https://rth.dk/resources/bsgatlas/details.php?id=BSGatlas-terminator-1034","BSGatlas-terminator-1034")</f>
        <v>BSGatlas-terminator-1034</v>
      </c>
      <c r="B1035" s="3">
        <v>1552660</v>
      </c>
      <c r="C1035" s="3">
        <v>1552704</v>
      </c>
      <c r="D1035" s="1" t="s">
        <v>9</v>
      </c>
      <c r="E1035" s="1">
        <v>-6.9</v>
      </c>
      <c r="F1035" s="1" t="s">
        <v>15157</v>
      </c>
    </row>
    <row r="1036" spans="1:6" ht="21" x14ac:dyDescent="0.25">
      <c r="A1036" s="2" t="str">
        <f>HYPERLINK("https://rth.dk/resources/bsgatlas/details.php?id=BSGatlas-terminator-1035","BSGatlas-terminator-1035")</f>
        <v>BSGatlas-terminator-1035</v>
      </c>
      <c r="B1036" s="3">
        <v>1557620</v>
      </c>
      <c r="C1036" s="3">
        <v>1557682</v>
      </c>
      <c r="D1036" s="1" t="s">
        <v>9</v>
      </c>
      <c r="E1036" s="1">
        <v>-19.5</v>
      </c>
      <c r="F1036" s="1" t="s">
        <v>15158</v>
      </c>
    </row>
    <row r="1037" spans="1:6" ht="21" x14ac:dyDescent="0.25">
      <c r="A1037" s="2" t="str">
        <f>HYPERLINK("https://rth.dk/resources/bsgatlas/details.php?id=BSGatlas-terminator-1036","BSGatlas-terminator-1036")</f>
        <v>BSGatlas-terminator-1036</v>
      </c>
      <c r="B1037" s="3">
        <v>1557666</v>
      </c>
      <c r="C1037" s="3">
        <v>1557710</v>
      </c>
      <c r="D1037" s="1" t="s">
        <v>13</v>
      </c>
      <c r="E1037" s="1">
        <v>-11.8</v>
      </c>
      <c r="F1037" s="1" t="s">
        <v>15157</v>
      </c>
    </row>
    <row r="1038" spans="1:6" ht="21" x14ac:dyDescent="0.25">
      <c r="A1038" s="2" t="str">
        <f>HYPERLINK("https://rth.dk/resources/bsgatlas/details.php?id=BSGatlas-terminator-1037","BSGatlas-terminator-1037")</f>
        <v>BSGatlas-terminator-1037</v>
      </c>
      <c r="B1038" s="3">
        <v>1557985</v>
      </c>
      <c r="C1038" s="3">
        <v>1558038</v>
      </c>
      <c r="D1038" s="1" t="s">
        <v>13</v>
      </c>
      <c r="E1038" s="1">
        <v>-19.2</v>
      </c>
      <c r="F1038" s="1" t="s">
        <v>15158</v>
      </c>
    </row>
    <row r="1039" spans="1:6" ht="21" x14ac:dyDescent="0.25">
      <c r="A1039" s="2" t="str">
        <f>HYPERLINK("https://rth.dk/resources/bsgatlas/details.php?id=BSGatlas-terminator-1038","BSGatlas-terminator-1038")</f>
        <v>BSGatlas-terminator-1038</v>
      </c>
      <c r="B1039" s="3">
        <v>1560233</v>
      </c>
      <c r="C1039" s="3">
        <v>1560277</v>
      </c>
      <c r="D1039" s="1" t="s">
        <v>9</v>
      </c>
      <c r="E1039" s="1">
        <v>-11.8</v>
      </c>
      <c r="F1039" s="1" t="s">
        <v>15157</v>
      </c>
    </row>
    <row r="1040" spans="1:6" ht="21" x14ac:dyDescent="0.25">
      <c r="A1040" s="2" t="str">
        <f>HYPERLINK("https://rth.dk/resources/bsgatlas/details.php?id=BSGatlas-terminator-1039","BSGatlas-terminator-1039")</f>
        <v>BSGatlas-terminator-1039</v>
      </c>
      <c r="B1040" s="3">
        <v>1560288</v>
      </c>
      <c r="C1040" s="3">
        <v>1560325</v>
      </c>
      <c r="D1040" s="1" t="s">
        <v>9</v>
      </c>
      <c r="E1040" s="1">
        <v>-5</v>
      </c>
      <c r="F1040" s="1" t="s">
        <v>4382</v>
      </c>
    </row>
    <row r="1041" spans="1:6" ht="21" x14ac:dyDescent="0.25">
      <c r="A1041" s="2" t="str">
        <f>HYPERLINK("https://rth.dk/resources/bsgatlas/details.php?id=BSGatlas-terminator-1040","BSGatlas-terminator-1040")</f>
        <v>BSGatlas-terminator-1040</v>
      </c>
      <c r="B1041" s="3">
        <v>1565304</v>
      </c>
      <c r="C1041" s="3">
        <v>1565355</v>
      </c>
      <c r="D1041" s="1" t="s">
        <v>9</v>
      </c>
      <c r="E1041" s="1">
        <v>-15.5</v>
      </c>
      <c r="F1041" s="1" t="s">
        <v>15158</v>
      </c>
    </row>
    <row r="1042" spans="1:6" ht="21" x14ac:dyDescent="0.25">
      <c r="A1042" s="2" t="str">
        <f>HYPERLINK("https://rth.dk/resources/bsgatlas/details.php?id=BSGatlas-terminator-1041","BSGatlas-terminator-1041")</f>
        <v>BSGatlas-terminator-1041</v>
      </c>
      <c r="B1042" s="3">
        <v>1565344</v>
      </c>
      <c r="C1042" s="3">
        <v>1565388</v>
      </c>
      <c r="D1042" s="1" t="s">
        <v>13</v>
      </c>
      <c r="E1042" s="1">
        <v>-11.2</v>
      </c>
      <c r="F1042" s="1" t="s">
        <v>15157</v>
      </c>
    </row>
    <row r="1043" spans="1:6" ht="21" x14ac:dyDescent="0.25">
      <c r="A1043" s="2" t="str">
        <f>HYPERLINK("https://rth.dk/resources/bsgatlas/details.php?id=BSGatlas-terminator-1042","BSGatlas-terminator-1042")</f>
        <v>BSGatlas-terminator-1042</v>
      </c>
      <c r="B1043" s="3">
        <v>1567415</v>
      </c>
      <c r="C1043" s="3">
        <v>1567462</v>
      </c>
      <c r="D1043" s="1" t="s">
        <v>9</v>
      </c>
      <c r="E1043" s="1">
        <v>-11.4</v>
      </c>
      <c r="F1043" s="1" t="s">
        <v>15158</v>
      </c>
    </row>
    <row r="1044" spans="1:6" ht="21" x14ac:dyDescent="0.25">
      <c r="A1044" s="2" t="str">
        <f>HYPERLINK("https://rth.dk/resources/bsgatlas/details.php?id=BSGatlas-terminator-1043","BSGatlas-terminator-1043")</f>
        <v>BSGatlas-terminator-1043</v>
      </c>
      <c r="B1044" s="3">
        <v>1567633</v>
      </c>
      <c r="C1044" s="3">
        <v>1567677</v>
      </c>
      <c r="D1044" s="1" t="s">
        <v>13</v>
      </c>
      <c r="E1044" s="1">
        <v>-14.3</v>
      </c>
      <c r="F1044" s="1" t="s">
        <v>15157</v>
      </c>
    </row>
    <row r="1045" spans="1:6" ht="21" x14ac:dyDescent="0.25">
      <c r="A1045" s="2" t="str">
        <f>HYPERLINK("https://rth.dk/resources/bsgatlas/details.php?id=BSGatlas-terminator-1044","BSGatlas-terminator-1044")</f>
        <v>BSGatlas-terminator-1044</v>
      </c>
      <c r="B1045" s="3">
        <v>1568289</v>
      </c>
      <c r="C1045" s="3">
        <v>1568338</v>
      </c>
      <c r="D1045" s="1" t="s">
        <v>9</v>
      </c>
      <c r="E1045" s="1">
        <v>-7.1</v>
      </c>
      <c r="F1045" s="1" t="s">
        <v>15158</v>
      </c>
    </row>
    <row r="1046" spans="1:6" ht="21" x14ac:dyDescent="0.25">
      <c r="A1046" s="2" t="str">
        <f>HYPERLINK("https://rth.dk/resources/bsgatlas/details.php?id=BSGatlas-terminator-1045","BSGatlas-terminator-1045")</f>
        <v>BSGatlas-terminator-1045</v>
      </c>
      <c r="B1046" s="3">
        <v>1568833</v>
      </c>
      <c r="C1046" s="3">
        <v>1568877</v>
      </c>
      <c r="D1046" s="1" t="s">
        <v>9</v>
      </c>
      <c r="E1046" s="1">
        <v>-11.5</v>
      </c>
      <c r="F1046" s="1" t="s">
        <v>15157</v>
      </c>
    </row>
    <row r="1047" spans="1:6" ht="21" x14ac:dyDescent="0.25">
      <c r="A1047" s="2" t="str">
        <f>HYPERLINK("https://rth.dk/resources/bsgatlas/details.php?id=BSGatlas-terminator-1046","BSGatlas-terminator-1046")</f>
        <v>BSGatlas-terminator-1046</v>
      </c>
      <c r="B1047" s="3">
        <v>1568968</v>
      </c>
      <c r="C1047" s="3">
        <v>1569034</v>
      </c>
      <c r="D1047" s="1" t="s">
        <v>13</v>
      </c>
      <c r="E1047" s="1"/>
      <c r="F1047" s="1" t="s">
        <v>15159</v>
      </c>
    </row>
    <row r="1048" spans="1:6" ht="21" x14ac:dyDescent="0.25">
      <c r="A1048" s="2" t="str">
        <f>HYPERLINK("https://rth.dk/resources/bsgatlas/details.php?id=BSGatlas-terminator-1047","BSGatlas-terminator-1047")</f>
        <v>BSGatlas-terminator-1047</v>
      </c>
      <c r="B1048" s="3">
        <v>1569247</v>
      </c>
      <c r="C1048" s="3">
        <v>1569291</v>
      </c>
      <c r="D1048" s="1" t="s">
        <v>13</v>
      </c>
      <c r="E1048" s="1">
        <v>-14.3</v>
      </c>
      <c r="F1048" s="1" t="s">
        <v>15157</v>
      </c>
    </row>
    <row r="1049" spans="1:6" ht="21" x14ac:dyDescent="0.25">
      <c r="A1049" s="2" t="str">
        <f>HYPERLINK("https://rth.dk/resources/bsgatlas/details.php?id=BSGatlas-terminator-1048","BSGatlas-terminator-1048")</f>
        <v>BSGatlas-terminator-1048</v>
      </c>
      <c r="B1049" s="3">
        <v>1570508</v>
      </c>
      <c r="C1049" s="3">
        <v>1570552</v>
      </c>
      <c r="D1049" s="1" t="s">
        <v>9</v>
      </c>
      <c r="E1049" s="1">
        <v>-7.8</v>
      </c>
      <c r="F1049" s="1" t="s">
        <v>15157</v>
      </c>
    </row>
    <row r="1050" spans="1:6" ht="21" x14ac:dyDescent="0.25">
      <c r="A1050" s="2" t="str">
        <f>HYPERLINK("https://rth.dk/resources/bsgatlas/details.php?id=BSGatlas-terminator-1049","BSGatlas-terminator-1049")</f>
        <v>BSGatlas-terminator-1049</v>
      </c>
      <c r="B1050" s="3">
        <v>1570543</v>
      </c>
      <c r="C1050" s="3">
        <v>1570599</v>
      </c>
      <c r="D1050" s="1" t="s">
        <v>13</v>
      </c>
      <c r="E1050" s="1">
        <v>-10.199999999999999</v>
      </c>
      <c r="F1050" s="1" t="s">
        <v>4382</v>
      </c>
    </row>
    <row r="1051" spans="1:6" ht="21" x14ac:dyDescent="0.25">
      <c r="A1051" s="2" t="str">
        <f>HYPERLINK("https://rth.dk/resources/bsgatlas/details.php?id=BSGatlas-terminator-1050","BSGatlas-terminator-1050")</f>
        <v>BSGatlas-terminator-1050</v>
      </c>
      <c r="B1051" s="3">
        <v>1573652</v>
      </c>
      <c r="C1051" s="3">
        <v>1573696</v>
      </c>
      <c r="D1051" s="1" t="s">
        <v>9</v>
      </c>
      <c r="E1051" s="1">
        <v>-11.5</v>
      </c>
      <c r="F1051" s="1" t="s">
        <v>15157</v>
      </c>
    </row>
    <row r="1052" spans="1:6" ht="21" x14ac:dyDescent="0.25">
      <c r="A1052" s="2" t="str">
        <f>HYPERLINK("https://rth.dk/resources/bsgatlas/details.php?id=BSGatlas-terminator-1051","BSGatlas-terminator-1051")</f>
        <v>BSGatlas-terminator-1051</v>
      </c>
      <c r="B1052" s="3">
        <v>1573812</v>
      </c>
      <c r="C1052" s="3">
        <v>1573856</v>
      </c>
      <c r="D1052" s="1" t="s">
        <v>13</v>
      </c>
      <c r="E1052" s="1">
        <v>-11.5</v>
      </c>
      <c r="F1052" s="1" t="s">
        <v>15157</v>
      </c>
    </row>
    <row r="1053" spans="1:6" ht="21" x14ac:dyDescent="0.25">
      <c r="A1053" s="2" t="str">
        <f>HYPERLINK("https://rth.dk/resources/bsgatlas/details.php?id=BSGatlas-terminator-1052","BSGatlas-terminator-1052")</f>
        <v>BSGatlas-terminator-1052</v>
      </c>
      <c r="B1053" s="3">
        <v>1575941</v>
      </c>
      <c r="C1053" s="3">
        <v>1575985</v>
      </c>
      <c r="D1053" s="1" t="s">
        <v>9</v>
      </c>
      <c r="E1053" s="1">
        <v>-17.100000000000001</v>
      </c>
      <c r="F1053" s="1" t="s">
        <v>15157</v>
      </c>
    </row>
    <row r="1054" spans="1:6" ht="21" x14ac:dyDescent="0.25">
      <c r="A1054" s="2" t="str">
        <f>HYPERLINK("https://rth.dk/resources/bsgatlas/details.php?id=BSGatlas-terminator-1053","BSGatlas-terminator-1053")</f>
        <v>BSGatlas-terminator-1053</v>
      </c>
      <c r="B1054" s="3">
        <v>1576712</v>
      </c>
      <c r="C1054" s="3">
        <v>1576772</v>
      </c>
      <c r="D1054" s="1" t="s">
        <v>9</v>
      </c>
      <c r="E1054" s="1">
        <v>-17.600000000000001</v>
      </c>
      <c r="F1054" s="1" t="s">
        <v>15158</v>
      </c>
    </row>
    <row r="1055" spans="1:6" ht="21" x14ac:dyDescent="0.25">
      <c r="A1055" s="2" t="str">
        <f>HYPERLINK("https://rth.dk/resources/bsgatlas/details.php?id=BSGatlas-terminator-1054","BSGatlas-terminator-1054")</f>
        <v>BSGatlas-terminator-1054</v>
      </c>
      <c r="B1055" s="3">
        <v>1576764</v>
      </c>
      <c r="C1055" s="3">
        <v>1576808</v>
      </c>
      <c r="D1055" s="1" t="s">
        <v>13</v>
      </c>
      <c r="E1055" s="1">
        <v>-14.5</v>
      </c>
      <c r="F1055" s="1" t="s">
        <v>15157</v>
      </c>
    </row>
    <row r="1056" spans="1:6" ht="21" x14ac:dyDescent="0.25">
      <c r="A1056" s="2" t="str">
        <f>HYPERLINK("https://rth.dk/resources/bsgatlas/details.php?id=BSGatlas-terminator-1055","BSGatlas-terminator-1055")</f>
        <v>BSGatlas-terminator-1055</v>
      </c>
      <c r="B1056" s="3">
        <v>1577217</v>
      </c>
      <c r="C1056" s="3">
        <v>1577261</v>
      </c>
      <c r="D1056" s="1" t="s">
        <v>9</v>
      </c>
      <c r="E1056" s="1">
        <v>-12.8</v>
      </c>
      <c r="F1056" s="1" t="s">
        <v>15157</v>
      </c>
    </row>
    <row r="1057" spans="1:6" ht="21" x14ac:dyDescent="0.25">
      <c r="A1057" s="2" t="str">
        <f>HYPERLINK("https://rth.dk/resources/bsgatlas/details.php?id=BSGatlas-terminator-1056","BSGatlas-terminator-1056")</f>
        <v>BSGatlas-terminator-1056</v>
      </c>
      <c r="B1057" s="3">
        <v>1579945</v>
      </c>
      <c r="C1057" s="3">
        <v>1579989</v>
      </c>
      <c r="D1057" s="1" t="s">
        <v>9</v>
      </c>
      <c r="E1057" s="1">
        <v>-8.3000000000000007</v>
      </c>
      <c r="F1057" s="1" t="s">
        <v>15157</v>
      </c>
    </row>
    <row r="1058" spans="1:6" ht="21" x14ac:dyDescent="0.25">
      <c r="A1058" s="2" t="str">
        <f>HYPERLINK("https://rth.dk/resources/bsgatlas/details.php?id=BSGatlas-terminator-1057","BSGatlas-terminator-1057")</f>
        <v>BSGatlas-terminator-1057</v>
      </c>
      <c r="B1058" s="3">
        <v>1580013</v>
      </c>
      <c r="C1058" s="3">
        <v>1580030</v>
      </c>
      <c r="D1058" s="1" t="s">
        <v>9</v>
      </c>
      <c r="E1058" s="1">
        <v>-10.4</v>
      </c>
      <c r="F1058" s="1" t="s">
        <v>4547</v>
      </c>
    </row>
    <row r="1059" spans="1:6" ht="21" x14ac:dyDescent="0.25">
      <c r="A1059" s="2" t="str">
        <f>HYPERLINK("https://rth.dk/resources/bsgatlas/details.php?id=BSGatlas-terminator-1058","BSGatlas-terminator-1058")</f>
        <v>BSGatlas-terminator-1058</v>
      </c>
      <c r="B1059" s="3">
        <v>1580082</v>
      </c>
      <c r="C1059" s="3">
        <v>1580126</v>
      </c>
      <c r="D1059" s="1" t="s">
        <v>13</v>
      </c>
      <c r="E1059" s="1">
        <v>-12</v>
      </c>
      <c r="F1059" s="1" t="s">
        <v>15157</v>
      </c>
    </row>
    <row r="1060" spans="1:6" ht="21" x14ac:dyDescent="0.25">
      <c r="A1060" s="2" t="str">
        <f>HYPERLINK("https://rth.dk/resources/bsgatlas/details.php?id=BSGatlas-terminator-1059","BSGatlas-terminator-1059")</f>
        <v>BSGatlas-terminator-1059</v>
      </c>
      <c r="B1060" s="3">
        <v>1584091</v>
      </c>
      <c r="C1060" s="3">
        <v>1584140</v>
      </c>
      <c r="D1060" s="1" t="s">
        <v>9</v>
      </c>
      <c r="E1060" s="1">
        <v>-12.2</v>
      </c>
      <c r="F1060" s="1" t="s">
        <v>15158</v>
      </c>
    </row>
    <row r="1061" spans="1:6" ht="21" x14ac:dyDescent="0.25">
      <c r="A1061" s="2" t="str">
        <f>HYPERLINK("https://rth.dk/resources/bsgatlas/details.php?id=BSGatlas-terminator-1060","BSGatlas-terminator-1060")</f>
        <v>BSGatlas-terminator-1060</v>
      </c>
      <c r="B1061" s="3">
        <v>1586136</v>
      </c>
      <c r="C1061" s="3">
        <v>1586182</v>
      </c>
      <c r="D1061" s="1" t="s">
        <v>9</v>
      </c>
      <c r="E1061" s="1">
        <v>-19.3</v>
      </c>
      <c r="F1061" s="1" t="s">
        <v>15158</v>
      </c>
    </row>
    <row r="1062" spans="1:6" ht="21" x14ac:dyDescent="0.25">
      <c r="A1062" s="2" t="str">
        <f>HYPERLINK("https://rth.dk/resources/bsgatlas/details.php?id=BSGatlas-terminator-1061","BSGatlas-terminator-1061")</f>
        <v>BSGatlas-terminator-1061</v>
      </c>
      <c r="B1062" s="3">
        <v>1591456</v>
      </c>
      <c r="C1062" s="3">
        <v>1591516</v>
      </c>
      <c r="D1062" s="1" t="s">
        <v>9</v>
      </c>
      <c r="E1062" s="1">
        <v>-20</v>
      </c>
      <c r="F1062" s="1" t="s">
        <v>4382</v>
      </c>
    </row>
    <row r="1063" spans="1:6" ht="21" x14ac:dyDescent="0.25">
      <c r="A1063" s="2" t="str">
        <f>HYPERLINK("https://rth.dk/resources/bsgatlas/details.php?id=BSGatlas-terminator-1062","BSGatlas-terminator-1062")</f>
        <v>BSGatlas-terminator-1062</v>
      </c>
      <c r="B1063" s="3">
        <v>1593570</v>
      </c>
      <c r="C1063" s="3">
        <v>1593614</v>
      </c>
      <c r="D1063" s="1" t="s">
        <v>9</v>
      </c>
      <c r="E1063" s="1">
        <v>-7.4</v>
      </c>
      <c r="F1063" s="1" t="s">
        <v>15157</v>
      </c>
    </row>
    <row r="1064" spans="1:6" ht="21" x14ac:dyDescent="0.25">
      <c r="A1064" s="2" t="str">
        <f>HYPERLINK("https://rth.dk/resources/bsgatlas/details.php?id=BSGatlas-terminator-1063","BSGatlas-terminator-1063")</f>
        <v>BSGatlas-terminator-1063</v>
      </c>
      <c r="B1064" s="3">
        <v>1598932</v>
      </c>
      <c r="C1064" s="3">
        <v>1598976</v>
      </c>
      <c r="D1064" s="1" t="s">
        <v>9</v>
      </c>
      <c r="E1064" s="1">
        <v>-13.7</v>
      </c>
      <c r="F1064" s="1" t="s">
        <v>15157</v>
      </c>
    </row>
    <row r="1065" spans="1:6" ht="21" x14ac:dyDescent="0.25">
      <c r="A1065" s="2" t="str">
        <f>HYPERLINK("https://rth.dk/resources/bsgatlas/details.php?id=BSGatlas-terminator-1064","BSGatlas-terminator-1064")</f>
        <v>BSGatlas-terminator-1064</v>
      </c>
      <c r="B1065" s="3">
        <v>1598987</v>
      </c>
      <c r="C1065" s="3">
        <v>1599012</v>
      </c>
      <c r="D1065" s="1" t="s">
        <v>9</v>
      </c>
      <c r="E1065" s="1">
        <v>-15.3</v>
      </c>
      <c r="F1065" s="1" t="s">
        <v>4547</v>
      </c>
    </row>
    <row r="1066" spans="1:6" ht="21" x14ac:dyDescent="0.25">
      <c r="A1066" s="2" t="str">
        <f>HYPERLINK("https://rth.dk/resources/bsgatlas/details.php?id=BSGatlas-terminator-1065","BSGatlas-terminator-1065")</f>
        <v>BSGatlas-terminator-1065</v>
      </c>
      <c r="B1066" s="3">
        <v>1603559</v>
      </c>
      <c r="C1066" s="3">
        <v>1603603</v>
      </c>
      <c r="D1066" s="1" t="s">
        <v>9</v>
      </c>
      <c r="E1066" s="1">
        <v>-11.4</v>
      </c>
      <c r="F1066" s="1" t="s">
        <v>15157</v>
      </c>
    </row>
    <row r="1067" spans="1:6" ht="21" x14ac:dyDescent="0.25">
      <c r="A1067" s="2" t="str">
        <f>HYPERLINK("https://rth.dk/resources/bsgatlas/details.php?id=BSGatlas-terminator-1066","BSGatlas-terminator-1066")</f>
        <v>BSGatlas-terminator-1066</v>
      </c>
      <c r="B1067" s="3">
        <v>1603612</v>
      </c>
      <c r="C1067" s="3">
        <v>1603656</v>
      </c>
      <c r="D1067" s="1" t="s">
        <v>13</v>
      </c>
      <c r="E1067" s="1">
        <v>-9.6</v>
      </c>
      <c r="F1067" s="1" t="s">
        <v>15157</v>
      </c>
    </row>
    <row r="1068" spans="1:6" ht="21" x14ac:dyDescent="0.25">
      <c r="A1068" s="2" t="str">
        <f>HYPERLINK("https://rth.dk/resources/bsgatlas/details.php?id=BSGatlas-terminator-1067","BSGatlas-terminator-1067")</f>
        <v>BSGatlas-terminator-1067</v>
      </c>
      <c r="B1068" s="3">
        <v>1606414</v>
      </c>
      <c r="C1068" s="3">
        <v>1606461</v>
      </c>
      <c r="D1068" s="1" t="s">
        <v>9</v>
      </c>
      <c r="E1068" s="1">
        <v>-16.3</v>
      </c>
      <c r="F1068" s="1" t="s">
        <v>4382</v>
      </c>
    </row>
    <row r="1069" spans="1:6" ht="21" x14ac:dyDescent="0.25">
      <c r="A1069" s="2" t="str">
        <f>HYPERLINK("https://rth.dk/resources/bsgatlas/details.php?id=BSGatlas-terminator-1068","BSGatlas-terminator-1068")</f>
        <v>BSGatlas-terminator-1068</v>
      </c>
      <c r="B1069" s="3">
        <v>1607433</v>
      </c>
      <c r="C1069" s="3">
        <v>1607477</v>
      </c>
      <c r="D1069" s="1" t="s">
        <v>9</v>
      </c>
      <c r="E1069" s="1">
        <v>-7.1</v>
      </c>
      <c r="F1069" s="1" t="s">
        <v>15157</v>
      </c>
    </row>
    <row r="1070" spans="1:6" ht="21" x14ac:dyDescent="0.25">
      <c r="A1070" s="2" t="str">
        <f>HYPERLINK("https://rth.dk/resources/bsgatlas/details.php?id=BSGatlas-terminator-1069","BSGatlas-terminator-1069")</f>
        <v>BSGatlas-terminator-1069</v>
      </c>
      <c r="B1070" s="3">
        <v>1611560</v>
      </c>
      <c r="C1070" s="3">
        <v>1611604</v>
      </c>
      <c r="D1070" s="1" t="s">
        <v>9</v>
      </c>
      <c r="E1070" s="1">
        <v>-15.2</v>
      </c>
      <c r="F1070" s="1" t="s">
        <v>15157</v>
      </c>
    </row>
    <row r="1071" spans="1:6" ht="21" x14ac:dyDescent="0.25">
      <c r="A1071" s="2" t="str">
        <f>HYPERLINK("https://rth.dk/resources/bsgatlas/details.php?id=BSGatlas-terminator-1070","BSGatlas-terminator-1070")</f>
        <v>BSGatlas-terminator-1070</v>
      </c>
      <c r="B1071" s="3">
        <v>1612416</v>
      </c>
      <c r="C1071" s="3">
        <v>1612431</v>
      </c>
      <c r="D1071" s="1" t="s">
        <v>9</v>
      </c>
      <c r="E1071" s="1">
        <v>-6.4</v>
      </c>
      <c r="F1071" s="1" t="s">
        <v>4547</v>
      </c>
    </row>
    <row r="1072" spans="1:6" ht="21" x14ac:dyDescent="0.25">
      <c r="A1072" s="2" t="str">
        <f>HYPERLINK("https://rth.dk/resources/bsgatlas/details.php?id=BSGatlas-terminator-1071","BSGatlas-terminator-1071")</f>
        <v>BSGatlas-terminator-1071</v>
      </c>
      <c r="B1072" s="3">
        <v>1613288</v>
      </c>
      <c r="C1072" s="3">
        <v>1613318</v>
      </c>
      <c r="D1072" s="1" t="s">
        <v>9</v>
      </c>
      <c r="E1072" s="1">
        <v>-23.3</v>
      </c>
      <c r="F1072" s="1" t="s">
        <v>15161</v>
      </c>
    </row>
    <row r="1073" spans="1:6" ht="21" x14ac:dyDescent="0.25">
      <c r="A1073" s="2" t="str">
        <f>HYPERLINK("https://rth.dk/resources/bsgatlas/details.php?id=BSGatlas-terminator-1072","BSGatlas-terminator-1072")</f>
        <v>BSGatlas-terminator-1072</v>
      </c>
      <c r="B1073" s="3">
        <v>1616091</v>
      </c>
      <c r="C1073" s="3">
        <v>1616135</v>
      </c>
      <c r="D1073" s="1" t="s">
        <v>9</v>
      </c>
      <c r="E1073" s="1">
        <v>-13.9</v>
      </c>
      <c r="F1073" s="1" t="s">
        <v>15157</v>
      </c>
    </row>
    <row r="1074" spans="1:6" ht="21" x14ac:dyDescent="0.25">
      <c r="A1074" s="2" t="str">
        <f>HYPERLINK("https://rth.dk/resources/bsgatlas/details.php?id=BSGatlas-terminator-1073","BSGatlas-terminator-1073")</f>
        <v>BSGatlas-terminator-1073</v>
      </c>
      <c r="B1074" s="3">
        <v>1616146</v>
      </c>
      <c r="C1074" s="3">
        <v>1616190</v>
      </c>
      <c r="D1074" s="1" t="s">
        <v>13</v>
      </c>
      <c r="E1074" s="1">
        <v>-15.6</v>
      </c>
      <c r="F1074" s="1" t="s">
        <v>15157</v>
      </c>
    </row>
    <row r="1075" spans="1:6" ht="21" x14ac:dyDescent="0.25">
      <c r="A1075" s="2" t="str">
        <f>HYPERLINK("https://rth.dk/resources/bsgatlas/details.php?id=BSGatlas-terminator-1074","BSGatlas-terminator-1074")</f>
        <v>BSGatlas-terminator-1074</v>
      </c>
      <c r="B1075" s="3">
        <v>1618229</v>
      </c>
      <c r="C1075" s="3">
        <v>1618283</v>
      </c>
      <c r="D1075" s="1" t="s">
        <v>9</v>
      </c>
      <c r="E1075" s="1">
        <v>-17.100000000000001</v>
      </c>
      <c r="F1075" s="1" t="s">
        <v>4382</v>
      </c>
    </row>
    <row r="1076" spans="1:6" ht="21" x14ac:dyDescent="0.25">
      <c r="A1076" s="2" t="str">
        <f>HYPERLINK("https://rth.dk/resources/bsgatlas/details.php?id=BSGatlas-terminator-1075","BSGatlas-terminator-1075")</f>
        <v>BSGatlas-terminator-1075</v>
      </c>
      <c r="B1076" s="3">
        <v>1618476</v>
      </c>
      <c r="C1076" s="3">
        <v>1618520</v>
      </c>
      <c r="D1076" s="1" t="s">
        <v>13</v>
      </c>
      <c r="E1076" s="1">
        <v>-7</v>
      </c>
      <c r="F1076" s="1" t="s">
        <v>15157</v>
      </c>
    </row>
    <row r="1077" spans="1:6" ht="21" x14ac:dyDescent="0.25">
      <c r="A1077" s="2" t="str">
        <f>HYPERLINK("https://rth.dk/resources/bsgatlas/details.php?id=BSGatlas-terminator-1076","BSGatlas-terminator-1076")</f>
        <v>BSGatlas-terminator-1076</v>
      </c>
      <c r="B1077" s="3">
        <v>1618818</v>
      </c>
      <c r="C1077" s="3">
        <v>1618862</v>
      </c>
      <c r="D1077" s="1" t="s">
        <v>9</v>
      </c>
      <c r="E1077" s="1">
        <v>-11.5</v>
      </c>
      <c r="F1077" s="1" t="s">
        <v>15157</v>
      </c>
    </row>
    <row r="1078" spans="1:6" ht="21" x14ac:dyDescent="0.25">
      <c r="A1078" s="2" t="str">
        <f>HYPERLINK("https://rth.dk/resources/bsgatlas/details.php?id=BSGatlas-terminator-1077","BSGatlas-terminator-1077")</f>
        <v>BSGatlas-terminator-1077</v>
      </c>
      <c r="B1078" s="3">
        <v>1618923</v>
      </c>
      <c r="C1078" s="3">
        <v>1618976</v>
      </c>
      <c r="D1078" s="1" t="s">
        <v>9</v>
      </c>
      <c r="E1078" s="1">
        <v>-15.7</v>
      </c>
      <c r="F1078" s="1" t="s">
        <v>4382</v>
      </c>
    </row>
    <row r="1079" spans="1:6" ht="21" x14ac:dyDescent="0.25">
      <c r="A1079" s="2" t="str">
        <f>HYPERLINK("https://rth.dk/resources/bsgatlas/details.php?id=BSGatlas-terminator-1078","BSGatlas-terminator-1078")</f>
        <v>BSGatlas-terminator-1078</v>
      </c>
      <c r="B1079" s="3">
        <v>1620406</v>
      </c>
      <c r="C1079" s="3">
        <v>1620450</v>
      </c>
      <c r="D1079" s="1" t="s">
        <v>9</v>
      </c>
      <c r="E1079" s="1">
        <v>-16.600000000000001</v>
      </c>
      <c r="F1079" s="1" t="s">
        <v>4382</v>
      </c>
    </row>
    <row r="1080" spans="1:6" ht="21" x14ac:dyDescent="0.25">
      <c r="A1080" s="2" t="str">
        <f>HYPERLINK("https://rth.dk/resources/bsgatlas/details.php?id=BSGatlas-terminator-1079","BSGatlas-terminator-1079")</f>
        <v>BSGatlas-terminator-1079</v>
      </c>
      <c r="B1080" s="3">
        <v>1629990</v>
      </c>
      <c r="C1080" s="3">
        <v>1630055</v>
      </c>
      <c r="D1080" s="1" t="s">
        <v>9</v>
      </c>
      <c r="E1080" s="1">
        <v>-23.3</v>
      </c>
      <c r="F1080" s="1" t="s">
        <v>15158</v>
      </c>
    </row>
    <row r="1081" spans="1:6" ht="21" x14ac:dyDescent="0.25">
      <c r="A1081" s="2" t="str">
        <f>HYPERLINK("https://rth.dk/resources/bsgatlas/details.php?id=BSGatlas-terminator-1080","BSGatlas-terminator-1080")</f>
        <v>BSGatlas-terminator-1080</v>
      </c>
      <c r="B1081" s="3">
        <v>1636087</v>
      </c>
      <c r="C1081" s="3">
        <v>1636130</v>
      </c>
      <c r="D1081" s="1" t="s">
        <v>9</v>
      </c>
      <c r="E1081" s="1">
        <v>-19.5</v>
      </c>
      <c r="F1081" s="1" t="s">
        <v>15158</v>
      </c>
    </row>
    <row r="1082" spans="1:6" ht="21" x14ac:dyDescent="0.25">
      <c r="A1082" s="2" t="str">
        <f>HYPERLINK("https://rth.dk/resources/bsgatlas/details.php?id=BSGatlas-terminator-1081","BSGatlas-terminator-1081")</f>
        <v>BSGatlas-terminator-1081</v>
      </c>
      <c r="B1082" s="3">
        <v>1636096</v>
      </c>
      <c r="C1082" s="3">
        <v>1636140</v>
      </c>
      <c r="D1082" s="1" t="s">
        <v>13</v>
      </c>
      <c r="E1082" s="1">
        <v>-16.600000000000001</v>
      </c>
      <c r="F1082" s="1" t="s">
        <v>15157</v>
      </c>
    </row>
    <row r="1083" spans="1:6" ht="21" x14ac:dyDescent="0.25">
      <c r="A1083" s="2" t="str">
        <f>HYPERLINK("https://rth.dk/resources/bsgatlas/details.php?id=BSGatlas-terminator-1082","BSGatlas-terminator-1082")</f>
        <v>BSGatlas-terminator-1082</v>
      </c>
      <c r="B1083" s="3">
        <v>1640647</v>
      </c>
      <c r="C1083" s="3">
        <v>1640696</v>
      </c>
      <c r="D1083" s="1" t="s">
        <v>9</v>
      </c>
      <c r="E1083" s="1">
        <v>-11.9</v>
      </c>
      <c r="F1083" s="1" t="s">
        <v>4382</v>
      </c>
    </row>
    <row r="1084" spans="1:6" ht="21" x14ac:dyDescent="0.25">
      <c r="A1084" s="2" t="str">
        <f>HYPERLINK("https://rth.dk/resources/bsgatlas/details.php?id=BSGatlas-terminator-1083","BSGatlas-terminator-1083")</f>
        <v>BSGatlas-terminator-1083</v>
      </c>
      <c r="B1084" s="3">
        <v>1642737</v>
      </c>
      <c r="C1084" s="3">
        <v>1642781</v>
      </c>
      <c r="D1084" s="1" t="s">
        <v>9</v>
      </c>
      <c r="E1084" s="1">
        <v>-7.7</v>
      </c>
      <c r="F1084" s="1" t="s">
        <v>15157</v>
      </c>
    </row>
    <row r="1085" spans="1:6" ht="21" x14ac:dyDescent="0.25">
      <c r="A1085" s="2" t="str">
        <f>HYPERLINK("https://rth.dk/resources/bsgatlas/details.php?id=BSGatlas-terminator-1084","BSGatlas-terminator-1084")</f>
        <v>BSGatlas-terminator-1084</v>
      </c>
      <c r="B1085" s="3">
        <v>1650415</v>
      </c>
      <c r="C1085" s="3">
        <v>1650459</v>
      </c>
      <c r="D1085" s="1" t="s">
        <v>9</v>
      </c>
      <c r="E1085" s="1">
        <v>-10</v>
      </c>
      <c r="F1085" s="1" t="s">
        <v>15157</v>
      </c>
    </row>
    <row r="1086" spans="1:6" ht="21" x14ac:dyDescent="0.25">
      <c r="A1086" s="2" t="str">
        <f>HYPERLINK("https://rth.dk/resources/bsgatlas/details.php?id=BSGatlas-terminator-1085","BSGatlas-terminator-1085")</f>
        <v>BSGatlas-terminator-1085</v>
      </c>
      <c r="B1086" s="3">
        <v>1655558</v>
      </c>
      <c r="C1086" s="3">
        <v>1655608</v>
      </c>
      <c r="D1086" s="1" t="s">
        <v>9</v>
      </c>
      <c r="E1086" s="1">
        <v>-21.8</v>
      </c>
      <c r="F1086" s="1" t="s">
        <v>15158</v>
      </c>
    </row>
    <row r="1087" spans="1:6" ht="21" x14ac:dyDescent="0.25">
      <c r="A1087" s="2" t="str">
        <f>HYPERLINK("https://rth.dk/resources/bsgatlas/details.php?id=BSGatlas-terminator-1086","BSGatlas-terminator-1086")</f>
        <v>BSGatlas-terminator-1086</v>
      </c>
      <c r="B1087" s="3">
        <v>1655593</v>
      </c>
      <c r="C1087" s="3">
        <v>1655637</v>
      </c>
      <c r="D1087" s="1" t="s">
        <v>13</v>
      </c>
      <c r="E1087" s="1">
        <v>-14.3</v>
      </c>
      <c r="F1087" s="1" t="s">
        <v>15157</v>
      </c>
    </row>
    <row r="1088" spans="1:6" ht="21" x14ac:dyDescent="0.25">
      <c r="A1088" s="2" t="str">
        <f>HYPERLINK("https://rth.dk/resources/bsgatlas/details.php?id=BSGatlas-terminator-1087","BSGatlas-terminator-1087")</f>
        <v>BSGatlas-terminator-1087</v>
      </c>
      <c r="B1088" s="3">
        <v>1655639</v>
      </c>
      <c r="C1088" s="3">
        <v>1655683</v>
      </c>
      <c r="D1088" s="1" t="s">
        <v>13</v>
      </c>
      <c r="E1088" s="1">
        <v>-14.3</v>
      </c>
      <c r="F1088" s="1" t="s">
        <v>15157</v>
      </c>
    </row>
    <row r="1089" spans="1:6" ht="21" x14ac:dyDescent="0.25">
      <c r="A1089" s="2" t="str">
        <f>HYPERLINK("https://rth.dk/resources/bsgatlas/details.php?id=BSGatlas-terminator-1088","BSGatlas-terminator-1088")</f>
        <v>BSGatlas-terminator-1088</v>
      </c>
      <c r="B1089" s="3">
        <v>1656255</v>
      </c>
      <c r="C1089" s="3">
        <v>1656299</v>
      </c>
      <c r="D1089" s="1" t="s">
        <v>13</v>
      </c>
      <c r="E1089" s="1">
        <v>-14.3</v>
      </c>
      <c r="F1089" s="1" t="s">
        <v>15157</v>
      </c>
    </row>
    <row r="1090" spans="1:6" ht="21" x14ac:dyDescent="0.25">
      <c r="A1090" s="2" t="str">
        <f>HYPERLINK("https://rth.dk/resources/bsgatlas/details.php?id=BSGatlas-terminator-1089","BSGatlas-terminator-1089")</f>
        <v>BSGatlas-terminator-1089</v>
      </c>
      <c r="B1090" s="3">
        <v>1665236</v>
      </c>
      <c r="C1090" s="3">
        <v>1665294</v>
      </c>
      <c r="D1090" s="1" t="s">
        <v>9</v>
      </c>
      <c r="E1090" s="1">
        <v>-11</v>
      </c>
      <c r="F1090" s="1" t="s">
        <v>4382</v>
      </c>
    </row>
    <row r="1091" spans="1:6" ht="21" x14ac:dyDescent="0.25">
      <c r="A1091" s="2" t="str">
        <f>HYPERLINK("https://rth.dk/resources/bsgatlas/details.php?id=BSGatlas-terminator-1090","BSGatlas-terminator-1090")</f>
        <v>BSGatlas-terminator-1090</v>
      </c>
      <c r="B1091" s="3">
        <v>1665529</v>
      </c>
      <c r="C1091" s="3">
        <v>1665573</v>
      </c>
      <c r="D1091" s="1" t="s">
        <v>9</v>
      </c>
      <c r="E1091" s="1">
        <v>-17.399999999999999</v>
      </c>
      <c r="F1091" s="1" t="s">
        <v>15157</v>
      </c>
    </row>
    <row r="1092" spans="1:6" ht="21" x14ac:dyDescent="0.25">
      <c r="A1092" s="2" t="str">
        <f>HYPERLINK("https://rth.dk/resources/bsgatlas/details.php?id=BSGatlas-terminator-1091","BSGatlas-terminator-1091")</f>
        <v>BSGatlas-terminator-1091</v>
      </c>
      <c r="B1092" s="3">
        <v>1666409</v>
      </c>
      <c r="C1092" s="3">
        <v>1666453</v>
      </c>
      <c r="D1092" s="1" t="s">
        <v>9</v>
      </c>
      <c r="E1092" s="1">
        <v>-17.399999999999999</v>
      </c>
      <c r="F1092" s="1" t="s">
        <v>15157</v>
      </c>
    </row>
    <row r="1093" spans="1:6" ht="21" x14ac:dyDescent="0.25">
      <c r="A1093" s="2" t="str">
        <f>HYPERLINK("https://rth.dk/resources/bsgatlas/details.php?id=BSGatlas-terminator-1092","BSGatlas-terminator-1092")</f>
        <v>BSGatlas-terminator-1092</v>
      </c>
      <c r="B1093" s="3">
        <v>1670021</v>
      </c>
      <c r="C1093" s="3">
        <v>1670087</v>
      </c>
      <c r="D1093" s="1" t="s">
        <v>13</v>
      </c>
      <c r="E1093" s="1"/>
      <c r="F1093" s="1" t="s">
        <v>15159</v>
      </c>
    </row>
    <row r="1094" spans="1:6" ht="21" x14ac:dyDescent="0.25">
      <c r="A1094" s="2" t="str">
        <f>HYPERLINK("https://rth.dk/resources/bsgatlas/details.php?id=BSGatlas-terminator-1093","BSGatlas-terminator-1093")</f>
        <v>BSGatlas-terminator-1093</v>
      </c>
      <c r="B1094" s="3">
        <v>1671121</v>
      </c>
      <c r="C1094" s="3">
        <v>1671160</v>
      </c>
      <c r="D1094" s="1" t="s">
        <v>13</v>
      </c>
      <c r="E1094" s="1">
        <v>-16.899999999999999</v>
      </c>
      <c r="F1094" s="1" t="s">
        <v>15158</v>
      </c>
    </row>
    <row r="1095" spans="1:6" ht="21" x14ac:dyDescent="0.25">
      <c r="A1095" s="2" t="str">
        <f>HYPERLINK("https://rth.dk/resources/bsgatlas/details.php?id=BSGatlas-terminator-1094","BSGatlas-terminator-1094")</f>
        <v>BSGatlas-terminator-1094</v>
      </c>
      <c r="B1095" s="3">
        <v>1671131</v>
      </c>
      <c r="C1095" s="3">
        <v>1671170</v>
      </c>
      <c r="D1095" s="1" t="s">
        <v>9</v>
      </c>
      <c r="E1095" s="1">
        <v>-16.399999999999999</v>
      </c>
      <c r="F1095" s="1" t="s">
        <v>15158</v>
      </c>
    </row>
    <row r="1096" spans="1:6" ht="21" x14ac:dyDescent="0.25">
      <c r="A1096" s="2" t="str">
        <f>HYPERLINK("https://rth.dk/resources/bsgatlas/details.php?id=BSGatlas-terminator-1095","BSGatlas-terminator-1095")</f>
        <v>BSGatlas-terminator-1095</v>
      </c>
      <c r="B1096" s="3">
        <v>1671809</v>
      </c>
      <c r="C1096" s="3">
        <v>1671853</v>
      </c>
      <c r="D1096" s="1" t="s">
        <v>13</v>
      </c>
      <c r="E1096" s="1">
        <v>-14.4</v>
      </c>
      <c r="F1096" s="1" t="s">
        <v>15157</v>
      </c>
    </row>
    <row r="1097" spans="1:6" ht="21" x14ac:dyDescent="0.25">
      <c r="A1097" s="2" t="str">
        <f>HYPERLINK("https://rth.dk/resources/bsgatlas/details.php?id=BSGatlas-terminator-1096","BSGatlas-terminator-1096")</f>
        <v>BSGatlas-terminator-1096</v>
      </c>
      <c r="B1097" s="3">
        <v>1674087</v>
      </c>
      <c r="C1097" s="3">
        <v>1674131</v>
      </c>
      <c r="D1097" s="1" t="s">
        <v>9</v>
      </c>
      <c r="E1097" s="1">
        <v>-5.6</v>
      </c>
      <c r="F1097" s="1" t="s">
        <v>15157</v>
      </c>
    </row>
    <row r="1098" spans="1:6" ht="21" x14ac:dyDescent="0.25">
      <c r="A1098" s="2" t="str">
        <f>HYPERLINK("https://rth.dk/resources/bsgatlas/details.php?id=BSGatlas-terminator-1097","BSGatlas-terminator-1097")</f>
        <v>BSGatlas-terminator-1097</v>
      </c>
      <c r="B1098" s="3">
        <v>1674135</v>
      </c>
      <c r="C1098" s="3">
        <v>1674176</v>
      </c>
      <c r="D1098" s="1" t="s">
        <v>9</v>
      </c>
      <c r="E1098" s="1">
        <v>-11.9</v>
      </c>
      <c r="F1098" s="1" t="s">
        <v>4382</v>
      </c>
    </row>
    <row r="1099" spans="1:6" ht="21" x14ac:dyDescent="0.25">
      <c r="A1099" s="2" t="str">
        <f>HYPERLINK("https://rth.dk/resources/bsgatlas/details.php?id=BSGatlas-terminator-1098","BSGatlas-terminator-1098")</f>
        <v>BSGatlas-terminator-1098</v>
      </c>
      <c r="B1099" s="3">
        <v>1676369</v>
      </c>
      <c r="C1099" s="3">
        <v>1676413</v>
      </c>
      <c r="D1099" s="1" t="s">
        <v>9</v>
      </c>
      <c r="E1099" s="1">
        <v>-12.6</v>
      </c>
      <c r="F1099" s="1" t="s">
        <v>15157</v>
      </c>
    </row>
    <row r="1100" spans="1:6" ht="21" x14ac:dyDescent="0.25">
      <c r="A1100" s="2" t="str">
        <f>HYPERLINK("https://rth.dk/resources/bsgatlas/details.php?id=BSGatlas-terminator-1099","BSGatlas-terminator-1099")</f>
        <v>BSGatlas-terminator-1099</v>
      </c>
      <c r="B1100" s="3">
        <v>1680068</v>
      </c>
      <c r="C1100" s="3">
        <v>1680112</v>
      </c>
      <c r="D1100" s="1" t="s">
        <v>9</v>
      </c>
      <c r="E1100" s="1">
        <v>-9.1999999999999993</v>
      </c>
      <c r="F1100" s="1" t="s">
        <v>15157</v>
      </c>
    </row>
    <row r="1101" spans="1:6" ht="21" x14ac:dyDescent="0.25">
      <c r="A1101" s="2" t="str">
        <f>HYPERLINK("https://rth.dk/resources/bsgatlas/details.php?id=BSGatlas-terminator-1100","BSGatlas-terminator-1100")</f>
        <v>BSGatlas-terminator-1100</v>
      </c>
      <c r="B1101" s="3">
        <v>1682521</v>
      </c>
      <c r="C1101" s="3">
        <v>1682567</v>
      </c>
      <c r="D1101" s="1" t="s">
        <v>9</v>
      </c>
      <c r="E1101" s="1">
        <v>-20.8</v>
      </c>
      <c r="F1101" s="1" t="s">
        <v>15158</v>
      </c>
    </row>
    <row r="1102" spans="1:6" ht="21" x14ac:dyDescent="0.25">
      <c r="A1102" s="2" t="str">
        <f>HYPERLINK("https://rth.dk/resources/bsgatlas/details.php?id=BSGatlas-terminator-1101","BSGatlas-terminator-1101")</f>
        <v>BSGatlas-terminator-1101</v>
      </c>
      <c r="B1102" s="3">
        <v>1683485</v>
      </c>
      <c r="C1102" s="3">
        <v>1683551</v>
      </c>
      <c r="D1102" s="1" t="s">
        <v>9</v>
      </c>
      <c r="E1102" s="1">
        <v>-8.6</v>
      </c>
      <c r="F1102" s="1" t="s">
        <v>4382</v>
      </c>
    </row>
    <row r="1103" spans="1:6" ht="21" x14ac:dyDescent="0.25">
      <c r="A1103" s="2" t="str">
        <f>HYPERLINK("https://rth.dk/resources/bsgatlas/details.php?id=BSGatlas-terminator-1102","BSGatlas-terminator-1102")</f>
        <v>BSGatlas-terminator-1102</v>
      </c>
      <c r="B1103" s="3">
        <v>1685684</v>
      </c>
      <c r="C1103" s="3">
        <v>1685728</v>
      </c>
      <c r="D1103" s="1" t="s">
        <v>9</v>
      </c>
      <c r="E1103" s="1">
        <v>-13.2</v>
      </c>
      <c r="F1103" s="1" t="s">
        <v>15157</v>
      </c>
    </row>
    <row r="1104" spans="1:6" ht="21" x14ac:dyDescent="0.25">
      <c r="A1104" s="2" t="str">
        <f>HYPERLINK("https://rth.dk/resources/bsgatlas/details.php?id=BSGatlas-terminator-1103","BSGatlas-terminator-1103")</f>
        <v>BSGatlas-terminator-1103</v>
      </c>
      <c r="B1104" s="3">
        <v>1685733</v>
      </c>
      <c r="C1104" s="3">
        <v>1685774</v>
      </c>
      <c r="D1104" s="1" t="s">
        <v>9</v>
      </c>
      <c r="E1104" s="1">
        <v>-15.8</v>
      </c>
      <c r="F1104" s="1" t="s">
        <v>4382</v>
      </c>
    </row>
    <row r="1105" spans="1:6" ht="21" x14ac:dyDescent="0.25">
      <c r="A1105" s="2" t="str">
        <f>HYPERLINK("https://rth.dk/resources/bsgatlas/details.php?id=BSGatlas-terminator-1104","BSGatlas-terminator-1104")</f>
        <v>BSGatlas-terminator-1104</v>
      </c>
      <c r="B1105" s="3">
        <v>1690903</v>
      </c>
      <c r="C1105" s="3">
        <v>1690941</v>
      </c>
      <c r="D1105" s="1" t="s">
        <v>9</v>
      </c>
      <c r="E1105" s="1">
        <v>-12.2</v>
      </c>
      <c r="F1105" s="1" t="s">
        <v>15158</v>
      </c>
    </row>
    <row r="1106" spans="1:6" ht="21" x14ac:dyDescent="0.25">
      <c r="A1106" s="2" t="str">
        <f>HYPERLINK("https://rth.dk/resources/bsgatlas/details.php?id=BSGatlas-terminator-1105","BSGatlas-terminator-1105")</f>
        <v>BSGatlas-terminator-1105</v>
      </c>
      <c r="B1106" s="3">
        <v>1692423</v>
      </c>
      <c r="C1106" s="3">
        <v>1692467</v>
      </c>
      <c r="D1106" s="1" t="s">
        <v>13</v>
      </c>
      <c r="E1106" s="1">
        <v>-7.4</v>
      </c>
      <c r="F1106" s="1" t="s">
        <v>15157</v>
      </c>
    </row>
    <row r="1107" spans="1:6" ht="21" x14ac:dyDescent="0.25">
      <c r="A1107" s="2" t="str">
        <f>HYPERLINK("https://rth.dk/resources/bsgatlas/details.php?id=BSGatlas-terminator-1106","BSGatlas-terminator-1106")</f>
        <v>BSGatlas-terminator-1106</v>
      </c>
      <c r="B1107" s="3">
        <v>1718633</v>
      </c>
      <c r="C1107" s="3">
        <v>1718677</v>
      </c>
      <c r="D1107" s="1" t="s">
        <v>9</v>
      </c>
      <c r="E1107" s="1">
        <v>-14.3</v>
      </c>
      <c r="F1107" s="1" t="s">
        <v>15157</v>
      </c>
    </row>
    <row r="1108" spans="1:6" ht="21" x14ac:dyDescent="0.25">
      <c r="A1108" s="2" t="str">
        <f>HYPERLINK("https://rth.dk/resources/bsgatlas/details.php?id=BSGatlas-terminator-1107","BSGatlas-terminator-1107")</f>
        <v>BSGatlas-terminator-1107</v>
      </c>
      <c r="B1108" s="3">
        <v>1721008</v>
      </c>
      <c r="C1108" s="3">
        <v>1721052</v>
      </c>
      <c r="D1108" s="1" t="s">
        <v>13</v>
      </c>
      <c r="E1108" s="1">
        <v>-4.8</v>
      </c>
      <c r="F1108" s="1" t="s">
        <v>15157</v>
      </c>
    </row>
    <row r="1109" spans="1:6" ht="21" x14ac:dyDescent="0.25">
      <c r="A1109" s="2" t="str">
        <f>HYPERLINK("https://rth.dk/resources/bsgatlas/details.php?id=BSGatlas-terminator-1108","BSGatlas-terminator-1108")</f>
        <v>BSGatlas-terminator-1108</v>
      </c>
      <c r="B1109" s="3">
        <v>1732075</v>
      </c>
      <c r="C1109" s="3">
        <v>1732119</v>
      </c>
      <c r="D1109" s="1" t="s">
        <v>13</v>
      </c>
      <c r="E1109" s="1">
        <v>-9.1999999999999993</v>
      </c>
      <c r="F1109" s="1" t="s">
        <v>15157</v>
      </c>
    </row>
    <row r="1110" spans="1:6" ht="21" x14ac:dyDescent="0.25">
      <c r="A1110" s="2" t="str">
        <f>HYPERLINK("https://rth.dk/resources/bsgatlas/details.php?id=BSGatlas-terminator-1109","BSGatlas-terminator-1109")</f>
        <v>BSGatlas-terminator-1109</v>
      </c>
      <c r="B1110" s="3">
        <v>1736807</v>
      </c>
      <c r="C1110" s="3">
        <v>1736853</v>
      </c>
      <c r="D1110" s="1" t="s">
        <v>9</v>
      </c>
      <c r="E1110" s="1">
        <v>-17.7</v>
      </c>
      <c r="F1110" s="1" t="s">
        <v>15158</v>
      </c>
    </row>
    <row r="1111" spans="1:6" ht="21" x14ac:dyDescent="0.25">
      <c r="A1111" s="2" t="str">
        <f>HYPERLINK("https://rth.dk/resources/bsgatlas/details.php?id=BSGatlas-terminator-1110","BSGatlas-terminator-1110")</f>
        <v>BSGatlas-terminator-1110</v>
      </c>
      <c r="B1111" s="3">
        <v>1739171</v>
      </c>
      <c r="C1111" s="3">
        <v>1739215</v>
      </c>
      <c r="D1111" s="1" t="s">
        <v>9</v>
      </c>
      <c r="E1111" s="1">
        <v>-10.199999999999999</v>
      </c>
      <c r="F1111" s="1" t="s">
        <v>15157</v>
      </c>
    </row>
    <row r="1112" spans="1:6" ht="21" x14ac:dyDescent="0.25">
      <c r="A1112" s="2" t="str">
        <f>HYPERLINK("https://rth.dk/resources/bsgatlas/details.php?id=BSGatlas-terminator-1111","BSGatlas-terminator-1111")</f>
        <v>BSGatlas-terminator-1111</v>
      </c>
      <c r="B1112" s="3">
        <v>1741261</v>
      </c>
      <c r="C1112" s="3">
        <v>1741305</v>
      </c>
      <c r="D1112" s="1" t="s">
        <v>9</v>
      </c>
      <c r="E1112" s="1">
        <v>-7.8</v>
      </c>
      <c r="F1112" s="1" t="s">
        <v>15157</v>
      </c>
    </row>
    <row r="1113" spans="1:6" ht="21" x14ac:dyDescent="0.25">
      <c r="A1113" s="2" t="str">
        <f>HYPERLINK("https://rth.dk/resources/bsgatlas/details.php?id=BSGatlas-terminator-1112","BSGatlas-terminator-1112")</f>
        <v>BSGatlas-terminator-1112</v>
      </c>
      <c r="B1113" s="3">
        <v>1741462</v>
      </c>
      <c r="C1113" s="3">
        <v>1741506</v>
      </c>
      <c r="D1113" s="1" t="s">
        <v>9</v>
      </c>
      <c r="E1113" s="1">
        <v>-7.8</v>
      </c>
      <c r="F1113" s="1" t="s">
        <v>15157</v>
      </c>
    </row>
    <row r="1114" spans="1:6" ht="21" x14ac:dyDescent="0.25">
      <c r="A1114" s="2" t="str">
        <f>HYPERLINK("https://rth.dk/resources/bsgatlas/details.php?id=BSGatlas-terminator-1113","BSGatlas-terminator-1113")</f>
        <v>BSGatlas-terminator-1113</v>
      </c>
      <c r="B1114" s="3">
        <v>1743850</v>
      </c>
      <c r="C1114" s="3">
        <v>1743893</v>
      </c>
      <c r="D1114" s="1" t="s">
        <v>9</v>
      </c>
      <c r="E1114" s="1">
        <v>-17.899999999999999</v>
      </c>
      <c r="F1114" s="1" t="s">
        <v>15158</v>
      </c>
    </row>
    <row r="1115" spans="1:6" ht="21" x14ac:dyDescent="0.25">
      <c r="A1115" s="2" t="str">
        <f>HYPERLINK("https://rth.dk/resources/bsgatlas/details.php?id=BSGatlas-terminator-1114","BSGatlas-terminator-1114")</f>
        <v>BSGatlas-terminator-1114</v>
      </c>
      <c r="B1115" s="3">
        <v>1744223</v>
      </c>
      <c r="C1115" s="3">
        <v>1744263</v>
      </c>
      <c r="D1115" s="1" t="s">
        <v>9</v>
      </c>
      <c r="E1115" s="1">
        <v>-15</v>
      </c>
      <c r="F1115" s="1" t="s">
        <v>15160</v>
      </c>
    </row>
    <row r="1116" spans="1:6" ht="21" x14ac:dyDescent="0.25">
      <c r="A1116" s="2" t="str">
        <f>HYPERLINK("https://rth.dk/resources/bsgatlas/details.php?id=BSGatlas-terminator-1115","BSGatlas-terminator-1115")</f>
        <v>BSGatlas-terminator-1115</v>
      </c>
      <c r="B1116" s="3">
        <v>1749262</v>
      </c>
      <c r="C1116" s="3">
        <v>1749313</v>
      </c>
      <c r="D1116" s="1" t="s">
        <v>9</v>
      </c>
      <c r="E1116" s="1">
        <v>-15.6</v>
      </c>
      <c r="F1116" s="1" t="s">
        <v>15158</v>
      </c>
    </row>
    <row r="1117" spans="1:6" ht="21" x14ac:dyDescent="0.25">
      <c r="A1117" s="2" t="str">
        <f>HYPERLINK("https://rth.dk/resources/bsgatlas/details.php?id=BSGatlas-terminator-1116","BSGatlas-terminator-1116")</f>
        <v>BSGatlas-terminator-1116</v>
      </c>
      <c r="B1117" s="3">
        <v>1751051</v>
      </c>
      <c r="C1117" s="3">
        <v>1751095</v>
      </c>
      <c r="D1117" s="1" t="s">
        <v>9</v>
      </c>
      <c r="E1117" s="1">
        <v>-11.7</v>
      </c>
      <c r="F1117" s="1" t="s">
        <v>15157</v>
      </c>
    </row>
    <row r="1118" spans="1:6" ht="21" x14ac:dyDescent="0.25">
      <c r="A1118" s="2" t="str">
        <f>HYPERLINK("https://rth.dk/resources/bsgatlas/details.php?id=BSGatlas-terminator-1117","BSGatlas-terminator-1117")</f>
        <v>BSGatlas-terminator-1117</v>
      </c>
      <c r="B1118" s="3">
        <v>1754617</v>
      </c>
      <c r="C1118" s="3">
        <v>1754671</v>
      </c>
      <c r="D1118" s="1" t="s">
        <v>9</v>
      </c>
      <c r="E1118" s="1">
        <v>-18.3</v>
      </c>
      <c r="F1118" s="1" t="s">
        <v>4382</v>
      </c>
    </row>
    <row r="1119" spans="1:6" ht="21" x14ac:dyDescent="0.25">
      <c r="A1119" s="2" t="str">
        <f>HYPERLINK("https://rth.dk/resources/bsgatlas/details.php?id=BSGatlas-terminator-1118","BSGatlas-terminator-1118")</f>
        <v>BSGatlas-terminator-1118</v>
      </c>
      <c r="B1119" s="3">
        <v>1755475</v>
      </c>
      <c r="C1119" s="3">
        <v>1755519</v>
      </c>
      <c r="D1119" s="1" t="s">
        <v>9</v>
      </c>
      <c r="E1119" s="1">
        <v>-7.2</v>
      </c>
      <c r="F1119" s="1" t="s">
        <v>15157</v>
      </c>
    </row>
    <row r="1120" spans="1:6" ht="21" x14ac:dyDescent="0.25">
      <c r="A1120" s="2" t="str">
        <f>HYPERLINK("https://rth.dk/resources/bsgatlas/details.php?id=BSGatlas-terminator-1119","BSGatlas-terminator-1119")</f>
        <v>BSGatlas-terminator-1119</v>
      </c>
      <c r="B1120" s="3">
        <v>1756793</v>
      </c>
      <c r="C1120" s="3">
        <v>1756837</v>
      </c>
      <c r="D1120" s="1" t="s">
        <v>9</v>
      </c>
      <c r="E1120" s="1">
        <v>-6.7</v>
      </c>
      <c r="F1120" s="1" t="s">
        <v>15157</v>
      </c>
    </row>
    <row r="1121" spans="1:6" ht="21" x14ac:dyDescent="0.25">
      <c r="A1121" s="2" t="str">
        <f>HYPERLINK("https://rth.dk/resources/bsgatlas/details.php?id=BSGatlas-terminator-1120","BSGatlas-terminator-1120")</f>
        <v>BSGatlas-terminator-1120</v>
      </c>
      <c r="B1121" s="3">
        <v>1759428</v>
      </c>
      <c r="C1121" s="3">
        <v>1759472</v>
      </c>
      <c r="D1121" s="1" t="s">
        <v>9</v>
      </c>
      <c r="E1121" s="1">
        <v>-10.4</v>
      </c>
      <c r="F1121" s="1" t="s">
        <v>15157</v>
      </c>
    </row>
    <row r="1122" spans="1:6" ht="21" x14ac:dyDescent="0.25">
      <c r="A1122" s="2" t="str">
        <f>HYPERLINK("https://rth.dk/resources/bsgatlas/details.php?id=BSGatlas-terminator-1121","BSGatlas-terminator-1121")</f>
        <v>BSGatlas-terminator-1121</v>
      </c>
      <c r="B1122" s="3">
        <v>1760684</v>
      </c>
      <c r="C1122" s="3">
        <v>1760728</v>
      </c>
      <c r="D1122" s="1" t="s">
        <v>9</v>
      </c>
      <c r="E1122" s="1">
        <v>-8.6999999999999993</v>
      </c>
      <c r="F1122" s="1" t="s">
        <v>15157</v>
      </c>
    </row>
    <row r="1123" spans="1:6" ht="21" x14ac:dyDescent="0.25">
      <c r="A1123" s="2" t="str">
        <f>HYPERLINK("https://rth.dk/resources/bsgatlas/details.php?id=BSGatlas-terminator-1122","BSGatlas-terminator-1122")</f>
        <v>BSGatlas-terminator-1122</v>
      </c>
      <c r="B1123" s="3">
        <v>1760716</v>
      </c>
      <c r="C1123" s="3">
        <v>1760760</v>
      </c>
      <c r="D1123" s="1" t="s">
        <v>13</v>
      </c>
      <c r="E1123" s="1">
        <v>-7.2</v>
      </c>
      <c r="F1123" s="1" t="s">
        <v>15157</v>
      </c>
    </row>
    <row r="1124" spans="1:6" ht="21" x14ac:dyDescent="0.25">
      <c r="A1124" s="2" t="str">
        <f>HYPERLINK("https://rth.dk/resources/bsgatlas/details.php?id=BSGatlas-terminator-1123","BSGatlas-terminator-1123")</f>
        <v>BSGatlas-terminator-1123</v>
      </c>
      <c r="B1124" s="3">
        <v>1762511</v>
      </c>
      <c r="C1124" s="3">
        <v>1762555</v>
      </c>
      <c r="D1124" s="1" t="s">
        <v>9</v>
      </c>
      <c r="E1124" s="1">
        <v>-8.6999999999999993</v>
      </c>
      <c r="F1124" s="1" t="s">
        <v>15157</v>
      </c>
    </row>
    <row r="1125" spans="1:6" ht="21" x14ac:dyDescent="0.25">
      <c r="A1125" s="2" t="str">
        <f>HYPERLINK("https://rth.dk/resources/bsgatlas/details.php?id=BSGatlas-terminator-1124","BSGatlas-terminator-1124")</f>
        <v>BSGatlas-terminator-1124</v>
      </c>
      <c r="B1125" s="3">
        <v>1765717</v>
      </c>
      <c r="C1125" s="3">
        <v>1765755</v>
      </c>
      <c r="D1125" s="1" t="s">
        <v>9</v>
      </c>
      <c r="E1125" s="1">
        <v>-12.8</v>
      </c>
      <c r="F1125" s="1" t="s">
        <v>15158</v>
      </c>
    </row>
    <row r="1126" spans="1:6" ht="21" x14ac:dyDescent="0.25">
      <c r="A1126" s="2" t="str">
        <f>HYPERLINK("https://rth.dk/resources/bsgatlas/details.php?id=BSGatlas-terminator-1125","BSGatlas-terminator-1125")</f>
        <v>BSGatlas-terminator-1125</v>
      </c>
      <c r="B1126" s="3">
        <v>1767128</v>
      </c>
      <c r="C1126" s="3">
        <v>1767166</v>
      </c>
      <c r="D1126" s="1" t="s">
        <v>9</v>
      </c>
      <c r="E1126" s="1">
        <v>-6.1</v>
      </c>
      <c r="F1126" s="1" t="s">
        <v>4382</v>
      </c>
    </row>
    <row r="1127" spans="1:6" ht="21" x14ac:dyDescent="0.25">
      <c r="A1127" s="2" t="str">
        <f>HYPERLINK("https://rth.dk/resources/bsgatlas/details.php?id=BSGatlas-terminator-1126","BSGatlas-terminator-1126")</f>
        <v>BSGatlas-terminator-1126</v>
      </c>
      <c r="B1127" s="3">
        <v>1768827</v>
      </c>
      <c r="C1127" s="3">
        <v>1768871</v>
      </c>
      <c r="D1127" s="1" t="s">
        <v>9</v>
      </c>
      <c r="E1127" s="1">
        <v>-9</v>
      </c>
      <c r="F1127" s="1" t="s">
        <v>15157</v>
      </c>
    </row>
    <row r="1128" spans="1:6" ht="21" x14ac:dyDescent="0.25">
      <c r="A1128" s="2" t="str">
        <f>HYPERLINK("https://rth.dk/resources/bsgatlas/details.php?id=BSGatlas-terminator-1127","BSGatlas-terminator-1127")</f>
        <v>BSGatlas-terminator-1127</v>
      </c>
      <c r="B1128" s="3">
        <v>1769849</v>
      </c>
      <c r="C1128" s="3">
        <v>1769893</v>
      </c>
      <c r="D1128" s="1" t="s">
        <v>13</v>
      </c>
      <c r="E1128" s="1">
        <v>-6.7</v>
      </c>
      <c r="F1128" s="1" t="s">
        <v>15157</v>
      </c>
    </row>
    <row r="1129" spans="1:6" ht="21" x14ac:dyDescent="0.25">
      <c r="A1129" s="2" t="str">
        <f>HYPERLINK("https://rth.dk/resources/bsgatlas/details.php?id=BSGatlas-terminator-1128","BSGatlas-terminator-1128")</f>
        <v>BSGatlas-terminator-1128</v>
      </c>
      <c r="B1129" s="3">
        <v>1770157</v>
      </c>
      <c r="C1129" s="3">
        <v>1770201</v>
      </c>
      <c r="D1129" s="1" t="s">
        <v>13</v>
      </c>
      <c r="E1129" s="1">
        <v>-6.7</v>
      </c>
      <c r="F1129" s="1" t="s">
        <v>15157</v>
      </c>
    </row>
    <row r="1130" spans="1:6" ht="21" x14ac:dyDescent="0.25">
      <c r="A1130" s="2" t="str">
        <f>HYPERLINK("https://rth.dk/resources/bsgatlas/details.php?id=BSGatlas-terminator-1129","BSGatlas-terminator-1129")</f>
        <v>BSGatlas-terminator-1129</v>
      </c>
      <c r="B1130" s="3">
        <v>1770209</v>
      </c>
      <c r="C1130" s="3">
        <v>1770257</v>
      </c>
      <c r="D1130" s="1" t="s">
        <v>9</v>
      </c>
      <c r="E1130" s="1">
        <v>-21.7</v>
      </c>
      <c r="F1130" s="1" t="s">
        <v>15158</v>
      </c>
    </row>
    <row r="1131" spans="1:6" ht="21" x14ac:dyDescent="0.25">
      <c r="A1131" s="2" t="str">
        <f>HYPERLINK("https://rth.dk/resources/bsgatlas/details.php?id=BSGatlas-terminator-1130","BSGatlas-terminator-1130")</f>
        <v>BSGatlas-terminator-1130</v>
      </c>
      <c r="B1131" s="3">
        <v>1772655</v>
      </c>
      <c r="C1131" s="3">
        <v>1772699</v>
      </c>
      <c r="D1131" s="1" t="s">
        <v>9</v>
      </c>
      <c r="E1131" s="1">
        <v>-12.5</v>
      </c>
      <c r="F1131" s="1" t="s">
        <v>15157</v>
      </c>
    </row>
    <row r="1132" spans="1:6" ht="21" x14ac:dyDescent="0.25">
      <c r="A1132" s="2" t="str">
        <f>HYPERLINK("https://rth.dk/resources/bsgatlas/details.php?id=BSGatlas-terminator-1131","BSGatlas-terminator-1131")</f>
        <v>BSGatlas-terminator-1131</v>
      </c>
      <c r="B1132" s="3">
        <v>1774766</v>
      </c>
      <c r="C1132" s="3">
        <v>1774810</v>
      </c>
      <c r="D1132" s="1" t="s">
        <v>9</v>
      </c>
      <c r="E1132" s="1">
        <v>-10.3</v>
      </c>
      <c r="F1132" s="1" t="s">
        <v>15157</v>
      </c>
    </row>
    <row r="1133" spans="1:6" ht="21" x14ac:dyDescent="0.25">
      <c r="A1133" s="2" t="str">
        <f>HYPERLINK("https://rth.dk/resources/bsgatlas/details.php?id=BSGatlas-terminator-1132","BSGatlas-terminator-1132")</f>
        <v>BSGatlas-terminator-1132</v>
      </c>
      <c r="B1133" s="3">
        <v>1775591</v>
      </c>
      <c r="C1133" s="3">
        <v>1775635</v>
      </c>
      <c r="D1133" s="1" t="s">
        <v>13</v>
      </c>
      <c r="E1133" s="1">
        <v>-11.4</v>
      </c>
      <c r="F1133" s="1" t="s">
        <v>15157</v>
      </c>
    </row>
    <row r="1134" spans="1:6" ht="21" x14ac:dyDescent="0.25">
      <c r="A1134" s="2" t="str">
        <f>HYPERLINK("https://rth.dk/resources/bsgatlas/details.php?id=BSGatlas-terminator-1133","BSGatlas-terminator-1133")</f>
        <v>BSGatlas-terminator-1133</v>
      </c>
      <c r="B1134" s="3">
        <v>1775612</v>
      </c>
      <c r="C1134" s="3">
        <v>1775662</v>
      </c>
      <c r="D1134" s="1" t="s">
        <v>9</v>
      </c>
      <c r="E1134" s="1">
        <v>-16.8</v>
      </c>
      <c r="F1134" s="1" t="s">
        <v>15158</v>
      </c>
    </row>
    <row r="1135" spans="1:6" ht="21" x14ac:dyDescent="0.25">
      <c r="A1135" s="2" t="str">
        <f>HYPERLINK("https://rth.dk/resources/bsgatlas/details.php?id=BSGatlas-terminator-1134","BSGatlas-terminator-1134")</f>
        <v>BSGatlas-terminator-1134</v>
      </c>
      <c r="B1135" s="3">
        <v>1780113</v>
      </c>
      <c r="C1135" s="3">
        <v>1780157</v>
      </c>
      <c r="D1135" s="1" t="s">
        <v>9</v>
      </c>
      <c r="E1135" s="1">
        <v>-18.600000000000001</v>
      </c>
      <c r="F1135" s="1" t="s">
        <v>15157</v>
      </c>
    </row>
    <row r="1136" spans="1:6" ht="21" x14ac:dyDescent="0.25">
      <c r="A1136" s="2" t="str">
        <f>HYPERLINK("https://rth.dk/resources/bsgatlas/details.php?id=BSGatlas-terminator-1135","BSGatlas-terminator-1135")</f>
        <v>BSGatlas-terminator-1135</v>
      </c>
      <c r="B1136" s="3">
        <v>1780123</v>
      </c>
      <c r="C1136" s="3">
        <v>1780167</v>
      </c>
      <c r="D1136" s="1" t="s">
        <v>13</v>
      </c>
      <c r="E1136" s="1">
        <v>-13.5</v>
      </c>
      <c r="F1136" s="1" t="s">
        <v>15162</v>
      </c>
    </row>
    <row r="1137" spans="1:6" ht="21" x14ac:dyDescent="0.25">
      <c r="A1137" s="2" t="str">
        <f>HYPERLINK("https://rth.dk/resources/bsgatlas/details.php?id=BSGatlas-terminator-1136","BSGatlas-terminator-1136")</f>
        <v>BSGatlas-terminator-1136</v>
      </c>
      <c r="B1137" s="3">
        <v>1780228</v>
      </c>
      <c r="C1137" s="3">
        <v>1780278</v>
      </c>
      <c r="D1137" s="1" t="s">
        <v>9</v>
      </c>
      <c r="E1137" s="1">
        <v>-23.4</v>
      </c>
      <c r="F1137" s="1" t="s">
        <v>4382</v>
      </c>
    </row>
    <row r="1138" spans="1:6" ht="21" x14ac:dyDescent="0.25">
      <c r="A1138" s="2" t="str">
        <f>HYPERLINK("https://rth.dk/resources/bsgatlas/details.php?id=BSGatlas-terminator-1137","BSGatlas-terminator-1137")</f>
        <v>BSGatlas-terminator-1137</v>
      </c>
      <c r="B1138" s="3">
        <v>1780467</v>
      </c>
      <c r="C1138" s="3">
        <v>1780511</v>
      </c>
      <c r="D1138" s="1" t="s">
        <v>9</v>
      </c>
      <c r="E1138" s="1">
        <v>-15.3</v>
      </c>
      <c r="F1138" s="1" t="s">
        <v>15157</v>
      </c>
    </row>
    <row r="1139" spans="1:6" ht="21" x14ac:dyDescent="0.25">
      <c r="A1139" s="2" t="str">
        <f>HYPERLINK("https://rth.dk/resources/bsgatlas/details.php?id=BSGatlas-terminator-1138","BSGatlas-terminator-1138")</f>
        <v>BSGatlas-terminator-1138</v>
      </c>
      <c r="B1139" s="3">
        <v>1782489</v>
      </c>
      <c r="C1139" s="3">
        <v>1782533</v>
      </c>
      <c r="D1139" s="1" t="s">
        <v>9</v>
      </c>
      <c r="E1139" s="1">
        <v>-17.100000000000001</v>
      </c>
      <c r="F1139" s="1" t="s">
        <v>15157</v>
      </c>
    </row>
    <row r="1140" spans="1:6" ht="21" x14ac:dyDescent="0.25">
      <c r="A1140" s="2" t="str">
        <f>HYPERLINK("https://rth.dk/resources/bsgatlas/details.php?id=BSGatlas-terminator-1139","BSGatlas-terminator-1139")</f>
        <v>BSGatlas-terminator-1139</v>
      </c>
      <c r="B1140" s="3">
        <v>1858488</v>
      </c>
      <c r="C1140" s="3">
        <v>1858532</v>
      </c>
      <c r="D1140" s="1" t="s">
        <v>9</v>
      </c>
      <c r="E1140" s="1">
        <v>-14.6</v>
      </c>
      <c r="F1140" s="1" t="s">
        <v>15157</v>
      </c>
    </row>
    <row r="1141" spans="1:6" ht="21" x14ac:dyDescent="0.25">
      <c r="A1141" s="2" t="str">
        <f>HYPERLINK("https://rth.dk/resources/bsgatlas/details.php?id=BSGatlas-terminator-1140","BSGatlas-terminator-1140")</f>
        <v>BSGatlas-terminator-1140</v>
      </c>
      <c r="B1141" s="3">
        <v>1858563</v>
      </c>
      <c r="C1141" s="3">
        <v>1858607</v>
      </c>
      <c r="D1141" s="1" t="s">
        <v>13</v>
      </c>
      <c r="E1141" s="1">
        <v>-16.8</v>
      </c>
      <c r="F1141" s="1" t="s">
        <v>15157</v>
      </c>
    </row>
    <row r="1142" spans="1:6" ht="21" x14ac:dyDescent="0.25">
      <c r="A1142" s="2" t="str">
        <f>HYPERLINK("https://rth.dk/resources/bsgatlas/details.php?id=BSGatlas-terminator-1141","BSGatlas-terminator-1141")</f>
        <v>BSGatlas-terminator-1141</v>
      </c>
      <c r="B1142" s="3">
        <v>1859986</v>
      </c>
      <c r="C1142" s="3">
        <v>1860030</v>
      </c>
      <c r="D1142" s="1" t="s">
        <v>13</v>
      </c>
      <c r="E1142" s="1">
        <v>-20.100000000000001</v>
      </c>
      <c r="F1142" s="1" t="s">
        <v>15157</v>
      </c>
    </row>
    <row r="1143" spans="1:6" ht="21" x14ac:dyDescent="0.25">
      <c r="A1143" s="2" t="str">
        <f>HYPERLINK("https://rth.dk/resources/bsgatlas/details.php?id=BSGatlas-terminator-1142","BSGatlas-terminator-1142")</f>
        <v>BSGatlas-terminator-1142</v>
      </c>
      <c r="B1143" s="3">
        <v>1861326</v>
      </c>
      <c r="C1143" s="3">
        <v>1861397</v>
      </c>
      <c r="D1143" s="1" t="s">
        <v>13</v>
      </c>
      <c r="E1143" s="1">
        <v>-16.899999999999999</v>
      </c>
      <c r="F1143" s="1" t="s">
        <v>15158</v>
      </c>
    </row>
    <row r="1144" spans="1:6" ht="21" x14ac:dyDescent="0.25">
      <c r="A1144" s="2" t="str">
        <f>HYPERLINK("https://rth.dk/resources/bsgatlas/details.php?id=BSGatlas-terminator-1143","BSGatlas-terminator-1143")</f>
        <v>BSGatlas-terminator-1143</v>
      </c>
      <c r="B1144" s="3">
        <v>1862917</v>
      </c>
      <c r="C1144" s="3">
        <v>1862961</v>
      </c>
      <c r="D1144" s="1" t="s">
        <v>13</v>
      </c>
      <c r="E1144" s="1">
        <v>-13</v>
      </c>
      <c r="F1144" s="1" t="s">
        <v>15157</v>
      </c>
    </row>
    <row r="1145" spans="1:6" ht="21" x14ac:dyDescent="0.25">
      <c r="A1145" s="2" t="str">
        <f>HYPERLINK("https://rth.dk/resources/bsgatlas/details.php?id=BSGatlas-terminator-1144","BSGatlas-terminator-1144")</f>
        <v>BSGatlas-terminator-1144</v>
      </c>
      <c r="B1145" s="3">
        <v>1863127</v>
      </c>
      <c r="C1145" s="3">
        <v>1863171</v>
      </c>
      <c r="D1145" s="1" t="s">
        <v>9</v>
      </c>
      <c r="E1145" s="1">
        <v>-5.5</v>
      </c>
      <c r="F1145" s="1" t="s">
        <v>15157</v>
      </c>
    </row>
    <row r="1146" spans="1:6" ht="21" x14ac:dyDescent="0.25">
      <c r="A1146" s="2" t="str">
        <f>HYPERLINK("https://rth.dk/resources/bsgatlas/details.php?id=BSGatlas-terminator-1145","BSGatlas-terminator-1145")</f>
        <v>BSGatlas-terminator-1145</v>
      </c>
      <c r="B1146" s="3">
        <v>1864643</v>
      </c>
      <c r="C1146" s="3">
        <v>1864687</v>
      </c>
      <c r="D1146" s="1" t="s">
        <v>9</v>
      </c>
      <c r="E1146" s="1">
        <v>-12.1</v>
      </c>
      <c r="F1146" s="1" t="s">
        <v>15157</v>
      </c>
    </row>
    <row r="1147" spans="1:6" ht="21" x14ac:dyDescent="0.25">
      <c r="A1147" s="2" t="str">
        <f>HYPERLINK("https://rth.dk/resources/bsgatlas/details.php?id=BSGatlas-terminator-1146","BSGatlas-terminator-1146")</f>
        <v>BSGatlas-terminator-1146</v>
      </c>
      <c r="B1147" s="3">
        <v>1864710</v>
      </c>
      <c r="C1147" s="3">
        <v>1864754</v>
      </c>
      <c r="D1147" s="1" t="s">
        <v>13</v>
      </c>
      <c r="E1147" s="1">
        <v>-8.6999999999999993</v>
      </c>
      <c r="F1147" s="1" t="s">
        <v>15157</v>
      </c>
    </row>
    <row r="1148" spans="1:6" ht="21" x14ac:dyDescent="0.25">
      <c r="A1148" s="2" t="str">
        <f>HYPERLINK("https://rth.dk/resources/bsgatlas/details.php?id=BSGatlas-terminator-1147","BSGatlas-terminator-1147")</f>
        <v>BSGatlas-terminator-1147</v>
      </c>
      <c r="B1148" s="3">
        <v>1865470</v>
      </c>
      <c r="C1148" s="3">
        <v>1865521</v>
      </c>
      <c r="D1148" s="1" t="s">
        <v>13</v>
      </c>
      <c r="E1148" s="1">
        <v>-14.3</v>
      </c>
      <c r="F1148" s="1" t="s">
        <v>15158</v>
      </c>
    </row>
    <row r="1149" spans="1:6" ht="21" x14ac:dyDescent="0.25">
      <c r="A1149" s="2" t="str">
        <f>HYPERLINK("https://rth.dk/resources/bsgatlas/details.php?id=BSGatlas-terminator-1148","BSGatlas-terminator-1148")</f>
        <v>BSGatlas-terminator-1148</v>
      </c>
      <c r="B1149" s="3">
        <v>1867362</v>
      </c>
      <c r="C1149" s="3">
        <v>1867406</v>
      </c>
      <c r="D1149" s="1" t="s">
        <v>13</v>
      </c>
      <c r="E1149" s="1">
        <v>-5.2</v>
      </c>
      <c r="F1149" s="1" t="s">
        <v>15157</v>
      </c>
    </row>
    <row r="1150" spans="1:6" ht="21" x14ac:dyDescent="0.25">
      <c r="A1150" s="2" t="str">
        <f>HYPERLINK("https://rth.dk/resources/bsgatlas/details.php?id=BSGatlas-terminator-1149","BSGatlas-terminator-1149")</f>
        <v>BSGatlas-terminator-1149</v>
      </c>
      <c r="B1150" s="3">
        <v>1867572</v>
      </c>
      <c r="C1150" s="3">
        <v>1867616</v>
      </c>
      <c r="D1150" s="1" t="s">
        <v>9</v>
      </c>
      <c r="E1150" s="1">
        <v>-17</v>
      </c>
      <c r="F1150" s="1" t="s">
        <v>15157</v>
      </c>
    </row>
    <row r="1151" spans="1:6" ht="21" x14ac:dyDescent="0.25">
      <c r="A1151" s="2" t="str">
        <f>HYPERLINK("https://rth.dk/resources/bsgatlas/details.php?id=BSGatlas-terminator-1150","BSGatlas-terminator-1150")</f>
        <v>BSGatlas-terminator-1150</v>
      </c>
      <c r="B1151" s="3">
        <v>1868386</v>
      </c>
      <c r="C1151" s="3">
        <v>1868430</v>
      </c>
      <c r="D1151" s="1" t="s">
        <v>9</v>
      </c>
      <c r="E1151" s="1">
        <v>-16.899999999999999</v>
      </c>
      <c r="F1151" s="1" t="s">
        <v>15162</v>
      </c>
    </row>
    <row r="1152" spans="1:6" ht="21" x14ac:dyDescent="0.25">
      <c r="A1152" s="2" t="str">
        <f>HYPERLINK("https://rth.dk/resources/bsgatlas/details.php?id=BSGatlas-terminator-1151","BSGatlas-terminator-1151")</f>
        <v>BSGatlas-terminator-1151</v>
      </c>
      <c r="B1152" s="3">
        <v>1872054</v>
      </c>
      <c r="C1152" s="3">
        <v>1872102</v>
      </c>
      <c r="D1152" s="1" t="s">
        <v>9</v>
      </c>
      <c r="E1152" s="1">
        <v>-14.1</v>
      </c>
      <c r="F1152" s="1" t="s">
        <v>15158</v>
      </c>
    </row>
    <row r="1153" spans="1:6" ht="21" x14ac:dyDescent="0.25">
      <c r="A1153" s="2" t="str">
        <f>HYPERLINK("https://rth.dk/resources/bsgatlas/details.php?id=BSGatlas-terminator-1152","BSGatlas-terminator-1152")</f>
        <v>BSGatlas-terminator-1152</v>
      </c>
      <c r="B1153" s="3">
        <v>1872085</v>
      </c>
      <c r="C1153" s="3">
        <v>1872129</v>
      </c>
      <c r="D1153" s="1" t="s">
        <v>13</v>
      </c>
      <c r="E1153" s="1">
        <v>-10.8</v>
      </c>
      <c r="F1153" s="1" t="s">
        <v>15162</v>
      </c>
    </row>
    <row r="1154" spans="1:6" ht="21" x14ac:dyDescent="0.25">
      <c r="A1154" s="2" t="str">
        <f>HYPERLINK("https://rth.dk/resources/bsgatlas/details.php?id=BSGatlas-terminator-1153","BSGatlas-terminator-1153")</f>
        <v>BSGatlas-terminator-1153</v>
      </c>
      <c r="B1154" s="3">
        <v>1872738</v>
      </c>
      <c r="C1154" s="3">
        <v>1872795</v>
      </c>
      <c r="D1154" s="1" t="s">
        <v>9</v>
      </c>
      <c r="E1154" s="1">
        <v>-21</v>
      </c>
      <c r="F1154" s="1" t="s">
        <v>15158</v>
      </c>
    </row>
    <row r="1155" spans="1:6" ht="21" x14ac:dyDescent="0.25">
      <c r="A1155" s="2" t="str">
        <f>HYPERLINK("https://rth.dk/resources/bsgatlas/details.php?id=BSGatlas-terminator-1154","BSGatlas-terminator-1154")</f>
        <v>BSGatlas-terminator-1154</v>
      </c>
      <c r="B1155" s="3">
        <v>1872739</v>
      </c>
      <c r="C1155" s="3">
        <v>1872785</v>
      </c>
      <c r="D1155" s="1" t="s">
        <v>13</v>
      </c>
      <c r="E1155" s="1">
        <v>-13.3</v>
      </c>
      <c r="F1155" s="1" t="s">
        <v>15158</v>
      </c>
    </row>
    <row r="1156" spans="1:6" ht="21" x14ac:dyDescent="0.25">
      <c r="A1156" s="2" t="str">
        <f>HYPERLINK("https://rth.dk/resources/bsgatlas/details.php?id=BSGatlas-terminator-1155","BSGatlas-terminator-1155")</f>
        <v>BSGatlas-terminator-1155</v>
      </c>
      <c r="B1156" s="3">
        <v>1875118</v>
      </c>
      <c r="C1156" s="3">
        <v>1875162</v>
      </c>
      <c r="D1156" s="1" t="s">
        <v>9</v>
      </c>
      <c r="E1156" s="1">
        <v>-15.5</v>
      </c>
      <c r="F1156" s="1" t="s">
        <v>15157</v>
      </c>
    </row>
    <row r="1157" spans="1:6" ht="21" x14ac:dyDescent="0.25">
      <c r="A1157" s="2" t="str">
        <f>HYPERLINK("https://rth.dk/resources/bsgatlas/details.php?id=BSGatlas-terminator-1156","BSGatlas-terminator-1156")</f>
        <v>BSGatlas-terminator-1156</v>
      </c>
      <c r="B1157" s="3">
        <v>1875164</v>
      </c>
      <c r="C1157" s="3">
        <v>1875210</v>
      </c>
      <c r="D1157" s="1" t="s">
        <v>9</v>
      </c>
      <c r="E1157" s="1">
        <v>-20</v>
      </c>
      <c r="F1157" s="1" t="s">
        <v>4382</v>
      </c>
    </row>
    <row r="1158" spans="1:6" ht="21" x14ac:dyDescent="0.25">
      <c r="A1158" s="2" t="str">
        <f>HYPERLINK("https://rth.dk/resources/bsgatlas/details.php?id=BSGatlas-terminator-1157","BSGatlas-terminator-1157")</f>
        <v>BSGatlas-terminator-1157</v>
      </c>
      <c r="B1158" s="3">
        <v>1877943</v>
      </c>
      <c r="C1158" s="3">
        <v>1877987</v>
      </c>
      <c r="D1158" s="1" t="s">
        <v>13</v>
      </c>
      <c r="E1158" s="1">
        <v>-10.3</v>
      </c>
      <c r="F1158" s="1" t="s">
        <v>15157</v>
      </c>
    </row>
    <row r="1159" spans="1:6" ht="21" x14ac:dyDescent="0.25">
      <c r="A1159" s="2" t="str">
        <f>HYPERLINK("https://rth.dk/resources/bsgatlas/details.php?id=BSGatlas-terminator-1158","BSGatlas-terminator-1158")</f>
        <v>BSGatlas-terminator-1158</v>
      </c>
      <c r="B1159" s="3">
        <v>1878321</v>
      </c>
      <c r="C1159" s="3">
        <v>1878369</v>
      </c>
      <c r="D1159" s="1" t="s">
        <v>9</v>
      </c>
      <c r="E1159" s="1">
        <v>-11.2</v>
      </c>
      <c r="F1159" s="1" t="s">
        <v>4382</v>
      </c>
    </row>
    <row r="1160" spans="1:6" ht="21" x14ac:dyDescent="0.25">
      <c r="A1160" s="2" t="str">
        <f>HYPERLINK("https://rth.dk/resources/bsgatlas/details.php?id=BSGatlas-terminator-1159","BSGatlas-terminator-1159")</f>
        <v>BSGatlas-terminator-1159</v>
      </c>
      <c r="B1160" s="3">
        <v>1878403</v>
      </c>
      <c r="C1160" s="3">
        <v>1878447</v>
      </c>
      <c r="D1160" s="1" t="s">
        <v>13</v>
      </c>
      <c r="E1160" s="1">
        <v>-10.3</v>
      </c>
      <c r="F1160" s="1" t="s">
        <v>15157</v>
      </c>
    </row>
    <row r="1161" spans="1:6" ht="21" x14ac:dyDescent="0.25">
      <c r="A1161" s="2" t="str">
        <f>HYPERLINK("https://rth.dk/resources/bsgatlas/details.php?id=BSGatlas-terminator-1160","BSGatlas-terminator-1160")</f>
        <v>BSGatlas-terminator-1160</v>
      </c>
      <c r="B1161" s="3">
        <v>1879714</v>
      </c>
      <c r="C1161" s="3">
        <v>1879758</v>
      </c>
      <c r="D1161" s="1" t="s">
        <v>9</v>
      </c>
      <c r="E1161" s="1">
        <v>-16.399999999999999</v>
      </c>
      <c r="F1161" s="1" t="s">
        <v>15157</v>
      </c>
    </row>
    <row r="1162" spans="1:6" ht="21" x14ac:dyDescent="0.25">
      <c r="A1162" s="2" t="str">
        <f>HYPERLINK("https://rth.dk/resources/bsgatlas/details.php?id=BSGatlas-terminator-1161","BSGatlas-terminator-1161")</f>
        <v>BSGatlas-terminator-1161</v>
      </c>
      <c r="B1162" s="3">
        <v>1879763</v>
      </c>
      <c r="C1162" s="3">
        <v>1879809</v>
      </c>
      <c r="D1162" s="1" t="s">
        <v>9</v>
      </c>
      <c r="E1162" s="1">
        <v>-21.1</v>
      </c>
      <c r="F1162" s="1" t="s">
        <v>4382</v>
      </c>
    </row>
    <row r="1163" spans="1:6" ht="21" x14ac:dyDescent="0.25">
      <c r="A1163" s="2" t="str">
        <f>HYPERLINK("https://rth.dk/resources/bsgatlas/details.php?id=BSGatlas-terminator-1162","BSGatlas-terminator-1162")</f>
        <v>BSGatlas-terminator-1162</v>
      </c>
      <c r="B1163" s="3">
        <v>1880373</v>
      </c>
      <c r="C1163" s="3">
        <v>1880414</v>
      </c>
      <c r="D1163" s="1" t="s">
        <v>9</v>
      </c>
      <c r="E1163" s="1">
        <v>-3.2</v>
      </c>
      <c r="F1163" s="1" t="s">
        <v>4382</v>
      </c>
    </row>
    <row r="1164" spans="1:6" ht="21" x14ac:dyDescent="0.25">
      <c r="A1164" s="2" t="str">
        <f>HYPERLINK("https://rth.dk/resources/bsgatlas/details.php?id=BSGatlas-terminator-1163","BSGatlas-terminator-1163")</f>
        <v>BSGatlas-terminator-1163</v>
      </c>
      <c r="B1164" s="3">
        <v>1880923</v>
      </c>
      <c r="C1164" s="3">
        <v>1880967</v>
      </c>
      <c r="D1164" s="1" t="s">
        <v>9</v>
      </c>
      <c r="E1164" s="1">
        <v>-8.3000000000000007</v>
      </c>
      <c r="F1164" s="1" t="s">
        <v>15157</v>
      </c>
    </row>
    <row r="1165" spans="1:6" ht="21" x14ac:dyDescent="0.25">
      <c r="A1165" s="2" t="str">
        <f>HYPERLINK("https://rth.dk/resources/bsgatlas/details.php?id=BSGatlas-terminator-1164","BSGatlas-terminator-1164")</f>
        <v>BSGatlas-terminator-1164</v>
      </c>
      <c r="B1165" s="3">
        <v>1882805</v>
      </c>
      <c r="C1165" s="3">
        <v>1882849</v>
      </c>
      <c r="D1165" s="1" t="s">
        <v>9</v>
      </c>
      <c r="E1165" s="1">
        <v>-14.4</v>
      </c>
      <c r="F1165" s="1" t="s">
        <v>15157</v>
      </c>
    </row>
    <row r="1166" spans="1:6" ht="21" x14ac:dyDescent="0.25">
      <c r="A1166" s="2" t="str">
        <f>HYPERLINK("https://rth.dk/resources/bsgatlas/details.php?id=BSGatlas-terminator-1165","BSGatlas-terminator-1165")</f>
        <v>BSGatlas-terminator-1165</v>
      </c>
      <c r="B1166" s="3">
        <v>1882871</v>
      </c>
      <c r="C1166" s="3">
        <v>1882915</v>
      </c>
      <c r="D1166" s="1" t="s">
        <v>9</v>
      </c>
      <c r="E1166" s="1">
        <v>-14.4</v>
      </c>
      <c r="F1166" s="1" t="s">
        <v>15157</v>
      </c>
    </row>
    <row r="1167" spans="1:6" ht="21" x14ac:dyDescent="0.25">
      <c r="A1167" s="2" t="str">
        <f>HYPERLINK("https://rth.dk/resources/bsgatlas/details.php?id=BSGatlas-terminator-1166","BSGatlas-terminator-1166")</f>
        <v>BSGatlas-terminator-1166</v>
      </c>
      <c r="B1167" s="3">
        <v>1885719</v>
      </c>
      <c r="C1167" s="3">
        <v>1885763</v>
      </c>
      <c r="D1167" s="1" t="s">
        <v>13</v>
      </c>
      <c r="E1167" s="1">
        <v>-14.4</v>
      </c>
      <c r="F1167" s="1" t="s">
        <v>15157</v>
      </c>
    </row>
    <row r="1168" spans="1:6" ht="21" x14ac:dyDescent="0.25">
      <c r="A1168" s="2" t="str">
        <f>HYPERLINK("https://rth.dk/resources/bsgatlas/details.php?id=BSGatlas-terminator-1167","BSGatlas-terminator-1167")</f>
        <v>BSGatlas-terminator-1167</v>
      </c>
      <c r="B1168" s="3">
        <v>1890377</v>
      </c>
      <c r="C1168" s="3">
        <v>1890428</v>
      </c>
      <c r="D1168" s="1" t="s">
        <v>9</v>
      </c>
      <c r="E1168" s="1">
        <v>-10.3</v>
      </c>
      <c r="F1168" s="1" t="s">
        <v>15158</v>
      </c>
    </row>
    <row r="1169" spans="1:6" ht="21" x14ac:dyDescent="0.25">
      <c r="A1169" s="2" t="str">
        <f>HYPERLINK("https://rth.dk/resources/bsgatlas/details.php?id=BSGatlas-terminator-1168","BSGatlas-terminator-1168")</f>
        <v>BSGatlas-terminator-1168</v>
      </c>
      <c r="B1169" s="3">
        <v>1890460</v>
      </c>
      <c r="C1169" s="3">
        <v>1890497</v>
      </c>
      <c r="D1169" s="1" t="s">
        <v>13</v>
      </c>
      <c r="E1169" s="1">
        <v>-8.4</v>
      </c>
      <c r="F1169" s="1" t="s">
        <v>15158</v>
      </c>
    </row>
    <row r="1170" spans="1:6" ht="21" x14ac:dyDescent="0.25">
      <c r="A1170" s="2" t="str">
        <f>HYPERLINK("https://rth.dk/resources/bsgatlas/details.php?id=BSGatlas-terminator-1169","BSGatlas-terminator-1169")</f>
        <v>BSGatlas-terminator-1169</v>
      </c>
      <c r="B1170" s="3">
        <v>1893255</v>
      </c>
      <c r="C1170" s="3">
        <v>1893299</v>
      </c>
      <c r="D1170" s="1" t="s">
        <v>9</v>
      </c>
      <c r="E1170" s="1">
        <v>-10.199999999999999</v>
      </c>
      <c r="F1170" s="1" t="s">
        <v>15162</v>
      </c>
    </row>
    <row r="1171" spans="1:6" ht="21" x14ac:dyDescent="0.25">
      <c r="A1171" s="2" t="str">
        <f>HYPERLINK("https://rth.dk/resources/bsgatlas/details.php?id=BSGatlas-terminator-1170","BSGatlas-terminator-1170")</f>
        <v>BSGatlas-terminator-1170</v>
      </c>
      <c r="B1171" s="3">
        <v>1895191</v>
      </c>
      <c r="C1171" s="3">
        <v>1895236</v>
      </c>
      <c r="D1171" s="1" t="s">
        <v>9</v>
      </c>
      <c r="E1171" s="1">
        <v>-16.5</v>
      </c>
      <c r="F1171" s="1" t="s">
        <v>15160</v>
      </c>
    </row>
    <row r="1172" spans="1:6" ht="21" x14ac:dyDescent="0.25">
      <c r="A1172" s="2" t="str">
        <f>HYPERLINK("https://rth.dk/resources/bsgatlas/details.php?id=BSGatlas-terminator-1171","BSGatlas-terminator-1171")</f>
        <v>BSGatlas-terminator-1171</v>
      </c>
      <c r="B1172" s="3">
        <v>1897807</v>
      </c>
      <c r="C1172" s="3">
        <v>1897851</v>
      </c>
      <c r="D1172" s="1" t="s">
        <v>9</v>
      </c>
      <c r="E1172" s="1">
        <v>-8.6</v>
      </c>
      <c r="F1172" s="1" t="s">
        <v>15157</v>
      </c>
    </row>
    <row r="1173" spans="1:6" ht="21" x14ac:dyDescent="0.25">
      <c r="A1173" s="2" t="str">
        <f>HYPERLINK("https://rth.dk/resources/bsgatlas/details.php?id=BSGatlas-terminator-1172","BSGatlas-terminator-1172")</f>
        <v>BSGatlas-terminator-1172</v>
      </c>
      <c r="B1173" s="3">
        <v>1897884</v>
      </c>
      <c r="C1173" s="3">
        <v>1897935</v>
      </c>
      <c r="D1173" s="1" t="s">
        <v>13</v>
      </c>
      <c r="E1173" s="1">
        <v>-12.2</v>
      </c>
      <c r="F1173" s="1" t="s">
        <v>15158</v>
      </c>
    </row>
    <row r="1174" spans="1:6" ht="21" x14ac:dyDescent="0.25">
      <c r="A1174" s="2" t="str">
        <f>HYPERLINK("https://rth.dk/resources/bsgatlas/details.php?id=BSGatlas-terminator-1173","BSGatlas-terminator-1173")</f>
        <v>BSGatlas-terminator-1173</v>
      </c>
      <c r="B1174" s="3">
        <v>1900230</v>
      </c>
      <c r="C1174" s="3">
        <v>1900296</v>
      </c>
      <c r="D1174" s="1" t="s">
        <v>13</v>
      </c>
      <c r="E1174" s="1"/>
      <c r="F1174" s="1" t="s">
        <v>15159</v>
      </c>
    </row>
    <row r="1175" spans="1:6" ht="21" x14ac:dyDescent="0.25">
      <c r="A1175" s="2" t="str">
        <f>HYPERLINK("https://rth.dk/resources/bsgatlas/details.php?id=BSGatlas-terminator-1174","BSGatlas-terminator-1174")</f>
        <v>BSGatlas-terminator-1174</v>
      </c>
      <c r="B1175" s="3">
        <v>1900339</v>
      </c>
      <c r="C1175" s="3">
        <v>1900383</v>
      </c>
      <c r="D1175" s="1" t="s">
        <v>9</v>
      </c>
      <c r="E1175" s="1">
        <v>-9.3000000000000007</v>
      </c>
      <c r="F1175" s="1" t="s">
        <v>15157</v>
      </c>
    </row>
    <row r="1176" spans="1:6" ht="21" x14ac:dyDescent="0.25">
      <c r="A1176" s="2" t="str">
        <f>HYPERLINK("https://rth.dk/resources/bsgatlas/details.php?id=BSGatlas-terminator-1175","BSGatlas-terminator-1175")</f>
        <v>BSGatlas-terminator-1175</v>
      </c>
      <c r="B1176" s="3">
        <v>1900591</v>
      </c>
      <c r="C1176" s="3">
        <v>1900635</v>
      </c>
      <c r="D1176" s="1" t="s">
        <v>13</v>
      </c>
      <c r="E1176" s="1">
        <v>-9.6999999999999993</v>
      </c>
      <c r="F1176" s="1" t="s">
        <v>15157</v>
      </c>
    </row>
    <row r="1177" spans="1:6" ht="21" x14ac:dyDescent="0.25">
      <c r="A1177" s="2" t="str">
        <f>HYPERLINK("https://rth.dk/resources/bsgatlas/details.php?id=BSGatlas-terminator-1176","BSGatlas-terminator-1176")</f>
        <v>BSGatlas-terminator-1176</v>
      </c>
      <c r="B1177" s="3">
        <v>1901095</v>
      </c>
      <c r="C1177" s="3">
        <v>1901139</v>
      </c>
      <c r="D1177" s="1" t="s">
        <v>13</v>
      </c>
      <c r="E1177" s="1">
        <v>-9.6999999999999993</v>
      </c>
      <c r="F1177" s="1" t="s">
        <v>15157</v>
      </c>
    </row>
    <row r="1178" spans="1:6" ht="21" x14ac:dyDescent="0.25">
      <c r="A1178" s="2" t="str">
        <f>HYPERLINK("https://rth.dk/resources/bsgatlas/details.php?id=BSGatlas-terminator-1177","BSGatlas-terminator-1177")</f>
        <v>BSGatlas-terminator-1177</v>
      </c>
      <c r="B1178" s="3">
        <v>1902996</v>
      </c>
      <c r="C1178" s="3">
        <v>1903040</v>
      </c>
      <c r="D1178" s="1" t="s">
        <v>9</v>
      </c>
      <c r="E1178" s="1">
        <v>-7.7</v>
      </c>
      <c r="F1178" s="1" t="s">
        <v>15157</v>
      </c>
    </row>
    <row r="1179" spans="1:6" ht="21" x14ac:dyDescent="0.25">
      <c r="A1179" s="2" t="str">
        <f>HYPERLINK("https://rth.dk/resources/bsgatlas/details.php?id=BSGatlas-terminator-1178","BSGatlas-terminator-1178")</f>
        <v>BSGatlas-terminator-1178</v>
      </c>
      <c r="B1179" s="3">
        <v>1903142</v>
      </c>
      <c r="C1179" s="3">
        <v>1903230</v>
      </c>
      <c r="D1179" s="1" t="s">
        <v>13</v>
      </c>
      <c r="E1179" s="1">
        <v>-6.6</v>
      </c>
      <c r="F1179" s="1" t="s">
        <v>15162</v>
      </c>
    </row>
    <row r="1180" spans="1:6" ht="21" x14ac:dyDescent="0.25">
      <c r="A1180" s="2" t="str">
        <f>HYPERLINK("https://rth.dk/resources/bsgatlas/details.php?id=BSGatlas-terminator-1179","BSGatlas-terminator-1179")</f>
        <v>BSGatlas-terminator-1179</v>
      </c>
      <c r="B1180" s="3">
        <v>1903440</v>
      </c>
      <c r="C1180" s="3">
        <v>1903484</v>
      </c>
      <c r="D1180" s="1" t="s">
        <v>9</v>
      </c>
      <c r="E1180" s="1">
        <v>-11.1</v>
      </c>
      <c r="F1180" s="1" t="s">
        <v>15157</v>
      </c>
    </row>
    <row r="1181" spans="1:6" ht="21" x14ac:dyDescent="0.25">
      <c r="A1181" s="2" t="str">
        <f>HYPERLINK("https://rth.dk/resources/bsgatlas/details.php?id=BSGatlas-terminator-1180","BSGatlas-terminator-1180")</f>
        <v>BSGatlas-terminator-1180</v>
      </c>
      <c r="B1181" s="3">
        <v>1903494</v>
      </c>
      <c r="C1181" s="3">
        <v>1903538</v>
      </c>
      <c r="D1181" s="1" t="s">
        <v>13</v>
      </c>
      <c r="E1181" s="1">
        <v>-11.1</v>
      </c>
      <c r="F1181" s="1" t="s">
        <v>15157</v>
      </c>
    </row>
    <row r="1182" spans="1:6" ht="21" x14ac:dyDescent="0.25">
      <c r="A1182" s="2" t="str">
        <f>HYPERLINK("https://rth.dk/resources/bsgatlas/details.php?id=BSGatlas-terminator-1181","BSGatlas-terminator-1181")</f>
        <v>BSGatlas-terminator-1181</v>
      </c>
      <c r="B1182" s="3">
        <v>1904930</v>
      </c>
      <c r="C1182" s="3">
        <v>1904967</v>
      </c>
      <c r="D1182" s="1" t="s">
        <v>13</v>
      </c>
      <c r="E1182" s="1">
        <v>-13.5</v>
      </c>
      <c r="F1182" s="1" t="s">
        <v>15158</v>
      </c>
    </row>
    <row r="1183" spans="1:6" ht="21" x14ac:dyDescent="0.25">
      <c r="A1183" s="2" t="str">
        <f>HYPERLINK("https://rth.dk/resources/bsgatlas/details.php?id=BSGatlas-terminator-1182","BSGatlas-terminator-1182")</f>
        <v>BSGatlas-terminator-1182</v>
      </c>
      <c r="B1183" s="3">
        <v>1905156</v>
      </c>
      <c r="C1183" s="3">
        <v>1905200</v>
      </c>
      <c r="D1183" s="1" t="s">
        <v>9</v>
      </c>
      <c r="E1183" s="1">
        <v>-8</v>
      </c>
      <c r="F1183" s="1" t="s">
        <v>15157</v>
      </c>
    </row>
    <row r="1184" spans="1:6" ht="21" x14ac:dyDescent="0.25">
      <c r="A1184" s="2" t="str">
        <f>HYPERLINK("https://rth.dk/resources/bsgatlas/details.php?id=BSGatlas-terminator-1183","BSGatlas-terminator-1183")</f>
        <v>BSGatlas-terminator-1183</v>
      </c>
      <c r="B1184" s="3">
        <v>1905364</v>
      </c>
      <c r="C1184" s="3">
        <v>1905408</v>
      </c>
      <c r="D1184" s="1" t="s">
        <v>13</v>
      </c>
      <c r="E1184" s="1">
        <v>-11</v>
      </c>
      <c r="F1184" s="1" t="s">
        <v>15157</v>
      </c>
    </row>
    <row r="1185" spans="1:6" ht="21" x14ac:dyDescent="0.25">
      <c r="A1185" s="2" t="str">
        <f>HYPERLINK("https://rth.dk/resources/bsgatlas/details.php?id=BSGatlas-terminator-1184","BSGatlas-terminator-1184")</f>
        <v>BSGatlas-terminator-1184</v>
      </c>
      <c r="B1185" s="3">
        <v>1906236</v>
      </c>
      <c r="C1185" s="3">
        <v>1906282</v>
      </c>
      <c r="D1185" s="1" t="s">
        <v>9</v>
      </c>
      <c r="E1185" s="1">
        <v>-8.5</v>
      </c>
      <c r="F1185" s="1" t="s">
        <v>4382</v>
      </c>
    </row>
    <row r="1186" spans="1:6" ht="21" x14ac:dyDescent="0.25">
      <c r="A1186" s="2" t="str">
        <f>HYPERLINK("https://rth.dk/resources/bsgatlas/details.php?id=BSGatlas-terminator-1185","BSGatlas-terminator-1185")</f>
        <v>BSGatlas-terminator-1185</v>
      </c>
      <c r="B1186" s="3">
        <v>1906266</v>
      </c>
      <c r="C1186" s="3">
        <v>1906310</v>
      </c>
      <c r="D1186" s="1" t="s">
        <v>13</v>
      </c>
      <c r="E1186" s="1">
        <v>-7</v>
      </c>
      <c r="F1186" s="1" t="s">
        <v>15157</v>
      </c>
    </row>
    <row r="1187" spans="1:6" ht="21" x14ac:dyDescent="0.25">
      <c r="A1187" s="2" t="str">
        <f>HYPERLINK("https://rth.dk/resources/bsgatlas/details.php?id=BSGatlas-terminator-1186","BSGatlas-terminator-1186")</f>
        <v>BSGatlas-terminator-1186</v>
      </c>
      <c r="B1187" s="3">
        <v>1907224</v>
      </c>
      <c r="C1187" s="3">
        <v>1907268</v>
      </c>
      <c r="D1187" s="1" t="s">
        <v>9</v>
      </c>
      <c r="E1187" s="1">
        <v>-11.9</v>
      </c>
      <c r="F1187" s="1" t="s">
        <v>15162</v>
      </c>
    </row>
    <row r="1188" spans="1:6" ht="21" x14ac:dyDescent="0.25">
      <c r="A1188" s="2" t="str">
        <f>HYPERLINK("https://rth.dk/resources/bsgatlas/details.php?id=BSGatlas-terminator-1187","BSGatlas-terminator-1187")</f>
        <v>BSGatlas-terminator-1187</v>
      </c>
      <c r="B1188" s="3">
        <v>1911383</v>
      </c>
      <c r="C1188" s="3">
        <v>1911431</v>
      </c>
      <c r="D1188" s="1" t="s">
        <v>9</v>
      </c>
      <c r="E1188" s="1">
        <v>-13.7</v>
      </c>
      <c r="F1188" s="1" t="s">
        <v>4382</v>
      </c>
    </row>
    <row r="1189" spans="1:6" ht="21" x14ac:dyDescent="0.25">
      <c r="A1189" s="2" t="str">
        <f>HYPERLINK("https://rth.dk/resources/bsgatlas/details.php?id=BSGatlas-terminator-1188","BSGatlas-terminator-1188")</f>
        <v>BSGatlas-terminator-1188</v>
      </c>
      <c r="B1189" s="3">
        <v>1914200</v>
      </c>
      <c r="C1189" s="3">
        <v>1914266</v>
      </c>
      <c r="D1189" s="1" t="s">
        <v>13</v>
      </c>
      <c r="E1189" s="1"/>
      <c r="F1189" s="1" t="s">
        <v>15159</v>
      </c>
    </row>
    <row r="1190" spans="1:6" ht="21" x14ac:dyDescent="0.25">
      <c r="A1190" s="2" t="str">
        <f>HYPERLINK("https://rth.dk/resources/bsgatlas/details.php?id=BSGatlas-terminator-1189","BSGatlas-terminator-1189")</f>
        <v>BSGatlas-terminator-1189</v>
      </c>
      <c r="B1190" s="3">
        <v>1914950</v>
      </c>
      <c r="C1190" s="3">
        <v>1914994</v>
      </c>
      <c r="D1190" s="1" t="s">
        <v>9</v>
      </c>
      <c r="E1190" s="1">
        <v>-10.4</v>
      </c>
      <c r="F1190" s="1" t="s">
        <v>15157</v>
      </c>
    </row>
    <row r="1191" spans="1:6" ht="21" x14ac:dyDescent="0.25">
      <c r="A1191" s="2" t="str">
        <f>HYPERLINK("https://rth.dk/resources/bsgatlas/details.php?id=BSGatlas-terminator-1190","BSGatlas-terminator-1190")</f>
        <v>BSGatlas-terminator-1190</v>
      </c>
      <c r="B1191" s="3">
        <v>1915022</v>
      </c>
      <c r="C1191" s="3">
        <v>1915066</v>
      </c>
      <c r="D1191" s="1" t="s">
        <v>13</v>
      </c>
      <c r="E1191" s="1">
        <v>-10.4</v>
      </c>
      <c r="F1191" s="1" t="s">
        <v>15157</v>
      </c>
    </row>
    <row r="1192" spans="1:6" ht="21" x14ac:dyDescent="0.25">
      <c r="A1192" s="2" t="str">
        <f>HYPERLINK("https://rth.dk/resources/bsgatlas/details.php?id=BSGatlas-terminator-1191","BSGatlas-terminator-1191")</f>
        <v>BSGatlas-terminator-1191</v>
      </c>
      <c r="B1192" s="3">
        <v>1915761</v>
      </c>
      <c r="C1192" s="3">
        <v>1915827</v>
      </c>
      <c r="D1192" s="1" t="s">
        <v>13</v>
      </c>
      <c r="E1192" s="1"/>
      <c r="F1192" s="1" t="s">
        <v>15159</v>
      </c>
    </row>
    <row r="1193" spans="1:6" ht="21" x14ac:dyDescent="0.25">
      <c r="A1193" s="2" t="str">
        <f>HYPERLINK("https://rth.dk/resources/bsgatlas/details.php?id=BSGatlas-terminator-1192","BSGatlas-terminator-1192")</f>
        <v>BSGatlas-terminator-1192</v>
      </c>
      <c r="B1193" s="3">
        <v>1915971</v>
      </c>
      <c r="C1193" s="3">
        <v>1916027</v>
      </c>
      <c r="D1193" s="1" t="s">
        <v>9</v>
      </c>
      <c r="E1193" s="1">
        <v>-18.2</v>
      </c>
      <c r="F1193" s="1" t="s">
        <v>15158</v>
      </c>
    </row>
    <row r="1194" spans="1:6" ht="21" x14ac:dyDescent="0.25">
      <c r="A1194" s="2" t="str">
        <f>HYPERLINK("https://rth.dk/resources/bsgatlas/details.php?id=BSGatlas-terminator-1193","BSGatlas-terminator-1193")</f>
        <v>BSGatlas-terminator-1193</v>
      </c>
      <c r="B1194" s="3">
        <v>1917529</v>
      </c>
      <c r="C1194" s="3">
        <v>1917581</v>
      </c>
      <c r="D1194" s="1" t="s">
        <v>9</v>
      </c>
      <c r="E1194" s="1">
        <v>-20.9</v>
      </c>
      <c r="F1194" s="1" t="s">
        <v>15158</v>
      </c>
    </row>
    <row r="1195" spans="1:6" ht="21" x14ac:dyDescent="0.25">
      <c r="A1195" s="2" t="str">
        <f>HYPERLINK("https://rth.dk/resources/bsgatlas/details.php?id=BSGatlas-terminator-1194","BSGatlas-terminator-1194")</f>
        <v>BSGatlas-terminator-1194</v>
      </c>
      <c r="B1195" s="3">
        <v>1917569</v>
      </c>
      <c r="C1195" s="3">
        <v>1917614</v>
      </c>
      <c r="D1195" s="1" t="s">
        <v>13</v>
      </c>
      <c r="E1195" s="1">
        <v>-19.899999999999999</v>
      </c>
      <c r="F1195" s="1" t="s">
        <v>4382</v>
      </c>
    </row>
    <row r="1196" spans="1:6" ht="21" x14ac:dyDescent="0.25">
      <c r="A1196" s="2" t="str">
        <f>HYPERLINK("https://rth.dk/resources/bsgatlas/details.php?id=BSGatlas-terminator-1195","BSGatlas-terminator-1195")</f>
        <v>BSGatlas-terminator-1195</v>
      </c>
      <c r="B1196" s="3">
        <v>1917618</v>
      </c>
      <c r="C1196" s="3">
        <v>1917662</v>
      </c>
      <c r="D1196" s="1" t="s">
        <v>13</v>
      </c>
      <c r="E1196" s="1">
        <v>-16.3</v>
      </c>
      <c r="F1196" s="1" t="s">
        <v>15157</v>
      </c>
    </row>
    <row r="1197" spans="1:6" ht="21" x14ac:dyDescent="0.25">
      <c r="A1197" s="2" t="str">
        <f>HYPERLINK("https://rth.dk/resources/bsgatlas/details.php?id=BSGatlas-terminator-1196","BSGatlas-terminator-1196")</f>
        <v>BSGatlas-terminator-1196</v>
      </c>
      <c r="B1197" s="3">
        <v>1919693</v>
      </c>
      <c r="C1197" s="3">
        <v>1919739</v>
      </c>
      <c r="D1197" s="1" t="s">
        <v>9</v>
      </c>
      <c r="E1197" s="1">
        <v>-17.2</v>
      </c>
      <c r="F1197" s="1" t="s">
        <v>4382</v>
      </c>
    </row>
    <row r="1198" spans="1:6" ht="21" x14ac:dyDescent="0.25">
      <c r="A1198" s="2" t="str">
        <f>HYPERLINK("https://rth.dk/resources/bsgatlas/details.php?id=BSGatlas-terminator-1197","BSGatlas-terminator-1197")</f>
        <v>BSGatlas-terminator-1197</v>
      </c>
      <c r="B1198" s="3">
        <v>1921870</v>
      </c>
      <c r="C1198" s="3">
        <v>1921911</v>
      </c>
      <c r="D1198" s="1" t="s">
        <v>9</v>
      </c>
      <c r="E1198" s="1">
        <v>-13.9</v>
      </c>
      <c r="F1198" s="1" t="s">
        <v>15158</v>
      </c>
    </row>
    <row r="1199" spans="1:6" ht="21" x14ac:dyDescent="0.25">
      <c r="A1199" s="2" t="str">
        <f>HYPERLINK("https://rth.dk/resources/bsgatlas/details.php?id=BSGatlas-terminator-1198","BSGatlas-terminator-1198")</f>
        <v>BSGatlas-terminator-1198</v>
      </c>
      <c r="B1199" s="3">
        <v>1922757</v>
      </c>
      <c r="C1199" s="3">
        <v>1922801</v>
      </c>
      <c r="D1199" s="1" t="s">
        <v>9</v>
      </c>
      <c r="E1199" s="1">
        <v>-4.3</v>
      </c>
      <c r="F1199" s="1" t="s">
        <v>15157</v>
      </c>
    </row>
    <row r="1200" spans="1:6" ht="21" x14ac:dyDescent="0.25">
      <c r="A1200" s="2" t="str">
        <f>HYPERLINK("https://rth.dk/resources/bsgatlas/details.php?id=BSGatlas-terminator-1199","BSGatlas-terminator-1199")</f>
        <v>BSGatlas-terminator-1199</v>
      </c>
      <c r="B1200" s="3">
        <v>1922799</v>
      </c>
      <c r="C1200" s="3">
        <v>1922830</v>
      </c>
      <c r="D1200" s="1" t="s">
        <v>13</v>
      </c>
      <c r="E1200" s="1">
        <v>-4.9000000000000004</v>
      </c>
      <c r="F1200" s="1" t="s">
        <v>4382</v>
      </c>
    </row>
    <row r="1201" spans="1:6" ht="21" x14ac:dyDescent="0.25">
      <c r="A1201" s="2" t="str">
        <f>HYPERLINK("https://rth.dk/resources/bsgatlas/details.php?id=BSGatlas-terminator-1200","BSGatlas-terminator-1200")</f>
        <v>BSGatlas-terminator-1200</v>
      </c>
      <c r="B1201" s="3">
        <v>1922808</v>
      </c>
      <c r="C1201" s="3">
        <v>1922841</v>
      </c>
      <c r="D1201" s="1" t="s">
        <v>9</v>
      </c>
      <c r="E1201" s="1">
        <v>-6.4</v>
      </c>
      <c r="F1201" s="1" t="s">
        <v>4382</v>
      </c>
    </row>
    <row r="1202" spans="1:6" ht="21" x14ac:dyDescent="0.25">
      <c r="A1202" s="2" t="str">
        <f>HYPERLINK("https://rth.dk/resources/bsgatlas/details.php?id=BSGatlas-terminator-1201","BSGatlas-terminator-1201")</f>
        <v>BSGatlas-terminator-1201</v>
      </c>
      <c r="B1202" s="3">
        <v>1922832</v>
      </c>
      <c r="C1202" s="3">
        <v>1922876</v>
      </c>
      <c r="D1202" s="1" t="s">
        <v>13</v>
      </c>
      <c r="E1202" s="1">
        <v>-4.3</v>
      </c>
      <c r="F1202" s="1" t="s">
        <v>15157</v>
      </c>
    </row>
    <row r="1203" spans="1:6" ht="21" x14ac:dyDescent="0.25">
      <c r="A1203" s="2" t="str">
        <f>HYPERLINK("https://rth.dk/resources/bsgatlas/details.php?id=BSGatlas-terminator-1202","BSGatlas-terminator-1202")</f>
        <v>BSGatlas-terminator-1202</v>
      </c>
      <c r="B1203" s="3">
        <v>1924952</v>
      </c>
      <c r="C1203" s="3">
        <v>1924993</v>
      </c>
      <c r="D1203" s="1" t="s">
        <v>13</v>
      </c>
      <c r="E1203" s="1">
        <v>-12.9</v>
      </c>
      <c r="F1203" s="1" t="s">
        <v>15158</v>
      </c>
    </row>
    <row r="1204" spans="1:6" ht="21" x14ac:dyDescent="0.25">
      <c r="A1204" s="2" t="str">
        <f>HYPERLINK("https://rth.dk/resources/bsgatlas/details.php?id=BSGatlas-terminator-1203","BSGatlas-terminator-1203")</f>
        <v>BSGatlas-terminator-1203</v>
      </c>
      <c r="B1204" s="3">
        <v>1924962</v>
      </c>
      <c r="C1204" s="3">
        <v>1925003</v>
      </c>
      <c r="D1204" s="1" t="s">
        <v>9</v>
      </c>
      <c r="E1204" s="1">
        <v>-12.2</v>
      </c>
      <c r="F1204" s="1" t="s">
        <v>15158</v>
      </c>
    </row>
    <row r="1205" spans="1:6" ht="21" x14ac:dyDescent="0.25">
      <c r="A1205" s="2" t="str">
        <f>HYPERLINK("https://rth.dk/resources/bsgatlas/details.php?id=BSGatlas-terminator-1204","BSGatlas-terminator-1204")</f>
        <v>BSGatlas-terminator-1204</v>
      </c>
      <c r="B1205" s="3">
        <v>1925572</v>
      </c>
      <c r="C1205" s="3">
        <v>1925616</v>
      </c>
      <c r="D1205" s="1" t="s">
        <v>9</v>
      </c>
      <c r="E1205" s="1">
        <v>-12.7</v>
      </c>
      <c r="F1205" s="1" t="s">
        <v>15157</v>
      </c>
    </row>
    <row r="1206" spans="1:6" ht="21" x14ac:dyDescent="0.25">
      <c r="A1206" s="2" t="str">
        <f>HYPERLINK("https://rth.dk/resources/bsgatlas/details.php?id=BSGatlas-terminator-1205","BSGatlas-terminator-1205")</f>
        <v>BSGatlas-terminator-1205</v>
      </c>
      <c r="B1206" s="3">
        <v>1925601</v>
      </c>
      <c r="C1206" s="3">
        <v>1925650</v>
      </c>
      <c r="D1206" s="1" t="s">
        <v>13</v>
      </c>
      <c r="E1206" s="1">
        <v>-15.7</v>
      </c>
      <c r="F1206" s="1" t="s">
        <v>15158</v>
      </c>
    </row>
    <row r="1207" spans="1:6" ht="21" x14ac:dyDescent="0.25">
      <c r="A1207" s="2" t="str">
        <f>HYPERLINK("https://rth.dk/resources/bsgatlas/details.php?id=BSGatlas-terminator-1206","BSGatlas-terminator-1206")</f>
        <v>BSGatlas-terminator-1206</v>
      </c>
      <c r="B1207" s="3">
        <v>1926091</v>
      </c>
      <c r="C1207" s="3">
        <v>1926126</v>
      </c>
      <c r="D1207" s="1" t="s">
        <v>13</v>
      </c>
      <c r="E1207" s="1">
        <v>-5.9</v>
      </c>
      <c r="F1207" s="1" t="s">
        <v>4382</v>
      </c>
    </row>
    <row r="1208" spans="1:6" ht="21" x14ac:dyDescent="0.25">
      <c r="A1208" s="2" t="str">
        <f>HYPERLINK("https://rth.dk/resources/bsgatlas/details.php?id=BSGatlas-terminator-1207","BSGatlas-terminator-1207")</f>
        <v>BSGatlas-terminator-1207</v>
      </c>
      <c r="B1208" s="3">
        <v>1926127</v>
      </c>
      <c r="C1208" s="3">
        <v>1926171</v>
      </c>
      <c r="D1208" s="1" t="s">
        <v>13</v>
      </c>
      <c r="E1208" s="1">
        <v>-4.3</v>
      </c>
      <c r="F1208" s="1" t="s">
        <v>15157</v>
      </c>
    </row>
    <row r="1209" spans="1:6" ht="21" x14ac:dyDescent="0.25">
      <c r="A1209" s="2" t="str">
        <f>HYPERLINK("https://rth.dk/resources/bsgatlas/details.php?id=BSGatlas-terminator-1208","BSGatlas-terminator-1208")</f>
        <v>BSGatlas-terminator-1208</v>
      </c>
      <c r="B1209" s="3">
        <v>1926616</v>
      </c>
      <c r="C1209" s="3">
        <v>1926660</v>
      </c>
      <c r="D1209" s="1" t="s">
        <v>13</v>
      </c>
      <c r="E1209" s="1">
        <v>-4.3</v>
      </c>
      <c r="F1209" s="1" t="s">
        <v>15157</v>
      </c>
    </row>
    <row r="1210" spans="1:6" ht="21" x14ac:dyDescent="0.25">
      <c r="A1210" s="2" t="str">
        <f>HYPERLINK("https://rth.dk/resources/bsgatlas/details.php?id=BSGatlas-terminator-1209","BSGatlas-terminator-1209")</f>
        <v>BSGatlas-terminator-1209</v>
      </c>
      <c r="B1210" s="3">
        <v>1929419</v>
      </c>
      <c r="C1210" s="3">
        <v>1929459</v>
      </c>
      <c r="D1210" s="1" t="s">
        <v>9</v>
      </c>
      <c r="E1210" s="1">
        <v>-13.6</v>
      </c>
      <c r="F1210" s="1" t="s">
        <v>4382</v>
      </c>
    </row>
    <row r="1211" spans="1:6" ht="21" x14ac:dyDescent="0.25">
      <c r="A1211" s="2" t="str">
        <f>HYPERLINK("https://rth.dk/resources/bsgatlas/details.php?id=BSGatlas-terminator-1210","BSGatlas-terminator-1210")</f>
        <v>BSGatlas-terminator-1210</v>
      </c>
      <c r="B1211" s="3">
        <v>1929928</v>
      </c>
      <c r="C1211" s="3">
        <v>1929972</v>
      </c>
      <c r="D1211" s="1" t="s">
        <v>9</v>
      </c>
      <c r="E1211" s="1">
        <v>-6.9</v>
      </c>
      <c r="F1211" s="1" t="s">
        <v>15157</v>
      </c>
    </row>
    <row r="1212" spans="1:6" ht="21" x14ac:dyDescent="0.25">
      <c r="A1212" s="2" t="str">
        <f>HYPERLINK("https://rth.dk/resources/bsgatlas/details.php?id=BSGatlas-terminator-1211","BSGatlas-terminator-1211")</f>
        <v>BSGatlas-terminator-1211</v>
      </c>
      <c r="B1212" s="3">
        <v>1929974</v>
      </c>
      <c r="C1212" s="3">
        <v>1930014</v>
      </c>
      <c r="D1212" s="1" t="s">
        <v>9</v>
      </c>
      <c r="E1212" s="1">
        <v>-9.4</v>
      </c>
      <c r="F1212" s="1" t="s">
        <v>4382</v>
      </c>
    </row>
    <row r="1213" spans="1:6" ht="21" x14ac:dyDescent="0.25">
      <c r="A1213" s="2" t="str">
        <f>HYPERLINK("https://rth.dk/resources/bsgatlas/details.php?id=BSGatlas-terminator-1212","BSGatlas-terminator-1212")</f>
        <v>BSGatlas-terminator-1212</v>
      </c>
      <c r="B1213" s="3">
        <v>1930070</v>
      </c>
      <c r="C1213" s="3">
        <v>1930114</v>
      </c>
      <c r="D1213" s="1" t="s">
        <v>13</v>
      </c>
      <c r="E1213" s="1">
        <v>-13.9</v>
      </c>
      <c r="F1213" s="1" t="s">
        <v>15157</v>
      </c>
    </row>
    <row r="1214" spans="1:6" ht="21" x14ac:dyDescent="0.25">
      <c r="A1214" s="2" t="str">
        <f>HYPERLINK("https://rth.dk/resources/bsgatlas/details.php?id=BSGatlas-terminator-1213","BSGatlas-terminator-1213")</f>
        <v>BSGatlas-terminator-1213</v>
      </c>
      <c r="B1214" s="3">
        <v>1930698</v>
      </c>
      <c r="C1214" s="3">
        <v>1930731</v>
      </c>
      <c r="D1214" s="1" t="s">
        <v>9</v>
      </c>
      <c r="E1214" s="1">
        <v>-11</v>
      </c>
      <c r="F1214" s="1" t="s">
        <v>15158</v>
      </c>
    </row>
    <row r="1215" spans="1:6" ht="21" x14ac:dyDescent="0.25">
      <c r="A1215" s="2" t="str">
        <f>HYPERLINK("https://rth.dk/resources/bsgatlas/details.php?id=BSGatlas-terminator-1214","BSGatlas-terminator-1214")</f>
        <v>BSGatlas-terminator-1214</v>
      </c>
      <c r="B1215" s="3">
        <v>1931468</v>
      </c>
      <c r="C1215" s="3">
        <v>1931512</v>
      </c>
      <c r="D1215" s="1" t="s">
        <v>9</v>
      </c>
      <c r="E1215" s="1">
        <v>-6</v>
      </c>
      <c r="F1215" s="1" t="s">
        <v>15157</v>
      </c>
    </row>
    <row r="1216" spans="1:6" ht="21" x14ac:dyDescent="0.25">
      <c r="A1216" s="2" t="str">
        <f>HYPERLINK("https://rth.dk/resources/bsgatlas/details.php?id=BSGatlas-terminator-1215","BSGatlas-terminator-1215")</f>
        <v>BSGatlas-terminator-1215</v>
      </c>
      <c r="B1216" s="3">
        <v>1931544</v>
      </c>
      <c r="C1216" s="3">
        <v>1931588</v>
      </c>
      <c r="D1216" s="1" t="s">
        <v>13</v>
      </c>
      <c r="E1216" s="1">
        <v>-6</v>
      </c>
      <c r="F1216" s="1" t="s">
        <v>15157</v>
      </c>
    </row>
    <row r="1217" spans="1:6" ht="21" x14ac:dyDescent="0.25">
      <c r="A1217" s="2" t="str">
        <f>HYPERLINK("https://rth.dk/resources/bsgatlas/details.php?id=BSGatlas-terminator-1216","BSGatlas-terminator-1216")</f>
        <v>BSGatlas-terminator-1216</v>
      </c>
      <c r="B1217" s="3">
        <v>1931610</v>
      </c>
      <c r="C1217" s="3">
        <v>1931654</v>
      </c>
      <c r="D1217" s="1" t="s">
        <v>13</v>
      </c>
      <c r="E1217" s="1">
        <v>-6</v>
      </c>
      <c r="F1217" s="1" t="s">
        <v>15157</v>
      </c>
    </row>
    <row r="1218" spans="1:6" ht="21" x14ac:dyDescent="0.25">
      <c r="A1218" s="2" t="str">
        <f>HYPERLINK("https://rth.dk/resources/bsgatlas/details.php?id=BSGatlas-terminator-1217","BSGatlas-terminator-1217")</f>
        <v>BSGatlas-terminator-1217</v>
      </c>
      <c r="B1218" s="3">
        <v>1933052</v>
      </c>
      <c r="C1218" s="3">
        <v>1933096</v>
      </c>
      <c r="D1218" s="1" t="s">
        <v>9</v>
      </c>
      <c r="E1218" s="1">
        <v>-6</v>
      </c>
      <c r="F1218" s="1" t="s">
        <v>15157</v>
      </c>
    </row>
    <row r="1219" spans="1:6" ht="21" x14ac:dyDescent="0.25">
      <c r="A1219" s="2" t="str">
        <f>HYPERLINK("https://rth.dk/resources/bsgatlas/details.php?id=BSGatlas-terminator-1218","BSGatlas-terminator-1218")</f>
        <v>BSGatlas-terminator-1218</v>
      </c>
      <c r="B1219" s="3">
        <v>1937854</v>
      </c>
      <c r="C1219" s="3">
        <v>1937913</v>
      </c>
      <c r="D1219" s="1" t="s">
        <v>9</v>
      </c>
      <c r="E1219" s="1">
        <v>-18.5</v>
      </c>
      <c r="F1219" s="1" t="s">
        <v>15158</v>
      </c>
    </row>
    <row r="1220" spans="1:6" ht="21" x14ac:dyDescent="0.25">
      <c r="A1220" s="2" t="str">
        <f>HYPERLINK("https://rth.dk/resources/bsgatlas/details.php?id=BSGatlas-terminator-1219","BSGatlas-terminator-1219")</f>
        <v>BSGatlas-terminator-1219</v>
      </c>
      <c r="B1220" s="3">
        <v>1937897</v>
      </c>
      <c r="C1220" s="3">
        <v>1937941</v>
      </c>
      <c r="D1220" s="1" t="s">
        <v>13</v>
      </c>
      <c r="E1220" s="1">
        <v>-14.6</v>
      </c>
      <c r="F1220" s="1" t="s">
        <v>15162</v>
      </c>
    </row>
    <row r="1221" spans="1:6" ht="21" x14ac:dyDescent="0.25">
      <c r="A1221" s="2" t="str">
        <f>HYPERLINK("https://rth.dk/resources/bsgatlas/details.php?id=BSGatlas-terminator-1220","BSGatlas-terminator-1220")</f>
        <v>BSGatlas-terminator-1220</v>
      </c>
      <c r="B1221" s="3">
        <v>1940289</v>
      </c>
      <c r="C1221" s="3">
        <v>1940333</v>
      </c>
      <c r="D1221" s="1" t="s">
        <v>9</v>
      </c>
      <c r="E1221" s="1">
        <v>-14.7</v>
      </c>
      <c r="F1221" s="1" t="s">
        <v>15157</v>
      </c>
    </row>
    <row r="1222" spans="1:6" ht="21" x14ac:dyDescent="0.25">
      <c r="A1222" s="2" t="str">
        <f>HYPERLINK("https://rth.dk/resources/bsgatlas/details.php?id=BSGatlas-terminator-1221","BSGatlas-terminator-1221")</f>
        <v>BSGatlas-terminator-1221</v>
      </c>
      <c r="B1222" s="3">
        <v>1940335</v>
      </c>
      <c r="C1222" s="3">
        <v>1940379</v>
      </c>
      <c r="D1222" s="1" t="s">
        <v>9</v>
      </c>
      <c r="E1222" s="1">
        <v>-18.399999999999999</v>
      </c>
      <c r="F1222" s="1" t="s">
        <v>15158</v>
      </c>
    </row>
    <row r="1223" spans="1:6" ht="21" x14ac:dyDescent="0.25">
      <c r="A1223" s="2" t="str">
        <f>HYPERLINK("https://rth.dk/resources/bsgatlas/details.php?id=BSGatlas-terminator-1222","BSGatlas-terminator-1222")</f>
        <v>BSGatlas-terminator-1222</v>
      </c>
      <c r="B1223" s="3">
        <v>1942050</v>
      </c>
      <c r="C1223" s="3">
        <v>1942094</v>
      </c>
      <c r="D1223" s="1" t="s">
        <v>9</v>
      </c>
      <c r="E1223" s="1">
        <v>-10.7</v>
      </c>
      <c r="F1223" s="1" t="s">
        <v>15157</v>
      </c>
    </row>
    <row r="1224" spans="1:6" ht="21" x14ac:dyDescent="0.25">
      <c r="A1224" s="2" t="str">
        <f>HYPERLINK("https://rth.dk/resources/bsgatlas/details.php?id=BSGatlas-terminator-1223","BSGatlas-terminator-1223")</f>
        <v>BSGatlas-terminator-1223</v>
      </c>
      <c r="B1224" s="3">
        <v>1942136</v>
      </c>
      <c r="C1224" s="3">
        <v>1942177</v>
      </c>
      <c r="D1224" s="1" t="s">
        <v>9</v>
      </c>
      <c r="E1224" s="1">
        <v>-14.5</v>
      </c>
      <c r="F1224" s="1" t="s">
        <v>4382</v>
      </c>
    </row>
    <row r="1225" spans="1:6" ht="21" x14ac:dyDescent="0.25">
      <c r="A1225" s="2" t="str">
        <f>HYPERLINK("https://rth.dk/resources/bsgatlas/details.php?id=BSGatlas-terminator-1224","BSGatlas-terminator-1224")</f>
        <v>BSGatlas-terminator-1224</v>
      </c>
      <c r="B1225" s="3">
        <v>1942692</v>
      </c>
      <c r="C1225" s="3">
        <v>1942736</v>
      </c>
      <c r="D1225" s="1" t="s">
        <v>13</v>
      </c>
      <c r="E1225" s="1">
        <v>-12.6</v>
      </c>
      <c r="F1225" s="1" t="s">
        <v>15157</v>
      </c>
    </row>
    <row r="1226" spans="1:6" ht="21" x14ac:dyDescent="0.25">
      <c r="A1226" s="2" t="str">
        <f>HYPERLINK("https://rth.dk/resources/bsgatlas/details.php?id=BSGatlas-terminator-1225","BSGatlas-terminator-1225")</f>
        <v>BSGatlas-terminator-1225</v>
      </c>
      <c r="B1226" s="3">
        <v>1948232</v>
      </c>
      <c r="C1226" s="3">
        <v>1948276</v>
      </c>
      <c r="D1226" s="1" t="s">
        <v>9</v>
      </c>
      <c r="E1226" s="1">
        <v>-15</v>
      </c>
      <c r="F1226" s="1" t="s">
        <v>15157</v>
      </c>
    </row>
    <row r="1227" spans="1:6" ht="21" x14ac:dyDescent="0.25">
      <c r="A1227" s="2" t="str">
        <f>HYPERLINK("https://rth.dk/resources/bsgatlas/details.php?id=BSGatlas-terminator-1226","BSGatlas-terminator-1226")</f>
        <v>BSGatlas-terminator-1226</v>
      </c>
      <c r="B1227" s="3">
        <v>1949633</v>
      </c>
      <c r="C1227" s="3">
        <v>1949673</v>
      </c>
      <c r="D1227" s="1" t="s">
        <v>13</v>
      </c>
      <c r="E1227" s="1">
        <v>-15</v>
      </c>
      <c r="F1227" s="1" t="s">
        <v>15158</v>
      </c>
    </row>
    <row r="1228" spans="1:6" ht="21" x14ac:dyDescent="0.25">
      <c r="A1228" s="2" t="str">
        <f>HYPERLINK("https://rth.dk/resources/bsgatlas/details.php?id=BSGatlas-terminator-1227","BSGatlas-terminator-1227")</f>
        <v>BSGatlas-terminator-1227</v>
      </c>
      <c r="B1228" s="3">
        <v>1957982</v>
      </c>
      <c r="C1228" s="3">
        <v>1958033</v>
      </c>
      <c r="D1228" s="1" t="s">
        <v>13</v>
      </c>
      <c r="E1228" s="1">
        <v>-10.6</v>
      </c>
      <c r="F1228" s="1" t="s">
        <v>15158</v>
      </c>
    </row>
    <row r="1229" spans="1:6" ht="21" x14ac:dyDescent="0.25">
      <c r="A1229" s="2" t="str">
        <f>HYPERLINK("https://rth.dk/resources/bsgatlas/details.php?id=BSGatlas-terminator-1228","BSGatlas-terminator-1228")</f>
        <v>BSGatlas-terminator-1228</v>
      </c>
      <c r="B1229" s="3">
        <v>1959704</v>
      </c>
      <c r="C1229" s="3">
        <v>1959748</v>
      </c>
      <c r="D1229" s="1" t="s">
        <v>13</v>
      </c>
      <c r="E1229" s="1">
        <v>-11.4</v>
      </c>
      <c r="F1229" s="1" t="s">
        <v>15157</v>
      </c>
    </row>
    <row r="1230" spans="1:6" ht="21" x14ac:dyDescent="0.25">
      <c r="A1230" s="2" t="str">
        <f>HYPERLINK("https://rth.dk/resources/bsgatlas/details.php?id=BSGatlas-terminator-1229","BSGatlas-terminator-1229")</f>
        <v>BSGatlas-terminator-1229</v>
      </c>
      <c r="B1230" s="3">
        <v>1960188</v>
      </c>
      <c r="C1230" s="3">
        <v>1960232</v>
      </c>
      <c r="D1230" s="1" t="s">
        <v>13</v>
      </c>
      <c r="E1230" s="1">
        <v>-16.7</v>
      </c>
      <c r="F1230" s="1" t="s">
        <v>15157</v>
      </c>
    </row>
    <row r="1231" spans="1:6" ht="21" x14ac:dyDescent="0.25">
      <c r="A1231" s="2" t="str">
        <f>HYPERLINK("https://rth.dk/resources/bsgatlas/details.php?id=BSGatlas-terminator-1230","BSGatlas-terminator-1230")</f>
        <v>BSGatlas-terminator-1230</v>
      </c>
      <c r="B1231" s="3">
        <v>1986214</v>
      </c>
      <c r="C1231" s="3">
        <v>1986258</v>
      </c>
      <c r="D1231" s="1" t="s">
        <v>13</v>
      </c>
      <c r="E1231" s="1">
        <v>-10.199999999999999</v>
      </c>
      <c r="F1231" s="1" t="s">
        <v>15157</v>
      </c>
    </row>
    <row r="1232" spans="1:6" ht="21" x14ac:dyDescent="0.25">
      <c r="A1232" s="2" t="str">
        <f>HYPERLINK("https://rth.dk/resources/bsgatlas/details.php?id=BSGatlas-terminator-1231","BSGatlas-terminator-1231")</f>
        <v>BSGatlas-terminator-1231</v>
      </c>
      <c r="B1232" s="3">
        <v>1998292</v>
      </c>
      <c r="C1232" s="3">
        <v>1998334</v>
      </c>
      <c r="D1232" s="1" t="s">
        <v>13</v>
      </c>
      <c r="E1232" s="1">
        <v>-13.3</v>
      </c>
      <c r="F1232" s="1" t="s">
        <v>15158</v>
      </c>
    </row>
    <row r="1233" spans="1:6" ht="21" x14ac:dyDescent="0.25">
      <c r="A1233" s="2" t="str">
        <f>HYPERLINK("https://rth.dk/resources/bsgatlas/details.php?id=BSGatlas-terminator-1232","BSGatlas-terminator-1232")</f>
        <v>BSGatlas-terminator-1232</v>
      </c>
      <c r="B1233" s="3">
        <v>2000952</v>
      </c>
      <c r="C1233" s="3">
        <v>2000996</v>
      </c>
      <c r="D1233" s="1" t="s">
        <v>13</v>
      </c>
      <c r="E1233" s="1">
        <v>-12.3</v>
      </c>
      <c r="F1233" s="1" t="s">
        <v>15157</v>
      </c>
    </row>
    <row r="1234" spans="1:6" ht="21" x14ac:dyDescent="0.25">
      <c r="A1234" s="2" t="str">
        <f>HYPERLINK("https://rth.dk/resources/bsgatlas/details.php?id=BSGatlas-terminator-1233","BSGatlas-terminator-1233")</f>
        <v>BSGatlas-terminator-1233</v>
      </c>
      <c r="B1234" s="3">
        <v>2001098</v>
      </c>
      <c r="C1234" s="3">
        <v>2001142</v>
      </c>
      <c r="D1234" s="1" t="s">
        <v>9</v>
      </c>
      <c r="E1234" s="1">
        <v>-9.3000000000000007</v>
      </c>
      <c r="F1234" s="1" t="s">
        <v>15157</v>
      </c>
    </row>
    <row r="1235" spans="1:6" ht="21" x14ac:dyDescent="0.25">
      <c r="A1235" s="2" t="str">
        <f>HYPERLINK("https://rth.dk/resources/bsgatlas/details.php?id=BSGatlas-terminator-1234","BSGatlas-terminator-1234")</f>
        <v>BSGatlas-terminator-1234</v>
      </c>
      <c r="B1235" s="3">
        <v>2003144</v>
      </c>
      <c r="C1235" s="3">
        <v>2003188</v>
      </c>
      <c r="D1235" s="1" t="s">
        <v>9</v>
      </c>
      <c r="E1235" s="1">
        <v>-9.3000000000000007</v>
      </c>
      <c r="F1235" s="1" t="s">
        <v>15157</v>
      </c>
    </row>
    <row r="1236" spans="1:6" ht="21" x14ac:dyDescent="0.25">
      <c r="A1236" s="2" t="str">
        <f>HYPERLINK("https://rth.dk/resources/bsgatlas/details.php?id=BSGatlas-terminator-1235","BSGatlas-terminator-1235")</f>
        <v>BSGatlas-terminator-1235</v>
      </c>
      <c r="B1236" s="3">
        <v>2003352</v>
      </c>
      <c r="C1236" s="3">
        <v>2003396</v>
      </c>
      <c r="D1236" s="1" t="s">
        <v>13</v>
      </c>
      <c r="E1236" s="1">
        <v>-15.1</v>
      </c>
      <c r="F1236" s="1" t="s">
        <v>15157</v>
      </c>
    </row>
    <row r="1237" spans="1:6" ht="21" x14ac:dyDescent="0.25">
      <c r="A1237" s="2" t="str">
        <f>HYPERLINK("https://rth.dk/resources/bsgatlas/details.php?id=BSGatlas-terminator-1236","BSGatlas-terminator-1236")</f>
        <v>BSGatlas-terminator-1236</v>
      </c>
      <c r="B1237" s="3">
        <v>2004254</v>
      </c>
      <c r="C1237" s="3">
        <v>2004298</v>
      </c>
      <c r="D1237" s="1" t="s">
        <v>13</v>
      </c>
      <c r="E1237" s="1">
        <v>-8.6</v>
      </c>
      <c r="F1237" s="1" t="s">
        <v>15157</v>
      </c>
    </row>
    <row r="1238" spans="1:6" ht="21" x14ac:dyDescent="0.25">
      <c r="A1238" s="2" t="str">
        <f>HYPERLINK("https://rth.dk/resources/bsgatlas/details.php?id=BSGatlas-terminator-1237","BSGatlas-terminator-1237")</f>
        <v>BSGatlas-terminator-1237</v>
      </c>
      <c r="B1238" s="3">
        <v>2006399</v>
      </c>
      <c r="C1238" s="3">
        <v>2006443</v>
      </c>
      <c r="D1238" s="1" t="s">
        <v>9</v>
      </c>
      <c r="E1238" s="1">
        <v>-10.4</v>
      </c>
      <c r="F1238" s="1" t="s">
        <v>15157</v>
      </c>
    </row>
    <row r="1239" spans="1:6" ht="21" x14ac:dyDescent="0.25">
      <c r="A1239" s="2" t="str">
        <f>HYPERLINK("https://rth.dk/resources/bsgatlas/details.php?id=BSGatlas-terminator-1238","BSGatlas-terminator-1238")</f>
        <v>BSGatlas-terminator-1238</v>
      </c>
      <c r="B1239" s="3">
        <v>2006488</v>
      </c>
      <c r="C1239" s="3">
        <v>2006553</v>
      </c>
      <c r="D1239" s="1" t="s">
        <v>13</v>
      </c>
      <c r="E1239" s="1">
        <v>-12.5</v>
      </c>
      <c r="F1239" s="1" t="s">
        <v>4382</v>
      </c>
    </row>
    <row r="1240" spans="1:6" ht="21" x14ac:dyDescent="0.25">
      <c r="A1240" s="2" t="str">
        <f>HYPERLINK("https://rth.dk/resources/bsgatlas/details.php?id=BSGatlas-terminator-1239","BSGatlas-terminator-1239")</f>
        <v>BSGatlas-terminator-1239</v>
      </c>
      <c r="B1240" s="3">
        <v>2007549</v>
      </c>
      <c r="C1240" s="3">
        <v>2007615</v>
      </c>
      <c r="D1240" s="1" t="s">
        <v>13</v>
      </c>
      <c r="E1240" s="1"/>
      <c r="F1240" s="1" t="s">
        <v>15159</v>
      </c>
    </row>
    <row r="1241" spans="1:6" ht="21" x14ac:dyDescent="0.25">
      <c r="A1241" s="2" t="str">
        <f>HYPERLINK("https://rth.dk/resources/bsgatlas/details.php?id=BSGatlas-terminator-1240","BSGatlas-terminator-1240")</f>
        <v>BSGatlas-terminator-1240</v>
      </c>
      <c r="B1241" s="3">
        <v>2008510</v>
      </c>
      <c r="C1241" s="3">
        <v>2008549</v>
      </c>
      <c r="D1241" s="1" t="s">
        <v>13</v>
      </c>
      <c r="E1241" s="1">
        <v>-12.8</v>
      </c>
      <c r="F1241" s="1" t="s">
        <v>4382</v>
      </c>
    </row>
    <row r="1242" spans="1:6" ht="21" x14ac:dyDescent="0.25">
      <c r="A1242" s="2" t="str">
        <f>HYPERLINK("https://rth.dk/resources/bsgatlas/details.php?id=BSGatlas-terminator-1241","BSGatlas-terminator-1241")</f>
        <v>BSGatlas-terminator-1241</v>
      </c>
      <c r="B1242" s="3">
        <v>2008563</v>
      </c>
      <c r="C1242" s="3">
        <v>2008607</v>
      </c>
      <c r="D1242" s="1" t="s">
        <v>13</v>
      </c>
      <c r="E1242" s="1">
        <v>-6.5</v>
      </c>
      <c r="F1242" s="1" t="s">
        <v>15157</v>
      </c>
    </row>
    <row r="1243" spans="1:6" ht="21" x14ac:dyDescent="0.25">
      <c r="A1243" s="2" t="str">
        <f>HYPERLINK("https://rth.dk/resources/bsgatlas/details.php?id=BSGatlas-terminator-1242","BSGatlas-terminator-1242")</f>
        <v>BSGatlas-terminator-1242</v>
      </c>
      <c r="B1243" s="3">
        <v>2015639</v>
      </c>
      <c r="C1243" s="3">
        <v>2015683</v>
      </c>
      <c r="D1243" s="1" t="s">
        <v>9</v>
      </c>
      <c r="E1243" s="1">
        <v>-13.6</v>
      </c>
      <c r="F1243" s="1" t="s">
        <v>15157</v>
      </c>
    </row>
    <row r="1244" spans="1:6" ht="21" x14ac:dyDescent="0.25">
      <c r="A1244" s="2" t="str">
        <f>HYPERLINK("https://rth.dk/resources/bsgatlas/details.php?id=BSGatlas-terminator-1243","BSGatlas-terminator-1243")</f>
        <v>BSGatlas-terminator-1243</v>
      </c>
      <c r="B1244" s="3">
        <v>2015687</v>
      </c>
      <c r="C1244" s="3">
        <v>2015733</v>
      </c>
      <c r="D1244" s="1" t="s">
        <v>9</v>
      </c>
      <c r="E1244" s="1">
        <v>-18.100000000000001</v>
      </c>
      <c r="F1244" s="1" t="s">
        <v>4382</v>
      </c>
    </row>
    <row r="1245" spans="1:6" ht="21" x14ac:dyDescent="0.25">
      <c r="A1245" s="2" t="str">
        <f>HYPERLINK("https://rth.dk/resources/bsgatlas/details.php?id=BSGatlas-terminator-1244","BSGatlas-terminator-1244")</f>
        <v>BSGatlas-terminator-1244</v>
      </c>
      <c r="B1245" s="3">
        <v>2017729</v>
      </c>
      <c r="C1245" s="3">
        <v>2017773</v>
      </c>
      <c r="D1245" s="1" t="s">
        <v>9</v>
      </c>
      <c r="E1245" s="1">
        <v>-13.3</v>
      </c>
      <c r="F1245" s="1" t="s">
        <v>15157</v>
      </c>
    </row>
    <row r="1246" spans="1:6" ht="21" x14ac:dyDescent="0.25">
      <c r="A1246" s="2" t="str">
        <f>HYPERLINK("https://rth.dk/resources/bsgatlas/details.php?id=BSGatlas-terminator-1245","BSGatlas-terminator-1245")</f>
        <v>BSGatlas-terminator-1245</v>
      </c>
      <c r="B1246" s="3">
        <v>2018554</v>
      </c>
      <c r="C1246" s="3">
        <v>2018598</v>
      </c>
      <c r="D1246" s="1" t="s">
        <v>13</v>
      </c>
      <c r="E1246" s="1">
        <v>-7.5</v>
      </c>
      <c r="F1246" s="1" t="s">
        <v>15157</v>
      </c>
    </row>
    <row r="1247" spans="1:6" ht="21" x14ac:dyDescent="0.25">
      <c r="A1247" s="2" t="str">
        <f>HYPERLINK("https://rth.dk/resources/bsgatlas/details.php?id=BSGatlas-terminator-1246","BSGatlas-terminator-1246")</f>
        <v>BSGatlas-terminator-1246</v>
      </c>
      <c r="B1247" s="3">
        <v>2019688</v>
      </c>
      <c r="C1247" s="3">
        <v>2019732</v>
      </c>
      <c r="D1247" s="1" t="s">
        <v>9</v>
      </c>
      <c r="E1247" s="1">
        <v>-17.8</v>
      </c>
      <c r="F1247" s="1" t="s">
        <v>15157</v>
      </c>
    </row>
    <row r="1248" spans="1:6" ht="21" x14ac:dyDescent="0.25">
      <c r="A1248" s="2" t="str">
        <f>HYPERLINK("https://rth.dk/resources/bsgatlas/details.php?id=BSGatlas-terminator-1247","BSGatlas-terminator-1247")</f>
        <v>BSGatlas-terminator-1247</v>
      </c>
      <c r="B1248" s="3">
        <v>2021191</v>
      </c>
      <c r="C1248" s="3">
        <v>2021230</v>
      </c>
      <c r="D1248" s="1" t="s">
        <v>9</v>
      </c>
      <c r="E1248" s="1">
        <v>-17.8</v>
      </c>
      <c r="F1248" s="1" t="s">
        <v>15160</v>
      </c>
    </row>
    <row r="1249" spans="1:6" ht="21" x14ac:dyDescent="0.25">
      <c r="A1249" s="2" t="str">
        <f>HYPERLINK("https://rth.dk/resources/bsgatlas/details.php?id=BSGatlas-terminator-1248","BSGatlas-terminator-1248")</f>
        <v>BSGatlas-terminator-1248</v>
      </c>
      <c r="B1249" s="3">
        <v>2021215</v>
      </c>
      <c r="C1249" s="3">
        <v>2021259</v>
      </c>
      <c r="D1249" s="1" t="s">
        <v>13</v>
      </c>
      <c r="E1249" s="1">
        <v>-12.5</v>
      </c>
      <c r="F1249" s="1" t="s">
        <v>15157</v>
      </c>
    </row>
    <row r="1250" spans="1:6" ht="21" x14ac:dyDescent="0.25">
      <c r="A1250" s="2" t="str">
        <f>HYPERLINK("https://rth.dk/resources/bsgatlas/details.php?id=BSGatlas-terminator-1249","BSGatlas-terminator-1249")</f>
        <v>BSGatlas-terminator-1249</v>
      </c>
      <c r="B1250" s="3">
        <v>2021938</v>
      </c>
      <c r="C1250" s="3">
        <v>2022004</v>
      </c>
      <c r="D1250" s="1" t="s">
        <v>9</v>
      </c>
      <c r="E1250" s="1"/>
      <c r="F1250" s="1" t="s">
        <v>15159</v>
      </c>
    </row>
    <row r="1251" spans="1:6" ht="21" x14ac:dyDescent="0.25">
      <c r="A1251" s="2" t="str">
        <f>HYPERLINK("https://rth.dk/resources/bsgatlas/details.php?id=BSGatlas-terminator-1250","BSGatlas-terminator-1250")</f>
        <v>BSGatlas-terminator-1250</v>
      </c>
      <c r="B1251" s="3">
        <v>2025109</v>
      </c>
      <c r="C1251" s="3">
        <v>2025153</v>
      </c>
      <c r="D1251" s="1" t="s">
        <v>13</v>
      </c>
      <c r="E1251" s="1">
        <v>-11.4</v>
      </c>
      <c r="F1251" s="1" t="s">
        <v>15157</v>
      </c>
    </row>
    <row r="1252" spans="1:6" ht="21" x14ac:dyDescent="0.25">
      <c r="A1252" s="2" t="str">
        <f>HYPERLINK("https://rth.dk/resources/bsgatlas/details.php?id=BSGatlas-terminator-1251","BSGatlas-terminator-1251")</f>
        <v>BSGatlas-terminator-1251</v>
      </c>
      <c r="B1252" s="3">
        <v>2027760</v>
      </c>
      <c r="C1252" s="3">
        <v>2027804</v>
      </c>
      <c r="D1252" s="1" t="s">
        <v>9</v>
      </c>
      <c r="E1252" s="1">
        <v>-3.9</v>
      </c>
      <c r="F1252" s="1" t="s">
        <v>15157</v>
      </c>
    </row>
    <row r="1253" spans="1:6" ht="21" x14ac:dyDescent="0.25">
      <c r="A1253" s="2" t="str">
        <f>HYPERLINK("https://rth.dk/resources/bsgatlas/details.php?id=BSGatlas-terminator-1252","BSGatlas-terminator-1252")</f>
        <v>BSGatlas-terminator-1252</v>
      </c>
      <c r="B1253" s="3">
        <v>2027794</v>
      </c>
      <c r="C1253" s="3">
        <v>2027849</v>
      </c>
      <c r="D1253" s="1" t="s">
        <v>13</v>
      </c>
      <c r="E1253" s="1">
        <v>-23.4</v>
      </c>
      <c r="F1253" s="1" t="s">
        <v>15160</v>
      </c>
    </row>
    <row r="1254" spans="1:6" ht="21" x14ac:dyDescent="0.25">
      <c r="A1254" s="2" t="str">
        <f>HYPERLINK("https://rth.dk/resources/bsgatlas/details.php?id=BSGatlas-terminator-1253","BSGatlas-terminator-1253")</f>
        <v>BSGatlas-terminator-1253</v>
      </c>
      <c r="B1254" s="3">
        <v>2027807</v>
      </c>
      <c r="C1254" s="3">
        <v>2027861</v>
      </c>
      <c r="D1254" s="1" t="s">
        <v>9</v>
      </c>
      <c r="E1254" s="1">
        <v>-24.6</v>
      </c>
      <c r="F1254" s="1" t="s">
        <v>4382</v>
      </c>
    </row>
    <row r="1255" spans="1:6" ht="21" x14ac:dyDescent="0.25">
      <c r="A1255" s="2" t="str">
        <f>HYPERLINK("https://rth.dk/resources/bsgatlas/details.php?id=BSGatlas-terminator-1254","BSGatlas-terminator-1254")</f>
        <v>BSGatlas-terminator-1254</v>
      </c>
      <c r="B1255" s="3">
        <v>2029365</v>
      </c>
      <c r="C1255" s="3">
        <v>2029420</v>
      </c>
      <c r="D1255" s="1" t="s">
        <v>13</v>
      </c>
      <c r="E1255" s="1">
        <v>-22.6</v>
      </c>
      <c r="F1255" s="1" t="s">
        <v>15158</v>
      </c>
    </row>
    <row r="1256" spans="1:6" ht="21" x14ac:dyDescent="0.25">
      <c r="A1256" s="2" t="str">
        <f>HYPERLINK("https://rth.dk/resources/bsgatlas/details.php?id=BSGatlas-terminator-1255","BSGatlas-terminator-1255")</f>
        <v>BSGatlas-terminator-1255</v>
      </c>
      <c r="B1256" s="3">
        <v>2029395</v>
      </c>
      <c r="C1256" s="3">
        <v>2029442</v>
      </c>
      <c r="D1256" s="1" t="s">
        <v>9</v>
      </c>
      <c r="E1256" s="1">
        <v>-10.7</v>
      </c>
      <c r="F1256" s="1" t="s">
        <v>15160</v>
      </c>
    </row>
    <row r="1257" spans="1:6" ht="21" x14ac:dyDescent="0.25">
      <c r="A1257" s="2" t="str">
        <f>HYPERLINK("https://rth.dk/resources/bsgatlas/details.php?id=BSGatlas-terminator-1256","BSGatlas-terminator-1256")</f>
        <v>BSGatlas-terminator-1256</v>
      </c>
      <c r="B1257" s="3">
        <v>2032844</v>
      </c>
      <c r="C1257" s="3">
        <v>2032888</v>
      </c>
      <c r="D1257" s="1" t="s">
        <v>9</v>
      </c>
      <c r="E1257" s="1">
        <v>-12</v>
      </c>
      <c r="F1257" s="1" t="s">
        <v>15157</v>
      </c>
    </row>
    <row r="1258" spans="1:6" ht="21" x14ac:dyDescent="0.25">
      <c r="A1258" s="2" t="str">
        <f>HYPERLINK("https://rth.dk/resources/bsgatlas/details.php?id=BSGatlas-terminator-1257","BSGatlas-terminator-1257")</f>
        <v>BSGatlas-terminator-1257</v>
      </c>
      <c r="B1258" s="3">
        <v>2032881</v>
      </c>
      <c r="C1258" s="3">
        <v>2032920</v>
      </c>
      <c r="D1258" s="1" t="s">
        <v>13</v>
      </c>
      <c r="E1258" s="1">
        <v>-10.6</v>
      </c>
      <c r="F1258" s="1" t="s">
        <v>15158</v>
      </c>
    </row>
    <row r="1259" spans="1:6" ht="21" x14ac:dyDescent="0.25">
      <c r="A1259" s="2" t="str">
        <f>HYPERLINK("https://rth.dk/resources/bsgatlas/details.php?id=BSGatlas-terminator-1258","BSGatlas-terminator-1258")</f>
        <v>BSGatlas-terminator-1258</v>
      </c>
      <c r="B1259" s="3">
        <v>2037483</v>
      </c>
      <c r="C1259" s="3">
        <v>2037525</v>
      </c>
      <c r="D1259" s="1" t="s">
        <v>13</v>
      </c>
      <c r="E1259" s="1">
        <v>-11.1</v>
      </c>
      <c r="F1259" s="1" t="s">
        <v>15160</v>
      </c>
    </row>
    <row r="1260" spans="1:6" ht="21" x14ac:dyDescent="0.25">
      <c r="A1260" s="2" t="str">
        <f>HYPERLINK("https://rth.dk/resources/bsgatlas/details.php?id=BSGatlas-terminator-1259","BSGatlas-terminator-1259")</f>
        <v>BSGatlas-terminator-1259</v>
      </c>
      <c r="B1260" s="3">
        <v>2038905</v>
      </c>
      <c r="C1260" s="3">
        <v>2038949</v>
      </c>
      <c r="D1260" s="1" t="s">
        <v>13</v>
      </c>
      <c r="E1260" s="1">
        <v>-9.1999999999999993</v>
      </c>
      <c r="F1260" s="1" t="s">
        <v>15157</v>
      </c>
    </row>
    <row r="1261" spans="1:6" ht="21" x14ac:dyDescent="0.25">
      <c r="A1261" s="2" t="str">
        <f>HYPERLINK("https://rth.dk/resources/bsgatlas/details.php?id=BSGatlas-terminator-1260","BSGatlas-terminator-1260")</f>
        <v>BSGatlas-terminator-1260</v>
      </c>
      <c r="B1261" s="3">
        <v>2041433</v>
      </c>
      <c r="C1261" s="3">
        <v>2041499</v>
      </c>
      <c r="D1261" s="1" t="s">
        <v>9</v>
      </c>
      <c r="E1261" s="1"/>
      <c r="F1261" s="1" t="s">
        <v>15159</v>
      </c>
    </row>
    <row r="1262" spans="1:6" ht="21" x14ac:dyDescent="0.25">
      <c r="A1262" s="2" t="str">
        <f>HYPERLINK("https://rth.dk/resources/bsgatlas/details.php?id=BSGatlas-terminator-1261","BSGatlas-terminator-1261")</f>
        <v>BSGatlas-terminator-1261</v>
      </c>
      <c r="B1262" s="3">
        <v>2045810</v>
      </c>
      <c r="C1262" s="3">
        <v>2045876</v>
      </c>
      <c r="D1262" s="1" t="s">
        <v>9</v>
      </c>
      <c r="E1262" s="1"/>
      <c r="F1262" s="1" t="s">
        <v>15159</v>
      </c>
    </row>
    <row r="1263" spans="1:6" ht="21" x14ac:dyDescent="0.25">
      <c r="A1263" s="2" t="str">
        <f>HYPERLINK("https://rth.dk/resources/bsgatlas/details.php?id=BSGatlas-terminator-1262","BSGatlas-terminator-1262")</f>
        <v>BSGatlas-terminator-1262</v>
      </c>
      <c r="B1263" s="3">
        <v>2046897</v>
      </c>
      <c r="C1263" s="3">
        <v>2046942</v>
      </c>
      <c r="D1263" s="1" t="s">
        <v>13</v>
      </c>
      <c r="E1263" s="1">
        <v>-15.3</v>
      </c>
      <c r="F1263" s="1" t="s">
        <v>15160</v>
      </c>
    </row>
    <row r="1264" spans="1:6" ht="21" x14ac:dyDescent="0.25">
      <c r="A1264" s="2" t="str">
        <f>HYPERLINK("https://rth.dk/resources/bsgatlas/details.php?id=BSGatlas-terminator-1263","BSGatlas-terminator-1263")</f>
        <v>BSGatlas-terminator-1263</v>
      </c>
      <c r="B1264" s="3">
        <v>2050078</v>
      </c>
      <c r="C1264" s="3">
        <v>2050144</v>
      </c>
      <c r="D1264" s="1" t="s">
        <v>9</v>
      </c>
      <c r="E1264" s="1"/>
      <c r="F1264" s="1" t="s">
        <v>15159</v>
      </c>
    </row>
    <row r="1265" spans="1:6" ht="21" x14ac:dyDescent="0.25">
      <c r="A1265" s="2" t="str">
        <f>HYPERLINK("https://rth.dk/resources/bsgatlas/details.php?id=BSGatlas-terminator-1264","BSGatlas-terminator-1264")</f>
        <v>BSGatlas-terminator-1264</v>
      </c>
      <c r="B1265" s="3">
        <v>2050908</v>
      </c>
      <c r="C1265" s="3">
        <v>2050952</v>
      </c>
      <c r="D1265" s="1" t="s">
        <v>9</v>
      </c>
      <c r="E1265" s="1">
        <v>-8.6999999999999993</v>
      </c>
      <c r="F1265" s="1" t="s">
        <v>15157</v>
      </c>
    </row>
    <row r="1266" spans="1:6" ht="21" x14ac:dyDescent="0.25">
      <c r="A1266" s="2" t="str">
        <f>HYPERLINK("https://rth.dk/resources/bsgatlas/details.php?id=BSGatlas-terminator-1265","BSGatlas-terminator-1265")</f>
        <v>BSGatlas-terminator-1265</v>
      </c>
      <c r="B1266" s="3">
        <v>2054105</v>
      </c>
      <c r="C1266" s="3">
        <v>2054149</v>
      </c>
      <c r="D1266" s="1" t="s">
        <v>13</v>
      </c>
      <c r="E1266" s="1">
        <v>-10.4</v>
      </c>
      <c r="F1266" s="1" t="s">
        <v>15162</v>
      </c>
    </row>
    <row r="1267" spans="1:6" ht="21" x14ac:dyDescent="0.25">
      <c r="A1267" s="2" t="str">
        <f>HYPERLINK("https://rth.dk/resources/bsgatlas/details.php?id=BSGatlas-terminator-1266","BSGatlas-terminator-1266")</f>
        <v>BSGatlas-terminator-1266</v>
      </c>
      <c r="B1267" s="3">
        <v>2054371</v>
      </c>
      <c r="C1267" s="3">
        <v>2054419</v>
      </c>
      <c r="D1267" s="1" t="s">
        <v>13</v>
      </c>
      <c r="E1267" s="1">
        <v>-9.1999999999999993</v>
      </c>
      <c r="F1267" s="1" t="s">
        <v>4382</v>
      </c>
    </row>
    <row r="1268" spans="1:6" ht="21" x14ac:dyDescent="0.25">
      <c r="A1268" s="2" t="str">
        <f>HYPERLINK("https://rth.dk/resources/bsgatlas/details.php?id=BSGatlas-terminator-1267","BSGatlas-terminator-1267")</f>
        <v>BSGatlas-terminator-1267</v>
      </c>
      <c r="B1268" s="3">
        <v>2054567</v>
      </c>
      <c r="C1268" s="3">
        <v>2054611</v>
      </c>
      <c r="D1268" s="1" t="s">
        <v>13</v>
      </c>
      <c r="E1268" s="1">
        <v>-10.4</v>
      </c>
      <c r="F1268" s="1" t="s">
        <v>15157</v>
      </c>
    </row>
    <row r="1269" spans="1:6" ht="21" x14ac:dyDescent="0.25">
      <c r="A1269" s="2" t="str">
        <f>HYPERLINK("https://rth.dk/resources/bsgatlas/details.php?id=BSGatlas-terminator-1268","BSGatlas-terminator-1268")</f>
        <v>BSGatlas-terminator-1268</v>
      </c>
      <c r="B1269" s="3">
        <v>2055866</v>
      </c>
      <c r="C1269" s="3">
        <v>2055910</v>
      </c>
      <c r="D1269" s="1" t="s">
        <v>13</v>
      </c>
      <c r="E1269" s="1">
        <v>-4.5</v>
      </c>
      <c r="F1269" s="1" t="s">
        <v>15157</v>
      </c>
    </row>
    <row r="1270" spans="1:6" ht="21" x14ac:dyDescent="0.25">
      <c r="A1270" s="2" t="str">
        <f>HYPERLINK("https://rth.dk/resources/bsgatlas/details.php?id=BSGatlas-terminator-1269","BSGatlas-terminator-1269")</f>
        <v>BSGatlas-terminator-1269</v>
      </c>
      <c r="B1270" s="3">
        <v>2057609</v>
      </c>
      <c r="C1270" s="3">
        <v>2057653</v>
      </c>
      <c r="D1270" s="1" t="s">
        <v>13</v>
      </c>
      <c r="E1270" s="1">
        <v>-7.6</v>
      </c>
      <c r="F1270" s="1" t="s">
        <v>15162</v>
      </c>
    </row>
    <row r="1271" spans="1:6" ht="21" x14ac:dyDescent="0.25">
      <c r="A1271" s="2" t="str">
        <f>HYPERLINK("https://rth.dk/resources/bsgatlas/details.php?id=BSGatlas-terminator-1270","BSGatlas-terminator-1270")</f>
        <v>BSGatlas-terminator-1270</v>
      </c>
      <c r="B1271" s="3">
        <v>2058516</v>
      </c>
      <c r="C1271" s="3">
        <v>2058560</v>
      </c>
      <c r="D1271" s="1" t="s">
        <v>9</v>
      </c>
      <c r="E1271" s="1">
        <v>-19.600000000000001</v>
      </c>
      <c r="F1271" s="1" t="s">
        <v>15157</v>
      </c>
    </row>
    <row r="1272" spans="1:6" ht="21" x14ac:dyDescent="0.25">
      <c r="A1272" s="2" t="str">
        <f>HYPERLINK("https://rth.dk/resources/bsgatlas/details.php?id=BSGatlas-terminator-1271","BSGatlas-terminator-1271")</f>
        <v>BSGatlas-terminator-1271</v>
      </c>
      <c r="B1272" s="3">
        <v>2061002</v>
      </c>
      <c r="C1272" s="3">
        <v>2061046</v>
      </c>
      <c r="D1272" s="1" t="s">
        <v>9</v>
      </c>
      <c r="E1272" s="1">
        <v>-8.6999999999999993</v>
      </c>
      <c r="F1272" s="1" t="s">
        <v>15157</v>
      </c>
    </row>
    <row r="1273" spans="1:6" ht="21" x14ac:dyDescent="0.25">
      <c r="A1273" s="2" t="str">
        <f>HYPERLINK("https://rth.dk/resources/bsgatlas/details.php?id=BSGatlas-terminator-1272","BSGatlas-terminator-1272")</f>
        <v>BSGatlas-terminator-1272</v>
      </c>
      <c r="B1273" s="3">
        <v>2061616</v>
      </c>
      <c r="C1273" s="3">
        <v>2061660</v>
      </c>
      <c r="D1273" s="1" t="s">
        <v>9</v>
      </c>
      <c r="E1273" s="1">
        <v>-13.7</v>
      </c>
      <c r="F1273" s="1" t="s">
        <v>15157</v>
      </c>
    </row>
    <row r="1274" spans="1:6" ht="21" x14ac:dyDescent="0.25">
      <c r="A1274" s="2" t="str">
        <f>HYPERLINK("https://rth.dk/resources/bsgatlas/details.php?id=BSGatlas-terminator-1273","BSGatlas-terminator-1273")</f>
        <v>BSGatlas-terminator-1273</v>
      </c>
      <c r="B1274" s="3">
        <v>2061970</v>
      </c>
      <c r="C1274" s="3">
        <v>2062014</v>
      </c>
      <c r="D1274" s="1" t="s">
        <v>9</v>
      </c>
      <c r="E1274" s="1">
        <v>-13.7</v>
      </c>
      <c r="F1274" s="1" t="s">
        <v>15157</v>
      </c>
    </row>
    <row r="1275" spans="1:6" ht="21" x14ac:dyDescent="0.25">
      <c r="A1275" s="2" t="str">
        <f>HYPERLINK("https://rth.dk/resources/bsgatlas/details.php?id=BSGatlas-terminator-1274","BSGatlas-terminator-1274")</f>
        <v>BSGatlas-terminator-1274</v>
      </c>
      <c r="B1275" s="3">
        <v>2063064</v>
      </c>
      <c r="C1275" s="3">
        <v>2063115</v>
      </c>
      <c r="D1275" s="1" t="s">
        <v>13</v>
      </c>
      <c r="E1275" s="1">
        <v>-4.9000000000000004</v>
      </c>
      <c r="F1275" s="1" t="s">
        <v>4382</v>
      </c>
    </row>
    <row r="1276" spans="1:6" ht="21" x14ac:dyDescent="0.25">
      <c r="A1276" s="2" t="str">
        <f>HYPERLINK("https://rth.dk/resources/bsgatlas/details.php?id=BSGatlas-terminator-1275","BSGatlas-terminator-1275")</f>
        <v>BSGatlas-terminator-1275</v>
      </c>
      <c r="B1276" s="3">
        <v>2063356</v>
      </c>
      <c r="C1276" s="3">
        <v>2063400</v>
      </c>
      <c r="D1276" s="1" t="s">
        <v>9</v>
      </c>
      <c r="E1276" s="1">
        <v>-10.4</v>
      </c>
      <c r="F1276" s="1" t="s">
        <v>15157</v>
      </c>
    </row>
    <row r="1277" spans="1:6" ht="21" x14ac:dyDescent="0.25">
      <c r="A1277" s="2" t="str">
        <f>HYPERLINK("https://rth.dk/resources/bsgatlas/details.php?id=BSGatlas-terminator-1276","BSGatlas-terminator-1276")</f>
        <v>BSGatlas-terminator-1276</v>
      </c>
      <c r="B1277" s="3">
        <v>2063402</v>
      </c>
      <c r="C1277" s="3">
        <v>2063446</v>
      </c>
      <c r="D1277" s="1" t="s">
        <v>9</v>
      </c>
      <c r="E1277" s="1">
        <v>-15.8</v>
      </c>
      <c r="F1277" s="1" t="s">
        <v>4382</v>
      </c>
    </row>
    <row r="1278" spans="1:6" ht="21" x14ac:dyDescent="0.25">
      <c r="A1278" s="2" t="str">
        <f>HYPERLINK("https://rth.dk/resources/bsgatlas/details.php?id=BSGatlas-terminator-1277","BSGatlas-terminator-1277")</f>
        <v>BSGatlas-terminator-1277</v>
      </c>
      <c r="B1278" s="3">
        <v>2063762</v>
      </c>
      <c r="C1278" s="3">
        <v>2063806</v>
      </c>
      <c r="D1278" s="1" t="s">
        <v>13</v>
      </c>
      <c r="E1278" s="1">
        <v>-10</v>
      </c>
      <c r="F1278" s="1" t="s">
        <v>15157</v>
      </c>
    </row>
    <row r="1279" spans="1:6" ht="21" x14ac:dyDescent="0.25">
      <c r="A1279" s="2" t="str">
        <f>HYPERLINK("https://rth.dk/resources/bsgatlas/details.php?id=BSGatlas-terminator-1278","BSGatlas-terminator-1278")</f>
        <v>BSGatlas-terminator-1278</v>
      </c>
      <c r="B1279" s="3">
        <v>2065384</v>
      </c>
      <c r="C1279" s="3">
        <v>2065434</v>
      </c>
      <c r="D1279" s="1" t="s">
        <v>9</v>
      </c>
      <c r="E1279" s="1">
        <v>-5.6</v>
      </c>
      <c r="F1279" s="1" t="s">
        <v>4382</v>
      </c>
    </row>
    <row r="1280" spans="1:6" ht="21" x14ac:dyDescent="0.25">
      <c r="A1280" s="2" t="str">
        <f>HYPERLINK("https://rth.dk/resources/bsgatlas/details.php?id=BSGatlas-terminator-1279","BSGatlas-terminator-1279")</f>
        <v>BSGatlas-terminator-1279</v>
      </c>
      <c r="B1280" s="3">
        <v>2065401</v>
      </c>
      <c r="C1280" s="3">
        <v>2065445</v>
      </c>
      <c r="D1280" s="1" t="s">
        <v>13</v>
      </c>
      <c r="E1280" s="1">
        <v>-10</v>
      </c>
      <c r="F1280" s="1" t="s">
        <v>15157</v>
      </c>
    </row>
    <row r="1281" spans="1:6" ht="21" x14ac:dyDescent="0.25">
      <c r="A1281" s="2" t="str">
        <f>HYPERLINK("https://rth.dk/resources/bsgatlas/details.php?id=BSGatlas-terminator-1280","BSGatlas-terminator-1280")</f>
        <v>BSGatlas-terminator-1280</v>
      </c>
      <c r="B1281" s="3">
        <v>2069767</v>
      </c>
      <c r="C1281" s="3">
        <v>2069811</v>
      </c>
      <c r="D1281" s="1" t="s">
        <v>13</v>
      </c>
      <c r="E1281" s="1">
        <v>-10</v>
      </c>
      <c r="F1281" s="1" t="s">
        <v>15162</v>
      </c>
    </row>
    <row r="1282" spans="1:6" ht="21" x14ac:dyDescent="0.25">
      <c r="A1282" s="2" t="str">
        <f>HYPERLINK("https://rth.dk/resources/bsgatlas/details.php?id=BSGatlas-terminator-1281","BSGatlas-terminator-1281")</f>
        <v>BSGatlas-terminator-1281</v>
      </c>
      <c r="B1282" s="3">
        <v>2069912</v>
      </c>
      <c r="C1282" s="3">
        <v>2069956</v>
      </c>
      <c r="D1282" s="1" t="s">
        <v>9</v>
      </c>
      <c r="E1282" s="1">
        <v>-14.4</v>
      </c>
      <c r="F1282" s="1" t="s">
        <v>15157</v>
      </c>
    </row>
    <row r="1283" spans="1:6" ht="21" x14ac:dyDescent="0.25">
      <c r="A1283" s="2" t="str">
        <f>HYPERLINK("https://rth.dk/resources/bsgatlas/details.php?id=BSGatlas-terminator-1282","BSGatlas-terminator-1282")</f>
        <v>BSGatlas-terminator-1282</v>
      </c>
      <c r="B1283" s="3">
        <v>2069947</v>
      </c>
      <c r="C1283" s="3">
        <v>2070007</v>
      </c>
      <c r="D1283" s="1" t="s">
        <v>13</v>
      </c>
      <c r="E1283" s="1">
        <v>-18.7</v>
      </c>
      <c r="F1283" s="1" t="s">
        <v>15158</v>
      </c>
    </row>
    <row r="1284" spans="1:6" ht="21" x14ac:dyDescent="0.25">
      <c r="A1284" s="2" t="str">
        <f>HYPERLINK("https://rth.dk/resources/bsgatlas/details.php?id=BSGatlas-terminator-1283","BSGatlas-terminator-1283")</f>
        <v>BSGatlas-terminator-1283</v>
      </c>
      <c r="B1284" s="3">
        <v>2069978</v>
      </c>
      <c r="C1284" s="3">
        <v>2070022</v>
      </c>
      <c r="D1284" s="1" t="s">
        <v>9</v>
      </c>
      <c r="E1284" s="1">
        <v>-14.4</v>
      </c>
      <c r="F1284" s="1" t="s">
        <v>15157</v>
      </c>
    </row>
    <row r="1285" spans="1:6" ht="21" x14ac:dyDescent="0.25">
      <c r="A1285" s="2" t="str">
        <f>HYPERLINK("https://rth.dk/resources/bsgatlas/details.php?id=BSGatlas-terminator-1284","BSGatlas-terminator-1284")</f>
        <v>BSGatlas-terminator-1284</v>
      </c>
      <c r="B1285" s="3">
        <v>2071220</v>
      </c>
      <c r="C1285" s="3">
        <v>2071264</v>
      </c>
      <c r="D1285" s="1" t="s">
        <v>13</v>
      </c>
      <c r="E1285" s="1">
        <v>-8.4</v>
      </c>
      <c r="F1285" s="1" t="s">
        <v>15162</v>
      </c>
    </row>
    <row r="1286" spans="1:6" ht="21" x14ac:dyDescent="0.25">
      <c r="A1286" s="2" t="str">
        <f>HYPERLINK("https://rth.dk/resources/bsgatlas/details.php?id=BSGatlas-terminator-1285","BSGatlas-terminator-1285")</f>
        <v>BSGatlas-terminator-1285</v>
      </c>
      <c r="B1286" s="3">
        <v>2078515</v>
      </c>
      <c r="C1286" s="3">
        <v>2078581</v>
      </c>
      <c r="D1286" s="1" t="s">
        <v>13</v>
      </c>
      <c r="E1286" s="1"/>
      <c r="F1286" s="1" t="s">
        <v>15159</v>
      </c>
    </row>
    <row r="1287" spans="1:6" ht="21" x14ac:dyDescent="0.25">
      <c r="A1287" s="2" t="str">
        <f>HYPERLINK("https://rth.dk/resources/bsgatlas/details.php?id=BSGatlas-terminator-1286","BSGatlas-terminator-1286")</f>
        <v>BSGatlas-terminator-1286</v>
      </c>
      <c r="B1287" s="3">
        <v>2079159</v>
      </c>
      <c r="C1287" s="3">
        <v>2079203</v>
      </c>
      <c r="D1287" s="1" t="s">
        <v>9</v>
      </c>
      <c r="E1287" s="1">
        <v>-13.9</v>
      </c>
      <c r="F1287" s="1" t="s">
        <v>15157</v>
      </c>
    </row>
    <row r="1288" spans="1:6" ht="21" x14ac:dyDescent="0.25">
      <c r="A1288" s="2" t="str">
        <f>HYPERLINK("https://rth.dk/resources/bsgatlas/details.php?id=BSGatlas-terminator-1287","BSGatlas-terminator-1287")</f>
        <v>BSGatlas-terminator-1287</v>
      </c>
      <c r="B1288" s="3">
        <v>2079206</v>
      </c>
      <c r="C1288" s="3">
        <v>2079250</v>
      </c>
      <c r="D1288" s="1" t="s">
        <v>13</v>
      </c>
      <c r="E1288" s="1">
        <v>-13.9</v>
      </c>
      <c r="F1288" s="1" t="s">
        <v>15157</v>
      </c>
    </row>
    <row r="1289" spans="1:6" ht="21" x14ac:dyDescent="0.25">
      <c r="A1289" s="2" t="str">
        <f>HYPERLINK("https://rth.dk/resources/bsgatlas/details.php?id=BSGatlas-terminator-1288","BSGatlas-terminator-1288")</f>
        <v>BSGatlas-terminator-1288</v>
      </c>
      <c r="B1289" s="3">
        <v>2083078</v>
      </c>
      <c r="C1289" s="3">
        <v>2083122</v>
      </c>
      <c r="D1289" s="1" t="s">
        <v>13</v>
      </c>
      <c r="E1289" s="1">
        <v>-9</v>
      </c>
      <c r="F1289" s="1" t="s">
        <v>15157</v>
      </c>
    </row>
    <row r="1290" spans="1:6" ht="21" x14ac:dyDescent="0.25">
      <c r="A1290" s="2" t="str">
        <f>HYPERLINK("https://rth.dk/resources/bsgatlas/details.php?id=BSGatlas-terminator-1289","BSGatlas-terminator-1289")</f>
        <v>BSGatlas-terminator-1289</v>
      </c>
      <c r="B1290" s="3">
        <v>2084696</v>
      </c>
      <c r="C1290" s="3">
        <v>2084740</v>
      </c>
      <c r="D1290" s="1" t="s">
        <v>9</v>
      </c>
      <c r="E1290" s="1">
        <v>-17.7</v>
      </c>
      <c r="F1290" s="1" t="s">
        <v>15157</v>
      </c>
    </row>
    <row r="1291" spans="1:6" ht="21" x14ac:dyDescent="0.25">
      <c r="A1291" s="2" t="str">
        <f>HYPERLINK("https://rth.dk/resources/bsgatlas/details.php?id=BSGatlas-terminator-1290","BSGatlas-terminator-1290")</f>
        <v>BSGatlas-terminator-1290</v>
      </c>
      <c r="B1291" s="3">
        <v>2084771</v>
      </c>
      <c r="C1291" s="3">
        <v>2084815</v>
      </c>
      <c r="D1291" s="1" t="s">
        <v>13</v>
      </c>
      <c r="E1291" s="1">
        <v>-18.600000000000001</v>
      </c>
      <c r="F1291" s="1" t="s">
        <v>15157</v>
      </c>
    </row>
    <row r="1292" spans="1:6" ht="21" x14ac:dyDescent="0.25">
      <c r="A1292" s="2" t="str">
        <f>HYPERLINK("https://rth.dk/resources/bsgatlas/details.php?id=BSGatlas-terminator-1291","BSGatlas-terminator-1291")</f>
        <v>BSGatlas-terminator-1291</v>
      </c>
      <c r="B1292" s="3">
        <v>2084827</v>
      </c>
      <c r="C1292" s="3">
        <v>2084912</v>
      </c>
      <c r="D1292" s="1" t="s">
        <v>9</v>
      </c>
      <c r="E1292" s="1">
        <v>-21</v>
      </c>
      <c r="F1292" s="1" t="s">
        <v>4382</v>
      </c>
    </row>
    <row r="1293" spans="1:6" ht="21" x14ac:dyDescent="0.25">
      <c r="A1293" s="2" t="str">
        <f>HYPERLINK("https://rth.dk/resources/bsgatlas/details.php?id=BSGatlas-terminator-1292","BSGatlas-terminator-1292")</f>
        <v>BSGatlas-terminator-1292</v>
      </c>
      <c r="B1293" s="3">
        <v>2085950</v>
      </c>
      <c r="C1293" s="3">
        <v>2085994</v>
      </c>
      <c r="D1293" s="1" t="s">
        <v>9</v>
      </c>
      <c r="E1293" s="1">
        <v>-17.7</v>
      </c>
      <c r="F1293" s="1" t="s">
        <v>15157</v>
      </c>
    </row>
    <row r="1294" spans="1:6" ht="21" x14ac:dyDescent="0.25">
      <c r="A1294" s="2" t="str">
        <f>HYPERLINK("https://rth.dk/resources/bsgatlas/details.php?id=BSGatlas-terminator-1293","BSGatlas-terminator-1293")</f>
        <v>BSGatlas-terminator-1293</v>
      </c>
      <c r="B1294" s="3">
        <v>2086071</v>
      </c>
      <c r="C1294" s="3">
        <v>2086115</v>
      </c>
      <c r="D1294" s="1" t="s">
        <v>13</v>
      </c>
      <c r="E1294" s="1">
        <v>-7.7</v>
      </c>
      <c r="F1294" s="1" t="s">
        <v>15157</v>
      </c>
    </row>
    <row r="1295" spans="1:6" ht="21" x14ac:dyDescent="0.25">
      <c r="A1295" s="2" t="str">
        <f>HYPERLINK("https://rth.dk/resources/bsgatlas/details.php?id=BSGatlas-terminator-1294","BSGatlas-terminator-1294")</f>
        <v>BSGatlas-terminator-1294</v>
      </c>
      <c r="B1295" s="3">
        <v>2086730</v>
      </c>
      <c r="C1295" s="3">
        <v>2086774</v>
      </c>
      <c r="D1295" s="1" t="s">
        <v>13</v>
      </c>
      <c r="E1295" s="1">
        <v>-7.7</v>
      </c>
      <c r="F1295" s="1" t="s">
        <v>15157</v>
      </c>
    </row>
    <row r="1296" spans="1:6" ht="21" x14ac:dyDescent="0.25">
      <c r="A1296" s="2" t="str">
        <f>HYPERLINK("https://rth.dk/resources/bsgatlas/details.php?id=BSGatlas-terminator-1295","BSGatlas-terminator-1295")</f>
        <v>BSGatlas-terminator-1295</v>
      </c>
      <c r="B1296" s="3">
        <v>2089184</v>
      </c>
      <c r="C1296" s="3">
        <v>2089228</v>
      </c>
      <c r="D1296" s="1" t="s">
        <v>9</v>
      </c>
      <c r="E1296" s="1">
        <v>-9.5</v>
      </c>
      <c r="F1296" s="1" t="s">
        <v>15157</v>
      </c>
    </row>
    <row r="1297" spans="1:6" ht="21" x14ac:dyDescent="0.25">
      <c r="A1297" s="2" t="str">
        <f>HYPERLINK("https://rth.dk/resources/bsgatlas/details.php?id=BSGatlas-terminator-1296","BSGatlas-terminator-1296")</f>
        <v>BSGatlas-terminator-1296</v>
      </c>
      <c r="B1297" s="3">
        <v>2090457</v>
      </c>
      <c r="C1297" s="3">
        <v>2090506</v>
      </c>
      <c r="D1297" s="1" t="s">
        <v>9</v>
      </c>
      <c r="E1297" s="1">
        <v>-18.899999999999999</v>
      </c>
      <c r="F1297" s="1" t="s">
        <v>4382</v>
      </c>
    </row>
    <row r="1298" spans="1:6" ht="21" x14ac:dyDescent="0.25">
      <c r="A1298" s="2" t="str">
        <f>HYPERLINK("https://rth.dk/resources/bsgatlas/details.php?id=BSGatlas-terminator-1297","BSGatlas-terminator-1297")</f>
        <v>BSGatlas-terminator-1297</v>
      </c>
      <c r="B1298" s="3">
        <v>2092304</v>
      </c>
      <c r="C1298" s="3">
        <v>2092347</v>
      </c>
      <c r="D1298" s="1" t="s">
        <v>9</v>
      </c>
      <c r="E1298" s="1">
        <v>-19.7</v>
      </c>
      <c r="F1298" s="1" t="s">
        <v>15158</v>
      </c>
    </row>
    <row r="1299" spans="1:6" ht="21" x14ac:dyDescent="0.25">
      <c r="A1299" s="2" t="str">
        <f>HYPERLINK("https://rth.dk/resources/bsgatlas/details.php?id=BSGatlas-terminator-1298","BSGatlas-terminator-1298")</f>
        <v>BSGatlas-terminator-1298</v>
      </c>
      <c r="B1299" s="3">
        <v>2092340</v>
      </c>
      <c r="C1299" s="3">
        <v>2092384</v>
      </c>
      <c r="D1299" s="1" t="s">
        <v>13</v>
      </c>
      <c r="E1299" s="1">
        <v>-12.4</v>
      </c>
      <c r="F1299" s="1" t="s">
        <v>15157</v>
      </c>
    </row>
    <row r="1300" spans="1:6" ht="21" x14ac:dyDescent="0.25">
      <c r="A1300" s="2" t="str">
        <f>HYPERLINK("https://rth.dk/resources/bsgatlas/details.php?id=BSGatlas-terminator-1299","BSGatlas-terminator-1299")</f>
        <v>BSGatlas-terminator-1299</v>
      </c>
      <c r="B1300" s="3">
        <v>2092841</v>
      </c>
      <c r="C1300" s="3">
        <v>2092894</v>
      </c>
      <c r="D1300" s="1" t="s">
        <v>13</v>
      </c>
      <c r="E1300" s="1">
        <v>-14.8</v>
      </c>
      <c r="F1300" s="1" t="s">
        <v>15158</v>
      </c>
    </row>
    <row r="1301" spans="1:6" ht="21" x14ac:dyDescent="0.25">
      <c r="A1301" s="2" t="str">
        <f>HYPERLINK("https://rth.dk/resources/bsgatlas/details.php?id=BSGatlas-terminator-1300","BSGatlas-terminator-1300")</f>
        <v>BSGatlas-terminator-1300</v>
      </c>
      <c r="B1301" s="3">
        <v>2092946</v>
      </c>
      <c r="C1301" s="3">
        <v>2092990</v>
      </c>
      <c r="D1301" s="1" t="s">
        <v>9</v>
      </c>
      <c r="E1301" s="1">
        <v>-15.4</v>
      </c>
      <c r="F1301" s="1" t="s">
        <v>15157</v>
      </c>
    </row>
    <row r="1302" spans="1:6" ht="21" x14ac:dyDescent="0.25">
      <c r="A1302" s="2" t="str">
        <f>HYPERLINK("https://rth.dk/resources/bsgatlas/details.php?id=BSGatlas-terminator-1301","BSGatlas-terminator-1301")</f>
        <v>BSGatlas-terminator-1301</v>
      </c>
      <c r="B1302" s="3">
        <v>2092978</v>
      </c>
      <c r="C1302" s="3">
        <v>2093022</v>
      </c>
      <c r="D1302" s="1" t="s">
        <v>13</v>
      </c>
      <c r="E1302" s="1">
        <v>-10.199999999999999</v>
      </c>
      <c r="F1302" s="1" t="s">
        <v>15157</v>
      </c>
    </row>
    <row r="1303" spans="1:6" ht="21" x14ac:dyDescent="0.25">
      <c r="A1303" s="2" t="str">
        <f>HYPERLINK("https://rth.dk/resources/bsgatlas/details.php?id=BSGatlas-terminator-1302","BSGatlas-terminator-1302")</f>
        <v>BSGatlas-terminator-1302</v>
      </c>
      <c r="B1303" s="3">
        <v>2095891</v>
      </c>
      <c r="C1303" s="3">
        <v>2095933</v>
      </c>
      <c r="D1303" s="1" t="s">
        <v>13</v>
      </c>
      <c r="E1303" s="1">
        <v>-16.3</v>
      </c>
      <c r="F1303" s="1" t="s">
        <v>4382</v>
      </c>
    </row>
    <row r="1304" spans="1:6" ht="21" x14ac:dyDescent="0.25">
      <c r="A1304" s="2" t="str">
        <f>HYPERLINK("https://rth.dk/resources/bsgatlas/details.php?id=BSGatlas-terminator-1303","BSGatlas-terminator-1303")</f>
        <v>BSGatlas-terminator-1303</v>
      </c>
      <c r="B1304" s="3">
        <v>2095939</v>
      </c>
      <c r="C1304" s="3">
        <v>2095983</v>
      </c>
      <c r="D1304" s="1" t="s">
        <v>13</v>
      </c>
      <c r="E1304" s="1">
        <v>-12.7</v>
      </c>
      <c r="F1304" s="1" t="s">
        <v>15157</v>
      </c>
    </row>
    <row r="1305" spans="1:6" ht="21" x14ac:dyDescent="0.25">
      <c r="A1305" s="2" t="str">
        <f>HYPERLINK("https://rth.dk/resources/bsgatlas/details.php?id=BSGatlas-terminator-1304","BSGatlas-terminator-1304")</f>
        <v>BSGatlas-terminator-1304</v>
      </c>
      <c r="B1305" s="3">
        <v>2096344</v>
      </c>
      <c r="C1305" s="3">
        <v>2096388</v>
      </c>
      <c r="D1305" s="1" t="s">
        <v>13</v>
      </c>
      <c r="E1305" s="1">
        <v>-10.9</v>
      </c>
      <c r="F1305" s="1" t="s">
        <v>15157</v>
      </c>
    </row>
    <row r="1306" spans="1:6" ht="21" x14ac:dyDescent="0.25">
      <c r="A1306" s="2" t="str">
        <f>HYPERLINK("https://rth.dk/resources/bsgatlas/details.php?id=BSGatlas-terminator-1305","BSGatlas-terminator-1305")</f>
        <v>BSGatlas-terminator-1305</v>
      </c>
      <c r="B1306" s="3">
        <v>2097087</v>
      </c>
      <c r="C1306" s="3">
        <v>2097116</v>
      </c>
      <c r="D1306" s="1" t="s">
        <v>13</v>
      </c>
      <c r="E1306" s="1">
        <v>-13.2</v>
      </c>
      <c r="F1306" s="1" t="s">
        <v>15161</v>
      </c>
    </row>
    <row r="1307" spans="1:6" ht="21" x14ac:dyDescent="0.25">
      <c r="A1307" s="2" t="str">
        <f>HYPERLINK("https://rth.dk/resources/bsgatlas/details.php?id=BSGatlas-terminator-1306","BSGatlas-terminator-1306")</f>
        <v>BSGatlas-terminator-1306</v>
      </c>
      <c r="B1307" s="3">
        <v>2099325</v>
      </c>
      <c r="C1307" s="3">
        <v>2099369</v>
      </c>
      <c r="D1307" s="1" t="s">
        <v>9</v>
      </c>
      <c r="E1307" s="1">
        <v>-10.9</v>
      </c>
      <c r="F1307" s="1" t="s">
        <v>15157</v>
      </c>
    </row>
    <row r="1308" spans="1:6" ht="21" x14ac:dyDescent="0.25">
      <c r="A1308" s="2" t="str">
        <f>HYPERLINK("https://rth.dk/resources/bsgatlas/details.php?id=BSGatlas-terminator-1307","BSGatlas-terminator-1307")</f>
        <v>BSGatlas-terminator-1307</v>
      </c>
      <c r="B1308" s="3">
        <v>2099393</v>
      </c>
      <c r="C1308" s="3">
        <v>2099440</v>
      </c>
      <c r="D1308" s="1" t="s">
        <v>13</v>
      </c>
      <c r="E1308" s="1">
        <v>-14.1</v>
      </c>
      <c r="F1308" s="1" t="s">
        <v>4382</v>
      </c>
    </row>
    <row r="1309" spans="1:6" ht="21" x14ac:dyDescent="0.25">
      <c r="A1309" s="2" t="str">
        <f>HYPERLINK("https://rth.dk/resources/bsgatlas/details.php?id=BSGatlas-terminator-1308","BSGatlas-terminator-1308")</f>
        <v>BSGatlas-terminator-1308</v>
      </c>
      <c r="B1309" s="3">
        <v>2099445</v>
      </c>
      <c r="C1309" s="3">
        <v>2099489</v>
      </c>
      <c r="D1309" s="1" t="s">
        <v>13</v>
      </c>
      <c r="E1309" s="1">
        <v>-9.6</v>
      </c>
      <c r="F1309" s="1" t="s">
        <v>15157</v>
      </c>
    </row>
    <row r="1310" spans="1:6" ht="21" x14ac:dyDescent="0.25">
      <c r="A1310" s="2" t="str">
        <f>HYPERLINK("https://rth.dk/resources/bsgatlas/details.php?id=BSGatlas-terminator-1309","BSGatlas-terminator-1309")</f>
        <v>BSGatlas-terminator-1309</v>
      </c>
      <c r="B1310" s="3">
        <v>2100089</v>
      </c>
      <c r="C1310" s="3">
        <v>2100133</v>
      </c>
      <c r="D1310" s="1" t="s">
        <v>13</v>
      </c>
      <c r="E1310" s="1">
        <v>-10.7</v>
      </c>
      <c r="F1310" s="1" t="s">
        <v>15157</v>
      </c>
    </row>
    <row r="1311" spans="1:6" ht="21" x14ac:dyDescent="0.25">
      <c r="A1311" s="2" t="str">
        <f>HYPERLINK("https://rth.dk/resources/bsgatlas/details.php?id=BSGatlas-terminator-1310","BSGatlas-terminator-1310")</f>
        <v>BSGatlas-terminator-1310</v>
      </c>
      <c r="B1311" s="3">
        <v>2102031</v>
      </c>
      <c r="C1311" s="3">
        <v>2102075</v>
      </c>
      <c r="D1311" s="1" t="s">
        <v>9</v>
      </c>
      <c r="E1311" s="1">
        <v>-7.1</v>
      </c>
      <c r="F1311" s="1" t="s">
        <v>15157</v>
      </c>
    </row>
    <row r="1312" spans="1:6" ht="21" x14ac:dyDescent="0.25">
      <c r="A1312" s="2" t="str">
        <f>HYPERLINK("https://rth.dk/resources/bsgatlas/details.php?id=BSGatlas-terminator-1311","BSGatlas-terminator-1311")</f>
        <v>BSGatlas-terminator-1311</v>
      </c>
      <c r="B1312" s="3">
        <v>2104923</v>
      </c>
      <c r="C1312" s="3">
        <v>2104967</v>
      </c>
      <c r="D1312" s="1" t="s">
        <v>13</v>
      </c>
      <c r="E1312" s="1">
        <v>-11.1</v>
      </c>
      <c r="F1312" s="1" t="s">
        <v>15157</v>
      </c>
    </row>
    <row r="1313" spans="1:6" ht="21" x14ac:dyDescent="0.25">
      <c r="A1313" s="2" t="str">
        <f>HYPERLINK("https://rth.dk/resources/bsgatlas/details.php?id=BSGatlas-terminator-1312","BSGatlas-terminator-1312")</f>
        <v>BSGatlas-terminator-1312</v>
      </c>
      <c r="B1313" s="3">
        <v>2107421</v>
      </c>
      <c r="C1313" s="3">
        <v>2107465</v>
      </c>
      <c r="D1313" s="1" t="s">
        <v>9</v>
      </c>
      <c r="E1313" s="1">
        <v>-16.399999999999999</v>
      </c>
      <c r="F1313" s="1" t="s">
        <v>15157</v>
      </c>
    </row>
    <row r="1314" spans="1:6" ht="21" x14ac:dyDescent="0.25">
      <c r="A1314" s="2" t="str">
        <f>HYPERLINK("https://rth.dk/resources/bsgatlas/details.php?id=BSGatlas-terminator-1313","BSGatlas-terminator-1313")</f>
        <v>BSGatlas-terminator-1313</v>
      </c>
      <c r="B1314" s="3">
        <v>2107455</v>
      </c>
      <c r="C1314" s="3">
        <v>2107502</v>
      </c>
      <c r="D1314" s="1" t="s">
        <v>13</v>
      </c>
      <c r="E1314" s="1">
        <v>-21.3</v>
      </c>
      <c r="F1314" s="1" t="s">
        <v>15158</v>
      </c>
    </row>
    <row r="1315" spans="1:6" ht="21" x14ac:dyDescent="0.25">
      <c r="A1315" s="2" t="str">
        <f>HYPERLINK("https://rth.dk/resources/bsgatlas/details.php?id=BSGatlas-terminator-1314","BSGatlas-terminator-1314")</f>
        <v>BSGatlas-terminator-1314</v>
      </c>
      <c r="B1315" s="3">
        <v>2115405</v>
      </c>
      <c r="C1315" s="3">
        <v>2115449</v>
      </c>
      <c r="D1315" s="1" t="s">
        <v>13</v>
      </c>
      <c r="E1315" s="1">
        <v>-4.7</v>
      </c>
      <c r="F1315" s="1" t="s">
        <v>15157</v>
      </c>
    </row>
    <row r="1316" spans="1:6" ht="21" x14ac:dyDescent="0.25">
      <c r="A1316" s="2" t="str">
        <f>HYPERLINK("https://rth.dk/resources/bsgatlas/details.php?id=BSGatlas-terminator-1315","BSGatlas-terminator-1315")</f>
        <v>BSGatlas-terminator-1315</v>
      </c>
      <c r="B1316" s="3">
        <v>2117055</v>
      </c>
      <c r="C1316" s="3">
        <v>2117099</v>
      </c>
      <c r="D1316" s="1" t="s">
        <v>13</v>
      </c>
      <c r="E1316" s="1">
        <v>-14.4</v>
      </c>
      <c r="F1316" s="1" t="s">
        <v>15157</v>
      </c>
    </row>
    <row r="1317" spans="1:6" ht="21" x14ac:dyDescent="0.25">
      <c r="A1317" s="2" t="str">
        <f>HYPERLINK("https://rth.dk/resources/bsgatlas/details.php?id=BSGatlas-terminator-1316","BSGatlas-terminator-1316")</f>
        <v>BSGatlas-terminator-1316</v>
      </c>
      <c r="B1317" s="3">
        <v>2121556</v>
      </c>
      <c r="C1317" s="3">
        <v>2121600</v>
      </c>
      <c r="D1317" s="1" t="s">
        <v>9</v>
      </c>
      <c r="E1317" s="1">
        <v>-14</v>
      </c>
      <c r="F1317" s="1" t="s">
        <v>15157</v>
      </c>
    </row>
    <row r="1318" spans="1:6" ht="21" x14ac:dyDescent="0.25">
      <c r="A1318" s="2" t="str">
        <f>HYPERLINK("https://rth.dk/resources/bsgatlas/details.php?id=BSGatlas-terminator-1317","BSGatlas-terminator-1317")</f>
        <v>BSGatlas-terminator-1317</v>
      </c>
      <c r="B1318" s="3">
        <v>2121588</v>
      </c>
      <c r="C1318" s="3">
        <v>2121632</v>
      </c>
      <c r="D1318" s="1" t="s">
        <v>13</v>
      </c>
      <c r="E1318" s="1">
        <v>-13.7</v>
      </c>
      <c r="F1318" s="1" t="s">
        <v>15157</v>
      </c>
    </row>
    <row r="1319" spans="1:6" ht="21" x14ac:dyDescent="0.25">
      <c r="A1319" s="2" t="str">
        <f>HYPERLINK("https://rth.dk/resources/bsgatlas/details.php?id=BSGatlas-terminator-1318","BSGatlas-terminator-1318")</f>
        <v>BSGatlas-terminator-1318</v>
      </c>
      <c r="B1319" s="3">
        <v>2121633</v>
      </c>
      <c r="C1319" s="3">
        <v>2121677</v>
      </c>
      <c r="D1319" s="1" t="s">
        <v>13</v>
      </c>
      <c r="E1319" s="1">
        <v>-13.7</v>
      </c>
      <c r="F1319" s="1" t="s">
        <v>15157</v>
      </c>
    </row>
    <row r="1320" spans="1:6" ht="21" x14ac:dyDescent="0.25">
      <c r="A1320" s="2" t="str">
        <f>HYPERLINK("https://rth.dk/resources/bsgatlas/details.php?id=BSGatlas-terminator-1319","BSGatlas-terminator-1319")</f>
        <v>BSGatlas-terminator-1319</v>
      </c>
      <c r="B1320" s="3">
        <v>2124499</v>
      </c>
      <c r="C1320" s="3">
        <v>2124522</v>
      </c>
      <c r="D1320" s="1" t="s">
        <v>9</v>
      </c>
      <c r="E1320" s="1">
        <v>-19.899999999999999</v>
      </c>
      <c r="F1320" s="1" t="s">
        <v>15161</v>
      </c>
    </row>
    <row r="1321" spans="1:6" ht="21" x14ac:dyDescent="0.25">
      <c r="A1321" s="2" t="str">
        <f>HYPERLINK("https://rth.dk/resources/bsgatlas/details.php?id=BSGatlas-terminator-1320","BSGatlas-terminator-1320")</f>
        <v>BSGatlas-terminator-1320</v>
      </c>
      <c r="B1321" s="3">
        <v>2124515</v>
      </c>
      <c r="C1321" s="3">
        <v>2124559</v>
      </c>
      <c r="D1321" s="1" t="s">
        <v>13</v>
      </c>
      <c r="E1321" s="1">
        <v>-16.600000000000001</v>
      </c>
      <c r="F1321" s="1" t="s">
        <v>15157</v>
      </c>
    </row>
    <row r="1322" spans="1:6" ht="21" x14ac:dyDescent="0.25">
      <c r="A1322" s="2" t="str">
        <f>HYPERLINK("https://rth.dk/resources/bsgatlas/details.php?id=BSGatlas-terminator-1321","BSGatlas-terminator-1321")</f>
        <v>BSGatlas-terminator-1321</v>
      </c>
      <c r="B1322" s="3">
        <v>2126926</v>
      </c>
      <c r="C1322" s="3">
        <v>2126970</v>
      </c>
      <c r="D1322" s="1" t="s">
        <v>9</v>
      </c>
      <c r="E1322" s="1">
        <v>-13.2</v>
      </c>
      <c r="F1322" s="1" t="s">
        <v>15157</v>
      </c>
    </row>
    <row r="1323" spans="1:6" ht="21" x14ac:dyDescent="0.25">
      <c r="A1323" s="2" t="str">
        <f>HYPERLINK("https://rth.dk/resources/bsgatlas/details.php?id=BSGatlas-terminator-1322","BSGatlas-terminator-1322")</f>
        <v>BSGatlas-terminator-1322</v>
      </c>
      <c r="B1323" s="3">
        <v>2128389</v>
      </c>
      <c r="C1323" s="3">
        <v>2128433</v>
      </c>
      <c r="D1323" s="1" t="s">
        <v>9</v>
      </c>
      <c r="E1323" s="1">
        <v>-14.3</v>
      </c>
      <c r="F1323" s="1" t="s">
        <v>15157</v>
      </c>
    </row>
    <row r="1324" spans="1:6" ht="21" x14ac:dyDescent="0.25">
      <c r="A1324" s="2" t="str">
        <f>HYPERLINK("https://rth.dk/resources/bsgatlas/details.php?id=BSGatlas-terminator-1323","BSGatlas-terminator-1323")</f>
        <v>BSGatlas-terminator-1323</v>
      </c>
      <c r="B1324" s="3">
        <v>2128433</v>
      </c>
      <c r="C1324" s="3">
        <v>2128458</v>
      </c>
      <c r="D1324" s="1" t="s">
        <v>13</v>
      </c>
      <c r="E1324" s="1">
        <v>-18.399999999999999</v>
      </c>
      <c r="F1324" s="1" t="s">
        <v>4547</v>
      </c>
    </row>
    <row r="1325" spans="1:6" ht="21" x14ac:dyDescent="0.25">
      <c r="A1325" s="2" t="str">
        <f>HYPERLINK("https://rth.dk/resources/bsgatlas/details.php?id=BSGatlas-terminator-1324","BSGatlas-terminator-1324")</f>
        <v>BSGatlas-terminator-1324</v>
      </c>
      <c r="B1325" s="3">
        <v>2131868</v>
      </c>
      <c r="C1325" s="3">
        <v>2131910</v>
      </c>
      <c r="D1325" s="1" t="s">
        <v>9</v>
      </c>
      <c r="E1325" s="1">
        <v>-18.399999999999999</v>
      </c>
      <c r="F1325" s="1" t="s">
        <v>15158</v>
      </c>
    </row>
    <row r="1326" spans="1:6" ht="21" x14ac:dyDescent="0.25">
      <c r="A1326" s="2" t="str">
        <f>HYPERLINK("https://rth.dk/resources/bsgatlas/details.php?id=BSGatlas-terminator-1325","BSGatlas-terminator-1325")</f>
        <v>BSGatlas-terminator-1325</v>
      </c>
      <c r="B1326" s="3">
        <v>2131904</v>
      </c>
      <c r="C1326" s="3">
        <v>2131948</v>
      </c>
      <c r="D1326" s="1" t="s">
        <v>13</v>
      </c>
      <c r="E1326" s="1">
        <v>-14.6</v>
      </c>
      <c r="F1326" s="1" t="s">
        <v>15157</v>
      </c>
    </row>
    <row r="1327" spans="1:6" ht="21" x14ac:dyDescent="0.25">
      <c r="A1327" s="2" t="str">
        <f>HYPERLINK("https://rth.dk/resources/bsgatlas/details.php?id=BSGatlas-terminator-1326","BSGatlas-terminator-1326")</f>
        <v>BSGatlas-terminator-1326</v>
      </c>
      <c r="B1327" s="3">
        <v>2134525</v>
      </c>
      <c r="C1327" s="3">
        <v>2134572</v>
      </c>
      <c r="D1327" s="1" t="s">
        <v>9</v>
      </c>
      <c r="E1327" s="1">
        <v>-18.8</v>
      </c>
      <c r="F1327" s="1" t="s">
        <v>15158</v>
      </c>
    </row>
    <row r="1328" spans="1:6" ht="21" x14ac:dyDescent="0.25">
      <c r="A1328" s="2" t="str">
        <f>HYPERLINK("https://rth.dk/resources/bsgatlas/details.php?id=BSGatlas-terminator-1327","BSGatlas-terminator-1327")</f>
        <v>BSGatlas-terminator-1327</v>
      </c>
      <c r="B1328" s="3">
        <v>2134570</v>
      </c>
      <c r="C1328" s="3">
        <v>2134614</v>
      </c>
      <c r="D1328" s="1" t="s">
        <v>13</v>
      </c>
      <c r="E1328" s="1">
        <v>-6.1</v>
      </c>
      <c r="F1328" s="1" t="s">
        <v>15157</v>
      </c>
    </row>
    <row r="1329" spans="1:6" ht="21" x14ac:dyDescent="0.25">
      <c r="A1329" s="2" t="str">
        <f>HYPERLINK("https://rth.dk/resources/bsgatlas/details.php?id=BSGatlas-terminator-1328","BSGatlas-terminator-1328")</f>
        <v>BSGatlas-terminator-1328</v>
      </c>
      <c r="B1329" s="3">
        <v>2136474</v>
      </c>
      <c r="C1329" s="3">
        <v>2136518</v>
      </c>
      <c r="D1329" s="1" t="s">
        <v>9</v>
      </c>
      <c r="E1329" s="1">
        <v>-8.5</v>
      </c>
      <c r="F1329" s="1" t="s">
        <v>15157</v>
      </c>
    </row>
    <row r="1330" spans="1:6" ht="21" x14ac:dyDescent="0.25">
      <c r="A1330" s="2" t="str">
        <f>HYPERLINK("https://rth.dk/resources/bsgatlas/details.php?id=BSGatlas-terminator-1329","BSGatlas-terminator-1329")</f>
        <v>BSGatlas-terminator-1329</v>
      </c>
      <c r="B1330" s="3">
        <v>2136528</v>
      </c>
      <c r="C1330" s="3">
        <v>2136572</v>
      </c>
      <c r="D1330" s="1" t="s">
        <v>13</v>
      </c>
      <c r="E1330" s="1">
        <v>-8.5</v>
      </c>
      <c r="F1330" s="1" t="s">
        <v>15157</v>
      </c>
    </row>
    <row r="1331" spans="1:6" ht="21" x14ac:dyDescent="0.25">
      <c r="A1331" s="2" t="str">
        <f>HYPERLINK("https://rth.dk/resources/bsgatlas/details.php?id=BSGatlas-terminator-1330","BSGatlas-terminator-1330")</f>
        <v>BSGatlas-terminator-1330</v>
      </c>
      <c r="B1331" s="3">
        <v>2137584</v>
      </c>
      <c r="C1331" s="3">
        <v>2137628</v>
      </c>
      <c r="D1331" s="1" t="s">
        <v>13</v>
      </c>
      <c r="E1331" s="1">
        <v>-11.9</v>
      </c>
      <c r="F1331" s="1" t="s">
        <v>15157</v>
      </c>
    </row>
    <row r="1332" spans="1:6" ht="21" x14ac:dyDescent="0.25">
      <c r="A1332" s="2" t="str">
        <f>HYPERLINK("https://rth.dk/resources/bsgatlas/details.php?id=BSGatlas-terminator-1331","BSGatlas-terminator-1331")</f>
        <v>BSGatlas-terminator-1331</v>
      </c>
      <c r="B1332" s="3">
        <v>2138860</v>
      </c>
      <c r="C1332" s="3">
        <v>2138904</v>
      </c>
      <c r="D1332" s="1" t="s">
        <v>13</v>
      </c>
      <c r="E1332" s="1">
        <v>-10.8</v>
      </c>
      <c r="F1332" s="1" t="s">
        <v>15157</v>
      </c>
    </row>
    <row r="1333" spans="1:6" ht="21" x14ac:dyDescent="0.25">
      <c r="A1333" s="2" t="str">
        <f>HYPERLINK("https://rth.dk/resources/bsgatlas/details.php?id=BSGatlas-terminator-1332","BSGatlas-terminator-1332")</f>
        <v>BSGatlas-terminator-1332</v>
      </c>
      <c r="B1333" s="3">
        <v>2139019</v>
      </c>
      <c r="C1333" s="3">
        <v>2139085</v>
      </c>
      <c r="D1333" s="1" t="s">
        <v>9</v>
      </c>
      <c r="E1333" s="1"/>
      <c r="F1333" s="1" t="s">
        <v>15159</v>
      </c>
    </row>
    <row r="1334" spans="1:6" ht="21" x14ac:dyDescent="0.25">
      <c r="A1334" s="2" t="str">
        <f>HYPERLINK("https://rth.dk/resources/bsgatlas/details.php?id=BSGatlas-terminator-1333","BSGatlas-terminator-1333")</f>
        <v>BSGatlas-terminator-1333</v>
      </c>
      <c r="B1334" s="3">
        <v>2145764</v>
      </c>
      <c r="C1334" s="3">
        <v>2145813</v>
      </c>
      <c r="D1334" s="1" t="s">
        <v>13</v>
      </c>
      <c r="E1334" s="1">
        <v>-18.8</v>
      </c>
      <c r="F1334" s="1" t="s">
        <v>15158</v>
      </c>
    </row>
    <row r="1335" spans="1:6" ht="21" x14ac:dyDescent="0.25">
      <c r="A1335" s="2" t="str">
        <f>HYPERLINK("https://rth.dk/resources/bsgatlas/details.php?id=BSGatlas-terminator-1334","BSGatlas-terminator-1334")</f>
        <v>BSGatlas-terminator-1334</v>
      </c>
      <c r="B1335" s="3">
        <v>2148277</v>
      </c>
      <c r="C1335" s="3">
        <v>2148321</v>
      </c>
      <c r="D1335" s="1" t="s">
        <v>13</v>
      </c>
      <c r="E1335" s="1">
        <v>-13.4</v>
      </c>
      <c r="F1335" s="1" t="s">
        <v>15157</v>
      </c>
    </row>
    <row r="1336" spans="1:6" ht="21" x14ac:dyDescent="0.25">
      <c r="A1336" s="2" t="str">
        <f>HYPERLINK("https://rth.dk/resources/bsgatlas/details.php?id=BSGatlas-terminator-1335","BSGatlas-terminator-1335")</f>
        <v>BSGatlas-terminator-1335</v>
      </c>
      <c r="B1336" s="3">
        <v>2150037</v>
      </c>
      <c r="C1336" s="3">
        <v>2150076</v>
      </c>
      <c r="D1336" s="1" t="s">
        <v>9</v>
      </c>
      <c r="E1336" s="1">
        <v>-10.6</v>
      </c>
      <c r="F1336" s="1" t="s">
        <v>15158</v>
      </c>
    </row>
    <row r="1337" spans="1:6" ht="21" x14ac:dyDescent="0.25">
      <c r="A1337" s="2" t="str">
        <f>HYPERLINK("https://rth.dk/resources/bsgatlas/details.php?id=BSGatlas-terminator-1336","BSGatlas-terminator-1336")</f>
        <v>BSGatlas-terminator-1336</v>
      </c>
      <c r="B1337" s="3">
        <v>2150068</v>
      </c>
      <c r="C1337" s="3">
        <v>2150104</v>
      </c>
      <c r="D1337" s="1" t="s">
        <v>13</v>
      </c>
      <c r="E1337" s="1">
        <v>-10.3</v>
      </c>
      <c r="F1337" s="1" t="s">
        <v>15158</v>
      </c>
    </row>
    <row r="1338" spans="1:6" ht="21" x14ac:dyDescent="0.25">
      <c r="A1338" s="2" t="str">
        <f>HYPERLINK("https://rth.dk/resources/bsgatlas/details.php?id=BSGatlas-terminator-1337","BSGatlas-terminator-1337")</f>
        <v>BSGatlas-terminator-1337</v>
      </c>
      <c r="B1338" s="3">
        <v>2152007</v>
      </c>
      <c r="C1338" s="3">
        <v>2152051</v>
      </c>
      <c r="D1338" s="1" t="s">
        <v>9</v>
      </c>
      <c r="E1338" s="1">
        <v>-8.6999999999999993</v>
      </c>
      <c r="F1338" s="1" t="s">
        <v>15157</v>
      </c>
    </row>
    <row r="1339" spans="1:6" ht="21" x14ac:dyDescent="0.25">
      <c r="A1339" s="2" t="str">
        <f>HYPERLINK("https://rth.dk/resources/bsgatlas/details.php?id=BSGatlas-terminator-1338","BSGatlas-terminator-1338")</f>
        <v>BSGatlas-terminator-1338</v>
      </c>
      <c r="B1339" s="3">
        <v>2152121</v>
      </c>
      <c r="C1339" s="3">
        <v>2152165</v>
      </c>
      <c r="D1339" s="1" t="s">
        <v>13</v>
      </c>
      <c r="E1339" s="1">
        <v>-12.1</v>
      </c>
      <c r="F1339" s="1" t="s">
        <v>15157</v>
      </c>
    </row>
    <row r="1340" spans="1:6" ht="21" x14ac:dyDescent="0.25">
      <c r="A1340" s="2" t="str">
        <f>HYPERLINK("https://rth.dk/resources/bsgatlas/details.php?id=BSGatlas-terminator-1339","BSGatlas-terminator-1339")</f>
        <v>BSGatlas-terminator-1339</v>
      </c>
      <c r="B1340" s="3">
        <v>2152924</v>
      </c>
      <c r="C1340" s="3">
        <v>2152978</v>
      </c>
      <c r="D1340" s="1" t="s">
        <v>13</v>
      </c>
      <c r="E1340" s="1">
        <v>-7.3</v>
      </c>
      <c r="F1340" s="1" t="s">
        <v>4382</v>
      </c>
    </row>
    <row r="1341" spans="1:6" ht="21" x14ac:dyDescent="0.25">
      <c r="A1341" s="2" t="str">
        <f>HYPERLINK("https://rth.dk/resources/bsgatlas/details.php?id=BSGatlas-terminator-1340","BSGatlas-terminator-1340")</f>
        <v>BSGatlas-terminator-1340</v>
      </c>
      <c r="B1341" s="3">
        <v>2153685</v>
      </c>
      <c r="C1341" s="3">
        <v>2153751</v>
      </c>
      <c r="D1341" s="1" t="s">
        <v>9</v>
      </c>
      <c r="E1341" s="1"/>
      <c r="F1341" s="1" t="s">
        <v>15159</v>
      </c>
    </row>
    <row r="1342" spans="1:6" ht="21" x14ac:dyDescent="0.25">
      <c r="A1342" s="2" t="str">
        <f>HYPERLINK("https://rth.dk/resources/bsgatlas/details.php?id=BSGatlas-terminator-1341","BSGatlas-terminator-1341")</f>
        <v>BSGatlas-terminator-1341</v>
      </c>
      <c r="B1342" s="3">
        <v>2156458</v>
      </c>
      <c r="C1342" s="3">
        <v>2156498</v>
      </c>
      <c r="D1342" s="1" t="s">
        <v>9</v>
      </c>
      <c r="E1342" s="1">
        <v>-14.7</v>
      </c>
      <c r="F1342" s="1" t="s">
        <v>15158</v>
      </c>
    </row>
    <row r="1343" spans="1:6" ht="21" x14ac:dyDescent="0.25">
      <c r="A1343" s="2" t="str">
        <f>HYPERLINK("https://rth.dk/resources/bsgatlas/details.php?id=BSGatlas-terminator-1342","BSGatlas-terminator-1342")</f>
        <v>BSGatlas-terminator-1342</v>
      </c>
      <c r="B1343" s="3">
        <v>2157221</v>
      </c>
      <c r="C1343" s="3">
        <v>2157265</v>
      </c>
      <c r="D1343" s="1" t="s">
        <v>9</v>
      </c>
      <c r="E1343" s="1">
        <v>-10.7</v>
      </c>
      <c r="F1343" s="1" t="s">
        <v>15157</v>
      </c>
    </row>
    <row r="1344" spans="1:6" ht="21" x14ac:dyDescent="0.25">
      <c r="A1344" s="2" t="str">
        <f>HYPERLINK("https://rth.dk/resources/bsgatlas/details.php?id=BSGatlas-terminator-1343","BSGatlas-terminator-1343")</f>
        <v>BSGatlas-terminator-1343</v>
      </c>
      <c r="B1344" s="3">
        <v>2158101</v>
      </c>
      <c r="C1344" s="3">
        <v>2158145</v>
      </c>
      <c r="D1344" s="1" t="s">
        <v>9</v>
      </c>
      <c r="E1344" s="1">
        <v>-9</v>
      </c>
      <c r="F1344" s="1" t="s">
        <v>15157</v>
      </c>
    </row>
    <row r="1345" spans="1:6" ht="21" x14ac:dyDescent="0.25">
      <c r="A1345" s="2" t="str">
        <f>HYPERLINK("https://rth.dk/resources/bsgatlas/details.php?id=BSGatlas-terminator-1344","BSGatlas-terminator-1344")</f>
        <v>BSGatlas-terminator-1344</v>
      </c>
      <c r="B1345" s="3">
        <v>2158836</v>
      </c>
      <c r="C1345" s="3">
        <v>2158902</v>
      </c>
      <c r="D1345" s="1" t="s">
        <v>9</v>
      </c>
      <c r="E1345" s="1"/>
      <c r="F1345" s="1" t="s">
        <v>15159</v>
      </c>
    </row>
    <row r="1346" spans="1:6" ht="21" x14ac:dyDescent="0.25">
      <c r="A1346" s="2" t="str">
        <f>HYPERLINK("https://rth.dk/resources/bsgatlas/details.php?id=BSGatlas-terminator-1345","BSGatlas-terminator-1345")</f>
        <v>BSGatlas-terminator-1345</v>
      </c>
      <c r="B1346" s="3">
        <v>2161521</v>
      </c>
      <c r="C1346" s="3">
        <v>2161565</v>
      </c>
      <c r="D1346" s="1" t="s">
        <v>13</v>
      </c>
      <c r="E1346" s="1">
        <v>-12.1</v>
      </c>
      <c r="F1346" s="1" t="s">
        <v>15157</v>
      </c>
    </row>
    <row r="1347" spans="1:6" ht="21" x14ac:dyDescent="0.25">
      <c r="A1347" s="2" t="str">
        <f>HYPERLINK("https://rth.dk/resources/bsgatlas/details.php?id=BSGatlas-terminator-1346","BSGatlas-terminator-1346")</f>
        <v>BSGatlas-terminator-1346</v>
      </c>
      <c r="B1347" s="3">
        <v>2162127</v>
      </c>
      <c r="C1347" s="3">
        <v>2162171</v>
      </c>
      <c r="D1347" s="1" t="s">
        <v>9</v>
      </c>
      <c r="E1347" s="1">
        <v>-11.3</v>
      </c>
      <c r="F1347" s="1" t="s">
        <v>15157</v>
      </c>
    </row>
    <row r="1348" spans="1:6" ht="21" x14ac:dyDescent="0.25">
      <c r="A1348" s="2" t="str">
        <f>HYPERLINK("https://rth.dk/resources/bsgatlas/details.php?id=BSGatlas-terminator-1347","BSGatlas-terminator-1347")</f>
        <v>BSGatlas-terminator-1347</v>
      </c>
      <c r="B1348" s="3">
        <v>2164887</v>
      </c>
      <c r="C1348" s="3">
        <v>2164931</v>
      </c>
      <c r="D1348" s="1" t="s">
        <v>13</v>
      </c>
      <c r="E1348" s="1">
        <v>-12.1</v>
      </c>
      <c r="F1348" s="1" t="s">
        <v>15157</v>
      </c>
    </row>
    <row r="1349" spans="1:6" ht="21" x14ac:dyDescent="0.25">
      <c r="A1349" s="2" t="str">
        <f>HYPERLINK("https://rth.dk/resources/bsgatlas/details.php?id=BSGatlas-terminator-1348","BSGatlas-terminator-1348")</f>
        <v>BSGatlas-terminator-1348</v>
      </c>
      <c r="B1349" s="3">
        <v>2169937</v>
      </c>
      <c r="C1349" s="3">
        <v>2169981</v>
      </c>
      <c r="D1349" s="1" t="s">
        <v>9</v>
      </c>
      <c r="E1349" s="1">
        <v>-9.4</v>
      </c>
      <c r="F1349" s="1" t="s">
        <v>15162</v>
      </c>
    </row>
    <row r="1350" spans="1:6" ht="21" x14ac:dyDescent="0.25">
      <c r="A1350" s="2" t="str">
        <f>HYPERLINK("https://rth.dk/resources/bsgatlas/details.php?id=BSGatlas-terminator-1349","BSGatlas-terminator-1349")</f>
        <v>BSGatlas-terminator-1349</v>
      </c>
      <c r="B1350" s="3">
        <v>2173303</v>
      </c>
      <c r="C1350" s="3">
        <v>2173347</v>
      </c>
      <c r="D1350" s="1" t="s">
        <v>9</v>
      </c>
      <c r="E1350" s="1">
        <v>-9.4</v>
      </c>
      <c r="F1350" s="1" t="s">
        <v>15157</v>
      </c>
    </row>
    <row r="1351" spans="1:6" ht="21" x14ac:dyDescent="0.25">
      <c r="A1351" s="2" t="str">
        <f>HYPERLINK("https://rth.dk/resources/bsgatlas/details.php?id=BSGatlas-terminator-1350","BSGatlas-terminator-1350")</f>
        <v>BSGatlas-terminator-1350</v>
      </c>
      <c r="B1351" s="3">
        <v>2186910</v>
      </c>
      <c r="C1351" s="3">
        <v>2186954</v>
      </c>
      <c r="D1351" s="1" t="s">
        <v>13</v>
      </c>
      <c r="E1351" s="1">
        <v>-10.9</v>
      </c>
      <c r="F1351" s="1" t="s">
        <v>15157</v>
      </c>
    </row>
    <row r="1352" spans="1:6" ht="21" x14ac:dyDescent="0.25">
      <c r="A1352" s="2" t="str">
        <f>HYPERLINK("https://rth.dk/resources/bsgatlas/details.php?id=BSGatlas-terminator-1351","BSGatlas-terminator-1351")</f>
        <v>BSGatlas-terminator-1351</v>
      </c>
      <c r="B1352" s="3">
        <v>2186977</v>
      </c>
      <c r="C1352" s="3">
        <v>2187021</v>
      </c>
      <c r="D1352" s="1" t="s">
        <v>13</v>
      </c>
      <c r="E1352" s="1">
        <v>-10.9</v>
      </c>
      <c r="F1352" s="1" t="s">
        <v>15157</v>
      </c>
    </row>
    <row r="1353" spans="1:6" ht="21" x14ac:dyDescent="0.25">
      <c r="A1353" s="2" t="str">
        <f>HYPERLINK("https://rth.dk/resources/bsgatlas/details.php?id=BSGatlas-terminator-1352","BSGatlas-terminator-1352")</f>
        <v>BSGatlas-terminator-1352</v>
      </c>
      <c r="B1353" s="3">
        <v>2187275</v>
      </c>
      <c r="C1353" s="3">
        <v>2187319</v>
      </c>
      <c r="D1353" s="1" t="s">
        <v>9</v>
      </c>
      <c r="E1353" s="1">
        <v>-13.9</v>
      </c>
      <c r="F1353" s="1" t="s">
        <v>15157</v>
      </c>
    </row>
    <row r="1354" spans="1:6" ht="21" x14ac:dyDescent="0.25">
      <c r="A1354" s="2" t="str">
        <f>HYPERLINK("https://rth.dk/resources/bsgatlas/details.php?id=BSGatlas-terminator-1353","BSGatlas-terminator-1353")</f>
        <v>BSGatlas-terminator-1353</v>
      </c>
      <c r="B1354" s="3">
        <v>2187813</v>
      </c>
      <c r="C1354" s="3">
        <v>2187857</v>
      </c>
      <c r="D1354" s="1" t="s">
        <v>13</v>
      </c>
      <c r="E1354" s="1">
        <v>-10.9</v>
      </c>
      <c r="F1354" s="1" t="s">
        <v>15157</v>
      </c>
    </row>
    <row r="1355" spans="1:6" ht="21" x14ac:dyDescent="0.25">
      <c r="A1355" s="2" t="str">
        <f>HYPERLINK("https://rth.dk/resources/bsgatlas/details.php?id=BSGatlas-terminator-1354","BSGatlas-terminator-1354")</f>
        <v>BSGatlas-terminator-1354</v>
      </c>
      <c r="B1355" s="3">
        <v>2190739</v>
      </c>
      <c r="C1355" s="3">
        <v>2190783</v>
      </c>
      <c r="D1355" s="1" t="s">
        <v>13</v>
      </c>
      <c r="E1355" s="1">
        <v>-10.9</v>
      </c>
      <c r="F1355" s="1" t="s">
        <v>15162</v>
      </c>
    </row>
    <row r="1356" spans="1:6" ht="21" x14ac:dyDescent="0.25">
      <c r="A1356" s="2" t="str">
        <f>HYPERLINK("https://rth.dk/resources/bsgatlas/details.php?id=BSGatlas-terminator-1355","BSGatlas-terminator-1355")</f>
        <v>BSGatlas-terminator-1355</v>
      </c>
      <c r="B1356" s="3">
        <v>2195501</v>
      </c>
      <c r="C1356" s="3">
        <v>2195545</v>
      </c>
      <c r="D1356" s="1" t="s">
        <v>9</v>
      </c>
      <c r="E1356" s="1">
        <v>-8</v>
      </c>
      <c r="F1356" s="1" t="s">
        <v>15157</v>
      </c>
    </row>
    <row r="1357" spans="1:6" ht="21" x14ac:dyDescent="0.25">
      <c r="A1357" s="2" t="str">
        <f>HYPERLINK("https://rth.dk/resources/bsgatlas/details.php?id=BSGatlas-terminator-1356","BSGatlas-terminator-1356")</f>
        <v>BSGatlas-terminator-1356</v>
      </c>
      <c r="B1357" s="3">
        <v>2196229</v>
      </c>
      <c r="C1357" s="3">
        <v>2196273</v>
      </c>
      <c r="D1357" s="1" t="s">
        <v>9</v>
      </c>
      <c r="E1357" s="1">
        <v>-12.3</v>
      </c>
      <c r="F1357" s="1" t="s">
        <v>15157</v>
      </c>
    </row>
    <row r="1358" spans="1:6" ht="21" x14ac:dyDescent="0.25">
      <c r="A1358" s="2" t="str">
        <f>HYPERLINK("https://rth.dk/resources/bsgatlas/details.php?id=BSGatlas-terminator-1357","BSGatlas-terminator-1357")</f>
        <v>BSGatlas-terminator-1357</v>
      </c>
      <c r="B1358" s="3">
        <v>2204186</v>
      </c>
      <c r="C1358" s="3">
        <v>2204230</v>
      </c>
      <c r="D1358" s="1" t="s">
        <v>13</v>
      </c>
      <c r="E1358" s="1">
        <v>-11.2</v>
      </c>
      <c r="F1358" s="1" t="s">
        <v>15157</v>
      </c>
    </row>
    <row r="1359" spans="1:6" ht="21" x14ac:dyDescent="0.25">
      <c r="A1359" s="2" t="str">
        <f>HYPERLINK("https://rth.dk/resources/bsgatlas/details.php?id=BSGatlas-terminator-1358","BSGatlas-terminator-1358")</f>
        <v>BSGatlas-terminator-1358</v>
      </c>
      <c r="B1359" s="3">
        <v>2208669</v>
      </c>
      <c r="C1359" s="3">
        <v>2208713</v>
      </c>
      <c r="D1359" s="1" t="s">
        <v>13</v>
      </c>
      <c r="E1359" s="1">
        <v>-15.6</v>
      </c>
      <c r="F1359" s="1" t="s">
        <v>15162</v>
      </c>
    </row>
    <row r="1360" spans="1:6" ht="21" x14ac:dyDescent="0.25">
      <c r="A1360" s="2" t="str">
        <f>HYPERLINK("https://rth.dk/resources/bsgatlas/details.php?id=BSGatlas-terminator-1359","BSGatlas-terminator-1359")</f>
        <v>BSGatlas-terminator-1359</v>
      </c>
      <c r="B1360" s="3">
        <v>2208802</v>
      </c>
      <c r="C1360" s="3">
        <v>2208846</v>
      </c>
      <c r="D1360" s="1" t="s">
        <v>13</v>
      </c>
      <c r="E1360" s="1">
        <v>-15.6</v>
      </c>
      <c r="F1360" s="1" t="s">
        <v>15162</v>
      </c>
    </row>
    <row r="1361" spans="1:6" ht="21" x14ac:dyDescent="0.25">
      <c r="A1361" s="2" t="str">
        <f>HYPERLINK("https://rth.dk/resources/bsgatlas/details.php?id=BSGatlas-terminator-1360","BSGatlas-terminator-1360")</f>
        <v>BSGatlas-terminator-1360</v>
      </c>
      <c r="B1361" s="3">
        <v>2214828</v>
      </c>
      <c r="C1361" s="3">
        <v>2214894</v>
      </c>
      <c r="D1361" s="1" t="s">
        <v>9</v>
      </c>
      <c r="E1361" s="1"/>
      <c r="F1361" s="1" t="s">
        <v>15159</v>
      </c>
    </row>
    <row r="1362" spans="1:6" ht="21" x14ac:dyDescent="0.25">
      <c r="A1362" s="2" t="str">
        <f>HYPERLINK("https://rth.dk/resources/bsgatlas/details.php?id=BSGatlas-terminator-1361","BSGatlas-terminator-1361")</f>
        <v>BSGatlas-terminator-1361</v>
      </c>
      <c r="B1362" s="3">
        <v>2215289</v>
      </c>
      <c r="C1362" s="3">
        <v>2215333</v>
      </c>
      <c r="D1362" s="1" t="s">
        <v>13</v>
      </c>
      <c r="E1362" s="1">
        <v>-8.1</v>
      </c>
      <c r="F1362" s="1" t="s">
        <v>15162</v>
      </c>
    </row>
    <row r="1363" spans="1:6" ht="21" x14ac:dyDescent="0.25">
      <c r="A1363" s="2" t="str">
        <f>HYPERLINK("https://rth.dk/resources/bsgatlas/details.php?id=BSGatlas-terminator-1362","BSGatlas-terminator-1362")</f>
        <v>BSGatlas-terminator-1362</v>
      </c>
      <c r="B1363" s="3">
        <v>2219273</v>
      </c>
      <c r="C1363" s="3">
        <v>2219317</v>
      </c>
      <c r="D1363" s="1" t="s">
        <v>13</v>
      </c>
      <c r="E1363" s="1">
        <v>-11.8</v>
      </c>
      <c r="F1363" s="1" t="s">
        <v>15157</v>
      </c>
    </row>
    <row r="1364" spans="1:6" ht="21" x14ac:dyDescent="0.25">
      <c r="A1364" s="2" t="str">
        <f>HYPERLINK("https://rth.dk/resources/bsgatlas/details.php?id=BSGatlas-terminator-1363","BSGatlas-terminator-1363")</f>
        <v>BSGatlas-terminator-1363</v>
      </c>
      <c r="B1364" s="3">
        <v>2220330</v>
      </c>
      <c r="C1364" s="3">
        <v>2220374</v>
      </c>
      <c r="D1364" s="1" t="s">
        <v>13</v>
      </c>
      <c r="E1364" s="1">
        <v>-7.4</v>
      </c>
      <c r="F1364" s="1" t="s">
        <v>15157</v>
      </c>
    </row>
    <row r="1365" spans="1:6" ht="21" x14ac:dyDescent="0.25">
      <c r="A1365" s="2" t="str">
        <f>HYPERLINK("https://rth.dk/resources/bsgatlas/details.php?id=BSGatlas-terminator-1364","BSGatlas-terminator-1364")</f>
        <v>BSGatlas-terminator-1364</v>
      </c>
      <c r="B1365" s="3">
        <v>2222233</v>
      </c>
      <c r="C1365" s="3">
        <v>2222277</v>
      </c>
      <c r="D1365" s="1" t="s">
        <v>9</v>
      </c>
      <c r="E1365" s="1">
        <v>-9.4</v>
      </c>
      <c r="F1365" s="1" t="s">
        <v>15157</v>
      </c>
    </row>
    <row r="1366" spans="1:6" ht="21" x14ac:dyDescent="0.25">
      <c r="A1366" s="2" t="str">
        <f>HYPERLINK("https://rth.dk/resources/bsgatlas/details.php?id=BSGatlas-terminator-1365","BSGatlas-terminator-1365")</f>
        <v>BSGatlas-terminator-1365</v>
      </c>
      <c r="B1366" s="3">
        <v>2225764</v>
      </c>
      <c r="C1366" s="3">
        <v>2225808</v>
      </c>
      <c r="D1366" s="1" t="s">
        <v>9</v>
      </c>
      <c r="E1366" s="1">
        <v>-8</v>
      </c>
      <c r="F1366" s="1" t="s">
        <v>15162</v>
      </c>
    </row>
    <row r="1367" spans="1:6" ht="21" x14ac:dyDescent="0.25">
      <c r="A1367" s="2" t="str">
        <f>HYPERLINK("https://rth.dk/resources/bsgatlas/details.php?id=BSGatlas-terminator-1366","BSGatlas-terminator-1366")</f>
        <v>BSGatlas-terminator-1366</v>
      </c>
      <c r="B1367" s="3">
        <v>2228755</v>
      </c>
      <c r="C1367" s="3">
        <v>2228799</v>
      </c>
      <c r="D1367" s="1" t="s">
        <v>13</v>
      </c>
      <c r="E1367" s="1">
        <v>-6.7</v>
      </c>
      <c r="F1367" s="1" t="s">
        <v>15157</v>
      </c>
    </row>
    <row r="1368" spans="1:6" ht="21" x14ac:dyDescent="0.25">
      <c r="A1368" s="2" t="str">
        <f>HYPERLINK("https://rth.dk/resources/bsgatlas/details.php?id=BSGatlas-terminator-1367","BSGatlas-terminator-1367")</f>
        <v>BSGatlas-terminator-1367</v>
      </c>
      <c r="B1368" s="3">
        <v>2229845</v>
      </c>
      <c r="C1368" s="3">
        <v>2229889</v>
      </c>
      <c r="D1368" s="1" t="s">
        <v>9</v>
      </c>
      <c r="E1368" s="1">
        <v>-8</v>
      </c>
      <c r="F1368" s="1" t="s">
        <v>15157</v>
      </c>
    </row>
    <row r="1369" spans="1:6" ht="21" x14ac:dyDescent="0.25">
      <c r="A1369" s="2" t="str">
        <f>HYPERLINK("https://rth.dk/resources/bsgatlas/details.php?id=BSGatlas-terminator-1368","BSGatlas-terminator-1368")</f>
        <v>BSGatlas-terminator-1368</v>
      </c>
      <c r="B1369" s="3">
        <v>2245274</v>
      </c>
      <c r="C1369" s="3">
        <v>2245340</v>
      </c>
      <c r="D1369" s="1" t="s">
        <v>13</v>
      </c>
      <c r="E1369" s="1"/>
      <c r="F1369" s="1" t="s">
        <v>15159</v>
      </c>
    </row>
    <row r="1370" spans="1:6" ht="21" x14ac:dyDescent="0.25">
      <c r="A1370" s="2" t="str">
        <f>HYPERLINK("https://rth.dk/resources/bsgatlas/details.php?id=BSGatlas-terminator-1369","BSGatlas-terminator-1369")</f>
        <v>BSGatlas-terminator-1369</v>
      </c>
      <c r="B1370" s="3">
        <v>2246506</v>
      </c>
      <c r="C1370" s="3">
        <v>2246550</v>
      </c>
      <c r="D1370" s="1" t="s">
        <v>9</v>
      </c>
      <c r="E1370" s="1">
        <v>-11.8</v>
      </c>
      <c r="F1370" s="1" t="s">
        <v>15162</v>
      </c>
    </row>
    <row r="1371" spans="1:6" ht="21" x14ac:dyDescent="0.25">
      <c r="A1371" s="2" t="str">
        <f>HYPERLINK("https://rth.dk/resources/bsgatlas/details.php?id=BSGatlas-terminator-1370","BSGatlas-terminator-1370")</f>
        <v>BSGatlas-terminator-1370</v>
      </c>
      <c r="B1371" s="3">
        <v>2249037</v>
      </c>
      <c r="C1371" s="3">
        <v>2249081</v>
      </c>
      <c r="D1371" s="1" t="s">
        <v>9</v>
      </c>
      <c r="E1371" s="1">
        <v>-9.1</v>
      </c>
      <c r="F1371" s="1" t="s">
        <v>15157</v>
      </c>
    </row>
    <row r="1372" spans="1:6" ht="21" x14ac:dyDescent="0.25">
      <c r="A1372" s="2" t="str">
        <f>HYPERLINK("https://rth.dk/resources/bsgatlas/details.php?id=BSGatlas-terminator-1371","BSGatlas-terminator-1371")</f>
        <v>BSGatlas-terminator-1371</v>
      </c>
      <c r="B1372" s="3">
        <v>2264320</v>
      </c>
      <c r="C1372" s="3">
        <v>2264386</v>
      </c>
      <c r="D1372" s="1" t="s">
        <v>13</v>
      </c>
      <c r="E1372" s="1"/>
      <c r="F1372" s="1" t="s">
        <v>15159</v>
      </c>
    </row>
    <row r="1373" spans="1:6" ht="21" x14ac:dyDescent="0.25">
      <c r="A1373" s="2" t="str">
        <f>HYPERLINK("https://rth.dk/resources/bsgatlas/details.php?id=BSGatlas-terminator-1372","BSGatlas-terminator-1372")</f>
        <v>BSGatlas-terminator-1372</v>
      </c>
      <c r="B1373" s="3">
        <v>2265122</v>
      </c>
      <c r="C1373" s="3">
        <v>2265192</v>
      </c>
      <c r="D1373" s="1" t="s">
        <v>13</v>
      </c>
      <c r="E1373" s="1">
        <v>-13.1</v>
      </c>
      <c r="F1373" s="1" t="s">
        <v>15160</v>
      </c>
    </row>
    <row r="1374" spans="1:6" ht="21" x14ac:dyDescent="0.25">
      <c r="A1374" s="2" t="str">
        <f>HYPERLINK("https://rth.dk/resources/bsgatlas/details.php?id=BSGatlas-terminator-1373","BSGatlas-terminator-1373")</f>
        <v>BSGatlas-terminator-1373</v>
      </c>
      <c r="B1374" s="3">
        <v>2269137</v>
      </c>
      <c r="C1374" s="3">
        <v>2269181</v>
      </c>
      <c r="D1374" s="1" t="s">
        <v>9</v>
      </c>
      <c r="E1374" s="1">
        <v>-11.2</v>
      </c>
      <c r="F1374" s="1" t="s">
        <v>15157</v>
      </c>
    </row>
    <row r="1375" spans="1:6" ht="21" x14ac:dyDescent="0.25">
      <c r="A1375" s="2" t="str">
        <f>HYPERLINK("https://rth.dk/resources/bsgatlas/details.php?id=BSGatlas-terminator-1374","BSGatlas-terminator-1374")</f>
        <v>BSGatlas-terminator-1374</v>
      </c>
      <c r="B1375" s="3">
        <v>2269487</v>
      </c>
      <c r="C1375" s="3">
        <v>2269547</v>
      </c>
      <c r="D1375" s="1" t="s">
        <v>13</v>
      </c>
      <c r="E1375" s="1">
        <v>-14.1</v>
      </c>
      <c r="F1375" s="1" t="s">
        <v>15158</v>
      </c>
    </row>
    <row r="1376" spans="1:6" ht="21" x14ac:dyDescent="0.25">
      <c r="A1376" s="2" t="str">
        <f>HYPERLINK("https://rth.dk/resources/bsgatlas/details.php?id=BSGatlas-terminator-1375","BSGatlas-terminator-1375")</f>
        <v>BSGatlas-terminator-1375</v>
      </c>
      <c r="B1376" s="3">
        <v>2269983</v>
      </c>
      <c r="C1376" s="3">
        <v>2270027</v>
      </c>
      <c r="D1376" s="1" t="s">
        <v>13</v>
      </c>
      <c r="E1376" s="1">
        <v>-11.2</v>
      </c>
      <c r="F1376" s="1" t="s">
        <v>15157</v>
      </c>
    </row>
    <row r="1377" spans="1:6" ht="21" x14ac:dyDescent="0.25">
      <c r="A1377" s="2" t="str">
        <f>HYPERLINK("https://rth.dk/resources/bsgatlas/details.php?id=BSGatlas-terminator-1376","BSGatlas-terminator-1376")</f>
        <v>BSGatlas-terminator-1376</v>
      </c>
      <c r="B1377" s="3">
        <v>2272480</v>
      </c>
      <c r="C1377" s="3">
        <v>2272535</v>
      </c>
      <c r="D1377" s="1" t="s">
        <v>9</v>
      </c>
      <c r="E1377" s="1">
        <v>-18.5</v>
      </c>
      <c r="F1377" s="1" t="s">
        <v>15158</v>
      </c>
    </row>
    <row r="1378" spans="1:6" ht="21" x14ac:dyDescent="0.25">
      <c r="A1378" s="2" t="str">
        <f>HYPERLINK("https://rth.dk/resources/bsgatlas/details.php?id=BSGatlas-terminator-1377","BSGatlas-terminator-1377")</f>
        <v>BSGatlas-terminator-1377</v>
      </c>
      <c r="B1378" s="3">
        <v>2272520</v>
      </c>
      <c r="C1378" s="3">
        <v>2272564</v>
      </c>
      <c r="D1378" s="1" t="s">
        <v>13</v>
      </c>
      <c r="E1378" s="1">
        <v>-16.399999999999999</v>
      </c>
      <c r="F1378" s="1" t="s">
        <v>15157</v>
      </c>
    </row>
    <row r="1379" spans="1:6" ht="21" x14ac:dyDescent="0.25">
      <c r="A1379" s="2" t="str">
        <f>HYPERLINK("https://rth.dk/resources/bsgatlas/details.php?id=BSGatlas-terminator-1378","BSGatlas-terminator-1378")</f>
        <v>BSGatlas-terminator-1378</v>
      </c>
      <c r="B1379" s="3">
        <v>2273481</v>
      </c>
      <c r="C1379" s="3">
        <v>2273525</v>
      </c>
      <c r="D1379" s="1" t="s">
        <v>13</v>
      </c>
      <c r="E1379" s="1">
        <v>-9.4</v>
      </c>
      <c r="F1379" s="1" t="s">
        <v>15157</v>
      </c>
    </row>
    <row r="1380" spans="1:6" ht="21" x14ac:dyDescent="0.25">
      <c r="A1380" s="2" t="str">
        <f>HYPERLINK("https://rth.dk/resources/bsgatlas/details.php?id=BSGatlas-terminator-1379","BSGatlas-terminator-1379")</f>
        <v>BSGatlas-terminator-1379</v>
      </c>
      <c r="B1380" s="3">
        <v>2273683</v>
      </c>
      <c r="C1380" s="3">
        <v>2273727</v>
      </c>
      <c r="D1380" s="1" t="s">
        <v>9</v>
      </c>
      <c r="E1380" s="1">
        <v>-14.1</v>
      </c>
      <c r="F1380" s="1" t="s">
        <v>15157</v>
      </c>
    </row>
    <row r="1381" spans="1:6" ht="21" x14ac:dyDescent="0.25">
      <c r="A1381" s="2" t="str">
        <f>HYPERLINK("https://rth.dk/resources/bsgatlas/details.php?id=BSGatlas-terminator-1380","BSGatlas-terminator-1380")</f>
        <v>BSGatlas-terminator-1380</v>
      </c>
      <c r="B1381" s="3">
        <v>2273745</v>
      </c>
      <c r="C1381" s="3">
        <v>2273789</v>
      </c>
      <c r="D1381" s="1" t="s">
        <v>13</v>
      </c>
      <c r="E1381" s="1">
        <v>-16.399999999999999</v>
      </c>
      <c r="F1381" s="1" t="s">
        <v>15162</v>
      </c>
    </row>
    <row r="1382" spans="1:6" ht="21" x14ac:dyDescent="0.25">
      <c r="A1382" s="2" t="str">
        <f>HYPERLINK("https://rth.dk/resources/bsgatlas/details.php?id=BSGatlas-terminator-1381","BSGatlas-terminator-1381")</f>
        <v>BSGatlas-terminator-1381</v>
      </c>
      <c r="B1382" s="3">
        <v>2274075</v>
      </c>
      <c r="C1382" s="3">
        <v>2274119</v>
      </c>
      <c r="D1382" s="1" t="s">
        <v>13</v>
      </c>
      <c r="E1382" s="1">
        <v>-16.399999999999999</v>
      </c>
      <c r="F1382" s="1" t="s">
        <v>15157</v>
      </c>
    </row>
    <row r="1383" spans="1:6" ht="21" x14ac:dyDescent="0.25">
      <c r="A1383" s="2" t="str">
        <f>HYPERLINK("https://rth.dk/resources/bsgatlas/details.php?id=BSGatlas-terminator-1382","BSGatlas-terminator-1382")</f>
        <v>BSGatlas-terminator-1382</v>
      </c>
      <c r="B1383" s="3">
        <v>2281325</v>
      </c>
      <c r="C1383" s="3">
        <v>2281369</v>
      </c>
      <c r="D1383" s="1" t="s">
        <v>9</v>
      </c>
      <c r="E1383" s="1">
        <v>-7.4</v>
      </c>
      <c r="F1383" s="1" t="s">
        <v>15157</v>
      </c>
    </row>
    <row r="1384" spans="1:6" ht="21" x14ac:dyDescent="0.25">
      <c r="A1384" s="2" t="str">
        <f>HYPERLINK("https://rth.dk/resources/bsgatlas/details.php?id=BSGatlas-terminator-1383","BSGatlas-terminator-1383")</f>
        <v>BSGatlas-terminator-1383</v>
      </c>
      <c r="B1384" s="3">
        <v>2281379</v>
      </c>
      <c r="C1384" s="3">
        <v>2281423</v>
      </c>
      <c r="D1384" s="1" t="s">
        <v>13</v>
      </c>
      <c r="E1384" s="1">
        <v>-5.6</v>
      </c>
      <c r="F1384" s="1" t="s">
        <v>15157</v>
      </c>
    </row>
    <row r="1385" spans="1:6" ht="21" x14ac:dyDescent="0.25">
      <c r="A1385" s="2" t="str">
        <f>HYPERLINK("https://rth.dk/resources/bsgatlas/details.php?id=BSGatlas-terminator-1384","BSGatlas-terminator-1384")</f>
        <v>BSGatlas-terminator-1384</v>
      </c>
      <c r="B1385" s="3">
        <v>2282252</v>
      </c>
      <c r="C1385" s="3">
        <v>2282318</v>
      </c>
      <c r="D1385" s="1" t="s">
        <v>13</v>
      </c>
      <c r="E1385" s="1"/>
      <c r="F1385" s="1" t="s">
        <v>15159</v>
      </c>
    </row>
    <row r="1386" spans="1:6" ht="21" x14ac:dyDescent="0.25">
      <c r="A1386" s="2" t="str">
        <f>HYPERLINK("https://rth.dk/resources/bsgatlas/details.php?id=BSGatlas-terminator-1385","BSGatlas-terminator-1385")</f>
        <v>BSGatlas-terminator-1385</v>
      </c>
      <c r="B1386" s="3">
        <v>2282513</v>
      </c>
      <c r="C1386" s="3">
        <v>2282557</v>
      </c>
      <c r="D1386" s="1" t="s">
        <v>9</v>
      </c>
      <c r="E1386" s="1">
        <v>-9.9</v>
      </c>
      <c r="F1386" s="1" t="s">
        <v>15162</v>
      </c>
    </row>
    <row r="1387" spans="1:6" ht="21" x14ac:dyDescent="0.25">
      <c r="A1387" s="2" t="str">
        <f>HYPERLINK("https://rth.dk/resources/bsgatlas/details.php?id=BSGatlas-terminator-1386","BSGatlas-terminator-1386")</f>
        <v>BSGatlas-terminator-1386</v>
      </c>
      <c r="B1387" s="3">
        <v>2283887</v>
      </c>
      <c r="C1387" s="3">
        <v>2283931</v>
      </c>
      <c r="D1387" s="1" t="s">
        <v>13</v>
      </c>
      <c r="E1387" s="1">
        <v>-15.6</v>
      </c>
      <c r="F1387" s="1" t="s">
        <v>15157</v>
      </c>
    </row>
    <row r="1388" spans="1:6" ht="21" x14ac:dyDescent="0.25">
      <c r="A1388" s="2" t="str">
        <f>HYPERLINK("https://rth.dk/resources/bsgatlas/details.php?id=BSGatlas-terminator-1387","BSGatlas-terminator-1387")</f>
        <v>BSGatlas-terminator-1387</v>
      </c>
      <c r="B1388" s="3">
        <v>2287042</v>
      </c>
      <c r="C1388" s="3">
        <v>2287090</v>
      </c>
      <c r="D1388" s="1" t="s">
        <v>13</v>
      </c>
      <c r="E1388" s="1">
        <v>-16</v>
      </c>
      <c r="F1388" s="1" t="s">
        <v>15158</v>
      </c>
    </row>
    <row r="1389" spans="1:6" ht="21" x14ac:dyDescent="0.25">
      <c r="A1389" s="2" t="str">
        <f>HYPERLINK("https://rth.dk/resources/bsgatlas/details.php?id=BSGatlas-terminator-1388","BSGatlas-terminator-1388")</f>
        <v>BSGatlas-terminator-1388</v>
      </c>
      <c r="B1389" s="3">
        <v>2287052</v>
      </c>
      <c r="C1389" s="3">
        <v>2287100</v>
      </c>
      <c r="D1389" s="1" t="s">
        <v>9</v>
      </c>
      <c r="E1389" s="1">
        <v>-17</v>
      </c>
      <c r="F1389" s="1" t="s">
        <v>15164</v>
      </c>
    </row>
    <row r="1390" spans="1:6" ht="21" x14ac:dyDescent="0.25">
      <c r="A1390" s="2" t="str">
        <f>HYPERLINK("https://rth.dk/resources/bsgatlas/details.php?id=BSGatlas-terminator-1389","BSGatlas-terminator-1389")</f>
        <v>BSGatlas-terminator-1389</v>
      </c>
      <c r="B1390" s="3">
        <v>2288611</v>
      </c>
      <c r="C1390" s="3">
        <v>2288656</v>
      </c>
      <c r="D1390" s="1" t="s">
        <v>13</v>
      </c>
      <c r="E1390" s="1">
        <v>-15.7</v>
      </c>
      <c r="F1390" s="1" t="s">
        <v>4382</v>
      </c>
    </row>
    <row r="1391" spans="1:6" ht="21" x14ac:dyDescent="0.25">
      <c r="A1391" s="2" t="str">
        <f>HYPERLINK("https://rth.dk/resources/bsgatlas/details.php?id=BSGatlas-terminator-1390","BSGatlas-terminator-1390")</f>
        <v>BSGatlas-terminator-1390</v>
      </c>
      <c r="B1391" s="3">
        <v>2288621</v>
      </c>
      <c r="C1391" s="3">
        <v>2288666</v>
      </c>
      <c r="D1391" s="1" t="s">
        <v>9</v>
      </c>
      <c r="E1391" s="1">
        <v>-16.399999999999999</v>
      </c>
      <c r="F1391" s="1" t="s">
        <v>15158</v>
      </c>
    </row>
    <row r="1392" spans="1:6" ht="21" x14ac:dyDescent="0.25">
      <c r="A1392" s="2" t="str">
        <f>HYPERLINK("https://rth.dk/resources/bsgatlas/details.php?id=BSGatlas-terminator-1391","BSGatlas-terminator-1391")</f>
        <v>BSGatlas-terminator-1391</v>
      </c>
      <c r="B1392" s="3">
        <v>2289850</v>
      </c>
      <c r="C1392" s="3">
        <v>2289916</v>
      </c>
      <c r="D1392" s="1" t="s">
        <v>9</v>
      </c>
      <c r="E1392" s="1"/>
      <c r="F1392" s="1" t="s">
        <v>15159</v>
      </c>
    </row>
    <row r="1393" spans="1:6" ht="21" x14ac:dyDescent="0.25">
      <c r="A1393" s="2" t="str">
        <f>HYPERLINK("https://rth.dk/resources/bsgatlas/details.php?id=BSGatlas-terminator-1392","BSGatlas-terminator-1392")</f>
        <v>BSGatlas-terminator-1392</v>
      </c>
      <c r="B1393" s="3">
        <v>2290038</v>
      </c>
      <c r="C1393" s="3">
        <v>2290077</v>
      </c>
      <c r="D1393" s="1" t="s">
        <v>13</v>
      </c>
      <c r="E1393" s="1">
        <v>-15.5</v>
      </c>
      <c r="F1393" s="1" t="s">
        <v>15158</v>
      </c>
    </row>
    <row r="1394" spans="1:6" ht="21" x14ac:dyDescent="0.25">
      <c r="A1394" s="2" t="str">
        <f>HYPERLINK("https://rth.dk/resources/bsgatlas/details.php?id=BSGatlas-terminator-1393","BSGatlas-terminator-1393")</f>
        <v>BSGatlas-terminator-1393</v>
      </c>
      <c r="B1394" s="3">
        <v>2292358</v>
      </c>
      <c r="C1394" s="3">
        <v>2292422</v>
      </c>
      <c r="D1394" s="1" t="s">
        <v>13</v>
      </c>
      <c r="E1394" s="1">
        <v>-30.8</v>
      </c>
      <c r="F1394" s="1" t="s">
        <v>4382</v>
      </c>
    </row>
    <row r="1395" spans="1:6" ht="21" x14ac:dyDescent="0.25">
      <c r="A1395" s="2" t="str">
        <f>HYPERLINK("https://rth.dk/resources/bsgatlas/details.php?id=BSGatlas-terminator-1394","BSGatlas-terminator-1394")</f>
        <v>BSGatlas-terminator-1394</v>
      </c>
      <c r="B1395" s="3">
        <v>2292423</v>
      </c>
      <c r="C1395" s="3">
        <v>2292467</v>
      </c>
      <c r="D1395" s="1" t="s">
        <v>13</v>
      </c>
      <c r="E1395" s="1">
        <v>-21.8</v>
      </c>
      <c r="F1395" s="1" t="s">
        <v>15157</v>
      </c>
    </row>
    <row r="1396" spans="1:6" ht="21" x14ac:dyDescent="0.25">
      <c r="A1396" s="2" t="str">
        <f>HYPERLINK("https://rth.dk/resources/bsgatlas/details.php?id=BSGatlas-terminator-1395","BSGatlas-terminator-1395")</f>
        <v>BSGatlas-terminator-1395</v>
      </c>
      <c r="B1396" s="3">
        <v>2295942</v>
      </c>
      <c r="C1396" s="3">
        <v>2295982</v>
      </c>
      <c r="D1396" s="1" t="s">
        <v>13</v>
      </c>
      <c r="E1396" s="1">
        <v>-17.5</v>
      </c>
      <c r="F1396" s="1" t="s">
        <v>4382</v>
      </c>
    </row>
    <row r="1397" spans="1:6" ht="21" x14ac:dyDescent="0.25">
      <c r="A1397" s="2" t="str">
        <f>HYPERLINK("https://rth.dk/resources/bsgatlas/details.php?id=BSGatlas-terminator-1396","BSGatlas-terminator-1396")</f>
        <v>BSGatlas-terminator-1396</v>
      </c>
      <c r="B1397" s="3">
        <v>2295952</v>
      </c>
      <c r="C1397" s="3">
        <v>2295992</v>
      </c>
      <c r="D1397" s="1" t="s">
        <v>9</v>
      </c>
      <c r="E1397" s="1">
        <v>-16.8</v>
      </c>
      <c r="F1397" s="1" t="s">
        <v>4382</v>
      </c>
    </row>
    <row r="1398" spans="1:6" ht="21" x14ac:dyDescent="0.25">
      <c r="A1398" s="2" t="str">
        <f>HYPERLINK("https://rth.dk/resources/bsgatlas/details.php?id=BSGatlas-terminator-1397","BSGatlas-terminator-1397")</f>
        <v>BSGatlas-terminator-1397</v>
      </c>
      <c r="B1398" s="3">
        <v>2295986</v>
      </c>
      <c r="C1398" s="3">
        <v>2296030</v>
      </c>
      <c r="D1398" s="1" t="s">
        <v>13</v>
      </c>
      <c r="E1398" s="1">
        <v>-13.4</v>
      </c>
      <c r="F1398" s="1" t="s">
        <v>15157</v>
      </c>
    </row>
    <row r="1399" spans="1:6" ht="21" x14ac:dyDescent="0.25">
      <c r="A1399" s="2" t="str">
        <f>HYPERLINK("https://rth.dk/resources/bsgatlas/details.php?id=BSGatlas-terminator-1398","BSGatlas-terminator-1398")</f>
        <v>BSGatlas-terminator-1398</v>
      </c>
      <c r="B1399" s="3">
        <v>2297012</v>
      </c>
      <c r="C1399" s="3">
        <v>2297078</v>
      </c>
      <c r="D1399" s="1" t="s">
        <v>9</v>
      </c>
      <c r="E1399" s="1"/>
      <c r="F1399" s="1" t="s">
        <v>15159</v>
      </c>
    </row>
    <row r="1400" spans="1:6" ht="21" x14ac:dyDescent="0.25">
      <c r="A1400" s="2" t="str">
        <f>HYPERLINK("https://rth.dk/resources/bsgatlas/details.php?id=BSGatlas-terminator-1399","BSGatlas-terminator-1399")</f>
        <v>BSGatlas-terminator-1399</v>
      </c>
      <c r="B1400" s="3">
        <v>2297936</v>
      </c>
      <c r="C1400" s="3">
        <v>2297977</v>
      </c>
      <c r="D1400" s="1" t="s">
        <v>13</v>
      </c>
      <c r="E1400" s="1">
        <v>-12.3</v>
      </c>
      <c r="F1400" s="1" t="s">
        <v>15158</v>
      </c>
    </row>
    <row r="1401" spans="1:6" ht="21" x14ac:dyDescent="0.25">
      <c r="A1401" s="2" t="str">
        <f>HYPERLINK("https://rth.dk/resources/bsgatlas/details.php?id=BSGatlas-terminator-1400","BSGatlas-terminator-1400")</f>
        <v>BSGatlas-terminator-1400</v>
      </c>
      <c r="B1401" s="3">
        <v>2299344</v>
      </c>
      <c r="C1401" s="3">
        <v>2299388</v>
      </c>
      <c r="D1401" s="1" t="s">
        <v>9</v>
      </c>
      <c r="E1401" s="1">
        <v>-15</v>
      </c>
      <c r="F1401" s="1" t="s">
        <v>15157</v>
      </c>
    </row>
    <row r="1402" spans="1:6" ht="21" x14ac:dyDescent="0.25">
      <c r="A1402" s="2" t="str">
        <f>HYPERLINK("https://rth.dk/resources/bsgatlas/details.php?id=BSGatlas-terminator-1401","BSGatlas-terminator-1401")</f>
        <v>BSGatlas-terminator-1401</v>
      </c>
      <c r="B1402" s="3">
        <v>2299377</v>
      </c>
      <c r="C1402" s="3">
        <v>2299418</v>
      </c>
      <c r="D1402" s="1" t="s">
        <v>13</v>
      </c>
      <c r="E1402" s="1">
        <v>-17</v>
      </c>
      <c r="F1402" s="1" t="s">
        <v>4382</v>
      </c>
    </row>
    <row r="1403" spans="1:6" ht="21" x14ac:dyDescent="0.25">
      <c r="A1403" s="2" t="str">
        <f>HYPERLINK("https://rth.dk/resources/bsgatlas/details.php?id=BSGatlas-terminator-1402","BSGatlas-terminator-1402")</f>
        <v>BSGatlas-terminator-1402</v>
      </c>
      <c r="B1403" s="3">
        <v>2299419</v>
      </c>
      <c r="C1403" s="3">
        <v>2299463</v>
      </c>
      <c r="D1403" s="1" t="s">
        <v>13</v>
      </c>
      <c r="E1403" s="1">
        <v>-15</v>
      </c>
      <c r="F1403" s="1" t="s">
        <v>15157</v>
      </c>
    </row>
    <row r="1404" spans="1:6" ht="21" x14ac:dyDescent="0.25">
      <c r="A1404" s="2" t="str">
        <f>HYPERLINK("https://rth.dk/resources/bsgatlas/details.php?id=BSGatlas-terminator-1403","BSGatlas-terminator-1403")</f>
        <v>BSGatlas-terminator-1403</v>
      </c>
      <c r="B1404" s="3">
        <v>2300188</v>
      </c>
      <c r="C1404" s="3">
        <v>2300224</v>
      </c>
      <c r="D1404" s="1" t="s">
        <v>13</v>
      </c>
      <c r="E1404" s="1">
        <v>-11.8</v>
      </c>
      <c r="F1404" s="1" t="s">
        <v>15158</v>
      </c>
    </row>
    <row r="1405" spans="1:6" ht="21" x14ac:dyDescent="0.25">
      <c r="A1405" s="2" t="str">
        <f>HYPERLINK("https://rth.dk/resources/bsgatlas/details.php?id=BSGatlas-terminator-1404","BSGatlas-terminator-1404")</f>
        <v>BSGatlas-terminator-1404</v>
      </c>
      <c r="B1405" s="3">
        <v>2300648</v>
      </c>
      <c r="C1405" s="3">
        <v>2300729</v>
      </c>
      <c r="D1405" s="1" t="s">
        <v>13</v>
      </c>
      <c r="E1405" s="1">
        <v>-31.9</v>
      </c>
      <c r="F1405" s="1" t="s">
        <v>15158</v>
      </c>
    </row>
    <row r="1406" spans="1:6" ht="21" x14ac:dyDescent="0.25">
      <c r="A1406" s="2" t="str">
        <f>HYPERLINK("https://rth.dk/resources/bsgatlas/details.php?id=BSGatlas-terminator-1405","BSGatlas-terminator-1405")</f>
        <v>BSGatlas-terminator-1405</v>
      </c>
      <c r="B1406" s="3">
        <v>2302685</v>
      </c>
      <c r="C1406" s="3">
        <v>2302721</v>
      </c>
      <c r="D1406" s="1" t="s">
        <v>13</v>
      </c>
      <c r="E1406" s="1">
        <v>-11.4</v>
      </c>
      <c r="F1406" s="1" t="s">
        <v>15158</v>
      </c>
    </row>
    <row r="1407" spans="1:6" ht="21" x14ac:dyDescent="0.25">
      <c r="A1407" s="2" t="str">
        <f>HYPERLINK("https://rth.dk/resources/bsgatlas/details.php?id=BSGatlas-terminator-1406","BSGatlas-terminator-1406")</f>
        <v>BSGatlas-terminator-1406</v>
      </c>
      <c r="B1407" s="3">
        <v>2306189</v>
      </c>
      <c r="C1407" s="3">
        <v>2306235</v>
      </c>
      <c r="D1407" s="1" t="s">
        <v>9</v>
      </c>
      <c r="E1407" s="1">
        <v>-12.9</v>
      </c>
      <c r="F1407" s="1" t="s">
        <v>4382</v>
      </c>
    </row>
    <row r="1408" spans="1:6" ht="21" x14ac:dyDescent="0.25">
      <c r="A1408" s="2" t="str">
        <f>HYPERLINK("https://rth.dk/resources/bsgatlas/details.php?id=BSGatlas-terminator-1407","BSGatlas-terminator-1407")</f>
        <v>BSGatlas-terminator-1407</v>
      </c>
      <c r="B1408" s="3">
        <v>2306256</v>
      </c>
      <c r="C1408" s="3">
        <v>2306293</v>
      </c>
      <c r="D1408" s="1" t="s">
        <v>9</v>
      </c>
      <c r="E1408" s="1">
        <v>-5</v>
      </c>
      <c r="F1408" s="1" t="s">
        <v>4382</v>
      </c>
    </row>
    <row r="1409" spans="1:6" ht="21" x14ac:dyDescent="0.25">
      <c r="A1409" s="2" t="str">
        <f>HYPERLINK("https://rth.dk/resources/bsgatlas/details.php?id=BSGatlas-terminator-1408","BSGatlas-terminator-1408")</f>
        <v>BSGatlas-terminator-1408</v>
      </c>
      <c r="B1409" s="3">
        <v>2307636</v>
      </c>
      <c r="C1409" s="3">
        <v>2307680</v>
      </c>
      <c r="D1409" s="1" t="s">
        <v>9</v>
      </c>
      <c r="E1409" s="1">
        <v>-12.1</v>
      </c>
      <c r="F1409" s="1" t="s">
        <v>15157</v>
      </c>
    </row>
    <row r="1410" spans="1:6" ht="21" x14ac:dyDescent="0.25">
      <c r="A1410" s="2" t="str">
        <f>HYPERLINK("https://rth.dk/resources/bsgatlas/details.php?id=BSGatlas-terminator-1409","BSGatlas-terminator-1409")</f>
        <v>BSGatlas-terminator-1409</v>
      </c>
      <c r="B1410" s="3">
        <v>2308098</v>
      </c>
      <c r="C1410" s="3">
        <v>2308142</v>
      </c>
      <c r="D1410" s="1" t="s">
        <v>9</v>
      </c>
      <c r="E1410" s="1">
        <v>-15.6</v>
      </c>
      <c r="F1410" s="1" t="s">
        <v>15157</v>
      </c>
    </row>
    <row r="1411" spans="1:6" ht="21" x14ac:dyDescent="0.25">
      <c r="A1411" s="2" t="str">
        <f>HYPERLINK("https://rth.dk/resources/bsgatlas/details.php?id=BSGatlas-terminator-1410","BSGatlas-terminator-1410")</f>
        <v>BSGatlas-terminator-1410</v>
      </c>
      <c r="B1411" s="3">
        <v>2308119</v>
      </c>
      <c r="C1411" s="3">
        <v>2308163</v>
      </c>
      <c r="D1411" s="1" t="s">
        <v>13</v>
      </c>
      <c r="E1411" s="1">
        <v>-19.3</v>
      </c>
      <c r="F1411" s="1" t="s">
        <v>15158</v>
      </c>
    </row>
    <row r="1412" spans="1:6" ht="21" x14ac:dyDescent="0.25">
      <c r="A1412" s="2" t="str">
        <f>HYPERLINK("https://rth.dk/resources/bsgatlas/details.php?id=BSGatlas-terminator-1411","BSGatlas-terminator-1411")</f>
        <v>BSGatlas-terminator-1411</v>
      </c>
      <c r="B1412" s="3">
        <v>2308597</v>
      </c>
      <c r="C1412" s="3">
        <v>2308641</v>
      </c>
      <c r="D1412" s="1" t="s">
        <v>9</v>
      </c>
      <c r="E1412" s="1">
        <v>-7.3</v>
      </c>
      <c r="F1412" s="1" t="s">
        <v>15157</v>
      </c>
    </row>
    <row r="1413" spans="1:6" ht="21" x14ac:dyDescent="0.25">
      <c r="A1413" s="2" t="str">
        <f>HYPERLINK("https://rth.dk/resources/bsgatlas/details.php?id=BSGatlas-terminator-1412","BSGatlas-terminator-1412")</f>
        <v>BSGatlas-terminator-1412</v>
      </c>
      <c r="B1413" s="3">
        <v>2308753</v>
      </c>
      <c r="C1413" s="3">
        <v>2308787</v>
      </c>
      <c r="D1413" s="1" t="s">
        <v>13</v>
      </c>
      <c r="E1413" s="1">
        <v>-10</v>
      </c>
      <c r="F1413" s="1" t="s">
        <v>4382</v>
      </c>
    </row>
    <row r="1414" spans="1:6" ht="21" x14ac:dyDescent="0.25">
      <c r="A1414" s="2" t="str">
        <f>HYPERLINK("https://rth.dk/resources/bsgatlas/details.php?id=BSGatlas-terminator-1413","BSGatlas-terminator-1413")</f>
        <v>BSGatlas-terminator-1413</v>
      </c>
      <c r="B1414" s="3">
        <v>2308754</v>
      </c>
      <c r="C1414" s="3">
        <v>2308797</v>
      </c>
      <c r="D1414" s="1" t="s">
        <v>9</v>
      </c>
      <c r="E1414" s="1">
        <v>-10</v>
      </c>
      <c r="F1414" s="1" t="s">
        <v>15158</v>
      </c>
    </row>
    <row r="1415" spans="1:6" ht="21" x14ac:dyDescent="0.25">
      <c r="A1415" s="2" t="str">
        <f>HYPERLINK("https://rth.dk/resources/bsgatlas/details.php?id=BSGatlas-terminator-1414","BSGatlas-terminator-1414")</f>
        <v>BSGatlas-terminator-1414</v>
      </c>
      <c r="B1415" s="3">
        <v>2308790</v>
      </c>
      <c r="C1415" s="3">
        <v>2308834</v>
      </c>
      <c r="D1415" s="1" t="s">
        <v>13</v>
      </c>
      <c r="E1415" s="1">
        <v>-7.3</v>
      </c>
      <c r="F1415" s="1" t="s">
        <v>15157</v>
      </c>
    </row>
    <row r="1416" spans="1:6" ht="21" x14ac:dyDescent="0.25">
      <c r="A1416" s="2" t="str">
        <f>HYPERLINK("https://rth.dk/resources/bsgatlas/details.php?id=BSGatlas-terminator-1415","BSGatlas-terminator-1415")</f>
        <v>BSGatlas-terminator-1415</v>
      </c>
      <c r="B1416" s="3">
        <v>2310862</v>
      </c>
      <c r="C1416" s="3">
        <v>2310896</v>
      </c>
      <c r="D1416" s="1" t="s">
        <v>13</v>
      </c>
      <c r="E1416" s="1">
        <v>-10</v>
      </c>
      <c r="F1416" s="1" t="s">
        <v>4382</v>
      </c>
    </row>
    <row r="1417" spans="1:6" ht="21" x14ac:dyDescent="0.25">
      <c r="A1417" s="2" t="str">
        <f>HYPERLINK("https://rth.dk/resources/bsgatlas/details.php?id=BSGatlas-terminator-1416","BSGatlas-terminator-1416")</f>
        <v>BSGatlas-terminator-1416</v>
      </c>
      <c r="B1417" s="3">
        <v>2310967</v>
      </c>
      <c r="C1417" s="3">
        <v>2311018</v>
      </c>
      <c r="D1417" s="1" t="s">
        <v>13</v>
      </c>
      <c r="E1417" s="1">
        <v>-22.1</v>
      </c>
      <c r="F1417" s="1" t="s">
        <v>15158</v>
      </c>
    </row>
    <row r="1418" spans="1:6" ht="21" x14ac:dyDescent="0.25">
      <c r="A1418" s="2" t="str">
        <f>HYPERLINK("https://rth.dk/resources/bsgatlas/details.php?id=BSGatlas-terminator-1417","BSGatlas-terminator-1417")</f>
        <v>BSGatlas-terminator-1417</v>
      </c>
      <c r="B1418" s="3">
        <v>2311920</v>
      </c>
      <c r="C1418" s="3">
        <v>2311964</v>
      </c>
      <c r="D1418" s="1" t="s">
        <v>9</v>
      </c>
      <c r="E1418" s="1">
        <v>-15</v>
      </c>
      <c r="F1418" s="1" t="s">
        <v>15162</v>
      </c>
    </row>
    <row r="1419" spans="1:6" ht="21" x14ac:dyDescent="0.25">
      <c r="A1419" s="2" t="str">
        <f>HYPERLINK("https://rth.dk/resources/bsgatlas/details.php?id=BSGatlas-terminator-1418","BSGatlas-terminator-1418")</f>
        <v>BSGatlas-terminator-1418</v>
      </c>
      <c r="B1419" s="3">
        <v>2311933</v>
      </c>
      <c r="C1419" s="3">
        <v>2311978</v>
      </c>
      <c r="D1419" s="1" t="s">
        <v>13</v>
      </c>
      <c r="E1419" s="1">
        <v>-15.4</v>
      </c>
      <c r="F1419" s="1" t="s">
        <v>4382</v>
      </c>
    </row>
    <row r="1420" spans="1:6" ht="21" x14ac:dyDescent="0.25">
      <c r="A1420" s="2" t="str">
        <f>HYPERLINK("https://rth.dk/resources/bsgatlas/details.php?id=BSGatlas-terminator-1419","BSGatlas-terminator-1419")</f>
        <v>BSGatlas-terminator-1419</v>
      </c>
      <c r="B1420" s="3">
        <v>2311980</v>
      </c>
      <c r="C1420" s="3">
        <v>2312024</v>
      </c>
      <c r="D1420" s="1" t="s">
        <v>13</v>
      </c>
      <c r="E1420" s="1">
        <v>-12</v>
      </c>
      <c r="F1420" s="1" t="s">
        <v>15157</v>
      </c>
    </row>
    <row r="1421" spans="1:6" ht="21" x14ac:dyDescent="0.25">
      <c r="A1421" s="2" t="str">
        <f>HYPERLINK("https://rth.dk/resources/bsgatlas/details.php?id=BSGatlas-terminator-1420","BSGatlas-terminator-1420")</f>
        <v>BSGatlas-terminator-1420</v>
      </c>
      <c r="B1421" s="3">
        <v>2316248</v>
      </c>
      <c r="C1421" s="3">
        <v>2316292</v>
      </c>
      <c r="D1421" s="1" t="s">
        <v>13</v>
      </c>
      <c r="E1421" s="1">
        <v>-9.6999999999999993</v>
      </c>
      <c r="F1421" s="1" t="s">
        <v>15157</v>
      </c>
    </row>
    <row r="1422" spans="1:6" ht="21" x14ac:dyDescent="0.25">
      <c r="A1422" s="2" t="str">
        <f>HYPERLINK("https://rth.dk/resources/bsgatlas/details.php?id=BSGatlas-terminator-1421","BSGatlas-terminator-1421")</f>
        <v>BSGatlas-terminator-1421</v>
      </c>
      <c r="B1422" s="3">
        <v>2318096</v>
      </c>
      <c r="C1422" s="3">
        <v>2318131</v>
      </c>
      <c r="D1422" s="1" t="s">
        <v>13</v>
      </c>
      <c r="E1422" s="1">
        <v>-11</v>
      </c>
      <c r="F1422" s="1" t="s">
        <v>15158</v>
      </c>
    </row>
    <row r="1423" spans="1:6" ht="21" x14ac:dyDescent="0.25">
      <c r="A1423" s="2" t="str">
        <f>HYPERLINK("https://rth.dk/resources/bsgatlas/details.php?id=BSGatlas-terminator-1422","BSGatlas-terminator-1422")</f>
        <v>BSGatlas-terminator-1422</v>
      </c>
      <c r="B1423" s="3">
        <v>2320055</v>
      </c>
      <c r="C1423" s="3">
        <v>2320089</v>
      </c>
      <c r="D1423" s="1" t="s">
        <v>13</v>
      </c>
      <c r="E1423" s="1"/>
      <c r="F1423" s="1" t="s">
        <v>4547</v>
      </c>
    </row>
    <row r="1424" spans="1:6" ht="21" x14ac:dyDescent="0.25">
      <c r="A1424" s="2" t="str">
        <f>HYPERLINK("https://rth.dk/resources/bsgatlas/details.php?id=BSGatlas-terminator-1423","BSGatlas-terminator-1423")</f>
        <v>BSGatlas-terminator-1423</v>
      </c>
      <c r="B1424" s="3">
        <v>2320098</v>
      </c>
      <c r="C1424" s="3">
        <v>2320142</v>
      </c>
      <c r="D1424" s="1" t="s">
        <v>13</v>
      </c>
      <c r="E1424" s="1">
        <v>-19.2</v>
      </c>
      <c r="F1424" s="1" t="s">
        <v>15157</v>
      </c>
    </row>
    <row r="1425" spans="1:6" ht="21" x14ac:dyDescent="0.25">
      <c r="A1425" s="2" t="str">
        <f>HYPERLINK("https://rth.dk/resources/bsgatlas/details.php?id=BSGatlas-terminator-1424","BSGatlas-terminator-1424")</f>
        <v>BSGatlas-terminator-1424</v>
      </c>
      <c r="B1425" s="3">
        <v>2321826</v>
      </c>
      <c r="C1425" s="3">
        <v>2321870</v>
      </c>
      <c r="D1425" s="1" t="s">
        <v>9</v>
      </c>
      <c r="E1425" s="1">
        <v>-13.3</v>
      </c>
      <c r="F1425" s="1" t="s">
        <v>15157</v>
      </c>
    </row>
    <row r="1426" spans="1:6" ht="21" x14ac:dyDescent="0.25">
      <c r="A1426" s="2" t="str">
        <f>HYPERLINK("https://rth.dk/resources/bsgatlas/details.php?id=BSGatlas-terminator-1425","BSGatlas-terminator-1425")</f>
        <v>BSGatlas-terminator-1425</v>
      </c>
      <c r="B1426" s="3">
        <v>2321924</v>
      </c>
      <c r="C1426" s="3">
        <v>2321969</v>
      </c>
      <c r="D1426" s="1" t="s">
        <v>13</v>
      </c>
      <c r="E1426" s="1">
        <v>-19.2</v>
      </c>
      <c r="F1426" s="1" t="s">
        <v>15158</v>
      </c>
    </row>
    <row r="1427" spans="1:6" ht="21" x14ac:dyDescent="0.25">
      <c r="A1427" s="2" t="str">
        <f>HYPERLINK("https://rth.dk/resources/bsgatlas/details.php?id=BSGatlas-terminator-1426","BSGatlas-terminator-1426")</f>
        <v>BSGatlas-terminator-1426</v>
      </c>
      <c r="B1427" s="3">
        <v>2327414</v>
      </c>
      <c r="C1427" s="3">
        <v>2327458</v>
      </c>
      <c r="D1427" s="1" t="s">
        <v>9</v>
      </c>
      <c r="E1427" s="1">
        <v>-12.3</v>
      </c>
      <c r="F1427" s="1" t="s">
        <v>15157</v>
      </c>
    </row>
    <row r="1428" spans="1:6" ht="21" x14ac:dyDescent="0.25">
      <c r="A1428" s="2" t="str">
        <f>HYPERLINK("https://rth.dk/resources/bsgatlas/details.php?id=BSGatlas-terminator-1427","BSGatlas-terminator-1427")</f>
        <v>BSGatlas-terminator-1427</v>
      </c>
      <c r="B1428" s="3">
        <v>2327444</v>
      </c>
      <c r="C1428" s="3">
        <v>2327483</v>
      </c>
      <c r="D1428" s="1" t="s">
        <v>13</v>
      </c>
      <c r="E1428" s="1">
        <v>-14.4</v>
      </c>
      <c r="F1428" s="1" t="s">
        <v>15158</v>
      </c>
    </row>
    <row r="1429" spans="1:6" ht="21" x14ac:dyDescent="0.25">
      <c r="A1429" s="2" t="str">
        <f>HYPERLINK("https://rth.dk/resources/bsgatlas/details.php?id=BSGatlas-terminator-1428","BSGatlas-terminator-1428")</f>
        <v>BSGatlas-terminator-1428</v>
      </c>
      <c r="B1429" s="3">
        <v>2330010</v>
      </c>
      <c r="C1429" s="3">
        <v>2330054</v>
      </c>
      <c r="D1429" s="1" t="s">
        <v>9</v>
      </c>
      <c r="E1429" s="1">
        <v>-16.3</v>
      </c>
      <c r="F1429" s="1" t="s">
        <v>15157</v>
      </c>
    </row>
    <row r="1430" spans="1:6" ht="21" x14ac:dyDescent="0.25">
      <c r="A1430" s="2" t="str">
        <f>HYPERLINK("https://rth.dk/resources/bsgatlas/details.php?id=BSGatlas-terminator-1429","BSGatlas-terminator-1429")</f>
        <v>BSGatlas-terminator-1429</v>
      </c>
      <c r="B1430" s="3">
        <v>2330064</v>
      </c>
      <c r="C1430" s="3">
        <v>2330108</v>
      </c>
      <c r="D1430" s="1" t="s">
        <v>13</v>
      </c>
      <c r="E1430" s="1">
        <v>-6.2</v>
      </c>
      <c r="F1430" s="1" t="s">
        <v>15157</v>
      </c>
    </row>
    <row r="1431" spans="1:6" ht="21" x14ac:dyDescent="0.25">
      <c r="A1431" s="2" t="str">
        <f>HYPERLINK("https://rth.dk/resources/bsgatlas/details.php?id=BSGatlas-terminator-1430","BSGatlas-terminator-1430")</f>
        <v>BSGatlas-terminator-1430</v>
      </c>
      <c r="B1431" s="3">
        <v>2331308</v>
      </c>
      <c r="C1431" s="3">
        <v>2331352</v>
      </c>
      <c r="D1431" s="1" t="s">
        <v>13</v>
      </c>
      <c r="E1431" s="1">
        <v>-10.4</v>
      </c>
      <c r="F1431" s="1" t="s">
        <v>15157</v>
      </c>
    </row>
    <row r="1432" spans="1:6" ht="21" x14ac:dyDescent="0.25">
      <c r="A1432" s="2" t="str">
        <f>HYPERLINK("https://rth.dk/resources/bsgatlas/details.php?id=BSGatlas-terminator-1431","BSGatlas-terminator-1431")</f>
        <v>BSGatlas-terminator-1431</v>
      </c>
      <c r="B1432" s="3">
        <v>2332702</v>
      </c>
      <c r="C1432" s="3">
        <v>2332741</v>
      </c>
      <c r="D1432" s="1" t="s">
        <v>13</v>
      </c>
      <c r="E1432" s="1">
        <v>-14.9</v>
      </c>
      <c r="F1432" s="1" t="s">
        <v>15158</v>
      </c>
    </row>
    <row r="1433" spans="1:6" ht="21" x14ac:dyDescent="0.25">
      <c r="A1433" s="2" t="str">
        <f>HYPERLINK("https://rth.dk/resources/bsgatlas/details.php?id=BSGatlas-terminator-1432","BSGatlas-terminator-1432")</f>
        <v>BSGatlas-terminator-1432</v>
      </c>
      <c r="B1433" s="3">
        <v>2336934</v>
      </c>
      <c r="C1433" s="3">
        <v>2336978</v>
      </c>
      <c r="D1433" s="1" t="s">
        <v>13</v>
      </c>
      <c r="E1433" s="1">
        <v>-10.199999999999999</v>
      </c>
      <c r="F1433" s="1" t="s">
        <v>15157</v>
      </c>
    </row>
    <row r="1434" spans="1:6" ht="21" x14ac:dyDescent="0.25">
      <c r="A1434" s="2" t="str">
        <f>HYPERLINK("https://rth.dk/resources/bsgatlas/details.php?id=BSGatlas-terminator-1433","BSGatlas-terminator-1433")</f>
        <v>BSGatlas-terminator-1433</v>
      </c>
      <c r="B1434" s="3">
        <v>2337972</v>
      </c>
      <c r="C1434" s="3">
        <v>2338026</v>
      </c>
      <c r="D1434" s="1" t="s">
        <v>9</v>
      </c>
      <c r="E1434" s="1">
        <v>-16.399999999999999</v>
      </c>
      <c r="F1434" s="1" t="s">
        <v>4382</v>
      </c>
    </row>
    <row r="1435" spans="1:6" ht="21" x14ac:dyDescent="0.25">
      <c r="A1435" s="2" t="str">
        <f>HYPERLINK("https://rth.dk/resources/bsgatlas/details.php?id=BSGatlas-terminator-1434","BSGatlas-terminator-1434")</f>
        <v>BSGatlas-terminator-1434</v>
      </c>
      <c r="B1435" s="3">
        <v>2338028</v>
      </c>
      <c r="C1435" s="3">
        <v>2338072</v>
      </c>
      <c r="D1435" s="1" t="s">
        <v>13</v>
      </c>
      <c r="E1435" s="1">
        <v>-12.8</v>
      </c>
      <c r="F1435" s="1" t="s">
        <v>15157</v>
      </c>
    </row>
    <row r="1436" spans="1:6" ht="21" x14ac:dyDescent="0.25">
      <c r="A1436" s="2" t="str">
        <f>HYPERLINK("https://rth.dk/resources/bsgatlas/details.php?id=BSGatlas-terminator-1435","BSGatlas-terminator-1435")</f>
        <v>BSGatlas-terminator-1435</v>
      </c>
      <c r="B1436" s="3">
        <v>2338114</v>
      </c>
      <c r="C1436" s="3">
        <v>2338180</v>
      </c>
      <c r="D1436" s="1" t="s">
        <v>9</v>
      </c>
      <c r="E1436" s="1"/>
      <c r="F1436" s="1" t="s">
        <v>15159</v>
      </c>
    </row>
    <row r="1437" spans="1:6" ht="21" x14ac:dyDescent="0.25">
      <c r="A1437" s="2" t="str">
        <f>HYPERLINK("https://rth.dk/resources/bsgatlas/details.php?id=BSGatlas-terminator-1436","BSGatlas-terminator-1436")</f>
        <v>BSGatlas-terminator-1436</v>
      </c>
      <c r="B1437" s="3">
        <v>2338796</v>
      </c>
      <c r="C1437" s="3">
        <v>2338823</v>
      </c>
      <c r="D1437" s="1" t="s">
        <v>13</v>
      </c>
      <c r="E1437" s="1">
        <v>-19.899999999999999</v>
      </c>
      <c r="F1437" s="1" t="s">
        <v>15161</v>
      </c>
    </row>
    <row r="1438" spans="1:6" ht="21" x14ac:dyDescent="0.25">
      <c r="A1438" s="2" t="str">
        <f>HYPERLINK("https://rth.dk/resources/bsgatlas/details.php?id=BSGatlas-terminator-1437","BSGatlas-terminator-1437")</f>
        <v>BSGatlas-terminator-1437</v>
      </c>
      <c r="B1438" s="3">
        <v>2338800</v>
      </c>
      <c r="C1438" s="3">
        <v>2338821</v>
      </c>
      <c r="D1438" s="1" t="s">
        <v>9</v>
      </c>
      <c r="E1438" s="1">
        <v>-13.5</v>
      </c>
      <c r="F1438" s="1" t="s">
        <v>15161</v>
      </c>
    </row>
    <row r="1439" spans="1:6" ht="21" x14ac:dyDescent="0.25">
      <c r="A1439" s="2" t="str">
        <f>HYPERLINK("https://rth.dk/resources/bsgatlas/details.php?id=BSGatlas-terminator-1438","BSGatlas-terminator-1438")</f>
        <v>BSGatlas-terminator-1438</v>
      </c>
      <c r="B1439" s="3">
        <v>2339770</v>
      </c>
      <c r="C1439" s="3">
        <v>2339812</v>
      </c>
      <c r="D1439" s="1" t="s">
        <v>9</v>
      </c>
      <c r="E1439" s="1">
        <v>-17.100000000000001</v>
      </c>
      <c r="F1439" s="1" t="s">
        <v>15158</v>
      </c>
    </row>
    <row r="1440" spans="1:6" ht="21" x14ac:dyDescent="0.25">
      <c r="A1440" s="2" t="str">
        <f>HYPERLINK("https://rth.dk/resources/bsgatlas/details.php?id=BSGatlas-terminator-1439","BSGatlas-terminator-1439")</f>
        <v>BSGatlas-terminator-1439</v>
      </c>
      <c r="B1440" s="3">
        <v>2343836</v>
      </c>
      <c r="C1440" s="3">
        <v>2343880</v>
      </c>
      <c r="D1440" s="1" t="s">
        <v>13</v>
      </c>
      <c r="E1440" s="1">
        <v>-11.3</v>
      </c>
      <c r="F1440" s="1" t="s">
        <v>15157</v>
      </c>
    </row>
    <row r="1441" spans="1:6" ht="21" x14ac:dyDescent="0.25">
      <c r="A1441" s="2" t="str">
        <f>HYPERLINK("https://rth.dk/resources/bsgatlas/details.php?id=BSGatlas-terminator-1440","BSGatlas-terminator-1440")</f>
        <v>BSGatlas-terminator-1440</v>
      </c>
      <c r="B1441" s="3">
        <v>2344192</v>
      </c>
      <c r="C1441" s="3">
        <v>2344234</v>
      </c>
      <c r="D1441" s="1" t="s">
        <v>9</v>
      </c>
      <c r="E1441" s="1">
        <v>-18.600000000000001</v>
      </c>
      <c r="F1441" s="1" t="s">
        <v>15158</v>
      </c>
    </row>
    <row r="1442" spans="1:6" ht="21" x14ac:dyDescent="0.25">
      <c r="A1442" s="2" t="str">
        <f>HYPERLINK("https://rth.dk/resources/bsgatlas/details.php?id=BSGatlas-terminator-1441","BSGatlas-terminator-1441")</f>
        <v>BSGatlas-terminator-1441</v>
      </c>
      <c r="B1442" s="3">
        <v>2344255</v>
      </c>
      <c r="C1442" s="3">
        <v>2344299</v>
      </c>
      <c r="D1442" s="1" t="s">
        <v>13</v>
      </c>
      <c r="E1442" s="1">
        <v>-11.6</v>
      </c>
      <c r="F1442" s="1" t="s">
        <v>15157</v>
      </c>
    </row>
    <row r="1443" spans="1:6" ht="21" x14ac:dyDescent="0.25">
      <c r="A1443" s="2" t="str">
        <f>HYPERLINK("https://rth.dk/resources/bsgatlas/details.php?id=BSGatlas-terminator-1442","BSGatlas-terminator-1442")</f>
        <v>BSGatlas-terminator-1442</v>
      </c>
      <c r="B1443" s="3">
        <v>2347642</v>
      </c>
      <c r="C1443" s="3">
        <v>2347686</v>
      </c>
      <c r="D1443" s="1" t="s">
        <v>13</v>
      </c>
      <c r="E1443" s="1">
        <v>-9.3000000000000007</v>
      </c>
      <c r="F1443" s="1" t="s">
        <v>15157</v>
      </c>
    </row>
    <row r="1444" spans="1:6" ht="21" x14ac:dyDescent="0.25">
      <c r="A1444" s="2" t="str">
        <f>HYPERLINK("https://rth.dk/resources/bsgatlas/details.php?id=BSGatlas-terminator-1443","BSGatlas-terminator-1443")</f>
        <v>BSGatlas-terminator-1443</v>
      </c>
      <c r="B1444" s="3">
        <v>2349612</v>
      </c>
      <c r="C1444" s="3">
        <v>2349656</v>
      </c>
      <c r="D1444" s="1" t="s">
        <v>9</v>
      </c>
      <c r="E1444" s="1">
        <v>-8.4</v>
      </c>
      <c r="F1444" s="1" t="s">
        <v>15157</v>
      </c>
    </row>
    <row r="1445" spans="1:6" ht="21" x14ac:dyDescent="0.25">
      <c r="A1445" s="2" t="str">
        <f>HYPERLINK("https://rth.dk/resources/bsgatlas/details.php?id=BSGatlas-terminator-1444","BSGatlas-terminator-1444")</f>
        <v>BSGatlas-terminator-1444</v>
      </c>
      <c r="B1445" s="3">
        <v>2361504</v>
      </c>
      <c r="C1445" s="3">
        <v>2361540</v>
      </c>
      <c r="D1445" s="1" t="s">
        <v>13</v>
      </c>
      <c r="E1445" s="1">
        <v>-14.7</v>
      </c>
      <c r="F1445" s="1" t="s">
        <v>4382</v>
      </c>
    </row>
    <row r="1446" spans="1:6" ht="21" x14ac:dyDescent="0.25">
      <c r="A1446" s="2" t="str">
        <f>HYPERLINK("https://rth.dk/resources/bsgatlas/details.php?id=BSGatlas-terminator-1445","BSGatlas-terminator-1445")</f>
        <v>BSGatlas-terminator-1445</v>
      </c>
      <c r="B1446" s="3">
        <v>2361547</v>
      </c>
      <c r="C1446" s="3">
        <v>2361591</v>
      </c>
      <c r="D1446" s="1" t="s">
        <v>13</v>
      </c>
      <c r="E1446" s="1">
        <v>-11.3</v>
      </c>
      <c r="F1446" s="1" t="s">
        <v>15157</v>
      </c>
    </row>
    <row r="1447" spans="1:6" ht="21" x14ac:dyDescent="0.25">
      <c r="A1447" s="2" t="str">
        <f>HYPERLINK("https://rth.dk/resources/bsgatlas/details.php?id=BSGatlas-terminator-1446","BSGatlas-terminator-1446")</f>
        <v>BSGatlas-terminator-1446</v>
      </c>
      <c r="B1447" s="3">
        <v>2363033</v>
      </c>
      <c r="C1447" s="3">
        <v>2363069</v>
      </c>
      <c r="D1447" s="1" t="s">
        <v>13</v>
      </c>
      <c r="E1447" s="1">
        <v>-10.3</v>
      </c>
      <c r="F1447" s="1" t="s">
        <v>15158</v>
      </c>
    </row>
    <row r="1448" spans="1:6" ht="21" x14ac:dyDescent="0.25">
      <c r="A1448" s="2" t="str">
        <f>HYPERLINK("https://rth.dk/resources/bsgatlas/details.php?id=BSGatlas-terminator-1447","BSGatlas-terminator-1447")</f>
        <v>BSGatlas-terminator-1447</v>
      </c>
      <c r="B1448" s="3">
        <v>2365079</v>
      </c>
      <c r="C1448" s="3">
        <v>2365123</v>
      </c>
      <c r="D1448" s="1" t="s">
        <v>9</v>
      </c>
      <c r="E1448" s="1">
        <v>-11.5</v>
      </c>
      <c r="F1448" s="1" t="s">
        <v>15157</v>
      </c>
    </row>
    <row r="1449" spans="1:6" ht="21" x14ac:dyDescent="0.25">
      <c r="A1449" s="2" t="str">
        <f>HYPERLINK("https://rth.dk/resources/bsgatlas/details.php?id=BSGatlas-terminator-1448","BSGatlas-terminator-1448")</f>
        <v>BSGatlas-terminator-1448</v>
      </c>
      <c r="B1449" s="3">
        <v>2365662</v>
      </c>
      <c r="C1449" s="3">
        <v>2365706</v>
      </c>
      <c r="D1449" s="1" t="s">
        <v>9</v>
      </c>
      <c r="E1449" s="1">
        <v>-11.5</v>
      </c>
      <c r="F1449" s="1" t="s">
        <v>15157</v>
      </c>
    </row>
    <row r="1450" spans="1:6" ht="21" x14ac:dyDescent="0.25">
      <c r="A1450" s="2" t="str">
        <f>HYPERLINK("https://rth.dk/resources/bsgatlas/details.php?id=BSGatlas-terminator-1449","BSGatlas-terminator-1449")</f>
        <v>BSGatlas-terminator-1449</v>
      </c>
      <c r="B1450" s="3">
        <v>2365727</v>
      </c>
      <c r="C1450" s="3">
        <v>2365771</v>
      </c>
      <c r="D1450" s="1" t="s">
        <v>13</v>
      </c>
      <c r="E1450" s="1">
        <v>-11.2</v>
      </c>
      <c r="F1450" s="1" t="s">
        <v>15157</v>
      </c>
    </row>
    <row r="1451" spans="1:6" ht="21" x14ac:dyDescent="0.25">
      <c r="A1451" s="2" t="str">
        <f>HYPERLINK("https://rth.dk/resources/bsgatlas/details.php?id=BSGatlas-terminator-1450","BSGatlas-terminator-1450")</f>
        <v>BSGatlas-terminator-1450</v>
      </c>
      <c r="B1451" s="3">
        <v>2367924</v>
      </c>
      <c r="C1451" s="3">
        <v>2367964</v>
      </c>
      <c r="D1451" s="1" t="s">
        <v>13</v>
      </c>
      <c r="E1451" s="1">
        <v>-14.6</v>
      </c>
      <c r="F1451" s="1" t="s">
        <v>15158</v>
      </c>
    </row>
    <row r="1452" spans="1:6" ht="21" x14ac:dyDescent="0.25">
      <c r="A1452" s="2" t="str">
        <f>HYPERLINK("https://rth.dk/resources/bsgatlas/details.php?id=BSGatlas-terminator-1451","BSGatlas-terminator-1451")</f>
        <v>BSGatlas-terminator-1451</v>
      </c>
      <c r="B1452" s="3">
        <v>2373559</v>
      </c>
      <c r="C1452" s="3">
        <v>2373603</v>
      </c>
      <c r="D1452" s="1" t="s">
        <v>13</v>
      </c>
      <c r="E1452" s="1">
        <v>-11.9</v>
      </c>
      <c r="F1452" s="1" t="s">
        <v>15157</v>
      </c>
    </row>
    <row r="1453" spans="1:6" ht="21" x14ac:dyDescent="0.25">
      <c r="A1453" s="2" t="str">
        <f>HYPERLINK("https://rth.dk/resources/bsgatlas/details.php?id=BSGatlas-terminator-1452","BSGatlas-terminator-1452")</f>
        <v>BSGatlas-terminator-1452</v>
      </c>
      <c r="B1453" s="3">
        <v>2373955</v>
      </c>
      <c r="C1453" s="3">
        <v>2373999</v>
      </c>
      <c r="D1453" s="1" t="s">
        <v>13</v>
      </c>
      <c r="E1453" s="1">
        <v>-11.9</v>
      </c>
      <c r="F1453" s="1" t="s">
        <v>15157</v>
      </c>
    </row>
    <row r="1454" spans="1:6" ht="21" x14ac:dyDescent="0.25">
      <c r="A1454" s="2" t="str">
        <f>HYPERLINK("https://rth.dk/resources/bsgatlas/details.php?id=BSGatlas-terminator-1453","BSGatlas-terminator-1453")</f>
        <v>BSGatlas-terminator-1453</v>
      </c>
      <c r="B1454" s="3">
        <v>2377473</v>
      </c>
      <c r="C1454" s="3">
        <v>2377527</v>
      </c>
      <c r="D1454" s="1" t="s">
        <v>13</v>
      </c>
      <c r="E1454" s="1">
        <v>-14.9</v>
      </c>
      <c r="F1454" s="1" t="s">
        <v>15158</v>
      </c>
    </row>
    <row r="1455" spans="1:6" ht="21" x14ac:dyDescent="0.25">
      <c r="A1455" s="2" t="str">
        <f>HYPERLINK("https://rth.dk/resources/bsgatlas/details.php?id=BSGatlas-terminator-1454","BSGatlas-terminator-1454")</f>
        <v>BSGatlas-terminator-1454</v>
      </c>
      <c r="B1455" s="3">
        <v>2381213</v>
      </c>
      <c r="C1455" s="3">
        <v>2381257</v>
      </c>
      <c r="D1455" s="1" t="s">
        <v>13</v>
      </c>
      <c r="E1455" s="1">
        <v>-8.6</v>
      </c>
      <c r="F1455" s="1" t="s">
        <v>15162</v>
      </c>
    </row>
    <row r="1456" spans="1:6" ht="21" x14ac:dyDescent="0.25">
      <c r="A1456" s="2" t="str">
        <f>HYPERLINK("https://rth.dk/resources/bsgatlas/details.php?id=BSGatlas-terminator-1455","BSGatlas-terminator-1455")</f>
        <v>BSGatlas-terminator-1455</v>
      </c>
      <c r="B1456" s="3">
        <v>2384472</v>
      </c>
      <c r="C1456" s="3">
        <v>2384491</v>
      </c>
      <c r="D1456" s="1" t="s">
        <v>13</v>
      </c>
      <c r="E1456" s="1">
        <v>-3.9</v>
      </c>
      <c r="F1456" s="1" t="s">
        <v>4547</v>
      </c>
    </row>
    <row r="1457" spans="1:6" ht="21" x14ac:dyDescent="0.25">
      <c r="A1457" s="2" t="str">
        <f>HYPERLINK("https://rth.dk/resources/bsgatlas/details.php?id=BSGatlas-terminator-1456","BSGatlas-terminator-1456")</f>
        <v>BSGatlas-terminator-1456</v>
      </c>
      <c r="B1457" s="3">
        <v>2384533</v>
      </c>
      <c r="C1457" s="3">
        <v>2384577</v>
      </c>
      <c r="D1457" s="1" t="s">
        <v>13</v>
      </c>
      <c r="E1457" s="1">
        <v>-10.5</v>
      </c>
      <c r="F1457" s="1" t="s">
        <v>15157</v>
      </c>
    </row>
    <row r="1458" spans="1:6" ht="21" x14ac:dyDescent="0.25">
      <c r="A1458" s="2" t="str">
        <f>HYPERLINK("https://rth.dk/resources/bsgatlas/details.php?id=BSGatlas-terminator-1457","BSGatlas-terminator-1457")</f>
        <v>BSGatlas-terminator-1457</v>
      </c>
      <c r="B1458" s="3">
        <v>2385452</v>
      </c>
      <c r="C1458" s="3">
        <v>2385488</v>
      </c>
      <c r="D1458" s="1" t="s">
        <v>13</v>
      </c>
      <c r="E1458" s="1">
        <v>-13</v>
      </c>
      <c r="F1458" s="1" t="s">
        <v>4382</v>
      </c>
    </row>
    <row r="1459" spans="1:6" ht="21" x14ac:dyDescent="0.25">
      <c r="A1459" s="2" t="str">
        <f>HYPERLINK("https://rth.dk/resources/bsgatlas/details.php?id=BSGatlas-terminator-1458","BSGatlas-terminator-1458")</f>
        <v>BSGatlas-terminator-1458</v>
      </c>
      <c r="B1459" s="3">
        <v>2385502</v>
      </c>
      <c r="C1459" s="3">
        <v>2385546</v>
      </c>
      <c r="D1459" s="1" t="s">
        <v>13</v>
      </c>
      <c r="E1459" s="1">
        <v>-10.5</v>
      </c>
      <c r="F1459" s="1" t="s">
        <v>15157</v>
      </c>
    </row>
    <row r="1460" spans="1:6" ht="21" x14ac:dyDescent="0.25">
      <c r="A1460" s="2" t="str">
        <f>HYPERLINK("https://rth.dk/resources/bsgatlas/details.php?id=BSGatlas-terminator-1459","BSGatlas-terminator-1459")</f>
        <v>BSGatlas-terminator-1459</v>
      </c>
      <c r="B1460" s="3">
        <v>2385945</v>
      </c>
      <c r="C1460" s="3">
        <v>2386001</v>
      </c>
      <c r="D1460" s="1" t="s">
        <v>13</v>
      </c>
      <c r="E1460" s="1">
        <v>-13.9</v>
      </c>
      <c r="F1460" s="1" t="s">
        <v>4382</v>
      </c>
    </row>
    <row r="1461" spans="1:6" ht="21" x14ac:dyDescent="0.25">
      <c r="A1461" s="2" t="str">
        <f>HYPERLINK("https://rth.dk/resources/bsgatlas/details.php?id=BSGatlas-terminator-1460","BSGatlas-terminator-1460")</f>
        <v>BSGatlas-terminator-1460</v>
      </c>
      <c r="B1461" s="3">
        <v>2386148</v>
      </c>
      <c r="C1461" s="3">
        <v>2386191</v>
      </c>
      <c r="D1461" s="1" t="s">
        <v>13</v>
      </c>
      <c r="E1461" s="1">
        <v>-12.2</v>
      </c>
      <c r="F1461" s="1" t="s">
        <v>15158</v>
      </c>
    </row>
    <row r="1462" spans="1:6" ht="21" x14ac:dyDescent="0.25">
      <c r="A1462" s="2" t="str">
        <f>HYPERLINK("https://rth.dk/resources/bsgatlas/details.php?id=BSGatlas-terminator-1461","BSGatlas-terminator-1461")</f>
        <v>BSGatlas-terminator-1461</v>
      </c>
      <c r="B1462" s="3">
        <v>2387858</v>
      </c>
      <c r="C1462" s="3">
        <v>2387902</v>
      </c>
      <c r="D1462" s="1" t="s">
        <v>13</v>
      </c>
      <c r="E1462" s="1">
        <v>-12.7</v>
      </c>
      <c r="F1462" s="1" t="s">
        <v>15157</v>
      </c>
    </row>
    <row r="1463" spans="1:6" ht="21" x14ac:dyDescent="0.25">
      <c r="A1463" s="2" t="str">
        <f>HYPERLINK("https://rth.dk/resources/bsgatlas/details.php?id=BSGatlas-terminator-1462","BSGatlas-terminator-1462")</f>
        <v>BSGatlas-terminator-1462</v>
      </c>
      <c r="B1463" s="3">
        <v>2388956</v>
      </c>
      <c r="C1463" s="3">
        <v>2389000</v>
      </c>
      <c r="D1463" s="1" t="s">
        <v>13</v>
      </c>
      <c r="E1463" s="1">
        <v>-14.1</v>
      </c>
      <c r="F1463" s="1" t="s">
        <v>15157</v>
      </c>
    </row>
    <row r="1464" spans="1:6" ht="21" x14ac:dyDescent="0.25">
      <c r="A1464" s="2" t="str">
        <f>HYPERLINK("https://rth.dk/resources/bsgatlas/details.php?id=BSGatlas-terminator-1463","BSGatlas-terminator-1463")</f>
        <v>BSGatlas-terminator-1463</v>
      </c>
      <c r="B1464" s="3">
        <v>2391593</v>
      </c>
      <c r="C1464" s="3">
        <v>2391635</v>
      </c>
      <c r="D1464" s="1" t="s">
        <v>13</v>
      </c>
      <c r="E1464" s="1">
        <v>-8.8000000000000007</v>
      </c>
      <c r="F1464" s="1" t="s">
        <v>4382</v>
      </c>
    </row>
    <row r="1465" spans="1:6" ht="21" x14ac:dyDescent="0.25">
      <c r="A1465" s="2" t="str">
        <f>HYPERLINK("https://rth.dk/resources/bsgatlas/details.php?id=BSGatlas-terminator-1464","BSGatlas-terminator-1464")</f>
        <v>BSGatlas-terminator-1464</v>
      </c>
      <c r="B1465" s="3">
        <v>2393525</v>
      </c>
      <c r="C1465" s="3">
        <v>2393569</v>
      </c>
      <c r="D1465" s="1" t="s">
        <v>9</v>
      </c>
      <c r="E1465" s="1">
        <v>-13.2</v>
      </c>
      <c r="F1465" s="1" t="s">
        <v>15157</v>
      </c>
    </row>
    <row r="1466" spans="1:6" ht="21" x14ac:dyDescent="0.25">
      <c r="A1466" s="2" t="str">
        <f>HYPERLINK("https://rth.dk/resources/bsgatlas/details.php?id=BSGatlas-terminator-1465","BSGatlas-terminator-1465")</f>
        <v>BSGatlas-terminator-1465</v>
      </c>
      <c r="B1466" s="3">
        <v>2393600</v>
      </c>
      <c r="C1466" s="3">
        <v>2393644</v>
      </c>
      <c r="D1466" s="1" t="s">
        <v>13</v>
      </c>
      <c r="E1466" s="1">
        <v>-13.2</v>
      </c>
      <c r="F1466" s="1" t="s">
        <v>15157</v>
      </c>
    </row>
    <row r="1467" spans="1:6" ht="21" x14ac:dyDescent="0.25">
      <c r="A1467" s="2" t="str">
        <f>HYPERLINK("https://rth.dk/resources/bsgatlas/details.php?id=BSGatlas-terminator-1466","BSGatlas-terminator-1466")</f>
        <v>BSGatlas-terminator-1466</v>
      </c>
      <c r="B1467" s="3">
        <v>2394504</v>
      </c>
      <c r="C1467" s="3">
        <v>2394548</v>
      </c>
      <c r="D1467" s="1" t="s">
        <v>13</v>
      </c>
      <c r="E1467" s="1">
        <v>-15.7</v>
      </c>
      <c r="F1467" s="1" t="s">
        <v>15157</v>
      </c>
    </row>
    <row r="1468" spans="1:6" ht="21" x14ac:dyDescent="0.25">
      <c r="A1468" s="2" t="str">
        <f>HYPERLINK("https://rth.dk/resources/bsgatlas/details.php?id=BSGatlas-terminator-1467","BSGatlas-terminator-1467")</f>
        <v>BSGatlas-terminator-1467</v>
      </c>
      <c r="B1468" s="3">
        <v>2395064</v>
      </c>
      <c r="C1468" s="3">
        <v>2395108</v>
      </c>
      <c r="D1468" s="1" t="s">
        <v>9</v>
      </c>
      <c r="E1468" s="1">
        <v>-11.8</v>
      </c>
      <c r="F1468" s="1" t="s">
        <v>15157</v>
      </c>
    </row>
    <row r="1469" spans="1:6" ht="21" x14ac:dyDescent="0.25">
      <c r="A1469" s="2" t="str">
        <f>HYPERLINK("https://rth.dk/resources/bsgatlas/details.php?id=BSGatlas-terminator-1468","BSGatlas-terminator-1468")</f>
        <v>BSGatlas-terminator-1468</v>
      </c>
      <c r="B1469" s="3">
        <v>2395768</v>
      </c>
      <c r="C1469" s="3">
        <v>2395812</v>
      </c>
      <c r="D1469" s="1" t="s">
        <v>9</v>
      </c>
      <c r="E1469" s="1">
        <v>-11.8</v>
      </c>
      <c r="F1469" s="1" t="s">
        <v>15157</v>
      </c>
    </row>
    <row r="1470" spans="1:6" ht="21" x14ac:dyDescent="0.25">
      <c r="A1470" s="2" t="str">
        <f>HYPERLINK("https://rth.dk/resources/bsgatlas/details.php?id=BSGatlas-terminator-1469","BSGatlas-terminator-1469")</f>
        <v>BSGatlas-terminator-1469</v>
      </c>
      <c r="B1470" s="3">
        <v>2397724</v>
      </c>
      <c r="C1470" s="3">
        <v>2397756</v>
      </c>
      <c r="D1470" s="1" t="s">
        <v>13</v>
      </c>
      <c r="E1470" s="1">
        <v>-4.8</v>
      </c>
      <c r="F1470" s="1" t="s">
        <v>4382</v>
      </c>
    </row>
    <row r="1471" spans="1:6" ht="21" x14ac:dyDescent="0.25">
      <c r="A1471" s="2" t="str">
        <f>HYPERLINK("https://rth.dk/resources/bsgatlas/details.php?id=BSGatlas-terminator-1470","BSGatlas-terminator-1470")</f>
        <v>BSGatlas-terminator-1470</v>
      </c>
      <c r="B1471" s="3">
        <v>2397758</v>
      </c>
      <c r="C1471" s="3">
        <v>2397802</v>
      </c>
      <c r="D1471" s="1" t="s">
        <v>13</v>
      </c>
      <c r="E1471" s="1">
        <v>-10.1</v>
      </c>
      <c r="F1471" s="1" t="s">
        <v>15157</v>
      </c>
    </row>
    <row r="1472" spans="1:6" ht="21" x14ac:dyDescent="0.25">
      <c r="A1472" s="2" t="str">
        <f>HYPERLINK("https://rth.dk/resources/bsgatlas/details.php?id=BSGatlas-terminator-1471","BSGatlas-terminator-1471")</f>
        <v>BSGatlas-terminator-1471</v>
      </c>
      <c r="B1472" s="3">
        <v>2399518</v>
      </c>
      <c r="C1472" s="3">
        <v>2399562</v>
      </c>
      <c r="D1472" s="1" t="s">
        <v>13</v>
      </c>
      <c r="E1472" s="1">
        <v>-21.7</v>
      </c>
      <c r="F1472" s="1" t="s">
        <v>15157</v>
      </c>
    </row>
    <row r="1473" spans="1:6" ht="21" x14ac:dyDescent="0.25">
      <c r="A1473" s="2" t="str">
        <f>HYPERLINK("https://rth.dk/resources/bsgatlas/details.php?id=BSGatlas-terminator-1472","BSGatlas-terminator-1472")</f>
        <v>BSGatlas-terminator-1472</v>
      </c>
      <c r="B1473" s="3">
        <v>2400200</v>
      </c>
      <c r="C1473" s="3">
        <v>2400244</v>
      </c>
      <c r="D1473" s="1" t="s">
        <v>13</v>
      </c>
      <c r="E1473" s="1">
        <v>-21.7</v>
      </c>
      <c r="F1473" s="1" t="s">
        <v>15157</v>
      </c>
    </row>
    <row r="1474" spans="1:6" ht="21" x14ac:dyDescent="0.25">
      <c r="A1474" s="2" t="str">
        <f>HYPERLINK("https://rth.dk/resources/bsgatlas/details.php?id=BSGatlas-terminator-1473","BSGatlas-terminator-1473")</f>
        <v>BSGatlas-terminator-1473</v>
      </c>
      <c r="B1474" s="3">
        <v>2400970</v>
      </c>
      <c r="C1474" s="3">
        <v>2401014</v>
      </c>
      <c r="D1474" s="1" t="s">
        <v>13</v>
      </c>
      <c r="E1474" s="1">
        <v>-12.2</v>
      </c>
      <c r="F1474" s="1" t="s">
        <v>15157</v>
      </c>
    </row>
    <row r="1475" spans="1:6" ht="21" x14ac:dyDescent="0.25">
      <c r="A1475" s="2" t="str">
        <f>HYPERLINK("https://rth.dk/resources/bsgatlas/details.php?id=BSGatlas-terminator-1474","BSGatlas-terminator-1474")</f>
        <v>BSGatlas-terminator-1474</v>
      </c>
      <c r="B1475" s="3">
        <v>2401972</v>
      </c>
      <c r="C1475" s="3">
        <v>2402016</v>
      </c>
      <c r="D1475" s="1" t="s">
        <v>9</v>
      </c>
      <c r="E1475" s="1">
        <v>-9.3000000000000007</v>
      </c>
      <c r="F1475" s="1" t="s">
        <v>15157</v>
      </c>
    </row>
    <row r="1476" spans="1:6" ht="21" x14ac:dyDescent="0.25">
      <c r="A1476" s="2" t="str">
        <f>HYPERLINK("https://rth.dk/resources/bsgatlas/details.php?id=BSGatlas-terminator-1475","BSGatlas-terminator-1475")</f>
        <v>BSGatlas-terminator-1475</v>
      </c>
      <c r="B1476" s="3">
        <v>2402003</v>
      </c>
      <c r="C1476" s="3">
        <v>2402057</v>
      </c>
      <c r="D1476" s="1" t="s">
        <v>13</v>
      </c>
      <c r="E1476" s="1">
        <v>-12.7</v>
      </c>
      <c r="F1476" s="1" t="s">
        <v>15158</v>
      </c>
    </row>
    <row r="1477" spans="1:6" ht="21" x14ac:dyDescent="0.25">
      <c r="A1477" s="2" t="str">
        <f>HYPERLINK("https://rth.dk/resources/bsgatlas/details.php?id=BSGatlas-terminator-1476","BSGatlas-terminator-1476")</f>
        <v>BSGatlas-terminator-1476</v>
      </c>
      <c r="B1477" s="3">
        <v>2403486</v>
      </c>
      <c r="C1477" s="3">
        <v>2403530</v>
      </c>
      <c r="D1477" s="1" t="s">
        <v>13</v>
      </c>
      <c r="E1477" s="1">
        <v>-7.1</v>
      </c>
      <c r="F1477" s="1" t="s">
        <v>15157</v>
      </c>
    </row>
    <row r="1478" spans="1:6" ht="21" x14ac:dyDescent="0.25">
      <c r="A1478" s="2" t="str">
        <f>HYPERLINK("https://rth.dk/resources/bsgatlas/details.php?id=BSGatlas-terminator-1477","BSGatlas-terminator-1477")</f>
        <v>BSGatlas-terminator-1477</v>
      </c>
      <c r="B1478" s="3">
        <v>2405109</v>
      </c>
      <c r="C1478" s="3">
        <v>2405153</v>
      </c>
      <c r="D1478" s="1" t="s">
        <v>13</v>
      </c>
      <c r="E1478" s="1">
        <v>-7.5</v>
      </c>
      <c r="F1478" s="1" t="s">
        <v>15157</v>
      </c>
    </row>
    <row r="1479" spans="1:6" ht="21" x14ac:dyDescent="0.25">
      <c r="A1479" s="2" t="str">
        <f>HYPERLINK("https://rth.dk/resources/bsgatlas/details.php?id=BSGatlas-terminator-1478","BSGatlas-terminator-1478")</f>
        <v>BSGatlas-terminator-1478</v>
      </c>
      <c r="B1479" s="3">
        <v>2405879</v>
      </c>
      <c r="C1479" s="3">
        <v>2405923</v>
      </c>
      <c r="D1479" s="1" t="s">
        <v>13</v>
      </c>
      <c r="E1479" s="1">
        <v>-7.5</v>
      </c>
      <c r="F1479" s="1" t="s">
        <v>15157</v>
      </c>
    </row>
    <row r="1480" spans="1:6" ht="21" x14ac:dyDescent="0.25">
      <c r="A1480" s="2" t="str">
        <f>HYPERLINK("https://rth.dk/resources/bsgatlas/details.php?id=BSGatlas-terminator-1479","BSGatlas-terminator-1479")</f>
        <v>BSGatlas-terminator-1479</v>
      </c>
      <c r="B1480" s="3">
        <v>2409939</v>
      </c>
      <c r="C1480" s="3">
        <v>2409983</v>
      </c>
      <c r="D1480" s="1" t="s">
        <v>9</v>
      </c>
      <c r="E1480" s="1">
        <v>-9.9</v>
      </c>
      <c r="F1480" s="1" t="s">
        <v>15157</v>
      </c>
    </row>
    <row r="1481" spans="1:6" ht="21" x14ac:dyDescent="0.25">
      <c r="A1481" s="2" t="str">
        <f>HYPERLINK("https://rth.dk/resources/bsgatlas/details.php?id=BSGatlas-terminator-1480","BSGatlas-terminator-1480")</f>
        <v>BSGatlas-terminator-1480</v>
      </c>
      <c r="B1481" s="3">
        <v>2410015</v>
      </c>
      <c r="C1481" s="3">
        <v>2410059</v>
      </c>
      <c r="D1481" s="1" t="s">
        <v>13</v>
      </c>
      <c r="E1481" s="1">
        <v>-9.9</v>
      </c>
      <c r="F1481" s="1" t="s">
        <v>15157</v>
      </c>
    </row>
    <row r="1482" spans="1:6" ht="21" x14ac:dyDescent="0.25">
      <c r="A1482" s="2" t="str">
        <f>HYPERLINK("https://rth.dk/resources/bsgatlas/details.php?id=BSGatlas-terminator-1481","BSGatlas-terminator-1481")</f>
        <v>BSGatlas-terminator-1481</v>
      </c>
      <c r="B1482" s="3">
        <v>2412623</v>
      </c>
      <c r="C1482" s="3">
        <v>2412667</v>
      </c>
      <c r="D1482" s="1" t="s">
        <v>9</v>
      </c>
      <c r="E1482" s="1">
        <v>-10.199999999999999</v>
      </c>
      <c r="F1482" s="1" t="s">
        <v>15157</v>
      </c>
    </row>
    <row r="1483" spans="1:6" ht="21" x14ac:dyDescent="0.25">
      <c r="A1483" s="2" t="str">
        <f>HYPERLINK("https://rth.dk/resources/bsgatlas/details.php?id=BSGatlas-terminator-1482","BSGatlas-terminator-1482")</f>
        <v>BSGatlas-terminator-1482</v>
      </c>
      <c r="B1483" s="3">
        <v>2412658</v>
      </c>
      <c r="C1483" s="3">
        <v>2412697</v>
      </c>
      <c r="D1483" s="1" t="s">
        <v>13</v>
      </c>
      <c r="E1483" s="1">
        <v>-12.6</v>
      </c>
      <c r="F1483" s="1" t="s">
        <v>4382</v>
      </c>
    </row>
    <row r="1484" spans="1:6" ht="21" x14ac:dyDescent="0.25">
      <c r="A1484" s="2" t="str">
        <f>HYPERLINK("https://rth.dk/resources/bsgatlas/details.php?id=BSGatlas-terminator-1483","BSGatlas-terminator-1483")</f>
        <v>BSGatlas-terminator-1483</v>
      </c>
      <c r="B1484" s="3">
        <v>2412668</v>
      </c>
      <c r="C1484" s="3">
        <v>2412707</v>
      </c>
      <c r="D1484" s="1" t="s">
        <v>9</v>
      </c>
      <c r="E1484" s="1">
        <v>-12.6</v>
      </c>
      <c r="F1484" s="1" t="s">
        <v>4382</v>
      </c>
    </row>
    <row r="1485" spans="1:6" ht="21" x14ac:dyDescent="0.25">
      <c r="A1485" s="2" t="str">
        <f>HYPERLINK("https://rth.dk/resources/bsgatlas/details.php?id=BSGatlas-terminator-1484","BSGatlas-terminator-1484")</f>
        <v>BSGatlas-terminator-1484</v>
      </c>
      <c r="B1485" s="3">
        <v>2412699</v>
      </c>
      <c r="C1485" s="3">
        <v>2412743</v>
      </c>
      <c r="D1485" s="1" t="s">
        <v>13</v>
      </c>
      <c r="E1485" s="1">
        <v>-10.199999999999999</v>
      </c>
      <c r="F1485" s="1" t="s">
        <v>15157</v>
      </c>
    </row>
    <row r="1486" spans="1:6" ht="21" x14ac:dyDescent="0.25">
      <c r="A1486" s="2" t="str">
        <f>HYPERLINK("https://rth.dk/resources/bsgatlas/details.php?id=BSGatlas-terminator-1485","BSGatlas-terminator-1485")</f>
        <v>BSGatlas-terminator-1485</v>
      </c>
      <c r="B1486" s="3">
        <v>2413525</v>
      </c>
      <c r="C1486" s="3">
        <v>2413569</v>
      </c>
      <c r="D1486" s="1" t="s">
        <v>9</v>
      </c>
      <c r="E1486" s="1">
        <v>-8.5</v>
      </c>
      <c r="F1486" s="1" t="s">
        <v>15162</v>
      </c>
    </row>
    <row r="1487" spans="1:6" ht="21" x14ac:dyDescent="0.25">
      <c r="A1487" s="2" t="str">
        <f>HYPERLINK("https://rth.dk/resources/bsgatlas/details.php?id=BSGatlas-terminator-1486","BSGatlas-terminator-1486")</f>
        <v>BSGatlas-terminator-1486</v>
      </c>
      <c r="B1487" s="3">
        <v>2413551</v>
      </c>
      <c r="C1487" s="3">
        <v>2413586</v>
      </c>
      <c r="D1487" s="1" t="s">
        <v>13</v>
      </c>
      <c r="E1487" s="1">
        <v>-8.6</v>
      </c>
      <c r="F1487" s="1" t="s">
        <v>15158</v>
      </c>
    </row>
    <row r="1488" spans="1:6" ht="21" x14ac:dyDescent="0.25">
      <c r="A1488" s="2" t="str">
        <f>HYPERLINK("https://rth.dk/resources/bsgatlas/details.php?id=BSGatlas-terminator-1487","BSGatlas-terminator-1487")</f>
        <v>BSGatlas-terminator-1487</v>
      </c>
      <c r="B1488" s="3">
        <v>2415197</v>
      </c>
      <c r="C1488" s="3">
        <v>2415241</v>
      </c>
      <c r="D1488" s="1" t="s">
        <v>9</v>
      </c>
      <c r="E1488" s="1">
        <v>-13.5</v>
      </c>
      <c r="F1488" s="1" t="s">
        <v>15157</v>
      </c>
    </row>
    <row r="1489" spans="1:6" ht="21" x14ac:dyDescent="0.25">
      <c r="A1489" s="2" t="str">
        <f>HYPERLINK("https://rth.dk/resources/bsgatlas/details.php?id=BSGatlas-terminator-1488","BSGatlas-terminator-1488")</f>
        <v>BSGatlas-terminator-1488</v>
      </c>
      <c r="B1489" s="3">
        <v>2415305</v>
      </c>
      <c r="C1489" s="3">
        <v>2415349</v>
      </c>
      <c r="D1489" s="1" t="s">
        <v>9</v>
      </c>
      <c r="E1489" s="1">
        <v>-13.5</v>
      </c>
      <c r="F1489" s="1" t="s">
        <v>15157</v>
      </c>
    </row>
    <row r="1490" spans="1:6" ht="21" x14ac:dyDescent="0.25">
      <c r="A1490" s="2" t="str">
        <f>HYPERLINK("https://rth.dk/resources/bsgatlas/details.php?id=BSGatlas-terminator-1489","BSGatlas-terminator-1489")</f>
        <v>BSGatlas-terminator-1489</v>
      </c>
      <c r="B1490" s="3">
        <v>2415337</v>
      </c>
      <c r="C1490" s="3">
        <v>2415377</v>
      </c>
      <c r="D1490" s="1" t="s">
        <v>13</v>
      </c>
      <c r="E1490" s="1">
        <v>-16.899999999999999</v>
      </c>
      <c r="F1490" s="1" t="s">
        <v>15160</v>
      </c>
    </row>
    <row r="1491" spans="1:6" ht="21" x14ac:dyDescent="0.25">
      <c r="A1491" s="2" t="str">
        <f>HYPERLINK("https://rth.dk/resources/bsgatlas/details.php?id=BSGatlas-terminator-1490","BSGatlas-terminator-1490")</f>
        <v>BSGatlas-terminator-1490</v>
      </c>
      <c r="B1491" s="3">
        <v>2415449</v>
      </c>
      <c r="C1491" s="3">
        <v>2415493</v>
      </c>
      <c r="D1491" s="1" t="s">
        <v>13</v>
      </c>
      <c r="E1491" s="1">
        <v>-13.5</v>
      </c>
      <c r="F1491" s="1" t="s">
        <v>15157</v>
      </c>
    </row>
    <row r="1492" spans="1:6" ht="21" x14ac:dyDescent="0.25">
      <c r="A1492" s="2" t="str">
        <f>HYPERLINK("https://rth.dk/resources/bsgatlas/details.php?id=BSGatlas-terminator-1491","BSGatlas-terminator-1491")</f>
        <v>BSGatlas-terminator-1491</v>
      </c>
      <c r="B1492" s="3">
        <v>2422241</v>
      </c>
      <c r="C1492" s="3">
        <v>2422290</v>
      </c>
      <c r="D1492" s="1" t="s">
        <v>13</v>
      </c>
      <c r="E1492" s="1">
        <v>-8.3000000000000007</v>
      </c>
      <c r="F1492" s="1" t="s">
        <v>4382</v>
      </c>
    </row>
    <row r="1493" spans="1:6" ht="21" x14ac:dyDescent="0.25">
      <c r="A1493" s="2" t="str">
        <f>HYPERLINK("https://rth.dk/resources/bsgatlas/details.php?id=BSGatlas-terminator-1492","BSGatlas-terminator-1492")</f>
        <v>BSGatlas-terminator-1492</v>
      </c>
      <c r="B1493" s="3">
        <v>2424612</v>
      </c>
      <c r="C1493" s="3">
        <v>2424652</v>
      </c>
      <c r="D1493" s="1" t="s">
        <v>13</v>
      </c>
      <c r="E1493" s="1">
        <v>-14.7</v>
      </c>
      <c r="F1493" s="1" t="s">
        <v>15158</v>
      </c>
    </row>
    <row r="1494" spans="1:6" ht="21" x14ac:dyDescent="0.25">
      <c r="A1494" s="2" t="str">
        <f>HYPERLINK("https://rth.dk/resources/bsgatlas/details.php?id=BSGatlas-terminator-1493","BSGatlas-terminator-1493")</f>
        <v>BSGatlas-terminator-1493</v>
      </c>
      <c r="B1494" s="3">
        <v>2427366</v>
      </c>
      <c r="C1494" s="3">
        <v>2427409</v>
      </c>
      <c r="D1494" s="1" t="s">
        <v>13</v>
      </c>
      <c r="E1494" s="1">
        <v>-17</v>
      </c>
      <c r="F1494" s="1" t="s">
        <v>15158</v>
      </c>
    </row>
    <row r="1495" spans="1:6" ht="21" x14ac:dyDescent="0.25">
      <c r="A1495" s="2" t="str">
        <f>HYPERLINK("https://rth.dk/resources/bsgatlas/details.php?id=BSGatlas-terminator-1494","BSGatlas-terminator-1494")</f>
        <v>BSGatlas-terminator-1494</v>
      </c>
      <c r="B1495" s="3">
        <v>2427374</v>
      </c>
      <c r="C1495" s="3">
        <v>2427423</v>
      </c>
      <c r="D1495" s="1" t="s">
        <v>9</v>
      </c>
      <c r="E1495" s="1">
        <v>-16.600000000000001</v>
      </c>
      <c r="F1495" s="1" t="s">
        <v>4382</v>
      </c>
    </row>
    <row r="1496" spans="1:6" ht="21" x14ac:dyDescent="0.25">
      <c r="A1496" s="2" t="str">
        <f>HYPERLINK("https://rth.dk/resources/bsgatlas/details.php?id=BSGatlas-terminator-1495","BSGatlas-terminator-1495")</f>
        <v>BSGatlas-terminator-1495</v>
      </c>
      <c r="B1496" s="3">
        <v>2431368</v>
      </c>
      <c r="C1496" s="3">
        <v>2431422</v>
      </c>
      <c r="D1496" s="1" t="s">
        <v>13</v>
      </c>
      <c r="E1496" s="1">
        <v>-19.600000000000001</v>
      </c>
      <c r="F1496" s="1" t="s">
        <v>4382</v>
      </c>
    </row>
    <row r="1497" spans="1:6" ht="21" x14ac:dyDescent="0.25">
      <c r="A1497" s="2" t="str">
        <f>HYPERLINK("https://rth.dk/resources/bsgatlas/details.php?id=BSGatlas-terminator-1496","BSGatlas-terminator-1496")</f>
        <v>BSGatlas-terminator-1496</v>
      </c>
      <c r="B1497" s="3">
        <v>2431691</v>
      </c>
      <c r="C1497" s="3">
        <v>2431737</v>
      </c>
      <c r="D1497" s="1" t="s">
        <v>13</v>
      </c>
      <c r="E1497" s="1">
        <v>-19.399999999999999</v>
      </c>
      <c r="F1497" s="1" t="s">
        <v>15158</v>
      </c>
    </row>
    <row r="1498" spans="1:6" ht="21" x14ac:dyDescent="0.25">
      <c r="A1498" s="2" t="str">
        <f>HYPERLINK("https://rth.dk/resources/bsgatlas/details.php?id=BSGatlas-terminator-1497","BSGatlas-terminator-1497")</f>
        <v>BSGatlas-terminator-1497</v>
      </c>
      <c r="B1498" s="3">
        <v>2432274</v>
      </c>
      <c r="C1498" s="3">
        <v>2432314</v>
      </c>
      <c r="D1498" s="1" t="s">
        <v>13</v>
      </c>
      <c r="E1498" s="1">
        <v>-13.1</v>
      </c>
      <c r="F1498" s="1" t="s">
        <v>15158</v>
      </c>
    </row>
    <row r="1499" spans="1:6" ht="21" x14ac:dyDescent="0.25">
      <c r="A1499" s="2" t="str">
        <f>HYPERLINK("https://rth.dk/resources/bsgatlas/details.php?id=BSGatlas-terminator-1498","BSGatlas-terminator-1498")</f>
        <v>BSGatlas-terminator-1498</v>
      </c>
      <c r="B1499" s="3">
        <v>2433689</v>
      </c>
      <c r="C1499" s="3">
        <v>2433749</v>
      </c>
      <c r="D1499" s="1" t="s">
        <v>13</v>
      </c>
      <c r="E1499" s="1">
        <v>-16.5</v>
      </c>
      <c r="F1499" s="1" t="s">
        <v>4684</v>
      </c>
    </row>
    <row r="1500" spans="1:6" ht="21" x14ac:dyDescent="0.25">
      <c r="A1500" s="2" t="str">
        <f>HYPERLINK("https://rth.dk/resources/bsgatlas/details.php?id=BSGatlas-terminator-1499","BSGatlas-terminator-1499")</f>
        <v>BSGatlas-terminator-1499</v>
      </c>
      <c r="B1500" s="3">
        <v>2434800</v>
      </c>
      <c r="C1500" s="3">
        <v>2434844</v>
      </c>
      <c r="D1500" s="1" t="s">
        <v>9</v>
      </c>
      <c r="E1500" s="1">
        <v>-9.1</v>
      </c>
      <c r="F1500" s="1" t="s">
        <v>15157</v>
      </c>
    </row>
    <row r="1501" spans="1:6" ht="21" x14ac:dyDescent="0.25">
      <c r="A1501" s="2" t="str">
        <f>HYPERLINK("https://rth.dk/resources/bsgatlas/details.php?id=BSGatlas-terminator-1500","BSGatlas-terminator-1500")</f>
        <v>BSGatlas-terminator-1500</v>
      </c>
      <c r="B1501" s="3">
        <v>2435196</v>
      </c>
      <c r="C1501" s="3">
        <v>2435240</v>
      </c>
      <c r="D1501" s="1" t="s">
        <v>9</v>
      </c>
      <c r="E1501" s="1">
        <v>-6.9</v>
      </c>
      <c r="F1501" s="1" t="s">
        <v>15157</v>
      </c>
    </row>
    <row r="1502" spans="1:6" ht="21" x14ac:dyDescent="0.25">
      <c r="A1502" s="2" t="str">
        <f>HYPERLINK("https://rth.dk/resources/bsgatlas/details.php?id=BSGatlas-terminator-1501","BSGatlas-terminator-1501")</f>
        <v>BSGatlas-terminator-1501</v>
      </c>
      <c r="B1502" s="3">
        <v>2435310</v>
      </c>
      <c r="C1502" s="3">
        <v>2435350</v>
      </c>
      <c r="D1502" s="1" t="s">
        <v>13</v>
      </c>
      <c r="E1502" s="1">
        <v>-15.7</v>
      </c>
      <c r="F1502" s="1" t="s">
        <v>15158</v>
      </c>
    </row>
    <row r="1503" spans="1:6" ht="21" x14ac:dyDescent="0.25">
      <c r="A1503" s="2" t="str">
        <f>HYPERLINK("https://rth.dk/resources/bsgatlas/details.php?id=BSGatlas-terminator-1502","BSGatlas-terminator-1502")</f>
        <v>BSGatlas-terminator-1502</v>
      </c>
      <c r="B1503" s="3">
        <v>2436802</v>
      </c>
      <c r="C1503" s="3">
        <v>2436846</v>
      </c>
      <c r="D1503" s="1" t="s">
        <v>9</v>
      </c>
      <c r="E1503" s="1">
        <v>-12.7</v>
      </c>
      <c r="F1503" s="1" t="s">
        <v>15157</v>
      </c>
    </row>
    <row r="1504" spans="1:6" ht="21" x14ac:dyDescent="0.25">
      <c r="A1504" s="2" t="str">
        <f>HYPERLINK("https://rth.dk/resources/bsgatlas/details.php?id=BSGatlas-terminator-1503","BSGatlas-terminator-1503")</f>
        <v>BSGatlas-terminator-1503</v>
      </c>
      <c r="B1504" s="3">
        <v>2436868</v>
      </c>
      <c r="C1504" s="3">
        <v>2436912</v>
      </c>
      <c r="D1504" s="1" t="s">
        <v>9</v>
      </c>
      <c r="E1504" s="1">
        <v>-12.7</v>
      </c>
      <c r="F1504" s="1" t="s">
        <v>15157</v>
      </c>
    </row>
    <row r="1505" spans="1:6" ht="21" x14ac:dyDescent="0.25">
      <c r="A1505" s="2" t="str">
        <f>HYPERLINK("https://rth.dk/resources/bsgatlas/details.php?id=BSGatlas-terminator-1504","BSGatlas-terminator-1504")</f>
        <v>BSGatlas-terminator-1504</v>
      </c>
      <c r="B1505" s="3">
        <v>2436924</v>
      </c>
      <c r="C1505" s="3">
        <v>2436940</v>
      </c>
      <c r="D1505" s="1" t="s">
        <v>9</v>
      </c>
      <c r="E1505" s="1">
        <v>-10.7</v>
      </c>
      <c r="F1505" s="1" t="s">
        <v>4547</v>
      </c>
    </row>
    <row r="1506" spans="1:6" ht="21" x14ac:dyDescent="0.25">
      <c r="A1506" s="2" t="str">
        <f>HYPERLINK("https://rth.dk/resources/bsgatlas/details.php?id=BSGatlas-terminator-1505","BSGatlas-terminator-1505")</f>
        <v>BSGatlas-terminator-1505</v>
      </c>
      <c r="B1506" s="3">
        <v>2436945</v>
      </c>
      <c r="C1506" s="3">
        <v>2436989</v>
      </c>
      <c r="D1506" s="1" t="s">
        <v>13</v>
      </c>
      <c r="E1506" s="1">
        <v>-12.7</v>
      </c>
      <c r="F1506" s="1" t="s">
        <v>15157</v>
      </c>
    </row>
    <row r="1507" spans="1:6" ht="21" x14ac:dyDescent="0.25">
      <c r="A1507" s="2" t="str">
        <f>HYPERLINK("https://rth.dk/resources/bsgatlas/details.php?id=BSGatlas-terminator-1506","BSGatlas-terminator-1506")</f>
        <v>BSGatlas-terminator-1506</v>
      </c>
      <c r="B1507" s="3">
        <v>2443396</v>
      </c>
      <c r="C1507" s="3">
        <v>2443438</v>
      </c>
      <c r="D1507" s="1" t="s">
        <v>13</v>
      </c>
      <c r="E1507" s="1">
        <v>-17.100000000000001</v>
      </c>
      <c r="F1507" s="1" t="s">
        <v>15158</v>
      </c>
    </row>
    <row r="1508" spans="1:6" ht="21" x14ac:dyDescent="0.25">
      <c r="A1508" s="2" t="str">
        <f>HYPERLINK("https://rth.dk/resources/bsgatlas/details.php?id=BSGatlas-terminator-1507","BSGatlas-terminator-1507")</f>
        <v>BSGatlas-terminator-1507</v>
      </c>
      <c r="B1508" s="3">
        <v>2446349</v>
      </c>
      <c r="C1508" s="3">
        <v>2446398</v>
      </c>
      <c r="D1508" s="1" t="s">
        <v>13</v>
      </c>
      <c r="E1508" s="1">
        <v>-20.2</v>
      </c>
      <c r="F1508" s="1" t="s">
        <v>15158</v>
      </c>
    </row>
    <row r="1509" spans="1:6" ht="21" x14ac:dyDescent="0.25">
      <c r="A1509" s="2" t="str">
        <f>HYPERLINK("https://rth.dk/resources/bsgatlas/details.php?id=BSGatlas-terminator-1508","BSGatlas-terminator-1508")</f>
        <v>BSGatlas-terminator-1508</v>
      </c>
      <c r="B1509" s="3">
        <v>2449788</v>
      </c>
      <c r="C1509" s="3">
        <v>2449828</v>
      </c>
      <c r="D1509" s="1" t="s">
        <v>13</v>
      </c>
      <c r="E1509" s="1">
        <v>-11.7</v>
      </c>
      <c r="F1509" s="1" t="s">
        <v>15158</v>
      </c>
    </row>
    <row r="1510" spans="1:6" ht="21" x14ac:dyDescent="0.25">
      <c r="A1510" s="2" t="str">
        <f>HYPERLINK("https://rth.dk/resources/bsgatlas/details.php?id=BSGatlas-terminator-1509","BSGatlas-terminator-1509")</f>
        <v>BSGatlas-terminator-1509</v>
      </c>
      <c r="B1510" s="3">
        <v>2451206</v>
      </c>
      <c r="C1510" s="3">
        <v>2451250</v>
      </c>
      <c r="D1510" s="1" t="s">
        <v>13</v>
      </c>
      <c r="E1510" s="1">
        <v>-9.8000000000000007</v>
      </c>
      <c r="F1510" s="1" t="s">
        <v>15157</v>
      </c>
    </row>
    <row r="1511" spans="1:6" ht="21" x14ac:dyDescent="0.25">
      <c r="A1511" s="2" t="str">
        <f>HYPERLINK("https://rth.dk/resources/bsgatlas/details.php?id=BSGatlas-terminator-1510","BSGatlas-terminator-1510")</f>
        <v>BSGatlas-terminator-1510</v>
      </c>
      <c r="B1511" s="3">
        <v>2451448</v>
      </c>
      <c r="C1511" s="3">
        <v>2451492</v>
      </c>
      <c r="D1511" s="1" t="s">
        <v>13</v>
      </c>
      <c r="E1511" s="1">
        <v>-15.2</v>
      </c>
      <c r="F1511" s="1" t="s">
        <v>15157</v>
      </c>
    </row>
    <row r="1512" spans="1:6" ht="21" x14ac:dyDescent="0.25">
      <c r="A1512" s="2" t="str">
        <f>HYPERLINK("https://rth.dk/resources/bsgatlas/details.php?id=BSGatlas-terminator-1511","BSGatlas-terminator-1511")</f>
        <v>BSGatlas-terminator-1511</v>
      </c>
      <c r="B1512" s="3">
        <v>2457233</v>
      </c>
      <c r="C1512" s="3">
        <v>2457277</v>
      </c>
      <c r="D1512" s="1" t="s">
        <v>13</v>
      </c>
      <c r="E1512" s="1">
        <v>-23.6</v>
      </c>
      <c r="F1512" s="1" t="s">
        <v>15162</v>
      </c>
    </row>
    <row r="1513" spans="1:6" ht="21" x14ac:dyDescent="0.25">
      <c r="A1513" s="2" t="str">
        <f>HYPERLINK("https://rth.dk/resources/bsgatlas/details.php?id=BSGatlas-terminator-1512","BSGatlas-terminator-1512")</f>
        <v>BSGatlas-terminator-1512</v>
      </c>
      <c r="B1513" s="3">
        <v>2457483</v>
      </c>
      <c r="C1513" s="3">
        <v>2457522</v>
      </c>
      <c r="D1513" s="1" t="s">
        <v>9</v>
      </c>
      <c r="E1513" s="1">
        <v>-5.4</v>
      </c>
      <c r="F1513" s="1" t="s">
        <v>4382</v>
      </c>
    </row>
    <row r="1514" spans="1:6" ht="21" x14ac:dyDescent="0.25">
      <c r="A1514" s="2" t="str">
        <f>HYPERLINK("https://rth.dk/resources/bsgatlas/details.php?id=BSGatlas-terminator-1513","BSGatlas-terminator-1513")</f>
        <v>BSGatlas-terminator-1513</v>
      </c>
      <c r="B1514" s="3">
        <v>2460240</v>
      </c>
      <c r="C1514" s="3">
        <v>2460281</v>
      </c>
      <c r="D1514" s="1" t="s">
        <v>13</v>
      </c>
      <c r="E1514" s="1">
        <v>-16.2</v>
      </c>
      <c r="F1514" s="1" t="s">
        <v>4382</v>
      </c>
    </row>
    <row r="1515" spans="1:6" ht="21" x14ac:dyDescent="0.25">
      <c r="A1515" s="2" t="str">
        <f>HYPERLINK("https://rth.dk/resources/bsgatlas/details.php?id=BSGatlas-terminator-1514","BSGatlas-terminator-1514")</f>
        <v>BSGatlas-terminator-1514</v>
      </c>
      <c r="B1515" s="3">
        <v>2460250</v>
      </c>
      <c r="C1515" s="3">
        <v>2460291</v>
      </c>
      <c r="D1515" s="1" t="s">
        <v>9</v>
      </c>
      <c r="E1515" s="1">
        <v>-18.8</v>
      </c>
      <c r="F1515" s="1" t="s">
        <v>15158</v>
      </c>
    </row>
    <row r="1516" spans="1:6" ht="21" x14ac:dyDescent="0.25">
      <c r="A1516" s="2" t="str">
        <f>HYPERLINK("https://rth.dk/resources/bsgatlas/details.php?id=BSGatlas-terminator-1515","BSGatlas-terminator-1515")</f>
        <v>BSGatlas-terminator-1515</v>
      </c>
      <c r="B1516" s="3">
        <v>2460313</v>
      </c>
      <c r="C1516" s="3">
        <v>2460357</v>
      </c>
      <c r="D1516" s="1" t="s">
        <v>13</v>
      </c>
      <c r="E1516" s="1">
        <v>-13</v>
      </c>
      <c r="F1516" s="1" t="s">
        <v>15157</v>
      </c>
    </row>
    <row r="1517" spans="1:6" ht="21" x14ac:dyDescent="0.25">
      <c r="A1517" s="2" t="str">
        <f>HYPERLINK("https://rth.dk/resources/bsgatlas/details.php?id=BSGatlas-terminator-1516","BSGatlas-terminator-1516")</f>
        <v>BSGatlas-terminator-1516</v>
      </c>
      <c r="B1517" s="3">
        <v>2461534</v>
      </c>
      <c r="C1517" s="3">
        <v>2461578</v>
      </c>
      <c r="D1517" s="1" t="s">
        <v>9</v>
      </c>
      <c r="E1517" s="1">
        <v>-11.8</v>
      </c>
      <c r="F1517" s="1" t="s">
        <v>15157</v>
      </c>
    </row>
    <row r="1518" spans="1:6" ht="21" x14ac:dyDescent="0.25">
      <c r="A1518" s="2" t="str">
        <f>HYPERLINK("https://rth.dk/resources/bsgatlas/details.php?id=BSGatlas-terminator-1517","BSGatlas-terminator-1517")</f>
        <v>BSGatlas-terminator-1517</v>
      </c>
      <c r="B1518" s="3">
        <v>2461571</v>
      </c>
      <c r="C1518" s="3">
        <v>2461616</v>
      </c>
      <c r="D1518" s="1" t="s">
        <v>13</v>
      </c>
      <c r="E1518" s="1">
        <v>-17.899999999999999</v>
      </c>
      <c r="F1518" s="1" t="s">
        <v>15158</v>
      </c>
    </row>
    <row r="1519" spans="1:6" ht="21" x14ac:dyDescent="0.25">
      <c r="A1519" s="2" t="str">
        <f>HYPERLINK("https://rth.dk/resources/bsgatlas/details.php?id=BSGatlas-terminator-1518","BSGatlas-terminator-1518")</f>
        <v>BSGatlas-terminator-1518</v>
      </c>
      <c r="B1519" s="3">
        <v>2461587</v>
      </c>
      <c r="C1519" s="3">
        <v>2461620</v>
      </c>
      <c r="D1519" s="1" t="s">
        <v>9</v>
      </c>
      <c r="E1519" s="1">
        <v>-7.6</v>
      </c>
      <c r="F1519" s="1" t="s">
        <v>4382</v>
      </c>
    </row>
    <row r="1520" spans="1:6" ht="21" x14ac:dyDescent="0.25">
      <c r="A1520" s="2" t="str">
        <f>HYPERLINK("https://rth.dk/resources/bsgatlas/details.php?id=BSGatlas-terminator-1519","BSGatlas-terminator-1519")</f>
        <v>BSGatlas-terminator-1519</v>
      </c>
      <c r="B1520" s="3">
        <v>2464020</v>
      </c>
      <c r="C1520" s="3">
        <v>2464064</v>
      </c>
      <c r="D1520" s="1" t="s">
        <v>9</v>
      </c>
      <c r="E1520" s="1">
        <v>-6.5</v>
      </c>
      <c r="F1520" s="1" t="s">
        <v>15157</v>
      </c>
    </row>
    <row r="1521" spans="1:6" ht="21" x14ac:dyDescent="0.25">
      <c r="A1521" s="2" t="str">
        <f>HYPERLINK("https://rth.dk/resources/bsgatlas/details.php?id=BSGatlas-terminator-1520","BSGatlas-terminator-1520")</f>
        <v>BSGatlas-terminator-1520</v>
      </c>
      <c r="B1521" s="3">
        <v>2464768</v>
      </c>
      <c r="C1521" s="3">
        <v>2464812</v>
      </c>
      <c r="D1521" s="1" t="s">
        <v>9</v>
      </c>
      <c r="E1521" s="1">
        <v>-6.5</v>
      </c>
      <c r="F1521" s="1" t="s">
        <v>15157</v>
      </c>
    </row>
    <row r="1522" spans="1:6" ht="21" x14ac:dyDescent="0.25">
      <c r="A1522" s="2" t="str">
        <f>HYPERLINK("https://rth.dk/resources/bsgatlas/details.php?id=BSGatlas-terminator-1521","BSGatlas-terminator-1521")</f>
        <v>BSGatlas-terminator-1521</v>
      </c>
      <c r="B1522" s="3">
        <v>2467947</v>
      </c>
      <c r="C1522" s="3">
        <v>2467989</v>
      </c>
      <c r="D1522" s="1" t="s">
        <v>13</v>
      </c>
      <c r="E1522" s="1">
        <v>-14.4</v>
      </c>
      <c r="F1522" s="1" t="s">
        <v>15160</v>
      </c>
    </row>
    <row r="1523" spans="1:6" ht="21" x14ac:dyDescent="0.25">
      <c r="A1523" s="2" t="str">
        <f>HYPERLINK("https://rth.dk/resources/bsgatlas/details.php?id=BSGatlas-terminator-1522","BSGatlas-terminator-1522")</f>
        <v>BSGatlas-terminator-1522</v>
      </c>
      <c r="B1523" s="3">
        <v>2473089</v>
      </c>
      <c r="C1523" s="3">
        <v>2473120</v>
      </c>
      <c r="D1523" s="1" t="s">
        <v>9</v>
      </c>
      <c r="E1523" s="1"/>
      <c r="F1523" s="1" t="s">
        <v>4547</v>
      </c>
    </row>
    <row r="1524" spans="1:6" ht="21" x14ac:dyDescent="0.25">
      <c r="A1524" s="2" t="str">
        <f>HYPERLINK("https://rth.dk/resources/bsgatlas/details.php?id=BSGatlas-terminator-1523","BSGatlas-terminator-1523")</f>
        <v>BSGatlas-terminator-1523</v>
      </c>
      <c r="B1524" s="3">
        <v>2473988</v>
      </c>
      <c r="C1524" s="3">
        <v>2474028</v>
      </c>
      <c r="D1524" s="1" t="s">
        <v>13</v>
      </c>
      <c r="E1524" s="1">
        <v>-15.7</v>
      </c>
      <c r="F1524" s="1" t="s">
        <v>15158</v>
      </c>
    </row>
    <row r="1525" spans="1:6" ht="21" x14ac:dyDescent="0.25">
      <c r="A1525" s="2" t="str">
        <f>HYPERLINK("https://rth.dk/resources/bsgatlas/details.php?id=BSGatlas-terminator-1524","BSGatlas-terminator-1524")</f>
        <v>BSGatlas-terminator-1524</v>
      </c>
      <c r="B1525" s="3">
        <v>2473998</v>
      </c>
      <c r="C1525" s="3">
        <v>2474038</v>
      </c>
      <c r="D1525" s="1" t="s">
        <v>9</v>
      </c>
      <c r="E1525" s="1">
        <v>-15.7</v>
      </c>
      <c r="F1525" s="1" t="s">
        <v>15158</v>
      </c>
    </row>
    <row r="1526" spans="1:6" ht="21" x14ac:dyDescent="0.25">
      <c r="A1526" s="2" t="str">
        <f>HYPERLINK("https://rth.dk/resources/bsgatlas/details.php?id=BSGatlas-terminator-1525","BSGatlas-terminator-1525")</f>
        <v>BSGatlas-terminator-1525</v>
      </c>
      <c r="B1526" s="3">
        <v>2476864</v>
      </c>
      <c r="C1526" s="3">
        <v>2476907</v>
      </c>
      <c r="D1526" s="1" t="s">
        <v>9</v>
      </c>
      <c r="E1526" s="1">
        <v>-15.9</v>
      </c>
      <c r="F1526" s="1" t="s">
        <v>15158</v>
      </c>
    </row>
    <row r="1527" spans="1:6" ht="21" x14ac:dyDescent="0.25">
      <c r="A1527" s="2" t="str">
        <f>HYPERLINK("https://rth.dk/resources/bsgatlas/details.php?id=BSGatlas-terminator-1526","BSGatlas-terminator-1526")</f>
        <v>BSGatlas-terminator-1526</v>
      </c>
      <c r="B1527" s="3">
        <v>2477616</v>
      </c>
      <c r="C1527" s="3">
        <v>2477660</v>
      </c>
      <c r="D1527" s="1" t="s">
        <v>9</v>
      </c>
      <c r="E1527" s="1">
        <v>-11.2</v>
      </c>
      <c r="F1527" s="1" t="s">
        <v>15157</v>
      </c>
    </row>
    <row r="1528" spans="1:6" ht="21" x14ac:dyDescent="0.25">
      <c r="A1528" s="2" t="str">
        <f>HYPERLINK("https://rth.dk/resources/bsgatlas/details.php?id=BSGatlas-terminator-1527","BSGatlas-terminator-1527")</f>
        <v>BSGatlas-terminator-1527</v>
      </c>
      <c r="B1528" s="3">
        <v>2477726</v>
      </c>
      <c r="C1528" s="3">
        <v>2477771</v>
      </c>
      <c r="D1528" s="1" t="s">
        <v>13</v>
      </c>
      <c r="E1528" s="1">
        <v>-14.3</v>
      </c>
      <c r="F1528" s="1" t="s">
        <v>4382</v>
      </c>
    </row>
    <row r="1529" spans="1:6" ht="21" x14ac:dyDescent="0.25">
      <c r="A1529" s="2" t="str">
        <f>HYPERLINK("https://rth.dk/resources/bsgatlas/details.php?id=BSGatlas-terminator-1528","BSGatlas-terminator-1528")</f>
        <v>BSGatlas-terminator-1528</v>
      </c>
      <c r="B1529" s="3">
        <v>2477740</v>
      </c>
      <c r="C1529" s="3">
        <v>2477782</v>
      </c>
      <c r="D1529" s="1" t="s">
        <v>9</v>
      </c>
      <c r="E1529" s="1">
        <v>-11.2</v>
      </c>
      <c r="F1529" s="1" t="s">
        <v>15158</v>
      </c>
    </row>
    <row r="1530" spans="1:6" ht="21" x14ac:dyDescent="0.25">
      <c r="A1530" s="2" t="str">
        <f>HYPERLINK("https://rth.dk/resources/bsgatlas/details.php?id=BSGatlas-terminator-1529","BSGatlas-terminator-1529")</f>
        <v>BSGatlas-terminator-1529</v>
      </c>
      <c r="B1530" s="3">
        <v>2477779</v>
      </c>
      <c r="C1530" s="3">
        <v>2477823</v>
      </c>
      <c r="D1530" s="1" t="s">
        <v>13</v>
      </c>
      <c r="E1530" s="1">
        <v>-8.8000000000000007</v>
      </c>
      <c r="F1530" s="1" t="s">
        <v>15157</v>
      </c>
    </row>
    <row r="1531" spans="1:6" ht="21" x14ac:dyDescent="0.25">
      <c r="A1531" s="2" t="str">
        <f>HYPERLINK("https://rth.dk/resources/bsgatlas/details.php?id=BSGatlas-terminator-1530","BSGatlas-terminator-1530")</f>
        <v>BSGatlas-terminator-1530</v>
      </c>
      <c r="B1531" s="3">
        <v>2480586</v>
      </c>
      <c r="C1531" s="3">
        <v>2480630</v>
      </c>
      <c r="D1531" s="1" t="s">
        <v>9</v>
      </c>
      <c r="E1531" s="1">
        <v>-15.2</v>
      </c>
      <c r="F1531" s="1" t="s">
        <v>15157</v>
      </c>
    </row>
    <row r="1532" spans="1:6" ht="21" x14ac:dyDescent="0.25">
      <c r="A1532" s="2" t="str">
        <f>HYPERLINK("https://rth.dk/resources/bsgatlas/details.php?id=BSGatlas-terminator-1531","BSGatlas-terminator-1531")</f>
        <v>BSGatlas-terminator-1531</v>
      </c>
      <c r="B1532" s="3">
        <v>2480639</v>
      </c>
      <c r="C1532" s="3">
        <v>2480667</v>
      </c>
      <c r="D1532" s="1" t="s">
        <v>9</v>
      </c>
      <c r="E1532" s="1">
        <v>-15.2</v>
      </c>
      <c r="F1532" s="1" t="s">
        <v>15161</v>
      </c>
    </row>
    <row r="1533" spans="1:6" ht="21" x14ac:dyDescent="0.25">
      <c r="A1533" s="2" t="str">
        <f>HYPERLINK("https://rth.dk/resources/bsgatlas/details.php?id=BSGatlas-terminator-1532","BSGatlas-terminator-1532")</f>
        <v>BSGatlas-terminator-1532</v>
      </c>
      <c r="B1533" s="3">
        <v>2480699</v>
      </c>
      <c r="C1533" s="3">
        <v>2480744</v>
      </c>
      <c r="D1533" s="1" t="s">
        <v>13</v>
      </c>
      <c r="E1533" s="1">
        <v>-21</v>
      </c>
      <c r="F1533" s="1" t="s">
        <v>4382</v>
      </c>
    </row>
    <row r="1534" spans="1:6" ht="21" x14ac:dyDescent="0.25">
      <c r="A1534" s="2" t="str">
        <f>HYPERLINK("https://rth.dk/resources/bsgatlas/details.php?id=BSGatlas-terminator-1533","BSGatlas-terminator-1533")</f>
        <v>BSGatlas-terminator-1533</v>
      </c>
      <c r="B1534" s="3">
        <v>2480745</v>
      </c>
      <c r="C1534" s="3">
        <v>2480789</v>
      </c>
      <c r="D1534" s="1" t="s">
        <v>13</v>
      </c>
      <c r="E1534" s="1">
        <v>-18</v>
      </c>
      <c r="F1534" s="1" t="s">
        <v>15157</v>
      </c>
    </row>
    <row r="1535" spans="1:6" ht="21" x14ac:dyDescent="0.25">
      <c r="A1535" s="2" t="str">
        <f>HYPERLINK("https://rth.dk/resources/bsgatlas/details.php?id=BSGatlas-terminator-1534","BSGatlas-terminator-1534")</f>
        <v>BSGatlas-terminator-1534</v>
      </c>
      <c r="B1535" s="3">
        <v>2480818</v>
      </c>
      <c r="C1535" s="3">
        <v>2480862</v>
      </c>
      <c r="D1535" s="1" t="s">
        <v>13</v>
      </c>
      <c r="E1535" s="1">
        <v>-18</v>
      </c>
      <c r="F1535" s="1" t="s">
        <v>15157</v>
      </c>
    </row>
    <row r="1536" spans="1:6" ht="21" x14ac:dyDescent="0.25">
      <c r="A1536" s="2" t="str">
        <f>HYPERLINK("https://rth.dk/resources/bsgatlas/details.php?id=BSGatlas-terminator-1535","BSGatlas-terminator-1535")</f>
        <v>BSGatlas-terminator-1535</v>
      </c>
      <c r="B1536" s="3">
        <v>2484526</v>
      </c>
      <c r="C1536" s="3">
        <v>2484570</v>
      </c>
      <c r="D1536" s="1" t="s">
        <v>9</v>
      </c>
      <c r="E1536" s="1">
        <v>-7.6</v>
      </c>
      <c r="F1536" s="1" t="s">
        <v>15157</v>
      </c>
    </row>
    <row r="1537" spans="1:6" ht="21" x14ac:dyDescent="0.25">
      <c r="A1537" s="2" t="str">
        <f>HYPERLINK("https://rth.dk/resources/bsgatlas/details.php?id=BSGatlas-terminator-1536","BSGatlas-terminator-1536")</f>
        <v>BSGatlas-terminator-1536</v>
      </c>
      <c r="B1537" s="3">
        <v>2484732</v>
      </c>
      <c r="C1537" s="3">
        <v>2484777</v>
      </c>
      <c r="D1537" s="1" t="s">
        <v>9</v>
      </c>
      <c r="E1537" s="1">
        <v>-18.7</v>
      </c>
      <c r="F1537" s="1" t="s">
        <v>15158</v>
      </c>
    </row>
    <row r="1538" spans="1:6" ht="21" x14ac:dyDescent="0.25">
      <c r="A1538" s="2" t="str">
        <f>HYPERLINK("https://rth.dk/resources/bsgatlas/details.php?id=BSGatlas-terminator-1537","BSGatlas-terminator-1537")</f>
        <v>BSGatlas-terminator-1537</v>
      </c>
      <c r="B1538" s="3">
        <v>2484757</v>
      </c>
      <c r="C1538" s="3">
        <v>2484801</v>
      </c>
      <c r="D1538" s="1" t="s">
        <v>13</v>
      </c>
      <c r="E1538" s="1">
        <v>-12.4</v>
      </c>
      <c r="F1538" s="1" t="s">
        <v>15162</v>
      </c>
    </row>
    <row r="1539" spans="1:6" ht="21" x14ac:dyDescent="0.25">
      <c r="A1539" s="2" t="str">
        <f>HYPERLINK("https://rth.dk/resources/bsgatlas/details.php?id=BSGatlas-terminator-1538","BSGatlas-terminator-1538")</f>
        <v>BSGatlas-terminator-1538</v>
      </c>
      <c r="B1539" s="3">
        <v>2485679</v>
      </c>
      <c r="C1539" s="3">
        <v>2485723</v>
      </c>
      <c r="D1539" s="1" t="s">
        <v>13</v>
      </c>
      <c r="E1539" s="1">
        <v>-10.6</v>
      </c>
      <c r="F1539" s="1" t="s">
        <v>15157</v>
      </c>
    </row>
    <row r="1540" spans="1:6" ht="21" x14ac:dyDescent="0.25">
      <c r="A1540" s="2" t="str">
        <f>HYPERLINK("https://rth.dk/resources/bsgatlas/details.php?id=BSGatlas-terminator-1539","BSGatlas-terminator-1539")</f>
        <v>BSGatlas-terminator-1539</v>
      </c>
      <c r="B1540" s="3">
        <v>2488903</v>
      </c>
      <c r="C1540" s="3">
        <v>2488947</v>
      </c>
      <c r="D1540" s="1" t="s">
        <v>9</v>
      </c>
      <c r="E1540" s="1">
        <v>-7</v>
      </c>
      <c r="F1540" s="1" t="s">
        <v>15157</v>
      </c>
    </row>
    <row r="1541" spans="1:6" ht="21" x14ac:dyDescent="0.25">
      <c r="A1541" s="2" t="str">
        <f>HYPERLINK("https://rth.dk/resources/bsgatlas/details.php?id=BSGatlas-terminator-1540","BSGatlas-terminator-1540")</f>
        <v>BSGatlas-terminator-1540</v>
      </c>
      <c r="B1541" s="3">
        <v>2489529</v>
      </c>
      <c r="C1541" s="3">
        <v>2489573</v>
      </c>
      <c r="D1541" s="1" t="s">
        <v>13</v>
      </c>
      <c r="E1541" s="1">
        <v>-14.1</v>
      </c>
      <c r="F1541" s="1" t="s">
        <v>15157</v>
      </c>
    </row>
    <row r="1542" spans="1:6" ht="21" x14ac:dyDescent="0.25">
      <c r="A1542" s="2" t="str">
        <f>HYPERLINK("https://rth.dk/resources/bsgatlas/details.php?id=BSGatlas-terminator-1541","BSGatlas-terminator-1541")</f>
        <v>BSGatlas-terminator-1541</v>
      </c>
      <c r="B1542" s="3">
        <v>2489572</v>
      </c>
      <c r="C1542" s="3">
        <v>2489638</v>
      </c>
      <c r="D1542" s="1" t="s">
        <v>9</v>
      </c>
      <c r="E1542" s="1"/>
      <c r="F1542" s="1" t="s">
        <v>15159</v>
      </c>
    </row>
    <row r="1543" spans="1:6" ht="21" x14ac:dyDescent="0.25">
      <c r="A1543" s="2" t="str">
        <f>HYPERLINK("https://rth.dk/resources/bsgatlas/details.php?id=BSGatlas-terminator-1542","BSGatlas-terminator-1542")</f>
        <v>BSGatlas-terminator-1542</v>
      </c>
      <c r="B1543" s="3">
        <v>2490563</v>
      </c>
      <c r="C1543" s="3">
        <v>2490607</v>
      </c>
      <c r="D1543" s="1" t="s">
        <v>13</v>
      </c>
      <c r="E1543" s="1">
        <v>-7</v>
      </c>
      <c r="F1543" s="1" t="s">
        <v>15157</v>
      </c>
    </row>
    <row r="1544" spans="1:6" ht="21" x14ac:dyDescent="0.25">
      <c r="A1544" s="2" t="str">
        <f>HYPERLINK("https://rth.dk/resources/bsgatlas/details.php?id=BSGatlas-terminator-1543","BSGatlas-terminator-1543")</f>
        <v>BSGatlas-terminator-1543</v>
      </c>
      <c r="B1544" s="3">
        <v>2493016</v>
      </c>
      <c r="C1544" s="3">
        <v>2493059</v>
      </c>
      <c r="D1544" s="1" t="s">
        <v>13</v>
      </c>
      <c r="E1544" s="1">
        <v>-15.4</v>
      </c>
      <c r="F1544" s="1" t="s">
        <v>15158</v>
      </c>
    </row>
    <row r="1545" spans="1:6" ht="21" x14ac:dyDescent="0.25">
      <c r="A1545" s="2" t="str">
        <f>HYPERLINK("https://rth.dk/resources/bsgatlas/details.php?id=BSGatlas-terminator-1544","BSGatlas-terminator-1544")</f>
        <v>BSGatlas-terminator-1544</v>
      </c>
      <c r="B1545" s="3">
        <v>2495827</v>
      </c>
      <c r="C1545" s="3">
        <v>2495877</v>
      </c>
      <c r="D1545" s="1" t="s">
        <v>9</v>
      </c>
      <c r="E1545" s="1">
        <v>-23.3</v>
      </c>
      <c r="F1545" s="1" t="s">
        <v>15158</v>
      </c>
    </row>
    <row r="1546" spans="1:6" ht="21" x14ac:dyDescent="0.25">
      <c r="A1546" s="2" t="str">
        <f>HYPERLINK("https://rth.dk/resources/bsgatlas/details.php?id=BSGatlas-terminator-1545","BSGatlas-terminator-1545")</f>
        <v>BSGatlas-terminator-1545</v>
      </c>
      <c r="B1546" s="3">
        <v>2496733</v>
      </c>
      <c r="C1546" s="3">
        <v>2496790</v>
      </c>
      <c r="D1546" s="1" t="s">
        <v>13</v>
      </c>
      <c r="E1546" s="1">
        <v>-27.3</v>
      </c>
      <c r="F1546" s="1" t="s">
        <v>15158</v>
      </c>
    </row>
    <row r="1547" spans="1:6" ht="21" x14ac:dyDescent="0.25">
      <c r="A1547" s="2" t="str">
        <f>HYPERLINK("https://rth.dk/resources/bsgatlas/details.php?id=BSGatlas-terminator-1546","BSGatlas-terminator-1546")</f>
        <v>BSGatlas-terminator-1546</v>
      </c>
      <c r="B1547" s="3">
        <v>2496745</v>
      </c>
      <c r="C1547" s="3">
        <v>2496799</v>
      </c>
      <c r="D1547" s="1" t="s">
        <v>9</v>
      </c>
      <c r="E1547" s="1">
        <v>-19.899999999999999</v>
      </c>
      <c r="F1547" s="1" t="s">
        <v>15158</v>
      </c>
    </row>
    <row r="1548" spans="1:6" ht="21" x14ac:dyDescent="0.25">
      <c r="A1548" s="2" t="str">
        <f>HYPERLINK("https://rth.dk/resources/bsgatlas/details.php?id=BSGatlas-terminator-1547","BSGatlas-terminator-1547")</f>
        <v>BSGatlas-terminator-1547</v>
      </c>
      <c r="B1548" s="3">
        <v>2507252</v>
      </c>
      <c r="C1548" s="3">
        <v>2507289</v>
      </c>
      <c r="D1548" s="1" t="s">
        <v>13</v>
      </c>
      <c r="E1548" s="1">
        <v>-13.4</v>
      </c>
      <c r="F1548" s="1" t="s">
        <v>15158</v>
      </c>
    </row>
    <row r="1549" spans="1:6" ht="21" x14ac:dyDescent="0.25">
      <c r="A1549" s="2" t="str">
        <f>HYPERLINK("https://rth.dk/resources/bsgatlas/details.php?id=BSGatlas-terminator-1548","BSGatlas-terminator-1548")</f>
        <v>BSGatlas-terminator-1548</v>
      </c>
      <c r="B1549" s="3">
        <v>2507262</v>
      </c>
      <c r="C1549" s="3">
        <v>2507299</v>
      </c>
      <c r="D1549" s="1" t="s">
        <v>9</v>
      </c>
      <c r="E1549" s="1">
        <v>-14.9</v>
      </c>
      <c r="F1549" s="1" t="s">
        <v>15158</v>
      </c>
    </row>
    <row r="1550" spans="1:6" ht="21" x14ac:dyDescent="0.25">
      <c r="A1550" s="2" t="str">
        <f>HYPERLINK("https://rth.dk/resources/bsgatlas/details.php?id=BSGatlas-terminator-1549","BSGatlas-terminator-1549")</f>
        <v>BSGatlas-terminator-1549</v>
      </c>
      <c r="B1550" s="3">
        <v>2513600</v>
      </c>
      <c r="C1550" s="3">
        <v>2513644</v>
      </c>
      <c r="D1550" s="1" t="s">
        <v>13</v>
      </c>
      <c r="E1550" s="1">
        <v>-7.8</v>
      </c>
      <c r="F1550" s="1" t="s">
        <v>15157</v>
      </c>
    </row>
    <row r="1551" spans="1:6" ht="21" x14ac:dyDescent="0.25">
      <c r="A1551" s="2" t="str">
        <f>HYPERLINK("https://rth.dk/resources/bsgatlas/details.php?id=BSGatlas-terminator-1550","BSGatlas-terminator-1550")</f>
        <v>BSGatlas-terminator-1550</v>
      </c>
      <c r="B1551" s="3">
        <v>2514154</v>
      </c>
      <c r="C1551" s="3">
        <v>2514198</v>
      </c>
      <c r="D1551" s="1" t="s">
        <v>13</v>
      </c>
      <c r="E1551" s="1">
        <v>-7.8</v>
      </c>
      <c r="F1551" s="1" t="s">
        <v>15157</v>
      </c>
    </row>
    <row r="1552" spans="1:6" ht="21" x14ac:dyDescent="0.25">
      <c r="A1552" s="2" t="str">
        <f>HYPERLINK("https://rth.dk/resources/bsgatlas/details.php?id=BSGatlas-terminator-1551","BSGatlas-terminator-1551")</f>
        <v>BSGatlas-terminator-1551</v>
      </c>
      <c r="B1552" s="3">
        <v>2517562</v>
      </c>
      <c r="C1552" s="3">
        <v>2517605</v>
      </c>
      <c r="D1552" s="1" t="s">
        <v>9</v>
      </c>
      <c r="E1552" s="1">
        <v>-18.899999999999999</v>
      </c>
      <c r="F1552" s="1" t="s">
        <v>15158</v>
      </c>
    </row>
    <row r="1553" spans="1:6" ht="21" x14ac:dyDescent="0.25">
      <c r="A1553" s="2" t="str">
        <f>HYPERLINK("https://rth.dk/resources/bsgatlas/details.php?id=BSGatlas-terminator-1552","BSGatlas-terminator-1552")</f>
        <v>BSGatlas-terminator-1552</v>
      </c>
      <c r="B1553" s="3">
        <v>2517606</v>
      </c>
      <c r="C1553" s="3">
        <v>2517650</v>
      </c>
      <c r="D1553" s="1" t="s">
        <v>13</v>
      </c>
      <c r="E1553" s="1">
        <v>-16.100000000000001</v>
      </c>
      <c r="F1553" s="1" t="s">
        <v>15157</v>
      </c>
    </row>
    <row r="1554" spans="1:6" ht="21" x14ac:dyDescent="0.25">
      <c r="A1554" s="2" t="str">
        <f>HYPERLINK("https://rth.dk/resources/bsgatlas/details.php?id=BSGatlas-terminator-1553","BSGatlas-terminator-1553")</f>
        <v>BSGatlas-terminator-1553</v>
      </c>
      <c r="B1554" s="3">
        <v>2517936</v>
      </c>
      <c r="C1554" s="3">
        <v>2518004</v>
      </c>
      <c r="D1554" s="1" t="s">
        <v>13</v>
      </c>
      <c r="E1554" s="1">
        <v>-21.1</v>
      </c>
      <c r="F1554" s="1" t="s">
        <v>15158</v>
      </c>
    </row>
    <row r="1555" spans="1:6" ht="21" x14ac:dyDescent="0.25">
      <c r="A1555" s="2" t="str">
        <f>HYPERLINK("https://rth.dk/resources/bsgatlas/details.php?id=BSGatlas-terminator-1554","BSGatlas-terminator-1554")</f>
        <v>BSGatlas-terminator-1554</v>
      </c>
      <c r="B1555" s="3">
        <v>2519068</v>
      </c>
      <c r="C1555" s="3">
        <v>2519106</v>
      </c>
      <c r="D1555" s="1" t="s">
        <v>13</v>
      </c>
      <c r="E1555" s="1">
        <v>-16</v>
      </c>
      <c r="F1555" s="1" t="s">
        <v>15158</v>
      </c>
    </row>
    <row r="1556" spans="1:6" ht="21" x14ac:dyDescent="0.25">
      <c r="A1556" s="2" t="str">
        <f>HYPERLINK("https://rth.dk/resources/bsgatlas/details.php?id=BSGatlas-terminator-1555","BSGatlas-terminator-1555")</f>
        <v>BSGatlas-terminator-1555</v>
      </c>
      <c r="B1556" s="3">
        <v>2520523</v>
      </c>
      <c r="C1556" s="3">
        <v>2520561</v>
      </c>
      <c r="D1556" s="1" t="s">
        <v>13</v>
      </c>
      <c r="E1556" s="1">
        <v>-16.2</v>
      </c>
      <c r="F1556" s="1" t="s">
        <v>15158</v>
      </c>
    </row>
    <row r="1557" spans="1:6" ht="21" x14ac:dyDescent="0.25">
      <c r="A1557" s="2" t="str">
        <f>HYPERLINK("https://rth.dk/resources/bsgatlas/details.php?id=BSGatlas-terminator-1556","BSGatlas-terminator-1556")</f>
        <v>BSGatlas-terminator-1556</v>
      </c>
      <c r="B1557" s="3">
        <v>2522839</v>
      </c>
      <c r="C1557" s="3">
        <v>2522882</v>
      </c>
      <c r="D1557" s="1" t="s">
        <v>13</v>
      </c>
      <c r="E1557" s="1">
        <v>-12.2</v>
      </c>
      <c r="F1557" s="1" t="s">
        <v>15158</v>
      </c>
    </row>
    <row r="1558" spans="1:6" ht="21" x14ac:dyDescent="0.25">
      <c r="A1558" s="2" t="str">
        <f>HYPERLINK("https://rth.dk/resources/bsgatlas/details.php?id=BSGatlas-terminator-1557","BSGatlas-terminator-1557")</f>
        <v>BSGatlas-terminator-1557</v>
      </c>
      <c r="B1558" s="3">
        <v>2528300</v>
      </c>
      <c r="C1558" s="3">
        <v>2528348</v>
      </c>
      <c r="D1558" s="1" t="s">
        <v>13</v>
      </c>
      <c r="E1558" s="1">
        <v>-9</v>
      </c>
      <c r="F1558" s="1" t="s">
        <v>4382</v>
      </c>
    </row>
    <row r="1559" spans="1:6" ht="21" x14ac:dyDescent="0.25">
      <c r="A1559" s="2" t="str">
        <f>HYPERLINK("https://rth.dk/resources/bsgatlas/details.php?id=BSGatlas-terminator-1558","BSGatlas-terminator-1558")</f>
        <v>BSGatlas-terminator-1558</v>
      </c>
      <c r="B1559" s="3">
        <v>2529877</v>
      </c>
      <c r="C1559" s="3">
        <v>2529909</v>
      </c>
      <c r="D1559" s="1" t="s">
        <v>13</v>
      </c>
      <c r="E1559" s="1">
        <v>-4</v>
      </c>
      <c r="F1559" s="1" t="s">
        <v>4382</v>
      </c>
    </row>
    <row r="1560" spans="1:6" ht="21" x14ac:dyDescent="0.25">
      <c r="A1560" s="2" t="str">
        <f>HYPERLINK("https://rth.dk/resources/bsgatlas/details.php?id=BSGatlas-terminator-1559","BSGatlas-terminator-1559")</f>
        <v>BSGatlas-terminator-1559</v>
      </c>
      <c r="B1560" s="3">
        <v>2529911</v>
      </c>
      <c r="C1560" s="3">
        <v>2529955</v>
      </c>
      <c r="D1560" s="1" t="s">
        <v>13</v>
      </c>
      <c r="E1560" s="1">
        <v>-9.5</v>
      </c>
      <c r="F1560" s="1" t="s">
        <v>15157</v>
      </c>
    </row>
    <row r="1561" spans="1:6" ht="21" x14ac:dyDescent="0.25">
      <c r="A1561" s="2" t="str">
        <f>HYPERLINK("https://rth.dk/resources/bsgatlas/details.php?id=BSGatlas-terminator-1560","BSGatlas-terminator-1560")</f>
        <v>BSGatlas-terminator-1560</v>
      </c>
      <c r="B1561" s="3">
        <v>2532304</v>
      </c>
      <c r="C1561" s="3">
        <v>2532342</v>
      </c>
      <c r="D1561" s="1" t="s">
        <v>13</v>
      </c>
      <c r="E1561" s="1">
        <v>-15.5</v>
      </c>
      <c r="F1561" s="1" t="s">
        <v>15158</v>
      </c>
    </row>
    <row r="1562" spans="1:6" ht="21" x14ac:dyDescent="0.25">
      <c r="A1562" s="2" t="str">
        <f>HYPERLINK("https://rth.dk/resources/bsgatlas/details.php?id=BSGatlas-terminator-1561","BSGatlas-terminator-1561")</f>
        <v>BSGatlas-terminator-1561</v>
      </c>
      <c r="B1562" s="3">
        <v>2538105</v>
      </c>
      <c r="C1562" s="3">
        <v>2538149</v>
      </c>
      <c r="D1562" s="1" t="s">
        <v>13</v>
      </c>
      <c r="E1562" s="1">
        <v>-13.5</v>
      </c>
      <c r="F1562" s="1" t="s">
        <v>15157</v>
      </c>
    </row>
    <row r="1563" spans="1:6" ht="21" x14ac:dyDescent="0.25">
      <c r="A1563" s="2" t="str">
        <f>HYPERLINK("https://rth.dk/resources/bsgatlas/details.php?id=BSGatlas-terminator-1562","BSGatlas-terminator-1562")</f>
        <v>BSGatlas-terminator-1562</v>
      </c>
      <c r="B1563" s="3">
        <v>2542406</v>
      </c>
      <c r="C1563" s="3">
        <v>2542450</v>
      </c>
      <c r="D1563" s="1" t="s">
        <v>9</v>
      </c>
      <c r="E1563" s="1">
        <v>-8</v>
      </c>
      <c r="F1563" s="1" t="s">
        <v>15157</v>
      </c>
    </row>
    <row r="1564" spans="1:6" ht="21" x14ac:dyDescent="0.25">
      <c r="A1564" s="2" t="str">
        <f>HYPERLINK("https://rth.dk/resources/bsgatlas/details.php?id=BSGatlas-terminator-1563","BSGatlas-terminator-1563")</f>
        <v>BSGatlas-terminator-1563</v>
      </c>
      <c r="B1564" s="3">
        <v>2542478</v>
      </c>
      <c r="C1564" s="3">
        <v>2542517</v>
      </c>
      <c r="D1564" s="1" t="s">
        <v>9</v>
      </c>
      <c r="E1564" s="1">
        <v>-11.3</v>
      </c>
      <c r="F1564" s="1" t="s">
        <v>4382</v>
      </c>
    </row>
    <row r="1565" spans="1:6" ht="21" x14ac:dyDescent="0.25">
      <c r="A1565" s="2" t="str">
        <f>HYPERLINK("https://rth.dk/resources/bsgatlas/details.php?id=BSGatlas-terminator-1564","BSGatlas-terminator-1564")</f>
        <v>BSGatlas-terminator-1564</v>
      </c>
      <c r="B1565" s="3">
        <v>2543445</v>
      </c>
      <c r="C1565" s="3">
        <v>2543489</v>
      </c>
      <c r="D1565" s="1" t="s">
        <v>13</v>
      </c>
      <c r="E1565" s="1">
        <v>-12</v>
      </c>
      <c r="F1565" s="1" t="s">
        <v>15157</v>
      </c>
    </row>
    <row r="1566" spans="1:6" ht="21" x14ac:dyDescent="0.25">
      <c r="A1566" s="2" t="str">
        <f>HYPERLINK("https://rth.dk/resources/bsgatlas/details.php?id=BSGatlas-terminator-1565","BSGatlas-terminator-1565")</f>
        <v>BSGatlas-terminator-1565</v>
      </c>
      <c r="B1566" s="3">
        <v>2545289</v>
      </c>
      <c r="C1566" s="3">
        <v>2545377</v>
      </c>
      <c r="D1566" s="1" t="s">
        <v>9</v>
      </c>
      <c r="E1566" s="1">
        <v>-12</v>
      </c>
      <c r="F1566" s="1" t="s">
        <v>15157</v>
      </c>
    </row>
    <row r="1567" spans="1:6" ht="21" x14ac:dyDescent="0.25">
      <c r="A1567" s="2" t="str">
        <f>HYPERLINK("https://rth.dk/resources/bsgatlas/details.php?id=BSGatlas-terminator-1566","BSGatlas-terminator-1566")</f>
        <v>BSGatlas-terminator-1566</v>
      </c>
      <c r="B1567" s="3">
        <v>2545367</v>
      </c>
      <c r="C1567" s="3">
        <v>2545407</v>
      </c>
      <c r="D1567" s="1" t="s">
        <v>13</v>
      </c>
      <c r="E1567" s="1">
        <v>-15.7</v>
      </c>
      <c r="F1567" s="1" t="s">
        <v>4382</v>
      </c>
    </row>
    <row r="1568" spans="1:6" ht="21" x14ac:dyDescent="0.25">
      <c r="A1568" s="2" t="str">
        <f>HYPERLINK("https://rth.dk/resources/bsgatlas/details.php?id=BSGatlas-terminator-1567","BSGatlas-terminator-1567")</f>
        <v>BSGatlas-terminator-1567</v>
      </c>
      <c r="B1568" s="3">
        <v>2545408</v>
      </c>
      <c r="C1568" s="3">
        <v>2545452</v>
      </c>
      <c r="D1568" s="1" t="s">
        <v>13</v>
      </c>
      <c r="E1568" s="1">
        <v>-12</v>
      </c>
      <c r="F1568" s="1" t="s">
        <v>15157</v>
      </c>
    </row>
    <row r="1569" spans="1:6" ht="21" x14ac:dyDescent="0.25">
      <c r="A1569" s="2" t="str">
        <f>HYPERLINK("https://rth.dk/resources/bsgatlas/details.php?id=BSGatlas-terminator-1568","BSGatlas-terminator-1568")</f>
        <v>BSGatlas-terminator-1568</v>
      </c>
      <c r="B1569" s="3">
        <v>2549435</v>
      </c>
      <c r="C1569" s="3">
        <v>2549479</v>
      </c>
      <c r="D1569" s="1" t="s">
        <v>13</v>
      </c>
      <c r="E1569" s="1">
        <v>-20.2</v>
      </c>
      <c r="F1569" s="1" t="s">
        <v>15157</v>
      </c>
    </row>
    <row r="1570" spans="1:6" ht="21" x14ac:dyDescent="0.25">
      <c r="A1570" s="2" t="str">
        <f>HYPERLINK("https://rth.dk/resources/bsgatlas/details.php?id=BSGatlas-terminator-1569","BSGatlas-terminator-1569")</f>
        <v>BSGatlas-terminator-1569</v>
      </c>
      <c r="B1570" s="3">
        <v>2552965</v>
      </c>
      <c r="C1570" s="3">
        <v>2553019</v>
      </c>
      <c r="D1570" s="1" t="s">
        <v>13</v>
      </c>
      <c r="E1570" s="1">
        <v>-24.6</v>
      </c>
      <c r="F1570" s="1" t="s">
        <v>4382</v>
      </c>
    </row>
    <row r="1571" spans="1:6" ht="21" x14ac:dyDescent="0.25">
      <c r="A1571" s="2" t="str">
        <f>HYPERLINK("https://rth.dk/resources/bsgatlas/details.php?id=BSGatlas-terminator-1570","BSGatlas-terminator-1570")</f>
        <v>BSGatlas-terminator-1570</v>
      </c>
      <c r="B1571" s="3">
        <v>2552975</v>
      </c>
      <c r="C1571" s="3">
        <v>2553080</v>
      </c>
      <c r="D1571" s="1" t="s">
        <v>9</v>
      </c>
      <c r="E1571" s="1">
        <v>-31.2</v>
      </c>
      <c r="F1571" s="1" t="s">
        <v>15158</v>
      </c>
    </row>
    <row r="1572" spans="1:6" ht="21" x14ac:dyDescent="0.25">
      <c r="A1572" s="2" t="str">
        <f>HYPERLINK("https://rth.dk/resources/bsgatlas/details.php?id=BSGatlas-terminator-1571","BSGatlas-terminator-1571")</f>
        <v>BSGatlas-terminator-1571</v>
      </c>
      <c r="B1572" s="3">
        <v>2553065</v>
      </c>
      <c r="C1572" s="3">
        <v>2553109</v>
      </c>
      <c r="D1572" s="1" t="s">
        <v>13</v>
      </c>
      <c r="E1572" s="1">
        <v>-20</v>
      </c>
      <c r="F1572" s="1" t="s">
        <v>15157</v>
      </c>
    </row>
    <row r="1573" spans="1:6" ht="21" x14ac:dyDescent="0.25">
      <c r="A1573" s="2" t="str">
        <f>HYPERLINK("https://rth.dk/resources/bsgatlas/details.php?id=BSGatlas-terminator-1572","BSGatlas-terminator-1572")</f>
        <v>BSGatlas-terminator-1572</v>
      </c>
      <c r="B1573" s="3">
        <v>2555643</v>
      </c>
      <c r="C1573" s="3">
        <v>2555683</v>
      </c>
      <c r="D1573" s="1" t="s">
        <v>13</v>
      </c>
      <c r="E1573" s="1">
        <v>-16.100000000000001</v>
      </c>
      <c r="F1573" s="1" t="s">
        <v>15160</v>
      </c>
    </row>
    <row r="1574" spans="1:6" ht="21" x14ac:dyDescent="0.25">
      <c r="A1574" s="2" t="str">
        <f>HYPERLINK("https://rth.dk/resources/bsgatlas/details.php?id=BSGatlas-terminator-1573","BSGatlas-terminator-1573")</f>
        <v>BSGatlas-terminator-1573</v>
      </c>
      <c r="B1574" s="3">
        <v>2555841</v>
      </c>
      <c r="C1574" s="3">
        <v>2555883</v>
      </c>
      <c r="D1574" s="1" t="s">
        <v>9</v>
      </c>
      <c r="E1574" s="1">
        <v>-15.1</v>
      </c>
      <c r="F1574" s="1" t="s">
        <v>15158</v>
      </c>
    </row>
    <row r="1575" spans="1:6" ht="21" x14ac:dyDescent="0.25">
      <c r="A1575" s="2" t="str">
        <f>HYPERLINK("https://rth.dk/resources/bsgatlas/details.php?id=BSGatlas-terminator-1574","BSGatlas-terminator-1574")</f>
        <v>BSGatlas-terminator-1574</v>
      </c>
      <c r="B1575" s="3">
        <v>2560237</v>
      </c>
      <c r="C1575" s="3">
        <v>2560279</v>
      </c>
      <c r="D1575" s="1" t="s">
        <v>13</v>
      </c>
      <c r="E1575" s="1">
        <v>-16.8</v>
      </c>
      <c r="F1575" s="1" t="s">
        <v>15160</v>
      </c>
    </row>
    <row r="1576" spans="1:6" ht="21" x14ac:dyDescent="0.25">
      <c r="A1576" s="2" t="str">
        <f>HYPERLINK("https://rth.dk/resources/bsgatlas/details.php?id=BSGatlas-terminator-1575","BSGatlas-terminator-1575")</f>
        <v>BSGatlas-terminator-1575</v>
      </c>
      <c r="B1576" s="3">
        <v>2562890</v>
      </c>
      <c r="C1576" s="3">
        <v>2562938</v>
      </c>
      <c r="D1576" s="1" t="s">
        <v>13</v>
      </c>
      <c r="E1576" s="1">
        <v>-19.5</v>
      </c>
      <c r="F1576" s="1" t="s">
        <v>4382</v>
      </c>
    </row>
    <row r="1577" spans="1:6" ht="21" x14ac:dyDescent="0.25">
      <c r="A1577" s="2" t="str">
        <f>HYPERLINK("https://rth.dk/resources/bsgatlas/details.php?id=BSGatlas-terminator-1576","BSGatlas-terminator-1576")</f>
        <v>BSGatlas-terminator-1576</v>
      </c>
      <c r="B1577" s="3">
        <v>2562924</v>
      </c>
      <c r="C1577" s="3">
        <v>2562989</v>
      </c>
      <c r="D1577" s="1" t="s">
        <v>9</v>
      </c>
      <c r="E1577" s="1">
        <v>-12.2</v>
      </c>
      <c r="F1577" s="1" t="s">
        <v>4382</v>
      </c>
    </row>
    <row r="1578" spans="1:6" ht="21" x14ac:dyDescent="0.25">
      <c r="A1578" s="2" t="str">
        <f>HYPERLINK("https://rth.dk/resources/bsgatlas/details.php?id=BSGatlas-terminator-1577","BSGatlas-terminator-1577")</f>
        <v>BSGatlas-terminator-1577</v>
      </c>
      <c r="B1578" s="3">
        <v>2563855</v>
      </c>
      <c r="C1578" s="3">
        <v>2563921</v>
      </c>
      <c r="D1578" s="1" t="s">
        <v>9</v>
      </c>
      <c r="E1578" s="1"/>
      <c r="F1578" s="1" t="s">
        <v>15159</v>
      </c>
    </row>
    <row r="1579" spans="1:6" ht="21" x14ac:dyDescent="0.25">
      <c r="A1579" s="2" t="str">
        <f>HYPERLINK("https://rth.dk/resources/bsgatlas/details.php?id=BSGatlas-terminator-1578","BSGatlas-terminator-1578")</f>
        <v>BSGatlas-terminator-1578</v>
      </c>
      <c r="B1579" s="3">
        <v>2563978</v>
      </c>
      <c r="C1579" s="3">
        <v>2564018</v>
      </c>
      <c r="D1579" s="1" t="s">
        <v>13</v>
      </c>
      <c r="E1579" s="1">
        <v>-24.7</v>
      </c>
      <c r="F1579" s="1" t="s">
        <v>15161</v>
      </c>
    </row>
    <row r="1580" spans="1:6" ht="21" x14ac:dyDescent="0.25">
      <c r="A1580" s="2" t="str">
        <f>HYPERLINK("https://rth.dk/resources/bsgatlas/details.php?id=BSGatlas-terminator-1579","BSGatlas-terminator-1579")</f>
        <v>BSGatlas-terminator-1579</v>
      </c>
      <c r="B1580" s="3">
        <v>2564758</v>
      </c>
      <c r="C1580" s="3">
        <v>2564802</v>
      </c>
      <c r="D1580" s="1" t="s">
        <v>9</v>
      </c>
      <c r="E1580" s="1">
        <v>-13.7</v>
      </c>
      <c r="F1580" s="1" t="s">
        <v>15157</v>
      </c>
    </row>
    <row r="1581" spans="1:6" ht="21" x14ac:dyDescent="0.25">
      <c r="A1581" s="2" t="str">
        <f>HYPERLINK("https://rth.dk/resources/bsgatlas/details.php?id=BSGatlas-terminator-1580","BSGatlas-terminator-1580")</f>
        <v>BSGatlas-terminator-1580</v>
      </c>
      <c r="B1581" s="3">
        <v>2564847</v>
      </c>
      <c r="C1581" s="3">
        <v>2564891</v>
      </c>
      <c r="D1581" s="1" t="s">
        <v>9</v>
      </c>
      <c r="E1581" s="1">
        <v>-13.7</v>
      </c>
      <c r="F1581" s="1" t="s">
        <v>15157</v>
      </c>
    </row>
    <row r="1582" spans="1:6" ht="21" x14ac:dyDescent="0.25">
      <c r="A1582" s="2" t="str">
        <f>HYPERLINK("https://rth.dk/resources/bsgatlas/details.php?id=BSGatlas-terminator-1581","BSGatlas-terminator-1581")</f>
        <v>BSGatlas-terminator-1581</v>
      </c>
      <c r="B1582" s="3">
        <v>2564926</v>
      </c>
      <c r="C1582" s="3">
        <v>2564970</v>
      </c>
      <c r="D1582" s="1" t="s">
        <v>13</v>
      </c>
      <c r="E1582" s="1">
        <v>-13.7</v>
      </c>
      <c r="F1582" s="1" t="s">
        <v>15157</v>
      </c>
    </row>
    <row r="1583" spans="1:6" ht="21" x14ac:dyDescent="0.25">
      <c r="A1583" s="2" t="str">
        <f>HYPERLINK("https://rth.dk/resources/bsgatlas/details.php?id=BSGatlas-terminator-1582","BSGatlas-terminator-1582")</f>
        <v>BSGatlas-terminator-1582</v>
      </c>
      <c r="B1583" s="3">
        <v>2565854</v>
      </c>
      <c r="C1583" s="3">
        <v>2565898</v>
      </c>
      <c r="D1583" s="1" t="s">
        <v>9</v>
      </c>
      <c r="E1583" s="1">
        <v>-12.4</v>
      </c>
      <c r="F1583" s="1" t="s">
        <v>15157</v>
      </c>
    </row>
    <row r="1584" spans="1:6" ht="21" x14ac:dyDescent="0.25">
      <c r="A1584" s="2" t="str">
        <f>HYPERLINK("https://rth.dk/resources/bsgatlas/details.php?id=BSGatlas-terminator-1583","BSGatlas-terminator-1583")</f>
        <v>BSGatlas-terminator-1583</v>
      </c>
      <c r="B1584" s="3">
        <v>2565912</v>
      </c>
      <c r="C1584" s="3">
        <v>2565956</v>
      </c>
      <c r="D1584" s="1" t="s">
        <v>13</v>
      </c>
      <c r="E1584" s="1">
        <v>-12.4</v>
      </c>
      <c r="F1584" s="1" t="s">
        <v>15157</v>
      </c>
    </row>
    <row r="1585" spans="1:6" ht="21" x14ac:dyDescent="0.25">
      <c r="A1585" s="2" t="str">
        <f>HYPERLINK("https://rth.dk/resources/bsgatlas/details.php?id=BSGatlas-terminator-1584","BSGatlas-terminator-1584")</f>
        <v>BSGatlas-terminator-1584</v>
      </c>
      <c r="B1585" s="3">
        <v>2566955</v>
      </c>
      <c r="C1585" s="3">
        <v>2567021</v>
      </c>
      <c r="D1585" s="1" t="s">
        <v>9</v>
      </c>
      <c r="E1585" s="1"/>
      <c r="F1585" s="1" t="s">
        <v>15159</v>
      </c>
    </row>
    <row r="1586" spans="1:6" ht="21" x14ac:dyDescent="0.25">
      <c r="A1586" s="2" t="str">
        <f>HYPERLINK("https://rth.dk/resources/bsgatlas/details.php?id=BSGatlas-terminator-1585","BSGatlas-terminator-1585")</f>
        <v>BSGatlas-terminator-1585</v>
      </c>
      <c r="B1586" s="3">
        <v>2568578</v>
      </c>
      <c r="C1586" s="3">
        <v>2568622</v>
      </c>
      <c r="D1586" s="1" t="s">
        <v>13</v>
      </c>
      <c r="E1586" s="1">
        <v>-14.5</v>
      </c>
      <c r="F1586" s="1" t="s">
        <v>15157</v>
      </c>
    </row>
    <row r="1587" spans="1:6" ht="21" x14ac:dyDescent="0.25">
      <c r="A1587" s="2" t="str">
        <f>HYPERLINK("https://rth.dk/resources/bsgatlas/details.php?id=BSGatlas-terminator-1586","BSGatlas-terminator-1586")</f>
        <v>BSGatlas-terminator-1586</v>
      </c>
      <c r="B1587" s="3">
        <v>2573525</v>
      </c>
      <c r="C1587" s="3">
        <v>2573569</v>
      </c>
      <c r="D1587" s="1" t="s">
        <v>13</v>
      </c>
      <c r="E1587" s="1">
        <v>-8.9</v>
      </c>
      <c r="F1587" s="1" t="s">
        <v>15157</v>
      </c>
    </row>
    <row r="1588" spans="1:6" ht="21" x14ac:dyDescent="0.25">
      <c r="A1588" s="2" t="str">
        <f>HYPERLINK("https://rth.dk/resources/bsgatlas/details.php?id=BSGatlas-terminator-1587","BSGatlas-terminator-1587")</f>
        <v>BSGatlas-terminator-1587</v>
      </c>
      <c r="B1588" s="3">
        <v>2574432</v>
      </c>
      <c r="C1588" s="3">
        <v>2574476</v>
      </c>
      <c r="D1588" s="1" t="s">
        <v>13</v>
      </c>
      <c r="E1588" s="1">
        <v>-15.3</v>
      </c>
      <c r="F1588" s="1" t="s">
        <v>15157</v>
      </c>
    </row>
    <row r="1589" spans="1:6" ht="21" x14ac:dyDescent="0.25">
      <c r="A1589" s="2" t="str">
        <f>HYPERLINK("https://rth.dk/resources/bsgatlas/details.php?id=BSGatlas-terminator-1588","BSGatlas-terminator-1588")</f>
        <v>BSGatlas-terminator-1588</v>
      </c>
      <c r="B1589" s="3">
        <v>2577172</v>
      </c>
      <c r="C1589" s="3">
        <v>2577208</v>
      </c>
      <c r="D1589" s="1" t="s">
        <v>13</v>
      </c>
      <c r="E1589" s="1">
        <v>-11.9</v>
      </c>
      <c r="F1589" s="1" t="s">
        <v>15158</v>
      </c>
    </row>
    <row r="1590" spans="1:6" ht="21" x14ac:dyDescent="0.25">
      <c r="A1590" s="2" t="str">
        <f>HYPERLINK("https://rth.dk/resources/bsgatlas/details.php?id=BSGatlas-terminator-1589","BSGatlas-terminator-1589")</f>
        <v>BSGatlas-terminator-1589</v>
      </c>
      <c r="B1590" s="3">
        <v>2577187</v>
      </c>
      <c r="C1590" s="3">
        <v>2577204</v>
      </c>
      <c r="D1590" s="1" t="s">
        <v>9</v>
      </c>
      <c r="E1590" s="1">
        <v>-11.9</v>
      </c>
      <c r="F1590" s="1" t="s">
        <v>15161</v>
      </c>
    </row>
    <row r="1591" spans="1:6" ht="21" x14ac:dyDescent="0.25">
      <c r="A1591" s="2" t="str">
        <f>HYPERLINK("https://rth.dk/resources/bsgatlas/details.php?id=BSGatlas-terminator-1590","BSGatlas-terminator-1590")</f>
        <v>BSGatlas-terminator-1590</v>
      </c>
      <c r="B1591" s="3">
        <v>2581759</v>
      </c>
      <c r="C1591" s="3">
        <v>2581803</v>
      </c>
      <c r="D1591" s="1" t="s">
        <v>13</v>
      </c>
      <c r="E1591" s="1">
        <v>-10</v>
      </c>
      <c r="F1591" s="1" t="s">
        <v>15157</v>
      </c>
    </row>
    <row r="1592" spans="1:6" ht="21" x14ac:dyDescent="0.25">
      <c r="A1592" s="2" t="str">
        <f>HYPERLINK("https://rth.dk/resources/bsgatlas/details.php?id=BSGatlas-terminator-1591","BSGatlas-terminator-1591")</f>
        <v>BSGatlas-terminator-1591</v>
      </c>
      <c r="B1592" s="3">
        <v>2585427</v>
      </c>
      <c r="C1592" s="3">
        <v>2585471</v>
      </c>
      <c r="D1592" s="1" t="s">
        <v>13</v>
      </c>
      <c r="E1592" s="1">
        <v>-8.1</v>
      </c>
      <c r="F1592" s="1" t="s">
        <v>15157</v>
      </c>
    </row>
    <row r="1593" spans="1:6" ht="21" x14ac:dyDescent="0.25">
      <c r="A1593" s="2" t="str">
        <f>HYPERLINK("https://rth.dk/resources/bsgatlas/details.php?id=BSGatlas-terminator-1592","BSGatlas-terminator-1592")</f>
        <v>BSGatlas-terminator-1592</v>
      </c>
      <c r="B1593" s="3">
        <v>2587946</v>
      </c>
      <c r="C1593" s="3">
        <v>2587990</v>
      </c>
      <c r="D1593" s="1" t="s">
        <v>9</v>
      </c>
      <c r="E1593" s="1">
        <v>-13.8</v>
      </c>
      <c r="F1593" s="1" t="s">
        <v>15162</v>
      </c>
    </row>
    <row r="1594" spans="1:6" ht="21" x14ac:dyDescent="0.25">
      <c r="A1594" s="2" t="str">
        <f>HYPERLINK("https://rth.dk/resources/bsgatlas/details.php?id=BSGatlas-terminator-1593","BSGatlas-terminator-1593")</f>
        <v>BSGatlas-terminator-1593</v>
      </c>
      <c r="B1594" s="3">
        <v>2587957</v>
      </c>
      <c r="C1594" s="3">
        <v>2588001</v>
      </c>
      <c r="D1594" s="1" t="s">
        <v>13</v>
      </c>
      <c r="E1594" s="1">
        <v>-14.3</v>
      </c>
      <c r="F1594" s="1" t="s">
        <v>15157</v>
      </c>
    </row>
    <row r="1595" spans="1:6" ht="21" x14ac:dyDescent="0.25">
      <c r="A1595" s="2" t="str">
        <f>HYPERLINK("https://rth.dk/resources/bsgatlas/details.php?id=BSGatlas-terminator-1594","BSGatlas-terminator-1594")</f>
        <v>BSGatlas-terminator-1594</v>
      </c>
      <c r="B1595" s="3">
        <v>2590246</v>
      </c>
      <c r="C1595" s="3">
        <v>2590287</v>
      </c>
      <c r="D1595" s="1" t="s">
        <v>9</v>
      </c>
      <c r="E1595" s="1">
        <v>-16.899999999999999</v>
      </c>
      <c r="F1595" s="1" t="s">
        <v>15158</v>
      </c>
    </row>
    <row r="1596" spans="1:6" ht="21" x14ac:dyDescent="0.25">
      <c r="A1596" s="2" t="str">
        <f>HYPERLINK("https://rth.dk/resources/bsgatlas/details.php?id=BSGatlas-terminator-1595","BSGatlas-terminator-1595")</f>
        <v>BSGatlas-terminator-1595</v>
      </c>
      <c r="B1596" s="3">
        <v>2590286</v>
      </c>
      <c r="C1596" s="3">
        <v>2590330</v>
      </c>
      <c r="D1596" s="1" t="s">
        <v>13</v>
      </c>
      <c r="E1596" s="1">
        <v>-13.8</v>
      </c>
      <c r="F1596" s="1" t="s">
        <v>15157</v>
      </c>
    </row>
    <row r="1597" spans="1:6" ht="21" x14ac:dyDescent="0.25">
      <c r="A1597" s="2" t="str">
        <f>HYPERLINK("https://rth.dk/resources/bsgatlas/details.php?id=BSGatlas-terminator-1596","BSGatlas-terminator-1596")</f>
        <v>BSGatlas-terminator-1596</v>
      </c>
      <c r="B1597" s="3">
        <v>2591361</v>
      </c>
      <c r="C1597" s="3">
        <v>2591405</v>
      </c>
      <c r="D1597" s="1" t="s">
        <v>9</v>
      </c>
      <c r="E1597" s="1">
        <v>-8</v>
      </c>
      <c r="F1597" s="1" t="s">
        <v>15157</v>
      </c>
    </row>
    <row r="1598" spans="1:6" ht="21" x14ac:dyDescent="0.25">
      <c r="A1598" s="2" t="str">
        <f>HYPERLINK("https://rth.dk/resources/bsgatlas/details.php?id=BSGatlas-terminator-1597","BSGatlas-terminator-1597")</f>
        <v>BSGatlas-terminator-1597</v>
      </c>
      <c r="B1598" s="3">
        <v>2591410</v>
      </c>
      <c r="C1598" s="3">
        <v>2591454</v>
      </c>
      <c r="D1598" s="1" t="s">
        <v>13</v>
      </c>
      <c r="E1598" s="1">
        <v>-11.9</v>
      </c>
      <c r="F1598" s="1" t="s">
        <v>15157</v>
      </c>
    </row>
    <row r="1599" spans="1:6" ht="21" x14ac:dyDescent="0.25">
      <c r="A1599" s="2" t="str">
        <f>HYPERLINK("https://rth.dk/resources/bsgatlas/details.php?id=BSGatlas-terminator-1598","BSGatlas-terminator-1598")</f>
        <v>BSGatlas-terminator-1598</v>
      </c>
      <c r="B1599" s="3">
        <v>2591907</v>
      </c>
      <c r="C1599" s="3">
        <v>2591951</v>
      </c>
      <c r="D1599" s="1" t="s">
        <v>13</v>
      </c>
      <c r="E1599" s="1">
        <v>-15.7</v>
      </c>
      <c r="F1599" s="1" t="s">
        <v>4382</v>
      </c>
    </row>
    <row r="1600" spans="1:6" ht="21" x14ac:dyDescent="0.25">
      <c r="A1600" s="2" t="str">
        <f>HYPERLINK("https://rth.dk/resources/bsgatlas/details.php?id=BSGatlas-terminator-1599","BSGatlas-terminator-1599")</f>
        <v>BSGatlas-terminator-1599</v>
      </c>
      <c r="B1600" s="3">
        <v>2592003</v>
      </c>
      <c r="C1600" s="3">
        <v>2592069</v>
      </c>
      <c r="D1600" s="1" t="s">
        <v>9</v>
      </c>
      <c r="E1600" s="1"/>
      <c r="F1600" s="1" t="s">
        <v>15159</v>
      </c>
    </row>
    <row r="1601" spans="1:6" ht="21" x14ac:dyDescent="0.25">
      <c r="A1601" s="2" t="str">
        <f>HYPERLINK("https://rth.dk/resources/bsgatlas/details.php?id=BSGatlas-terminator-1600","BSGatlas-terminator-1600")</f>
        <v>BSGatlas-terminator-1600</v>
      </c>
      <c r="B1601" s="3">
        <v>2593219</v>
      </c>
      <c r="C1601" s="3">
        <v>2593263</v>
      </c>
      <c r="D1601" s="1" t="s">
        <v>9</v>
      </c>
      <c r="E1601" s="1">
        <v>-9.8000000000000007</v>
      </c>
      <c r="F1601" s="1" t="s">
        <v>15157</v>
      </c>
    </row>
    <row r="1602" spans="1:6" ht="21" x14ac:dyDescent="0.25">
      <c r="A1602" s="2" t="str">
        <f>HYPERLINK("https://rth.dk/resources/bsgatlas/details.php?id=BSGatlas-terminator-1601","BSGatlas-terminator-1601")</f>
        <v>BSGatlas-terminator-1601</v>
      </c>
      <c r="B1602" s="3">
        <v>2593280</v>
      </c>
      <c r="C1602" s="3">
        <v>2593324</v>
      </c>
      <c r="D1602" s="1" t="s">
        <v>13</v>
      </c>
      <c r="E1602" s="1">
        <v>-9.8000000000000007</v>
      </c>
      <c r="F1602" s="1" t="s">
        <v>15157</v>
      </c>
    </row>
    <row r="1603" spans="1:6" ht="21" x14ac:dyDescent="0.25">
      <c r="A1603" s="2" t="str">
        <f>HYPERLINK("https://rth.dk/resources/bsgatlas/details.php?id=BSGatlas-terminator-1602","BSGatlas-terminator-1602")</f>
        <v>BSGatlas-terminator-1602</v>
      </c>
      <c r="B1603" s="3">
        <v>2594054</v>
      </c>
      <c r="C1603" s="3">
        <v>2594120</v>
      </c>
      <c r="D1603" s="1" t="s">
        <v>9</v>
      </c>
      <c r="E1603" s="1"/>
      <c r="F1603" s="1" t="s">
        <v>15159</v>
      </c>
    </row>
    <row r="1604" spans="1:6" ht="21" x14ac:dyDescent="0.25">
      <c r="A1604" s="2" t="str">
        <f>HYPERLINK("https://rth.dk/resources/bsgatlas/details.php?id=BSGatlas-terminator-1603","BSGatlas-terminator-1603")</f>
        <v>BSGatlas-terminator-1603</v>
      </c>
      <c r="B1604" s="3">
        <v>2596372</v>
      </c>
      <c r="C1604" s="3">
        <v>2596416</v>
      </c>
      <c r="D1604" s="1" t="s">
        <v>9</v>
      </c>
      <c r="E1604" s="1">
        <v>-6.8</v>
      </c>
      <c r="F1604" s="1" t="s">
        <v>15157</v>
      </c>
    </row>
    <row r="1605" spans="1:6" ht="21" x14ac:dyDescent="0.25">
      <c r="A1605" s="2" t="str">
        <f>HYPERLINK("https://rth.dk/resources/bsgatlas/details.php?id=BSGatlas-terminator-1604","BSGatlas-terminator-1604")</f>
        <v>BSGatlas-terminator-1604</v>
      </c>
      <c r="B1605" s="3">
        <v>2596453</v>
      </c>
      <c r="C1605" s="3">
        <v>2596503</v>
      </c>
      <c r="D1605" s="1" t="s">
        <v>9</v>
      </c>
      <c r="E1605" s="1">
        <v>-8</v>
      </c>
      <c r="F1605" s="1" t="s">
        <v>4382</v>
      </c>
    </row>
    <row r="1606" spans="1:6" ht="21" x14ac:dyDescent="0.25">
      <c r="A1606" s="2" t="str">
        <f>HYPERLINK("https://rth.dk/resources/bsgatlas/details.php?id=BSGatlas-terminator-1605","BSGatlas-terminator-1605")</f>
        <v>BSGatlas-terminator-1605</v>
      </c>
      <c r="B1606" s="3">
        <v>2597428</v>
      </c>
      <c r="C1606" s="3">
        <v>2597472</v>
      </c>
      <c r="D1606" s="1" t="s">
        <v>9</v>
      </c>
      <c r="E1606" s="1">
        <v>-12.2</v>
      </c>
      <c r="F1606" s="1" t="s">
        <v>15157</v>
      </c>
    </row>
    <row r="1607" spans="1:6" ht="21" x14ac:dyDescent="0.25">
      <c r="A1607" s="2" t="str">
        <f>HYPERLINK("https://rth.dk/resources/bsgatlas/details.php?id=BSGatlas-terminator-1606","BSGatlas-terminator-1606")</f>
        <v>BSGatlas-terminator-1606</v>
      </c>
      <c r="B1607" s="3">
        <v>2597505</v>
      </c>
      <c r="C1607" s="3">
        <v>2597549</v>
      </c>
      <c r="D1607" s="1" t="s">
        <v>13</v>
      </c>
      <c r="E1607" s="1">
        <v>-12.2</v>
      </c>
      <c r="F1607" s="1" t="s">
        <v>15157</v>
      </c>
    </row>
    <row r="1608" spans="1:6" ht="21" x14ac:dyDescent="0.25">
      <c r="A1608" s="2" t="str">
        <f>HYPERLINK("https://rth.dk/resources/bsgatlas/details.php?id=BSGatlas-terminator-1607","BSGatlas-terminator-1607")</f>
        <v>BSGatlas-terminator-1607</v>
      </c>
      <c r="B1608" s="3">
        <v>2599513</v>
      </c>
      <c r="C1608" s="3">
        <v>2599557</v>
      </c>
      <c r="D1608" s="1" t="s">
        <v>13</v>
      </c>
      <c r="E1608" s="1">
        <v>-7.6</v>
      </c>
      <c r="F1608" s="1" t="s">
        <v>15157</v>
      </c>
    </row>
    <row r="1609" spans="1:6" ht="21" x14ac:dyDescent="0.25">
      <c r="A1609" s="2" t="str">
        <f>HYPERLINK("https://rth.dk/resources/bsgatlas/details.php?id=BSGatlas-terminator-1608","BSGatlas-terminator-1608")</f>
        <v>BSGatlas-terminator-1608</v>
      </c>
      <c r="B1609" s="3">
        <v>2600169</v>
      </c>
      <c r="C1609" s="3">
        <v>2600215</v>
      </c>
      <c r="D1609" s="1" t="s">
        <v>13</v>
      </c>
      <c r="E1609" s="1">
        <v>-18.399999999999999</v>
      </c>
      <c r="F1609" s="1" t="s">
        <v>15158</v>
      </c>
    </row>
    <row r="1610" spans="1:6" ht="21" x14ac:dyDescent="0.25">
      <c r="A1610" s="2" t="str">
        <f>HYPERLINK("https://rth.dk/resources/bsgatlas/details.php?id=BSGatlas-terminator-1609","BSGatlas-terminator-1609")</f>
        <v>BSGatlas-terminator-1609</v>
      </c>
      <c r="B1610" s="3">
        <v>2603371</v>
      </c>
      <c r="C1610" s="3">
        <v>2603419</v>
      </c>
      <c r="D1610" s="1" t="s">
        <v>9</v>
      </c>
      <c r="E1610" s="1">
        <v>-4.5</v>
      </c>
      <c r="F1610" s="1" t="s">
        <v>4382</v>
      </c>
    </row>
    <row r="1611" spans="1:6" ht="21" x14ac:dyDescent="0.25">
      <c r="A1611" s="2" t="str">
        <f>HYPERLINK("https://rth.dk/resources/bsgatlas/details.php?id=BSGatlas-terminator-1610","BSGatlas-terminator-1610")</f>
        <v>BSGatlas-terminator-1610</v>
      </c>
      <c r="B1611" s="3">
        <v>2604085</v>
      </c>
      <c r="C1611" s="3">
        <v>2604132</v>
      </c>
      <c r="D1611" s="1" t="s">
        <v>13</v>
      </c>
      <c r="E1611" s="1">
        <v>-10.5</v>
      </c>
      <c r="F1611" s="1" t="s">
        <v>4382</v>
      </c>
    </row>
    <row r="1612" spans="1:6" ht="21" x14ac:dyDescent="0.25">
      <c r="A1612" s="2" t="str">
        <f>HYPERLINK("https://rth.dk/resources/bsgatlas/details.php?id=BSGatlas-terminator-1611","BSGatlas-terminator-1611")</f>
        <v>BSGatlas-terminator-1611</v>
      </c>
      <c r="B1612" s="3">
        <v>2605754</v>
      </c>
      <c r="C1612" s="3">
        <v>2605798</v>
      </c>
      <c r="D1612" s="1" t="s">
        <v>13</v>
      </c>
      <c r="E1612" s="1">
        <v>-8.1999999999999993</v>
      </c>
      <c r="F1612" s="1" t="s">
        <v>15157</v>
      </c>
    </row>
    <row r="1613" spans="1:6" ht="21" x14ac:dyDescent="0.25">
      <c r="A1613" s="2" t="str">
        <f>HYPERLINK("https://rth.dk/resources/bsgatlas/details.php?id=BSGatlas-terminator-1612","BSGatlas-terminator-1612")</f>
        <v>BSGatlas-terminator-1612</v>
      </c>
      <c r="B1613" s="3">
        <v>2605820</v>
      </c>
      <c r="C1613" s="3">
        <v>2605864</v>
      </c>
      <c r="D1613" s="1" t="s">
        <v>13</v>
      </c>
      <c r="E1613" s="1">
        <v>-8.1999999999999993</v>
      </c>
      <c r="F1613" s="1" t="s">
        <v>15157</v>
      </c>
    </row>
    <row r="1614" spans="1:6" ht="21" x14ac:dyDescent="0.25">
      <c r="A1614" s="2" t="str">
        <f>HYPERLINK("https://rth.dk/resources/bsgatlas/details.php?id=BSGatlas-terminator-1613","BSGatlas-terminator-1613")</f>
        <v>BSGatlas-terminator-1613</v>
      </c>
      <c r="B1614" s="3">
        <v>2608688</v>
      </c>
      <c r="C1614" s="3">
        <v>2608755</v>
      </c>
      <c r="D1614" s="1" t="s">
        <v>13</v>
      </c>
      <c r="E1614" s="1">
        <v>-29.8</v>
      </c>
      <c r="F1614" s="1" t="s">
        <v>15158</v>
      </c>
    </row>
    <row r="1615" spans="1:6" ht="21" x14ac:dyDescent="0.25">
      <c r="A1615" s="2" t="str">
        <f>HYPERLINK("https://rth.dk/resources/bsgatlas/details.php?id=BSGatlas-terminator-1614","BSGatlas-terminator-1614")</f>
        <v>BSGatlas-terminator-1614</v>
      </c>
      <c r="B1615" s="3">
        <v>2614489</v>
      </c>
      <c r="C1615" s="3">
        <v>2614533</v>
      </c>
      <c r="D1615" s="1" t="s">
        <v>13</v>
      </c>
      <c r="E1615" s="1">
        <v>-13.1</v>
      </c>
      <c r="F1615" s="1" t="s">
        <v>15157</v>
      </c>
    </row>
    <row r="1616" spans="1:6" ht="21" x14ac:dyDescent="0.25">
      <c r="A1616" s="2" t="str">
        <f>HYPERLINK("https://rth.dk/resources/bsgatlas/details.php?id=BSGatlas-terminator-1615","BSGatlas-terminator-1615")</f>
        <v>BSGatlas-terminator-1615</v>
      </c>
      <c r="B1616" s="3">
        <v>2616959</v>
      </c>
      <c r="C1616" s="3">
        <v>2616994</v>
      </c>
      <c r="D1616" s="1" t="s">
        <v>13</v>
      </c>
      <c r="E1616" s="1">
        <v>-17.600000000000001</v>
      </c>
      <c r="F1616" s="1" t="s">
        <v>4547</v>
      </c>
    </row>
    <row r="1617" spans="1:6" ht="21" x14ac:dyDescent="0.25">
      <c r="A1617" s="2" t="str">
        <f>HYPERLINK("https://rth.dk/resources/bsgatlas/details.php?id=BSGatlas-terminator-1616","BSGatlas-terminator-1616")</f>
        <v>BSGatlas-terminator-1616</v>
      </c>
      <c r="B1617" s="3">
        <v>2616997</v>
      </c>
      <c r="C1617" s="3">
        <v>2617041</v>
      </c>
      <c r="D1617" s="1" t="s">
        <v>13</v>
      </c>
      <c r="E1617" s="1">
        <v>-16.8</v>
      </c>
      <c r="F1617" s="1" t="s">
        <v>15157</v>
      </c>
    </row>
    <row r="1618" spans="1:6" ht="21" x14ac:dyDescent="0.25">
      <c r="A1618" s="2" t="str">
        <f>HYPERLINK("https://rth.dk/resources/bsgatlas/details.php?id=BSGatlas-terminator-1617","BSGatlas-terminator-1617")</f>
        <v>BSGatlas-terminator-1617</v>
      </c>
      <c r="B1618" s="3">
        <v>2619901</v>
      </c>
      <c r="C1618" s="3">
        <v>2619945</v>
      </c>
      <c r="D1618" s="1" t="s">
        <v>13</v>
      </c>
      <c r="E1618" s="1">
        <v>-10.3</v>
      </c>
      <c r="F1618" s="1" t="s">
        <v>15157</v>
      </c>
    </row>
    <row r="1619" spans="1:6" ht="21" x14ac:dyDescent="0.25">
      <c r="A1619" s="2" t="str">
        <f>HYPERLINK("https://rth.dk/resources/bsgatlas/details.php?id=BSGatlas-terminator-1618","BSGatlas-terminator-1618")</f>
        <v>BSGatlas-terminator-1618</v>
      </c>
      <c r="B1619" s="3">
        <v>2620099</v>
      </c>
      <c r="C1619" s="3">
        <v>2620143</v>
      </c>
      <c r="D1619" s="1" t="s">
        <v>13</v>
      </c>
      <c r="E1619" s="1">
        <v>-10.3</v>
      </c>
      <c r="F1619" s="1" t="s">
        <v>15157</v>
      </c>
    </row>
    <row r="1620" spans="1:6" ht="21" x14ac:dyDescent="0.25">
      <c r="A1620" s="2" t="str">
        <f>HYPERLINK("https://rth.dk/resources/bsgatlas/details.php?id=BSGatlas-terminator-1619","BSGatlas-terminator-1619")</f>
        <v>BSGatlas-terminator-1619</v>
      </c>
      <c r="B1620" s="3">
        <v>2621631</v>
      </c>
      <c r="C1620" s="3">
        <v>2621672</v>
      </c>
      <c r="D1620" s="1" t="s">
        <v>13</v>
      </c>
      <c r="E1620" s="1">
        <v>-13.2</v>
      </c>
      <c r="F1620" s="1" t="s">
        <v>15158</v>
      </c>
    </row>
    <row r="1621" spans="1:6" ht="21" x14ac:dyDescent="0.25">
      <c r="A1621" s="2" t="str">
        <f>HYPERLINK("https://rth.dk/resources/bsgatlas/details.php?id=BSGatlas-terminator-1620","BSGatlas-terminator-1620")</f>
        <v>BSGatlas-terminator-1620</v>
      </c>
      <c r="B1621" s="3">
        <v>2625989</v>
      </c>
      <c r="C1621" s="3">
        <v>2626039</v>
      </c>
      <c r="D1621" s="1" t="s">
        <v>13</v>
      </c>
      <c r="E1621" s="1">
        <v>-18.600000000000001</v>
      </c>
      <c r="F1621" s="1" t="s">
        <v>4382</v>
      </c>
    </row>
    <row r="1622" spans="1:6" ht="21" x14ac:dyDescent="0.25">
      <c r="A1622" s="2" t="str">
        <f>HYPERLINK("https://rth.dk/resources/bsgatlas/details.php?id=BSGatlas-terminator-1621","BSGatlas-terminator-1621")</f>
        <v>BSGatlas-terminator-1621</v>
      </c>
      <c r="B1622" s="3">
        <v>2626113</v>
      </c>
      <c r="C1622" s="3">
        <v>2626157</v>
      </c>
      <c r="D1622" s="1" t="s">
        <v>13</v>
      </c>
      <c r="E1622" s="1">
        <v>-13.4</v>
      </c>
      <c r="F1622" s="1" t="s">
        <v>15157</v>
      </c>
    </row>
    <row r="1623" spans="1:6" ht="21" x14ac:dyDescent="0.25">
      <c r="A1623" s="2" t="str">
        <f>HYPERLINK("https://rth.dk/resources/bsgatlas/details.php?id=BSGatlas-terminator-1622","BSGatlas-terminator-1622")</f>
        <v>BSGatlas-terminator-1622</v>
      </c>
      <c r="B1623" s="3">
        <v>2630869</v>
      </c>
      <c r="C1623" s="3">
        <v>2630925</v>
      </c>
      <c r="D1623" s="1" t="s">
        <v>13</v>
      </c>
      <c r="E1623" s="1">
        <v>-16.2</v>
      </c>
      <c r="F1623" s="1" t="s">
        <v>15158</v>
      </c>
    </row>
    <row r="1624" spans="1:6" ht="21" x14ac:dyDescent="0.25">
      <c r="A1624" s="2" t="str">
        <f>HYPERLINK("https://rth.dk/resources/bsgatlas/details.php?id=BSGatlas-terminator-1623","BSGatlas-terminator-1623")</f>
        <v>BSGatlas-terminator-1623</v>
      </c>
      <c r="B1624" s="3">
        <v>2632820</v>
      </c>
      <c r="C1624" s="3">
        <v>2632856</v>
      </c>
      <c r="D1624" s="1" t="s">
        <v>13</v>
      </c>
      <c r="E1624" s="1">
        <v>-4.8</v>
      </c>
      <c r="F1624" s="1" t="s">
        <v>4382</v>
      </c>
    </row>
    <row r="1625" spans="1:6" ht="21" x14ac:dyDescent="0.25">
      <c r="A1625" s="2" t="str">
        <f>HYPERLINK("https://rth.dk/resources/bsgatlas/details.php?id=BSGatlas-terminator-1624","BSGatlas-terminator-1624")</f>
        <v>BSGatlas-terminator-1624</v>
      </c>
      <c r="B1625" s="3">
        <v>2632866</v>
      </c>
      <c r="C1625" s="3">
        <v>2632910</v>
      </c>
      <c r="D1625" s="1" t="s">
        <v>13</v>
      </c>
      <c r="E1625" s="1">
        <v>-14</v>
      </c>
      <c r="F1625" s="1" t="s">
        <v>15157</v>
      </c>
    </row>
    <row r="1626" spans="1:6" ht="21" x14ac:dyDescent="0.25">
      <c r="A1626" s="2" t="str">
        <f>HYPERLINK("https://rth.dk/resources/bsgatlas/details.php?id=BSGatlas-terminator-1625","BSGatlas-terminator-1625")</f>
        <v>BSGatlas-terminator-1625</v>
      </c>
      <c r="B1626" s="3">
        <v>2636048</v>
      </c>
      <c r="C1626" s="3">
        <v>2636092</v>
      </c>
      <c r="D1626" s="1" t="s">
        <v>9</v>
      </c>
      <c r="E1626" s="1">
        <v>-12.3</v>
      </c>
      <c r="F1626" s="1" t="s">
        <v>15157</v>
      </c>
    </row>
    <row r="1627" spans="1:6" ht="21" x14ac:dyDescent="0.25">
      <c r="A1627" s="2" t="str">
        <f>HYPERLINK("https://rth.dk/resources/bsgatlas/details.php?id=BSGatlas-terminator-1626","BSGatlas-terminator-1626")</f>
        <v>BSGatlas-terminator-1626</v>
      </c>
      <c r="B1627" s="3">
        <v>2636119</v>
      </c>
      <c r="C1627" s="3">
        <v>2636163</v>
      </c>
      <c r="D1627" s="1" t="s">
        <v>13</v>
      </c>
      <c r="E1627" s="1">
        <v>-8.1</v>
      </c>
      <c r="F1627" s="1" t="s">
        <v>15157</v>
      </c>
    </row>
    <row r="1628" spans="1:6" ht="21" x14ac:dyDescent="0.25">
      <c r="A1628" s="2" t="str">
        <f>HYPERLINK("https://rth.dk/resources/bsgatlas/details.php?id=BSGatlas-terminator-1627","BSGatlas-terminator-1627")</f>
        <v>BSGatlas-terminator-1627</v>
      </c>
      <c r="B1628" s="3">
        <v>2637224</v>
      </c>
      <c r="C1628" s="3">
        <v>2637268</v>
      </c>
      <c r="D1628" s="1" t="s">
        <v>13</v>
      </c>
      <c r="E1628" s="1">
        <v>-8.1</v>
      </c>
      <c r="F1628" s="1" t="s">
        <v>15157</v>
      </c>
    </row>
    <row r="1629" spans="1:6" ht="21" x14ac:dyDescent="0.25">
      <c r="A1629" s="2" t="str">
        <f>HYPERLINK("https://rth.dk/resources/bsgatlas/details.php?id=BSGatlas-terminator-1628","BSGatlas-terminator-1628")</f>
        <v>BSGatlas-terminator-1628</v>
      </c>
      <c r="B1629" s="3">
        <v>2637475</v>
      </c>
      <c r="C1629" s="3">
        <v>2637519</v>
      </c>
      <c r="D1629" s="1" t="s">
        <v>9</v>
      </c>
      <c r="E1629" s="1">
        <v>-12.1</v>
      </c>
      <c r="F1629" s="1" t="s">
        <v>15157</v>
      </c>
    </row>
    <row r="1630" spans="1:6" ht="21" x14ac:dyDescent="0.25">
      <c r="A1630" s="2" t="str">
        <f>HYPERLINK("https://rth.dk/resources/bsgatlas/details.php?id=BSGatlas-terminator-1629","BSGatlas-terminator-1629")</f>
        <v>BSGatlas-terminator-1629</v>
      </c>
      <c r="B1630" s="3">
        <v>2642088</v>
      </c>
      <c r="C1630" s="3">
        <v>2642129</v>
      </c>
      <c r="D1630" s="1" t="s">
        <v>9</v>
      </c>
      <c r="E1630" s="1">
        <v>-12.4</v>
      </c>
      <c r="F1630" s="1" t="s">
        <v>15160</v>
      </c>
    </row>
    <row r="1631" spans="1:6" ht="21" x14ac:dyDescent="0.25">
      <c r="A1631" s="2" t="str">
        <f>HYPERLINK("https://rth.dk/resources/bsgatlas/details.php?id=BSGatlas-terminator-1630","BSGatlas-terminator-1630")</f>
        <v>BSGatlas-terminator-1630</v>
      </c>
      <c r="B1631" s="3">
        <v>2642109</v>
      </c>
      <c r="C1631" s="3">
        <v>2642153</v>
      </c>
      <c r="D1631" s="1" t="s">
        <v>13</v>
      </c>
      <c r="E1631" s="1">
        <v>-10.5</v>
      </c>
      <c r="F1631" s="1" t="s">
        <v>15157</v>
      </c>
    </row>
    <row r="1632" spans="1:6" ht="21" x14ac:dyDescent="0.25">
      <c r="A1632" s="2" t="str">
        <f>HYPERLINK("https://rth.dk/resources/bsgatlas/details.php?id=BSGatlas-terminator-1631","BSGatlas-terminator-1631")</f>
        <v>BSGatlas-terminator-1631</v>
      </c>
      <c r="B1632" s="3">
        <v>2645442</v>
      </c>
      <c r="C1632" s="3">
        <v>2645486</v>
      </c>
      <c r="D1632" s="1" t="s">
        <v>9</v>
      </c>
      <c r="E1632" s="1">
        <v>-17</v>
      </c>
      <c r="F1632" s="1" t="s">
        <v>15157</v>
      </c>
    </row>
    <row r="1633" spans="1:6" ht="21" x14ac:dyDescent="0.25">
      <c r="A1633" s="2" t="str">
        <f>HYPERLINK("https://rth.dk/resources/bsgatlas/details.php?id=BSGatlas-terminator-1632","BSGatlas-terminator-1632")</f>
        <v>BSGatlas-terminator-1632</v>
      </c>
      <c r="B1633" s="3">
        <v>2647124</v>
      </c>
      <c r="C1633" s="3">
        <v>2647168</v>
      </c>
      <c r="D1633" s="1" t="s">
        <v>13</v>
      </c>
      <c r="E1633" s="1">
        <v>-8.6</v>
      </c>
      <c r="F1633" s="1" t="s">
        <v>15157</v>
      </c>
    </row>
    <row r="1634" spans="1:6" ht="21" x14ac:dyDescent="0.25">
      <c r="A1634" s="2" t="str">
        <f>HYPERLINK("https://rth.dk/resources/bsgatlas/details.php?id=BSGatlas-terminator-1633","BSGatlas-terminator-1633")</f>
        <v>BSGatlas-terminator-1633</v>
      </c>
      <c r="B1634" s="3">
        <v>2647590</v>
      </c>
      <c r="C1634" s="3">
        <v>2647635</v>
      </c>
      <c r="D1634" s="1" t="s">
        <v>9</v>
      </c>
      <c r="E1634" s="1">
        <v>-5.0999999999999996</v>
      </c>
      <c r="F1634" s="1" t="s">
        <v>4382</v>
      </c>
    </row>
    <row r="1635" spans="1:6" ht="21" x14ac:dyDescent="0.25">
      <c r="A1635" s="2" t="str">
        <f>HYPERLINK("https://rth.dk/resources/bsgatlas/details.php?id=BSGatlas-terminator-1634","BSGatlas-terminator-1634")</f>
        <v>BSGatlas-terminator-1634</v>
      </c>
      <c r="B1635" s="3">
        <v>2647740</v>
      </c>
      <c r="C1635" s="3">
        <v>2647784</v>
      </c>
      <c r="D1635" s="1" t="s">
        <v>13</v>
      </c>
      <c r="E1635" s="1">
        <v>-8.6</v>
      </c>
      <c r="F1635" s="1" t="s">
        <v>15157</v>
      </c>
    </row>
    <row r="1636" spans="1:6" ht="21" x14ac:dyDescent="0.25">
      <c r="A1636" s="2" t="str">
        <f>HYPERLINK("https://rth.dk/resources/bsgatlas/details.php?id=BSGatlas-terminator-1635","BSGatlas-terminator-1635")</f>
        <v>BSGatlas-terminator-1635</v>
      </c>
      <c r="B1636" s="3">
        <v>2647796</v>
      </c>
      <c r="C1636" s="3">
        <v>2647840</v>
      </c>
      <c r="D1636" s="1" t="s">
        <v>9</v>
      </c>
      <c r="E1636" s="1">
        <v>-6.2</v>
      </c>
      <c r="F1636" s="1" t="s">
        <v>15162</v>
      </c>
    </row>
    <row r="1637" spans="1:6" ht="21" x14ac:dyDescent="0.25">
      <c r="A1637" s="2" t="str">
        <f>HYPERLINK("https://rth.dk/resources/bsgatlas/details.php?id=BSGatlas-terminator-1636","BSGatlas-terminator-1636")</f>
        <v>BSGatlas-terminator-1636</v>
      </c>
      <c r="B1637" s="3">
        <v>2648842</v>
      </c>
      <c r="C1637" s="3">
        <v>2648890</v>
      </c>
      <c r="D1637" s="1" t="s">
        <v>13</v>
      </c>
      <c r="E1637" s="1">
        <v>-16.5</v>
      </c>
      <c r="F1637" s="1" t="s">
        <v>15158</v>
      </c>
    </row>
    <row r="1638" spans="1:6" ht="21" x14ac:dyDescent="0.25">
      <c r="A1638" s="2" t="str">
        <f>HYPERLINK("https://rth.dk/resources/bsgatlas/details.php?id=BSGatlas-terminator-1637","BSGatlas-terminator-1637")</f>
        <v>BSGatlas-terminator-1637</v>
      </c>
      <c r="B1638" s="3">
        <v>2648883</v>
      </c>
      <c r="C1638" s="3">
        <v>2648949</v>
      </c>
      <c r="D1638" s="1" t="s">
        <v>9</v>
      </c>
      <c r="E1638" s="1"/>
      <c r="F1638" s="1" t="s">
        <v>15159</v>
      </c>
    </row>
    <row r="1639" spans="1:6" ht="21" x14ac:dyDescent="0.25">
      <c r="A1639" s="2" t="str">
        <f>HYPERLINK("https://rth.dk/resources/bsgatlas/details.php?id=BSGatlas-terminator-1638","BSGatlas-terminator-1638")</f>
        <v>BSGatlas-terminator-1638</v>
      </c>
      <c r="B1639" s="3">
        <v>2650414</v>
      </c>
      <c r="C1639" s="3">
        <v>2650458</v>
      </c>
      <c r="D1639" s="1" t="s">
        <v>9</v>
      </c>
      <c r="E1639" s="1">
        <v>-10.3</v>
      </c>
      <c r="F1639" s="1" t="s">
        <v>15157</v>
      </c>
    </row>
    <row r="1640" spans="1:6" ht="21" x14ac:dyDescent="0.25">
      <c r="A1640" s="2" t="str">
        <f>HYPERLINK("https://rth.dk/resources/bsgatlas/details.php?id=BSGatlas-terminator-1639","BSGatlas-terminator-1639")</f>
        <v>BSGatlas-terminator-1639</v>
      </c>
      <c r="B1640" s="3">
        <v>2650490</v>
      </c>
      <c r="C1640" s="3">
        <v>2650534</v>
      </c>
      <c r="D1640" s="1" t="s">
        <v>13</v>
      </c>
      <c r="E1640" s="1">
        <v>-8.4</v>
      </c>
      <c r="F1640" s="1" t="s">
        <v>15157</v>
      </c>
    </row>
    <row r="1641" spans="1:6" ht="21" x14ac:dyDescent="0.25">
      <c r="A1641" s="2" t="str">
        <f>HYPERLINK("https://rth.dk/resources/bsgatlas/details.php?id=BSGatlas-terminator-1640","BSGatlas-terminator-1640")</f>
        <v>BSGatlas-terminator-1640</v>
      </c>
      <c r="B1641" s="3">
        <v>2652343</v>
      </c>
      <c r="C1641" s="3">
        <v>2652392</v>
      </c>
      <c r="D1641" s="1" t="s">
        <v>13</v>
      </c>
      <c r="E1641" s="1">
        <v>-16.399999999999999</v>
      </c>
      <c r="F1641" s="1" t="s">
        <v>15158</v>
      </c>
    </row>
    <row r="1642" spans="1:6" ht="21" x14ac:dyDescent="0.25">
      <c r="A1642" s="2" t="str">
        <f>HYPERLINK("https://rth.dk/resources/bsgatlas/details.php?id=BSGatlas-terminator-1641","BSGatlas-terminator-1641")</f>
        <v>BSGatlas-terminator-1641</v>
      </c>
      <c r="B1642" s="3">
        <v>2653161</v>
      </c>
      <c r="C1642" s="3">
        <v>2653205</v>
      </c>
      <c r="D1642" s="1" t="s">
        <v>9</v>
      </c>
      <c r="E1642" s="1">
        <v>-12.1</v>
      </c>
      <c r="F1642" s="1" t="s">
        <v>15157</v>
      </c>
    </row>
    <row r="1643" spans="1:6" ht="21" x14ac:dyDescent="0.25">
      <c r="A1643" s="2" t="str">
        <f>HYPERLINK("https://rth.dk/resources/bsgatlas/details.php?id=BSGatlas-terminator-1642","BSGatlas-terminator-1642")</f>
        <v>BSGatlas-terminator-1642</v>
      </c>
      <c r="B1643" s="3">
        <v>2653293</v>
      </c>
      <c r="C1643" s="3">
        <v>2653337</v>
      </c>
      <c r="D1643" s="1" t="s">
        <v>9</v>
      </c>
      <c r="E1643" s="1">
        <v>-12.1</v>
      </c>
      <c r="F1643" s="1" t="s">
        <v>15157</v>
      </c>
    </row>
    <row r="1644" spans="1:6" ht="21" x14ac:dyDescent="0.25">
      <c r="A1644" s="2" t="str">
        <f>HYPERLINK("https://rth.dk/resources/bsgatlas/details.php?id=BSGatlas-terminator-1643","BSGatlas-terminator-1643")</f>
        <v>BSGatlas-terminator-1643</v>
      </c>
      <c r="B1644" s="3">
        <v>2653335</v>
      </c>
      <c r="C1644" s="3">
        <v>2653372</v>
      </c>
      <c r="D1644" s="1" t="s">
        <v>13</v>
      </c>
      <c r="E1644" s="1">
        <v>-11.8</v>
      </c>
      <c r="F1644" s="1" t="s">
        <v>15158</v>
      </c>
    </row>
    <row r="1645" spans="1:6" ht="21" x14ac:dyDescent="0.25">
      <c r="A1645" s="2" t="str">
        <f>HYPERLINK("https://rth.dk/resources/bsgatlas/details.php?id=BSGatlas-terminator-1644","BSGatlas-terminator-1644")</f>
        <v>BSGatlas-terminator-1644</v>
      </c>
      <c r="B1645" s="3">
        <v>2655267</v>
      </c>
      <c r="C1645" s="3">
        <v>2655308</v>
      </c>
      <c r="D1645" s="1" t="s">
        <v>13</v>
      </c>
      <c r="E1645" s="1">
        <v>-13</v>
      </c>
      <c r="F1645" s="1" t="s">
        <v>4382</v>
      </c>
    </row>
    <row r="1646" spans="1:6" ht="21" x14ac:dyDescent="0.25">
      <c r="A1646" s="2" t="str">
        <f>HYPERLINK("https://rth.dk/resources/bsgatlas/details.php?id=BSGatlas-terminator-1645","BSGatlas-terminator-1645")</f>
        <v>BSGatlas-terminator-1645</v>
      </c>
      <c r="B1646" s="3">
        <v>2655324</v>
      </c>
      <c r="C1646" s="3">
        <v>2655368</v>
      </c>
      <c r="D1646" s="1" t="s">
        <v>13</v>
      </c>
      <c r="E1646" s="1">
        <v>-8.6</v>
      </c>
      <c r="F1646" s="1" t="s">
        <v>15157</v>
      </c>
    </row>
    <row r="1647" spans="1:6" ht="21" x14ac:dyDescent="0.25">
      <c r="A1647" s="2" t="str">
        <f>HYPERLINK("https://rth.dk/resources/bsgatlas/details.php?id=BSGatlas-terminator-1646","BSGatlas-terminator-1646")</f>
        <v>BSGatlas-terminator-1646</v>
      </c>
      <c r="B1647" s="3">
        <v>2657967</v>
      </c>
      <c r="C1647" s="3">
        <v>2658011</v>
      </c>
      <c r="D1647" s="1" t="s">
        <v>13</v>
      </c>
      <c r="E1647" s="1">
        <v>-8.6</v>
      </c>
      <c r="F1647" s="1" t="s">
        <v>15157</v>
      </c>
    </row>
    <row r="1648" spans="1:6" ht="21" x14ac:dyDescent="0.25">
      <c r="A1648" s="2" t="str">
        <f>HYPERLINK("https://rth.dk/resources/bsgatlas/details.php?id=BSGatlas-terminator-1647","BSGatlas-terminator-1647")</f>
        <v>BSGatlas-terminator-1647</v>
      </c>
      <c r="B1648" s="3">
        <v>2660493</v>
      </c>
      <c r="C1648" s="3">
        <v>2660528</v>
      </c>
      <c r="D1648" s="1" t="s">
        <v>9</v>
      </c>
      <c r="E1648" s="1">
        <v>-8.9</v>
      </c>
      <c r="F1648" s="1" t="s">
        <v>15158</v>
      </c>
    </row>
    <row r="1649" spans="1:6" ht="21" x14ac:dyDescent="0.25">
      <c r="A1649" s="2" t="str">
        <f>HYPERLINK("https://rth.dk/resources/bsgatlas/details.php?id=BSGatlas-terminator-1648","BSGatlas-terminator-1648")</f>
        <v>BSGatlas-terminator-1648</v>
      </c>
      <c r="B1649" s="3">
        <v>2663303</v>
      </c>
      <c r="C1649" s="3">
        <v>2663369</v>
      </c>
      <c r="D1649" s="1" t="s">
        <v>13</v>
      </c>
      <c r="E1649" s="1"/>
      <c r="F1649" s="1" t="s">
        <v>15159</v>
      </c>
    </row>
    <row r="1650" spans="1:6" ht="21" x14ac:dyDescent="0.25">
      <c r="A1650" s="2" t="str">
        <f>HYPERLINK("https://rth.dk/resources/bsgatlas/details.php?id=BSGatlas-terminator-1649","BSGatlas-terminator-1649")</f>
        <v>BSGatlas-terminator-1649</v>
      </c>
      <c r="B1650" s="3">
        <v>2663318</v>
      </c>
      <c r="C1650" s="3">
        <v>2663345</v>
      </c>
      <c r="D1650" s="1" t="s">
        <v>9</v>
      </c>
      <c r="E1650" s="1">
        <v>-17.8</v>
      </c>
      <c r="F1650" s="1" t="s">
        <v>4547</v>
      </c>
    </row>
    <row r="1651" spans="1:6" ht="21" x14ac:dyDescent="0.25">
      <c r="A1651" s="2" t="str">
        <f>HYPERLINK("https://rth.dk/resources/bsgatlas/details.php?id=BSGatlas-terminator-1650","BSGatlas-terminator-1650")</f>
        <v>BSGatlas-terminator-1650</v>
      </c>
      <c r="B1651" s="3">
        <v>2663519</v>
      </c>
      <c r="C1651" s="3">
        <v>2663543</v>
      </c>
      <c r="D1651" s="1" t="s">
        <v>13</v>
      </c>
      <c r="E1651" s="1">
        <v>-12.5</v>
      </c>
      <c r="F1651" s="1" t="s">
        <v>4547</v>
      </c>
    </row>
    <row r="1652" spans="1:6" ht="21" x14ac:dyDescent="0.25">
      <c r="A1652" s="2" t="str">
        <f>HYPERLINK("https://rth.dk/resources/bsgatlas/details.php?id=BSGatlas-terminator-1651","BSGatlas-terminator-1651")</f>
        <v>BSGatlas-terminator-1651</v>
      </c>
      <c r="B1652" s="3">
        <v>2663554</v>
      </c>
      <c r="C1652" s="3">
        <v>2663598</v>
      </c>
      <c r="D1652" s="1" t="s">
        <v>13</v>
      </c>
      <c r="E1652" s="1">
        <v>-9.9</v>
      </c>
      <c r="F1652" s="1" t="s">
        <v>15157</v>
      </c>
    </row>
    <row r="1653" spans="1:6" ht="21" x14ac:dyDescent="0.25">
      <c r="A1653" s="2" t="str">
        <f>HYPERLINK("https://rth.dk/resources/bsgatlas/details.php?id=BSGatlas-terminator-1652","BSGatlas-terminator-1652")</f>
        <v>BSGatlas-terminator-1652</v>
      </c>
      <c r="B1653" s="3">
        <v>2664380</v>
      </c>
      <c r="C1653" s="3">
        <v>2664424</v>
      </c>
      <c r="D1653" s="1" t="s">
        <v>9</v>
      </c>
      <c r="E1653" s="1">
        <v>-6.8</v>
      </c>
      <c r="F1653" s="1" t="s">
        <v>15157</v>
      </c>
    </row>
    <row r="1654" spans="1:6" ht="21" x14ac:dyDescent="0.25">
      <c r="A1654" s="2" t="str">
        <f>HYPERLINK("https://rth.dk/resources/bsgatlas/details.php?id=BSGatlas-terminator-1653","BSGatlas-terminator-1653")</f>
        <v>BSGatlas-terminator-1653</v>
      </c>
      <c r="B1654" s="3">
        <v>2672508</v>
      </c>
      <c r="C1654" s="3">
        <v>2672552</v>
      </c>
      <c r="D1654" s="1" t="s">
        <v>13</v>
      </c>
      <c r="E1654" s="1">
        <v>-11.3</v>
      </c>
      <c r="F1654" s="1" t="s">
        <v>15157</v>
      </c>
    </row>
    <row r="1655" spans="1:6" ht="21" x14ac:dyDescent="0.25">
      <c r="A1655" s="2" t="str">
        <f>HYPERLINK("https://rth.dk/resources/bsgatlas/details.php?id=BSGatlas-terminator-1654","BSGatlas-terminator-1654")</f>
        <v>BSGatlas-terminator-1654</v>
      </c>
      <c r="B1655" s="3">
        <v>2677964</v>
      </c>
      <c r="C1655" s="3">
        <v>2678008</v>
      </c>
      <c r="D1655" s="1" t="s">
        <v>13</v>
      </c>
      <c r="E1655" s="1">
        <v>-11.1</v>
      </c>
      <c r="F1655" s="1" t="s">
        <v>15157</v>
      </c>
    </row>
    <row r="1656" spans="1:6" ht="21" x14ac:dyDescent="0.25">
      <c r="A1656" s="2" t="str">
        <f>HYPERLINK("https://rth.dk/resources/bsgatlas/details.php?id=BSGatlas-terminator-1655","BSGatlas-terminator-1655")</f>
        <v>BSGatlas-terminator-1655</v>
      </c>
      <c r="B1656" s="3">
        <v>2678319</v>
      </c>
      <c r="C1656" s="3">
        <v>2678363</v>
      </c>
      <c r="D1656" s="1" t="s">
        <v>9</v>
      </c>
      <c r="E1656" s="1">
        <v>-11.4</v>
      </c>
      <c r="F1656" s="1" t="s">
        <v>15157</v>
      </c>
    </row>
    <row r="1657" spans="1:6" ht="21" x14ac:dyDescent="0.25">
      <c r="A1657" s="2" t="str">
        <f>HYPERLINK("https://rth.dk/resources/bsgatlas/details.php?id=BSGatlas-terminator-1656","BSGatlas-terminator-1656")</f>
        <v>BSGatlas-terminator-1656</v>
      </c>
      <c r="B1657" s="3">
        <v>2678383</v>
      </c>
      <c r="C1657" s="3">
        <v>2678427</v>
      </c>
      <c r="D1657" s="1" t="s">
        <v>13</v>
      </c>
      <c r="E1657" s="1">
        <v>-17.8</v>
      </c>
      <c r="F1657" s="1" t="s">
        <v>15157</v>
      </c>
    </row>
    <row r="1658" spans="1:6" ht="21" x14ac:dyDescent="0.25">
      <c r="A1658" s="2" t="str">
        <f>HYPERLINK("https://rth.dk/resources/bsgatlas/details.php?id=BSGatlas-terminator-1657","BSGatlas-terminator-1657")</f>
        <v>BSGatlas-terminator-1657</v>
      </c>
      <c r="B1658" s="3">
        <v>2678395</v>
      </c>
      <c r="C1658" s="3">
        <v>2678434</v>
      </c>
      <c r="D1658" s="1" t="s">
        <v>9</v>
      </c>
      <c r="E1658" s="1">
        <v>-8.1</v>
      </c>
      <c r="F1658" s="1" t="s">
        <v>4382</v>
      </c>
    </row>
    <row r="1659" spans="1:6" ht="21" x14ac:dyDescent="0.25">
      <c r="A1659" s="2" t="str">
        <f>HYPERLINK("https://rth.dk/resources/bsgatlas/details.php?id=BSGatlas-terminator-1658","BSGatlas-terminator-1658")</f>
        <v>BSGatlas-terminator-1658</v>
      </c>
      <c r="B1659" s="3">
        <v>2678878</v>
      </c>
      <c r="C1659" s="3">
        <v>2678922</v>
      </c>
      <c r="D1659" s="1" t="s">
        <v>9</v>
      </c>
      <c r="E1659" s="1">
        <v>-11.5</v>
      </c>
      <c r="F1659" s="1" t="s">
        <v>15157</v>
      </c>
    </row>
    <row r="1660" spans="1:6" ht="21" x14ac:dyDescent="0.25">
      <c r="A1660" s="2" t="str">
        <f>HYPERLINK("https://rth.dk/resources/bsgatlas/details.php?id=BSGatlas-terminator-1659","BSGatlas-terminator-1659")</f>
        <v>BSGatlas-terminator-1659</v>
      </c>
      <c r="B1660" s="3">
        <v>2678944</v>
      </c>
      <c r="C1660" s="3">
        <v>2678988</v>
      </c>
      <c r="D1660" s="1" t="s">
        <v>9</v>
      </c>
      <c r="E1660" s="1">
        <v>-11.5</v>
      </c>
      <c r="F1660" s="1" t="s">
        <v>15157</v>
      </c>
    </row>
    <row r="1661" spans="1:6" ht="21" x14ac:dyDescent="0.25">
      <c r="A1661" s="2" t="str">
        <f>HYPERLINK("https://rth.dk/resources/bsgatlas/details.php?id=BSGatlas-terminator-1660","BSGatlas-terminator-1660")</f>
        <v>BSGatlas-terminator-1660</v>
      </c>
      <c r="B1661" s="3">
        <v>2679349</v>
      </c>
      <c r="C1661" s="3">
        <v>2679415</v>
      </c>
      <c r="D1661" s="1" t="s">
        <v>9</v>
      </c>
      <c r="E1661" s="1"/>
      <c r="F1661" s="1" t="s">
        <v>15159</v>
      </c>
    </row>
    <row r="1662" spans="1:6" ht="21" x14ac:dyDescent="0.25">
      <c r="A1662" s="2" t="str">
        <f>HYPERLINK("https://rth.dk/resources/bsgatlas/details.php?id=BSGatlas-terminator-1661","BSGatlas-terminator-1661")</f>
        <v>BSGatlas-terminator-1661</v>
      </c>
      <c r="B1662" s="3">
        <v>2684279</v>
      </c>
      <c r="C1662" s="3">
        <v>2684323</v>
      </c>
      <c r="D1662" s="1" t="s">
        <v>13</v>
      </c>
      <c r="E1662" s="1">
        <v>-7.7</v>
      </c>
      <c r="F1662" s="1" t="s">
        <v>15157</v>
      </c>
    </row>
    <row r="1663" spans="1:6" ht="21" x14ac:dyDescent="0.25">
      <c r="A1663" s="2" t="str">
        <f>HYPERLINK("https://rth.dk/resources/bsgatlas/details.php?id=BSGatlas-terminator-1662","BSGatlas-terminator-1662")</f>
        <v>BSGatlas-terminator-1662</v>
      </c>
      <c r="B1663" s="3">
        <v>2684423</v>
      </c>
      <c r="C1663" s="3">
        <v>2684467</v>
      </c>
      <c r="D1663" s="1" t="s">
        <v>9</v>
      </c>
      <c r="E1663" s="1">
        <v>-6.4</v>
      </c>
      <c r="F1663" s="1" t="s">
        <v>15157</v>
      </c>
    </row>
    <row r="1664" spans="1:6" ht="21" x14ac:dyDescent="0.25">
      <c r="A1664" s="2" t="str">
        <f>HYPERLINK("https://rth.dk/resources/bsgatlas/details.php?id=BSGatlas-terminator-1663","BSGatlas-terminator-1663")</f>
        <v>BSGatlas-terminator-1663</v>
      </c>
      <c r="B1664" s="3">
        <v>2685181</v>
      </c>
      <c r="C1664" s="3">
        <v>2685225</v>
      </c>
      <c r="D1664" s="1" t="s">
        <v>13</v>
      </c>
      <c r="E1664" s="1">
        <v>-7.7</v>
      </c>
      <c r="F1664" s="1" t="s">
        <v>15157</v>
      </c>
    </row>
    <row r="1665" spans="1:6" ht="21" x14ac:dyDescent="0.25">
      <c r="A1665" s="2" t="str">
        <f>HYPERLINK("https://rth.dk/resources/bsgatlas/details.php?id=BSGatlas-terminator-1664","BSGatlas-terminator-1664")</f>
        <v>BSGatlas-terminator-1664</v>
      </c>
      <c r="B1665" s="3">
        <v>2690395</v>
      </c>
      <c r="C1665" s="3">
        <v>2690439</v>
      </c>
      <c r="D1665" s="1" t="s">
        <v>13</v>
      </c>
      <c r="E1665" s="1">
        <v>-6.1</v>
      </c>
      <c r="F1665" s="1" t="s">
        <v>15157</v>
      </c>
    </row>
    <row r="1666" spans="1:6" ht="21" x14ac:dyDescent="0.25">
      <c r="A1666" s="2" t="str">
        <f>HYPERLINK("https://rth.dk/resources/bsgatlas/details.php?id=BSGatlas-terminator-1665","BSGatlas-terminator-1665")</f>
        <v>BSGatlas-terminator-1665</v>
      </c>
      <c r="B1666" s="3">
        <v>2691517</v>
      </c>
      <c r="C1666" s="3">
        <v>2691561</v>
      </c>
      <c r="D1666" s="1" t="s">
        <v>13</v>
      </c>
      <c r="E1666" s="1">
        <v>-22.6</v>
      </c>
      <c r="F1666" s="1" t="s">
        <v>15162</v>
      </c>
    </row>
    <row r="1667" spans="1:6" ht="21" x14ac:dyDescent="0.25">
      <c r="A1667" s="2" t="str">
        <f>HYPERLINK("https://rth.dk/resources/bsgatlas/details.php?id=BSGatlas-terminator-1666","BSGatlas-terminator-1666")</f>
        <v>BSGatlas-terminator-1666</v>
      </c>
      <c r="B1667" s="3">
        <v>2692541</v>
      </c>
      <c r="C1667" s="3">
        <v>2692585</v>
      </c>
      <c r="D1667" s="1" t="s">
        <v>9</v>
      </c>
      <c r="E1667" s="1">
        <v>-8.8000000000000007</v>
      </c>
      <c r="F1667" s="1" t="s">
        <v>15157</v>
      </c>
    </row>
    <row r="1668" spans="1:6" ht="21" x14ac:dyDescent="0.25">
      <c r="A1668" s="2" t="str">
        <f>HYPERLINK("https://rth.dk/resources/bsgatlas/details.php?id=BSGatlas-terminator-1667","BSGatlas-terminator-1667")</f>
        <v>BSGatlas-terminator-1667</v>
      </c>
      <c r="B1668" s="3">
        <v>2692848</v>
      </c>
      <c r="C1668" s="3">
        <v>2692892</v>
      </c>
      <c r="D1668" s="1" t="s">
        <v>9</v>
      </c>
      <c r="E1668" s="1">
        <v>-11.3</v>
      </c>
      <c r="F1668" s="1" t="s">
        <v>15162</v>
      </c>
    </row>
    <row r="1669" spans="1:6" ht="21" x14ac:dyDescent="0.25">
      <c r="A1669" s="2" t="str">
        <f>HYPERLINK("https://rth.dk/resources/bsgatlas/details.php?id=BSGatlas-terminator-1668","BSGatlas-terminator-1668")</f>
        <v>BSGatlas-terminator-1668</v>
      </c>
      <c r="B1669" s="3">
        <v>2699317</v>
      </c>
      <c r="C1669" s="3">
        <v>2699361</v>
      </c>
      <c r="D1669" s="1" t="s">
        <v>9</v>
      </c>
      <c r="E1669" s="1">
        <v>-4.5</v>
      </c>
      <c r="F1669" s="1" t="s">
        <v>15162</v>
      </c>
    </row>
    <row r="1670" spans="1:6" ht="21" x14ac:dyDescent="0.25">
      <c r="A1670" s="2" t="str">
        <f>HYPERLINK("https://rth.dk/resources/bsgatlas/details.php?id=BSGatlas-terminator-1669","BSGatlas-terminator-1669")</f>
        <v>BSGatlas-terminator-1669</v>
      </c>
      <c r="B1670" s="3">
        <v>2701760</v>
      </c>
      <c r="C1670" s="3">
        <v>2701799</v>
      </c>
      <c r="D1670" s="1" t="s">
        <v>9</v>
      </c>
      <c r="E1670" s="1">
        <v>-11.6</v>
      </c>
      <c r="F1670" s="1" t="s">
        <v>15158</v>
      </c>
    </row>
    <row r="1671" spans="1:6" ht="21" x14ac:dyDescent="0.25">
      <c r="A1671" s="2" t="str">
        <f>HYPERLINK("https://rth.dk/resources/bsgatlas/details.php?id=BSGatlas-terminator-1670","BSGatlas-terminator-1670")</f>
        <v>BSGatlas-terminator-1670</v>
      </c>
      <c r="B1671" s="3">
        <v>2701879</v>
      </c>
      <c r="C1671" s="3">
        <v>2701923</v>
      </c>
      <c r="D1671" s="1" t="s">
        <v>13</v>
      </c>
      <c r="E1671" s="1">
        <v>-14.7</v>
      </c>
      <c r="F1671" s="1" t="s">
        <v>15157</v>
      </c>
    </row>
    <row r="1672" spans="1:6" ht="21" x14ac:dyDescent="0.25">
      <c r="A1672" s="2" t="str">
        <f>HYPERLINK("https://rth.dk/resources/bsgatlas/details.php?id=BSGatlas-terminator-1671","BSGatlas-terminator-1671")</f>
        <v>BSGatlas-terminator-1671</v>
      </c>
      <c r="B1672" s="3">
        <v>2702255</v>
      </c>
      <c r="C1672" s="3">
        <v>2702299</v>
      </c>
      <c r="D1672" s="1" t="s">
        <v>13</v>
      </c>
      <c r="E1672" s="1">
        <v>-10.6</v>
      </c>
      <c r="F1672" s="1" t="s">
        <v>15157</v>
      </c>
    </row>
    <row r="1673" spans="1:6" ht="21" x14ac:dyDescent="0.25">
      <c r="A1673" s="2" t="str">
        <f>HYPERLINK("https://rth.dk/resources/bsgatlas/details.php?id=BSGatlas-terminator-1672","BSGatlas-terminator-1672")</f>
        <v>BSGatlas-terminator-1672</v>
      </c>
      <c r="B1673" s="3">
        <v>2703084</v>
      </c>
      <c r="C1673" s="3">
        <v>2703150</v>
      </c>
      <c r="D1673" s="1" t="s">
        <v>9</v>
      </c>
      <c r="E1673" s="1"/>
      <c r="F1673" s="1" t="s">
        <v>15159</v>
      </c>
    </row>
    <row r="1674" spans="1:6" ht="21" x14ac:dyDescent="0.25">
      <c r="A1674" s="2" t="str">
        <f>HYPERLINK("https://rth.dk/resources/bsgatlas/details.php?id=BSGatlas-terminator-1673","BSGatlas-terminator-1673")</f>
        <v>BSGatlas-terminator-1673</v>
      </c>
      <c r="B1674" s="3">
        <v>2706678</v>
      </c>
      <c r="C1674" s="3">
        <v>2706744</v>
      </c>
      <c r="D1674" s="1" t="s">
        <v>13</v>
      </c>
      <c r="E1674" s="1"/>
      <c r="F1674" s="1" t="s">
        <v>15159</v>
      </c>
    </row>
    <row r="1675" spans="1:6" ht="21" x14ac:dyDescent="0.25">
      <c r="A1675" s="2" t="str">
        <f>HYPERLINK("https://rth.dk/resources/bsgatlas/details.php?id=BSGatlas-terminator-1674","BSGatlas-terminator-1674")</f>
        <v>BSGatlas-terminator-1674</v>
      </c>
      <c r="B1675" s="3">
        <v>2707774</v>
      </c>
      <c r="C1675" s="3">
        <v>2707840</v>
      </c>
      <c r="D1675" s="1" t="s">
        <v>9</v>
      </c>
      <c r="E1675" s="1"/>
      <c r="F1675" s="1" t="s">
        <v>15159</v>
      </c>
    </row>
    <row r="1676" spans="1:6" ht="21" x14ac:dyDescent="0.25">
      <c r="A1676" s="2" t="str">
        <f>HYPERLINK("https://rth.dk/resources/bsgatlas/details.php?id=BSGatlas-terminator-1675","BSGatlas-terminator-1675")</f>
        <v>BSGatlas-terminator-1675</v>
      </c>
      <c r="B1676" s="3">
        <v>2707781</v>
      </c>
      <c r="C1676" s="3">
        <v>2707825</v>
      </c>
      <c r="D1676" s="1" t="s">
        <v>13</v>
      </c>
      <c r="E1676" s="1">
        <v>-23.7</v>
      </c>
      <c r="F1676" s="1" t="s">
        <v>15162</v>
      </c>
    </row>
    <row r="1677" spans="1:6" ht="21" x14ac:dyDescent="0.25">
      <c r="A1677" s="2" t="str">
        <f>HYPERLINK("https://rth.dk/resources/bsgatlas/details.php?id=BSGatlas-terminator-1676","BSGatlas-terminator-1676")</f>
        <v>BSGatlas-terminator-1676</v>
      </c>
      <c r="B1677" s="3">
        <v>2710850</v>
      </c>
      <c r="C1677" s="3">
        <v>2710894</v>
      </c>
      <c r="D1677" s="1" t="s">
        <v>13</v>
      </c>
      <c r="E1677" s="1">
        <v>-23.7</v>
      </c>
      <c r="F1677" s="1" t="s">
        <v>15157</v>
      </c>
    </row>
    <row r="1678" spans="1:6" ht="21" x14ac:dyDescent="0.25">
      <c r="A1678" s="2" t="str">
        <f>HYPERLINK("https://rth.dk/resources/bsgatlas/details.php?id=BSGatlas-terminator-1677","BSGatlas-terminator-1677")</f>
        <v>BSGatlas-terminator-1677</v>
      </c>
      <c r="B1678" s="3">
        <v>2713934</v>
      </c>
      <c r="C1678" s="3">
        <v>2713978</v>
      </c>
      <c r="D1678" s="1" t="s">
        <v>13</v>
      </c>
      <c r="E1678" s="1">
        <v>-7.9</v>
      </c>
      <c r="F1678" s="1" t="s">
        <v>15157</v>
      </c>
    </row>
    <row r="1679" spans="1:6" ht="21" x14ac:dyDescent="0.25">
      <c r="A1679" s="2" t="str">
        <f>HYPERLINK("https://rth.dk/resources/bsgatlas/details.php?id=BSGatlas-terminator-1678","BSGatlas-terminator-1678")</f>
        <v>BSGatlas-terminator-1678</v>
      </c>
      <c r="B1679" s="3">
        <v>2714757</v>
      </c>
      <c r="C1679" s="3">
        <v>2714805</v>
      </c>
      <c r="D1679" s="1" t="s">
        <v>13</v>
      </c>
      <c r="E1679" s="1">
        <v>-13.5</v>
      </c>
      <c r="F1679" s="1" t="s">
        <v>4382</v>
      </c>
    </row>
    <row r="1680" spans="1:6" ht="21" x14ac:dyDescent="0.25">
      <c r="A1680" s="2" t="str">
        <f>HYPERLINK("https://rth.dk/resources/bsgatlas/details.php?id=BSGatlas-terminator-1679","BSGatlas-terminator-1679")</f>
        <v>BSGatlas-terminator-1679</v>
      </c>
      <c r="B1680" s="3">
        <v>2718912</v>
      </c>
      <c r="C1680" s="3">
        <v>2718956</v>
      </c>
      <c r="D1680" s="1" t="s">
        <v>13</v>
      </c>
      <c r="E1680" s="1">
        <v>-10.7</v>
      </c>
      <c r="F1680" s="1" t="s">
        <v>15157</v>
      </c>
    </row>
    <row r="1681" spans="1:6" ht="21" x14ac:dyDescent="0.25">
      <c r="A1681" s="2" t="str">
        <f>HYPERLINK("https://rth.dk/resources/bsgatlas/details.php?id=BSGatlas-terminator-1680","BSGatlas-terminator-1680")</f>
        <v>BSGatlas-terminator-1680</v>
      </c>
      <c r="B1681" s="3">
        <v>2722681</v>
      </c>
      <c r="C1681" s="3">
        <v>2722725</v>
      </c>
      <c r="D1681" s="1" t="s">
        <v>9</v>
      </c>
      <c r="E1681" s="1">
        <v>-7</v>
      </c>
      <c r="F1681" s="1" t="s">
        <v>15162</v>
      </c>
    </row>
    <row r="1682" spans="1:6" ht="21" x14ac:dyDescent="0.25">
      <c r="A1682" s="2" t="str">
        <f>HYPERLINK("https://rth.dk/resources/bsgatlas/details.php?id=BSGatlas-terminator-1681","BSGatlas-terminator-1681")</f>
        <v>BSGatlas-terminator-1681</v>
      </c>
      <c r="B1682" s="3">
        <v>2722757</v>
      </c>
      <c r="C1682" s="3">
        <v>2722801</v>
      </c>
      <c r="D1682" s="1" t="s">
        <v>13</v>
      </c>
      <c r="E1682" s="1">
        <v>-12.5</v>
      </c>
      <c r="F1682" s="1" t="s">
        <v>15157</v>
      </c>
    </row>
    <row r="1683" spans="1:6" ht="21" x14ac:dyDescent="0.25">
      <c r="A1683" s="2" t="str">
        <f>HYPERLINK("https://rth.dk/resources/bsgatlas/details.php?id=BSGatlas-terminator-1682","BSGatlas-terminator-1682")</f>
        <v>BSGatlas-terminator-1682</v>
      </c>
      <c r="B1683" s="3">
        <v>2725067</v>
      </c>
      <c r="C1683" s="3">
        <v>2725111</v>
      </c>
      <c r="D1683" s="1" t="s">
        <v>13</v>
      </c>
      <c r="E1683" s="1">
        <v>-18.100000000000001</v>
      </c>
      <c r="F1683" s="1" t="s">
        <v>15157</v>
      </c>
    </row>
    <row r="1684" spans="1:6" ht="21" x14ac:dyDescent="0.25">
      <c r="A1684" s="2" t="str">
        <f>HYPERLINK("https://rth.dk/resources/bsgatlas/details.php?id=BSGatlas-terminator-1683","BSGatlas-terminator-1683")</f>
        <v>BSGatlas-terminator-1683</v>
      </c>
      <c r="B1684" s="3">
        <v>2726811</v>
      </c>
      <c r="C1684" s="3">
        <v>2726853</v>
      </c>
      <c r="D1684" s="1" t="s">
        <v>13</v>
      </c>
      <c r="E1684" s="1">
        <v>-8.9</v>
      </c>
      <c r="F1684" s="1" t="s">
        <v>4382</v>
      </c>
    </row>
    <row r="1685" spans="1:6" ht="21" x14ac:dyDescent="0.25">
      <c r="A1685" s="2" t="str">
        <f>HYPERLINK("https://rth.dk/resources/bsgatlas/details.php?id=BSGatlas-terminator-1684","BSGatlas-terminator-1684")</f>
        <v>BSGatlas-terminator-1684</v>
      </c>
      <c r="B1685" s="3">
        <v>2726812</v>
      </c>
      <c r="C1685" s="3">
        <v>2726858</v>
      </c>
      <c r="D1685" s="1" t="s">
        <v>9</v>
      </c>
      <c r="E1685" s="1">
        <v>-6.8</v>
      </c>
      <c r="F1685" s="1" t="s">
        <v>4382</v>
      </c>
    </row>
    <row r="1686" spans="1:6" ht="21" x14ac:dyDescent="0.25">
      <c r="A1686" s="2" t="str">
        <f>HYPERLINK("https://rth.dk/resources/bsgatlas/details.php?id=BSGatlas-terminator-1685","BSGatlas-terminator-1685")</f>
        <v>BSGatlas-terminator-1685</v>
      </c>
      <c r="B1686" s="3">
        <v>2730888</v>
      </c>
      <c r="C1686" s="3">
        <v>2730954</v>
      </c>
      <c r="D1686" s="1" t="s">
        <v>13</v>
      </c>
      <c r="E1686" s="1"/>
      <c r="F1686" s="1" t="s">
        <v>15159</v>
      </c>
    </row>
    <row r="1687" spans="1:6" ht="21" x14ac:dyDescent="0.25">
      <c r="A1687" s="2" t="str">
        <f>HYPERLINK("https://rth.dk/resources/bsgatlas/details.php?id=BSGatlas-terminator-1686","BSGatlas-terminator-1686")</f>
        <v>BSGatlas-terminator-1686</v>
      </c>
      <c r="B1687" s="3">
        <v>2732943</v>
      </c>
      <c r="C1687" s="3">
        <v>2732987</v>
      </c>
      <c r="D1687" s="1" t="s">
        <v>13</v>
      </c>
      <c r="E1687" s="1">
        <v>-16.7</v>
      </c>
      <c r="F1687" s="1" t="s">
        <v>15157</v>
      </c>
    </row>
    <row r="1688" spans="1:6" ht="21" x14ac:dyDescent="0.25">
      <c r="A1688" s="2" t="str">
        <f>HYPERLINK("https://rth.dk/resources/bsgatlas/details.php?id=BSGatlas-terminator-1687","BSGatlas-terminator-1687")</f>
        <v>BSGatlas-terminator-1687</v>
      </c>
      <c r="B1688" s="3">
        <v>2733439</v>
      </c>
      <c r="C1688" s="3">
        <v>2733483</v>
      </c>
      <c r="D1688" s="1" t="s">
        <v>9</v>
      </c>
      <c r="E1688" s="1">
        <v>-6.6</v>
      </c>
      <c r="F1688" s="1" t="s">
        <v>15157</v>
      </c>
    </row>
    <row r="1689" spans="1:6" ht="21" x14ac:dyDescent="0.25">
      <c r="A1689" s="2" t="str">
        <f>HYPERLINK("https://rth.dk/resources/bsgatlas/details.php?id=BSGatlas-terminator-1688","BSGatlas-terminator-1688")</f>
        <v>BSGatlas-terminator-1688</v>
      </c>
      <c r="B1689" s="3">
        <v>2734917</v>
      </c>
      <c r="C1689" s="3">
        <v>2734961</v>
      </c>
      <c r="D1689" s="1" t="s">
        <v>13</v>
      </c>
      <c r="E1689" s="1">
        <v>-10.3</v>
      </c>
      <c r="F1689" s="1" t="s">
        <v>15157</v>
      </c>
    </row>
    <row r="1690" spans="1:6" ht="21" x14ac:dyDescent="0.25">
      <c r="A1690" s="2" t="str">
        <f>HYPERLINK("https://rth.dk/resources/bsgatlas/details.php?id=BSGatlas-terminator-1689","BSGatlas-terminator-1689")</f>
        <v>BSGatlas-terminator-1689</v>
      </c>
      <c r="B1690" s="3">
        <v>2737934</v>
      </c>
      <c r="C1690" s="3">
        <v>2737978</v>
      </c>
      <c r="D1690" s="1" t="s">
        <v>9</v>
      </c>
      <c r="E1690" s="1">
        <v>-6.6</v>
      </c>
      <c r="F1690" s="1" t="s">
        <v>15157</v>
      </c>
    </row>
    <row r="1691" spans="1:6" ht="21" x14ac:dyDescent="0.25">
      <c r="A1691" s="2" t="str">
        <f>HYPERLINK("https://rth.dk/resources/bsgatlas/details.php?id=BSGatlas-terminator-1690","BSGatlas-terminator-1690")</f>
        <v>BSGatlas-terminator-1690</v>
      </c>
      <c r="B1691" s="3">
        <v>2740171</v>
      </c>
      <c r="C1691" s="3">
        <v>2740215</v>
      </c>
      <c r="D1691" s="1" t="s">
        <v>9</v>
      </c>
      <c r="E1691" s="1">
        <v>-8.1999999999999993</v>
      </c>
      <c r="F1691" s="1" t="s">
        <v>15157</v>
      </c>
    </row>
    <row r="1692" spans="1:6" ht="21" x14ac:dyDescent="0.25">
      <c r="A1692" s="2" t="str">
        <f>HYPERLINK("https://rth.dk/resources/bsgatlas/details.php?id=BSGatlas-terminator-1691","BSGatlas-terminator-1691")</f>
        <v>BSGatlas-terminator-1691</v>
      </c>
      <c r="B1692" s="3">
        <v>2740829</v>
      </c>
      <c r="C1692" s="3">
        <v>2740873</v>
      </c>
      <c r="D1692" s="1" t="s">
        <v>9</v>
      </c>
      <c r="E1692" s="1">
        <v>-18.100000000000001</v>
      </c>
      <c r="F1692" s="1" t="s">
        <v>15157</v>
      </c>
    </row>
    <row r="1693" spans="1:6" ht="21" x14ac:dyDescent="0.25">
      <c r="A1693" s="2" t="str">
        <f>HYPERLINK("https://rth.dk/resources/bsgatlas/details.php?id=BSGatlas-terminator-1692","BSGatlas-terminator-1692")</f>
        <v>BSGatlas-terminator-1692</v>
      </c>
      <c r="B1693" s="3">
        <v>2741060</v>
      </c>
      <c r="C1693" s="3">
        <v>2741126</v>
      </c>
      <c r="D1693" s="1" t="s">
        <v>9</v>
      </c>
      <c r="E1693" s="1"/>
      <c r="F1693" s="1" t="s">
        <v>15159</v>
      </c>
    </row>
    <row r="1694" spans="1:6" ht="21" x14ac:dyDescent="0.25">
      <c r="A1694" s="2" t="str">
        <f>HYPERLINK("https://rth.dk/resources/bsgatlas/details.php?id=BSGatlas-terminator-1693","BSGatlas-terminator-1693")</f>
        <v>BSGatlas-terminator-1693</v>
      </c>
      <c r="B1694" s="3">
        <v>2741105</v>
      </c>
      <c r="C1694" s="3">
        <v>2741149</v>
      </c>
      <c r="D1694" s="1" t="s">
        <v>13</v>
      </c>
      <c r="E1694" s="1">
        <v>-15.5</v>
      </c>
      <c r="F1694" s="1" t="s">
        <v>15162</v>
      </c>
    </row>
    <row r="1695" spans="1:6" ht="21" x14ac:dyDescent="0.25">
      <c r="A1695" s="2" t="str">
        <f>HYPERLINK("https://rth.dk/resources/bsgatlas/details.php?id=BSGatlas-terminator-1694","BSGatlas-terminator-1694")</f>
        <v>BSGatlas-terminator-1694</v>
      </c>
      <c r="B1695" s="3">
        <v>2747936</v>
      </c>
      <c r="C1695" s="3">
        <v>2747980</v>
      </c>
      <c r="D1695" s="1" t="s">
        <v>13</v>
      </c>
      <c r="E1695" s="1">
        <v>-8.6999999999999993</v>
      </c>
      <c r="F1695" s="1" t="s">
        <v>15157</v>
      </c>
    </row>
    <row r="1696" spans="1:6" ht="21" x14ac:dyDescent="0.25">
      <c r="A1696" s="2" t="str">
        <f>HYPERLINK("https://rth.dk/resources/bsgatlas/details.php?id=BSGatlas-terminator-1695","BSGatlas-terminator-1695")</f>
        <v>BSGatlas-terminator-1695</v>
      </c>
      <c r="B1696" s="3">
        <v>2749489</v>
      </c>
      <c r="C1696" s="3">
        <v>2749533</v>
      </c>
      <c r="D1696" s="1" t="s">
        <v>9</v>
      </c>
      <c r="E1696" s="1">
        <v>-9.9</v>
      </c>
      <c r="F1696" s="1" t="s">
        <v>15157</v>
      </c>
    </row>
    <row r="1697" spans="1:6" ht="21" x14ac:dyDescent="0.25">
      <c r="A1697" s="2" t="str">
        <f>HYPERLINK("https://rth.dk/resources/bsgatlas/details.php?id=BSGatlas-terminator-1696","BSGatlas-terminator-1696")</f>
        <v>BSGatlas-terminator-1696</v>
      </c>
      <c r="B1697" s="3">
        <v>2750831</v>
      </c>
      <c r="C1697" s="3">
        <v>2750875</v>
      </c>
      <c r="D1697" s="1" t="s">
        <v>13</v>
      </c>
      <c r="E1697" s="1">
        <v>-12.6</v>
      </c>
      <c r="F1697" s="1" t="s">
        <v>15162</v>
      </c>
    </row>
    <row r="1698" spans="1:6" ht="21" x14ac:dyDescent="0.25">
      <c r="A1698" s="2" t="str">
        <f>HYPERLINK("https://rth.dk/resources/bsgatlas/details.php?id=BSGatlas-terminator-1697","BSGatlas-terminator-1697")</f>
        <v>BSGatlas-terminator-1697</v>
      </c>
      <c r="B1698" s="3">
        <v>2752084</v>
      </c>
      <c r="C1698" s="3">
        <v>2752128</v>
      </c>
      <c r="D1698" s="1" t="s">
        <v>13</v>
      </c>
      <c r="E1698" s="1">
        <v>-12.6</v>
      </c>
      <c r="F1698" s="1" t="s">
        <v>15162</v>
      </c>
    </row>
    <row r="1699" spans="1:6" ht="21" x14ac:dyDescent="0.25">
      <c r="A1699" s="2" t="str">
        <f>HYPERLINK("https://rth.dk/resources/bsgatlas/details.php?id=BSGatlas-terminator-1698","BSGatlas-terminator-1698")</f>
        <v>BSGatlas-terminator-1698</v>
      </c>
      <c r="B1699" s="3">
        <v>2755088</v>
      </c>
      <c r="C1699" s="3">
        <v>2755132</v>
      </c>
      <c r="D1699" s="1" t="s">
        <v>9</v>
      </c>
      <c r="E1699" s="1">
        <v>-10.7</v>
      </c>
      <c r="F1699" s="1" t="s">
        <v>15157</v>
      </c>
    </row>
    <row r="1700" spans="1:6" ht="21" x14ac:dyDescent="0.25">
      <c r="A1700" s="2" t="str">
        <f>HYPERLINK("https://rth.dk/resources/bsgatlas/details.php?id=BSGatlas-terminator-1699","BSGatlas-terminator-1699")</f>
        <v>BSGatlas-terminator-1699</v>
      </c>
      <c r="B1700" s="3">
        <v>2755532</v>
      </c>
      <c r="C1700" s="3">
        <v>2755574</v>
      </c>
      <c r="D1700" s="1" t="s">
        <v>9</v>
      </c>
      <c r="E1700" s="1">
        <v>-5.7</v>
      </c>
      <c r="F1700" s="1" t="s">
        <v>4382</v>
      </c>
    </row>
    <row r="1701" spans="1:6" ht="21" x14ac:dyDescent="0.25">
      <c r="A1701" s="2" t="str">
        <f>HYPERLINK("https://rth.dk/resources/bsgatlas/details.php?id=BSGatlas-terminator-1700","BSGatlas-terminator-1700")</f>
        <v>BSGatlas-terminator-1700</v>
      </c>
      <c r="B1701" s="3">
        <v>2757948</v>
      </c>
      <c r="C1701" s="3">
        <v>2757992</v>
      </c>
      <c r="D1701" s="1" t="s">
        <v>9</v>
      </c>
      <c r="E1701" s="1">
        <v>-16.3</v>
      </c>
      <c r="F1701" s="1" t="s">
        <v>15157</v>
      </c>
    </row>
    <row r="1702" spans="1:6" ht="21" x14ac:dyDescent="0.25">
      <c r="A1702" s="2" t="str">
        <f>HYPERLINK("https://rth.dk/resources/bsgatlas/details.php?id=BSGatlas-terminator-1701","BSGatlas-terminator-1701")</f>
        <v>BSGatlas-terminator-1701</v>
      </c>
      <c r="B1702" s="3">
        <v>2757993</v>
      </c>
      <c r="C1702" s="3">
        <v>2758037</v>
      </c>
      <c r="D1702" s="1" t="s">
        <v>13</v>
      </c>
      <c r="E1702" s="1">
        <v>-17.399999999999999</v>
      </c>
      <c r="F1702" s="1" t="s">
        <v>4382</v>
      </c>
    </row>
    <row r="1703" spans="1:6" ht="21" x14ac:dyDescent="0.25">
      <c r="A1703" s="2" t="str">
        <f>HYPERLINK("https://rth.dk/resources/bsgatlas/details.php?id=BSGatlas-terminator-1702","BSGatlas-terminator-1702")</f>
        <v>BSGatlas-terminator-1702</v>
      </c>
      <c r="B1703" s="3">
        <v>2757993</v>
      </c>
      <c r="C1703" s="3">
        <v>2758047</v>
      </c>
      <c r="D1703" s="1" t="s">
        <v>9</v>
      </c>
      <c r="E1703" s="1">
        <v>-20.8</v>
      </c>
      <c r="F1703" s="1" t="s">
        <v>4382</v>
      </c>
    </row>
    <row r="1704" spans="1:6" ht="21" x14ac:dyDescent="0.25">
      <c r="A1704" s="2" t="str">
        <f>HYPERLINK("https://rth.dk/resources/bsgatlas/details.php?id=BSGatlas-terminator-1703","BSGatlas-terminator-1703")</f>
        <v>BSGatlas-terminator-1703</v>
      </c>
      <c r="B1704" s="3">
        <v>2758046</v>
      </c>
      <c r="C1704" s="3">
        <v>2758090</v>
      </c>
      <c r="D1704" s="1" t="s">
        <v>13</v>
      </c>
      <c r="E1704" s="1">
        <v>-14.2</v>
      </c>
      <c r="F1704" s="1" t="s">
        <v>15157</v>
      </c>
    </row>
    <row r="1705" spans="1:6" ht="21" x14ac:dyDescent="0.25">
      <c r="A1705" s="2" t="str">
        <f>HYPERLINK("https://rth.dk/resources/bsgatlas/details.php?id=BSGatlas-terminator-1704","BSGatlas-terminator-1704")</f>
        <v>BSGatlas-terminator-1704</v>
      </c>
      <c r="B1705" s="3">
        <v>2759087</v>
      </c>
      <c r="C1705" s="3">
        <v>2759153</v>
      </c>
      <c r="D1705" s="1" t="s">
        <v>9</v>
      </c>
      <c r="E1705" s="1"/>
      <c r="F1705" s="1" t="s">
        <v>15159</v>
      </c>
    </row>
    <row r="1706" spans="1:6" ht="21" x14ac:dyDescent="0.25">
      <c r="A1706" s="2" t="str">
        <f>HYPERLINK("https://rth.dk/resources/bsgatlas/details.php?id=BSGatlas-terminator-1705","BSGatlas-terminator-1705")</f>
        <v>BSGatlas-terminator-1705</v>
      </c>
      <c r="B1706" s="3">
        <v>2762810</v>
      </c>
      <c r="C1706" s="3">
        <v>2762854</v>
      </c>
      <c r="D1706" s="1" t="s">
        <v>9</v>
      </c>
      <c r="E1706" s="1">
        <v>-16.3</v>
      </c>
      <c r="F1706" s="1" t="s">
        <v>15157</v>
      </c>
    </row>
    <row r="1707" spans="1:6" ht="21" x14ac:dyDescent="0.25">
      <c r="A1707" s="2" t="str">
        <f>HYPERLINK("https://rth.dk/resources/bsgatlas/details.php?id=BSGatlas-terminator-1706","BSGatlas-terminator-1706")</f>
        <v>BSGatlas-terminator-1706</v>
      </c>
      <c r="B1707" s="3">
        <v>2767913</v>
      </c>
      <c r="C1707" s="3">
        <v>2767957</v>
      </c>
      <c r="D1707" s="1" t="s">
        <v>9</v>
      </c>
      <c r="E1707" s="1">
        <v>-13</v>
      </c>
      <c r="F1707" s="1" t="s">
        <v>15157</v>
      </c>
    </row>
    <row r="1708" spans="1:6" ht="21" x14ac:dyDescent="0.25">
      <c r="A1708" s="2" t="str">
        <f>HYPERLINK("https://rth.dk/resources/bsgatlas/details.php?id=BSGatlas-terminator-1707","BSGatlas-terminator-1707")</f>
        <v>BSGatlas-terminator-1707</v>
      </c>
      <c r="B1708" s="3">
        <v>2767988</v>
      </c>
      <c r="C1708" s="3">
        <v>2768032</v>
      </c>
      <c r="D1708" s="1" t="s">
        <v>13</v>
      </c>
      <c r="E1708" s="1">
        <v>-13</v>
      </c>
      <c r="F1708" s="1" t="s">
        <v>15162</v>
      </c>
    </row>
    <row r="1709" spans="1:6" ht="21" x14ac:dyDescent="0.25">
      <c r="A1709" s="2" t="str">
        <f>HYPERLINK("https://rth.dk/resources/bsgatlas/details.php?id=BSGatlas-terminator-1708","BSGatlas-terminator-1708")</f>
        <v>BSGatlas-terminator-1708</v>
      </c>
      <c r="B1709" s="3">
        <v>2768076</v>
      </c>
      <c r="C1709" s="3">
        <v>2768120</v>
      </c>
      <c r="D1709" s="1" t="s">
        <v>13</v>
      </c>
      <c r="E1709" s="1">
        <v>-13</v>
      </c>
      <c r="F1709" s="1" t="s">
        <v>15157</v>
      </c>
    </row>
    <row r="1710" spans="1:6" ht="21" x14ac:dyDescent="0.25">
      <c r="A1710" s="2" t="str">
        <f>HYPERLINK("https://rth.dk/resources/bsgatlas/details.php?id=BSGatlas-terminator-1709","BSGatlas-terminator-1709")</f>
        <v>BSGatlas-terminator-1709</v>
      </c>
      <c r="B1710" s="3">
        <v>2769628</v>
      </c>
      <c r="C1710" s="3">
        <v>2769672</v>
      </c>
      <c r="D1710" s="1" t="s">
        <v>9</v>
      </c>
      <c r="E1710" s="1">
        <v>-9.5</v>
      </c>
      <c r="F1710" s="1" t="s">
        <v>15157</v>
      </c>
    </row>
    <row r="1711" spans="1:6" ht="21" x14ac:dyDescent="0.25">
      <c r="A1711" s="2" t="str">
        <f>HYPERLINK("https://rth.dk/resources/bsgatlas/details.php?id=BSGatlas-terminator-1710","BSGatlas-terminator-1710")</f>
        <v>BSGatlas-terminator-1710</v>
      </c>
      <c r="B1711" s="3">
        <v>2771199</v>
      </c>
      <c r="C1711" s="3">
        <v>2771252</v>
      </c>
      <c r="D1711" s="1" t="s">
        <v>9</v>
      </c>
      <c r="E1711" s="1">
        <v>-8.6999999999999993</v>
      </c>
      <c r="F1711" s="1" t="s">
        <v>4382</v>
      </c>
    </row>
    <row r="1712" spans="1:6" ht="21" x14ac:dyDescent="0.25">
      <c r="A1712" s="2" t="str">
        <f>HYPERLINK("https://rth.dk/resources/bsgatlas/details.php?id=BSGatlas-terminator-1711","BSGatlas-terminator-1711")</f>
        <v>BSGatlas-terminator-1711</v>
      </c>
      <c r="B1712" s="3">
        <v>2773824</v>
      </c>
      <c r="C1712" s="3">
        <v>2773868</v>
      </c>
      <c r="D1712" s="1" t="s">
        <v>9</v>
      </c>
      <c r="E1712" s="1">
        <v>-15.8</v>
      </c>
      <c r="F1712" s="1" t="s">
        <v>15157</v>
      </c>
    </row>
    <row r="1713" spans="1:6" ht="21" x14ac:dyDescent="0.25">
      <c r="A1713" s="2" t="str">
        <f>HYPERLINK("https://rth.dk/resources/bsgatlas/details.php?id=BSGatlas-terminator-1712","BSGatlas-terminator-1712")</f>
        <v>BSGatlas-terminator-1712</v>
      </c>
      <c r="B1713" s="3">
        <v>2773843</v>
      </c>
      <c r="C1713" s="3">
        <v>2773885</v>
      </c>
      <c r="D1713" s="1" t="s">
        <v>13</v>
      </c>
      <c r="E1713" s="1">
        <v>-19.3</v>
      </c>
      <c r="F1713" s="1" t="s">
        <v>15158</v>
      </c>
    </row>
    <row r="1714" spans="1:6" ht="21" x14ac:dyDescent="0.25">
      <c r="A1714" s="2" t="str">
        <f>HYPERLINK("https://rth.dk/resources/bsgatlas/details.php?id=BSGatlas-terminator-1713","BSGatlas-terminator-1713")</f>
        <v>BSGatlas-terminator-1713</v>
      </c>
      <c r="B1714" s="3">
        <v>2777811</v>
      </c>
      <c r="C1714" s="3">
        <v>2777865</v>
      </c>
      <c r="D1714" s="1" t="s">
        <v>13</v>
      </c>
      <c r="E1714" s="1">
        <v>-15.7</v>
      </c>
      <c r="F1714" s="1" t="s">
        <v>4382</v>
      </c>
    </row>
    <row r="1715" spans="1:6" ht="21" x14ac:dyDescent="0.25">
      <c r="A1715" s="2" t="str">
        <f>HYPERLINK("https://rth.dk/resources/bsgatlas/details.php?id=BSGatlas-terminator-1714","BSGatlas-terminator-1714")</f>
        <v>BSGatlas-terminator-1714</v>
      </c>
      <c r="B1715" s="3">
        <v>2778595</v>
      </c>
      <c r="C1715" s="3">
        <v>2778639</v>
      </c>
      <c r="D1715" s="1" t="s">
        <v>13</v>
      </c>
      <c r="E1715" s="1">
        <v>-11.3</v>
      </c>
      <c r="F1715" s="1" t="s">
        <v>15157</v>
      </c>
    </row>
    <row r="1716" spans="1:6" ht="21" x14ac:dyDescent="0.25">
      <c r="A1716" s="2" t="str">
        <f>HYPERLINK("https://rth.dk/resources/bsgatlas/details.php?id=BSGatlas-terminator-1715","BSGatlas-terminator-1715")</f>
        <v>BSGatlas-terminator-1715</v>
      </c>
      <c r="B1716" s="3">
        <v>2779044</v>
      </c>
      <c r="C1716" s="3">
        <v>2779088</v>
      </c>
      <c r="D1716" s="1" t="s">
        <v>9</v>
      </c>
      <c r="E1716" s="1">
        <v>-7.8</v>
      </c>
      <c r="F1716" s="1" t="s">
        <v>15157</v>
      </c>
    </row>
    <row r="1717" spans="1:6" ht="21" x14ac:dyDescent="0.25">
      <c r="A1717" s="2" t="str">
        <f>HYPERLINK("https://rth.dk/resources/bsgatlas/details.php?id=BSGatlas-terminator-1716","BSGatlas-terminator-1716")</f>
        <v>BSGatlas-terminator-1716</v>
      </c>
      <c r="B1717" s="3">
        <v>2779186</v>
      </c>
      <c r="C1717" s="3">
        <v>2779230</v>
      </c>
      <c r="D1717" s="1" t="s">
        <v>13</v>
      </c>
      <c r="E1717" s="1">
        <v>-19.600000000000001</v>
      </c>
      <c r="F1717" s="1" t="s">
        <v>15157</v>
      </c>
    </row>
    <row r="1718" spans="1:6" ht="21" x14ac:dyDescent="0.25">
      <c r="A1718" s="2" t="str">
        <f>HYPERLINK("https://rth.dk/resources/bsgatlas/details.php?id=BSGatlas-terminator-1717","BSGatlas-terminator-1717")</f>
        <v>BSGatlas-terminator-1717</v>
      </c>
      <c r="B1718" s="3">
        <v>2779308</v>
      </c>
      <c r="C1718" s="3">
        <v>2779352</v>
      </c>
      <c r="D1718" s="1" t="s">
        <v>9</v>
      </c>
      <c r="E1718" s="1">
        <v>-7.8</v>
      </c>
      <c r="F1718" s="1" t="s">
        <v>15157</v>
      </c>
    </row>
    <row r="1719" spans="1:6" ht="21" x14ac:dyDescent="0.25">
      <c r="A1719" s="2" t="str">
        <f>HYPERLINK("https://rth.dk/resources/bsgatlas/details.php?id=BSGatlas-terminator-1718","BSGatlas-terminator-1718")</f>
        <v>BSGatlas-terminator-1718</v>
      </c>
      <c r="B1719" s="3">
        <v>2780352</v>
      </c>
      <c r="C1719" s="3">
        <v>2780396</v>
      </c>
      <c r="D1719" s="1" t="s">
        <v>13</v>
      </c>
      <c r="E1719" s="1">
        <v>-25</v>
      </c>
      <c r="F1719" s="1" t="s">
        <v>15157</v>
      </c>
    </row>
    <row r="1720" spans="1:6" ht="21" x14ac:dyDescent="0.25">
      <c r="A1720" s="2" t="str">
        <f>HYPERLINK("https://rth.dk/resources/bsgatlas/details.php?id=BSGatlas-terminator-1719","BSGatlas-terminator-1719")</f>
        <v>BSGatlas-terminator-1719</v>
      </c>
      <c r="B1720" s="3">
        <v>2784610</v>
      </c>
      <c r="C1720" s="3">
        <v>2784654</v>
      </c>
      <c r="D1720" s="1" t="s">
        <v>9</v>
      </c>
      <c r="E1720" s="1">
        <v>-11.2</v>
      </c>
      <c r="F1720" s="1" t="s">
        <v>15157</v>
      </c>
    </row>
    <row r="1721" spans="1:6" ht="21" x14ac:dyDescent="0.25">
      <c r="A1721" s="2" t="str">
        <f>HYPERLINK("https://rth.dk/resources/bsgatlas/details.php?id=BSGatlas-terminator-1720","BSGatlas-terminator-1720")</f>
        <v>BSGatlas-terminator-1720</v>
      </c>
      <c r="B1721" s="3">
        <v>2784646</v>
      </c>
      <c r="C1721" s="3">
        <v>2784705</v>
      </c>
      <c r="D1721" s="1" t="s">
        <v>13</v>
      </c>
      <c r="E1721" s="1">
        <v>-14.9</v>
      </c>
      <c r="F1721" s="1" t="s">
        <v>15158</v>
      </c>
    </row>
    <row r="1722" spans="1:6" ht="21" x14ac:dyDescent="0.25">
      <c r="A1722" s="2" t="str">
        <f>HYPERLINK("https://rth.dk/resources/bsgatlas/details.php?id=BSGatlas-terminator-1721","BSGatlas-terminator-1721")</f>
        <v>BSGatlas-terminator-1721</v>
      </c>
      <c r="B1722" s="3">
        <v>2787036</v>
      </c>
      <c r="C1722" s="3">
        <v>2787080</v>
      </c>
      <c r="D1722" s="1" t="s">
        <v>13</v>
      </c>
      <c r="E1722" s="1">
        <v>-8.6999999999999993</v>
      </c>
      <c r="F1722" s="1" t="s">
        <v>15157</v>
      </c>
    </row>
    <row r="1723" spans="1:6" ht="21" x14ac:dyDescent="0.25">
      <c r="A1723" s="2" t="str">
        <f>HYPERLINK("https://rth.dk/resources/bsgatlas/details.php?id=BSGatlas-terminator-1722","BSGatlas-terminator-1722")</f>
        <v>BSGatlas-terminator-1722</v>
      </c>
      <c r="B1723" s="3">
        <v>2788868</v>
      </c>
      <c r="C1723" s="3">
        <v>2788912</v>
      </c>
      <c r="D1723" s="1" t="s">
        <v>9</v>
      </c>
      <c r="E1723" s="1">
        <v>-14.2</v>
      </c>
      <c r="F1723" s="1" t="s">
        <v>15157</v>
      </c>
    </row>
    <row r="1724" spans="1:6" ht="21" x14ac:dyDescent="0.25">
      <c r="A1724" s="2" t="str">
        <f>HYPERLINK("https://rth.dk/resources/bsgatlas/details.php?id=BSGatlas-terminator-1723","BSGatlas-terminator-1723")</f>
        <v>BSGatlas-terminator-1723</v>
      </c>
      <c r="B1724" s="3">
        <v>2788876</v>
      </c>
      <c r="C1724" s="3">
        <v>2788923</v>
      </c>
      <c r="D1724" s="1" t="s">
        <v>13</v>
      </c>
      <c r="E1724" s="1">
        <v>-18.399999999999999</v>
      </c>
      <c r="F1724" s="1" t="s">
        <v>15158</v>
      </c>
    </row>
    <row r="1725" spans="1:6" ht="21" x14ac:dyDescent="0.25">
      <c r="A1725" s="2" t="str">
        <f>HYPERLINK("https://rth.dk/resources/bsgatlas/details.php?id=BSGatlas-terminator-1724","BSGatlas-terminator-1724")</f>
        <v>BSGatlas-terminator-1724</v>
      </c>
      <c r="B1725" s="3">
        <v>2791479</v>
      </c>
      <c r="C1725" s="3">
        <v>2791523</v>
      </c>
      <c r="D1725" s="1" t="s">
        <v>13</v>
      </c>
      <c r="E1725" s="1">
        <v>-17</v>
      </c>
      <c r="F1725" s="1" t="s">
        <v>15157</v>
      </c>
    </row>
    <row r="1726" spans="1:6" ht="21" x14ac:dyDescent="0.25">
      <c r="A1726" s="2" t="str">
        <f>HYPERLINK("https://rth.dk/resources/bsgatlas/details.php?id=BSGatlas-terminator-1725","BSGatlas-terminator-1725")</f>
        <v>BSGatlas-terminator-1725</v>
      </c>
      <c r="B1726" s="3">
        <v>2795865</v>
      </c>
      <c r="C1726" s="3">
        <v>2795884</v>
      </c>
      <c r="D1726" s="1" t="s">
        <v>13</v>
      </c>
      <c r="E1726" s="1">
        <v>-14.2</v>
      </c>
      <c r="F1726" s="1" t="s">
        <v>4547</v>
      </c>
    </row>
    <row r="1727" spans="1:6" ht="21" x14ac:dyDescent="0.25">
      <c r="A1727" s="2" t="str">
        <f>HYPERLINK("https://rth.dk/resources/bsgatlas/details.php?id=BSGatlas-terminator-1726","BSGatlas-terminator-1726")</f>
        <v>BSGatlas-terminator-1726</v>
      </c>
      <c r="B1727" s="3">
        <v>2795899</v>
      </c>
      <c r="C1727" s="3">
        <v>2795943</v>
      </c>
      <c r="D1727" s="1" t="s">
        <v>13</v>
      </c>
      <c r="E1727" s="1">
        <v>-11</v>
      </c>
      <c r="F1727" s="1" t="s">
        <v>15157</v>
      </c>
    </row>
    <row r="1728" spans="1:6" ht="21" x14ac:dyDescent="0.25">
      <c r="A1728" s="2" t="str">
        <f>HYPERLINK("https://rth.dk/resources/bsgatlas/details.php?id=BSGatlas-terminator-1727","BSGatlas-terminator-1727")</f>
        <v>BSGatlas-terminator-1727</v>
      </c>
      <c r="B1728" s="3">
        <v>2797073</v>
      </c>
      <c r="C1728" s="3">
        <v>2797117</v>
      </c>
      <c r="D1728" s="1" t="s">
        <v>13</v>
      </c>
      <c r="E1728" s="1">
        <v>-15</v>
      </c>
      <c r="F1728" s="1" t="s">
        <v>15157</v>
      </c>
    </row>
    <row r="1729" spans="1:6" ht="21" x14ac:dyDescent="0.25">
      <c r="A1729" s="2" t="str">
        <f>HYPERLINK("https://rth.dk/resources/bsgatlas/details.php?id=BSGatlas-terminator-1728","BSGatlas-terminator-1728")</f>
        <v>BSGatlas-terminator-1728</v>
      </c>
      <c r="B1729" s="3">
        <v>2797138</v>
      </c>
      <c r="C1729" s="3">
        <v>2797182</v>
      </c>
      <c r="D1729" s="1" t="s">
        <v>13</v>
      </c>
      <c r="E1729" s="1">
        <v>-15</v>
      </c>
      <c r="F1729" s="1" t="s">
        <v>15157</v>
      </c>
    </row>
    <row r="1730" spans="1:6" ht="21" x14ac:dyDescent="0.25">
      <c r="A1730" s="2" t="str">
        <f>HYPERLINK("https://rth.dk/resources/bsgatlas/details.php?id=BSGatlas-terminator-1729","BSGatlas-terminator-1729")</f>
        <v>BSGatlas-terminator-1729</v>
      </c>
      <c r="B1730" s="3">
        <v>2802792</v>
      </c>
      <c r="C1730" s="3">
        <v>2802836</v>
      </c>
      <c r="D1730" s="1" t="s">
        <v>13</v>
      </c>
      <c r="E1730" s="1">
        <v>-5.4</v>
      </c>
      <c r="F1730" s="1" t="s">
        <v>15157</v>
      </c>
    </row>
    <row r="1731" spans="1:6" ht="21" x14ac:dyDescent="0.25">
      <c r="A1731" s="2" t="str">
        <f>HYPERLINK("https://rth.dk/resources/bsgatlas/details.php?id=BSGatlas-terminator-1730","BSGatlas-terminator-1730")</f>
        <v>BSGatlas-terminator-1730</v>
      </c>
      <c r="B1731" s="3">
        <v>2803935</v>
      </c>
      <c r="C1731" s="3">
        <v>2803981</v>
      </c>
      <c r="D1731" s="1" t="s">
        <v>9</v>
      </c>
      <c r="E1731" s="1">
        <v>-22.7</v>
      </c>
      <c r="F1731" s="1" t="s">
        <v>4382</v>
      </c>
    </row>
    <row r="1732" spans="1:6" ht="21" x14ac:dyDescent="0.25">
      <c r="A1732" s="2" t="str">
        <f>HYPERLINK("https://rth.dk/resources/bsgatlas/details.php?id=BSGatlas-terminator-1731","BSGatlas-terminator-1731")</f>
        <v>BSGatlas-terminator-1731</v>
      </c>
      <c r="B1732" s="3">
        <v>2805303</v>
      </c>
      <c r="C1732" s="3">
        <v>2805352</v>
      </c>
      <c r="D1732" s="1" t="s">
        <v>13</v>
      </c>
      <c r="E1732" s="1">
        <v>-13.8</v>
      </c>
      <c r="F1732" s="1" t="s">
        <v>15158</v>
      </c>
    </row>
    <row r="1733" spans="1:6" ht="21" x14ac:dyDescent="0.25">
      <c r="A1733" s="2" t="str">
        <f>HYPERLINK("https://rth.dk/resources/bsgatlas/details.php?id=BSGatlas-terminator-1732","BSGatlas-terminator-1732")</f>
        <v>BSGatlas-terminator-1732</v>
      </c>
      <c r="B1733" s="3">
        <v>2805313</v>
      </c>
      <c r="C1733" s="3">
        <v>2805354</v>
      </c>
      <c r="D1733" s="1" t="s">
        <v>9</v>
      </c>
      <c r="E1733" s="1">
        <v>-13.4</v>
      </c>
      <c r="F1733" s="1" t="s">
        <v>15158</v>
      </c>
    </row>
    <row r="1734" spans="1:6" ht="21" x14ac:dyDescent="0.25">
      <c r="A1734" s="2" t="str">
        <f>HYPERLINK("https://rth.dk/resources/bsgatlas/details.php?id=BSGatlas-terminator-1733","BSGatlas-terminator-1733")</f>
        <v>BSGatlas-terminator-1733</v>
      </c>
      <c r="B1734" s="3">
        <v>2806290</v>
      </c>
      <c r="C1734" s="3">
        <v>2806334</v>
      </c>
      <c r="D1734" s="1" t="s">
        <v>13</v>
      </c>
      <c r="E1734" s="1">
        <v>-10.8</v>
      </c>
      <c r="F1734" s="1" t="s">
        <v>15157</v>
      </c>
    </row>
    <row r="1735" spans="1:6" ht="21" x14ac:dyDescent="0.25">
      <c r="A1735" s="2" t="str">
        <f>HYPERLINK("https://rth.dk/resources/bsgatlas/details.php?id=BSGatlas-terminator-1734","BSGatlas-terminator-1734")</f>
        <v>BSGatlas-terminator-1734</v>
      </c>
      <c r="B1735" s="3">
        <v>2806645</v>
      </c>
      <c r="C1735" s="3">
        <v>2806689</v>
      </c>
      <c r="D1735" s="1" t="s">
        <v>13</v>
      </c>
      <c r="E1735" s="1">
        <v>-10.8</v>
      </c>
      <c r="F1735" s="1" t="s">
        <v>15157</v>
      </c>
    </row>
    <row r="1736" spans="1:6" ht="21" x14ac:dyDescent="0.25">
      <c r="A1736" s="2" t="str">
        <f>HYPERLINK("https://rth.dk/resources/bsgatlas/details.php?id=BSGatlas-terminator-1735","BSGatlas-terminator-1735")</f>
        <v>BSGatlas-terminator-1735</v>
      </c>
      <c r="B1736" s="3">
        <v>2809368</v>
      </c>
      <c r="C1736" s="3">
        <v>2809416</v>
      </c>
      <c r="D1736" s="1" t="s">
        <v>13</v>
      </c>
      <c r="E1736" s="1">
        <v>-10.9</v>
      </c>
      <c r="F1736" s="1" t="s">
        <v>15158</v>
      </c>
    </row>
    <row r="1737" spans="1:6" ht="21" x14ac:dyDescent="0.25">
      <c r="A1737" s="2" t="str">
        <f>HYPERLINK("https://rth.dk/resources/bsgatlas/details.php?id=BSGatlas-terminator-1736","BSGatlas-terminator-1736")</f>
        <v>BSGatlas-terminator-1736</v>
      </c>
      <c r="B1737" s="3">
        <v>2813578</v>
      </c>
      <c r="C1737" s="3">
        <v>2813622</v>
      </c>
      <c r="D1737" s="1" t="s">
        <v>9</v>
      </c>
      <c r="E1737" s="1">
        <v>-12</v>
      </c>
      <c r="F1737" s="1" t="s">
        <v>15157</v>
      </c>
    </row>
    <row r="1738" spans="1:6" ht="21" x14ac:dyDescent="0.25">
      <c r="A1738" s="2" t="str">
        <f>HYPERLINK("https://rth.dk/resources/bsgatlas/details.php?id=BSGatlas-terminator-1737","BSGatlas-terminator-1737")</f>
        <v>BSGatlas-terminator-1737</v>
      </c>
      <c r="B1738" s="3">
        <v>2813639</v>
      </c>
      <c r="C1738" s="3">
        <v>2813683</v>
      </c>
      <c r="D1738" s="1" t="s">
        <v>13</v>
      </c>
      <c r="E1738" s="1">
        <v>-12</v>
      </c>
      <c r="F1738" s="1" t="s">
        <v>15157</v>
      </c>
    </row>
    <row r="1739" spans="1:6" ht="21" x14ac:dyDescent="0.25">
      <c r="A1739" s="2" t="str">
        <f>HYPERLINK("https://rth.dk/resources/bsgatlas/details.php?id=BSGatlas-terminator-1738","BSGatlas-terminator-1738")</f>
        <v>BSGatlas-terminator-1738</v>
      </c>
      <c r="B1739" s="3">
        <v>2814487</v>
      </c>
      <c r="C1739" s="3">
        <v>2814531</v>
      </c>
      <c r="D1739" s="1" t="s">
        <v>13</v>
      </c>
      <c r="E1739" s="1">
        <v>-12</v>
      </c>
      <c r="F1739" s="1" t="s">
        <v>15157</v>
      </c>
    </row>
    <row r="1740" spans="1:6" ht="21" x14ac:dyDescent="0.25">
      <c r="A1740" s="2" t="str">
        <f>HYPERLINK("https://rth.dk/resources/bsgatlas/details.php?id=BSGatlas-terminator-1739","BSGatlas-terminator-1739")</f>
        <v>BSGatlas-terminator-1739</v>
      </c>
      <c r="B1740" s="3">
        <v>2817907</v>
      </c>
      <c r="C1740" s="3">
        <v>2817951</v>
      </c>
      <c r="D1740" s="1" t="s">
        <v>13</v>
      </c>
      <c r="E1740" s="1">
        <v>-23.7</v>
      </c>
      <c r="F1740" s="1" t="s">
        <v>15157</v>
      </c>
    </row>
    <row r="1741" spans="1:6" ht="21" x14ac:dyDescent="0.25">
      <c r="A1741" s="2" t="str">
        <f>HYPERLINK("https://rth.dk/resources/bsgatlas/details.php?id=BSGatlas-terminator-1740","BSGatlas-terminator-1740")</f>
        <v>BSGatlas-terminator-1740</v>
      </c>
      <c r="B1741" s="3">
        <v>2820041</v>
      </c>
      <c r="C1741" s="3">
        <v>2820076</v>
      </c>
      <c r="D1741" s="1" t="s">
        <v>13</v>
      </c>
      <c r="E1741" s="1">
        <v>-12.2</v>
      </c>
      <c r="F1741" s="1" t="s">
        <v>15158</v>
      </c>
    </row>
    <row r="1742" spans="1:6" ht="21" x14ac:dyDescent="0.25">
      <c r="A1742" s="2" t="str">
        <f>HYPERLINK("https://rth.dk/resources/bsgatlas/details.php?id=BSGatlas-terminator-1741","BSGatlas-terminator-1741")</f>
        <v>BSGatlas-terminator-1741</v>
      </c>
      <c r="B1742" s="3">
        <v>2820051</v>
      </c>
      <c r="C1742" s="3">
        <v>2820086</v>
      </c>
      <c r="D1742" s="1" t="s">
        <v>9</v>
      </c>
      <c r="E1742" s="1">
        <v>-12</v>
      </c>
      <c r="F1742" s="1" t="s">
        <v>15158</v>
      </c>
    </row>
    <row r="1743" spans="1:6" ht="21" x14ac:dyDescent="0.25">
      <c r="A1743" s="2" t="str">
        <f>HYPERLINK("https://rth.dk/resources/bsgatlas/details.php?id=BSGatlas-terminator-1742","BSGatlas-terminator-1742")</f>
        <v>BSGatlas-terminator-1742</v>
      </c>
      <c r="B1743" s="3">
        <v>2822803</v>
      </c>
      <c r="C1743" s="3">
        <v>2822847</v>
      </c>
      <c r="D1743" s="1" t="s">
        <v>9</v>
      </c>
      <c r="E1743" s="1">
        <v>-12.7</v>
      </c>
      <c r="F1743" s="1" t="s">
        <v>15157</v>
      </c>
    </row>
    <row r="1744" spans="1:6" ht="21" x14ac:dyDescent="0.25">
      <c r="A1744" s="2" t="str">
        <f>HYPERLINK("https://rth.dk/resources/bsgatlas/details.php?id=BSGatlas-terminator-1743","BSGatlas-terminator-1743")</f>
        <v>BSGatlas-terminator-1743</v>
      </c>
      <c r="B1744" s="3">
        <v>2822846</v>
      </c>
      <c r="C1744" s="3">
        <v>2822884</v>
      </c>
      <c r="D1744" s="1" t="s">
        <v>13</v>
      </c>
      <c r="E1744" s="1">
        <v>-8.8000000000000007</v>
      </c>
      <c r="F1744" s="1" t="s">
        <v>15158</v>
      </c>
    </row>
    <row r="1745" spans="1:6" ht="21" x14ac:dyDescent="0.25">
      <c r="A1745" s="2" t="str">
        <f>HYPERLINK("https://rth.dk/resources/bsgatlas/details.php?id=BSGatlas-terminator-1744","BSGatlas-terminator-1744")</f>
        <v>BSGatlas-terminator-1744</v>
      </c>
      <c r="B1745" s="3">
        <v>2826883</v>
      </c>
      <c r="C1745" s="3">
        <v>2826927</v>
      </c>
      <c r="D1745" s="1" t="s">
        <v>13</v>
      </c>
      <c r="E1745" s="1">
        <v>-17.8</v>
      </c>
      <c r="F1745" s="1" t="s">
        <v>15157</v>
      </c>
    </row>
    <row r="1746" spans="1:6" ht="21" x14ac:dyDescent="0.25">
      <c r="A1746" s="2" t="str">
        <f>HYPERLINK("https://rth.dk/resources/bsgatlas/details.php?id=BSGatlas-terminator-1745","BSGatlas-terminator-1745")</f>
        <v>BSGatlas-terminator-1745</v>
      </c>
      <c r="B1746" s="3">
        <v>2829337</v>
      </c>
      <c r="C1746" s="3">
        <v>2829381</v>
      </c>
      <c r="D1746" s="1" t="s">
        <v>9</v>
      </c>
      <c r="E1746" s="1">
        <v>-8.4</v>
      </c>
      <c r="F1746" s="1" t="s">
        <v>15157</v>
      </c>
    </row>
    <row r="1747" spans="1:6" ht="21" x14ac:dyDescent="0.25">
      <c r="A1747" s="2" t="str">
        <f>HYPERLINK("https://rth.dk/resources/bsgatlas/details.php?id=BSGatlas-terminator-1746","BSGatlas-terminator-1746")</f>
        <v>BSGatlas-terminator-1746</v>
      </c>
      <c r="B1747" s="3">
        <v>2831115</v>
      </c>
      <c r="C1747" s="3">
        <v>2831156</v>
      </c>
      <c r="D1747" s="1" t="s">
        <v>9</v>
      </c>
      <c r="E1747" s="1">
        <v>-8.1</v>
      </c>
      <c r="F1747" s="1" t="s">
        <v>4382</v>
      </c>
    </row>
    <row r="1748" spans="1:6" ht="21" x14ac:dyDescent="0.25">
      <c r="A1748" s="2" t="str">
        <f>HYPERLINK("https://rth.dk/resources/bsgatlas/details.php?id=BSGatlas-terminator-1747","BSGatlas-terminator-1747")</f>
        <v>BSGatlas-terminator-1747</v>
      </c>
      <c r="B1748" s="3">
        <v>2832329</v>
      </c>
      <c r="C1748" s="3">
        <v>2832373</v>
      </c>
      <c r="D1748" s="1" t="s">
        <v>9</v>
      </c>
      <c r="E1748" s="1">
        <v>-15</v>
      </c>
      <c r="F1748" s="1" t="s">
        <v>15157</v>
      </c>
    </row>
    <row r="1749" spans="1:6" ht="21" x14ac:dyDescent="0.25">
      <c r="A1749" s="2" t="str">
        <f>HYPERLINK("https://rth.dk/resources/bsgatlas/details.php?id=BSGatlas-terminator-1748","BSGatlas-terminator-1748")</f>
        <v>BSGatlas-terminator-1748</v>
      </c>
      <c r="B1749" s="3">
        <v>2832384</v>
      </c>
      <c r="C1749" s="3">
        <v>2832428</v>
      </c>
      <c r="D1749" s="1" t="s">
        <v>13</v>
      </c>
      <c r="E1749" s="1">
        <v>-15</v>
      </c>
      <c r="F1749" s="1" t="s">
        <v>15157</v>
      </c>
    </row>
    <row r="1750" spans="1:6" ht="21" x14ac:dyDescent="0.25">
      <c r="A1750" s="2" t="str">
        <f>HYPERLINK("https://rth.dk/resources/bsgatlas/details.php?id=BSGatlas-terminator-1749","BSGatlas-terminator-1749")</f>
        <v>BSGatlas-terminator-1749</v>
      </c>
      <c r="B1750" s="3">
        <v>2835082</v>
      </c>
      <c r="C1750" s="3">
        <v>2835122</v>
      </c>
      <c r="D1750" s="1" t="s">
        <v>13</v>
      </c>
      <c r="E1750" s="1">
        <v>-7.8</v>
      </c>
      <c r="F1750" s="1" t="s">
        <v>4382</v>
      </c>
    </row>
    <row r="1751" spans="1:6" ht="21" x14ac:dyDescent="0.25">
      <c r="A1751" s="2" t="str">
        <f>HYPERLINK("https://rth.dk/resources/bsgatlas/details.php?id=BSGatlas-terminator-1750","BSGatlas-terminator-1750")</f>
        <v>BSGatlas-terminator-1750</v>
      </c>
      <c r="B1751" s="3">
        <v>2836863</v>
      </c>
      <c r="C1751" s="3">
        <v>2836898</v>
      </c>
      <c r="D1751" s="1" t="s">
        <v>13</v>
      </c>
      <c r="E1751" s="1">
        <v>-6.9</v>
      </c>
      <c r="F1751" s="1" t="s">
        <v>4382</v>
      </c>
    </row>
    <row r="1752" spans="1:6" ht="21" x14ac:dyDescent="0.25">
      <c r="A1752" s="2" t="str">
        <f>HYPERLINK("https://rth.dk/resources/bsgatlas/details.php?id=BSGatlas-terminator-1751","BSGatlas-terminator-1751")</f>
        <v>BSGatlas-terminator-1751</v>
      </c>
      <c r="B1752" s="3">
        <v>2838708</v>
      </c>
      <c r="C1752" s="3">
        <v>2838752</v>
      </c>
      <c r="D1752" s="1" t="s">
        <v>13</v>
      </c>
      <c r="E1752" s="1">
        <v>-14.3</v>
      </c>
      <c r="F1752" s="1" t="s">
        <v>15157</v>
      </c>
    </row>
    <row r="1753" spans="1:6" ht="21" x14ac:dyDescent="0.25">
      <c r="A1753" s="2" t="str">
        <f>HYPERLINK("https://rth.dk/resources/bsgatlas/details.php?id=BSGatlas-terminator-1752","BSGatlas-terminator-1752")</f>
        <v>BSGatlas-terminator-1752</v>
      </c>
      <c r="B1753" s="3">
        <v>2840399</v>
      </c>
      <c r="C1753" s="3">
        <v>2840465</v>
      </c>
      <c r="D1753" s="1" t="s">
        <v>13</v>
      </c>
      <c r="E1753" s="1"/>
      <c r="F1753" s="1" t="s">
        <v>15159</v>
      </c>
    </row>
    <row r="1754" spans="1:6" ht="21" x14ac:dyDescent="0.25">
      <c r="A1754" s="2" t="str">
        <f>HYPERLINK("https://rth.dk/resources/bsgatlas/details.php?id=BSGatlas-terminator-1753","BSGatlas-terminator-1753")</f>
        <v>BSGatlas-terminator-1753</v>
      </c>
      <c r="B1754" s="3">
        <v>2840714</v>
      </c>
      <c r="C1754" s="3">
        <v>2840758</v>
      </c>
      <c r="D1754" s="1" t="s">
        <v>9</v>
      </c>
      <c r="E1754" s="1">
        <v>-18.2</v>
      </c>
      <c r="F1754" s="1" t="s">
        <v>15157</v>
      </c>
    </row>
    <row r="1755" spans="1:6" ht="21" x14ac:dyDescent="0.25">
      <c r="A1755" s="2" t="str">
        <f>HYPERLINK("https://rth.dk/resources/bsgatlas/details.php?id=BSGatlas-terminator-1754","BSGatlas-terminator-1754")</f>
        <v>BSGatlas-terminator-1754</v>
      </c>
      <c r="B1755" s="3">
        <v>2840788</v>
      </c>
      <c r="C1755" s="3">
        <v>2840832</v>
      </c>
      <c r="D1755" s="1" t="s">
        <v>13</v>
      </c>
      <c r="E1755" s="1">
        <v>-18.2</v>
      </c>
      <c r="F1755" s="1" t="s">
        <v>15157</v>
      </c>
    </row>
    <row r="1756" spans="1:6" ht="21" x14ac:dyDescent="0.25">
      <c r="A1756" s="2" t="str">
        <f>HYPERLINK("https://rth.dk/resources/bsgatlas/details.php?id=BSGatlas-terminator-1755","BSGatlas-terminator-1755")</f>
        <v>BSGatlas-terminator-1755</v>
      </c>
      <c r="B1756" s="3">
        <v>2841414</v>
      </c>
      <c r="C1756" s="3">
        <v>2841458</v>
      </c>
      <c r="D1756" s="1" t="s">
        <v>9</v>
      </c>
      <c r="E1756" s="1">
        <v>-9.9</v>
      </c>
      <c r="F1756" s="1" t="s">
        <v>15157</v>
      </c>
    </row>
    <row r="1757" spans="1:6" ht="21" x14ac:dyDescent="0.25">
      <c r="A1757" s="2" t="str">
        <f>HYPERLINK("https://rth.dk/resources/bsgatlas/details.php?id=BSGatlas-terminator-1756","BSGatlas-terminator-1756")</f>
        <v>BSGatlas-terminator-1756</v>
      </c>
      <c r="B1757" s="3">
        <v>2843072</v>
      </c>
      <c r="C1757" s="3">
        <v>2843116</v>
      </c>
      <c r="D1757" s="1" t="s">
        <v>9</v>
      </c>
      <c r="E1757" s="1">
        <v>-13.4</v>
      </c>
      <c r="F1757" s="1" t="s">
        <v>15158</v>
      </c>
    </row>
    <row r="1758" spans="1:6" ht="21" x14ac:dyDescent="0.25">
      <c r="A1758" s="2" t="str">
        <f>HYPERLINK("https://rth.dk/resources/bsgatlas/details.php?id=BSGatlas-terminator-1757","BSGatlas-terminator-1757")</f>
        <v>BSGatlas-terminator-1757</v>
      </c>
      <c r="B1758" s="3">
        <v>2843100</v>
      </c>
      <c r="C1758" s="3">
        <v>2843144</v>
      </c>
      <c r="D1758" s="1" t="s">
        <v>13</v>
      </c>
      <c r="E1758" s="1">
        <v>-16</v>
      </c>
      <c r="F1758" s="1" t="s">
        <v>15157</v>
      </c>
    </row>
    <row r="1759" spans="1:6" ht="21" x14ac:dyDescent="0.25">
      <c r="A1759" s="2" t="str">
        <f>HYPERLINK("https://rth.dk/resources/bsgatlas/details.php?id=BSGatlas-terminator-1758","BSGatlas-terminator-1758")</f>
        <v>BSGatlas-terminator-1758</v>
      </c>
      <c r="B1759" s="3">
        <v>2843499</v>
      </c>
      <c r="C1759" s="3">
        <v>2843565</v>
      </c>
      <c r="D1759" s="1" t="s">
        <v>9</v>
      </c>
      <c r="E1759" s="1"/>
      <c r="F1759" s="1" t="s">
        <v>15159</v>
      </c>
    </row>
    <row r="1760" spans="1:6" ht="21" x14ac:dyDescent="0.25">
      <c r="A1760" s="2" t="str">
        <f>HYPERLINK("https://rth.dk/resources/bsgatlas/details.php?id=BSGatlas-terminator-1759","BSGatlas-terminator-1759")</f>
        <v>BSGatlas-terminator-1759</v>
      </c>
      <c r="B1760" s="3">
        <v>2843881</v>
      </c>
      <c r="C1760" s="3">
        <v>2843927</v>
      </c>
      <c r="D1760" s="1" t="s">
        <v>13</v>
      </c>
      <c r="E1760" s="1">
        <v>-19.5</v>
      </c>
      <c r="F1760" s="1" t="s">
        <v>15158</v>
      </c>
    </row>
    <row r="1761" spans="1:6" ht="21" x14ac:dyDescent="0.25">
      <c r="A1761" s="2" t="str">
        <f>HYPERLINK("https://rth.dk/resources/bsgatlas/details.php?id=BSGatlas-terminator-1760","BSGatlas-terminator-1760")</f>
        <v>BSGatlas-terminator-1760</v>
      </c>
      <c r="B1761" s="3">
        <v>2844661</v>
      </c>
      <c r="C1761" s="3">
        <v>2844705</v>
      </c>
      <c r="D1761" s="1" t="s">
        <v>13</v>
      </c>
      <c r="E1761" s="1">
        <v>-11.1</v>
      </c>
      <c r="F1761" s="1" t="s">
        <v>15157</v>
      </c>
    </row>
    <row r="1762" spans="1:6" ht="21" x14ac:dyDescent="0.25">
      <c r="A1762" s="2" t="str">
        <f>HYPERLINK("https://rth.dk/resources/bsgatlas/details.php?id=BSGatlas-terminator-1761","BSGatlas-terminator-1761")</f>
        <v>BSGatlas-terminator-1761</v>
      </c>
      <c r="B1762" s="3">
        <v>2845930</v>
      </c>
      <c r="C1762" s="3">
        <v>2845980</v>
      </c>
      <c r="D1762" s="1" t="s">
        <v>13</v>
      </c>
      <c r="E1762" s="1">
        <v>-8.1999999999999993</v>
      </c>
      <c r="F1762" s="1" t="s">
        <v>4382</v>
      </c>
    </row>
    <row r="1763" spans="1:6" ht="21" x14ac:dyDescent="0.25">
      <c r="A1763" s="2" t="str">
        <f>HYPERLINK("https://rth.dk/resources/bsgatlas/details.php?id=BSGatlas-terminator-1762","BSGatlas-terminator-1762")</f>
        <v>BSGatlas-terminator-1762</v>
      </c>
      <c r="B1763" s="3">
        <v>2847120</v>
      </c>
      <c r="C1763" s="3">
        <v>2847164</v>
      </c>
      <c r="D1763" s="1" t="s">
        <v>9</v>
      </c>
      <c r="E1763" s="1">
        <v>-7.4</v>
      </c>
      <c r="F1763" s="1" t="s">
        <v>15157</v>
      </c>
    </row>
    <row r="1764" spans="1:6" ht="21" x14ac:dyDescent="0.25">
      <c r="A1764" s="2" t="str">
        <f>HYPERLINK("https://rth.dk/resources/bsgatlas/details.php?id=BSGatlas-terminator-1763","BSGatlas-terminator-1763")</f>
        <v>BSGatlas-terminator-1763</v>
      </c>
      <c r="B1764" s="3">
        <v>2851249</v>
      </c>
      <c r="C1764" s="3">
        <v>2851282</v>
      </c>
      <c r="D1764" s="1" t="s">
        <v>13</v>
      </c>
      <c r="E1764" s="1">
        <v>-7.8</v>
      </c>
      <c r="F1764" s="1" t="s">
        <v>15158</v>
      </c>
    </row>
    <row r="1765" spans="1:6" ht="21" x14ac:dyDescent="0.25">
      <c r="A1765" s="2" t="str">
        <f>HYPERLINK("https://rth.dk/resources/bsgatlas/details.php?id=BSGatlas-terminator-1764","BSGatlas-terminator-1764")</f>
        <v>BSGatlas-terminator-1764</v>
      </c>
      <c r="B1765" s="3">
        <v>2851259</v>
      </c>
      <c r="C1765" s="3">
        <v>2851292</v>
      </c>
      <c r="D1765" s="1" t="s">
        <v>9</v>
      </c>
      <c r="E1765" s="1">
        <v>-7.6</v>
      </c>
      <c r="F1765" s="1" t="s">
        <v>15158</v>
      </c>
    </row>
    <row r="1766" spans="1:6" ht="21" x14ac:dyDescent="0.25">
      <c r="A1766" s="2" t="str">
        <f>HYPERLINK("https://rth.dk/resources/bsgatlas/details.php?id=BSGatlas-terminator-1765","BSGatlas-terminator-1765")</f>
        <v>BSGatlas-terminator-1765</v>
      </c>
      <c r="B1766" s="3">
        <v>2851962</v>
      </c>
      <c r="C1766" s="3">
        <v>2852028</v>
      </c>
      <c r="D1766" s="1" t="s">
        <v>9</v>
      </c>
      <c r="E1766" s="1"/>
      <c r="F1766" s="1" t="s">
        <v>15159</v>
      </c>
    </row>
    <row r="1767" spans="1:6" ht="21" x14ac:dyDescent="0.25">
      <c r="A1767" s="2" t="str">
        <f>HYPERLINK("https://rth.dk/resources/bsgatlas/details.php?id=BSGatlas-terminator-1766","BSGatlas-terminator-1766")</f>
        <v>BSGatlas-terminator-1766</v>
      </c>
      <c r="B1767" s="3">
        <v>2852605</v>
      </c>
      <c r="C1767" s="3">
        <v>2852649</v>
      </c>
      <c r="D1767" s="1" t="s">
        <v>13</v>
      </c>
      <c r="E1767" s="1">
        <v>-20.5</v>
      </c>
      <c r="F1767" s="1" t="s">
        <v>4382</v>
      </c>
    </row>
    <row r="1768" spans="1:6" ht="21" x14ac:dyDescent="0.25">
      <c r="A1768" s="2" t="str">
        <f>HYPERLINK("https://rth.dk/resources/bsgatlas/details.php?id=BSGatlas-terminator-1767","BSGatlas-terminator-1767")</f>
        <v>BSGatlas-terminator-1767</v>
      </c>
      <c r="B1768" s="3">
        <v>2854831</v>
      </c>
      <c r="C1768" s="3">
        <v>2854872</v>
      </c>
      <c r="D1768" s="1" t="s">
        <v>13</v>
      </c>
      <c r="E1768" s="1">
        <v>-14.8</v>
      </c>
      <c r="F1768" s="1" t="s">
        <v>15158</v>
      </c>
    </row>
    <row r="1769" spans="1:6" ht="21" x14ac:dyDescent="0.25">
      <c r="A1769" s="2" t="str">
        <f>HYPERLINK("https://rth.dk/resources/bsgatlas/details.php?id=BSGatlas-terminator-1768","BSGatlas-terminator-1768")</f>
        <v>BSGatlas-terminator-1768</v>
      </c>
      <c r="B1769" s="3">
        <v>2855925</v>
      </c>
      <c r="C1769" s="3">
        <v>2855976</v>
      </c>
      <c r="D1769" s="1" t="s">
        <v>13</v>
      </c>
      <c r="E1769" s="1">
        <v>-9.1</v>
      </c>
      <c r="F1769" s="1" t="s">
        <v>4382</v>
      </c>
    </row>
    <row r="1770" spans="1:6" ht="21" x14ac:dyDescent="0.25">
      <c r="A1770" s="2" t="str">
        <f>HYPERLINK("https://rth.dk/resources/bsgatlas/details.php?id=BSGatlas-terminator-1769","BSGatlas-terminator-1769")</f>
        <v>BSGatlas-terminator-1769</v>
      </c>
      <c r="B1770" s="3">
        <v>2857607</v>
      </c>
      <c r="C1770" s="3">
        <v>2857651</v>
      </c>
      <c r="D1770" s="1" t="s">
        <v>9</v>
      </c>
      <c r="E1770" s="1">
        <v>-6.9</v>
      </c>
      <c r="F1770" s="1" t="s">
        <v>15157</v>
      </c>
    </row>
    <row r="1771" spans="1:6" ht="21" x14ac:dyDescent="0.25">
      <c r="A1771" s="2" t="str">
        <f>HYPERLINK("https://rth.dk/resources/bsgatlas/details.php?id=BSGatlas-terminator-1770","BSGatlas-terminator-1770")</f>
        <v>BSGatlas-terminator-1770</v>
      </c>
      <c r="B1771" s="3">
        <v>2857716</v>
      </c>
      <c r="C1771" s="3">
        <v>2857760</v>
      </c>
      <c r="D1771" s="1" t="s">
        <v>9</v>
      </c>
      <c r="E1771" s="1">
        <v>-6.9</v>
      </c>
      <c r="F1771" s="1" t="s">
        <v>15157</v>
      </c>
    </row>
    <row r="1772" spans="1:6" ht="21" x14ac:dyDescent="0.25">
      <c r="A1772" s="2" t="str">
        <f>HYPERLINK("https://rth.dk/resources/bsgatlas/details.php?id=BSGatlas-terminator-1771","BSGatlas-terminator-1771")</f>
        <v>BSGatlas-terminator-1771</v>
      </c>
      <c r="B1772" s="3">
        <v>2857726</v>
      </c>
      <c r="C1772" s="3">
        <v>2857752</v>
      </c>
      <c r="D1772" s="1" t="s">
        <v>13</v>
      </c>
      <c r="E1772" s="1">
        <v>-15.6</v>
      </c>
      <c r="F1772" s="1" t="s">
        <v>15161</v>
      </c>
    </row>
    <row r="1773" spans="1:6" ht="21" x14ac:dyDescent="0.25">
      <c r="A1773" s="2" t="str">
        <f>HYPERLINK("https://rth.dk/resources/bsgatlas/details.php?id=BSGatlas-terminator-1772","BSGatlas-terminator-1772")</f>
        <v>BSGatlas-terminator-1772</v>
      </c>
      <c r="B1773" s="3">
        <v>2861765</v>
      </c>
      <c r="C1773" s="3">
        <v>2861809</v>
      </c>
      <c r="D1773" s="1" t="s">
        <v>13</v>
      </c>
      <c r="E1773" s="1">
        <v>-6.4</v>
      </c>
      <c r="F1773" s="1" t="s">
        <v>4382</v>
      </c>
    </row>
    <row r="1774" spans="1:6" ht="21" x14ac:dyDescent="0.25">
      <c r="A1774" s="2" t="str">
        <f>HYPERLINK("https://rth.dk/resources/bsgatlas/details.php?id=BSGatlas-terminator-1773","BSGatlas-terminator-1773")</f>
        <v>BSGatlas-terminator-1773</v>
      </c>
      <c r="B1774" s="3">
        <v>2863270</v>
      </c>
      <c r="C1774" s="3">
        <v>2863314</v>
      </c>
      <c r="D1774" s="1" t="s">
        <v>13</v>
      </c>
      <c r="E1774" s="1">
        <v>-7.4</v>
      </c>
      <c r="F1774" s="1" t="s">
        <v>15157</v>
      </c>
    </row>
    <row r="1775" spans="1:6" ht="21" x14ac:dyDescent="0.25">
      <c r="A1775" s="2" t="str">
        <f>HYPERLINK("https://rth.dk/resources/bsgatlas/details.php?id=BSGatlas-terminator-1774","BSGatlas-terminator-1774")</f>
        <v>BSGatlas-terminator-1774</v>
      </c>
      <c r="B1775" s="3">
        <v>2864358</v>
      </c>
      <c r="C1775" s="3">
        <v>2864402</v>
      </c>
      <c r="D1775" s="1" t="s">
        <v>13</v>
      </c>
      <c r="E1775" s="1">
        <v>-11.9</v>
      </c>
      <c r="F1775" s="1" t="s">
        <v>15158</v>
      </c>
    </row>
    <row r="1776" spans="1:6" ht="21" x14ac:dyDescent="0.25">
      <c r="A1776" s="2" t="str">
        <f>HYPERLINK("https://rth.dk/resources/bsgatlas/details.php?id=BSGatlas-terminator-1775","BSGatlas-terminator-1775")</f>
        <v>BSGatlas-terminator-1775</v>
      </c>
      <c r="B1776" s="3">
        <v>2865257</v>
      </c>
      <c r="C1776" s="3">
        <v>2865303</v>
      </c>
      <c r="D1776" s="1" t="s">
        <v>13</v>
      </c>
      <c r="E1776" s="1">
        <v>-18.100000000000001</v>
      </c>
      <c r="F1776" s="1" t="s">
        <v>15158</v>
      </c>
    </row>
    <row r="1777" spans="1:6" ht="21" x14ac:dyDescent="0.25">
      <c r="A1777" s="2" t="str">
        <f>HYPERLINK("https://rth.dk/resources/bsgatlas/details.php?id=BSGatlas-terminator-1776","BSGatlas-terminator-1776")</f>
        <v>BSGatlas-terminator-1776</v>
      </c>
      <c r="B1777" s="3">
        <v>2866616</v>
      </c>
      <c r="C1777" s="3">
        <v>2866657</v>
      </c>
      <c r="D1777" s="1" t="s">
        <v>13</v>
      </c>
      <c r="E1777" s="1">
        <v>-17.100000000000001</v>
      </c>
      <c r="F1777" s="1" t="s">
        <v>4382</v>
      </c>
    </row>
    <row r="1778" spans="1:6" ht="21" x14ac:dyDescent="0.25">
      <c r="A1778" s="2" t="str">
        <f>HYPERLINK("https://rth.dk/resources/bsgatlas/details.php?id=BSGatlas-terminator-1777","BSGatlas-terminator-1777")</f>
        <v>BSGatlas-terminator-1777</v>
      </c>
      <c r="B1778" s="3">
        <v>2869335</v>
      </c>
      <c r="C1778" s="3">
        <v>2869393</v>
      </c>
      <c r="D1778" s="1" t="s">
        <v>13</v>
      </c>
      <c r="E1778" s="1">
        <v>-23.5</v>
      </c>
      <c r="F1778" s="1" t="s">
        <v>15158</v>
      </c>
    </row>
    <row r="1779" spans="1:6" ht="21" x14ac:dyDescent="0.25">
      <c r="A1779" s="2" t="str">
        <f>HYPERLINK("https://rth.dk/resources/bsgatlas/details.php?id=BSGatlas-terminator-1778","BSGatlas-terminator-1778")</f>
        <v>BSGatlas-terminator-1778</v>
      </c>
      <c r="B1779" s="3">
        <v>2869972</v>
      </c>
      <c r="C1779" s="3">
        <v>2870016</v>
      </c>
      <c r="D1779" s="1" t="s">
        <v>13</v>
      </c>
      <c r="E1779" s="1">
        <v>-12.1</v>
      </c>
      <c r="F1779" s="1" t="s">
        <v>15157</v>
      </c>
    </row>
    <row r="1780" spans="1:6" ht="21" x14ac:dyDescent="0.25">
      <c r="A1780" s="2" t="str">
        <f>HYPERLINK("https://rth.dk/resources/bsgatlas/details.php?id=BSGatlas-terminator-1779","BSGatlas-terminator-1779")</f>
        <v>BSGatlas-terminator-1779</v>
      </c>
      <c r="B1780" s="3">
        <v>2872830</v>
      </c>
      <c r="C1780" s="3">
        <v>2872875</v>
      </c>
      <c r="D1780" s="1" t="s">
        <v>13</v>
      </c>
      <c r="E1780" s="1">
        <v>-15.8</v>
      </c>
      <c r="F1780" s="1" t="s">
        <v>15158</v>
      </c>
    </row>
    <row r="1781" spans="1:6" ht="21" x14ac:dyDescent="0.25">
      <c r="A1781" s="2" t="str">
        <f>HYPERLINK("https://rth.dk/resources/bsgatlas/details.php?id=BSGatlas-terminator-1780","BSGatlas-terminator-1780")</f>
        <v>BSGatlas-terminator-1780</v>
      </c>
      <c r="B1781" s="3">
        <v>2879852</v>
      </c>
      <c r="C1781" s="3">
        <v>2879893</v>
      </c>
      <c r="D1781" s="1" t="s">
        <v>13</v>
      </c>
      <c r="E1781" s="1">
        <v>-16.7</v>
      </c>
      <c r="F1781" s="1" t="s">
        <v>15158</v>
      </c>
    </row>
    <row r="1782" spans="1:6" ht="21" x14ac:dyDescent="0.25">
      <c r="A1782" s="2" t="str">
        <f>HYPERLINK("https://rth.dk/resources/bsgatlas/details.php?id=BSGatlas-terminator-1781","BSGatlas-terminator-1781")</f>
        <v>BSGatlas-terminator-1781</v>
      </c>
      <c r="B1782" s="3">
        <v>2879862</v>
      </c>
      <c r="C1782" s="3">
        <v>2879903</v>
      </c>
      <c r="D1782" s="1" t="s">
        <v>9</v>
      </c>
      <c r="E1782" s="1">
        <v>-16.7</v>
      </c>
      <c r="F1782" s="1" t="s">
        <v>4382</v>
      </c>
    </row>
    <row r="1783" spans="1:6" ht="21" x14ac:dyDescent="0.25">
      <c r="A1783" s="2" t="str">
        <f>HYPERLINK("https://rth.dk/resources/bsgatlas/details.php?id=BSGatlas-terminator-1782","BSGatlas-terminator-1782")</f>
        <v>BSGatlas-terminator-1782</v>
      </c>
      <c r="B1783" s="3">
        <v>2882936</v>
      </c>
      <c r="C1783" s="3">
        <v>2882974</v>
      </c>
      <c r="D1783" s="1" t="s">
        <v>13</v>
      </c>
      <c r="E1783" s="1">
        <v>-8.9</v>
      </c>
      <c r="F1783" s="1" t="s">
        <v>15158</v>
      </c>
    </row>
    <row r="1784" spans="1:6" ht="21" x14ac:dyDescent="0.25">
      <c r="A1784" s="2" t="str">
        <f>HYPERLINK("https://rth.dk/resources/bsgatlas/details.php?id=BSGatlas-terminator-1783","BSGatlas-terminator-1783")</f>
        <v>BSGatlas-terminator-1783</v>
      </c>
      <c r="B1784" s="3">
        <v>2884727</v>
      </c>
      <c r="C1784" s="3">
        <v>2884772</v>
      </c>
      <c r="D1784" s="1" t="s">
        <v>13</v>
      </c>
      <c r="E1784" s="1">
        <v>-24.9</v>
      </c>
      <c r="F1784" s="1" t="s">
        <v>15158</v>
      </c>
    </row>
    <row r="1785" spans="1:6" ht="21" x14ac:dyDescent="0.25">
      <c r="A1785" s="2" t="str">
        <f>HYPERLINK("https://rth.dk/resources/bsgatlas/details.php?id=BSGatlas-terminator-1784","BSGatlas-terminator-1784")</f>
        <v>BSGatlas-terminator-1784</v>
      </c>
      <c r="B1785" s="3">
        <v>2886263</v>
      </c>
      <c r="C1785" s="3">
        <v>2886282</v>
      </c>
      <c r="D1785" s="1" t="s">
        <v>13</v>
      </c>
      <c r="E1785" s="1">
        <v>-13</v>
      </c>
      <c r="F1785" s="1" t="s">
        <v>4547</v>
      </c>
    </row>
    <row r="1786" spans="1:6" ht="21" x14ac:dyDescent="0.25">
      <c r="A1786" s="2" t="str">
        <f>HYPERLINK("https://rth.dk/resources/bsgatlas/details.php?id=BSGatlas-terminator-1785","BSGatlas-terminator-1785")</f>
        <v>BSGatlas-terminator-1785</v>
      </c>
      <c r="B1786" s="3">
        <v>2886289</v>
      </c>
      <c r="C1786" s="3">
        <v>2886333</v>
      </c>
      <c r="D1786" s="1" t="s">
        <v>13</v>
      </c>
      <c r="E1786" s="1">
        <v>-10.7</v>
      </c>
      <c r="F1786" s="1" t="s">
        <v>15157</v>
      </c>
    </row>
    <row r="1787" spans="1:6" ht="21" x14ac:dyDescent="0.25">
      <c r="A1787" s="2" t="str">
        <f>HYPERLINK("https://rth.dk/resources/bsgatlas/details.php?id=BSGatlas-terminator-1786","BSGatlas-terminator-1786")</f>
        <v>BSGatlas-terminator-1786</v>
      </c>
      <c r="B1787" s="3">
        <v>2888898</v>
      </c>
      <c r="C1787" s="3">
        <v>2888940</v>
      </c>
      <c r="D1787" s="1" t="s">
        <v>13</v>
      </c>
      <c r="E1787" s="1">
        <v>-13.5</v>
      </c>
      <c r="F1787" s="1" t="s">
        <v>15158</v>
      </c>
    </row>
    <row r="1788" spans="1:6" ht="21" x14ac:dyDescent="0.25">
      <c r="A1788" s="2" t="str">
        <f>HYPERLINK("https://rth.dk/resources/bsgatlas/details.php?id=BSGatlas-terminator-1787","BSGatlas-terminator-1787")</f>
        <v>BSGatlas-terminator-1787</v>
      </c>
      <c r="B1788" s="3">
        <v>2893519</v>
      </c>
      <c r="C1788" s="3">
        <v>2893575</v>
      </c>
      <c r="D1788" s="1" t="s">
        <v>13</v>
      </c>
      <c r="E1788" s="1">
        <v>-16</v>
      </c>
      <c r="F1788" s="1" t="s">
        <v>4382</v>
      </c>
    </row>
    <row r="1789" spans="1:6" ht="21" x14ac:dyDescent="0.25">
      <c r="A1789" s="2" t="str">
        <f>HYPERLINK("https://rth.dk/resources/bsgatlas/details.php?id=BSGatlas-terminator-1788","BSGatlas-terminator-1788")</f>
        <v>BSGatlas-terminator-1788</v>
      </c>
      <c r="B1789" s="3">
        <v>2897037</v>
      </c>
      <c r="C1789" s="3">
        <v>2897107</v>
      </c>
      <c r="D1789" s="1" t="s">
        <v>13</v>
      </c>
      <c r="E1789" s="1">
        <v>-20</v>
      </c>
      <c r="F1789" s="1" t="s">
        <v>4382</v>
      </c>
    </row>
    <row r="1790" spans="1:6" ht="21" x14ac:dyDescent="0.25">
      <c r="A1790" s="2" t="str">
        <f>HYPERLINK("https://rth.dk/resources/bsgatlas/details.php?id=BSGatlas-terminator-1789","BSGatlas-terminator-1789")</f>
        <v>BSGatlas-terminator-1789</v>
      </c>
      <c r="B1790" s="3">
        <v>2897115</v>
      </c>
      <c r="C1790" s="3">
        <v>2897159</v>
      </c>
      <c r="D1790" s="1" t="s">
        <v>13</v>
      </c>
      <c r="E1790" s="1">
        <v>-13.8</v>
      </c>
      <c r="F1790" s="1" t="s">
        <v>15157</v>
      </c>
    </row>
    <row r="1791" spans="1:6" ht="21" x14ac:dyDescent="0.25">
      <c r="A1791" s="2" t="str">
        <f>HYPERLINK("https://rth.dk/resources/bsgatlas/details.php?id=BSGatlas-terminator-1790","BSGatlas-terminator-1790")</f>
        <v>BSGatlas-terminator-1790</v>
      </c>
      <c r="B1791" s="3">
        <v>2898120</v>
      </c>
      <c r="C1791" s="3">
        <v>2898173</v>
      </c>
      <c r="D1791" s="1" t="s">
        <v>9</v>
      </c>
      <c r="E1791" s="1">
        <v>-13</v>
      </c>
      <c r="F1791" s="1" t="s">
        <v>15158</v>
      </c>
    </row>
    <row r="1792" spans="1:6" ht="21" x14ac:dyDescent="0.25">
      <c r="A1792" s="2" t="str">
        <f>HYPERLINK("https://rth.dk/resources/bsgatlas/details.php?id=BSGatlas-terminator-1791","BSGatlas-terminator-1791")</f>
        <v>BSGatlas-terminator-1791</v>
      </c>
      <c r="B1792" s="3">
        <v>2898757</v>
      </c>
      <c r="C1792" s="3">
        <v>2898813</v>
      </c>
      <c r="D1792" s="1" t="s">
        <v>9</v>
      </c>
      <c r="E1792" s="1">
        <v>-18.100000000000001</v>
      </c>
      <c r="F1792" s="1" t="s">
        <v>4382</v>
      </c>
    </row>
    <row r="1793" spans="1:6" ht="21" x14ac:dyDescent="0.25">
      <c r="A1793" s="2" t="str">
        <f>HYPERLINK("https://rth.dk/resources/bsgatlas/details.php?id=BSGatlas-terminator-1792","BSGatlas-terminator-1792")</f>
        <v>BSGatlas-terminator-1792</v>
      </c>
      <c r="B1793" s="3">
        <v>2899723</v>
      </c>
      <c r="C1793" s="3">
        <v>2899767</v>
      </c>
      <c r="D1793" s="1" t="s">
        <v>9</v>
      </c>
      <c r="E1793" s="1">
        <v>-13.3</v>
      </c>
      <c r="F1793" s="1" t="s">
        <v>15157</v>
      </c>
    </row>
    <row r="1794" spans="1:6" ht="21" x14ac:dyDescent="0.25">
      <c r="A1794" s="2" t="str">
        <f>HYPERLINK("https://rth.dk/resources/bsgatlas/details.php?id=BSGatlas-terminator-1793","BSGatlas-terminator-1793")</f>
        <v>BSGatlas-terminator-1793</v>
      </c>
      <c r="B1794" s="3">
        <v>2899772</v>
      </c>
      <c r="C1794" s="3">
        <v>2899816</v>
      </c>
      <c r="D1794" s="1" t="s">
        <v>9</v>
      </c>
      <c r="E1794" s="1">
        <v>-17.2</v>
      </c>
      <c r="F1794" s="1" t="s">
        <v>15158</v>
      </c>
    </row>
    <row r="1795" spans="1:6" ht="21" x14ac:dyDescent="0.25">
      <c r="A1795" s="2" t="str">
        <f>HYPERLINK("https://rth.dk/resources/bsgatlas/details.php?id=BSGatlas-terminator-1794","BSGatlas-terminator-1794")</f>
        <v>BSGatlas-terminator-1794</v>
      </c>
      <c r="B1795" s="3">
        <v>2899828</v>
      </c>
      <c r="C1795" s="3">
        <v>2899872</v>
      </c>
      <c r="D1795" s="1" t="s">
        <v>13</v>
      </c>
      <c r="E1795" s="1">
        <v>-13.3</v>
      </c>
      <c r="F1795" s="1" t="s">
        <v>15157</v>
      </c>
    </row>
    <row r="1796" spans="1:6" ht="21" x14ac:dyDescent="0.25">
      <c r="A1796" s="2" t="str">
        <f>HYPERLINK("https://rth.dk/resources/bsgatlas/details.php?id=BSGatlas-terminator-1795","BSGatlas-terminator-1795")</f>
        <v>BSGatlas-terminator-1795</v>
      </c>
      <c r="B1796" s="3">
        <v>2900015</v>
      </c>
      <c r="C1796" s="3">
        <v>2900059</v>
      </c>
      <c r="D1796" s="1" t="s">
        <v>13</v>
      </c>
      <c r="E1796" s="1">
        <v>-13.3</v>
      </c>
      <c r="F1796" s="1" t="s">
        <v>15157</v>
      </c>
    </row>
    <row r="1797" spans="1:6" ht="21" x14ac:dyDescent="0.25">
      <c r="A1797" s="2" t="str">
        <f>HYPERLINK("https://rth.dk/resources/bsgatlas/details.php?id=BSGatlas-terminator-1796","BSGatlas-terminator-1796")</f>
        <v>BSGatlas-terminator-1796</v>
      </c>
      <c r="B1797" s="3">
        <v>2901935</v>
      </c>
      <c r="C1797" s="3">
        <v>2901977</v>
      </c>
      <c r="D1797" s="1" t="s">
        <v>13</v>
      </c>
      <c r="E1797" s="1">
        <v>-10.7</v>
      </c>
      <c r="F1797" s="1" t="s">
        <v>4382</v>
      </c>
    </row>
    <row r="1798" spans="1:6" ht="21" x14ac:dyDescent="0.25">
      <c r="A1798" s="2" t="str">
        <f>HYPERLINK("https://rth.dk/resources/bsgatlas/details.php?id=BSGatlas-terminator-1797","BSGatlas-terminator-1797")</f>
        <v>BSGatlas-terminator-1797</v>
      </c>
      <c r="B1798" s="3">
        <v>2901997</v>
      </c>
      <c r="C1798" s="3">
        <v>2902041</v>
      </c>
      <c r="D1798" s="1" t="s">
        <v>13</v>
      </c>
      <c r="E1798" s="1">
        <v>-13</v>
      </c>
      <c r="F1798" s="1" t="s">
        <v>15157</v>
      </c>
    </row>
    <row r="1799" spans="1:6" ht="21" x14ac:dyDescent="0.25">
      <c r="A1799" s="2" t="str">
        <f>HYPERLINK("https://rth.dk/resources/bsgatlas/details.php?id=BSGatlas-terminator-1798","BSGatlas-terminator-1798")</f>
        <v>BSGatlas-terminator-1798</v>
      </c>
      <c r="B1799" s="3">
        <v>2903207</v>
      </c>
      <c r="C1799" s="3">
        <v>2903251</v>
      </c>
      <c r="D1799" s="1" t="s">
        <v>13</v>
      </c>
      <c r="E1799" s="1">
        <v>-13</v>
      </c>
      <c r="F1799" s="1" t="s">
        <v>15157</v>
      </c>
    </row>
    <row r="1800" spans="1:6" ht="21" x14ac:dyDescent="0.25">
      <c r="A1800" s="2" t="str">
        <f>HYPERLINK("https://rth.dk/resources/bsgatlas/details.php?id=BSGatlas-terminator-1799","BSGatlas-terminator-1799")</f>
        <v>BSGatlas-terminator-1799</v>
      </c>
      <c r="B1800" s="3">
        <v>2904677</v>
      </c>
      <c r="C1800" s="3">
        <v>2904725</v>
      </c>
      <c r="D1800" s="1" t="s">
        <v>13</v>
      </c>
      <c r="E1800" s="1">
        <v>-18.5</v>
      </c>
      <c r="F1800" s="1" t="s">
        <v>15158</v>
      </c>
    </row>
    <row r="1801" spans="1:6" ht="21" x14ac:dyDescent="0.25">
      <c r="A1801" s="2" t="str">
        <f>HYPERLINK("https://rth.dk/resources/bsgatlas/details.php?id=BSGatlas-terminator-1800","BSGatlas-terminator-1800")</f>
        <v>BSGatlas-terminator-1800</v>
      </c>
      <c r="B1801" s="3">
        <v>2905526</v>
      </c>
      <c r="C1801" s="3">
        <v>2905565</v>
      </c>
      <c r="D1801" s="1" t="s">
        <v>13</v>
      </c>
      <c r="E1801" s="1">
        <v>-13.9</v>
      </c>
      <c r="F1801" s="1" t="s">
        <v>15158</v>
      </c>
    </row>
    <row r="1802" spans="1:6" ht="21" x14ac:dyDescent="0.25">
      <c r="A1802" s="2" t="str">
        <f>HYPERLINK("https://rth.dk/resources/bsgatlas/details.php?id=BSGatlas-terminator-1801","BSGatlas-terminator-1801")</f>
        <v>BSGatlas-terminator-1801</v>
      </c>
      <c r="B1802" s="3">
        <v>2909469</v>
      </c>
      <c r="C1802" s="3">
        <v>2909511</v>
      </c>
      <c r="D1802" s="1" t="s">
        <v>13</v>
      </c>
      <c r="E1802" s="1">
        <v>-15.7</v>
      </c>
      <c r="F1802" s="1" t="s">
        <v>15158</v>
      </c>
    </row>
    <row r="1803" spans="1:6" ht="21" x14ac:dyDescent="0.25">
      <c r="A1803" s="2" t="str">
        <f>HYPERLINK("https://rth.dk/resources/bsgatlas/details.php?id=BSGatlas-terminator-1802","BSGatlas-terminator-1802")</f>
        <v>BSGatlas-terminator-1802</v>
      </c>
      <c r="B1803" s="3">
        <v>2909479</v>
      </c>
      <c r="C1803" s="3">
        <v>2909521</v>
      </c>
      <c r="D1803" s="1" t="s">
        <v>9</v>
      </c>
      <c r="E1803" s="1">
        <v>-15.8</v>
      </c>
      <c r="F1803" s="1" t="s">
        <v>15158</v>
      </c>
    </row>
    <row r="1804" spans="1:6" ht="21" x14ac:dyDescent="0.25">
      <c r="A1804" s="2" t="str">
        <f>HYPERLINK("https://rth.dk/resources/bsgatlas/details.php?id=BSGatlas-terminator-1803","BSGatlas-terminator-1803")</f>
        <v>BSGatlas-terminator-1803</v>
      </c>
      <c r="B1804" s="3">
        <v>2910801</v>
      </c>
      <c r="C1804" s="3">
        <v>2910851</v>
      </c>
      <c r="D1804" s="1" t="s">
        <v>13</v>
      </c>
      <c r="E1804" s="1">
        <v>-16.600000000000001</v>
      </c>
      <c r="F1804" s="1" t="s">
        <v>15158</v>
      </c>
    </row>
    <row r="1805" spans="1:6" ht="21" x14ac:dyDescent="0.25">
      <c r="A1805" s="2" t="str">
        <f>HYPERLINK("https://rth.dk/resources/bsgatlas/details.php?id=BSGatlas-terminator-1804","BSGatlas-terminator-1804")</f>
        <v>BSGatlas-terminator-1804</v>
      </c>
      <c r="B1805" s="3">
        <v>2912964</v>
      </c>
      <c r="C1805" s="3">
        <v>2913005</v>
      </c>
      <c r="D1805" s="1" t="s">
        <v>13</v>
      </c>
      <c r="E1805" s="1">
        <v>-14</v>
      </c>
      <c r="F1805" s="1" t="s">
        <v>15158</v>
      </c>
    </row>
    <row r="1806" spans="1:6" ht="21" x14ac:dyDescent="0.25">
      <c r="A1806" s="2" t="str">
        <f>HYPERLINK("https://rth.dk/resources/bsgatlas/details.php?id=BSGatlas-terminator-1805","BSGatlas-terminator-1805")</f>
        <v>BSGatlas-terminator-1805</v>
      </c>
      <c r="B1806" s="3">
        <v>2913611</v>
      </c>
      <c r="C1806" s="3">
        <v>2913657</v>
      </c>
      <c r="D1806" s="1" t="s">
        <v>13</v>
      </c>
      <c r="E1806" s="1">
        <v>-20.7</v>
      </c>
      <c r="F1806" s="1" t="s">
        <v>4382</v>
      </c>
    </row>
    <row r="1807" spans="1:6" ht="21" x14ac:dyDescent="0.25">
      <c r="A1807" s="2" t="str">
        <f>HYPERLINK("https://rth.dk/resources/bsgatlas/details.php?id=BSGatlas-terminator-1806","BSGatlas-terminator-1806")</f>
        <v>BSGatlas-terminator-1806</v>
      </c>
      <c r="B1807" s="3">
        <v>2915322</v>
      </c>
      <c r="C1807" s="3">
        <v>2915362</v>
      </c>
      <c r="D1807" s="1" t="s">
        <v>13</v>
      </c>
      <c r="E1807" s="1">
        <v>-16.399999999999999</v>
      </c>
      <c r="F1807" s="1" t="s">
        <v>15158</v>
      </c>
    </row>
    <row r="1808" spans="1:6" ht="21" x14ac:dyDescent="0.25">
      <c r="A1808" s="2" t="str">
        <f>HYPERLINK("https://rth.dk/resources/bsgatlas/details.php?id=BSGatlas-terminator-1807","BSGatlas-terminator-1807")</f>
        <v>BSGatlas-terminator-1807</v>
      </c>
      <c r="B1808" s="3">
        <v>2917209</v>
      </c>
      <c r="C1808" s="3">
        <v>2917253</v>
      </c>
      <c r="D1808" s="1" t="s">
        <v>9</v>
      </c>
      <c r="E1808" s="1">
        <v>-5.0999999999999996</v>
      </c>
      <c r="F1808" s="1" t="s">
        <v>15157</v>
      </c>
    </row>
    <row r="1809" spans="1:6" ht="21" x14ac:dyDescent="0.25">
      <c r="A1809" s="2" t="str">
        <f>HYPERLINK("https://rth.dk/resources/bsgatlas/details.php?id=BSGatlas-terminator-1808","BSGatlas-terminator-1808")</f>
        <v>BSGatlas-terminator-1808</v>
      </c>
      <c r="B1809" s="3">
        <v>2920384</v>
      </c>
      <c r="C1809" s="3">
        <v>2920419</v>
      </c>
      <c r="D1809" s="1" t="s">
        <v>13</v>
      </c>
      <c r="E1809" s="1">
        <v>-4.2</v>
      </c>
      <c r="F1809" s="1" t="s">
        <v>4382</v>
      </c>
    </row>
    <row r="1810" spans="1:6" ht="21" x14ac:dyDescent="0.25">
      <c r="A1810" s="2" t="str">
        <f>HYPERLINK("https://rth.dk/resources/bsgatlas/details.php?id=BSGatlas-terminator-1809","BSGatlas-terminator-1809")</f>
        <v>BSGatlas-terminator-1809</v>
      </c>
      <c r="B1810" s="3">
        <v>2920431</v>
      </c>
      <c r="C1810" s="3">
        <v>2920475</v>
      </c>
      <c r="D1810" s="1" t="s">
        <v>13</v>
      </c>
      <c r="E1810" s="1">
        <v>-9.8000000000000007</v>
      </c>
      <c r="F1810" s="1" t="s">
        <v>15157</v>
      </c>
    </row>
    <row r="1811" spans="1:6" ht="21" x14ac:dyDescent="0.25">
      <c r="A1811" s="2" t="str">
        <f>HYPERLINK("https://rth.dk/resources/bsgatlas/details.php?id=BSGatlas-terminator-1810","BSGatlas-terminator-1810")</f>
        <v>BSGatlas-terminator-1810</v>
      </c>
      <c r="B1811" s="3">
        <v>2920497</v>
      </c>
      <c r="C1811" s="3">
        <v>2920541</v>
      </c>
      <c r="D1811" s="1" t="s">
        <v>13</v>
      </c>
      <c r="E1811" s="1">
        <v>-9.8000000000000007</v>
      </c>
      <c r="F1811" s="1" t="s">
        <v>15157</v>
      </c>
    </row>
    <row r="1812" spans="1:6" ht="21" x14ac:dyDescent="0.25">
      <c r="A1812" s="2" t="str">
        <f>HYPERLINK("https://rth.dk/resources/bsgatlas/details.php?id=BSGatlas-terminator-1811","BSGatlas-terminator-1811")</f>
        <v>BSGatlas-terminator-1811</v>
      </c>
      <c r="B1812" s="3">
        <v>2925061</v>
      </c>
      <c r="C1812" s="3">
        <v>2925099</v>
      </c>
      <c r="D1812" s="1" t="s">
        <v>13</v>
      </c>
      <c r="E1812" s="1">
        <v>-10.3</v>
      </c>
      <c r="F1812" s="1" t="s">
        <v>4382</v>
      </c>
    </row>
    <row r="1813" spans="1:6" ht="21" x14ac:dyDescent="0.25">
      <c r="A1813" s="2" t="str">
        <f>HYPERLINK("https://rth.dk/resources/bsgatlas/details.php?id=BSGatlas-terminator-1812","BSGatlas-terminator-1812")</f>
        <v>BSGatlas-terminator-1812</v>
      </c>
      <c r="B1813" s="3">
        <v>2926964</v>
      </c>
      <c r="C1813" s="3">
        <v>2927019</v>
      </c>
      <c r="D1813" s="1" t="s">
        <v>13</v>
      </c>
      <c r="E1813" s="1">
        <v>-18.8</v>
      </c>
      <c r="F1813" s="1" t="s">
        <v>15158</v>
      </c>
    </row>
    <row r="1814" spans="1:6" ht="21" x14ac:dyDescent="0.25">
      <c r="A1814" s="2" t="str">
        <f>HYPERLINK("https://rth.dk/resources/bsgatlas/details.php?id=BSGatlas-terminator-1813","BSGatlas-terminator-1813")</f>
        <v>BSGatlas-terminator-1813</v>
      </c>
      <c r="B1814" s="3">
        <v>2926974</v>
      </c>
      <c r="C1814" s="3">
        <v>2927015</v>
      </c>
      <c r="D1814" s="1" t="s">
        <v>9</v>
      </c>
      <c r="E1814" s="1">
        <v>-16.100000000000001</v>
      </c>
      <c r="F1814" s="1" t="s">
        <v>15158</v>
      </c>
    </row>
    <row r="1815" spans="1:6" ht="21" x14ac:dyDescent="0.25">
      <c r="A1815" s="2" t="str">
        <f>HYPERLINK("https://rth.dk/resources/bsgatlas/details.php?id=BSGatlas-terminator-1814","BSGatlas-terminator-1814")</f>
        <v>BSGatlas-terminator-1814</v>
      </c>
      <c r="B1815" s="3">
        <v>2930515</v>
      </c>
      <c r="C1815" s="3">
        <v>2930567</v>
      </c>
      <c r="D1815" s="1" t="s">
        <v>13</v>
      </c>
      <c r="E1815" s="1">
        <v>-17.8</v>
      </c>
      <c r="F1815" s="1" t="s">
        <v>4382</v>
      </c>
    </row>
    <row r="1816" spans="1:6" ht="21" x14ac:dyDescent="0.25">
      <c r="A1816" s="2" t="str">
        <f>HYPERLINK("https://rth.dk/resources/bsgatlas/details.php?id=BSGatlas-terminator-1815","BSGatlas-terminator-1815")</f>
        <v>BSGatlas-terminator-1815</v>
      </c>
      <c r="B1816" s="3">
        <v>2931912</v>
      </c>
      <c r="C1816" s="3">
        <v>2931949</v>
      </c>
      <c r="D1816" s="1" t="s">
        <v>9</v>
      </c>
      <c r="E1816" s="1">
        <v>-13.6</v>
      </c>
      <c r="F1816" s="1" t="s">
        <v>4382</v>
      </c>
    </row>
    <row r="1817" spans="1:6" ht="21" x14ac:dyDescent="0.25">
      <c r="A1817" s="2" t="str">
        <f>HYPERLINK("https://rth.dk/resources/bsgatlas/details.php?id=BSGatlas-terminator-1816","BSGatlas-terminator-1816")</f>
        <v>BSGatlas-terminator-1816</v>
      </c>
      <c r="B1817" s="3">
        <v>2935918</v>
      </c>
      <c r="C1817" s="3">
        <v>2935962</v>
      </c>
      <c r="D1817" s="1" t="s">
        <v>13</v>
      </c>
      <c r="E1817" s="1">
        <v>-17.600000000000001</v>
      </c>
      <c r="F1817" s="1" t="s">
        <v>15158</v>
      </c>
    </row>
    <row r="1818" spans="1:6" ht="21" x14ac:dyDescent="0.25">
      <c r="A1818" s="2" t="str">
        <f>HYPERLINK("https://rth.dk/resources/bsgatlas/details.php?id=BSGatlas-terminator-1817","BSGatlas-terminator-1817")</f>
        <v>BSGatlas-terminator-1817</v>
      </c>
      <c r="B1818" s="3">
        <v>2935928</v>
      </c>
      <c r="C1818" s="3">
        <v>2935972</v>
      </c>
      <c r="D1818" s="1" t="s">
        <v>9</v>
      </c>
      <c r="E1818" s="1">
        <v>-17.600000000000001</v>
      </c>
      <c r="F1818" s="1" t="s">
        <v>15158</v>
      </c>
    </row>
    <row r="1819" spans="1:6" ht="21" x14ac:dyDescent="0.25">
      <c r="A1819" s="2" t="str">
        <f>HYPERLINK("https://rth.dk/resources/bsgatlas/details.php?id=BSGatlas-terminator-1818","BSGatlas-terminator-1818")</f>
        <v>BSGatlas-terminator-1818</v>
      </c>
      <c r="B1819" s="3">
        <v>2938153</v>
      </c>
      <c r="C1819" s="3">
        <v>2938197</v>
      </c>
      <c r="D1819" s="1" t="s">
        <v>9</v>
      </c>
      <c r="E1819" s="1">
        <v>-15.2</v>
      </c>
      <c r="F1819" s="1" t="s">
        <v>15157</v>
      </c>
    </row>
    <row r="1820" spans="1:6" ht="21" x14ac:dyDescent="0.25">
      <c r="A1820" s="2" t="str">
        <f>HYPERLINK("https://rth.dk/resources/bsgatlas/details.php?id=BSGatlas-terminator-1819","BSGatlas-terminator-1819")</f>
        <v>BSGatlas-terminator-1819</v>
      </c>
      <c r="B1820" s="3">
        <v>2938285</v>
      </c>
      <c r="C1820" s="3">
        <v>2938324</v>
      </c>
      <c r="D1820" s="1" t="s">
        <v>13</v>
      </c>
      <c r="E1820" s="1">
        <v>-16.399999999999999</v>
      </c>
      <c r="F1820" s="1" t="s">
        <v>15160</v>
      </c>
    </row>
    <row r="1821" spans="1:6" ht="21" x14ac:dyDescent="0.25">
      <c r="A1821" s="2" t="str">
        <f>HYPERLINK("https://rth.dk/resources/bsgatlas/details.php?id=BSGatlas-terminator-1820","BSGatlas-terminator-1820")</f>
        <v>BSGatlas-terminator-1820</v>
      </c>
      <c r="B1821" s="3">
        <v>2939681</v>
      </c>
      <c r="C1821" s="3">
        <v>2939725</v>
      </c>
      <c r="D1821" s="1" t="s">
        <v>13</v>
      </c>
      <c r="E1821" s="1">
        <v>-14.2</v>
      </c>
      <c r="F1821" s="1" t="s">
        <v>15157</v>
      </c>
    </row>
    <row r="1822" spans="1:6" ht="21" x14ac:dyDescent="0.25">
      <c r="A1822" s="2" t="str">
        <f>HYPERLINK("https://rth.dk/resources/bsgatlas/details.php?id=BSGatlas-terminator-1821","BSGatlas-terminator-1821")</f>
        <v>BSGatlas-terminator-1821</v>
      </c>
      <c r="B1822" s="3">
        <v>2949025</v>
      </c>
      <c r="C1822" s="3">
        <v>2949044</v>
      </c>
      <c r="D1822" s="1" t="s">
        <v>13</v>
      </c>
      <c r="E1822" s="1">
        <v>-12</v>
      </c>
      <c r="F1822" s="1" t="s">
        <v>4547</v>
      </c>
    </row>
    <row r="1823" spans="1:6" ht="21" x14ac:dyDescent="0.25">
      <c r="A1823" s="2" t="str">
        <f>HYPERLINK("https://rth.dk/resources/bsgatlas/details.php?id=BSGatlas-terminator-1822","BSGatlas-terminator-1822")</f>
        <v>BSGatlas-terminator-1822</v>
      </c>
      <c r="B1823" s="3">
        <v>2950213</v>
      </c>
      <c r="C1823" s="3">
        <v>2950257</v>
      </c>
      <c r="D1823" s="1" t="s">
        <v>13</v>
      </c>
      <c r="E1823" s="1">
        <v>-9.9</v>
      </c>
      <c r="F1823" s="1" t="s">
        <v>15157</v>
      </c>
    </row>
    <row r="1824" spans="1:6" ht="21" x14ac:dyDescent="0.25">
      <c r="A1824" s="2" t="str">
        <f>HYPERLINK("https://rth.dk/resources/bsgatlas/details.php?id=BSGatlas-terminator-1823","BSGatlas-terminator-1823")</f>
        <v>BSGatlas-terminator-1823</v>
      </c>
      <c r="B1824" s="3">
        <v>2951853</v>
      </c>
      <c r="C1824" s="3">
        <v>2951899</v>
      </c>
      <c r="D1824" s="1" t="s">
        <v>13</v>
      </c>
      <c r="E1824" s="1">
        <v>-17.7</v>
      </c>
      <c r="F1824" s="1" t="s">
        <v>15158</v>
      </c>
    </row>
    <row r="1825" spans="1:6" ht="21" x14ac:dyDescent="0.25">
      <c r="A1825" s="2" t="str">
        <f>HYPERLINK("https://rth.dk/resources/bsgatlas/details.php?id=BSGatlas-terminator-1824","BSGatlas-terminator-1824")</f>
        <v>BSGatlas-terminator-1824</v>
      </c>
      <c r="B1825" s="3">
        <v>2951871</v>
      </c>
      <c r="C1825" s="3">
        <v>2951901</v>
      </c>
      <c r="D1825" s="1" t="s">
        <v>9</v>
      </c>
      <c r="E1825" s="1">
        <v>-15.8</v>
      </c>
      <c r="F1825" s="1" t="s">
        <v>15158</v>
      </c>
    </row>
    <row r="1826" spans="1:6" ht="21" x14ac:dyDescent="0.25">
      <c r="A1826" s="2" t="str">
        <f>HYPERLINK("https://rth.dk/resources/bsgatlas/details.php?id=BSGatlas-terminator-1825","BSGatlas-terminator-1825")</f>
        <v>BSGatlas-terminator-1825</v>
      </c>
      <c r="B1826" s="3">
        <v>2952061</v>
      </c>
      <c r="C1826" s="3">
        <v>2952105</v>
      </c>
      <c r="D1826" s="1" t="s">
        <v>13</v>
      </c>
      <c r="E1826" s="1">
        <v>-14.1</v>
      </c>
      <c r="F1826" s="1" t="s">
        <v>15157</v>
      </c>
    </row>
    <row r="1827" spans="1:6" ht="21" x14ac:dyDescent="0.25">
      <c r="A1827" s="2" t="str">
        <f>HYPERLINK("https://rth.dk/resources/bsgatlas/details.php?id=BSGatlas-terminator-1826","BSGatlas-terminator-1826")</f>
        <v>BSGatlas-terminator-1826</v>
      </c>
      <c r="B1827" s="3">
        <v>2952139</v>
      </c>
      <c r="C1827" s="3">
        <v>2952183</v>
      </c>
      <c r="D1827" s="1" t="s">
        <v>9</v>
      </c>
      <c r="E1827" s="1">
        <v>-15.8</v>
      </c>
      <c r="F1827" s="1" t="s">
        <v>15162</v>
      </c>
    </row>
    <row r="1828" spans="1:6" ht="21" x14ac:dyDescent="0.25">
      <c r="A1828" s="2" t="str">
        <f>HYPERLINK("https://rth.dk/resources/bsgatlas/details.php?id=BSGatlas-terminator-1827","BSGatlas-terminator-1827")</f>
        <v>BSGatlas-terminator-1827</v>
      </c>
      <c r="B1828" s="3">
        <v>2952179</v>
      </c>
      <c r="C1828" s="3">
        <v>2952219</v>
      </c>
      <c r="D1828" s="1" t="s">
        <v>13</v>
      </c>
      <c r="E1828" s="1">
        <v>-16.5</v>
      </c>
      <c r="F1828" s="1" t="s">
        <v>15158</v>
      </c>
    </row>
    <row r="1829" spans="1:6" ht="21" x14ac:dyDescent="0.25">
      <c r="A1829" s="2" t="str">
        <f>HYPERLINK("https://rth.dk/resources/bsgatlas/details.php?id=BSGatlas-terminator-1828","BSGatlas-terminator-1828")</f>
        <v>BSGatlas-terminator-1828</v>
      </c>
      <c r="B1829" s="3">
        <v>2953405</v>
      </c>
      <c r="C1829" s="3">
        <v>2953454</v>
      </c>
      <c r="D1829" s="1" t="s">
        <v>13</v>
      </c>
      <c r="E1829" s="1">
        <v>-16.7</v>
      </c>
      <c r="F1829" s="1" t="s">
        <v>4382</v>
      </c>
    </row>
    <row r="1830" spans="1:6" ht="21" x14ac:dyDescent="0.25">
      <c r="A1830" s="2" t="str">
        <f>HYPERLINK("https://rth.dk/resources/bsgatlas/details.php?id=BSGatlas-terminator-1829","BSGatlas-terminator-1829")</f>
        <v>BSGatlas-terminator-1829</v>
      </c>
      <c r="B1830" s="3">
        <v>2954416</v>
      </c>
      <c r="C1830" s="3">
        <v>2954460</v>
      </c>
      <c r="D1830" s="1" t="s">
        <v>9</v>
      </c>
      <c r="E1830" s="1">
        <v>-15.8</v>
      </c>
      <c r="F1830" s="1" t="s">
        <v>15157</v>
      </c>
    </row>
    <row r="1831" spans="1:6" ht="21" x14ac:dyDescent="0.25">
      <c r="A1831" s="2" t="str">
        <f>HYPERLINK("https://rth.dk/resources/bsgatlas/details.php?id=BSGatlas-terminator-1830","BSGatlas-terminator-1830")</f>
        <v>BSGatlas-terminator-1830</v>
      </c>
      <c r="B1831" s="3">
        <v>2954456</v>
      </c>
      <c r="C1831" s="3">
        <v>2954496</v>
      </c>
      <c r="D1831" s="1" t="s">
        <v>13</v>
      </c>
      <c r="E1831" s="1">
        <v>-16.899999999999999</v>
      </c>
      <c r="F1831" s="1" t="s">
        <v>15158</v>
      </c>
    </row>
    <row r="1832" spans="1:6" ht="21" x14ac:dyDescent="0.25">
      <c r="A1832" s="2" t="str">
        <f>HYPERLINK("https://rth.dk/resources/bsgatlas/details.php?id=BSGatlas-terminator-1831","BSGatlas-terminator-1831")</f>
        <v>BSGatlas-terminator-1831</v>
      </c>
      <c r="B1832" s="3">
        <v>2954466</v>
      </c>
      <c r="C1832" s="3">
        <v>2954506</v>
      </c>
      <c r="D1832" s="1" t="s">
        <v>9</v>
      </c>
      <c r="E1832" s="1">
        <v>-17.100000000000001</v>
      </c>
      <c r="F1832" s="1" t="s">
        <v>4382</v>
      </c>
    </row>
    <row r="1833" spans="1:6" ht="21" x14ac:dyDescent="0.25">
      <c r="A1833" s="2" t="str">
        <f>HYPERLINK("https://rth.dk/resources/bsgatlas/details.php?id=BSGatlas-terminator-1832","BSGatlas-terminator-1832")</f>
        <v>BSGatlas-terminator-1832</v>
      </c>
      <c r="B1833" s="3">
        <v>2955760</v>
      </c>
      <c r="C1833" s="3">
        <v>2955803</v>
      </c>
      <c r="D1833" s="1" t="s">
        <v>13</v>
      </c>
      <c r="E1833" s="1">
        <v>-15.3</v>
      </c>
      <c r="F1833" s="1" t="s">
        <v>15158</v>
      </c>
    </row>
    <row r="1834" spans="1:6" ht="21" x14ac:dyDescent="0.25">
      <c r="A1834" s="2" t="str">
        <f>HYPERLINK("https://rth.dk/resources/bsgatlas/details.php?id=BSGatlas-terminator-1833","BSGatlas-terminator-1833")</f>
        <v>BSGatlas-terminator-1833</v>
      </c>
      <c r="B1834" s="3">
        <v>2959207</v>
      </c>
      <c r="C1834" s="3">
        <v>2959252</v>
      </c>
      <c r="D1834" s="1" t="s">
        <v>13</v>
      </c>
      <c r="E1834" s="1">
        <v>-17.899999999999999</v>
      </c>
      <c r="F1834" s="1" t="s">
        <v>15158</v>
      </c>
    </row>
    <row r="1835" spans="1:6" ht="21" x14ac:dyDescent="0.25">
      <c r="A1835" s="2" t="str">
        <f>HYPERLINK("https://rth.dk/resources/bsgatlas/details.php?id=BSGatlas-terminator-1834","BSGatlas-terminator-1834")</f>
        <v>BSGatlas-terminator-1834</v>
      </c>
      <c r="B1835" s="3">
        <v>2959217</v>
      </c>
      <c r="C1835" s="3">
        <v>2959262</v>
      </c>
      <c r="D1835" s="1" t="s">
        <v>9</v>
      </c>
      <c r="E1835" s="1">
        <v>-17.600000000000001</v>
      </c>
      <c r="F1835" s="1" t="s">
        <v>15158</v>
      </c>
    </row>
    <row r="1836" spans="1:6" ht="21" x14ac:dyDescent="0.25">
      <c r="A1836" s="2" t="str">
        <f>HYPERLINK("https://rth.dk/resources/bsgatlas/details.php?id=BSGatlas-terminator-1835","BSGatlas-terminator-1835")</f>
        <v>BSGatlas-terminator-1835</v>
      </c>
      <c r="B1836" s="3">
        <v>2961204</v>
      </c>
      <c r="C1836" s="3">
        <v>2961259</v>
      </c>
      <c r="D1836" s="1" t="s">
        <v>13</v>
      </c>
      <c r="E1836" s="1">
        <v>-19.3</v>
      </c>
      <c r="F1836" s="1" t="s">
        <v>4382</v>
      </c>
    </row>
    <row r="1837" spans="1:6" ht="21" x14ac:dyDescent="0.25">
      <c r="A1837" s="2" t="str">
        <f>HYPERLINK("https://rth.dk/resources/bsgatlas/details.php?id=BSGatlas-terminator-1836","BSGatlas-terminator-1836")</f>
        <v>BSGatlas-terminator-1836</v>
      </c>
      <c r="B1837" s="3">
        <v>2961268</v>
      </c>
      <c r="C1837" s="3">
        <v>2961312</v>
      </c>
      <c r="D1837" s="1" t="s">
        <v>13</v>
      </c>
      <c r="E1837" s="1">
        <v>-16.2</v>
      </c>
      <c r="F1837" s="1" t="s">
        <v>15157</v>
      </c>
    </row>
    <row r="1838" spans="1:6" ht="21" x14ac:dyDescent="0.25">
      <c r="A1838" s="2" t="str">
        <f>HYPERLINK("https://rth.dk/resources/bsgatlas/details.php?id=BSGatlas-terminator-1837","BSGatlas-terminator-1837")</f>
        <v>BSGatlas-terminator-1837</v>
      </c>
      <c r="B1838" s="3">
        <v>2965640</v>
      </c>
      <c r="C1838" s="3">
        <v>2965683</v>
      </c>
      <c r="D1838" s="1" t="s">
        <v>13</v>
      </c>
      <c r="E1838" s="1">
        <v>-21.2</v>
      </c>
      <c r="F1838" s="1" t="s">
        <v>15158</v>
      </c>
    </row>
    <row r="1839" spans="1:6" ht="21" x14ac:dyDescent="0.25">
      <c r="A1839" s="2" t="str">
        <f>HYPERLINK("https://rth.dk/resources/bsgatlas/details.php?id=BSGatlas-terminator-1838","BSGatlas-terminator-1838")</f>
        <v>BSGatlas-terminator-1838</v>
      </c>
      <c r="B1839" s="3">
        <v>2966332</v>
      </c>
      <c r="C1839" s="3">
        <v>2966397</v>
      </c>
      <c r="D1839" s="1" t="s">
        <v>13</v>
      </c>
      <c r="E1839" s="1">
        <v>-30.1</v>
      </c>
      <c r="F1839" s="1" t="s">
        <v>15158</v>
      </c>
    </row>
    <row r="1840" spans="1:6" ht="21" x14ac:dyDescent="0.25">
      <c r="A1840" s="2" t="str">
        <f>HYPERLINK("https://rth.dk/resources/bsgatlas/details.php?id=BSGatlas-terminator-1839","BSGatlas-terminator-1839")</f>
        <v>BSGatlas-terminator-1839</v>
      </c>
      <c r="B1840" s="3">
        <v>2968262</v>
      </c>
      <c r="C1840" s="3">
        <v>2968306</v>
      </c>
      <c r="D1840" s="1" t="s">
        <v>13</v>
      </c>
      <c r="E1840" s="1">
        <v>-15.3</v>
      </c>
      <c r="F1840" s="1" t="s">
        <v>15157</v>
      </c>
    </row>
    <row r="1841" spans="1:6" ht="21" x14ac:dyDescent="0.25">
      <c r="A1841" s="2" t="str">
        <f>HYPERLINK("https://rth.dk/resources/bsgatlas/details.php?id=BSGatlas-terminator-1840","BSGatlas-terminator-1840")</f>
        <v>BSGatlas-terminator-1840</v>
      </c>
      <c r="B1841" s="3">
        <v>2970851</v>
      </c>
      <c r="C1841" s="3">
        <v>2970895</v>
      </c>
      <c r="D1841" s="1" t="s">
        <v>9</v>
      </c>
      <c r="E1841" s="1">
        <v>-11.4</v>
      </c>
      <c r="F1841" s="1" t="s">
        <v>15157</v>
      </c>
    </row>
    <row r="1842" spans="1:6" ht="21" x14ac:dyDescent="0.25">
      <c r="A1842" s="2" t="str">
        <f>HYPERLINK("https://rth.dk/resources/bsgatlas/details.php?id=BSGatlas-terminator-1841","BSGatlas-terminator-1841")</f>
        <v>BSGatlas-terminator-1841</v>
      </c>
      <c r="B1842" s="3">
        <v>2970877</v>
      </c>
      <c r="C1842" s="3">
        <v>2970917</v>
      </c>
      <c r="D1842" s="1" t="s">
        <v>13</v>
      </c>
      <c r="E1842" s="1">
        <v>-15.1</v>
      </c>
      <c r="F1842" s="1" t="s">
        <v>15158</v>
      </c>
    </row>
    <row r="1843" spans="1:6" ht="21" x14ac:dyDescent="0.25">
      <c r="A1843" s="2" t="str">
        <f>HYPERLINK("https://rth.dk/resources/bsgatlas/details.php?id=BSGatlas-terminator-1842","BSGatlas-terminator-1842")</f>
        <v>BSGatlas-terminator-1842</v>
      </c>
      <c r="B1843" s="3">
        <v>2975933</v>
      </c>
      <c r="C1843" s="3">
        <v>2975979</v>
      </c>
      <c r="D1843" s="1" t="s">
        <v>13</v>
      </c>
      <c r="E1843" s="1">
        <v>-16.3</v>
      </c>
      <c r="F1843" s="1" t="s">
        <v>15160</v>
      </c>
    </row>
    <row r="1844" spans="1:6" ht="21" x14ac:dyDescent="0.25">
      <c r="A1844" s="2" t="str">
        <f>HYPERLINK("https://rth.dk/resources/bsgatlas/details.php?id=BSGatlas-terminator-1843","BSGatlas-terminator-1843")</f>
        <v>BSGatlas-terminator-1843</v>
      </c>
      <c r="B1844" s="3">
        <v>2978687</v>
      </c>
      <c r="C1844" s="3">
        <v>2978724</v>
      </c>
      <c r="D1844" s="1" t="s">
        <v>13</v>
      </c>
      <c r="E1844" s="1">
        <v>-4.8</v>
      </c>
      <c r="F1844" s="1" t="s">
        <v>4382</v>
      </c>
    </row>
    <row r="1845" spans="1:6" ht="21" x14ac:dyDescent="0.25">
      <c r="A1845" s="2" t="str">
        <f>HYPERLINK("https://rth.dk/resources/bsgatlas/details.php?id=BSGatlas-terminator-1844","BSGatlas-terminator-1844")</f>
        <v>BSGatlas-terminator-1844</v>
      </c>
      <c r="B1845" s="3">
        <v>2978725</v>
      </c>
      <c r="C1845" s="3">
        <v>2978769</v>
      </c>
      <c r="D1845" s="1" t="s">
        <v>13</v>
      </c>
      <c r="E1845" s="1">
        <v>-13.5</v>
      </c>
      <c r="F1845" s="1" t="s">
        <v>15157</v>
      </c>
    </row>
    <row r="1846" spans="1:6" ht="21" x14ac:dyDescent="0.25">
      <c r="A1846" s="2" t="str">
        <f>HYPERLINK("https://rth.dk/resources/bsgatlas/details.php?id=BSGatlas-terminator-1845","BSGatlas-terminator-1845")</f>
        <v>BSGatlas-terminator-1845</v>
      </c>
      <c r="B1846" s="3">
        <v>2981742</v>
      </c>
      <c r="C1846" s="3">
        <v>2981786</v>
      </c>
      <c r="D1846" s="1" t="s">
        <v>9</v>
      </c>
      <c r="E1846" s="1">
        <v>-9.9</v>
      </c>
      <c r="F1846" s="1" t="s">
        <v>15157</v>
      </c>
    </row>
    <row r="1847" spans="1:6" ht="21" x14ac:dyDescent="0.25">
      <c r="A1847" s="2" t="str">
        <f>HYPERLINK("https://rth.dk/resources/bsgatlas/details.php?id=BSGatlas-terminator-1846","BSGatlas-terminator-1846")</f>
        <v>BSGatlas-terminator-1846</v>
      </c>
      <c r="B1847" s="3">
        <v>2982226</v>
      </c>
      <c r="C1847" s="3">
        <v>2982270</v>
      </c>
      <c r="D1847" s="1" t="s">
        <v>9</v>
      </c>
      <c r="E1847" s="1">
        <v>-9.9</v>
      </c>
      <c r="F1847" s="1" t="s">
        <v>15157</v>
      </c>
    </row>
    <row r="1848" spans="1:6" ht="21" x14ac:dyDescent="0.25">
      <c r="A1848" s="2" t="str">
        <f>HYPERLINK("https://rth.dk/resources/bsgatlas/details.php?id=BSGatlas-terminator-1847","BSGatlas-terminator-1847")</f>
        <v>BSGatlas-terminator-1847</v>
      </c>
      <c r="B1848" s="3">
        <v>2982566</v>
      </c>
      <c r="C1848" s="3">
        <v>2982601</v>
      </c>
      <c r="D1848" s="1" t="s">
        <v>13</v>
      </c>
      <c r="E1848" s="1">
        <v>-10</v>
      </c>
      <c r="F1848" s="1" t="s">
        <v>15158</v>
      </c>
    </row>
    <row r="1849" spans="1:6" ht="21" x14ac:dyDescent="0.25">
      <c r="A1849" s="2" t="str">
        <f>HYPERLINK("https://rth.dk/resources/bsgatlas/details.php?id=BSGatlas-terminator-1848","BSGatlas-terminator-1848")</f>
        <v>BSGatlas-terminator-1848</v>
      </c>
      <c r="B1849" s="3">
        <v>2984228</v>
      </c>
      <c r="C1849" s="3">
        <v>2984272</v>
      </c>
      <c r="D1849" s="1" t="s">
        <v>9</v>
      </c>
      <c r="E1849" s="1">
        <v>-16.7</v>
      </c>
      <c r="F1849" s="1" t="s">
        <v>15157</v>
      </c>
    </row>
    <row r="1850" spans="1:6" ht="21" x14ac:dyDescent="0.25">
      <c r="A1850" s="2" t="str">
        <f>HYPERLINK("https://rth.dk/resources/bsgatlas/details.php?id=BSGatlas-terminator-1849","BSGatlas-terminator-1849")</f>
        <v>BSGatlas-terminator-1849</v>
      </c>
      <c r="B1850" s="3">
        <v>2984267</v>
      </c>
      <c r="C1850" s="3">
        <v>2984312</v>
      </c>
      <c r="D1850" s="1" t="s">
        <v>13</v>
      </c>
      <c r="E1850" s="1">
        <v>-18.2</v>
      </c>
      <c r="F1850" s="1" t="s">
        <v>15158</v>
      </c>
    </row>
    <row r="1851" spans="1:6" ht="21" x14ac:dyDescent="0.25">
      <c r="A1851" s="2" t="str">
        <f>HYPERLINK("https://rth.dk/resources/bsgatlas/details.php?id=BSGatlas-terminator-1850","BSGatlas-terminator-1850")</f>
        <v>BSGatlas-terminator-1850</v>
      </c>
      <c r="B1851" s="3">
        <v>2984277</v>
      </c>
      <c r="C1851" s="3">
        <v>2984322</v>
      </c>
      <c r="D1851" s="1" t="s">
        <v>9</v>
      </c>
      <c r="E1851" s="1">
        <v>-19.5</v>
      </c>
      <c r="F1851" s="1" t="s">
        <v>4382</v>
      </c>
    </row>
    <row r="1852" spans="1:6" ht="21" x14ac:dyDescent="0.25">
      <c r="A1852" s="2" t="str">
        <f>HYPERLINK("https://rth.dk/resources/bsgatlas/details.php?id=BSGatlas-terminator-1851","BSGatlas-terminator-1851")</f>
        <v>BSGatlas-terminator-1851</v>
      </c>
      <c r="B1852" s="3">
        <v>2984741</v>
      </c>
      <c r="C1852" s="3">
        <v>2984780</v>
      </c>
      <c r="D1852" s="1" t="s">
        <v>13</v>
      </c>
      <c r="E1852" s="1">
        <v>-12.6</v>
      </c>
      <c r="F1852" s="1" t="s">
        <v>4382</v>
      </c>
    </row>
    <row r="1853" spans="1:6" ht="21" x14ac:dyDescent="0.25">
      <c r="A1853" s="2" t="str">
        <f>HYPERLINK("https://rth.dk/resources/bsgatlas/details.php?id=BSGatlas-terminator-1852","BSGatlas-terminator-1852")</f>
        <v>BSGatlas-terminator-1852</v>
      </c>
      <c r="B1853" s="3">
        <v>2987691</v>
      </c>
      <c r="C1853" s="3">
        <v>2987730</v>
      </c>
      <c r="D1853" s="1" t="s">
        <v>13</v>
      </c>
      <c r="E1853" s="1">
        <v>-11.4</v>
      </c>
      <c r="F1853" s="1" t="s">
        <v>4382</v>
      </c>
    </row>
    <row r="1854" spans="1:6" ht="21" x14ac:dyDescent="0.25">
      <c r="A1854" s="2" t="str">
        <f>HYPERLINK("https://rth.dk/resources/bsgatlas/details.php?id=BSGatlas-terminator-1853","BSGatlas-terminator-1853")</f>
        <v>BSGatlas-terminator-1853</v>
      </c>
      <c r="B1854" s="3">
        <v>2987736</v>
      </c>
      <c r="C1854" s="3">
        <v>2987780</v>
      </c>
      <c r="D1854" s="1" t="s">
        <v>13</v>
      </c>
      <c r="E1854" s="1">
        <v>-6.8</v>
      </c>
      <c r="F1854" s="1" t="s">
        <v>15157</v>
      </c>
    </row>
    <row r="1855" spans="1:6" ht="21" x14ac:dyDescent="0.25">
      <c r="A1855" s="2" t="str">
        <f>HYPERLINK("https://rth.dk/resources/bsgatlas/details.php?id=BSGatlas-terminator-1854","BSGatlas-terminator-1854")</f>
        <v>BSGatlas-terminator-1854</v>
      </c>
      <c r="B1855" s="3">
        <v>2989770</v>
      </c>
      <c r="C1855" s="3">
        <v>2989837</v>
      </c>
      <c r="D1855" s="1" t="s">
        <v>13</v>
      </c>
      <c r="E1855" s="1">
        <v>-32.9</v>
      </c>
      <c r="F1855" s="1" t="s">
        <v>15160</v>
      </c>
    </row>
    <row r="1856" spans="1:6" ht="21" x14ac:dyDescent="0.25">
      <c r="A1856" s="2" t="str">
        <f>HYPERLINK("https://rth.dk/resources/bsgatlas/details.php?id=BSGatlas-terminator-1855","BSGatlas-terminator-1855")</f>
        <v>BSGatlas-terminator-1855</v>
      </c>
      <c r="B1856" s="3">
        <v>2995678</v>
      </c>
      <c r="C1856" s="3">
        <v>2995722</v>
      </c>
      <c r="D1856" s="1" t="s">
        <v>13</v>
      </c>
      <c r="E1856" s="1">
        <v>-6.5</v>
      </c>
      <c r="F1856" s="1" t="s">
        <v>15157</v>
      </c>
    </row>
    <row r="1857" spans="1:6" ht="21" x14ac:dyDescent="0.25">
      <c r="A1857" s="2" t="str">
        <f>HYPERLINK("https://rth.dk/resources/bsgatlas/details.php?id=BSGatlas-terminator-1856","BSGatlas-terminator-1856")</f>
        <v>BSGatlas-terminator-1856</v>
      </c>
      <c r="B1857" s="3">
        <v>2995844</v>
      </c>
      <c r="C1857" s="3">
        <v>2995888</v>
      </c>
      <c r="D1857" s="1" t="s">
        <v>9</v>
      </c>
      <c r="E1857" s="1">
        <v>-4</v>
      </c>
      <c r="F1857" s="1" t="s">
        <v>15157</v>
      </c>
    </row>
    <row r="1858" spans="1:6" ht="21" x14ac:dyDescent="0.25">
      <c r="A1858" s="2" t="str">
        <f>HYPERLINK("https://rth.dk/resources/bsgatlas/details.php?id=BSGatlas-terminator-1857","BSGatlas-terminator-1857")</f>
        <v>BSGatlas-terminator-1857</v>
      </c>
      <c r="B1858" s="3">
        <v>2995876</v>
      </c>
      <c r="C1858" s="3">
        <v>2995923</v>
      </c>
      <c r="D1858" s="1" t="s">
        <v>13</v>
      </c>
      <c r="E1858" s="1">
        <v>-16.899999999999999</v>
      </c>
      <c r="F1858" s="1" t="s">
        <v>15158</v>
      </c>
    </row>
    <row r="1859" spans="1:6" ht="21" x14ac:dyDescent="0.25">
      <c r="A1859" s="2" t="str">
        <f>HYPERLINK("https://rth.dk/resources/bsgatlas/details.php?id=BSGatlas-terminator-1858","BSGatlas-terminator-1858")</f>
        <v>BSGatlas-terminator-1858</v>
      </c>
      <c r="B1859" s="3">
        <v>2998690</v>
      </c>
      <c r="C1859" s="3">
        <v>2998726</v>
      </c>
      <c r="D1859" s="1" t="s">
        <v>13</v>
      </c>
      <c r="E1859" s="1">
        <v>-10.6</v>
      </c>
      <c r="F1859" s="1" t="s">
        <v>4382</v>
      </c>
    </row>
    <row r="1860" spans="1:6" ht="21" x14ac:dyDescent="0.25">
      <c r="A1860" s="2" t="str">
        <f>HYPERLINK("https://rth.dk/resources/bsgatlas/details.php?id=BSGatlas-terminator-1859","BSGatlas-terminator-1859")</f>
        <v>BSGatlas-terminator-1859</v>
      </c>
      <c r="B1860" s="3">
        <v>2999045</v>
      </c>
      <c r="C1860" s="3">
        <v>2999111</v>
      </c>
      <c r="D1860" s="1" t="s">
        <v>9</v>
      </c>
      <c r="E1860" s="1"/>
      <c r="F1860" s="1" t="s">
        <v>15159</v>
      </c>
    </row>
    <row r="1861" spans="1:6" ht="21" x14ac:dyDescent="0.25">
      <c r="A1861" s="2" t="str">
        <f>HYPERLINK("https://rth.dk/resources/bsgatlas/details.php?id=BSGatlas-terminator-1860","BSGatlas-terminator-1860")</f>
        <v>BSGatlas-terminator-1860</v>
      </c>
      <c r="B1861" s="3">
        <v>3009307</v>
      </c>
      <c r="C1861" s="3">
        <v>3009373</v>
      </c>
      <c r="D1861" s="1" t="s">
        <v>13</v>
      </c>
      <c r="E1861" s="1"/>
      <c r="F1861" s="1" t="s">
        <v>15159</v>
      </c>
    </row>
    <row r="1862" spans="1:6" ht="21" x14ac:dyDescent="0.25">
      <c r="A1862" s="2" t="str">
        <f>HYPERLINK("https://rth.dk/resources/bsgatlas/details.php?id=BSGatlas-terminator-1861","BSGatlas-terminator-1861")</f>
        <v>BSGatlas-terminator-1861</v>
      </c>
      <c r="B1862" s="3">
        <v>3009865</v>
      </c>
      <c r="C1862" s="3">
        <v>3009910</v>
      </c>
      <c r="D1862" s="1" t="s">
        <v>13</v>
      </c>
      <c r="E1862" s="1">
        <v>-19.5</v>
      </c>
      <c r="F1862" s="1" t="s">
        <v>15158</v>
      </c>
    </row>
    <row r="1863" spans="1:6" ht="21" x14ac:dyDescent="0.25">
      <c r="A1863" s="2" t="str">
        <f>HYPERLINK("https://rth.dk/resources/bsgatlas/details.php?id=BSGatlas-terminator-1862","BSGatlas-terminator-1862")</f>
        <v>BSGatlas-terminator-1862</v>
      </c>
      <c r="B1863" s="3">
        <v>3011618</v>
      </c>
      <c r="C1863" s="3">
        <v>3011662</v>
      </c>
      <c r="D1863" s="1" t="s">
        <v>9</v>
      </c>
      <c r="E1863" s="1">
        <v>-8.9</v>
      </c>
      <c r="F1863" s="1" t="s">
        <v>15157</v>
      </c>
    </row>
    <row r="1864" spans="1:6" ht="21" x14ac:dyDescent="0.25">
      <c r="A1864" s="2" t="str">
        <f>HYPERLINK("https://rth.dk/resources/bsgatlas/details.php?id=BSGatlas-terminator-1863","BSGatlas-terminator-1863")</f>
        <v>BSGatlas-terminator-1863</v>
      </c>
      <c r="B1864" s="3">
        <v>3011638</v>
      </c>
      <c r="C1864" s="3">
        <v>3011682</v>
      </c>
      <c r="D1864" s="1" t="s">
        <v>13</v>
      </c>
      <c r="E1864" s="1">
        <v>-8.5</v>
      </c>
      <c r="F1864" s="1" t="s">
        <v>15157</v>
      </c>
    </row>
    <row r="1865" spans="1:6" ht="21" x14ac:dyDescent="0.25">
      <c r="A1865" s="2" t="str">
        <f>HYPERLINK("https://rth.dk/resources/bsgatlas/details.php?id=BSGatlas-terminator-1864","BSGatlas-terminator-1864")</f>
        <v>BSGatlas-terminator-1864</v>
      </c>
      <c r="B1865" s="3">
        <v>3014457</v>
      </c>
      <c r="C1865" s="3">
        <v>3014499</v>
      </c>
      <c r="D1865" s="1" t="s">
        <v>13</v>
      </c>
      <c r="E1865" s="1">
        <v>-14.3</v>
      </c>
      <c r="F1865" s="1" t="s">
        <v>4382</v>
      </c>
    </row>
    <row r="1866" spans="1:6" ht="21" x14ac:dyDescent="0.25">
      <c r="A1866" s="2" t="str">
        <f>HYPERLINK("https://rth.dk/resources/bsgatlas/details.php?id=BSGatlas-terminator-1865","BSGatlas-terminator-1865")</f>
        <v>BSGatlas-terminator-1865</v>
      </c>
      <c r="B1866" s="3">
        <v>3014510</v>
      </c>
      <c r="C1866" s="3">
        <v>3014554</v>
      </c>
      <c r="D1866" s="1" t="s">
        <v>13</v>
      </c>
      <c r="E1866" s="1">
        <v>-10.8</v>
      </c>
      <c r="F1866" s="1" t="s">
        <v>15157</v>
      </c>
    </row>
    <row r="1867" spans="1:6" ht="21" x14ac:dyDescent="0.25">
      <c r="A1867" s="2" t="str">
        <f>HYPERLINK("https://rth.dk/resources/bsgatlas/details.php?id=BSGatlas-terminator-1866","BSGatlas-terminator-1866")</f>
        <v>BSGatlas-terminator-1866</v>
      </c>
      <c r="B1867" s="3">
        <v>3015065</v>
      </c>
      <c r="C1867" s="3">
        <v>3015104</v>
      </c>
      <c r="D1867" s="1" t="s">
        <v>13</v>
      </c>
      <c r="E1867" s="1">
        <v>-12.5</v>
      </c>
      <c r="F1867" s="1" t="s">
        <v>15158</v>
      </c>
    </row>
    <row r="1868" spans="1:6" ht="21" x14ac:dyDescent="0.25">
      <c r="A1868" s="2" t="str">
        <f>HYPERLINK("https://rth.dk/resources/bsgatlas/details.php?id=BSGatlas-terminator-1867","BSGatlas-terminator-1867")</f>
        <v>BSGatlas-terminator-1867</v>
      </c>
      <c r="B1868" s="3">
        <v>3016581</v>
      </c>
      <c r="C1868" s="3">
        <v>3016639</v>
      </c>
      <c r="D1868" s="1" t="s">
        <v>13</v>
      </c>
      <c r="E1868" s="1">
        <v>-19.8</v>
      </c>
      <c r="F1868" s="1" t="s">
        <v>4382</v>
      </c>
    </row>
    <row r="1869" spans="1:6" ht="21" x14ac:dyDescent="0.25">
      <c r="A1869" s="2" t="str">
        <f>HYPERLINK("https://rth.dk/resources/bsgatlas/details.php?id=BSGatlas-terminator-1868","BSGatlas-terminator-1868")</f>
        <v>BSGatlas-terminator-1868</v>
      </c>
      <c r="B1869" s="3">
        <v>3016642</v>
      </c>
      <c r="C1869" s="3">
        <v>3016686</v>
      </c>
      <c r="D1869" s="1" t="s">
        <v>13</v>
      </c>
      <c r="E1869" s="1">
        <v>-13.3</v>
      </c>
      <c r="F1869" s="1" t="s">
        <v>15157</v>
      </c>
    </row>
    <row r="1870" spans="1:6" ht="21" x14ac:dyDescent="0.25">
      <c r="A1870" s="2" t="str">
        <f>HYPERLINK("https://rth.dk/resources/bsgatlas/details.php?id=BSGatlas-terminator-1869","BSGatlas-terminator-1869")</f>
        <v>BSGatlas-terminator-1869</v>
      </c>
      <c r="B1870" s="3">
        <v>3017648</v>
      </c>
      <c r="C1870" s="3">
        <v>3017688</v>
      </c>
      <c r="D1870" s="1" t="s">
        <v>13</v>
      </c>
      <c r="E1870" s="1">
        <v>-14.6</v>
      </c>
      <c r="F1870" s="1" t="s">
        <v>15158</v>
      </c>
    </row>
    <row r="1871" spans="1:6" ht="21" x14ac:dyDescent="0.25">
      <c r="A1871" s="2" t="str">
        <f>HYPERLINK("https://rth.dk/resources/bsgatlas/details.php?id=BSGatlas-terminator-1870","BSGatlas-terminator-1870")</f>
        <v>BSGatlas-terminator-1870</v>
      </c>
      <c r="B1871" s="3">
        <v>3018173</v>
      </c>
      <c r="C1871" s="3">
        <v>3018217</v>
      </c>
      <c r="D1871" s="1" t="s">
        <v>9</v>
      </c>
      <c r="E1871" s="1">
        <v>-12.7</v>
      </c>
      <c r="F1871" s="1" t="s">
        <v>15157</v>
      </c>
    </row>
    <row r="1872" spans="1:6" ht="21" x14ac:dyDescent="0.25">
      <c r="A1872" s="2" t="str">
        <f>HYPERLINK("https://rth.dk/resources/bsgatlas/details.php?id=BSGatlas-terminator-1871","BSGatlas-terminator-1871")</f>
        <v>BSGatlas-terminator-1871</v>
      </c>
      <c r="B1872" s="3">
        <v>3018263</v>
      </c>
      <c r="C1872" s="3">
        <v>3018307</v>
      </c>
      <c r="D1872" s="1" t="s">
        <v>13</v>
      </c>
      <c r="E1872" s="1">
        <v>-15.2</v>
      </c>
      <c r="F1872" s="1" t="s">
        <v>4382</v>
      </c>
    </row>
    <row r="1873" spans="1:6" ht="21" x14ac:dyDescent="0.25">
      <c r="A1873" s="2" t="str">
        <f>HYPERLINK("https://rth.dk/resources/bsgatlas/details.php?id=BSGatlas-terminator-1872","BSGatlas-terminator-1872")</f>
        <v>BSGatlas-terminator-1872</v>
      </c>
      <c r="B1873" s="3">
        <v>3018315</v>
      </c>
      <c r="C1873" s="3">
        <v>3018359</v>
      </c>
      <c r="D1873" s="1" t="s">
        <v>13</v>
      </c>
      <c r="E1873" s="1">
        <v>-12.7</v>
      </c>
      <c r="F1873" s="1" t="s">
        <v>15157</v>
      </c>
    </row>
    <row r="1874" spans="1:6" ht="21" x14ac:dyDescent="0.25">
      <c r="A1874" s="2" t="str">
        <f>HYPERLINK("https://rth.dk/resources/bsgatlas/details.php?id=BSGatlas-terminator-1873","BSGatlas-terminator-1873")</f>
        <v>BSGatlas-terminator-1873</v>
      </c>
      <c r="B1874" s="3">
        <v>3019174</v>
      </c>
      <c r="C1874" s="3">
        <v>3019218</v>
      </c>
      <c r="D1874" s="1" t="s">
        <v>13</v>
      </c>
      <c r="E1874" s="1">
        <v>-11.8</v>
      </c>
      <c r="F1874" s="1" t="s">
        <v>15157</v>
      </c>
    </row>
    <row r="1875" spans="1:6" ht="21" x14ac:dyDescent="0.25">
      <c r="A1875" s="2" t="str">
        <f>HYPERLINK("https://rth.dk/resources/bsgatlas/details.php?id=BSGatlas-terminator-1874","BSGatlas-terminator-1874")</f>
        <v>BSGatlas-terminator-1874</v>
      </c>
      <c r="B1875" s="3">
        <v>3019493</v>
      </c>
      <c r="C1875" s="3">
        <v>3019530</v>
      </c>
      <c r="D1875" s="1" t="s">
        <v>13</v>
      </c>
      <c r="E1875" s="1">
        <v>-14.7</v>
      </c>
      <c r="F1875" s="1" t="s">
        <v>15158</v>
      </c>
    </row>
    <row r="1876" spans="1:6" ht="21" x14ac:dyDescent="0.25">
      <c r="A1876" s="2" t="str">
        <f>HYPERLINK("https://rth.dk/resources/bsgatlas/details.php?id=BSGatlas-terminator-1875","BSGatlas-terminator-1875")</f>
        <v>BSGatlas-terminator-1875</v>
      </c>
      <c r="B1876" s="3">
        <v>3021944</v>
      </c>
      <c r="C1876" s="3">
        <v>3021988</v>
      </c>
      <c r="D1876" s="1" t="s">
        <v>9</v>
      </c>
      <c r="E1876" s="1">
        <v>-13.8</v>
      </c>
      <c r="F1876" s="1" t="s">
        <v>15157</v>
      </c>
    </row>
    <row r="1877" spans="1:6" ht="21" x14ac:dyDescent="0.25">
      <c r="A1877" s="2" t="str">
        <f>HYPERLINK("https://rth.dk/resources/bsgatlas/details.php?id=BSGatlas-terminator-1876","BSGatlas-terminator-1876")</f>
        <v>BSGatlas-terminator-1876</v>
      </c>
      <c r="B1877" s="3">
        <v>3022002</v>
      </c>
      <c r="C1877" s="3">
        <v>3022046</v>
      </c>
      <c r="D1877" s="1" t="s">
        <v>9</v>
      </c>
      <c r="E1877" s="1">
        <v>-13.8</v>
      </c>
      <c r="F1877" s="1" t="s">
        <v>15157</v>
      </c>
    </row>
    <row r="1878" spans="1:6" ht="21" x14ac:dyDescent="0.25">
      <c r="A1878" s="2" t="str">
        <f>HYPERLINK("https://rth.dk/resources/bsgatlas/details.php?id=BSGatlas-terminator-1877","BSGatlas-terminator-1877")</f>
        <v>BSGatlas-terminator-1877</v>
      </c>
      <c r="B1878" s="3">
        <v>3022031</v>
      </c>
      <c r="C1878" s="3">
        <v>3022070</v>
      </c>
      <c r="D1878" s="1" t="s">
        <v>13</v>
      </c>
      <c r="E1878" s="1">
        <v>-16.8</v>
      </c>
      <c r="F1878" s="1" t="s">
        <v>15158</v>
      </c>
    </row>
    <row r="1879" spans="1:6" ht="21" x14ac:dyDescent="0.25">
      <c r="A1879" s="2" t="str">
        <f>HYPERLINK("https://rth.dk/resources/bsgatlas/details.php?id=BSGatlas-terminator-1878","BSGatlas-terminator-1878")</f>
        <v>BSGatlas-terminator-1878</v>
      </c>
      <c r="B1879" s="3">
        <v>3025385</v>
      </c>
      <c r="C1879" s="3">
        <v>3025424</v>
      </c>
      <c r="D1879" s="1" t="s">
        <v>13</v>
      </c>
      <c r="E1879" s="1">
        <v>-16.2</v>
      </c>
      <c r="F1879" s="1" t="s">
        <v>15158</v>
      </c>
    </row>
    <row r="1880" spans="1:6" ht="21" x14ac:dyDescent="0.25">
      <c r="A1880" s="2" t="str">
        <f>HYPERLINK("https://rth.dk/resources/bsgatlas/details.php?id=BSGatlas-terminator-1879","BSGatlas-terminator-1879")</f>
        <v>BSGatlas-terminator-1879</v>
      </c>
      <c r="B1880" s="3">
        <v>3029588</v>
      </c>
      <c r="C1880" s="3">
        <v>3029632</v>
      </c>
      <c r="D1880" s="1" t="s">
        <v>9</v>
      </c>
      <c r="E1880" s="1">
        <v>-15.2</v>
      </c>
      <c r="F1880" s="1" t="s">
        <v>15157</v>
      </c>
    </row>
    <row r="1881" spans="1:6" ht="21" x14ac:dyDescent="0.25">
      <c r="A1881" s="2" t="str">
        <f>HYPERLINK("https://rth.dk/resources/bsgatlas/details.php?id=BSGatlas-terminator-1880","BSGatlas-terminator-1880")</f>
        <v>BSGatlas-terminator-1880</v>
      </c>
      <c r="B1881" s="3">
        <v>3029640</v>
      </c>
      <c r="C1881" s="3">
        <v>3029681</v>
      </c>
      <c r="D1881" s="1" t="s">
        <v>9</v>
      </c>
      <c r="E1881" s="1">
        <v>-18.7</v>
      </c>
      <c r="F1881" s="1" t="s">
        <v>4382</v>
      </c>
    </row>
    <row r="1882" spans="1:6" ht="21" x14ac:dyDescent="0.25">
      <c r="A1882" s="2" t="str">
        <f>HYPERLINK("https://rth.dk/resources/bsgatlas/details.php?id=BSGatlas-terminator-1881","BSGatlas-terminator-1881")</f>
        <v>BSGatlas-terminator-1881</v>
      </c>
      <c r="B1882" s="3">
        <v>3029668</v>
      </c>
      <c r="C1882" s="3">
        <v>3029713</v>
      </c>
      <c r="D1882" s="1" t="s">
        <v>13</v>
      </c>
      <c r="E1882" s="1">
        <v>-11.7</v>
      </c>
      <c r="F1882" s="1" t="s">
        <v>15158</v>
      </c>
    </row>
    <row r="1883" spans="1:6" ht="21" x14ac:dyDescent="0.25">
      <c r="A1883" s="2" t="str">
        <f>HYPERLINK("https://rth.dk/resources/bsgatlas/details.php?id=BSGatlas-terminator-1882","BSGatlas-terminator-1882")</f>
        <v>BSGatlas-terminator-1882</v>
      </c>
      <c r="B1883" s="3">
        <v>3032324</v>
      </c>
      <c r="C1883" s="3">
        <v>3032362</v>
      </c>
      <c r="D1883" s="1" t="s">
        <v>13</v>
      </c>
      <c r="E1883" s="1">
        <v>-10.5</v>
      </c>
      <c r="F1883" s="1" t="s">
        <v>15160</v>
      </c>
    </row>
    <row r="1884" spans="1:6" ht="21" x14ac:dyDescent="0.25">
      <c r="A1884" s="2" t="str">
        <f>HYPERLINK("https://rth.dk/resources/bsgatlas/details.php?id=BSGatlas-terminator-1883","BSGatlas-terminator-1883")</f>
        <v>BSGatlas-terminator-1883</v>
      </c>
      <c r="B1884" s="3">
        <v>3033615</v>
      </c>
      <c r="C1884" s="3">
        <v>3033659</v>
      </c>
      <c r="D1884" s="1" t="s">
        <v>9</v>
      </c>
      <c r="E1884" s="1">
        <v>-11.9</v>
      </c>
      <c r="F1884" s="1" t="s">
        <v>15157</v>
      </c>
    </row>
    <row r="1885" spans="1:6" ht="21" x14ac:dyDescent="0.25">
      <c r="A1885" s="2" t="str">
        <f>HYPERLINK("https://rth.dk/resources/bsgatlas/details.php?id=BSGatlas-terminator-1884","BSGatlas-terminator-1884")</f>
        <v>BSGatlas-terminator-1884</v>
      </c>
      <c r="B1885" s="3">
        <v>3033651</v>
      </c>
      <c r="C1885" s="3">
        <v>3033695</v>
      </c>
      <c r="D1885" s="1" t="s">
        <v>13</v>
      </c>
      <c r="E1885" s="1">
        <v>-16.100000000000001</v>
      </c>
      <c r="F1885" s="1" t="s">
        <v>15158</v>
      </c>
    </row>
    <row r="1886" spans="1:6" ht="21" x14ac:dyDescent="0.25">
      <c r="A1886" s="2" t="str">
        <f>HYPERLINK("https://rth.dk/resources/bsgatlas/details.php?id=BSGatlas-terminator-1885","BSGatlas-terminator-1885")</f>
        <v>BSGatlas-terminator-1885</v>
      </c>
      <c r="B1886" s="3">
        <v>3033661</v>
      </c>
      <c r="C1886" s="3">
        <v>3033705</v>
      </c>
      <c r="D1886" s="1" t="s">
        <v>9</v>
      </c>
      <c r="E1886" s="1">
        <v>-15.4</v>
      </c>
      <c r="F1886" s="1" t="s">
        <v>4382</v>
      </c>
    </row>
    <row r="1887" spans="1:6" ht="21" x14ac:dyDescent="0.25">
      <c r="A1887" s="2" t="str">
        <f>HYPERLINK("https://rth.dk/resources/bsgatlas/details.php?id=BSGatlas-terminator-1886","BSGatlas-terminator-1886")</f>
        <v>BSGatlas-terminator-1886</v>
      </c>
      <c r="B1887" s="3">
        <v>3035442</v>
      </c>
      <c r="C1887" s="3">
        <v>3035508</v>
      </c>
      <c r="D1887" s="1" t="s">
        <v>13</v>
      </c>
      <c r="E1887" s="1"/>
      <c r="F1887" s="1" t="s">
        <v>15159</v>
      </c>
    </row>
    <row r="1888" spans="1:6" ht="21" x14ac:dyDescent="0.25">
      <c r="A1888" s="2" t="str">
        <f>HYPERLINK("https://rth.dk/resources/bsgatlas/details.php?id=BSGatlas-terminator-1887","BSGatlas-terminator-1887")</f>
        <v>BSGatlas-terminator-1887</v>
      </c>
      <c r="B1888" s="3">
        <v>3036233</v>
      </c>
      <c r="C1888" s="3">
        <v>3036277</v>
      </c>
      <c r="D1888" s="1" t="s">
        <v>9</v>
      </c>
      <c r="E1888" s="1">
        <v>-13.6</v>
      </c>
      <c r="F1888" s="1" t="s">
        <v>15157</v>
      </c>
    </row>
    <row r="1889" spans="1:6" ht="21" x14ac:dyDescent="0.25">
      <c r="A1889" s="2" t="str">
        <f>HYPERLINK("https://rth.dk/resources/bsgatlas/details.php?id=BSGatlas-terminator-1888","BSGatlas-terminator-1888")</f>
        <v>BSGatlas-terminator-1888</v>
      </c>
      <c r="B1889" s="3">
        <v>3036331</v>
      </c>
      <c r="C1889" s="3">
        <v>3036375</v>
      </c>
      <c r="D1889" s="1" t="s">
        <v>13</v>
      </c>
      <c r="E1889" s="1">
        <v>-10.8</v>
      </c>
      <c r="F1889" s="1" t="s">
        <v>15157</v>
      </c>
    </row>
    <row r="1890" spans="1:6" ht="21" x14ac:dyDescent="0.25">
      <c r="A1890" s="2" t="str">
        <f>HYPERLINK("https://rth.dk/resources/bsgatlas/details.php?id=BSGatlas-terminator-1889","BSGatlas-terminator-1889")</f>
        <v>BSGatlas-terminator-1889</v>
      </c>
      <c r="B1890" s="3">
        <v>3036340</v>
      </c>
      <c r="C1890" s="3">
        <v>3036382</v>
      </c>
      <c r="D1890" s="1" t="s">
        <v>9</v>
      </c>
      <c r="E1890" s="1">
        <v>-17.3</v>
      </c>
      <c r="F1890" s="1" t="s">
        <v>15158</v>
      </c>
    </row>
    <row r="1891" spans="1:6" ht="21" x14ac:dyDescent="0.25">
      <c r="A1891" s="2" t="str">
        <f>HYPERLINK("https://rth.dk/resources/bsgatlas/details.php?id=BSGatlas-terminator-1890","BSGatlas-terminator-1890")</f>
        <v>BSGatlas-terminator-1890</v>
      </c>
      <c r="B1891" s="3">
        <v>3036519</v>
      </c>
      <c r="C1891" s="3">
        <v>3036563</v>
      </c>
      <c r="D1891" s="1" t="s">
        <v>9</v>
      </c>
      <c r="E1891" s="1">
        <v>-16.399999999999999</v>
      </c>
      <c r="F1891" s="1" t="s">
        <v>15162</v>
      </c>
    </row>
    <row r="1892" spans="1:6" ht="21" x14ac:dyDescent="0.25">
      <c r="A1892" s="2" t="str">
        <f>HYPERLINK("https://rth.dk/resources/bsgatlas/details.php?id=BSGatlas-terminator-1891","BSGatlas-terminator-1891")</f>
        <v>BSGatlas-terminator-1891</v>
      </c>
      <c r="B1892" s="3">
        <v>3036554</v>
      </c>
      <c r="C1892" s="3">
        <v>3036601</v>
      </c>
      <c r="D1892" s="1" t="s">
        <v>13</v>
      </c>
      <c r="E1892" s="1">
        <v>-20.7</v>
      </c>
      <c r="F1892" s="1" t="s">
        <v>4382</v>
      </c>
    </row>
    <row r="1893" spans="1:6" ht="21" x14ac:dyDescent="0.25">
      <c r="A1893" s="2" t="str">
        <f>HYPERLINK("https://rth.dk/resources/bsgatlas/details.php?id=BSGatlas-terminator-1892","BSGatlas-terminator-1892")</f>
        <v>BSGatlas-terminator-1892</v>
      </c>
      <c r="B1893" s="3">
        <v>3036607</v>
      </c>
      <c r="C1893" s="3">
        <v>3036651</v>
      </c>
      <c r="D1893" s="1" t="s">
        <v>13</v>
      </c>
      <c r="E1893" s="1">
        <v>-16.399999999999999</v>
      </c>
      <c r="F1893" s="1" t="s">
        <v>15157</v>
      </c>
    </row>
    <row r="1894" spans="1:6" ht="21" x14ac:dyDescent="0.25">
      <c r="A1894" s="2" t="str">
        <f>HYPERLINK("https://rth.dk/resources/bsgatlas/details.php?id=BSGatlas-terminator-1893","BSGatlas-terminator-1893")</f>
        <v>BSGatlas-terminator-1893</v>
      </c>
      <c r="B1894" s="3">
        <v>3037891</v>
      </c>
      <c r="C1894" s="3">
        <v>3037940</v>
      </c>
      <c r="D1894" s="1" t="s">
        <v>13</v>
      </c>
      <c r="E1894" s="1">
        <v>-22.5</v>
      </c>
      <c r="F1894" s="1" t="s">
        <v>15160</v>
      </c>
    </row>
    <row r="1895" spans="1:6" ht="21" x14ac:dyDescent="0.25">
      <c r="A1895" s="2" t="str">
        <f>HYPERLINK("https://rth.dk/resources/bsgatlas/details.php?id=BSGatlas-terminator-1894","BSGatlas-terminator-1894")</f>
        <v>BSGatlas-terminator-1894</v>
      </c>
      <c r="B1895" s="3">
        <v>3042545</v>
      </c>
      <c r="C1895" s="3">
        <v>3042584</v>
      </c>
      <c r="D1895" s="1" t="s">
        <v>13</v>
      </c>
      <c r="E1895" s="1">
        <v>-9.1</v>
      </c>
      <c r="F1895" s="1" t="s">
        <v>15158</v>
      </c>
    </row>
    <row r="1896" spans="1:6" ht="21" x14ac:dyDescent="0.25">
      <c r="A1896" s="2" t="str">
        <f>HYPERLINK("https://rth.dk/resources/bsgatlas/details.php?id=BSGatlas-terminator-1895","BSGatlas-terminator-1895")</f>
        <v>BSGatlas-terminator-1895</v>
      </c>
      <c r="B1896" s="3">
        <v>3042555</v>
      </c>
      <c r="C1896" s="3">
        <v>3042594</v>
      </c>
      <c r="D1896" s="1" t="s">
        <v>9</v>
      </c>
      <c r="E1896" s="1">
        <v>-11.4</v>
      </c>
      <c r="F1896" s="1" t="s">
        <v>15158</v>
      </c>
    </row>
    <row r="1897" spans="1:6" ht="21" x14ac:dyDescent="0.25">
      <c r="A1897" s="2" t="str">
        <f>HYPERLINK("https://rth.dk/resources/bsgatlas/details.php?id=BSGatlas-terminator-1896","BSGatlas-terminator-1896")</f>
        <v>BSGatlas-terminator-1896</v>
      </c>
      <c r="B1897" s="3">
        <v>3044115</v>
      </c>
      <c r="C1897" s="3">
        <v>3044155</v>
      </c>
      <c r="D1897" s="1" t="s">
        <v>13</v>
      </c>
      <c r="E1897" s="1">
        <v>-9</v>
      </c>
      <c r="F1897" s="1" t="s">
        <v>4382</v>
      </c>
    </row>
    <row r="1898" spans="1:6" ht="21" x14ac:dyDescent="0.25">
      <c r="A1898" s="2" t="str">
        <f>HYPERLINK("https://rth.dk/resources/bsgatlas/details.php?id=BSGatlas-terminator-1897","BSGatlas-terminator-1897")</f>
        <v>BSGatlas-terminator-1897</v>
      </c>
      <c r="B1898" s="3">
        <v>3044160</v>
      </c>
      <c r="C1898" s="3">
        <v>3044204</v>
      </c>
      <c r="D1898" s="1" t="s">
        <v>13</v>
      </c>
      <c r="E1898" s="1">
        <v>-13.2</v>
      </c>
      <c r="F1898" s="1" t="s">
        <v>15157</v>
      </c>
    </row>
    <row r="1899" spans="1:6" ht="21" x14ac:dyDescent="0.25">
      <c r="A1899" s="2" t="str">
        <f>HYPERLINK("https://rth.dk/resources/bsgatlas/details.php?id=BSGatlas-terminator-1898","BSGatlas-terminator-1898")</f>
        <v>BSGatlas-terminator-1898</v>
      </c>
      <c r="B1899" s="3">
        <v>3045414</v>
      </c>
      <c r="C1899" s="3">
        <v>3045429</v>
      </c>
      <c r="D1899" s="1" t="s">
        <v>13</v>
      </c>
      <c r="E1899" s="1">
        <v>-12.7</v>
      </c>
      <c r="F1899" s="1" t="s">
        <v>15161</v>
      </c>
    </row>
    <row r="1900" spans="1:6" ht="21" x14ac:dyDescent="0.25">
      <c r="A1900" s="2" t="str">
        <f>HYPERLINK("https://rth.dk/resources/bsgatlas/details.php?id=BSGatlas-terminator-1899","BSGatlas-terminator-1899")</f>
        <v>BSGatlas-terminator-1899</v>
      </c>
      <c r="B1900" s="3">
        <v>3046596</v>
      </c>
      <c r="C1900" s="3">
        <v>3046640</v>
      </c>
      <c r="D1900" s="1" t="s">
        <v>9</v>
      </c>
      <c r="E1900" s="1">
        <v>-7.6</v>
      </c>
      <c r="F1900" s="1" t="s">
        <v>15157</v>
      </c>
    </row>
    <row r="1901" spans="1:6" ht="21" x14ac:dyDescent="0.25">
      <c r="A1901" s="2" t="str">
        <f>HYPERLINK("https://rth.dk/resources/bsgatlas/details.php?id=BSGatlas-terminator-1900","BSGatlas-terminator-1900")</f>
        <v>BSGatlas-terminator-1900</v>
      </c>
      <c r="B1901" s="3">
        <v>3046714</v>
      </c>
      <c r="C1901" s="3">
        <v>3046755</v>
      </c>
      <c r="D1901" s="1" t="s">
        <v>13</v>
      </c>
      <c r="E1901" s="1">
        <v>-13.6</v>
      </c>
      <c r="F1901" s="1" t="s">
        <v>15158</v>
      </c>
    </row>
    <row r="1902" spans="1:6" ht="21" x14ac:dyDescent="0.25">
      <c r="A1902" s="2" t="str">
        <f>HYPERLINK("https://rth.dk/resources/bsgatlas/details.php?id=BSGatlas-terminator-1901","BSGatlas-terminator-1901")</f>
        <v>BSGatlas-terminator-1901</v>
      </c>
      <c r="B1902" s="3">
        <v>3048140</v>
      </c>
      <c r="C1902" s="3">
        <v>3048175</v>
      </c>
      <c r="D1902" s="1" t="s">
        <v>13</v>
      </c>
      <c r="E1902" s="1">
        <v>-9.6</v>
      </c>
      <c r="F1902" s="1" t="s">
        <v>15158</v>
      </c>
    </row>
    <row r="1903" spans="1:6" ht="21" x14ac:dyDescent="0.25">
      <c r="A1903" s="2" t="str">
        <f>HYPERLINK("https://rth.dk/resources/bsgatlas/details.php?id=BSGatlas-terminator-1902","BSGatlas-terminator-1902")</f>
        <v>BSGatlas-terminator-1902</v>
      </c>
      <c r="B1903" s="3">
        <v>3052704</v>
      </c>
      <c r="C1903" s="3">
        <v>3052748</v>
      </c>
      <c r="D1903" s="1" t="s">
        <v>13</v>
      </c>
      <c r="E1903" s="1">
        <v>-14.5</v>
      </c>
      <c r="F1903" s="1" t="s">
        <v>15157</v>
      </c>
    </row>
    <row r="1904" spans="1:6" ht="21" x14ac:dyDescent="0.25">
      <c r="A1904" s="2" t="str">
        <f>HYPERLINK("https://rth.dk/resources/bsgatlas/details.php?id=BSGatlas-terminator-1903","BSGatlas-terminator-1903")</f>
        <v>BSGatlas-terminator-1903</v>
      </c>
      <c r="B1904" s="3">
        <v>3055244</v>
      </c>
      <c r="C1904" s="3">
        <v>3055288</v>
      </c>
      <c r="D1904" s="1" t="s">
        <v>13</v>
      </c>
      <c r="E1904" s="1">
        <v>-14.4</v>
      </c>
      <c r="F1904" s="1" t="s">
        <v>15157</v>
      </c>
    </row>
    <row r="1905" spans="1:6" ht="21" x14ac:dyDescent="0.25">
      <c r="A1905" s="2" t="str">
        <f>HYPERLINK("https://rth.dk/resources/bsgatlas/details.php?id=BSGatlas-terminator-1904","BSGatlas-terminator-1904")</f>
        <v>BSGatlas-terminator-1904</v>
      </c>
      <c r="B1905" s="3">
        <v>3055888</v>
      </c>
      <c r="C1905" s="3">
        <v>3055954</v>
      </c>
      <c r="D1905" s="1" t="s">
        <v>9</v>
      </c>
      <c r="E1905" s="1"/>
      <c r="F1905" s="1" t="s">
        <v>15159</v>
      </c>
    </row>
    <row r="1906" spans="1:6" ht="21" x14ac:dyDescent="0.25">
      <c r="A1906" s="2" t="str">
        <f>HYPERLINK("https://rth.dk/resources/bsgatlas/details.php?id=BSGatlas-terminator-1905","BSGatlas-terminator-1905")</f>
        <v>BSGatlas-terminator-1905</v>
      </c>
      <c r="B1906" s="3">
        <v>3056774</v>
      </c>
      <c r="C1906" s="3">
        <v>3056818</v>
      </c>
      <c r="D1906" s="1" t="s">
        <v>9</v>
      </c>
      <c r="E1906" s="1">
        <v>-17</v>
      </c>
      <c r="F1906" s="1" t="s">
        <v>15157</v>
      </c>
    </row>
    <row r="1907" spans="1:6" ht="21" x14ac:dyDescent="0.25">
      <c r="A1907" s="2" t="str">
        <f>HYPERLINK("https://rth.dk/resources/bsgatlas/details.php?id=BSGatlas-terminator-1906","BSGatlas-terminator-1906")</f>
        <v>BSGatlas-terminator-1906</v>
      </c>
      <c r="B1907" s="3">
        <v>3056805</v>
      </c>
      <c r="C1907" s="3">
        <v>3056844</v>
      </c>
      <c r="D1907" s="1" t="s">
        <v>13</v>
      </c>
      <c r="E1907" s="1">
        <v>-19</v>
      </c>
      <c r="F1907" s="1" t="s">
        <v>4382</v>
      </c>
    </row>
    <row r="1908" spans="1:6" ht="21" x14ac:dyDescent="0.25">
      <c r="A1908" s="2" t="str">
        <f>HYPERLINK("https://rth.dk/resources/bsgatlas/details.php?id=BSGatlas-terminator-1907","BSGatlas-terminator-1907")</f>
        <v>BSGatlas-terminator-1907</v>
      </c>
      <c r="B1908" s="3">
        <v>3056846</v>
      </c>
      <c r="C1908" s="3">
        <v>3056890</v>
      </c>
      <c r="D1908" s="1" t="s">
        <v>13</v>
      </c>
      <c r="E1908" s="1">
        <v>-15.3</v>
      </c>
      <c r="F1908" s="1" t="s">
        <v>15157</v>
      </c>
    </row>
    <row r="1909" spans="1:6" ht="21" x14ac:dyDescent="0.25">
      <c r="A1909" s="2" t="str">
        <f>HYPERLINK("https://rth.dk/resources/bsgatlas/details.php?id=BSGatlas-terminator-1908","BSGatlas-terminator-1908")</f>
        <v>BSGatlas-terminator-1908</v>
      </c>
      <c r="B1909" s="3">
        <v>3059509</v>
      </c>
      <c r="C1909" s="3">
        <v>3059548</v>
      </c>
      <c r="D1909" s="1" t="s">
        <v>13</v>
      </c>
      <c r="E1909" s="1">
        <v>-14.2</v>
      </c>
      <c r="F1909" s="1" t="s">
        <v>15158</v>
      </c>
    </row>
    <row r="1910" spans="1:6" ht="21" x14ac:dyDescent="0.25">
      <c r="A1910" s="2" t="str">
        <f>HYPERLINK("https://rth.dk/resources/bsgatlas/details.php?id=BSGatlas-terminator-1909","BSGatlas-terminator-1909")</f>
        <v>BSGatlas-terminator-1909</v>
      </c>
      <c r="B1910" s="3">
        <v>3059600</v>
      </c>
      <c r="C1910" s="3">
        <v>3059644</v>
      </c>
      <c r="D1910" s="1" t="s">
        <v>13</v>
      </c>
      <c r="E1910" s="1">
        <v>-10.1</v>
      </c>
      <c r="F1910" s="1" t="s">
        <v>15157</v>
      </c>
    </row>
    <row r="1911" spans="1:6" ht="21" x14ac:dyDescent="0.25">
      <c r="A1911" s="2" t="str">
        <f>HYPERLINK("https://rth.dk/resources/bsgatlas/details.php?id=BSGatlas-terminator-1910","BSGatlas-terminator-1910")</f>
        <v>BSGatlas-terminator-1910</v>
      </c>
      <c r="B1911" s="3">
        <v>3060800</v>
      </c>
      <c r="C1911" s="3">
        <v>3060844</v>
      </c>
      <c r="D1911" s="1" t="s">
        <v>9</v>
      </c>
      <c r="E1911" s="1">
        <v>-11.3</v>
      </c>
      <c r="F1911" s="1" t="s">
        <v>15162</v>
      </c>
    </row>
    <row r="1912" spans="1:6" ht="21" x14ac:dyDescent="0.25">
      <c r="A1912" s="2" t="str">
        <f>HYPERLINK("https://rth.dk/resources/bsgatlas/details.php?id=BSGatlas-terminator-1911","BSGatlas-terminator-1911")</f>
        <v>BSGatlas-terminator-1911</v>
      </c>
      <c r="B1912" s="3">
        <v>3061564</v>
      </c>
      <c r="C1912" s="3">
        <v>3061623</v>
      </c>
      <c r="D1912" s="1" t="s">
        <v>13</v>
      </c>
      <c r="E1912" s="1">
        <v>-18.399999999999999</v>
      </c>
      <c r="F1912" s="1" t="s">
        <v>4382</v>
      </c>
    </row>
    <row r="1913" spans="1:6" ht="21" x14ac:dyDescent="0.25">
      <c r="A1913" s="2" t="str">
        <f>HYPERLINK("https://rth.dk/resources/bsgatlas/details.php?id=BSGatlas-terminator-1912","BSGatlas-terminator-1912")</f>
        <v>BSGatlas-terminator-1912</v>
      </c>
      <c r="B1913" s="3">
        <v>3067340</v>
      </c>
      <c r="C1913" s="3">
        <v>3067384</v>
      </c>
      <c r="D1913" s="1" t="s">
        <v>9</v>
      </c>
      <c r="E1913" s="1">
        <v>-18.2</v>
      </c>
      <c r="F1913" s="1" t="s">
        <v>15157</v>
      </c>
    </row>
    <row r="1914" spans="1:6" ht="21" x14ac:dyDescent="0.25">
      <c r="A1914" s="2" t="str">
        <f>HYPERLINK("https://rth.dk/resources/bsgatlas/details.php?id=BSGatlas-terminator-1913","BSGatlas-terminator-1913")</f>
        <v>BSGatlas-terminator-1913</v>
      </c>
      <c r="B1914" s="3">
        <v>3067377</v>
      </c>
      <c r="C1914" s="3">
        <v>3067422</v>
      </c>
      <c r="D1914" s="1" t="s">
        <v>13</v>
      </c>
      <c r="E1914" s="1">
        <v>-17.5</v>
      </c>
      <c r="F1914" s="1" t="s">
        <v>15158</v>
      </c>
    </row>
    <row r="1915" spans="1:6" ht="21" x14ac:dyDescent="0.25">
      <c r="A1915" s="2" t="str">
        <f>HYPERLINK("https://rth.dk/resources/bsgatlas/details.php?id=BSGatlas-terminator-1914","BSGatlas-terminator-1914")</f>
        <v>BSGatlas-terminator-1914</v>
      </c>
      <c r="B1915" s="3">
        <v>3070171</v>
      </c>
      <c r="C1915" s="3">
        <v>3070215</v>
      </c>
      <c r="D1915" s="1" t="s">
        <v>9</v>
      </c>
      <c r="E1915" s="1">
        <v>-10.199999999999999</v>
      </c>
      <c r="F1915" s="1" t="s">
        <v>15157</v>
      </c>
    </row>
    <row r="1916" spans="1:6" ht="21" x14ac:dyDescent="0.25">
      <c r="A1916" s="2" t="str">
        <f>HYPERLINK("https://rth.dk/resources/bsgatlas/details.php?id=BSGatlas-terminator-1915","BSGatlas-terminator-1915")</f>
        <v>BSGatlas-terminator-1915</v>
      </c>
      <c r="B1916" s="3">
        <v>3070217</v>
      </c>
      <c r="C1916" s="3">
        <v>3070256</v>
      </c>
      <c r="D1916" s="1" t="s">
        <v>9</v>
      </c>
      <c r="E1916" s="1">
        <v>-12.4</v>
      </c>
      <c r="F1916" s="1" t="s">
        <v>4382</v>
      </c>
    </row>
    <row r="1917" spans="1:6" ht="21" x14ac:dyDescent="0.25">
      <c r="A1917" s="2" t="str">
        <f>HYPERLINK("https://rth.dk/resources/bsgatlas/details.php?id=BSGatlas-terminator-1916","BSGatlas-terminator-1916")</f>
        <v>BSGatlas-terminator-1916</v>
      </c>
      <c r="B1917" s="3">
        <v>3070221</v>
      </c>
      <c r="C1917" s="3">
        <v>3070241</v>
      </c>
      <c r="D1917" s="1" t="s">
        <v>13</v>
      </c>
      <c r="E1917" s="1">
        <v>-16</v>
      </c>
      <c r="F1917" s="1" t="s">
        <v>4547</v>
      </c>
    </row>
    <row r="1918" spans="1:6" ht="21" x14ac:dyDescent="0.25">
      <c r="A1918" s="2" t="str">
        <f>HYPERLINK("https://rth.dk/resources/bsgatlas/details.php?id=BSGatlas-terminator-1917","BSGatlas-terminator-1917")</f>
        <v>BSGatlas-terminator-1917</v>
      </c>
      <c r="B1918" s="3">
        <v>3070249</v>
      </c>
      <c r="C1918" s="3">
        <v>3070293</v>
      </c>
      <c r="D1918" s="1" t="s">
        <v>13</v>
      </c>
      <c r="E1918" s="1">
        <v>-11.2</v>
      </c>
      <c r="F1918" s="1" t="s">
        <v>15157</v>
      </c>
    </row>
    <row r="1919" spans="1:6" ht="21" x14ac:dyDescent="0.25">
      <c r="A1919" s="2" t="str">
        <f>HYPERLINK("https://rth.dk/resources/bsgatlas/details.php?id=BSGatlas-terminator-1918","BSGatlas-terminator-1918")</f>
        <v>BSGatlas-terminator-1918</v>
      </c>
      <c r="B1919" s="3">
        <v>3072583</v>
      </c>
      <c r="C1919" s="3">
        <v>3072627</v>
      </c>
      <c r="D1919" s="1" t="s">
        <v>9</v>
      </c>
      <c r="E1919" s="1">
        <v>-13.5</v>
      </c>
      <c r="F1919" s="1" t="s">
        <v>15157</v>
      </c>
    </row>
    <row r="1920" spans="1:6" ht="21" x14ac:dyDescent="0.25">
      <c r="A1920" s="2" t="str">
        <f>HYPERLINK("https://rth.dk/resources/bsgatlas/details.php?id=BSGatlas-terminator-1919","BSGatlas-terminator-1919")</f>
        <v>BSGatlas-terminator-1919</v>
      </c>
      <c r="B1920" s="3">
        <v>3072652</v>
      </c>
      <c r="C1920" s="3">
        <v>3072696</v>
      </c>
      <c r="D1920" s="1" t="s">
        <v>9</v>
      </c>
      <c r="E1920" s="1">
        <v>-13.5</v>
      </c>
      <c r="F1920" s="1" t="s">
        <v>15157</v>
      </c>
    </row>
    <row r="1921" spans="1:6" ht="21" x14ac:dyDescent="0.25">
      <c r="A1921" s="2" t="str">
        <f>HYPERLINK("https://rth.dk/resources/bsgatlas/details.php?id=BSGatlas-terminator-1920","BSGatlas-terminator-1920")</f>
        <v>BSGatlas-terminator-1920</v>
      </c>
      <c r="B1921" s="3">
        <v>3072735</v>
      </c>
      <c r="C1921" s="3">
        <v>3072779</v>
      </c>
      <c r="D1921" s="1" t="s">
        <v>13</v>
      </c>
      <c r="E1921" s="1">
        <v>-13.5</v>
      </c>
      <c r="F1921" s="1" t="s">
        <v>15157</v>
      </c>
    </row>
    <row r="1922" spans="1:6" ht="21" x14ac:dyDescent="0.25">
      <c r="A1922" s="2" t="str">
        <f>HYPERLINK("https://rth.dk/resources/bsgatlas/details.php?id=BSGatlas-terminator-1921","BSGatlas-terminator-1921")</f>
        <v>BSGatlas-terminator-1921</v>
      </c>
      <c r="B1922" s="3">
        <v>3073506</v>
      </c>
      <c r="C1922" s="3">
        <v>3073550</v>
      </c>
      <c r="D1922" s="1" t="s">
        <v>13</v>
      </c>
      <c r="E1922" s="1">
        <v>-9.5</v>
      </c>
      <c r="F1922" s="1" t="s">
        <v>15157</v>
      </c>
    </row>
    <row r="1923" spans="1:6" ht="21" x14ac:dyDescent="0.25">
      <c r="A1923" s="2" t="str">
        <f>HYPERLINK("https://rth.dk/resources/bsgatlas/details.php?id=BSGatlas-terminator-1922","BSGatlas-terminator-1922")</f>
        <v>BSGatlas-terminator-1922</v>
      </c>
      <c r="B1923" s="3">
        <v>3078314</v>
      </c>
      <c r="C1923" s="3">
        <v>3078358</v>
      </c>
      <c r="D1923" s="1" t="s">
        <v>9</v>
      </c>
      <c r="E1923" s="1">
        <v>-16.3</v>
      </c>
      <c r="F1923" s="1" t="s">
        <v>15157</v>
      </c>
    </row>
    <row r="1924" spans="1:6" ht="21" x14ac:dyDescent="0.25">
      <c r="A1924" s="2" t="str">
        <f>HYPERLINK("https://rth.dk/resources/bsgatlas/details.php?id=BSGatlas-terminator-1923","BSGatlas-terminator-1923")</f>
        <v>BSGatlas-terminator-1923</v>
      </c>
      <c r="B1924" s="3">
        <v>3078349</v>
      </c>
      <c r="C1924" s="3">
        <v>3078394</v>
      </c>
      <c r="D1924" s="1" t="s">
        <v>13</v>
      </c>
      <c r="E1924" s="1">
        <v>-20.6</v>
      </c>
      <c r="F1924" s="1" t="s">
        <v>15158</v>
      </c>
    </row>
    <row r="1925" spans="1:6" ht="21" x14ac:dyDescent="0.25">
      <c r="A1925" s="2" t="str">
        <f>HYPERLINK("https://rth.dk/resources/bsgatlas/details.php?id=BSGatlas-terminator-1924","BSGatlas-terminator-1924")</f>
        <v>BSGatlas-terminator-1924</v>
      </c>
      <c r="B1925" s="3">
        <v>3078359</v>
      </c>
      <c r="C1925" s="3">
        <v>3078404</v>
      </c>
      <c r="D1925" s="1" t="s">
        <v>9</v>
      </c>
      <c r="E1925" s="1">
        <v>-20.5</v>
      </c>
      <c r="F1925" s="1" t="s">
        <v>4382</v>
      </c>
    </row>
    <row r="1926" spans="1:6" ht="21" x14ac:dyDescent="0.25">
      <c r="A1926" s="2" t="str">
        <f>HYPERLINK("https://rth.dk/resources/bsgatlas/details.php?id=BSGatlas-terminator-1925","BSGatlas-terminator-1925")</f>
        <v>BSGatlas-terminator-1925</v>
      </c>
      <c r="B1926" s="3">
        <v>3085727</v>
      </c>
      <c r="C1926" s="3">
        <v>3085771</v>
      </c>
      <c r="D1926" s="1" t="s">
        <v>9</v>
      </c>
      <c r="E1926" s="1">
        <v>-10.199999999999999</v>
      </c>
      <c r="F1926" s="1" t="s">
        <v>15157</v>
      </c>
    </row>
    <row r="1927" spans="1:6" ht="21" x14ac:dyDescent="0.25">
      <c r="A1927" s="2" t="str">
        <f>HYPERLINK("https://rth.dk/resources/bsgatlas/details.php?id=BSGatlas-terminator-1926","BSGatlas-terminator-1926")</f>
        <v>BSGatlas-terminator-1926</v>
      </c>
      <c r="B1927" s="3">
        <v>3085756</v>
      </c>
      <c r="C1927" s="3">
        <v>3085786</v>
      </c>
      <c r="D1927" s="1" t="s">
        <v>13</v>
      </c>
      <c r="E1927" s="1">
        <v>-11.2</v>
      </c>
      <c r="F1927" s="1" t="s">
        <v>15158</v>
      </c>
    </row>
    <row r="1928" spans="1:6" ht="21" x14ac:dyDescent="0.25">
      <c r="A1928" s="2" t="str">
        <f>HYPERLINK("https://rth.dk/resources/bsgatlas/details.php?id=BSGatlas-terminator-1927","BSGatlas-terminator-1927")</f>
        <v>BSGatlas-terminator-1927</v>
      </c>
      <c r="B1928" s="3">
        <v>3088352</v>
      </c>
      <c r="C1928" s="3">
        <v>3088400</v>
      </c>
      <c r="D1928" s="1" t="s">
        <v>13</v>
      </c>
      <c r="E1928" s="1">
        <v>-14.9</v>
      </c>
      <c r="F1928" s="1" t="s">
        <v>15158</v>
      </c>
    </row>
    <row r="1929" spans="1:6" ht="21" x14ac:dyDescent="0.25">
      <c r="A1929" s="2" t="str">
        <f>HYPERLINK("https://rth.dk/resources/bsgatlas/details.php?id=BSGatlas-terminator-1928","BSGatlas-terminator-1928")</f>
        <v>BSGatlas-terminator-1928</v>
      </c>
      <c r="B1929" s="3">
        <v>3090431</v>
      </c>
      <c r="C1929" s="3">
        <v>3090471</v>
      </c>
      <c r="D1929" s="1" t="s">
        <v>13</v>
      </c>
      <c r="E1929" s="1">
        <v>-7.1</v>
      </c>
      <c r="F1929" s="1" t="s">
        <v>4382</v>
      </c>
    </row>
    <row r="1930" spans="1:6" ht="21" x14ac:dyDescent="0.25">
      <c r="A1930" s="2" t="str">
        <f>HYPERLINK("https://rth.dk/resources/bsgatlas/details.php?id=BSGatlas-terminator-1929","BSGatlas-terminator-1929")</f>
        <v>BSGatlas-terminator-1929</v>
      </c>
      <c r="B1930" s="3">
        <v>3095606</v>
      </c>
      <c r="C1930" s="3">
        <v>3095648</v>
      </c>
      <c r="D1930" s="1" t="s">
        <v>13</v>
      </c>
      <c r="E1930" s="1">
        <v>-13.9</v>
      </c>
      <c r="F1930" s="1" t="s">
        <v>4382</v>
      </c>
    </row>
    <row r="1931" spans="1:6" ht="21" x14ac:dyDescent="0.25">
      <c r="A1931" s="2" t="str">
        <f>HYPERLINK("https://rth.dk/resources/bsgatlas/details.php?id=BSGatlas-terminator-1930","BSGatlas-terminator-1930")</f>
        <v>BSGatlas-terminator-1930</v>
      </c>
      <c r="B1931" s="3">
        <v>3102178</v>
      </c>
      <c r="C1931" s="3">
        <v>3102219</v>
      </c>
      <c r="D1931" s="1" t="s">
        <v>9</v>
      </c>
      <c r="E1931" s="1">
        <v>-14.6</v>
      </c>
      <c r="F1931" s="1" t="s">
        <v>15158</v>
      </c>
    </row>
    <row r="1932" spans="1:6" ht="21" x14ac:dyDescent="0.25">
      <c r="A1932" s="2" t="str">
        <f>HYPERLINK("https://rth.dk/resources/bsgatlas/details.php?id=BSGatlas-terminator-1931","BSGatlas-terminator-1931")</f>
        <v>BSGatlas-terminator-1931</v>
      </c>
      <c r="B1932" s="3">
        <v>3102190</v>
      </c>
      <c r="C1932" s="3">
        <v>3102234</v>
      </c>
      <c r="D1932" s="1" t="s">
        <v>13</v>
      </c>
      <c r="E1932" s="1">
        <v>-11.9</v>
      </c>
      <c r="F1932" s="1" t="s">
        <v>15157</v>
      </c>
    </row>
    <row r="1933" spans="1:6" ht="21" x14ac:dyDescent="0.25">
      <c r="A1933" s="2" t="str">
        <f>HYPERLINK("https://rth.dk/resources/bsgatlas/details.php?id=BSGatlas-terminator-1932","BSGatlas-terminator-1932")</f>
        <v>BSGatlas-terminator-1932</v>
      </c>
      <c r="B1933" s="3">
        <v>3102556</v>
      </c>
      <c r="C1933" s="3">
        <v>3102600</v>
      </c>
      <c r="D1933" s="1" t="s">
        <v>9</v>
      </c>
      <c r="E1933" s="1">
        <v>-11.2</v>
      </c>
      <c r="F1933" s="1" t="s">
        <v>15157</v>
      </c>
    </row>
    <row r="1934" spans="1:6" ht="21" x14ac:dyDescent="0.25">
      <c r="A1934" s="2" t="str">
        <f>HYPERLINK("https://rth.dk/resources/bsgatlas/details.php?id=BSGatlas-terminator-1933","BSGatlas-terminator-1933")</f>
        <v>BSGatlas-terminator-1933</v>
      </c>
      <c r="B1934" s="3">
        <v>3102582</v>
      </c>
      <c r="C1934" s="3">
        <v>3102621</v>
      </c>
      <c r="D1934" s="1" t="s">
        <v>13</v>
      </c>
      <c r="E1934" s="1">
        <v>-14.2</v>
      </c>
      <c r="F1934" s="1" t="s">
        <v>15158</v>
      </c>
    </row>
    <row r="1935" spans="1:6" ht="21" x14ac:dyDescent="0.25">
      <c r="A1935" s="2" t="str">
        <f>HYPERLINK("https://rth.dk/resources/bsgatlas/details.php?id=BSGatlas-terminator-1934","BSGatlas-terminator-1934")</f>
        <v>BSGatlas-terminator-1934</v>
      </c>
      <c r="B1935" s="3">
        <v>3105125</v>
      </c>
      <c r="C1935" s="3">
        <v>3105172</v>
      </c>
      <c r="D1935" s="1" t="s">
        <v>13</v>
      </c>
      <c r="E1935" s="1">
        <v>-21.3</v>
      </c>
      <c r="F1935" s="1" t="s">
        <v>15158</v>
      </c>
    </row>
    <row r="1936" spans="1:6" ht="21" x14ac:dyDescent="0.25">
      <c r="A1936" s="2" t="str">
        <f>HYPERLINK("https://rth.dk/resources/bsgatlas/details.php?id=BSGatlas-terminator-1935","BSGatlas-terminator-1935")</f>
        <v>BSGatlas-terminator-1935</v>
      </c>
      <c r="B1936" s="3">
        <v>3107036</v>
      </c>
      <c r="C1936" s="3">
        <v>3107080</v>
      </c>
      <c r="D1936" s="1" t="s">
        <v>9</v>
      </c>
      <c r="E1936" s="1">
        <v>-13.8</v>
      </c>
      <c r="F1936" s="1" t="s">
        <v>15165</v>
      </c>
    </row>
    <row r="1937" spans="1:6" ht="21" x14ac:dyDescent="0.25">
      <c r="A1937" s="2" t="str">
        <f>HYPERLINK("https://rth.dk/resources/bsgatlas/details.php?id=BSGatlas-terminator-1936","BSGatlas-terminator-1936")</f>
        <v>BSGatlas-terminator-1936</v>
      </c>
      <c r="B1937" s="3">
        <v>3107189</v>
      </c>
      <c r="C1937" s="3">
        <v>3107231</v>
      </c>
      <c r="D1937" s="1" t="s">
        <v>13</v>
      </c>
      <c r="E1937" s="1">
        <v>-15.7</v>
      </c>
      <c r="F1937" s="1" t="s">
        <v>15158</v>
      </c>
    </row>
    <row r="1938" spans="1:6" ht="21" x14ac:dyDescent="0.25">
      <c r="A1938" s="2" t="str">
        <f>HYPERLINK("https://rth.dk/resources/bsgatlas/details.php?id=BSGatlas-terminator-1937","BSGatlas-terminator-1937")</f>
        <v>BSGatlas-terminator-1937</v>
      </c>
      <c r="B1938" s="3">
        <v>3109233</v>
      </c>
      <c r="C1938" s="3">
        <v>3109277</v>
      </c>
      <c r="D1938" s="1" t="s">
        <v>9</v>
      </c>
      <c r="E1938" s="1">
        <v>-11.6</v>
      </c>
      <c r="F1938" s="1" t="s">
        <v>15157</v>
      </c>
    </row>
    <row r="1939" spans="1:6" ht="21" x14ac:dyDescent="0.25">
      <c r="A1939" s="2" t="str">
        <f>HYPERLINK("https://rth.dk/resources/bsgatlas/details.php?id=BSGatlas-terminator-1938","BSGatlas-terminator-1938")</f>
        <v>BSGatlas-terminator-1938</v>
      </c>
      <c r="B1939" s="3">
        <v>3109353</v>
      </c>
      <c r="C1939" s="3">
        <v>3109391</v>
      </c>
      <c r="D1939" s="1" t="s">
        <v>13</v>
      </c>
      <c r="E1939" s="1">
        <v>-14.9</v>
      </c>
      <c r="F1939" s="1" t="s">
        <v>15158</v>
      </c>
    </row>
    <row r="1940" spans="1:6" ht="21" x14ac:dyDescent="0.25">
      <c r="A1940" s="2" t="str">
        <f>HYPERLINK("https://rth.dk/resources/bsgatlas/details.php?id=BSGatlas-terminator-1939","BSGatlas-terminator-1939")</f>
        <v>BSGatlas-terminator-1939</v>
      </c>
      <c r="B1940" s="3">
        <v>3109363</v>
      </c>
      <c r="C1940" s="3">
        <v>3109401</v>
      </c>
      <c r="D1940" s="1" t="s">
        <v>9</v>
      </c>
      <c r="E1940" s="1">
        <v>-14.9</v>
      </c>
      <c r="F1940" s="1" t="s">
        <v>15158</v>
      </c>
    </row>
    <row r="1941" spans="1:6" ht="21" x14ac:dyDescent="0.25">
      <c r="A1941" s="2" t="str">
        <f>HYPERLINK("https://rth.dk/resources/bsgatlas/details.php?id=BSGatlas-terminator-1940","BSGatlas-terminator-1940")</f>
        <v>BSGatlas-terminator-1940</v>
      </c>
      <c r="B1941" s="3">
        <v>3112159</v>
      </c>
      <c r="C1941" s="3">
        <v>3112209</v>
      </c>
      <c r="D1941" s="1" t="s">
        <v>13</v>
      </c>
      <c r="E1941" s="1">
        <v>-15.9</v>
      </c>
      <c r="F1941" s="1" t="s">
        <v>15158</v>
      </c>
    </row>
    <row r="1942" spans="1:6" ht="21" x14ac:dyDescent="0.25">
      <c r="A1942" s="2" t="str">
        <f>HYPERLINK("https://rth.dk/resources/bsgatlas/details.php?id=BSGatlas-terminator-1941","BSGatlas-terminator-1941")</f>
        <v>BSGatlas-terminator-1941</v>
      </c>
      <c r="B1942" s="3">
        <v>3113936</v>
      </c>
      <c r="C1942" s="3">
        <v>3113974</v>
      </c>
      <c r="D1942" s="1" t="s">
        <v>13</v>
      </c>
      <c r="E1942" s="1">
        <v>-16.8</v>
      </c>
      <c r="F1942" s="1" t="s">
        <v>4382</v>
      </c>
    </row>
    <row r="1943" spans="1:6" ht="21" x14ac:dyDescent="0.25">
      <c r="A1943" s="2" t="str">
        <f>HYPERLINK("https://rth.dk/resources/bsgatlas/details.php?id=BSGatlas-terminator-1942","BSGatlas-terminator-1942")</f>
        <v>BSGatlas-terminator-1942</v>
      </c>
      <c r="B1943" s="3">
        <v>3113979</v>
      </c>
      <c r="C1943" s="3">
        <v>3114023</v>
      </c>
      <c r="D1943" s="1" t="s">
        <v>13</v>
      </c>
      <c r="E1943" s="1">
        <v>-13.6</v>
      </c>
      <c r="F1943" s="1" t="s">
        <v>15157</v>
      </c>
    </row>
    <row r="1944" spans="1:6" ht="21" x14ac:dyDescent="0.25">
      <c r="A1944" s="2" t="str">
        <f>HYPERLINK("https://rth.dk/resources/bsgatlas/details.php?id=BSGatlas-terminator-1943","BSGatlas-terminator-1943")</f>
        <v>BSGatlas-terminator-1943</v>
      </c>
      <c r="B1944" s="3">
        <v>3119386</v>
      </c>
      <c r="C1944" s="3">
        <v>3119430</v>
      </c>
      <c r="D1944" s="1" t="s">
        <v>9</v>
      </c>
      <c r="E1944" s="1">
        <v>-14.4</v>
      </c>
      <c r="F1944" s="1" t="s">
        <v>15157</v>
      </c>
    </row>
    <row r="1945" spans="1:6" ht="21" x14ac:dyDescent="0.25">
      <c r="A1945" s="2" t="str">
        <f>HYPERLINK("https://rth.dk/resources/bsgatlas/details.php?id=BSGatlas-terminator-1944","BSGatlas-terminator-1944")</f>
        <v>BSGatlas-terminator-1944</v>
      </c>
      <c r="B1945" s="3">
        <v>3119550</v>
      </c>
      <c r="C1945" s="3">
        <v>3119594</v>
      </c>
      <c r="D1945" s="1" t="s">
        <v>13</v>
      </c>
      <c r="E1945" s="1">
        <v>-14.4</v>
      </c>
      <c r="F1945" s="1" t="s">
        <v>15157</v>
      </c>
    </row>
    <row r="1946" spans="1:6" ht="21" x14ac:dyDescent="0.25">
      <c r="A1946" s="2" t="str">
        <f>HYPERLINK("https://rth.dk/resources/bsgatlas/details.php?id=BSGatlas-terminator-1945","BSGatlas-terminator-1945")</f>
        <v>BSGatlas-terminator-1945</v>
      </c>
      <c r="B1946" s="3">
        <v>3121490</v>
      </c>
      <c r="C1946" s="3">
        <v>3121534</v>
      </c>
      <c r="D1946" s="1" t="s">
        <v>9</v>
      </c>
      <c r="E1946" s="1">
        <v>-11.9</v>
      </c>
      <c r="F1946" s="1" t="s">
        <v>15157</v>
      </c>
    </row>
    <row r="1947" spans="1:6" ht="21" x14ac:dyDescent="0.25">
      <c r="A1947" s="2" t="str">
        <f>HYPERLINK("https://rth.dk/resources/bsgatlas/details.php?id=BSGatlas-terminator-1946","BSGatlas-terminator-1946")</f>
        <v>BSGatlas-terminator-1946</v>
      </c>
      <c r="B1947" s="3">
        <v>3121516</v>
      </c>
      <c r="C1947" s="3">
        <v>3121560</v>
      </c>
      <c r="D1947" s="1" t="s">
        <v>13</v>
      </c>
      <c r="E1947" s="1">
        <v>-12.7</v>
      </c>
      <c r="F1947" s="1" t="s">
        <v>15158</v>
      </c>
    </row>
    <row r="1948" spans="1:6" ht="21" x14ac:dyDescent="0.25">
      <c r="A1948" s="2" t="str">
        <f>HYPERLINK("https://rth.dk/resources/bsgatlas/details.php?id=BSGatlas-terminator-1947","BSGatlas-terminator-1947")</f>
        <v>BSGatlas-terminator-1947</v>
      </c>
      <c r="B1948" s="3">
        <v>3124212</v>
      </c>
      <c r="C1948" s="3">
        <v>3124248</v>
      </c>
      <c r="D1948" s="1" t="s">
        <v>13</v>
      </c>
      <c r="E1948" s="1">
        <v>-9.4</v>
      </c>
      <c r="F1948" s="1" t="s">
        <v>15158</v>
      </c>
    </row>
    <row r="1949" spans="1:6" ht="21" x14ac:dyDescent="0.25">
      <c r="A1949" s="2" t="str">
        <f>HYPERLINK("https://rth.dk/resources/bsgatlas/details.php?id=BSGatlas-terminator-1948","BSGatlas-terminator-1948")</f>
        <v>BSGatlas-terminator-1948</v>
      </c>
      <c r="B1949" s="3">
        <v>3127782</v>
      </c>
      <c r="C1949" s="3">
        <v>3127822</v>
      </c>
      <c r="D1949" s="1" t="s">
        <v>13</v>
      </c>
      <c r="E1949" s="1">
        <v>-14.3</v>
      </c>
      <c r="F1949" s="1" t="s">
        <v>15158</v>
      </c>
    </row>
    <row r="1950" spans="1:6" ht="21" x14ac:dyDescent="0.25">
      <c r="A1950" s="2" t="str">
        <f>HYPERLINK("https://rth.dk/resources/bsgatlas/details.php?id=BSGatlas-terminator-1949","BSGatlas-terminator-1949")</f>
        <v>BSGatlas-terminator-1949</v>
      </c>
      <c r="B1950" s="3">
        <v>3129271</v>
      </c>
      <c r="C1950" s="3">
        <v>3129315</v>
      </c>
      <c r="D1950" s="1" t="s">
        <v>9</v>
      </c>
      <c r="E1950" s="1">
        <v>-16.600000000000001</v>
      </c>
      <c r="F1950" s="1" t="s">
        <v>15157</v>
      </c>
    </row>
    <row r="1951" spans="1:6" ht="21" x14ac:dyDescent="0.25">
      <c r="A1951" s="2" t="str">
        <f>HYPERLINK("https://rth.dk/resources/bsgatlas/details.php?id=BSGatlas-terminator-1950","BSGatlas-terminator-1950")</f>
        <v>BSGatlas-terminator-1950</v>
      </c>
      <c r="B1951" s="3">
        <v>3131108</v>
      </c>
      <c r="C1951" s="3">
        <v>3131151</v>
      </c>
      <c r="D1951" s="1" t="s">
        <v>13</v>
      </c>
      <c r="E1951" s="1">
        <v>-19.3</v>
      </c>
      <c r="F1951" s="1" t="s">
        <v>15158</v>
      </c>
    </row>
    <row r="1952" spans="1:6" ht="21" x14ac:dyDescent="0.25">
      <c r="A1952" s="2" t="str">
        <f>HYPERLINK("https://rth.dk/resources/bsgatlas/details.php?id=BSGatlas-terminator-1951","BSGatlas-terminator-1951")</f>
        <v>BSGatlas-terminator-1951</v>
      </c>
      <c r="B1952" s="3">
        <v>3131118</v>
      </c>
      <c r="C1952" s="3">
        <v>3131161</v>
      </c>
      <c r="D1952" s="1" t="s">
        <v>9</v>
      </c>
      <c r="E1952" s="1">
        <v>-19.399999999999999</v>
      </c>
      <c r="F1952" s="1" t="s">
        <v>15158</v>
      </c>
    </row>
    <row r="1953" spans="1:6" ht="21" x14ac:dyDescent="0.25">
      <c r="A1953" s="2" t="str">
        <f>HYPERLINK("https://rth.dk/resources/bsgatlas/details.php?id=BSGatlas-terminator-1952","BSGatlas-terminator-1952")</f>
        <v>BSGatlas-terminator-1952</v>
      </c>
      <c r="B1953" s="3">
        <v>3133358</v>
      </c>
      <c r="C1953" s="3">
        <v>3133424</v>
      </c>
      <c r="D1953" s="1" t="s">
        <v>13</v>
      </c>
      <c r="E1953" s="1"/>
      <c r="F1953" s="1" t="s">
        <v>15159</v>
      </c>
    </row>
    <row r="1954" spans="1:6" ht="21" x14ac:dyDescent="0.25">
      <c r="A1954" s="2" t="str">
        <f>HYPERLINK("https://rth.dk/resources/bsgatlas/details.php?id=BSGatlas-terminator-1953","BSGatlas-terminator-1953")</f>
        <v>BSGatlas-terminator-1953</v>
      </c>
      <c r="B1954" s="3">
        <v>3134936</v>
      </c>
      <c r="C1954" s="3">
        <v>3134993</v>
      </c>
      <c r="D1954" s="1" t="s">
        <v>9</v>
      </c>
      <c r="E1954" s="1">
        <v>-14.6</v>
      </c>
      <c r="F1954" s="1" t="s">
        <v>15158</v>
      </c>
    </row>
    <row r="1955" spans="1:6" ht="21" x14ac:dyDescent="0.25">
      <c r="A1955" s="2" t="str">
        <f>HYPERLINK("https://rth.dk/resources/bsgatlas/details.php?id=BSGatlas-terminator-1954","BSGatlas-terminator-1954")</f>
        <v>BSGatlas-terminator-1954</v>
      </c>
      <c r="B1955" s="3">
        <v>3134946</v>
      </c>
      <c r="C1955" s="3">
        <v>3134983</v>
      </c>
      <c r="D1955" s="1" t="s">
        <v>13</v>
      </c>
      <c r="E1955" s="1">
        <v>-14.6</v>
      </c>
      <c r="F1955" s="1" t="s">
        <v>15158</v>
      </c>
    </row>
    <row r="1956" spans="1:6" ht="21" x14ac:dyDescent="0.25">
      <c r="A1956" s="2" t="str">
        <f>HYPERLINK("https://rth.dk/resources/bsgatlas/details.php?id=BSGatlas-terminator-1955","BSGatlas-terminator-1955")</f>
        <v>BSGatlas-terminator-1955</v>
      </c>
      <c r="B1956" s="3">
        <v>3136179</v>
      </c>
      <c r="C1956" s="3">
        <v>3136226</v>
      </c>
      <c r="D1956" s="1" t="s">
        <v>13</v>
      </c>
      <c r="E1956" s="1">
        <v>-22.4</v>
      </c>
      <c r="F1956" s="1" t="s">
        <v>4382</v>
      </c>
    </row>
    <row r="1957" spans="1:6" ht="21" x14ac:dyDescent="0.25">
      <c r="A1957" s="2" t="str">
        <f>HYPERLINK("https://rth.dk/resources/bsgatlas/details.php?id=BSGatlas-terminator-1956","BSGatlas-terminator-1956")</f>
        <v>BSGatlas-terminator-1956</v>
      </c>
      <c r="B1957" s="3">
        <v>3136228</v>
      </c>
      <c r="C1957" s="3">
        <v>3136272</v>
      </c>
      <c r="D1957" s="1" t="s">
        <v>13</v>
      </c>
      <c r="E1957" s="1">
        <v>-19.2</v>
      </c>
      <c r="F1957" s="1" t="s">
        <v>15157</v>
      </c>
    </row>
    <row r="1958" spans="1:6" ht="21" x14ac:dyDescent="0.25">
      <c r="A1958" s="2" t="str">
        <f>HYPERLINK("https://rth.dk/resources/bsgatlas/details.php?id=BSGatlas-terminator-1957","BSGatlas-terminator-1957")</f>
        <v>BSGatlas-terminator-1957</v>
      </c>
      <c r="B1958" s="3">
        <v>3136942</v>
      </c>
      <c r="C1958" s="3">
        <v>3136986</v>
      </c>
      <c r="D1958" s="1" t="s">
        <v>9</v>
      </c>
      <c r="E1958" s="1">
        <v>-20.5</v>
      </c>
      <c r="F1958" s="1" t="s">
        <v>15157</v>
      </c>
    </row>
    <row r="1959" spans="1:6" ht="21" x14ac:dyDescent="0.25">
      <c r="A1959" s="2" t="str">
        <f>HYPERLINK("https://rth.dk/resources/bsgatlas/details.php?id=BSGatlas-terminator-1958","BSGatlas-terminator-1958")</f>
        <v>BSGatlas-terminator-1958</v>
      </c>
      <c r="B1959" s="3">
        <v>3137443</v>
      </c>
      <c r="C1959" s="3">
        <v>3137490</v>
      </c>
      <c r="D1959" s="1" t="s">
        <v>13</v>
      </c>
      <c r="E1959" s="1">
        <v>-18.8</v>
      </c>
      <c r="F1959" s="1" t="s">
        <v>15158</v>
      </c>
    </row>
    <row r="1960" spans="1:6" ht="21" x14ac:dyDescent="0.25">
      <c r="A1960" s="2" t="str">
        <f>HYPERLINK("https://rth.dk/resources/bsgatlas/details.php?id=BSGatlas-terminator-1959","BSGatlas-terminator-1959")</f>
        <v>BSGatlas-terminator-1959</v>
      </c>
      <c r="B1960" s="3">
        <v>3137569</v>
      </c>
      <c r="C1960" s="3">
        <v>3137613</v>
      </c>
      <c r="D1960" s="1" t="s">
        <v>13</v>
      </c>
      <c r="E1960" s="1">
        <v>-14.2</v>
      </c>
      <c r="F1960" s="1" t="s">
        <v>15157</v>
      </c>
    </row>
    <row r="1961" spans="1:6" ht="21" x14ac:dyDescent="0.25">
      <c r="A1961" s="2" t="str">
        <f>HYPERLINK("https://rth.dk/resources/bsgatlas/details.php?id=BSGatlas-terminator-1960","BSGatlas-terminator-1960")</f>
        <v>BSGatlas-terminator-1960</v>
      </c>
      <c r="B1961" s="3">
        <v>3138977</v>
      </c>
      <c r="C1961" s="3">
        <v>3139021</v>
      </c>
      <c r="D1961" s="1" t="s">
        <v>13</v>
      </c>
      <c r="E1961" s="1">
        <v>-7.5</v>
      </c>
      <c r="F1961" s="1" t="s">
        <v>15157</v>
      </c>
    </row>
    <row r="1962" spans="1:6" ht="21" x14ac:dyDescent="0.25">
      <c r="A1962" s="2" t="str">
        <f>HYPERLINK("https://rth.dk/resources/bsgatlas/details.php?id=BSGatlas-terminator-1961","BSGatlas-terminator-1961")</f>
        <v>BSGatlas-terminator-1961</v>
      </c>
      <c r="B1962" s="3">
        <v>3142054</v>
      </c>
      <c r="C1962" s="3">
        <v>3142092</v>
      </c>
      <c r="D1962" s="1" t="s">
        <v>13</v>
      </c>
      <c r="E1962" s="1">
        <v>-9.6</v>
      </c>
      <c r="F1962" s="1" t="s">
        <v>15158</v>
      </c>
    </row>
    <row r="1963" spans="1:6" ht="21" x14ac:dyDescent="0.25">
      <c r="A1963" s="2" t="str">
        <f>HYPERLINK("https://rth.dk/resources/bsgatlas/details.php?id=BSGatlas-terminator-1962","BSGatlas-terminator-1962")</f>
        <v>BSGatlas-terminator-1962</v>
      </c>
      <c r="B1963" s="3">
        <v>3142064</v>
      </c>
      <c r="C1963" s="3">
        <v>3142102</v>
      </c>
      <c r="D1963" s="1" t="s">
        <v>9</v>
      </c>
      <c r="E1963" s="1">
        <v>-9.9</v>
      </c>
      <c r="F1963" s="1" t="s">
        <v>15164</v>
      </c>
    </row>
    <row r="1964" spans="1:6" ht="21" x14ac:dyDescent="0.25">
      <c r="A1964" s="2" t="str">
        <f>HYPERLINK("https://rth.dk/resources/bsgatlas/details.php?id=BSGatlas-terminator-1963","BSGatlas-terminator-1963")</f>
        <v>BSGatlas-terminator-1963</v>
      </c>
      <c r="B1964" s="3">
        <v>3146118</v>
      </c>
      <c r="C1964" s="3">
        <v>3146157</v>
      </c>
      <c r="D1964" s="1" t="s">
        <v>13</v>
      </c>
      <c r="E1964" s="1">
        <v>-13.4</v>
      </c>
      <c r="F1964" s="1" t="s">
        <v>4382</v>
      </c>
    </row>
    <row r="1965" spans="1:6" ht="21" x14ac:dyDescent="0.25">
      <c r="A1965" s="2" t="str">
        <f>HYPERLINK("https://rth.dk/resources/bsgatlas/details.php?id=BSGatlas-terminator-1964","BSGatlas-terminator-1964")</f>
        <v>BSGatlas-terminator-1964</v>
      </c>
      <c r="B1965" s="3">
        <v>3146205</v>
      </c>
      <c r="C1965" s="3">
        <v>3146236</v>
      </c>
      <c r="D1965" s="1" t="s">
        <v>13</v>
      </c>
      <c r="E1965" s="1">
        <v>-5.0999999999999996</v>
      </c>
      <c r="F1965" s="1" t="s">
        <v>4382</v>
      </c>
    </row>
    <row r="1966" spans="1:6" ht="21" x14ac:dyDescent="0.25">
      <c r="A1966" s="2" t="str">
        <f>HYPERLINK("https://rth.dk/resources/bsgatlas/details.php?id=BSGatlas-terminator-1965","BSGatlas-terminator-1965")</f>
        <v>BSGatlas-terminator-1965</v>
      </c>
      <c r="B1966" s="3">
        <v>3146259</v>
      </c>
      <c r="C1966" s="3">
        <v>3146303</v>
      </c>
      <c r="D1966" s="1" t="s">
        <v>13</v>
      </c>
      <c r="E1966" s="1">
        <v>-11.1</v>
      </c>
      <c r="F1966" s="1" t="s">
        <v>15157</v>
      </c>
    </row>
    <row r="1967" spans="1:6" ht="21" x14ac:dyDescent="0.25">
      <c r="A1967" s="2" t="str">
        <f>HYPERLINK("https://rth.dk/resources/bsgatlas/details.php?id=BSGatlas-terminator-1966","BSGatlas-terminator-1966")</f>
        <v>BSGatlas-terminator-1966</v>
      </c>
      <c r="B1967" s="3">
        <v>3148837</v>
      </c>
      <c r="C1967" s="3">
        <v>3148883</v>
      </c>
      <c r="D1967" s="1" t="s">
        <v>13</v>
      </c>
      <c r="E1967" s="1">
        <v>-17.100000000000001</v>
      </c>
      <c r="F1967" s="1" t="s">
        <v>15158</v>
      </c>
    </row>
    <row r="1968" spans="1:6" ht="21" x14ac:dyDescent="0.25">
      <c r="A1968" s="2" t="str">
        <f>HYPERLINK("https://rth.dk/resources/bsgatlas/details.php?id=BSGatlas-terminator-1967","BSGatlas-terminator-1967")</f>
        <v>BSGatlas-terminator-1967</v>
      </c>
      <c r="B1968" s="3">
        <v>3154044</v>
      </c>
      <c r="C1968" s="3">
        <v>3154110</v>
      </c>
      <c r="D1968" s="1" t="s">
        <v>13</v>
      </c>
      <c r="E1968" s="1"/>
      <c r="F1968" s="1" t="s">
        <v>15159</v>
      </c>
    </row>
    <row r="1969" spans="1:6" ht="21" x14ac:dyDescent="0.25">
      <c r="A1969" s="2" t="str">
        <f>HYPERLINK("https://rth.dk/resources/bsgatlas/details.php?id=BSGatlas-terminator-1968","BSGatlas-terminator-1968")</f>
        <v>BSGatlas-terminator-1968</v>
      </c>
      <c r="B1969" s="3">
        <v>3154723</v>
      </c>
      <c r="C1969" s="3">
        <v>3154759</v>
      </c>
      <c r="D1969" s="1" t="s">
        <v>9</v>
      </c>
      <c r="E1969" s="1">
        <v>-12.9</v>
      </c>
      <c r="F1969" s="1" t="s">
        <v>15158</v>
      </c>
    </row>
    <row r="1970" spans="1:6" ht="21" x14ac:dyDescent="0.25">
      <c r="A1970" s="2" t="str">
        <f>HYPERLINK("https://rth.dk/resources/bsgatlas/details.php?id=BSGatlas-terminator-1969","BSGatlas-terminator-1969")</f>
        <v>BSGatlas-terminator-1969</v>
      </c>
      <c r="B1970" s="3">
        <v>3159086</v>
      </c>
      <c r="C1970" s="3">
        <v>3159130</v>
      </c>
      <c r="D1970" s="1" t="s">
        <v>13</v>
      </c>
      <c r="E1970" s="1">
        <v>-3.1</v>
      </c>
      <c r="F1970" s="1" t="s">
        <v>15157</v>
      </c>
    </row>
    <row r="1971" spans="1:6" ht="21" x14ac:dyDescent="0.25">
      <c r="A1971" s="2" t="str">
        <f>HYPERLINK("https://rth.dk/resources/bsgatlas/details.php?id=BSGatlas-terminator-1970","BSGatlas-terminator-1970")</f>
        <v>BSGatlas-terminator-1970</v>
      </c>
      <c r="B1971" s="3">
        <v>3159169</v>
      </c>
      <c r="C1971" s="3">
        <v>3159229</v>
      </c>
      <c r="D1971" s="1" t="s">
        <v>9</v>
      </c>
      <c r="E1971" s="1">
        <v>-13.9</v>
      </c>
      <c r="F1971" s="1" t="s">
        <v>4382</v>
      </c>
    </row>
    <row r="1972" spans="1:6" ht="21" x14ac:dyDescent="0.25">
      <c r="A1972" s="2" t="str">
        <f>HYPERLINK("https://rth.dk/resources/bsgatlas/details.php?id=BSGatlas-terminator-1971","BSGatlas-terminator-1971")</f>
        <v>BSGatlas-terminator-1971</v>
      </c>
      <c r="B1972" s="3">
        <v>3159228</v>
      </c>
      <c r="C1972" s="3">
        <v>3159269</v>
      </c>
      <c r="D1972" s="1" t="s">
        <v>13</v>
      </c>
      <c r="E1972" s="1">
        <v>-11.2</v>
      </c>
      <c r="F1972" s="1" t="s">
        <v>15158</v>
      </c>
    </row>
    <row r="1973" spans="1:6" ht="21" x14ac:dyDescent="0.25">
      <c r="A1973" s="2" t="str">
        <f>HYPERLINK("https://rth.dk/resources/bsgatlas/details.php?id=BSGatlas-terminator-1972","BSGatlas-terminator-1972")</f>
        <v>BSGatlas-terminator-1972</v>
      </c>
      <c r="B1973" s="3">
        <v>3159719</v>
      </c>
      <c r="C1973" s="3">
        <v>3159785</v>
      </c>
      <c r="D1973" s="1" t="s">
        <v>9</v>
      </c>
      <c r="E1973" s="1"/>
      <c r="F1973" s="1" t="s">
        <v>15159</v>
      </c>
    </row>
    <row r="1974" spans="1:6" ht="21" x14ac:dyDescent="0.25">
      <c r="A1974" s="2" t="str">
        <f>HYPERLINK("https://rth.dk/resources/bsgatlas/details.php?id=BSGatlas-terminator-1973","BSGatlas-terminator-1973")</f>
        <v>BSGatlas-terminator-1973</v>
      </c>
      <c r="B1974" s="3">
        <v>3163124</v>
      </c>
      <c r="C1974" s="3">
        <v>3163168</v>
      </c>
      <c r="D1974" s="1" t="s">
        <v>9</v>
      </c>
      <c r="E1974" s="1">
        <v>-10.3</v>
      </c>
      <c r="F1974" s="1" t="s">
        <v>15157</v>
      </c>
    </row>
    <row r="1975" spans="1:6" ht="21" x14ac:dyDescent="0.25">
      <c r="A1975" s="2" t="str">
        <f>HYPERLINK("https://rth.dk/resources/bsgatlas/details.php?id=BSGatlas-terminator-1974","BSGatlas-terminator-1974")</f>
        <v>BSGatlas-terminator-1974</v>
      </c>
      <c r="B1975" s="3">
        <v>3163654</v>
      </c>
      <c r="C1975" s="3">
        <v>3163698</v>
      </c>
      <c r="D1975" s="1" t="s">
        <v>9</v>
      </c>
      <c r="E1975" s="1">
        <v>-10.1</v>
      </c>
      <c r="F1975" s="1" t="s">
        <v>15157</v>
      </c>
    </row>
    <row r="1976" spans="1:6" ht="21" x14ac:dyDescent="0.25">
      <c r="A1976" s="2" t="str">
        <f>HYPERLINK("https://rth.dk/resources/bsgatlas/details.php?id=BSGatlas-terminator-1975","BSGatlas-terminator-1975")</f>
        <v>BSGatlas-terminator-1975</v>
      </c>
      <c r="B1976" s="3">
        <v>3163699</v>
      </c>
      <c r="C1976" s="3">
        <v>3163735</v>
      </c>
      <c r="D1976" s="1" t="s">
        <v>13</v>
      </c>
      <c r="E1976" s="1">
        <v>-13</v>
      </c>
      <c r="F1976" s="1" t="s">
        <v>15158</v>
      </c>
    </row>
    <row r="1977" spans="1:6" ht="21" x14ac:dyDescent="0.25">
      <c r="A1977" s="2" t="str">
        <f>HYPERLINK("https://rth.dk/resources/bsgatlas/details.php?id=BSGatlas-terminator-1976","BSGatlas-terminator-1976")</f>
        <v>BSGatlas-terminator-1976</v>
      </c>
      <c r="B1977" s="3">
        <v>3163709</v>
      </c>
      <c r="C1977" s="3">
        <v>3163745</v>
      </c>
      <c r="D1977" s="1" t="s">
        <v>9</v>
      </c>
      <c r="E1977" s="1">
        <v>-11.7</v>
      </c>
      <c r="F1977" s="1" t="s">
        <v>4382</v>
      </c>
    </row>
    <row r="1978" spans="1:6" ht="21" x14ac:dyDescent="0.25">
      <c r="A1978" s="2" t="str">
        <f>HYPERLINK("https://rth.dk/resources/bsgatlas/details.php?id=BSGatlas-terminator-1977","BSGatlas-terminator-1977")</f>
        <v>BSGatlas-terminator-1977</v>
      </c>
      <c r="B1978" s="3">
        <v>3171694</v>
      </c>
      <c r="C1978" s="3">
        <v>3171733</v>
      </c>
      <c r="D1978" s="1" t="s">
        <v>13</v>
      </c>
      <c r="E1978" s="1">
        <v>-6.2</v>
      </c>
      <c r="F1978" s="1" t="s">
        <v>4382</v>
      </c>
    </row>
    <row r="1979" spans="1:6" ht="21" x14ac:dyDescent="0.25">
      <c r="A1979" s="2" t="str">
        <f>HYPERLINK("https://rth.dk/resources/bsgatlas/details.php?id=BSGatlas-terminator-1978","BSGatlas-terminator-1978")</f>
        <v>BSGatlas-terminator-1978</v>
      </c>
      <c r="B1979" s="3">
        <v>3171736</v>
      </c>
      <c r="C1979" s="3">
        <v>3171780</v>
      </c>
      <c r="D1979" s="1" t="s">
        <v>13</v>
      </c>
      <c r="E1979" s="1">
        <v>-9.1999999999999993</v>
      </c>
      <c r="F1979" s="1" t="s">
        <v>15157</v>
      </c>
    </row>
    <row r="1980" spans="1:6" ht="21" x14ac:dyDescent="0.25">
      <c r="A1980" s="2" t="str">
        <f>HYPERLINK("https://rth.dk/resources/bsgatlas/details.php?id=BSGatlas-terminator-1979","BSGatlas-terminator-1979")</f>
        <v>BSGatlas-terminator-1979</v>
      </c>
      <c r="B1980" s="3">
        <v>3171837</v>
      </c>
      <c r="C1980" s="3">
        <v>3171875</v>
      </c>
      <c r="D1980" s="1" t="s">
        <v>13</v>
      </c>
      <c r="E1980" s="1">
        <v>-11.2</v>
      </c>
      <c r="F1980" s="1" t="s">
        <v>4382</v>
      </c>
    </row>
    <row r="1981" spans="1:6" ht="21" x14ac:dyDescent="0.25">
      <c r="A1981" s="2" t="str">
        <f>HYPERLINK("https://rth.dk/resources/bsgatlas/details.php?id=BSGatlas-terminator-1980","BSGatlas-terminator-1980")</f>
        <v>BSGatlas-terminator-1980</v>
      </c>
      <c r="B1981" s="3">
        <v>3178862</v>
      </c>
      <c r="C1981" s="3">
        <v>3178906</v>
      </c>
      <c r="D1981" s="1" t="s">
        <v>9</v>
      </c>
      <c r="E1981" s="1">
        <v>-10.199999999999999</v>
      </c>
      <c r="F1981" s="1" t="s">
        <v>15157</v>
      </c>
    </row>
    <row r="1982" spans="1:6" ht="21" x14ac:dyDescent="0.25">
      <c r="A1982" s="2" t="str">
        <f>HYPERLINK("https://rth.dk/resources/bsgatlas/details.php?id=BSGatlas-terminator-1981","BSGatlas-terminator-1981")</f>
        <v>BSGatlas-terminator-1981</v>
      </c>
      <c r="B1982" s="3">
        <v>3179183</v>
      </c>
      <c r="C1982" s="3">
        <v>3179227</v>
      </c>
      <c r="D1982" s="1" t="s">
        <v>9</v>
      </c>
      <c r="E1982" s="1">
        <v>-10.199999999999999</v>
      </c>
      <c r="F1982" s="1" t="s">
        <v>15157</v>
      </c>
    </row>
    <row r="1983" spans="1:6" ht="21" x14ac:dyDescent="0.25">
      <c r="A1983" s="2" t="str">
        <f>HYPERLINK("https://rth.dk/resources/bsgatlas/details.php?id=BSGatlas-terminator-1982","BSGatlas-terminator-1982")</f>
        <v>BSGatlas-terminator-1982</v>
      </c>
      <c r="B1983" s="3">
        <v>3179852</v>
      </c>
      <c r="C1983" s="3">
        <v>3179896</v>
      </c>
      <c r="D1983" s="1" t="s">
        <v>9</v>
      </c>
      <c r="E1983" s="1">
        <v>-19.5</v>
      </c>
      <c r="F1983" s="1" t="s">
        <v>15157</v>
      </c>
    </row>
    <row r="1984" spans="1:6" ht="21" x14ac:dyDescent="0.25">
      <c r="A1984" s="2" t="str">
        <f>HYPERLINK("https://rth.dk/resources/bsgatlas/details.php?id=BSGatlas-terminator-1983","BSGatlas-terminator-1983")</f>
        <v>BSGatlas-terminator-1983</v>
      </c>
      <c r="B1984" s="3">
        <v>3179879</v>
      </c>
      <c r="C1984" s="3">
        <v>3179923</v>
      </c>
      <c r="D1984" s="1" t="s">
        <v>13</v>
      </c>
      <c r="E1984" s="1">
        <v>-23.8</v>
      </c>
      <c r="F1984" s="1" t="s">
        <v>15158</v>
      </c>
    </row>
    <row r="1985" spans="1:6" ht="21" x14ac:dyDescent="0.25">
      <c r="A1985" s="2" t="str">
        <f>HYPERLINK("https://rth.dk/resources/bsgatlas/details.php?id=BSGatlas-terminator-1984","BSGatlas-terminator-1984")</f>
        <v>BSGatlas-terminator-1984</v>
      </c>
      <c r="B1985" s="3">
        <v>3179994</v>
      </c>
      <c r="C1985" s="3">
        <v>3180038</v>
      </c>
      <c r="D1985" s="1" t="s">
        <v>13</v>
      </c>
      <c r="E1985" s="1">
        <v>-19.600000000000001</v>
      </c>
      <c r="F1985" s="1" t="s">
        <v>15157</v>
      </c>
    </row>
    <row r="1986" spans="1:6" ht="21" x14ac:dyDescent="0.25">
      <c r="A1986" s="2" t="str">
        <f>HYPERLINK("https://rth.dk/resources/bsgatlas/details.php?id=BSGatlas-terminator-1985","BSGatlas-terminator-1985")</f>
        <v>BSGatlas-terminator-1985</v>
      </c>
      <c r="B1986" s="3">
        <v>3183150</v>
      </c>
      <c r="C1986" s="3">
        <v>3183194</v>
      </c>
      <c r="D1986" s="1" t="s">
        <v>9</v>
      </c>
      <c r="E1986" s="1">
        <v>-15</v>
      </c>
      <c r="F1986" s="1" t="s">
        <v>15157</v>
      </c>
    </row>
    <row r="1987" spans="1:6" ht="21" x14ac:dyDescent="0.25">
      <c r="A1987" s="2" t="str">
        <f>HYPERLINK("https://rth.dk/resources/bsgatlas/details.php?id=BSGatlas-terminator-1986","BSGatlas-terminator-1986")</f>
        <v>BSGatlas-terminator-1986</v>
      </c>
      <c r="B1987" s="3">
        <v>3183206</v>
      </c>
      <c r="C1987" s="3">
        <v>3183250</v>
      </c>
      <c r="D1987" s="1" t="s">
        <v>13</v>
      </c>
      <c r="E1987" s="1">
        <v>-11.5</v>
      </c>
      <c r="F1987" s="1" t="s">
        <v>15157</v>
      </c>
    </row>
    <row r="1988" spans="1:6" ht="21" x14ac:dyDescent="0.25">
      <c r="A1988" s="2" t="str">
        <f>HYPERLINK("https://rth.dk/resources/bsgatlas/details.php?id=BSGatlas-terminator-1987","BSGatlas-terminator-1987")</f>
        <v>BSGatlas-terminator-1987</v>
      </c>
      <c r="B1988" s="3">
        <v>3183575</v>
      </c>
      <c r="C1988" s="3">
        <v>3183641</v>
      </c>
      <c r="D1988" s="1" t="s">
        <v>9</v>
      </c>
      <c r="E1988" s="1"/>
      <c r="F1988" s="1" t="s">
        <v>15159</v>
      </c>
    </row>
    <row r="1989" spans="1:6" ht="21" x14ac:dyDescent="0.25">
      <c r="A1989" s="2" t="str">
        <f>HYPERLINK("https://rth.dk/resources/bsgatlas/details.php?id=BSGatlas-terminator-1988","BSGatlas-terminator-1988")</f>
        <v>BSGatlas-terminator-1988</v>
      </c>
      <c r="B1989" s="3">
        <v>3183866</v>
      </c>
      <c r="C1989" s="3">
        <v>3183910</v>
      </c>
      <c r="D1989" s="1" t="s">
        <v>13</v>
      </c>
      <c r="E1989" s="1">
        <v>-13.6</v>
      </c>
      <c r="F1989" s="1" t="s">
        <v>15157</v>
      </c>
    </row>
    <row r="1990" spans="1:6" ht="21" x14ac:dyDescent="0.25">
      <c r="A1990" s="2" t="str">
        <f>HYPERLINK("https://rth.dk/resources/bsgatlas/details.php?id=BSGatlas-terminator-1989","BSGatlas-terminator-1989")</f>
        <v>BSGatlas-terminator-1989</v>
      </c>
      <c r="B1990" s="3">
        <v>3187266</v>
      </c>
      <c r="C1990" s="3">
        <v>3187310</v>
      </c>
      <c r="D1990" s="1" t="s">
        <v>9</v>
      </c>
      <c r="E1990" s="1">
        <v>-9.9</v>
      </c>
      <c r="F1990" s="1" t="s">
        <v>15157</v>
      </c>
    </row>
    <row r="1991" spans="1:6" ht="21" x14ac:dyDescent="0.25">
      <c r="A1991" s="2" t="str">
        <f>HYPERLINK("https://rth.dk/resources/bsgatlas/details.php?id=BSGatlas-terminator-1990","BSGatlas-terminator-1990")</f>
        <v>BSGatlas-terminator-1990</v>
      </c>
      <c r="B1991" s="3">
        <v>3188013</v>
      </c>
      <c r="C1991" s="3">
        <v>3188057</v>
      </c>
      <c r="D1991" s="1" t="s">
        <v>9</v>
      </c>
      <c r="E1991" s="1">
        <v>-10.199999999999999</v>
      </c>
      <c r="F1991" s="1" t="s">
        <v>15157</v>
      </c>
    </row>
    <row r="1992" spans="1:6" ht="21" x14ac:dyDescent="0.25">
      <c r="A1992" s="2" t="str">
        <f>HYPERLINK("https://rth.dk/resources/bsgatlas/details.php?id=BSGatlas-terminator-1991","BSGatlas-terminator-1991")</f>
        <v>BSGatlas-terminator-1991</v>
      </c>
      <c r="B1992" s="3">
        <v>3188300</v>
      </c>
      <c r="C1992" s="3">
        <v>3188344</v>
      </c>
      <c r="D1992" s="1" t="s">
        <v>9</v>
      </c>
      <c r="E1992" s="1">
        <v>-6.1</v>
      </c>
      <c r="F1992" s="1" t="s">
        <v>15157</v>
      </c>
    </row>
    <row r="1993" spans="1:6" ht="21" x14ac:dyDescent="0.25">
      <c r="A1993" s="2" t="str">
        <f>HYPERLINK("https://rth.dk/resources/bsgatlas/details.php?id=BSGatlas-terminator-1992","BSGatlas-terminator-1992")</f>
        <v>BSGatlas-terminator-1992</v>
      </c>
      <c r="B1993" s="3">
        <v>3190390</v>
      </c>
      <c r="C1993" s="3">
        <v>3190434</v>
      </c>
      <c r="D1993" s="1" t="s">
        <v>9</v>
      </c>
      <c r="E1993" s="1">
        <v>-11.9</v>
      </c>
      <c r="F1993" s="1" t="s">
        <v>15157</v>
      </c>
    </row>
    <row r="1994" spans="1:6" ht="21" x14ac:dyDescent="0.25">
      <c r="A1994" s="2" t="str">
        <f>HYPERLINK("https://rth.dk/resources/bsgatlas/details.php?id=BSGatlas-terminator-1993","BSGatlas-terminator-1993")</f>
        <v>BSGatlas-terminator-1993</v>
      </c>
      <c r="B1994" s="3">
        <v>3190458</v>
      </c>
      <c r="C1994" s="3">
        <v>3190502</v>
      </c>
      <c r="D1994" s="1" t="s">
        <v>13</v>
      </c>
      <c r="E1994" s="1">
        <v>-11.9</v>
      </c>
      <c r="F1994" s="1" t="s">
        <v>15157</v>
      </c>
    </row>
    <row r="1995" spans="1:6" ht="21" x14ac:dyDescent="0.25">
      <c r="A1995" s="2" t="str">
        <f>HYPERLINK("https://rth.dk/resources/bsgatlas/details.php?id=BSGatlas-terminator-1994","BSGatlas-terminator-1994")</f>
        <v>BSGatlas-terminator-1994</v>
      </c>
      <c r="B1995" s="3">
        <v>3191830</v>
      </c>
      <c r="C1995" s="3">
        <v>3191874</v>
      </c>
      <c r="D1995" s="1" t="s">
        <v>13</v>
      </c>
      <c r="E1995" s="1">
        <v>-5.7</v>
      </c>
      <c r="F1995" s="1" t="s">
        <v>15157</v>
      </c>
    </row>
    <row r="1996" spans="1:6" ht="21" x14ac:dyDescent="0.25">
      <c r="A1996" s="2" t="str">
        <f>HYPERLINK("https://rth.dk/resources/bsgatlas/details.php?id=BSGatlas-terminator-1995","BSGatlas-terminator-1995")</f>
        <v>BSGatlas-terminator-1995</v>
      </c>
      <c r="B1996" s="3">
        <v>3193140</v>
      </c>
      <c r="C1996" s="3">
        <v>3193184</v>
      </c>
      <c r="D1996" s="1" t="s">
        <v>9</v>
      </c>
      <c r="E1996" s="1">
        <v>-10.4</v>
      </c>
      <c r="F1996" s="1" t="s">
        <v>15157</v>
      </c>
    </row>
    <row r="1997" spans="1:6" ht="21" x14ac:dyDescent="0.25">
      <c r="A1997" s="2" t="str">
        <f>HYPERLINK("https://rth.dk/resources/bsgatlas/details.php?id=BSGatlas-terminator-1996","BSGatlas-terminator-1996")</f>
        <v>BSGatlas-terminator-1996</v>
      </c>
      <c r="B1997" s="3">
        <v>3194448</v>
      </c>
      <c r="C1997" s="3">
        <v>3194536</v>
      </c>
      <c r="D1997" s="1" t="s">
        <v>13</v>
      </c>
      <c r="E1997" s="1">
        <v>-6.2</v>
      </c>
      <c r="F1997" s="1" t="s">
        <v>15157</v>
      </c>
    </row>
    <row r="1998" spans="1:6" ht="21" x14ac:dyDescent="0.25">
      <c r="A1998" s="2" t="str">
        <f>HYPERLINK("https://rth.dk/resources/bsgatlas/details.php?id=BSGatlas-terminator-1997","BSGatlas-terminator-1997")</f>
        <v>BSGatlas-terminator-1997</v>
      </c>
      <c r="B1998" s="3">
        <v>3194570</v>
      </c>
      <c r="C1998" s="3">
        <v>3194614</v>
      </c>
      <c r="D1998" s="1" t="s">
        <v>9</v>
      </c>
      <c r="E1998" s="1">
        <v>-10.4</v>
      </c>
      <c r="F1998" s="1" t="s">
        <v>15162</v>
      </c>
    </row>
    <row r="1999" spans="1:6" ht="21" x14ac:dyDescent="0.25">
      <c r="A1999" s="2" t="str">
        <f>HYPERLINK("https://rth.dk/resources/bsgatlas/details.php?id=BSGatlas-terminator-1998","BSGatlas-terminator-1998")</f>
        <v>BSGatlas-terminator-1998</v>
      </c>
      <c r="B1999" s="3">
        <v>3194624</v>
      </c>
      <c r="C1999" s="3">
        <v>3194668</v>
      </c>
      <c r="D1999" s="1" t="s">
        <v>13</v>
      </c>
      <c r="E1999" s="1">
        <v>-6.7</v>
      </c>
      <c r="F1999" s="1" t="s">
        <v>15157</v>
      </c>
    </row>
    <row r="2000" spans="1:6" ht="21" x14ac:dyDescent="0.25">
      <c r="A2000" s="2" t="str">
        <f>HYPERLINK("https://rth.dk/resources/bsgatlas/details.php?id=BSGatlas-terminator-1999","BSGatlas-terminator-1999")</f>
        <v>BSGatlas-terminator-1999</v>
      </c>
      <c r="B2000" s="3">
        <v>3197841</v>
      </c>
      <c r="C2000" s="3">
        <v>3197885</v>
      </c>
      <c r="D2000" s="1" t="s">
        <v>9</v>
      </c>
      <c r="E2000" s="1">
        <v>-15.1</v>
      </c>
      <c r="F2000" s="1" t="s">
        <v>15157</v>
      </c>
    </row>
    <row r="2001" spans="1:6" ht="21" x14ac:dyDescent="0.25">
      <c r="A2001" s="2" t="str">
        <f>HYPERLINK("https://rth.dk/resources/bsgatlas/details.php?id=BSGatlas-terminator-2000","BSGatlas-terminator-2000")</f>
        <v>BSGatlas-terminator-2000</v>
      </c>
      <c r="B2001" s="3">
        <v>3197893</v>
      </c>
      <c r="C2001" s="3">
        <v>3197940</v>
      </c>
      <c r="D2001" s="1" t="s">
        <v>9</v>
      </c>
      <c r="E2001" s="1">
        <v>-21</v>
      </c>
      <c r="F2001" s="1" t="s">
        <v>4382</v>
      </c>
    </row>
    <row r="2002" spans="1:6" ht="21" x14ac:dyDescent="0.25">
      <c r="A2002" s="2" t="str">
        <f>HYPERLINK("https://rth.dk/resources/bsgatlas/details.php?id=BSGatlas-terminator-2001","BSGatlas-terminator-2001")</f>
        <v>BSGatlas-terminator-2001</v>
      </c>
      <c r="B2002" s="3">
        <v>3197924</v>
      </c>
      <c r="C2002" s="3">
        <v>3197968</v>
      </c>
      <c r="D2002" s="1" t="s">
        <v>13</v>
      </c>
      <c r="E2002" s="1">
        <v>-12.6</v>
      </c>
      <c r="F2002" s="1" t="s">
        <v>15157</v>
      </c>
    </row>
    <row r="2003" spans="1:6" ht="21" x14ac:dyDescent="0.25">
      <c r="A2003" s="2" t="str">
        <f>HYPERLINK("https://rth.dk/resources/bsgatlas/details.php?id=BSGatlas-terminator-2002","BSGatlas-terminator-2002")</f>
        <v>BSGatlas-terminator-2002</v>
      </c>
      <c r="B2003" s="3">
        <v>3204024</v>
      </c>
      <c r="C2003" s="3">
        <v>3204059</v>
      </c>
      <c r="D2003" s="1" t="s">
        <v>13</v>
      </c>
      <c r="E2003" s="1">
        <v>-9.8000000000000007</v>
      </c>
      <c r="F2003" s="1" t="s">
        <v>4382</v>
      </c>
    </row>
    <row r="2004" spans="1:6" ht="21" x14ac:dyDescent="0.25">
      <c r="A2004" s="2" t="str">
        <f>HYPERLINK("https://rth.dk/resources/bsgatlas/details.php?id=BSGatlas-terminator-2003","BSGatlas-terminator-2003")</f>
        <v>BSGatlas-terminator-2003</v>
      </c>
      <c r="B2004" s="3">
        <v>3204064</v>
      </c>
      <c r="C2004" s="3">
        <v>3204108</v>
      </c>
      <c r="D2004" s="1" t="s">
        <v>13</v>
      </c>
      <c r="E2004" s="1">
        <v>-8.3000000000000007</v>
      </c>
      <c r="F2004" s="1" t="s">
        <v>15157</v>
      </c>
    </row>
    <row r="2005" spans="1:6" ht="21" x14ac:dyDescent="0.25">
      <c r="A2005" s="2" t="str">
        <f>HYPERLINK("https://rth.dk/resources/bsgatlas/details.php?id=BSGatlas-terminator-2004","BSGatlas-terminator-2004")</f>
        <v>BSGatlas-terminator-2004</v>
      </c>
      <c r="B2005" s="3">
        <v>3206119</v>
      </c>
      <c r="C2005" s="3">
        <v>3206163</v>
      </c>
      <c r="D2005" s="1" t="s">
        <v>13</v>
      </c>
      <c r="E2005" s="1">
        <v>-17.600000000000001</v>
      </c>
      <c r="F2005" s="1" t="s">
        <v>15158</v>
      </c>
    </row>
    <row r="2006" spans="1:6" ht="21" x14ac:dyDescent="0.25">
      <c r="A2006" s="2" t="str">
        <f>HYPERLINK("https://rth.dk/resources/bsgatlas/details.php?id=BSGatlas-terminator-2005","BSGatlas-terminator-2005")</f>
        <v>BSGatlas-terminator-2005</v>
      </c>
      <c r="B2006" s="3">
        <v>3206142</v>
      </c>
      <c r="C2006" s="3">
        <v>3206186</v>
      </c>
      <c r="D2006" s="1" t="s">
        <v>9</v>
      </c>
      <c r="E2006" s="1">
        <v>-10.7</v>
      </c>
      <c r="F2006" s="1" t="s">
        <v>15157</v>
      </c>
    </row>
    <row r="2007" spans="1:6" ht="21" x14ac:dyDescent="0.25">
      <c r="A2007" s="2" t="str">
        <f>HYPERLINK("https://rth.dk/resources/bsgatlas/details.php?id=BSGatlas-terminator-2006","BSGatlas-terminator-2006")</f>
        <v>BSGatlas-terminator-2006</v>
      </c>
      <c r="B2007" s="3">
        <v>3210400</v>
      </c>
      <c r="C2007" s="3">
        <v>3210438</v>
      </c>
      <c r="D2007" s="1" t="s">
        <v>13</v>
      </c>
      <c r="E2007" s="1">
        <v>-13.3</v>
      </c>
      <c r="F2007" s="1" t="s">
        <v>4382</v>
      </c>
    </row>
    <row r="2008" spans="1:6" ht="21" x14ac:dyDescent="0.25">
      <c r="A2008" s="2" t="str">
        <f>HYPERLINK("https://rth.dk/resources/bsgatlas/details.php?id=BSGatlas-terminator-2007","BSGatlas-terminator-2007")</f>
        <v>BSGatlas-terminator-2007</v>
      </c>
      <c r="B2008" s="3">
        <v>3210442</v>
      </c>
      <c r="C2008" s="3">
        <v>3210486</v>
      </c>
      <c r="D2008" s="1" t="s">
        <v>13</v>
      </c>
      <c r="E2008" s="1">
        <v>-10.7</v>
      </c>
      <c r="F2008" s="1" t="s">
        <v>15157</v>
      </c>
    </row>
    <row r="2009" spans="1:6" ht="21" x14ac:dyDescent="0.25">
      <c r="A2009" s="2" t="str">
        <f>HYPERLINK("https://rth.dk/resources/bsgatlas/details.php?id=BSGatlas-terminator-2008","BSGatlas-terminator-2008")</f>
        <v>BSGatlas-terminator-2008</v>
      </c>
      <c r="B2009" s="3">
        <v>3213316</v>
      </c>
      <c r="C2009" s="3">
        <v>3213377</v>
      </c>
      <c r="D2009" s="1" t="s">
        <v>9</v>
      </c>
      <c r="E2009" s="1">
        <v>-20.6</v>
      </c>
      <c r="F2009" s="1" t="s">
        <v>4382</v>
      </c>
    </row>
    <row r="2010" spans="1:6" ht="21" x14ac:dyDescent="0.25">
      <c r="A2010" s="2" t="str">
        <f>HYPERLINK("https://rth.dk/resources/bsgatlas/details.php?id=BSGatlas-terminator-2009","BSGatlas-terminator-2009")</f>
        <v>BSGatlas-terminator-2009</v>
      </c>
      <c r="B2010" s="3">
        <v>3213346</v>
      </c>
      <c r="C2010" s="3">
        <v>3213390</v>
      </c>
      <c r="D2010" s="1" t="s">
        <v>13</v>
      </c>
      <c r="E2010" s="1">
        <v>-14.7</v>
      </c>
      <c r="F2010" s="1" t="s">
        <v>15157</v>
      </c>
    </row>
    <row r="2011" spans="1:6" ht="21" x14ac:dyDescent="0.25">
      <c r="A2011" s="2" t="str">
        <f>HYPERLINK("https://rth.dk/resources/bsgatlas/details.php?id=BSGatlas-terminator-2010","BSGatlas-terminator-2010")</f>
        <v>BSGatlas-terminator-2010</v>
      </c>
      <c r="B2011" s="3">
        <v>3214337</v>
      </c>
      <c r="C2011" s="3">
        <v>3214375</v>
      </c>
      <c r="D2011" s="1" t="s">
        <v>13</v>
      </c>
      <c r="E2011" s="1">
        <v>-9.1</v>
      </c>
      <c r="F2011" s="1" t="s">
        <v>15158</v>
      </c>
    </row>
    <row r="2012" spans="1:6" ht="21" x14ac:dyDescent="0.25">
      <c r="A2012" s="2" t="str">
        <f>HYPERLINK("https://rth.dk/resources/bsgatlas/details.php?id=BSGatlas-terminator-2011","BSGatlas-terminator-2011")</f>
        <v>BSGatlas-terminator-2011</v>
      </c>
      <c r="B2012" s="3">
        <v>3216116</v>
      </c>
      <c r="C2012" s="3">
        <v>3216182</v>
      </c>
      <c r="D2012" s="1" t="s">
        <v>9</v>
      </c>
      <c r="E2012" s="1"/>
      <c r="F2012" s="1" t="s">
        <v>15159</v>
      </c>
    </row>
    <row r="2013" spans="1:6" ht="21" x14ac:dyDescent="0.25">
      <c r="A2013" s="2" t="str">
        <f>HYPERLINK("https://rth.dk/resources/bsgatlas/details.php?id=BSGatlas-terminator-2012","BSGatlas-terminator-2012")</f>
        <v>BSGatlas-terminator-2012</v>
      </c>
      <c r="B2013" s="3">
        <v>3216120</v>
      </c>
      <c r="C2013" s="3">
        <v>3216160</v>
      </c>
      <c r="D2013" s="1" t="s">
        <v>13</v>
      </c>
      <c r="E2013" s="1">
        <v>-11.4</v>
      </c>
      <c r="F2013" s="1" t="s">
        <v>15158</v>
      </c>
    </row>
    <row r="2014" spans="1:6" ht="21" x14ac:dyDescent="0.25">
      <c r="A2014" s="2" t="str">
        <f>HYPERLINK("https://rth.dk/resources/bsgatlas/details.php?id=BSGatlas-terminator-2013","BSGatlas-terminator-2013")</f>
        <v>BSGatlas-terminator-2013</v>
      </c>
      <c r="B2014" s="3">
        <v>3217484</v>
      </c>
      <c r="C2014" s="3">
        <v>3217528</v>
      </c>
      <c r="D2014" s="1" t="s">
        <v>13</v>
      </c>
      <c r="E2014" s="1">
        <v>-13</v>
      </c>
      <c r="F2014" s="1" t="s">
        <v>15157</v>
      </c>
    </row>
    <row r="2015" spans="1:6" ht="21" x14ac:dyDescent="0.25">
      <c r="A2015" s="2" t="str">
        <f>HYPERLINK("https://rth.dk/resources/bsgatlas/details.php?id=BSGatlas-terminator-2014","BSGatlas-terminator-2014")</f>
        <v>BSGatlas-terminator-2014</v>
      </c>
      <c r="B2015" s="3">
        <v>3219756</v>
      </c>
      <c r="C2015" s="3">
        <v>3219799</v>
      </c>
      <c r="D2015" s="1" t="s">
        <v>13</v>
      </c>
      <c r="E2015" s="1">
        <v>-15</v>
      </c>
      <c r="F2015" s="1" t="s">
        <v>15158</v>
      </c>
    </row>
    <row r="2016" spans="1:6" ht="21" x14ac:dyDescent="0.25">
      <c r="A2016" s="2" t="str">
        <f>HYPERLINK("https://rth.dk/resources/bsgatlas/details.php?id=BSGatlas-terminator-2015","BSGatlas-terminator-2015")</f>
        <v>BSGatlas-terminator-2015</v>
      </c>
      <c r="B2016" s="3">
        <v>3220683</v>
      </c>
      <c r="C2016" s="3">
        <v>3220726</v>
      </c>
      <c r="D2016" s="1" t="s">
        <v>13</v>
      </c>
      <c r="E2016" s="1">
        <v>-23</v>
      </c>
      <c r="F2016" s="1" t="s">
        <v>15158</v>
      </c>
    </row>
    <row r="2017" spans="1:6" ht="21" x14ac:dyDescent="0.25">
      <c r="A2017" s="2" t="str">
        <f>HYPERLINK("https://rth.dk/resources/bsgatlas/details.php?id=BSGatlas-terminator-2016","BSGatlas-terminator-2016")</f>
        <v>BSGatlas-terminator-2016</v>
      </c>
      <c r="B2017" s="3">
        <v>3222149</v>
      </c>
      <c r="C2017" s="3">
        <v>3222192</v>
      </c>
      <c r="D2017" s="1" t="s">
        <v>13</v>
      </c>
      <c r="E2017" s="1">
        <v>-17.3</v>
      </c>
      <c r="F2017" s="1" t="s">
        <v>4382</v>
      </c>
    </row>
    <row r="2018" spans="1:6" ht="21" x14ac:dyDescent="0.25">
      <c r="A2018" s="2" t="str">
        <f>HYPERLINK("https://rth.dk/resources/bsgatlas/details.php?id=BSGatlas-terminator-2017","BSGatlas-terminator-2017")</f>
        <v>BSGatlas-terminator-2017</v>
      </c>
      <c r="B2018" s="3">
        <v>3223424</v>
      </c>
      <c r="C2018" s="3">
        <v>3223469</v>
      </c>
      <c r="D2018" s="1" t="s">
        <v>13</v>
      </c>
      <c r="E2018" s="1">
        <v>-17.2</v>
      </c>
      <c r="F2018" s="1" t="s">
        <v>15158</v>
      </c>
    </row>
    <row r="2019" spans="1:6" ht="21" x14ac:dyDescent="0.25">
      <c r="A2019" s="2" t="str">
        <f>HYPERLINK("https://rth.dk/resources/bsgatlas/details.php?id=BSGatlas-terminator-2018","BSGatlas-terminator-2018")</f>
        <v>BSGatlas-terminator-2018</v>
      </c>
      <c r="B2019" s="3">
        <v>3225038</v>
      </c>
      <c r="C2019" s="3">
        <v>3225082</v>
      </c>
      <c r="D2019" s="1" t="s">
        <v>9</v>
      </c>
      <c r="E2019" s="1">
        <v>-12</v>
      </c>
      <c r="F2019" s="1" t="s">
        <v>15157</v>
      </c>
    </row>
    <row r="2020" spans="1:6" ht="21" x14ac:dyDescent="0.25">
      <c r="A2020" s="2" t="str">
        <f>HYPERLINK("https://rth.dk/resources/bsgatlas/details.php?id=BSGatlas-terminator-2019","BSGatlas-terminator-2019")</f>
        <v>BSGatlas-terminator-2019</v>
      </c>
      <c r="B2020" s="3">
        <v>3225128</v>
      </c>
      <c r="C2020" s="3">
        <v>3225171</v>
      </c>
      <c r="D2020" s="1" t="s">
        <v>13</v>
      </c>
      <c r="E2020" s="1">
        <v>-20.399999999999999</v>
      </c>
      <c r="F2020" s="1" t="s">
        <v>15158</v>
      </c>
    </row>
    <row r="2021" spans="1:6" ht="21" x14ac:dyDescent="0.25">
      <c r="A2021" s="2" t="str">
        <f>HYPERLINK("https://rth.dk/resources/bsgatlas/details.php?id=BSGatlas-terminator-2020","BSGatlas-terminator-2020")</f>
        <v>BSGatlas-terminator-2020</v>
      </c>
      <c r="B2021" s="3">
        <v>3225133</v>
      </c>
      <c r="C2021" s="3">
        <v>3225181</v>
      </c>
      <c r="D2021" s="1" t="s">
        <v>9</v>
      </c>
      <c r="E2021" s="1">
        <v>-14.1</v>
      </c>
      <c r="F2021" s="1" t="s">
        <v>15158</v>
      </c>
    </row>
    <row r="2022" spans="1:6" ht="21" x14ac:dyDescent="0.25">
      <c r="A2022" s="2" t="str">
        <f>HYPERLINK("https://rth.dk/resources/bsgatlas/details.php?id=BSGatlas-terminator-2021","BSGatlas-terminator-2021")</f>
        <v>BSGatlas-terminator-2021</v>
      </c>
      <c r="B2022" s="3">
        <v>3228360</v>
      </c>
      <c r="C2022" s="3">
        <v>3228404</v>
      </c>
      <c r="D2022" s="1" t="s">
        <v>9</v>
      </c>
      <c r="E2022" s="1">
        <v>-6.6</v>
      </c>
      <c r="F2022" s="1" t="s">
        <v>15157</v>
      </c>
    </row>
    <row r="2023" spans="1:6" ht="21" x14ac:dyDescent="0.25">
      <c r="A2023" s="2" t="str">
        <f>HYPERLINK("https://rth.dk/resources/bsgatlas/details.php?id=BSGatlas-terminator-2022","BSGatlas-terminator-2022")</f>
        <v>BSGatlas-terminator-2022</v>
      </c>
      <c r="B2023" s="3">
        <v>3228396</v>
      </c>
      <c r="C2023" s="3">
        <v>3228430</v>
      </c>
      <c r="D2023" s="1" t="s">
        <v>13</v>
      </c>
      <c r="E2023" s="1">
        <v>-8.1</v>
      </c>
      <c r="F2023" s="1" t="s">
        <v>15158</v>
      </c>
    </row>
    <row r="2024" spans="1:6" ht="21" x14ac:dyDescent="0.25">
      <c r="A2024" s="2" t="str">
        <f>HYPERLINK("https://rth.dk/resources/bsgatlas/details.php?id=BSGatlas-terminator-2023","BSGatlas-terminator-2023")</f>
        <v>BSGatlas-terminator-2023</v>
      </c>
      <c r="B2024" s="3">
        <v>3228406</v>
      </c>
      <c r="C2024" s="3">
        <v>3228440</v>
      </c>
      <c r="D2024" s="1" t="s">
        <v>9</v>
      </c>
      <c r="E2024" s="1">
        <v>-9.4</v>
      </c>
      <c r="F2024" s="1" t="s">
        <v>4382</v>
      </c>
    </row>
    <row r="2025" spans="1:6" ht="21" x14ac:dyDescent="0.25">
      <c r="A2025" s="2" t="str">
        <f>HYPERLINK("https://rth.dk/resources/bsgatlas/details.php?id=BSGatlas-terminator-2024","BSGatlas-terminator-2024")</f>
        <v>BSGatlas-terminator-2024</v>
      </c>
      <c r="B2025" s="3">
        <v>3229950</v>
      </c>
      <c r="C2025" s="3">
        <v>3229997</v>
      </c>
      <c r="D2025" s="1" t="s">
        <v>9</v>
      </c>
      <c r="E2025" s="1">
        <v>-15.1</v>
      </c>
      <c r="F2025" s="1" t="s">
        <v>4382</v>
      </c>
    </row>
    <row r="2026" spans="1:6" ht="21" x14ac:dyDescent="0.25">
      <c r="A2026" s="2" t="str">
        <f>HYPERLINK("https://rth.dk/resources/bsgatlas/details.php?id=BSGatlas-terminator-2025","BSGatlas-terminator-2025")</f>
        <v>BSGatlas-terminator-2025</v>
      </c>
      <c r="B2026" s="3">
        <v>3231036</v>
      </c>
      <c r="C2026" s="3">
        <v>3231102</v>
      </c>
      <c r="D2026" s="1" t="s">
        <v>13</v>
      </c>
      <c r="E2026" s="1"/>
      <c r="F2026" s="1" t="s">
        <v>15159</v>
      </c>
    </row>
    <row r="2027" spans="1:6" ht="21" x14ac:dyDescent="0.25">
      <c r="A2027" s="2" t="str">
        <f>HYPERLINK("https://rth.dk/resources/bsgatlas/details.php?id=BSGatlas-terminator-2026","BSGatlas-terminator-2026")</f>
        <v>BSGatlas-terminator-2026</v>
      </c>
      <c r="B2027" s="3">
        <v>3231781</v>
      </c>
      <c r="C2027" s="3">
        <v>3231822</v>
      </c>
      <c r="D2027" s="1" t="s">
        <v>9</v>
      </c>
      <c r="E2027" s="1">
        <v>-13</v>
      </c>
      <c r="F2027" s="1" t="s">
        <v>15158</v>
      </c>
    </row>
    <row r="2028" spans="1:6" ht="21" x14ac:dyDescent="0.25">
      <c r="A2028" s="2" t="str">
        <f>HYPERLINK("https://rth.dk/resources/bsgatlas/details.php?id=BSGatlas-terminator-2027","BSGatlas-terminator-2027")</f>
        <v>BSGatlas-terminator-2027</v>
      </c>
      <c r="B2028" s="3">
        <v>3236189</v>
      </c>
      <c r="C2028" s="3">
        <v>3236233</v>
      </c>
      <c r="D2028" s="1" t="s">
        <v>9</v>
      </c>
      <c r="E2028" s="1">
        <v>-11.5</v>
      </c>
      <c r="F2028" s="1" t="s">
        <v>15157</v>
      </c>
    </row>
    <row r="2029" spans="1:6" ht="21" x14ac:dyDescent="0.25">
      <c r="A2029" s="2" t="str">
        <f>HYPERLINK("https://rth.dk/resources/bsgatlas/details.php?id=BSGatlas-terminator-2028","BSGatlas-terminator-2028")</f>
        <v>BSGatlas-terminator-2028</v>
      </c>
      <c r="B2029" s="3">
        <v>3236260</v>
      </c>
      <c r="C2029" s="3">
        <v>3236303</v>
      </c>
      <c r="D2029" s="1" t="s">
        <v>9</v>
      </c>
      <c r="E2029" s="1">
        <v>-14.6</v>
      </c>
      <c r="F2029" s="1" t="s">
        <v>4382</v>
      </c>
    </row>
    <row r="2030" spans="1:6" ht="21" x14ac:dyDescent="0.25">
      <c r="A2030" s="2" t="str">
        <f>HYPERLINK("https://rth.dk/resources/bsgatlas/details.php?id=BSGatlas-terminator-2029","BSGatlas-terminator-2029")</f>
        <v>BSGatlas-terminator-2029</v>
      </c>
      <c r="B2030" s="3">
        <v>3236441</v>
      </c>
      <c r="C2030" s="3">
        <v>3236485</v>
      </c>
      <c r="D2030" s="1" t="s">
        <v>13</v>
      </c>
      <c r="E2030" s="1">
        <v>-18.5</v>
      </c>
      <c r="F2030" s="1" t="s">
        <v>15157</v>
      </c>
    </row>
    <row r="2031" spans="1:6" ht="21" x14ac:dyDescent="0.25">
      <c r="A2031" s="2" t="str">
        <f>HYPERLINK("https://rth.dk/resources/bsgatlas/details.php?id=BSGatlas-terminator-2030","BSGatlas-terminator-2030")</f>
        <v>BSGatlas-terminator-2030</v>
      </c>
      <c r="B2031" s="3">
        <v>3239459</v>
      </c>
      <c r="C2031" s="3">
        <v>3239503</v>
      </c>
      <c r="D2031" s="1" t="s">
        <v>9</v>
      </c>
      <c r="E2031" s="1">
        <v>-19.600000000000001</v>
      </c>
      <c r="F2031" s="1" t="s">
        <v>15158</v>
      </c>
    </row>
    <row r="2032" spans="1:6" ht="21" x14ac:dyDescent="0.25">
      <c r="A2032" s="2" t="str">
        <f>HYPERLINK("https://rth.dk/resources/bsgatlas/details.php?id=BSGatlas-terminator-2031","BSGatlas-terminator-2031")</f>
        <v>BSGatlas-terminator-2031</v>
      </c>
      <c r="B2032" s="3">
        <v>3241012</v>
      </c>
      <c r="C2032" s="3">
        <v>3241062</v>
      </c>
      <c r="D2032" s="1" t="s">
        <v>9</v>
      </c>
      <c r="E2032" s="1">
        <v>-16.899999999999999</v>
      </c>
      <c r="F2032" s="1" t="s">
        <v>4382</v>
      </c>
    </row>
    <row r="2033" spans="1:6" ht="21" x14ac:dyDescent="0.25">
      <c r="A2033" s="2" t="str">
        <f>HYPERLINK("https://rth.dk/resources/bsgatlas/details.php?id=BSGatlas-terminator-2032","BSGatlas-terminator-2032")</f>
        <v>BSGatlas-terminator-2032</v>
      </c>
      <c r="B2033" s="3">
        <v>3246119</v>
      </c>
      <c r="C2033" s="3">
        <v>3246161</v>
      </c>
      <c r="D2033" s="1" t="s">
        <v>9</v>
      </c>
      <c r="E2033" s="1">
        <v>-15.8</v>
      </c>
      <c r="F2033" s="1" t="s">
        <v>15158</v>
      </c>
    </row>
    <row r="2034" spans="1:6" ht="21" x14ac:dyDescent="0.25">
      <c r="A2034" s="2" t="str">
        <f>HYPERLINK("https://rth.dk/resources/bsgatlas/details.php?id=BSGatlas-terminator-2033","BSGatlas-terminator-2033")</f>
        <v>BSGatlas-terminator-2033</v>
      </c>
      <c r="B2034" s="3">
        <v>3250461</v>
      </c>
      <c r="C2034" s="3">
        <v>3250527</v>
      </c>
      <c r="D2034" s="1" t="s">
        <v>13</v>
      </c>
      <c r="E2034" s="1"/>
      <c r="F2034" s="1" t="s">
        <v>15159</v>
      </c>
    </row>
    <row r="2035" spans="1:6" ht="21" x14ac:dyDescent="0.25">
      <c r="A2035" s="2" t="str">
        <f>HYPERLINK("https://rth.dk/resources/bsgatlas/details.php?id=BSGatlas-terminator-2034","BSGatlas-terminator-2034")</f>
        <v>BSGatlas-terminator-2034</v>
      </c>
      <c r="B2035" s="3">
        <v>3252315</v>
      </c>
      <c r="C2035" s="3">
        <v>3252359</v>
      </c>
      <c r="D2035" s="1" t="s">
        <v>9</v>
      </c>
      <c r="E2035" s="1">
        <v>-12.7</v>
      </c>
      <c r="F2035" s="1" t="s">
        <v>15157</v>
      </c>
    </row>
    <row r="2036" spans="1:6" ht="21" x14ac:dyDescent="0.25">
      <c r="A2036" s="2" t="str">
        <f>HYPERLINK("https://rth.dk/resources/bsgatlas/details.php?id=BSGatlas-terminator-2035","BSGatlas-terminator-2035")</f>
        <v>BSGatlas-terminator-2035</v>
      </c>
      <c r="B2036" s="3">
        <v>3252358</v>
      </c>
      <c r="C2036" s="3">
        <v>3252404</v>
      </c>
      <c r="D2036" s="1" t="s">
        <v>13</v>
      </c>
      <c r="E2036" s="1">
        <v>-17.2</v>
      </c>
      <c r="F2036" s="1" t="s">
        <v>15158</v>
      </c>
    </row>
    <row r="2037" spans="1:6" ht="21" x14ac:dyDescent="0.25">
      <c r="A2037" s="2" t="str">
        <f>HYPERLINK("https://rth.dk/resources/bsgatlas/details.php?id=BSGatlas-terminator-2036","BSGatlas-terminator-2036")</f>
        <v>BSGatlas-terminator-2036</v>
      </c>
      <c r="B2037" s="3">
        <v>3252369</v>
      </c>
      <c r="C2037" s="3">
        <v>3252414</v>
      </c>
      <c r="D2037" s="1" t="s">
        <v>9</v>
      </c>
      <c r="E2037" s="1">
        <v>-15.2</v>
      </c>
      <c r="F2037" s="1" t="s">
        <v>4382</v>
      </c>
    </row>
    <row r="2038" spans="1:6" ht="21" x14ac:dyDescent="0.25">
      <c r="A2038" s="2" t="str">
        <f>HYPERLINK("https://rth.dk/resources/bsgatlas/details.php?id=BSGatlas-terminator-2037","BSGatlas-terminator-2037")</f>
        <v>BSGatlas-terminator-2037</v>
      </c>
      <c r="B2038" s="3">
        <v>3253476</v>
      </c>
      <c r="C2038" s="3">
        <v>3253515</v>
      </c>
      <c r="D2038" s="1" t="s">
        <v>13</v>
      </c>
      <c r="E2038" s="1">
        <v>-15.4</v>
      </c>
      <c r="F2038" s="1" t="s">
        <v>4382</v>
      </c>
    </row>
    <row r="2039" spans="1:6" ht="21" x14ac:dyDescent="0.25">
      <c r="A2039" s="2" t="str">
        <f>HYPERLINK("https://rth.dk/resources/bsgatlas/details.php?id=BSGatlas-terminator-2038","BSGatlas-terminator-2038")</f>
        <v>BSGatlas-terminator-2038</v>
      </c>
      <c r="B2039" s="3">
        <v>3255842</v>
      </c>
      <c r="C2039" s="3">
        <v>3255877</v>
      </c>
      <c r="D2039" s="1" t="s">
        <v>13</v>
      </c>
      <c r="E2039" s="1">
        <v>-7</v>
      </c>
      <c r="F2039" s="1" t="s">
        <v>4382</v>
      </c>
    </row>
    <row r="2040" spans="1:6" ht="21" x14ac:dyDescent="0.25">
      <c r="A2040" s="2" t="str">
        <f>HYPERLINK("https://rth.dk/resources/bsgatlas/details.php?id=BSGatlas-terminator-2039","BSGatlas-terminator-2039")</f>
        <v>BSGatlas-terminator-2039</v>
      </c>
      <c r="B2040" s="3">
        <v>3257057</v>
      </c>
      <c r="C2040" s="3">
        <v>3257092</v>
      </c>
      <c r="D2040" s="1" t="s">
        <v>13</v>
      </c>
      <c r="E2040" s="1">
        <v>-10.4</v>
      </c>
      <c r="F2040" s="1" t="s">
        <v>4382</v>
      </c>
    </row>
    <row r="2041" spans="1:6" ht="21" x14ac:dyDescent="0.25">
      <c r="A2041" s="2" t="str">
        <f>HYPERLINK("https://rth.dk/resources/bsgatlas/details.php?id=BSGatlas-terminator-2040","BSGatlas-terminator-2040")</f>
        <v>BSGatlas-terminator-2040</v>
      </c>
      <c r="B2041" s="3">
        <v>3257099</v>
      </c>
      <c r="C2041" s="3">
        <v>3257143</v>
      </c>
      <c r="D2041" s="1" t="s">
        <v>13</v>
      </c>
      <c r="E2041" s="1">
        <v>-6.5</v>
      </c>
      <c r="F2041" s="1" t="s">
        <v>15157</v>
      </c>
    </row>
    <row r="2042" spans="1:6" ht="21" x14ac:dyDescent="0.25">
      <c r="A2042" s="2" t="str">
        <f>HYPERLINK("https://rth.dk/resources/bsgatlas/details.php?id=BSGatlas-terminator-2041","BSGatlas-terminator-2041")</f>
        <v>BSGatlas-terminator-2041</v>
      </c>
      <c r="B2042" s="3">
        <v>3257583</v>
      </c>
      <c r="C2042" s="3">
        <v>3257626</v>
      </c>
      <c r="D2042" s="1" t="s">
        <v>13</v>
      </c>
      <c r="E2042" s="1">
        <v>-9.6</v>
      </c>
      <c r="F2042" s="1" t="s">
        <v>15160</v>
      </c>
    </row>
    <row r="2043" spans="1:6" ht="21" x14ac:dyDescent="0.25">
      <c r="A2043" s="2" t="str">
        <f>HYPERLINK("https://rth.dk/resources/bsgatlas/details.php?id=BSGatlas-terminator-2042","BSGatlas-terminator-2042")</f>
        <v>BSGatlas-terminator-2042</v>
      </c>
      <c r="B2043" s="3">
        <v>3259311</v>
      </c>
      <c r="C2043" s="3">
        <v>3259355</v>
      </c>
      <c r="D2043" s="1" t="s">
        <v>9</v>
      </c>
      <c r="E2043" s="1">
        <v>-13.3</v>
      </c>
      <c r="F2043" s="1" t="s">
        <v>15162</v>
      </c>
    </row>
    <row r="2044" spans="1:6" ht="21" x14ac:dyDescent="0.25">
      <c r="A2044" s="2" t="str">
        <f>HYPERLINK("https://rth.dk/resources/bsgatlas/details.php?id=BSGatlas-terminator-2043","BSGatlas-terminator-2043")</f>
        <v>BSGatlas-terminator-2043</v>
      </c>
      <c r="B2044" s="3">
        <v>3259355</v>
      </c>
      <c r="C2044" s="3">
        <v>3259400</v>
      </c>
      <c r="D2044" s="1" t="s">
        <v>13</v>
      </c>
      <c r="E2044" s="1">
        <v>-19.5</v>
      </c>
      <c r="F2044" s="1" t="s">
        <v>15158</v>
      </c>
    </row>
    <row r="2045" spans="1:6" ht="21" x14ac:dyDescent="0.25">
      <c r="A2045" s="2" t="str">
        <f>HYPERLINK("https://rth.dk/resources/bsgatlas/details.php?id=BSGatlas-terminator-2044","BSGatlas-terminator-2044")</f>
        <v>BSGatlas-terminator-2044</v>
      </c>
      <c r="B2045" s="3">
        <v>3260851</v>
      </c>
      <c r="C2045" s="3">
        <v>3260895</v>
      </c>
      <c r="D2045" s="1" t="s">
        <v>9</v>
      </c>
      <c r="E2045" s="1">
        <v>-13.3</v>
      </c>
      <c r="F2045" s="1" t="s">
        <v>15157</v>
      </c>
    </row>
    <row r="2046" spans="1:6" ht="21" x14ac:dyDescent="0.25">
      <c r="A2046" s="2" t="str">
        <f>HYPERLINK("https://rth.dk/resources/bsgatlas/details.php?id=BSGatlas-terminator-2045","BSGatlas-terminator-2045")</f>
        <v>BSGatlas-terminator-2045</v>
      </c>
      <c r="B2046" s="3">
        <v>3262335</v>
      </c>
      <c r="C2046" s="3">
        <v>3262379</v>
      </c>
      <c r="D2046" s="1" t="s">
        <v>13</v>
      </c>
      <c r="E2046" s="1">
        <v>-12.6</v>
      </c>
      <c r="F2046" s="1" t="s">
        <v>15157</v>
      </c>
    </row>
    <row r="2047" spans="1:6" ht="21" x14ac:dyDescent="0.25">
      <c r="A2047" s="2" t="str">
        <f>HYPERLINK("https://rth.dk/resources/bsgatlas/details.php?id=BSGatlas-terminator-2046","BSGatlas-terminator-2046")</f>
        <v>BSGatlas-terminator-2046</v>
      </c>
      <c r="B2047" s="3">
        <v>3262523</v>
      </c>
      <c r="C2047" s="3">
        <v>3262567</v>
      </c>
      <c r="D2047" s="1" t="s">
        <v>9</v>
      </c>
      <c r="E2047" s="1">
        <v>-6.7</v>
      </c>
      <c r="F2047" s="1" t="s">
        <v>15157</v>
      </c>
    </row>
    <row r="2048" spans="1:6" ht="21" x14ac:dyDescent="0.25">
      <c r="A2048" s="2" t="str">
        <f>HYPERLINK("https://rth.dk/resources/bsgatlas/details.php?id=BSGatlas-terminator-2047","BSGatlas-terminator-2047")</f>
        <v>BSGatlas-terminator-2047</v>
      </c>
      <c r="B2048" s="3">
        <v>3264249</v>
      </c>
      <c r="C2048" s="3">
        <v>3264293</v>
      </c>
      <c r="D2048" s="1" t="s">
        <v>13</v>
      </c>
      <c r="E2048" s="1">
        <v>-9.9</v>
      </c>
      <c r="F2048" s="1" t="s">
        <v>15157</v>
      </c>
    </row>
    <row r="2049" spans="1:6" ht="21" x14ac:dyDescent="0.25">
      <c r="A2049" s="2" t="str">
        <f>HYPERLINK("https://rth.dk/resources/bsgatlas/details.php?id=BSGatlas-terminator-2048","BSGatlas-terminator-2048")</f>
        <v>BSGatlas-terminator-2048</v>
      </c>
      <c r="B2049" s="3">
        <v>3265414</v>
      </c>
      <c r="C2049" s="3">
        <v>3265458</v>
      </c>
      <c r="D2049" s="1" t="s">
        <v>13</v>
      </c>
      <c r="E2049" s="1">
        <v>-9.9</v>
      </c>
      <c r="F2049" s="1" t="s">
        <v>15157</v>
      </c>
    </row>
    <row r="2050" spans="1:6" ht="21" x14ac:dyDescent="0.25">
      <c r="A2050" s="2" t="str">
        <f>HYPERLINK("https://rth.dk/resources/bsgatlas/details.php?id=BSGatlas-terminator-2049","BSGatlas-terminator-2049")</f>
        <v>BSGatlas-terminator-2049</v>
      </c>
      <c r="B2050" s="3">
        <v>3274461</v>
      </c>
      <c r="C2050" s="3">
        <v>3274505</v>
      </c>
      <c r="D2050" s="1" t="s">
        <v>13</v>
      </c>
      <c r="E2050" s="1">
        <v>-16</v>
      </c>
      <c r="F2050" s="1" t="s">
        <v>15157</v>
      </c>
    </row>
    <row r="2051" spans="1:6" ht="21" x14ac:dyDescent="0.25">
      <c r="A2051" s="2" t="str">
        <f>HYPERLINK("https://rth.dk/resources/bsgatlas/details.php?id=BSGatlas-terminator-2050","BSGatlas-terminator-2050")</f>
        <v>BSGatlas-terminator-2050</v>
      </c>
      <c r="B2051" s="3">
        <v>3276129</v>
      </c>
      <c r="C2051" s="3">
        <v>3276173</v>
      </c>
      <c r="D2051" s="1" t="s">
        <v>13</v>
      </c>
      <c r="E2051" s="1">
        <v>-16</v>
      </c>
      <c r="F2051" s="1" t="s">
        <v>15157</v>
      </c>
    </row>
    <row r="2052" spans="1:6" ht="21" x14ac:dyDescent="0.25">
      <c r="A2052" s="2" t="str">
        <f>HYPERLINK("https://rth.dk/resources/bsgatlas/details.php?id=BSGatlas-terminator-2051","BSGatlas-terminator-2051")</f>
        <v>BSGatlas-terminator-2051</v>
      </c>
      <c r="B2052" s="3">
        <v>3276406</v>
      </c>
      <c r="C2052" s="3">
        <v>3276450</v>
      </c>
      <c r="D2052" s="1" t="s">
        <v>9</v>
      </c>
      <c r="E2052" s="1">
        <v>-17.100000000000001</v>
      </c>
      <c r="F2052" s="1" t="s">
        <v>15157</v>
      </c>
    </row>
    <row r="2053" spans="1:6" ht="21" x14ac:dyDescent="0.25">
      <c r="A2053" s="2" t="str">
        <f>HYPERLINK("https://rth.dk/resources/bsgatlas/details.php?id=BSGatlas-terminator-2052","BSGatlas-terminator-2052")</f>
        <v>BSGatlas-terminator-2052</v>
      </c>
      <c r="B2053" s="3">
        <v>3279473</v>
      </c>
      <c r="C2053" s="3">
        <v>3279495</v>
      </c>
      <c r="D2053" s="1" t="s">
        <v>9</v>
      </c>
      <c r="E2053" s="1">
        <v>-14.8</v>
      </c>
      <c r="F2053" s="1" t="s">
        <v>15161</v>
      </c>
    </row>
    <row r="2054" spans="1:6" ht="21" x14ac:dyDescent="0.25">
      <c r="A2054" s="2" t="str">
        <f>HYPERLINK("https://rth.dk/resources/bsgatlas/details.php?id=BSGatlas-terminator-2053","BSGatlas-terminator-2053")</f>
        <v>BSGatlas-terminator-2053</v>
      </c>
      <c r="B2054" s="3">
        <v>3280212</v>
      </c>
      <c r="C2054" s="3">
        <v>3280256</v>
      </c>
      <c r="D2054" s="1" t="s">
        <v>9</v>
      </c>
      <c r="E2054" s="1">
        <v>-12</v>
      </c>
      <c r="F2054" s="1" t="s">
        <v>15157</v>
      </c>
    </row>
    <row r="2055" spans="1:6" ht="21" x14ac:dyDescent="0.25">
      <c r="A2055" s="2" t="str">
        <f>HYPERLINK("https://rth.dk/resources/bsgatlas/details.php?id=BSGatlas-terminator-2054","BSGatlas-terminator-2054")</f>
        <v>BSGatlas-terminator-2054</v>
      </c>
      <c r="B2055" s="3">
        <v>3280246</v>
      </c>
      <c r="C2055" s="3">
        <v>3280286</v>
      </c>
      <c r="D2055" s="1" t="s">
        <v>13</v>
      </c>
      <c r="E2055" s="1">
        <v>-15.4</v>
      </c>
      <c r="F2055" s="1" t="s">
        <v>15158</v>
      </c>
    </row>
    <row r="2056" spans="1:6" ht="21" x14ac:dyDescent="0.25">
      <c r="A2056" s="2" t="str">
        <f>HYPERLINK("https://rth.dk/resources/bsgatlas/details.php?id=BSGatlas-terminator-2055","BSGatlas-terminator-2055")</f>
        <v>BSGatlas-terminator-2055</v>
      </c>
      <c r="B2056" s="3">
        <v>3292395</v>
      </c>
      <c r="C2056" s="3">
        <v>3292453</v>
      </c>
      <c r="D2056" s="1" t="s">
        <v>13</v>
      </c>
      <c r="E2056" s="1">
        <v>-16.399999999999999</v>
      </c>
      <c r="F2056" s="1" t="s">
        <v>4382</v>
      </c>
    </row>
    <row r="2057" spans="1:6" ht="21" x14ac:dyDescent="0.25">
      <c r="A2057" s="2" t="str">
        <f>HYPERLINK("https://rth.dk/resources/bsgatlas/details.php?id=BSGatlas-terminator-2056","BSGatlas-terminator-2056")</f>
        <v>BSGatlas-terminator-2056</v>
      </c>
      <c r="B2057" s="3">
        <v>3294836</v>
      </c>
      <c r="C2057" s="3">
        <v>3294880</v>
      </c>
      <c r="D2057" s="1" t="s">
        <v>9</v>
      </c>
      <c r="E2057" s="1">
        <v>-6.3</v>
      </c>
      <c r="F2057" s="1" t="s">
        <v>15157</v>
      </c>
    </row>
    <row r="2058" spans="1:6" ht="21" x14ac:dyDescent="0.25">
      <c r="A2058" s="2" t="str">
        <f>HYPERLINK("https://rth.dk/resources/bsgatlas/details.php?id=BSGatlas-terminator-2057","BSGatlas-terminator-2057")</f>
        <v>BSGatlas-terminator-2057</v>
      </c>
      <c r="B2058" s="3">
        <v>3294936</v>
      </c>
      <c r="C2058" s="3">
        <v>3294980</v>
      </c>
      <c r="D2058" s="1" t="s">
        <v>13</v>
      </c>
      <c r="E2058" s="1">
        <v>-15.4</v>
      </c>
      <c r="F2058" s="1" t="s">
        <v>15157</v>
      </c>
    </row>
    <row r="2059" spans="1:6" ht="21" x14ac:dyDescent="0.25">
      <c r="A2059" s="2" t="str">
        <f>HYPERLINK("https://rth.dk/resources/bsgatlas/details.php?id=BSGatlas-terminator-2058","BSGatlas-terminator-2058")</f>
        <v>BSGatlas-terminator-2058</v>
      </c>
      <c r="B2059" s="3">
        <v>3296410</v>
      </c>
      <c r="C2059" s="3">
        <v>3296454</v>
      </c>
      <c r="D2059" s="1" t="s">
        <v>13</v>
      </c>
      <c r="E2059" s="1">
        <v>-16</v>
      </c>
      <c r="F2059" s="1" t="s">
        <v>15157</v>
      </c>
    </row>
    <row r="2060" spans="1:6" ht="21" x14ac:dyDescent="0.25">
      <c r="A2060" s="2" t="str">
        <f>HYPERLINK("https://rth.dk/resources/bsgatlas/details.php?id=BSGatlas-terminator-2059","BSGatlas-terminator-2059")</f>
        <v>BSGatlas-terminator-2059</v>
      </c>
      <c r="B2060" s="3">
        <v>3298480</v>
      </c>
      <c r="C2060" s="3">
        <v>3298524</v>
      </c>
      <c r="D2060" s="1" t="s">
        <v>9</v>
      </c>
      <c r="E2060" s="1">
        <v>-11.6</v>
      </c>
      <c r="F2060" s="1" t="s">
        <v>15157</v>
      </c>
    </row>
    <row r="2061" spans="1:6" ht="21" x14ac:dyDescent="0.25">
      <c r="A2061" s="2" t="str">
        <f>HYPERLINK("https://rth.dk/resources/bsgatlas/details.php?id=BSGatlas-terminator-2060","BSGatlas-terminator-2060")</f>
        <v>BSGatlas-terminator-2060</v>
      </c>
      <c r="B2061" s="3">
        <v>3298545</v>
      </c>
      <c r="C2061" s="3">
        <v>3298591</v>
      </c>
      <c r="D2061" s="1" t="s">
        <v>13</v>
      </c>
      <c r="E2061" s="1">
        <v>-17.3</v>
      </c>
      <c r="F2061" s="1" t="s">
        <v>15158</v>
      </c>
    </row>
    <row r="2062" spans="1:6" ht="21" x14ac:dyDescent="0.25">
      <c r="A2062" s="2" t="str">
        <f>HYPERLINK("https://rth.dk/resources/bsgatlas/details.php?id=BSGatlas-terminator-2061","BSGatlas-terminator-2061")</f>
        <v>BSGatlas-terminator-2061</v>
      </c>
      <c r="B2062" s="3">
        <v>3299311</v>
      </c>
      <c r="C2062" s="3">
        <v>3299355</v>
      </c>
      <c r="D2062" s="1" t="s">
        <v>9</v>
      </c>
      <c r="E2062" s="1">
        <v>-7.9</v>
      </c>
      <c r="F2062" s="1" t="s">
        <v>15157</v>
      </c>
    </row>
    <row r="2063" spans="1:6" ht="21" x14ac:dyDescent="0.25">
      <c r="A2063" s="2" t="str">
        <f>HYPERLINK("https://rth.dk/resources/bsgatlas/details.php?id=BSGatlas-terminator-2062","BSGatlas-terminator-2062")</f>
        <v>BSGatlas-terminator-2062</v>
      </c>
      <c r="B2063" s="3">
        <v>3299336</v>
      </c>
      <c r="C2063" s="3">
        <v>3299380</v>
      </c>
      <c r="D2063" s="1" t="s">
        <v>13</v>
      </c>
      <c r="E2063" s="1">
        <v>-7.6</v>
      </c>
      <c r="F2063" s="1" t="s">
        <v>15157</v>
      </c>
    </row>
    <row r="2064" spans="1:6" ht="21" x14ac:dyDescent="0.25">
      <c r="A2064" s="2" t="str">
        <f>HYPERLINK("https://rth.dk/resources/bsgatlas/details.php?id=BSGatlas-terminator-2063","BSGatlas-terminator-2063")</f>
        <v>BSGatlas-terminator-2063</v>
      </c>
      <c r="B2064" s="3">
        <v>3299634</v>
      </c>
      <c r="C2064" s="3">
        <v>3299678</v>
      </c>
      <c r="D2064" s="1" t="s">
        <v>9</v>
      </c>
      <c r="E2064" s="1">
        <v>-7.9</v>
      </c>
      <c r="F2064" s="1" t="s">
        <v>15157</v>
      </c>
    </row>
    <row r="2065" spans="1:6" ht="21" x14ac:dyDescent="0.25">
      <c r="A2065" s="2" t="str">
        <f>HYPERLINK("https://rth.dk/resources/bsgatlas/details.php?id=BSGatlas-terminator-2064","BSGatlas-terminator-2064")</f>
        <v>BSGatlas-terminator-2064</v>
      </c>
      <c r="B2065" s="3">
        <v>3300040</v>
      </c>
      <c r="C2065" s="3">
        <v>3300084</v>
      </c>
      <c r="D2065" s="1" t="s">
        <v>13</v>
      </c>
      <c r="E2065" s="1">
        <v>-8.9</v>
      </c>
      <c r="F2065" s="1" t="s">
        <v>15157</v>
      </c>
    </row>
    <row r="2066" spans="1:6" ht="21" x14ac:dyDescent="0.25">
      <c r="A2066" s="2" t="str">
        <f>HYPERLINK("https://rth.dk/resources/bsgatlas/details.php?id=BSGatlas-terminator-2065","BSGatlas-terminator-2065")</f>
        <v>BSGatlas-terminator-2065</v>
      </c>
      <c r="B2066" s="3">
        <v>3300219</v>
      </c>
      <c r="C2066" s="3">
        <v>3300285</v>
      </c>
      <c r="D2066" s="1" t="s">
        <v>9</v>
      </c>
      <c r="E2066" s="1"/>
      <c r="F2066" s="1" t="s">
        <v>15159</v>
      </c>
    </row>
    <row r="2067" spans="1:6" ht="21" x14ac:dyDescent="0.25">
      <c r="A2067" s="2" t="str">
        <f>HYPERLINK("https://rth.dk/resources/bsgatlas/details.php?id=BSGatlas-terminator-2066","BSGatlas-terminator-2066")</f>
        <v>BSGatlas-terminator-2066</v>
      </c>
      <c r="B2067" s="3">
        <v>3302538</v>
      </c>
      <c r="C2067" s="3">
        <v>3302582</v>
      </c>
      <c r="D2067" s="1" t="s">
        <v>9</v>
      </c>
      <c r="E2067" s="1">
        <v>-12.8</v>
      </c>
      <c r="F2067" s="1" t="s">
        <v>15157</v>
      </c>
    </row>
    <row r="2068" spans="1:6" ht="21" x14ac:dyDescent="0.25">
      <c r="A2068" s="2" t="str">
        <f>HYPERLINK("https://rth.dk/resources/bsgatlas/details.php?id=BSGatlas-terminator-2067","BSGatlas-terminator-2067")</f>
        <v>BSGatlas-terminator-2067</v>
      </c>
      <c r="B2068" s="3">
        <v>3302613</v>
      </c>
      <c r="C2068" s="3">
        <v>3302657</v>
      </c>
      <c r="D2068" s="1" t="s">
        <v>13</v>
      </c>
      <c r="E2068" s="1">
        <v>-12.8</v>
      </c>
      <c r="F2068" s="1" t="s">
        <v>15157</v>
      </c>
    </row>
    <row r="2069" spans="1:6" ht="21" x14ac:dyDescent="0.25">
      <c r="A2069" s="2" t="str">
        <f>HYPERLINK("https://rth.dk/resources/bsgatlas/details.php?id=BSGatlas-terminator-2068","BSGatlas-terminator-2068")</f>
        <v>BSGatlas-terminator-2068</v>
      </c>
      <c r="B2069" s="3">
        <v>3303968</v>
      </c>
      <c r="C2069" s="3">
        <v>3304012</v>
      </c>
      <c r="D2069" s="1" t="s">
        <v>9</v>
      </c>
      <c r="E2069" s="1">
        <v>-16.2</v>
      </c>
      <c r="F2069" s="1" t="s">
        <v>15157</v>
      </c>
    </row>
    <row r="2070" spans="1:6" ht="21" x14ac:dyDescent="0.25">
      <c r="A2070" s="2" t="str">
        <f>HYPERLINK("https://rth.dk/resources/bsgatlas/details.php?id=BSGatlas-terminator-2069","BSGatlas-terminator-2069")</f>
        <v>BSGatlas-terminator-2069</v>
      </c>
      <c r="B2070" s="3">
        <v>3304029</v>
      </c>
      <c r="C2070" s="3">
        <v>3304081</v>
      </c>
      <c r="D2070" s="1" t="s">
        <v>9</v>
      </c>
      <c r="E2070" s="1">
        <v>-20.9</v>
      </c>
      <c r="F2070" s="1" t="s">
        <v>4382</v>
      </c>
    </row>
    <row r="2071" spans="1:6" ht="21" x14ac:dyDescent="0.25">
      <c r="A2071" s="2" t="str">
        <f>HYPERLINK("https://rth.dk/resources/bsgatlas/details.php?id=BSGatlas-terminator-2070","BSGatlas-terminator-2070")</f>
        <v>BSGatlas-terminator-2070</v>
      </c>
      <c r="B2071" s="3">
        <v>3304073</v>
      </c>
      <c r="C2071" s="3">
        <v>3304117</v>
      </c>
      <c r="D2071" s="1" t="s">
        <v>13</v>
      </c>
      <c r="E2071" s="1">
        <v>-16.2</v>
      </c>
      <c r="F2071" s="1" t="s">
        <v>15157</v>
      </c>
    </row>
    <row r="2072" spans="1:6" ht="21" x14ac:dyDescent="0.25">
      <c r="A2072" s="2" t="str">
        <f>HYPERLINK("https://rth.dk/resources/bsgatlas/details.php?id=BSGatlas-terminator-2071","BSGatlas-terminator-2071")</f>
        <v>BSGatlas-terminator-2071</v>
      </c>
      <c r="B2072" s="3">
        <v>3305562</v>
      </c>
      <c r="C2072" s="3">
        <v>3305606</v>
      </c>
      <c r="D2072" s="1" t="s">
        <v>13</v>
      </c>
      <c r="E2072" s="1">
        <v>-18.7</v>
      </c>
      <c r="F2072" s="1" t="s">
        <v>15157</v>
      </c>
    </row>
    <row r="2073" spans="1:6" ht="21" x14ac:dyDescent="0.25">
      <c r="A2073" s="2" t="str">
        <f>HYPERLINK("https://rth.dk/resources/bsgatlas/details.php?id=BSGatlas-terminator-2072","BSGatlas-terminator-2072")</f>
        <v>BSGatlas-terminator-2072</v>
      </c>
      <c r="B2073" s="3">
        <v>3308302</v>
      </c>
      <c r="C2073" s="3">
        <v>3308346</v>
      </c>
      <c r="D2073" s="1" t="s">
        <v>9</v>
      </c>
      <c r="E2073" s="1">
        <v>-10.5</v>
      </c>
      <c r="F2073" s="1" t="s">
        <v>15157</v>
      </c>
    </row>
    <row r="2074" spans="1:6" ht="21" x14ac:dyDescent="0.25">
      <c r="A2074" s="2" t="str">
        <f>HYPERLINK("https://rth.dk/resources/bsgatlas/details.php?id=BSGatlas-terminator-2073","BSGatlas-terminator-2073")</f>
        <v>BSGatlas-terminator-2073</v>
      </c>
      <c r="B2074" s="3">
        <v>3308364</v>
      </c>
      <c r="C2074" s="3">
        <v>3308408</v>
      </c>
      <c r="D2074" s="1" t="s">
        <v>13</v>
      </c>
      <c r="E2074" s="1">
        <v>-10.5</v>
      </c>
      <c r="F2074" s="1" t="s">
        <v>15157</v>
      </c>
    </row>
    <row r="2075" spans="1:6" ht="21" x14ac:dyDescent="0.25">
      <c r="A2075" s="2" t="str">
        <f>HYPERLINK("https://rth.dk/resources/bsgatlas/details.php?id=BSGatlas-terminator-2074","BSGatlas-terminator-2074")</f>
        <v>BSGatlas-terminator-2074</v>
      </c>
      <c r="B2075" s="3">
        <v>3309896</v>
      </c>
      <c r="C2075" s="3">
        <v>3309940</v>
      </c>
      <c r="D2075" s="1" t="s">
        <v>9</v>
      </c>
      <c r="E2075" s="1">
        <v>-10.8</v>
      </c>
      <c r="F2075" s="1" t="s">
        <v>15157</v>
      </c>
    </row>
    <row r="2076" spans="1:6" ht="21" x14ac:dyDescent="0.25">
      <c r="A2076" s="2" t="str">
        <f>HYPERLINK("https://rth.dk/resources/bsgatlas/details.php?id=BSGatlas-terminator-2075","BSGatlas-terminator-2075")</f>
        <v>BSGatlas-terminator-2075</v>
      </c>
      <c r="B2076" s="3">
        <v>3309961</v>
      </c>
      <c r="C2076" s="3">
        <v>3310005</v>
      </c>
      <c r="D2076" s="1" t="s">
        <v>13</v>
      </c>
      <c r="E2076" s="1">
        <v>-10.8</v>
      </c>
      <c r="F2076" s="1" t="s">
        <v>15157</v>
      </c>
    </row>
    <row r="2077" spans="1:6" ht="21" x14ac:dyDescent="0.25">
      <c r="A2077" s="2" t="str">
        <f>HYPERLINK("https://rth.dk/resources/bsgatlas/details.php?id=BSGatlas-terminator-2076","BSGatlas-terminator-2076")</f>
        <v>BSGatlas-terminator-2076</v>
      </c>
      <c r="B2077" s="3">
        <v>3310489</v>
      </c>
      <c r="C2077" s="3">
        <v>3310533</v>
      </c>
      <c r="D2077" s="1" t="s">
        <v>13</v>
      </c>
      <c r="E2077" s="1">
        <v>-21.2</v>
      </c>
      <c r="F2077" s="1" t="s">
        <v>15157</v>
      </c>
    </row>
    <row r="2078" spans="1:6" ht="21" x14ac:dyDescent="0.25">
      <c r="A2078" s="2" t="str">
        <f>HYPERLINK("https://rth.dk/resources/bsgatlas/details.php?id=BSGatlas-terminator-2077","BSGatlas-terminator-2077")</f>
        <v>BSGatlas-terminator-2077</v>
      </c>
      <c r="B2078" s="3">
        <v>3310677</v>
      </c>
      <c r="C2078" s="3">
        <v>3310721</v>
      </c>
      <c r="D2078" s="1" t="s">
        <v>9</v>
      </c>
      <c r="E2078" s="1">
        <v>-19.5</v>
      </c>
      <c r="F2078" s="1" t="s">
        <v>15157</v>
      </c>
    </row>
    <row r="2079" spans="1:6" ht="21" x14ac:dyDescent="0.25">
      <c r="A2079" s="2" t="str">
        <f>HYPERLINK("https://rth.dk/resources/bsgatlas/details.php?id=BSGatlas-terminator-2078","BSGatlas-terminator-2078")</f>
        <v>BSGatlas-terminator-2078</v>
      </c>
      <c r="B2079" s="3">
        <v>3310753</v>
      </c>
      <c r="C2079" s="3">
        <v>3310797</v>
      </c>
      <c r="D2079" s="1" t="s">
        <v>13</v>
      </c>
      <c r="E2079" s="1">
        <v>-21.2</v>
      </c>
      <c r="F2079" s="1" t="s">
        <v>15157</v>
      </c>
    </row>
    <row r="2080" spans="1:6" ht="21" x14ac:dyDescent="0.25">
      <c r="A2080" s="2" t="str">
        <f>HYPERLINK("https://rth.dk/resources/bsgatlas/details.php?id=BSGatlas-terminator-2079","BSGatlas-terminator-2079")</f>
        <v>BSGatlas-terminator-2079</v>
      </c>
      <c r="B2080" s="3">
        <v>3312835</v>
      </c>
      <c r="C2080" s="3">
        <v>3312879</v>
      </c>
      <c r="D2080" s="1" t="s">
        <v>13</v>
      </c>
      <c r="E2080" s="1">
        <v>-10.3</v>
      </c>
      <c r="F2080" s="1" t="s">
        <v>15157</v>
      </c>
    </row>
    <row r="2081" spans="1:6" ht="21" x14ac:dyDescent="0.25">
      <c r="A2081" s="2" t="str">
        <f>HYPERLINK("https://rth.dk/resources/bsgatlas/details.php?id=BSGatlas-terminator-2080","BSGatlas-terminator-2080")</f>
        <v>BSGatlas-terminator-2080</v>
      </c>
      <c r="B2081" s="3">
        <v>3318035</v>
      </c>
      <c r="C2081" s="3">
        <v>3318079</v>
      </c>
      <c r="D2081" s="1" t="s">
        <v>13</v>
      </c>
      <c r="E2081" s="1">
        <v>-15.6</v>
      </c>
      <c r="F2081" s="1" t="s">
        <v>15157</v>
      </c>
    </row>
    <row r="2082" spans="1:6" ht="21" x14ac:dyDescent="0.25">
      <c r="A2082" s="2" t="str">
        <f>HYPERLINK("https://rth.dk/resources/bsgatlas/details.php?id=BSGatlas-terminator-2081","BSGatlas-terminator-2081")</f>
        <v>BSGatlas-terminator-2081</v>
      </c>
      <c r="B2082" s="3">
        <v>3320247</v>
      </c>
      <c r="C2082" s="3">
        <v>3320291</v>
      </c>
      <c r="D2082" s="1" t="s">
        <v>9</v>
      </c>
      <c r="E2082" s="1">
        <v>-9.6</v>
      </c>
      <c r="F2082" s="1" t="s">
        <v>15157</v>
      </c>
    </row>
    <row r="2083" spans="1:6" ht="21" x14ac:dyDescent="0.25">
      <c r="A2083" s="2" t="str">
        <f>HYPERLINK("https://rth.dk/resources/bsgatlas/details.php?id=BSGatlas-terminator-2082","BSGatlas-terminator-2082")</f>
        <v>BSGatlas-terminator-2082</v>
      </c>
      <c r="B2083" s="3">
        <v>3320323</v>
      </c>
      <c r="C2083" s="3">
        <v>3320367</v>
      </c>
      <c r="D2083" s="1" t="s">
        <v>13</v>
      </c>
      <c r="E2083" s="1">
        <v>-9.6</v>
      </c>
      <c r="F2083" s="1" t="s">
        <v>15157</v>
      </c>
    </row>
    <row r="2084" spans="1:6" ht="21" x14ac:dyDescent="0.25">
      <c r="A2084" s="2" t="str">
        <f>HYPERLINK("https://rth.dk/resources/bsgatlas/details.php?id=BSGatlas-terminator-2083","BSGatlas-terminator-2083")</f>
        <v>BSGatlas-terminator-2083</v>
      </c>
      <c r="B2084" s="3">
        <v>3322405</v>
      </c>
      <c r="C2084" s="3">
        <v>3322449</v>
      </c>
      <c r="D2084" s="1" t="s">
        <v>9</v>
      </c>
      <c r="E2084" s="1">
        <v>-20</v>
      </c>
      <c r="F2084" s="1" t="s">
        <v>15157</v>
      </c>
    </row>
    <row r="2085" spans="1:6" ht="21" x14ac:dyDescent="0.25">
      <c r="A2085" s="2" t="str">
        <f>HYPERLINK("https://rth.dk/resources/bsgatlas/details.php?id=BSGatlas-terminator-2084","BSGatlas-terminator-2084")</f>
        <v>BSGatlas-terminator-2084</v>
      </c>
      <c r="B2085" s="3">
        <v>3322427</v>
      </c>
      <c r="C2085" s="3">
        <v>3322467</v>
      </c>
      <c r="D2085" s="1" t="s">
        <v>13</v>
      </c>
      <c r="E2085" s="1">
        <v>-15.3</v>
      </c>
      <c r="F2085" s="1" t="s">
        <v>15158</v>
      </c>
    </row>
    <row r="2086" spans="1:6" ht="21" x14ac:dyDescent="0.25">
      <c r="A2086" s="2" t="str">
        <f>HYPERLINK("https://rth.dk/resources/bsgatlas/details.php?id=BSGatlas-terminator-2085","BSGatlas-terminator-2085")</f>
        <v>BSGatlas-terminator-2085</v>
      </c>
      <c r="B2086" s="3">
        <v>3323286</v>
      </c>
      <c r="C2086" s="3">
        <v>3323330</v>
      </c>
      <c r="D2086" s="1" t="s">
        <v>13</v>
      </c>
      <c r="E2086" s="1">
        <v>-18.899999999999999</v>
      </c>
      <c r="F2086" s="1" t="s">
        <v>15157</v>
      </c>
    </row>
    <row r="2087" spans="1:6" ht="21" x14ac:dyDescent="0.25">
      <c r="A2087" s="2" t="str">
        <f>HYPERLINK("https://rth.dk/resources/bsgatlas/details.php?id=BSGatlas-terminator-2086","BSGatlas-terminator-2086")</f>
        <v>BSGatlas-terminator-2086</v>
      </c>
      <c r="B2087" s="3">
        <v>3327209</v>
      </c>
      <c r="C2087" s="3">
        <v>3327250</v>
      </c>
      <c r="D2087" s="1" t="s">
        <v>13</v>
      </c>
      <c r="E2087" s="1">
        <v>-18.2</v>
      </c>
      <c r="F2087" s="1" t="s">
        <v>4382</v>
      </c>
    </row>
    <row r="2088" spans="1:6" ht="21" x14ac:dyDescent="0.25">
      <c r="A2088" s="2" t="str">
        <f>HYPERLINK("https://rth.dk/resources/bsgatlas/details.php?id=BSGatlas-terminator-2087","BSGatlas-terminator-2087")</f>
        <v>BSGatlas-terminator-2087</v>
      </c>
      <c r="B2088" s="3">
        <v>3327253</v>
      </c>
      <c r="C2088" s="3">
        <v>3327297</v>
      </c>
      <c r="D2088" s="1" t="s">
        <v>13</v>
      </c>
      <c r="E2088" s="1">
        <v>-15.4</v>
      </c>
      <c r="F2088" s="1" t="s">
        <v>15157</v>
      </c>
    </row>
    <row r="2089" spans="1:6" ht="21" x14ac:dyDescent="0.25">
      <c r="A2089" s="2" t="str">
        <f>HYPERLINK("https://rth.dk/resources/bsgatlas/details.php?id=BSGatlas-terminator-2088","BSGatlas-terminator-2088")</f>
        <v>BSGatlas-terminator-2088</v>
      </c>
      <c r="B2089" s="3">
        <v>3328309</v>
      </c>
      <c r="C2089" s="3">
        <v>3328353</v>
      </c>
      <c r="D2089" s="1" t="s">
        <v>13</v>
      </c>
      <c r="E2089" s="1">
        <v>-15.4</v>
      </c>
      <c r="F2089" s="1" t="s">
        <v>15157</v>
      </c>
    </row>
    <row r="2090" spans="1:6" ht="21" x14ac:dyDescent="0.25">
      <c r="A2090" s="2" t="str">
        <f>HYPERLINK("https://rth.dk/resources/bsgatlas/details.php?id=BSGatlas-terminator-2089","BSGatlas-terminator-2089")</f>
        <v>BSGatlas-terminator-2089</v>
      </c>
      <c r="B2090" s="3">
        <v>3334943</v>
      </c>
      <c r="C2090" s="3">
        <v>3334987</v>
      </c>
      <c r="D2090" s="1" t="s">
        <v>9</v>
      </c>
      <c r="E2090" s="1">
        <v>-14.2</v>
      </c>
      <c r="F2090" s="1" t="s">
        <v>15157</v>
      </c>
    </row>
    <row r="2091" spans="1:6" ht="21" x14ac:dyDescent="0.25">
      <c r="A2091" s="2" t="str">
        <f>HYPERLINK("https://rth.dk/resources/bsgatlas/details.php?id=BSGatlas-terminator-2090","BSGatlas-terminator-2090")</f>
        <v>BSGatlas-terminator-2090</v>
      </c>
      <c r="B2091" s="3">
        <v>3334993</v>
      </c>
      <c r="C2091" s="3">
        <v>3335031</v>
      </c>
      <c r="D2091" s="1" t="s">
        <v>9</v>
      </c>
      <c r="E2091" s="1">
        <v>-17.399999999999999</v>
      </c>
      <c r="F2091" s="1" t="s">
        <v>4382</v>
      </c>
    </row>
    <row r="2092" spans="1:6" ht="21" x14ac:dyDescent="0.25">
      <c r="A2092" s="2" t="str">
        <f>HYPERLINK("https://rth.dk/resources/bsgatlas/details.php?id=BSGatlas-terminator-2091","BSGatlas-terminator-2091")</f>
        <v>BSGatlas-terminator-2091</v>
      </c>
      <c r="B2092" s="3">
        <v>3335559</v>
      </c>
      <c r="C2092" s="3">
        <v>3335603</v>
      </c>
      <c r="D2092" s="1" t="s">
        <v>9</v>
      </c>
      <c r="E2092" s="1">
        <v>-14.2</v>
      </c>
      <c r="F2092" s="1" t="s">
        <v>15162</v>
      </c>
    </row>
    <row r="2093" spans="1:6" ht="21" x14ac:dyDescent="0.25">
      <c r="A2093" s="2" t="str">
        <f>HYPERLINK("https://rth.dk/resources/bsgatlas/details.php?id=BSGatlas-terminator-2092","BSGatlas-terminator-2092")</f>
        <v>BSGatlas-terminator-2092</v>
      </c>
      <c r="B2093" s="3">
        <v>3335727</v>
      </c>
      <c r="C2093" s="3">
        <v>3335768</v>
      </c>
      <c r="D2093" s="1" t="s">
        <v>13</v>
      </c>
      <c r="E2093" s="1">
        <v>-16.7</v>
      </c>
      <c r="F2093" s="1" t="s">
        <v>4382</v>
      </c>
    </row>
    <row r="2094" spans="1:6" ht="21" x14ac:dyDescent="0.25">
      <c r="A2094" s="2" t="str">
        <f>HYPERLINK("https://rth.dk/resources/bsgatlas/details.php?id=BSGatlas-terminator-2093","BSGatlas-terminator-2093")</f>
        <v>BSGatlas-terminator-2093</v>
      </c>
      <c r="B2094" s="3">
        <v>3339418</v>
      </c>
      <c r="C2094" s="3">
        <v>3339462</v>
      </c>
      <c r="D2094" s="1" t="s">
        <v>13</v>
      </c>
      <c r="E2094" s="1">
        <v>-9.9</v>
      </c>
      <c r="F2094" s="1" t="s">
        <v>15157</v>
      </c>
    </row>
    <row r="2095" spans="1:6" ht="21" x14ac:dyDescent="0.25">
      <c r="A2095" s="2" t="str">
        <f>HYPERLINK("https://rth.dk/resources/bsgatlas/details.php?id=BSGatlas-terminator-2094","BSGatlas-terminator-2094")</f>
        <v>BSGatlas-terminator-2094</v>
      </c>
      <c r="B2095" s="3">
        <v>3341125</v>
      </c>
      <c r="C2095" s="3">
        <v>3341164</v>
      </c>
      <c r="D2095" s="1" t="s">
        <v>13</v>
      </c>
      <c r="E2095" s="1">
        <v>-15.4</v>
      </c>
      <c r="F2095" s="1" t="s">
        <v>4382</v>
      </c>
    </row>
    <row r="2096" spans="1:6" ht="21" x14ac:dyDescent="0.25">
      <c r="A2096" s="2" t="str">
        <f>HYPERLINK("https://rth.dk/resources/bsgatlas/details.php?id=BSGatlas-terminator-2095","BSGatlas-terminator-2095")</f>
        <v>BSGatlas-terminator-2095</v>
      </c>
      <c r="B2096" s="3">
        <v>3344970</v>
      </c>
      <c r="C2096" s="3">
        <v>3345022</v>
      </c>
      <c r="D2096" s="1" t="s">
        <v>9</v>
      </c>
      <c r="E2096" s="1">
        <v>-17.399999999999999</v>
      </c>
      <c r="F2096" s="1" t="s">
        <v>15158</v>
      </c>
    </row>
    <row r="2097" spans="1:6" ht="21" x14ac:dyDescent="0.25">
      <c r="A2097" s="2" t="str">
        <f>HYPERLINK("https://rth.dk/resources/bsgatlas/details.php?id=BSGatlas-terminator-2096","BSGatlas-terminator-2096")</f>
        <v>BSGatlas-terminator-2096</v>
      </c>
      <c r="B2097" s="3">
        <v>3345006</v>
      </c>
      <c r="C2097" s="3">
        <v>3345050</v>
      </c>
      <c r="D2097" s="1" t="s">
        <v>13</v>
      </c>
      <c r="E2097" s="1">
        <v>-15.5</v>
      </c>
      <c r="F2097" s="1" t="s">
        <v>15157</v>
      </c>
    </row>
    <row r="2098" spans="1:6" ht="21" x14ac:dyDescent="0.25">
      <c r="A2098" s="2" t="str">
        <f>HYPERLINK("https://rth.dk/resources/bsgatlas/details.php?id=BSGatlas-terminator-2097","BSGatlas-terminator-2097")</f>
        <v>BSGatlas-terminator-2097</v>
      </c>
      <c r="B2098" s="3">
        <v>3347025</v>
      </c>
      <c r="C2098" s="3">
        <v>3347069</v>
      </c>
      <c r="D2098" s="1" t="s">
        <v>13</v>
      </c>
      <c r="E2098" s="1">
        <v>-9.3000000000000007</v>
      </c>
      <c r="F2098" s="1" t="s">
        <v>4382</v>
      </c>
    </row>
    <row r="2099" spans="1:6" ht="21" x14ac:dyDescent="0.25">
      <c r="A2099" s="2" t="str">
        <f>HYPERLINK("https://rth.dk/resources/bsgatlas/details.php?id=BSGatlas-terminator-2098","BSGatlas-terminator-2098")</f>
        <v>BSGatlas-terminator-2098</v>
      </c>
      <c r="B2099" s="3">
        <v>3351049</v>
      </c>
      <c r="C2099" s="3">
        <v>3351086</v>
      </c>
      <c r="D2099" s="1" t="s">
        <v>13</v>
      </c>
      <c r="E2099" s="1">
        <v>-13.8</v>
      </c>
      <c r="F2099" s="1" t="s">
        <v>15161</v>
      </c>
    </row>
    <row r="2100" spans="1:6" ht="21" x14ac:dyDescent="0.25">
      <c r="A2100" s="2" t="str">
        <f>HYPERLINK("https://rth.dk/resources/bsgatlas/details.php?id=BSGatlas-terminator-2099","BSGatlas-terminator-2099")</f>
        <v>BSGatlas-terminator-2099</v>
      </c>
      <c r="B2100" s="3">
        <v>3352288</v>
      </c>
      <c r="C2100" s="3">
        <v>3352332</v>
      </c>
      <c r="D2100" s="1" t="s">
        <v>13</v>
      </c>
      <c r="E2100" s="1">
        <v>-13.8</v>
      </c>
      <c r="F2100" s="1" t="s">
        <v>15157</v>
      </c>
    </row>
    <row r="2101" spans="1:6" ht="21" x14ac:dyDescent="0.25">
      <c r="A2101" s="2" t="str">
        <f>HYPERLINK("https://rth.dk/resources/bsgatlas/details.php?id=BSGatlas-terminator-2100","BSGatlas-terminator-2100")</f>
        <v>BSGatlas-terminator-2100</v>
      </c>
      <c r="B2101" s="3">
        <v>3354487</v>
      </c>
      <c r="C2101" s="3">
        <v>3354527</v>
      </c>
      <c r="D2101" s="1" t="s">
        <v>9</v>
      </c>
      <c r="E2101" s="1">
        <v>-15.2</v>
      </c>
      <c r="F2101" s="1" t="s">
        <v>15158</v>
      </c>
    </row>
    <row r="2102" spans="1:6" ht="21" x14ac:dyDescent="0.25">
      <c r="A2102" s="2" t="str">
        <f>HYPERLINK("https://rth.dk/resources/bsgatlas/details.php?id=BSGatlas-terminator-2101","BSGatlas-terminator-2101")</f>
        <v>BSGatlas-terminator-2101</v>
      </c>
      <c r="B2102" s="3">
        <v>3355507</v>
      </c>
      <c r="C2102" s="3">
        <v>3355551</v>
      </c>
      <c r="D2102" s="1" t="s">
        <v>13</v>
      </c>
      <c r="E2102" s="1">
        <v>-10.1</v>
      </c>
      <c r="F2102" s="1" t="s">
        <v>15162</v>
      </c>
    </row>
    <row r="2103" spans="1:6" ht="21" x14ac:dyDescent="0.25">
      <c r="A2103" s="2" t="str">
        <f>HYPERLINK("https://rth.dk/resources/bsgatlas/details.php?id=BSGatlas-terminator-2102","BSGatlas-terminator-2102")</f>
        <v>BSGatlas-terminator-2102</v>
      </c>
      <c r="B2103" s="3">
        <v>3356766</v>
      </c>
      <c r="C2103" s="3">
        <v>3356810</v>
      </c>
      <c r="D2103" s="1" t="s">
        <v>9</v>
      </c>
      <c r="E2103" s="1">
        <v>-5</v>
      </c>
      <c r="F2103" s="1" t="s">
        <v>15157</v>
      </c>
    </row>
    <row r="2104" spans="1:6" ht="21" x14ac:dyDescent="0.25">
      <c r="A2104" s="2" t="str">
        <f>HYPERLINK("https://rth.dk/resources/bsgatlas/details.php?id=BSGatlas-terminator-2103","BSGatlas-terminator-2103")</f>
        <v>BSGatlas-terminator-2103</v>
      </c>
      <c r="B2104" s="3">
        <v>3361753</v>
      </c>
      <c r="C2104" s="3">
        <v>3361797</v>
      </c>
      <c r="D2104" s="1" t="s">
        <v>13</v>
      </c>
      <c r="E2104" s="1">
        <v>-12.6</v>
      </c>
      <c r="F2104" s="1" t="s">
        <v>15157</v>
      </c>
    </row>
    <row r="2105" spans="1:6" ht="21" x14ac:dyDescent="0.25">
      <c r="A2105" s="2" t="str">
        <f>HYPERLINK("https://rth.dk/resources/bsgatlas/details.php?id=BSGatlas-terminator-2104","BSGatlas-terminator-2104")</f>
        <v>BSGatlas-terminator-2104</v>
      </c>
      <c r="B2105" s="3">
        <v>3361902</v>
      </c>
      <c r="C2105" s="3">
        <v>3361946</v>
      </c>
      <c r="D2105" s="1" t="s">
        <v>13</v>
      </c>
      <c r="E2105" s="1">
        <v>-12.6</v>
      </c>
      <c r="F2105" s="1" t="s">
        <v>15157</v>
      </c>
    </row>
    <row r="2106" spans="1:6" ht="21" x14ac:dyDescent="0.25">
      <c r="A2106" s="2" t="str">
        <f>HYPERLINK("https://rth.dk/resources/bsgatlas/details.php?id=BSGatlas-terminator-2105","BSGatlas-terminator-2105")</f>
        <v>BSGatlas-terminator-2105</v>
      </c>
      <c r="B2106" s="3">
        <v>3364351</v>
      </c>
      <c r="C2106" s="3">
        <v>3364379</v>
      </c>
      <c r="D2106" s="1" t="s">
        <v>13</v>
      </c>
      <c r="E2106" s="1">
        <v>-18.7</v>
      </c>
      <c r="F2106" s="1" t="s">
        <v>4547</v>
      </c>
    </row>
    <row r="2107" spans="1:6" ht="21" x14ac:dyDescent="0.25">
      <c r="A2107" s="2" t="str">
        <f>HYPERLINK("https://rth.dk/resources/bsgatlas/details.php?id=BSGatlas-terminator-2106","BSGatlas-terminator-2106")</f>
        <v>BSGatlas-terminator-2106</v>
      </c>
      <c r="B2107" s="3">
        <v>3364444</v>
      </c>
      <c r="C2107" s="3">
        <v>3364488</v>
      </c>
      <c r="D2107" s="1" t="s">
        <v>9</v>
      </c>
      <c r="E2107" s="1">
        <v>-11.2</v>
      </c>
      <c r="F2107" s="1" t="s">
        <v>15157</v>
      </c>
    </row>
    <row r="2108" spans="1:6" ht="21" x14ac:dyDescent="0.25">
      <c r="A2108" s="2" t="str">
        <f>HYPERLINK("https://rth.dk/resources/bsgatlas/details.php?id=BSGatlas-terminator-2107","BSGatlas-terminator-2107")</f>
        <v>BSGatlas-terminator-2107</v>
      </c>
      <c r="B2108" s="3">
        <v>3365821</v>
      </c>
      <c r="C2108" s="3">
        <v>3365865</v>
      </c>
      <c r="D2108" s="1" t="s">
        <v>13</v>
      </c>
      <c r="E2108" s="1">
        <v>-11</v>
      </c>
      <c r="F2108" s="1" t="s">
        <v>15157</v>
      </c>
    </row>
    <row r="2109" spans="1:6" ht="21" x14ac:dyDescent="0.25">
      <c r="A2109" s="2" t="str">
        <f>HYPERLINK("https://rth.dk/resources/bsgatlas/details.php?id=BSGatlas-terminator-2108","BSGatlas-terminator-2108")</f>
        <v>BSGatlas-terminator-2108</v>
      </c>
      <c r="B2109" s="3">
        <v>3366995</v>
      </c>
      <c r="C2109" s="3">
        <v>3367044</v>
      </c>
      <c r="D2109" s="1" t="s">
        <v>13</v>
      </c>
      <c r="E2109" s="1">
        <v>-20</v>
      </c>
      <c r="F2109" s="1" t="s">
        <v>15158</v>
      </c>
    </row>
    <row r="2110" spans="1:6" ht="21" x14ac:dyDescent="0.25">
      <c r="A2110" s="2" t="str">
        <f>HYPERLINK("https://rth.dk/resources/bsgatlas/details.php?id=BSGatlas-terminator-2109","BSGatlas-terminator-2109")</f>
        <v>BSGatlas-terminator-2109</v>
      </c>
      <c r="B2110" s="3">
        <v>3374300</v>
      </c>
      <c r="C2110" s="3">
        <v>3374344</v>
      </c>
      <c r="D2110" s="1" t="s">
        <v>9</v>
      </c>
      <c r="E2110" s="1">
        <v>-10.199999999999999</v>
      </c>
      <c r="F2110" s="1" t="s">
        <v>15157</v>
      </c>
    </row>
    <row r="2111" spans="1:6" ht="21" x14ac:dyDescent="0.25">
      <c r="A2111" s="2" t="str">
        <f>HYPERLINK("https://rth.dk/resources/bsgatlas/details.php?id=BSGatlas-terminator-2110","BSGatlas-terminator-2110")</f>
        <v>BSGatlas-terminator-2110</v>
      </c>
      <c r="B2111" s="3">
        <v>3376544</v>
      </c>
      <c r="C2111" s="3">
        <v>3376588</v>
      </c>
      <c r="D2111" s="1" t="s">
        <v>9</v>
      </c>
      <c r="E2111" s="1">
        <v>-17.7</v>
      </c>
      <c r="F2111" s="1" t="s">
        <v>15157</v>
      </c>
    </row>
    <row r="2112" spans="1:6" ht="21" x14ac:dyDescent="0.25">
      <c r="A2112" s="2" t="str">
        <f>HYPERLINK("https://rth.dk/resources/bsgatlas/details.php?id=BSGatlas-terminator-2111","BSGatlas-terminator-2111")</f>
        <v>BSGatlas-terminator-2111</v>
      </c>
      <c r="B2112" s="3">
        <v>3378790</v>
      </c>
      <c r="C2112" s="3">
        <v>3378834</v>
      </c>
      <c r="D2112" s="1" t="s">
        <v>13</v>
      </c>
      <c r="E2112" s="1">
        <v>-13.2</v>
      </c>
      <c r="F2112" s="1" t="s">
        <v>15157</v>
      </c>
    </row>
    <row r="2113" spans="1:6" ht="21" x14ac:dyDescent="0.25">
      <c r="A2113" s="2" t="str">
        <f>HYPERLINK("https://rth.dk/resources/bsgatlas/details.php?id=BSGatlas-terminator-2112","BSGatlas-terminator-2112")</f>
        <v>BSGatlas-terminator-2112</v>
      </c>
      <c r="B2113" s="3">
        <v>3379054</v>
      </c>
      <c r="C2113" s="3">
        <v>3379110</v>
      </c>
      <c r="D2113" s="1" t="s">
        <v>13</v>
      </c>
      <c r="E2113" s="1">
        <v>-25.4</v>
      </c>
      <c r="F2113" s="1" t="s">
        <v>15158</v>
      </c>
    </row>
    <row r="2114" spans="1:6" ht="21" x14ac:dyDescent="0.25">
      <c r="A2114" s="2" t="str">
        <f>HYPERLINK("https://rth.dk/resources/bsgatlas/details.php?id=BSGatlas-terminator-2113","BSGatlas-terminator-2113")</f>
        <v>BSGatlas-terminator-2113</v>
      </c>
      <c r="B2114" s="3">
        <v>3380703</v>
      </c>
      <c r="C2114" s="3">
        <v>3380747</v>
      </c>
      <c r="D2114" s="1" t="s">
        <v>13</v>
      </c>
      <c r="E2114" s="1">
        <v>-12</v>
      </c>
      <c r="F2114" s="1" t="s">
        <v>15157</v>
      </c>
    </row>
    <row r="2115" spans="1:6" ht="21" x14ac:dyDescent="0.25">
      <c r="A2115" s="2" t="str">
        <f>HYPERLINK("https://rth.dk/resources/bsgatlas/details.php?id=BSGatlas-terminator-2114","BSGatlas-terminator-2114")</f>
        <v>BSGatlas-terminator-2114</v>
      </c>
      <c r="B2115" s="3">
        <v>3383980</v>
      </c>
      <c r="C2115" s="3">
        <v>3384024</v>
      </c>
      <c r="D2115" s="1" t="s">
        <v>9</v>
      </c>
      <c r="E2115" s="1">
        <v>-13.3</v>
      </c>
      <c r="F2115" s="1" t="s">
        <v>15157</v>
      </c>
    </row>
    <row r="2116" spans="1:6" ht="21" x14ac:dyDescent="0.25">
      <c r="A2116" s="2" t="str">
        <f>HYPERLINK("https://rth.dk/resources/bsgatlas/details.php?id=BSGatlas-terminator-2115","BSGatlas-terminator-2115")</f>
        <v>BSGatlas-terminator-2115</v>
      </c>
      <c r="B2116" s="3">
        <v>3384019</v>
      </c>
      <c r="C2116" s="3">
        <v>3384061</v>
      </c>
      <c r="D2116" s="1" t="s">
        <v>13</v>
      </c>
      <c r="E2116" s="1">
        <v>-14</v>
      </c>
      <c r="F2116" s="1" t="s">
        <v>15158</v>
      </c>
    </row>
    <row r="2117" spans="1:6" ht="21" x14ac:dyDescent="0.25">
      <c r="A2117" s="2" t="str">
        <f>HYPERLINK("https://rth.dk/resources/bsgatlas/details.php?id=BSGatlas-terminator-2116","BSGatlas-terminator-2116")</f>
        <v>BSGatlas-terminator-2116</v>
      </c>
      <c r="B2117" s="3">
        <v>3384029</v>
      </c>
      <c r="C2117" s="3">
        <v>3384071</v>
      </c>
      <c r="D2117" s="1" t="s">
        <v>9</v>
      </c>
      <c r="E2117" s="1">
        <v>-17</v>
      </c>
      <c r="F2117" s="1" t="s">
        <v>4382</v>
      </c>
    </row>
    <row r="2118" spans="1:6" ht="21" x14ac:dyDescent="0.25">
      <c r="A2118" s="2" t="str">
        <f>HYPERLINK("https://rth.dk/resources/bsgatlas/details.php?id=BSGatlas-terminator-2117","BSGatlas-terminator-2117")</f>
        <v>BSGatlas-terminator-2117</v>
      </c>
      <c r="B2118" s="3">
        <v>3386819</v>
      </c>
      <c r="C2118" s="3">
        <v>3386885</v>
      </c>
      <c r="D2118" s="1" t="s">
        <v>13</v>
      </c>
      <c r="E2118" s="1"/>
      <c r="F2118" s="1" t="s">
        <v>15159</v>
      </c>
    </row>
    <row r="2119" spans="1:6" ht="21" x14ac:dyDescent="0.25">
      <c r="A2119" s="2" t="str">
        <f>HYPERLINK("https://rth.dk/resources/bsgatlas/details.php?id=BSGatlas-terminator-2118","BSGatlas-terminator-2118")</f>
        <v>BSGatlas-terminator-2118</v>
      </c>
      <c r="B2119" s="3">
        <v>3387699</v>
      </c>
      <c r="C2119" s="3">
        <v>3387743</v>
      </c>
      <c r="D2119" s="1" t="s">
        <v>9</v>
      </c>
      <c r="E2119" s="1">
        <v>-9.6999999999999993</v>
      </c>
      <c r="F2119" s="1" t="s">
        <v>15157</v>
      </c>
    </row>
    <row r="2120" spans="1:6" ht="21" x14ac:dyDescent="0.25">
      <c r="A2120" s="2" t="str">
        <f>HYPERLINK("https://rth.dk/resources/bsgatlas/details.php?id=BSGatlas-terminator-2119","BSGatlas-terminator-2119")</f>
        <v>BSGatlas-terminator-2119</v>
      </c>
      <c r="B2120" s="3">
        <v>3387746</v>
      </c>
      <c r="C2120" s="3">
        <v>3387790</v>
      </c>
      <c r="D2120" s="1" t="s">
        <v>9</v>
      </c>
      <c r="E2120" s="1">
        <v>-14</v>
      </c>
      <c r="F2120" s="1" t="s">
        <v>4382</v>
      </c>
    </row>
    <row r="2121" spans="1:6" ht="21" x14ac:dyDescent="0.25">
      <c r="A2121" s="2" t="str">
        <f>HYPERLINK("https://rth.dk/resources/bsgatlas/details.php?id=BSGatlas-terminator-2120","BSGatlas-terminator-2120")</f>
        <v>BSGatlas-terminator-2120</v>
      </c>
      <c r="B2121" s="3">
        <v>3388941</v>
      </c>
      <c r="C2121" s="3">
        <v>3388985</v>
      </c>
      <c r="D2121" s="1" t="s">
        <v>9</v>
      </c>
      <c r="E2121" s="1">
        <v>-13.6</v>
      </c>
      <c r="F2121" s="1" t="s">
        <v>15157</v>
      </c>
    </row>
    <row r="2122" spans="1:6" ht="21" x14ac:dyDescent="0.25">
      <c r="A2122" s="2" t="str">
        <f>HYPERLINK("https://rth.dk/resources/bsgatlas/details.php?id=BSGatlas-terminator-2121","BSGatlas-terminator-2121")</f>
        <v>BSGatlas-terminator-2121</v>
      </c>
      <c r="B2122" s="3">
        <v>3388979</v>
      </c>
      <c r="C2122" s="3">
        <v>3389019</v>
      </c>
      <c r="D2122" s="1" t="s">
        <v>13</v>
      </c>
      <c r="E2122" s="1">
        <v>-16.899999999999999</v>
      </c>
      <c r="F2122" s="1" t="s">
        <v>15158</v>
      </c>
    </row>
    <row r="2123" spans="1:6" ht="21" x14ac:dyDescent="0.25">
      <c r="A2123" s="2" t="str">
        <f>HYPERLINK("https://rth.dk/resources/bsgatlas/details.php?id=BSGatlas-terminator-2122","BSGatlas-terminator-2122")</f>
        <v>BSGatlas-terminator-2122</v>
      </c>
      <c r="B2123" s="3">
        <v>3390646</v>
      </c>
      <c r="C2123" s="3">
        <v>3390690</v>
      </c>
      <c r="D2123" s="1" t="s">
        <v>9</v>
      </c>
      <c r="E2123" s="1">
        <v>-13.6</v>
      </c>
      <c r="F2123" s="1" t="s">
        <v>15157</v>
      </c>
    </row>
    <row r="2124" spans="1:6" ht="21" x14ac:dyDescent="0.25">
      <c r="A2124" s="2" t="str">
        <f>HYPERLINK("https://rth.dk/resources/bsgatlas/details.php?id=BSGatlas-terminator-2123","BSGatlas-terminator-2123")</f>
        <v>BSGatlas-terminator-2123</v>
      </c>
      <c r="B2124" s="3">
        <v>3391745</v>
      </c>
      <c r="C2124" s="3">
        <v>3391811</v>
      </c>
      <c r="D2124" s="1" t="s">
        <v>13</v>
      </c>
      <c r="E2124" s="1"/>
      <c r="F2124" s="1" t="s">
        <v>15159</v>
      </c>
    </row>
    <row r="2125" spans="1:6" ht="21" x14ac:dyDescent="0.25">
      <c r="A2125" s="2" t="str">
        <f>HYPERLINK("https://rth.dk/resources/bsgatlas/details.php?id=BSGatlas-terminator-2124","BSGatlas-terminator-2124")</f>
        <v>BSGatlas-terminator-2124</v>
      </c>
      <c r="B2125" s="3">
        <v>3394397</v>
      </c>
      <c r="C2125" s="3">
        <v>3394433</v>
      </c>
      <c r="D2125" s="1" t="s">
        <v>13</v>
      </c>
      <c r="E2125" s="1">
        <v>-5.2</v>
      </c>
      <c r="F2125" s="1" t="s">
        <v>4382</v>
      </c>
    </row>
    <row r="2126" spans="1:6" ht="21" x14ac:dyDescent="0.25">
      <c r="A2126" s="2" t="str">
        <f>HYPERLINK("https://rth.dk/resources/bsgatlas/details.php?id=BSGatlas-terminator-2125","BSGatlas-terminator-2125")</f>
        <v>BSGatlas-terminator-2125</v>
      </c>
      <c r="B2126" s="3">
        <v>3397771</v>
      </c>
      <c r="C2126" s="3">
        <v>3397860</v>
      </c>
      <c r="D2126" s="1" t="s">
        <v>13</v>
      </c>
      <c r="E2126" s="1">
        <v>-39.700000000000003</v>
      </c>
      <c r="F2126" s="1" t="s">
        <v>15158</v>
      </c>
    </row>
    <row r="2127" spans="1:6" ht="21" x14ac:dyDescent="0.25">
      <c r="A2127" s="2" t="str">
        <f>HYPERLINK("https://rth.dk/resources/bsgatlas/details.php?id=BSGatlas-terminator-2126","BSGatlas-terminator-2126")</f>
        <v>BSGatlas-terminator-2126</v>
      </c>
      <c r="B2127" s="3">
        <v>3399083</v>
      </c>
      <c r="C2127" s="3">
        <v>3399127</v>
      </c>
      <c r="D2127" s="1" t="s">
        <v>13</v>
      </c>
      <c r="E2127" s="1">
        <v>-12.9</v>
      </c>
      <c r="F2127" s="1" t="s">
        <v>15157</v>
      </c>
    </row>
    <row r="2128" spans="1:6" ht="21" x14ac:dyDescent="0.25">
      <c r="A2128" s="2" t="str">
        <f>HYPERLINK("https://rth.dk/resources/bsgatlas/details.php?id=BSGatlas-terminator-2127","BSGatlas-terminator-2127")</f>
        <v>BSGatlas-terminator-2127</v>
      </c>
      <c r="B2128" s="3">
        <v>3400509</v>
      </c>
      <c r="C2128" s="3">
        <v>3400553</v>
      </c>
      <c r="D2128" s="1" t="s">
        <v>13</v>
      </c>
      <c r="E2128" s="1">
        <v>-17.100000000000001</v>
      </c>
      <c r="F2128" s="1" t="s">
        <v>15157</v>
      </c>
    </row>
    <row r="2129" spans="1:6" ht="21" x14ac:dyDescent="0.25">
      <c r="A2129" s="2" t="str">
        <f>HYPERLINK("https://rth.dk/resources/bsgatlas/details.php?id=BSGatlas-terminator-2128","BSGatlas-terminator-2128")</f>
        <v>BSGatlas-terminator-2128</v>
      </c>
      <c r="B2129" s="3">
        <v>3405475</v>
      </c>
      <c r="C2129" s="3">
        <v>3405519</v>
      </c>
      <c r="D2129" s="1" t="s">
        <v>9</v>
      </c>
      <c r="E2129" s="1">
        <v>-12</v>
      </c>
      <c r="F2129" s="1" t="s">
        <v>15157</v>
      </c>
    </row>
    <row r="2130" spans="1:6" ht="21" x14ac:dyDescent="0.25">
      <c r="A2130" s="2" t="str">
        <f>HYPERLINK("https://rth.dk/resources/bsgatlas/details.php?id=BSGatlas-terminator-2129","BSGatlas-terminator-2129")</f>
        <v>BSGatlas-terminator-2129</v>
      </c>
      <c r="B2130" s="3">
        <v>3405585</v>
      </c>
      <c r="C2130" s="3">
        <v>3405629</v>
      </c>
      <c r="D2130" s="1" t="s">
        <v>9</v>
      </c>
      <c r="E2130" s="1">
        <v>-12</v>
      </c>
      <c r="F2130" s="1" t="s">
        <v>15157</v>
      </c>
    </row>
    <row r="2131" spans="1:6" ht="21" x14ac:dyDescent="0.25">
      <c r="A2131" s="2" t="str">
        <f>HYPERLINK("https://rth.dk/resources/bsgatlas/details.php?id=BSGatlas-terminator-2130","BSGatlas-terminator-2130")</f>
        <v>BSGatlas-terminator-2130</v>
      </c>
      <c r="B2131" s="3">
        <v>3405622</v>
      </c>
      <c r="C2131" s="3">
        <v>3405662</v>
      </c>
      <c r="D2131" s="1" t="s">
        <v>13</v>
      </c>
      <c r="E2131" s="1">
        <v>-15.1</v>
      </c>
      <c r="F2131" s="1" t="s">
        <v>15158</v>
      </c>
    </row>
    <row r="2132" spans="1:6" ht="21" x14ac:dyDescent="0.25">
      <c r="A2132" s="2" t="str">
        <f>HYPERLINK("https://rth.dk/resources/bsgatlas/details.php?id=BSGatlas-terminator-2131","BSGatlas-terminator-2131")</f>
        <v>BSGatlas-terminator-2131</v>
      </c>
      <c r="B2132" s="3">
        <v>3409204</v>
      </c>
      <c r="C2132" s="3">
        <v>3409248</v>
      </c>
      <c r="D2132" s="1" t="s">
        <v>13</v>
      </c>
      <c r="E2132" s="1">
        <v>-8.1999999999999993</v>
      </c>
      <c r="F2132" s="1" t="s">
        <v>15157</v>
      </c>
    </row>
    <row r="2133" spans="1:6" ht="21" x14ac:dyDescent="0.25">
      <c r="A2133" s="2" t="str">
        <f>HYPERLINK("https://rth.dk/resources/bsgatlas/details.php?id=BSGatlas-terminator-2132","BSGatlas-terminator-2132")</f>
        <v>BSGatlas-terminator-2132</v>
      </c>
      <c r="B2133" s="3">
        <v>3411587</v>
      </c>
      <c r="C2133" s="3">
        <v>3411631</v>
      </c>
      <c r="D2133" s="1" t="s">
        <v>9</v>
      </c>
      <c r="E2133" s="1">
        <v>-9.4</v>
      </c>
      <c r="F2133" s="1" t="s">
        <v>15157</v>
      </c>
    </row>
    <row r="2134" spans="1:6" ht="21" x14ac:dyDescent="0.25">
      <c r="A2134" s="2" t="str">
        <f>HYPERLINK("https://rth.dk/resources/bsgatlas/details.php?id=BSGatlas-terminator-2133","BSGatlas-terminator-2133")</f>
        <v>BSGatlas-terminator-2133</v>
      </c>
      <c r="B2134" s="3">
        <v>3412071</v>
      </c>
      <c r="C2134" s="3">
        <v>3412115</v>
      </c>
      <c r="D2134" s="1" t="s">
        <v>9</v>
      </c>
      <c r="E2134" s="1">
        <v>-7.4</v>
      </c>
      <c r="F2134" s="1" t="s">
        <v>15157</v>
      </c>
    </row>
    <row r="2135" spans="1:6" ht="21" x14ac:dyDescent="0.25">
      <c r="A2135" s="2" t="str">
        <f>HYPERLINK("https://rth.dk/resources/bsgatlas/details.php?id=BSGatlas-terminator-2134","BSGatlas-terminator-2134")</f>
        <v>BSGatlas-terminator-2134</v>
      </c>
      <c r="B2135" s="3">
        <v>3412085</v>
      </c>
      <c r="C2135" s="3">
        <v>3412139</v>
      </c>
      <c r="D2135" s="1" t="s">
        <v>13</v>
      </c>
      <c r="E2135" s="1">
        <v>-15.6</v>
      </c>
      <c r="F2135" s="1" t="s">
        <v>15158</v>
      </c>
    </row>
    <row r="2136" spans="1:6" ht="21" x14ac:dyDescent="0.25">
      <c r="A2136" s="2" t="str">
        <f>HYPERLINK("https://rth.dk/resources/bsgatlas/details.php?id=BSGatlas-terminator-2135","BSGatlas-terminator-2135")</f>
        <v>BSGatlas-terminator-2135</v>
      </c>
      <c r="B2136" s="3">
        <v>3415382</v>
      </c>
      <c r="C2136" s="3">
        <v>3415426</v>
      </c>
      <c r="D2136" s="1" t="s">
        <v>13</v>
      </c>
      <c r="E2136" s="1">
        <v>-11</v>
      </c>
      <c r="F2136" s="1" t="s">
        <v>15157</v>
      </c>
    </row>
    <row r="2137" spans="1:6" ht="21" x14ac:dyDescent="0.25">
      <c r="A2137" s="2" t="str">
        <f>HYPERLINK("https://rth.dk/resources/bsgatlas/details.php?id=BSGatlas-terminator-2136","BSGatlas-terminator-2136")</f>
        <v>BSGatlas-terminator-2136</v>
      </c>
      <c r="B2137" s="3">
        <v>3419423</v>
      </c>
      <c r="C2137" s="3">
        <v>3419462</v>
      </c>
      <c r="D2137" s="1" t="s">
        <v>9</v>
      </c>
      <c r="E2137" s="1">
        <v>-14.8</v>
      </c>
      <c r="F2137" s="1" t="s">
        <v>15158</v>
      </c>
    </row>
    <row r="2138" spans="1:6" ht="21" x14ac:dyDescent="0.25">
      <c r="A2138" s="2" t="str">
        <f>HYPERLINK("https://rth.dk/resources/bsgatlas/details.php?id=BSGatlas-terminator-2137","BSGatlas-terminator-2137")</f>
        <v>BSGatlas-terminator-2137</v>
      </c>
      <c r="B2138" s="3">
        <v>3419573</v>
      </c>
      <c r="C2138" s="3">
        <v>3419617</v>
      </c>
      <c r="D2138" s="1" t="s">
        <v>9</v>
      </c>
      <c r="E2138" s="1">
        <v>-13.7</v>
      </c>
      <c r="F2138" s="1" t="s">
        <v>15157</v>
      </c>
    </row>
    <row r="2139" spans="1:6" ht="21" x14ac:dyDescent="0.25">
      <c r="A2139" s="2" t="str">
        <f>HYPERLINK("https://rth.dk/resources/bsgatlas/details.php?id=BSGatlas-terminator-2138","BSGatlas-terminator-2138")</f>
        <v>BSGatlas-terminator-2138</v>
      </c>
      <c r="B2139" s="3">
        <v>3419649</v>
      </c>
      <c r="C2139" s="3">
        <v>3419693</v>
      </c>
      <c r="D2139" s="1" t="s">
        <v>13</v>
      </c>
      <c r="E2139" s="1">
        <v>-13.7</v>
      </c>
      <c r="F2139" s="1" t="s">
        <v>15157</v>
      </c>
    </row>
    <row r="2140" spans="1:6" ht="21" x14ac:dyDescent="0.25">
      <c r="A2140" s="2" t="str">
        <f>HYPERLINK("https://rth.dk/resources/bsgatlas/details.php?id=BSGatlas-terminator-2139","BSGatlas-terminator-2139")</f>
        <v>BSGatlas-terminator-2139</v>
      </c>
      <c r="B2140" s="3">
        <v>3421145</v>
      </c>
      <c r="C2140" s="3">
        <v>3421189</v>
      </c>
      <c r="D2140" s="1" t="s">
        <v>13</v>
      </c>
      <c r="E2140" s="1">
        <v>-5</v>
      </c>
      <c r="F2140" s="1" t="s">
        <v>15157</v>
      </c>
    </row>
    <row r="2141" spans="1:6" ht="21" x14ac:dyDescent="0.25">
      <c r="A2141" s="2" t="str">
        <f>HYPERLINK("https://rth.dk/resources/bsgatlas/details.php?id=BSGatlas-terminator-2140","BSGatlas-terminator-2140")</f>
        <v>BSGatlas-terminator-2140</v>
      </c>
      <c r="B2141" s="3">
        <v>3421421</v>
      </c>
      <c r="C2141" s="3">
        <v>3421465</v>
      </c>
      <c r="D2141" s="1" t="s">
        <v>9</v>
      </c>
      <c r="E2141" s="1">
        <v>-4.8</v>
      </c>
      <c r="F2141" s="1" t="s">
        <v>15157</v>
      </c>
    </row>
    <row r="2142" spans="1:6" ht="21" x14ac:dyDescent="0.25">
      <c r="A2142" s="2" t="str">
        <f>HYPERLINK("https://rth.dk/resources/bsgatlas/details.php?id=BSGatlas-terminator-2141","BSGatlas-terminator-2141")</f>
        <v>BSGatlas-terminator-2141</v>
      </c>
      <c r="B2142" s="3">
        <v>3421453</v>
      </c>
      <c r="C2142" s="3">
        <v>3421497</v>
      </c>
      <c r="D2142" s="1" t="s">
        <v>13</v>
      </c>
      <c r="E2142" s="1">
        <v>-14.5</v>
      </c>
      <c r="F2142" s="1" t="s">
        <v>15157</v>
      </c>
    </row>
    <row r="2143" spans="1:6" ht="21" x14ac:dyDescent="0.25">
      <c r="A2143" s="2" t="str">
        <f>HYPERLINK("https://rth.dk/resources/bsgatlas/details.php?id=BSGatlas-terminator-2142","BSGatlas-terminator-2142")</f>
        <v>BSGatlas-terminator-2142</v>
      </c>
      <c r="B2143" s="3">
        <v>3424171</v>
      </c>
      <c r="C2143" s="3">
        <v>3424215</v>
      </c>
      <c r="D2143" s="1" t="s">
        <v>9</v>
      </c>
      <c r="E2143" s="1">
        <v>-10.5</v>
      </c>
      <c r="F2143" s="1" t="s">
        <v>15157</v>
      </c>
    </row>
    <row r="2144" spans="1:6" ht="21" x14ac:dyDescent="0.25">
      <c r="A2144" s="2" t="str">
        <f>HYPERLINK("https://rth.dk/resources/bsgatlas/details.php?id=BSGatlas-terminator-2143","BSGatlas-terminator-2143")</f>
        <v>BSGatlas-terminator-2143</v>
      </c>
      <c r="B2144" s="3">
        <v>3424225</v>
      </c>
      <c r="C2144" s="3">
        <v>3424269</v>
      </c>
      <c r="D2144" s="1" t="s">
        <v>13</v>
      </c>
      <c r="E2144" s="1">
        <v>-10.5</v>
      </c>
      <c r="F2144" s="1" t="s">
        <v>15157</v>
      </c>
    </row>
    <row r="2145" spans="1:6" ht="21" x14ac:dyDescent="0.25">
      <c r="A2145" s="2" t="str">
        <f>HYPERLINK("https://rth.dk/resources/bsgatlas/details.php?id=BSGatlas-terminator-2144","BSGatlas-terminator-2144")</f>
        <v>BSGatlas-terminator-2144</v>
      </c>
      <c r="B2145" s="3">
        <v>3426688</v>
      </c>
      <c r="C2145" s="3">
        <v>3426732</v>
      </c>
      <c r="D2145" s="1" t="s">
        <v>9</v>
      </c>
      <c r="E2145" s="1">
        <v>-9.4</v>
      </c>
      <c r="F2145" s="1" t="s">
        <v>15157</v>
      </c>
    </row>
    <row r="2146" spans="1:6" ht="21" x14ac:dyDescent="0.25">
      <c r="A2146" s="2" t="str">
        <f>HYPERLINK("https://rth.dk/resources/bsgatlas/details.php?id=BSGatlas-terminator-2145","BSGatlas-terminator-2145")</f>
        <v>BSGatlas-terminator-2145</v>
      </c>
      <c r="B2146" s="3">
        <v>3426733</v>
      </c>
      <c r="C2146" s="3">
        <v>3426777</v>
      </c>
      <c r="D2146" s="1" t="s">
        <v>13</v>
      </c>
      <c r="E2146" s="1">
        <v>-9.6999999999999993</v>
      </c>
      <c r="F2146" s="1" t="s">
        <v>15157</v>
      </c>
    </row>
    <row r="2147" spans="1:6" ht="21" x14ac:dyDescent="0.25">
      <c r="A2147" s="2" t="str">
        <f>HYPERLINK("https://rth.dk/resources/bsgatlas/details.php?id=BSGatlas-terminator-2146","BSGatlas-terminator-2146")</f>
        <v>BSGatlas-terminator-2146</v>
      </c>
      <c r="B2147" s="3">
        <v>3427559</v>
      </c>
      <c r="C2147" s="3">
        <v>3427603</v>
      </c>
      <c r="D2147" s="1" t="s">
        <v>9</v>
      </c>
      <c r="E2147" s="1">
        <v>-11.6</v>
      </c>
      <c r="F2147" s="1" t="s">
        <v>15157</v>
      </c>
    </row>
    <row r="2148" spans="1:6" ht="21" x14ac:dyDescent="0.25">
      <c r="A2148" s="2" t="str">
        <f>HYPERLINK("https://rth.dk/resources/bsgatlas/details.php?id=BSGatlas-terminator-2147","BSGatlas-terminator-2147")</f>
        <v>BSGatlas-terminator-2147</v>
      </c>
      <c r="B2148" s="3">
        <v>3428293</v>
      </c>
      <c r="C2148" s="3">
        <v>3428332</v>
      </c>
      <c r="D2148" s="1" t="s">
        <v>9</v>
      </c>
      <c r="E2148" s="1">
        <v>-14.3</v>
      </c>
      <c r="F2148" s="1" t="s">
        <v>15158</v>
      </c>
    </row>
    <row r="2149" spans="1:6" ht="21" x14ac:dyDescent="0.25">
      <c r="A2149" s="2" t="str">
        <f>HYPERLINK("https://rth.dk/resources/bsgatlas/details.php?id=BSGatlas-terminator-2148","BSGatlas-terminator-2148")</f>
        <v>BSGatlas-terminator-2148</v>
      </c>
      <c r="B2149" s="3">
        <v>3428317</v>
      </c>
      <c r="C2149" s="3">
        <v>3428361</v>
      </c>
      <c r="D2149" s="1" t="s">
        <v>13</v>
      </c>
      <c r="E2149" s="1">
        <v>-13.2</v>
      </c>
      <c r="F2149" s="1" t="s">
        <v>15157</v>
      </c>
    </row>
    <row r="2150" spans="1:6" ht="21" x14ac:dyDescent="0.25">
      <c r="A2150" s="2" t="str">
        <f>HYPERLINK("https://rth.dk/resources/bsgatlas/details.php?id=BSGatlas-terminator-2149","BSGatlas-terminator-2149")</f>
        <v>BSGatlas-terminator-2149</v>
      </c>
      <c r="B2150" s="3">
        <v>3430545</v>
      </c>
      <c r="C2150" s="3">
        <v>3430589</v>
      </c>
      <c r="D2150" s="1" t="s">
        <v>13</v>
      </c>
      <c r="E2150" s="1">
        <v>-18.100000000000001</v>
      </c>
      <c r="F2150" s="1" t="s">
        <v>15158</v>
      </c>
    </row>
    <row r="2151" spans="1:6" ht="21" x14ac:dyDescent="0.25">
      <c r="A2151" s="2" t="str">
        <f>HYPERLINK("https://rth.dk/resources/bsgatlas/details.php?id=BSGatlas-terminator-2150","BSGatlas-terminator-2150")</f>
        <v>BSGatlas-terminator-2150</v>
      </c>
      <c r="B2151" s="3">
        <v>3434323</v>
      </c>
      <c r="C2151" s="3">
        <v>3434367</v>
      </c>
      <c r="D2151" s="1" t="s">
        <v>13</v>
      </c>
      <c r="E2151" s="1">
        <v>-8.5</v>
      </c>
      <c r="F2151" s="1" t="s">
        <v>15157</v>
      </c>
    </row>
    <row r="2152" spans="1:6" ht="21" x14ac:dyDescent="0.25">
      <c r="A2152" s="2" t="str">
        <f>HYPERLINK("https://rth.dk/resources/bsgatlas/details.php?id=BSGatlas-terminator-2151","BSGatlas-terminator-2151")</f>
        <v>BSGatlas-terminator-2151</v>
      </c>
      <c r="B2152" s="3">
        <v>3436814</v>
      </c>
      <c r="C2152" s="3">
        <v>3436858</v>
      </c>
      <c r="D2152" s="1" t="s">
        <v>13</v>
      </c>
      <c r="E2152" s="1">
        <v>-9.1999999999999993</v>
      </c>
      <c r="F2152" s="1" t="s">
        <v>15157</v>
      </c>
    </row>
    <row r="2153" spans="1:6" ht="21" x14ac:dyDescent="0.25">
      <c r="A2153" s="2" t="str">
        <f>HYPERLINK("https://rth.dk/resources/bsgatlas/details.php?id=BSGatlas-terminator-2152","BSGatlas-terminator-2152")</f>
        <v>BSGatlas-terminator-2152</v>
      </c>
      <c r="B2153" s="3">
        <v>3437600</v>
      </c>
      <c r="C2153" s="3">
        <v>3437640</v>
      </c>
      <c r="D2153" s="1" t="s">
        <v>13</v>
      </c>
      <c r="E2153" s="1">
        <v>-16.399999999999999</v>
      </c>
      <c r="F2153" s="1" t="s">
        <v>15158</v>
      </c>
    </row>
    <row r="2154" spans="1:6" ht="21" x14ac:dyDescent="0.25">
      <c r="A2154" s="2" t="str">
        <f>HYPERLINK("https://rth.dk/resources/bsgatlas/details.php?id=BSGatlas-terminator-2153","BSGatlas-terminator-2153")</f>
        <v>BSGatlas-terminator-2153</v>
      </c>
      <c r="B2154" s="3">
        <v>3438789</v>
      </c>
      <c r="C2154" s="3">
        <v>3438833</v>
      </c>
      <c r="D2154" s="1" t="s">
        <v>13</v>
      </c>
      <c r="E2154" s="1">
        <v>-11.3</v>
      </c>
      <c r="F2154" s="1" t="s">
        <v>15157</v>
      </c>
    </row>
    <row r="2155" spans="1:6" ht="21" x14ac:dyDescent="0.25">
      <c r="A2155" s="2" t="str">
        <f>HYPERLINK("https://rth.dk/resources/bsgatlas/details.php?id=BSGatlas-terminator-2154","BSGatlas-terminator-2154")</f>
        <v>BSGatlas-terminator-2154</v>
      </c>
      <c r="B2155" s="3">
        <v>3441121</v>
      </c>
      <c r="C2155" s="3">
        <v>3441165</v>
      </c>
      <c r="D2155" s="1" t="s">
        <v>13</v>
      </c>
      <c r="E2155" s="1">
        <v>-7.9</v>
      </c>
      <c r="F2155" s="1" t="s">
        <v>15157</v>
      </c>
    </row>
    <row r="2156" spans="1:6" ht="21" x14ac:dyDescent="0.25">
      <c r="A2156" s="2" t="str">
        <f>HYPERLINK("https://rth.dk/resources/bsgatlas/details.php?id=BSGatlas-terminator-2155","BSGatlas-terminator-2155")</f>
        <v>BSGatlas-terminator-2155</v>
      </c>
      <c r="B2156" s="3">
        <v>3441187</v>
      </c>
      <c r="C2156" s="3">
        <v>3441231</v>
      </c>
      <c r="D2156" s="1" t="s">
        <v>13</v>
      </c>
      <c r="E2156" s="1">
        <v>-7.9</v>
      </c>
      <c r="F2156" s="1" t="s">
        <v>15157</v>
      </c>
    </row>
    <row r="2157" spans="1:6" ht="21" x14ac:dyDescent="0.25">
      <c r="A2157" s="2" t="str">
        <f>HYPERLINK("https://rth.dk/resources/bsgatlas/details.php?id=BSGatlas-terminator-2156","BSGatlas-terminator-2156")</f>
        <v>BSGatlas-terminator-2156</v>
      </c>
      <c r="B2157" s="3">
        <v>3445370</v>
      </c>
      <c r="C2157" s="3">
        <v>3445414</v>
      </c>
      <c r="D2157" s="1" t="s">
        <v>9</v>
      </c>
      <c r="E2157" s="1">
        <v>-19.399999999999999</v>
      </c>
      <c r="F2157" s="1" t="s">
        <v>15157</v>
      </c>
    </row>
    <row r="2158" spans="1:6" ht="21" x14ac:dyDescent="0.25">
      <c r="A2158" s="2" t="str">
        <f>HYPERLINK("https://rth.dk/resources/bsgatlas/details.php?id=BSGatlas-terminator-2157","BSGatlas-terminator-2157")</f>
        <v>BSGatlas-terminator-2157</v>
      </c>
      <c r="B2158" s="3">
        <v>3445398</v>
      </c>
      <c r="C2158" s="3">
        <v>3445445</v>
      </c>
      <c r="D2158" s="1" t="s">
        <v>13</v>
      </c>
      <c r="E2158" s="1">
        <v>-18.7</v>
      </c>
      <c r="F2158" s="1" t="s">
        <v>15158</v>
      </c>
    </row>
    <row r="2159" spans="1:6" ht="21" x14ac:dyDescent="0.25">
      <c r="A2159" s="2" t="str">
        <f>HYPERLINK("https://rth.dk/resources/bsgatlas/details.php?id=BSGatlas-terminator-2158","BSGatlas-terminator-2158")</f>
        <v>BSGatlas-terminator-2158</v>
      </c>
      <c r="B2159" s="3">
        <v>3448260</v>
      </c>
      <c r="C2159" s="3">
        <v>3448304</v>
      </c>
      <c r="D2159" s="1" t="s">
        <v>13</v>
      </c>
      <c r="E2159" s="1">
        <v>-8</v>
      </c>
      <c r="F2159" s="1" t="s">
        <v>15157</v>
      </c>
    </row>
    <row r="2160" spans="1:6" ht="21" x14ac:dyDescent="0.25">
      <c r="A2160" s="2" t="str">
        <f>HYPERLINK("https://rth.dk/resources/bsgatlas/details.php?id=BSGatlas-terminator-2159","BSGatlas-terminator-2159")</f>
        <v>BSGatlas-terminator-2159</v>
      </c>
      <c r="B2160" s="3">
        <v>3450693</v>
      </c>
      <c r="C2160" s="3">
        <v>3450737</v>
      </c>
      <c r="D2160" s="1" t="s">
        <v>13</v>
      </c>
      <c r="E2160" s="1">
        <v>-15.8</v>
      </c>
      <c r="F2160" s="1" t="s">
        <v>15157</v>
      </c>
    </row>
    <row r="2161" spans="1:6" ht="21" x14ac:dyDescent="0.25">
      <c r="A2161" s="2" t="str">
        <f>HYPERLINK("https://rth.dk/resources/bsgatlas/details.php?id=BSGatlas-terminator-2160","BSGatlas-terminator-2160")</f>
        <v>BSGatlas-terminator-2160</v>
      </c>
      <c r="B2161" s="3">
        <v>3451693</v>
      </c>
      <c r="C2161" s="3">
        <v>3451737</v>
      </c>
      <c r="D2161" s="1" t="s">
        <v>9</v>
      </c>
      <c r="E2161" s="1">
        <v>-3.3</v>
      </c>
      <c r="F2161" s="1" t="s">
        <v>15157</v>
      </c>
    </row>
    <row r="2162" spans="1:6" ht="21" x14ac:dyDescent="0.25">
      <c r="A2162" s="2" t="str">
        <f>HYPERLINK("https://rth.dk/resources/bsgatlas/details.php?id=BSGatlas-terminator-2161","BSGatlas-terminator-2161")</f>
        <v>BSGatlas-terminator-2161</v>
      </c>
      <c r="B2162" s="3">
        <v>3455069</v>
      </c>
      <c r="C2162" s="3">
        <v>3455113</v>
      </c>
      <c r="D2162" s="1" t="s">
        <v>13</v>
      </c>
      <c r="E2162" s="1">
        <v>-9.1</v>
      </c>
      <c r="F2162" s="1" t="s">
        <v>15157</v>
      </c>
    </row>
    <row r="2163" spans="1:6" ht="21" x14ac:dyDescent="0.25">
      <c r="A2163" s="2" t="str">
        <f>HYPERLINK("https://rth.dk/resources/bsgatlas/details.php?id=BSGatlas-terminator-2162","BSGatlas-terminator-2162")</f>
        <v>BSGatlas-terminator-2162</v>
      </c>
      <c r="B2163" s="3">
        <v>3456241</v>
      </c>
      <c r="C2163" s="3">
        <v>3456285</v>
      </c>
      <c r="D2163" s="1" t="s">
        <v>9</v>
      </c>
      <c r="E2163" s="1">
        <v>-8.8000000000000007</v>
      </c>
      <c r="F2163" s="1" t="s">
        <v>4382</v>
      </c>
    </row>
    <row r="2164" spans="1:6" ht="21" x14ac:dyDescent="0.25">
      <c r="A2164" s="2" t="str">
        <f>HYPERLINK("https://rth.dk/resources/bsgatlas/details.php?id=BSGatlas-terminator-2163","BSGatlas-terminator-2163")</f>
        <v>BSGatlas-terminator-2163</v>
      </c>
      <c r="B2164" s="3">
        <v>3458749</v>
      </c>
      <c r="C2164" s="3">
        <v>3458815</v>
      </c>
      <c r="D2164" s="1" t="s">
        <v>13</v>
      </c>
      <c r="E2164" s="1"/>
      <c r="F2164" s="1" t="s">
        <v>15159</v>
      </c>
    </row>
    <row r="2165" spans="1:6" ht="21" x14ac:dyDescent="0.25">
      <c r="A2165" s="2" t="str">
        <f>HYPERLINK("https://rth.dk/resources/bsgatlas/details.php?id=BSGatlas-terminator-2164","BSGatlas-terminator-2164")</f>
        <v>BSGatlas-terminator-2164</v>
      </c>
      <c r="B2165" s="3">
        <v>3459722</v>
      </c>
      <c r="C2165" s="3">
        <v>3459766</v>
      </c>
      <c r="D2165" s="1" t="s">
        <v>9</v>
      </c>
      <c r="E2165" s="1">
        <v>-12.2</v>
      </c>
      <c r="F2165" s="1" t="s">
        <v>15157</v>
      </c>
    </row>
    <row r="2166" spans="1:6" ht="21" x14ac:dyDescent="0.25">
      <c r="A2166" s="2" t="str">
        <f>HYPERLINK("https://rth.dk/resources/bsgatlas/details.php?id=BSGatlas-terminator-2165","BSGatlas-terminator-2165")</f>
        <v>BSGatlas-terminator-2165</v>
      </c>
      <c r="B2166" s="3">
        <v>3459762</v>
      </c>
      <c r="C2166" s="3">
        <v>3459800</v>
      </c>
      <c r="D2166" s="1" t="s">
        <v>13</v>
      </c>
      <c r="E2166" s="1">
        <v>-15.4</v>
      </c>
      <c r="F2166" s="1" t="s">
        <v>15158</v>
      </c>
    </row>
    <row r="2167" spans="1:6" ht="21" x14ac:dyDescent="0.25">
      <c r="A2167" s="2" t="str">
        <f>HYPERLINK("https://rth.dk/resources/bsgatlas/details.php?id=BSGatlas-terminator-2166","BSGatlas-terminator-2166")</f>
        <v>BSGatlas-terminator-2166</v>
      </c>
      <c r="B2167" s="3">
        <v>3464034</v>
      </c>
      <c r="C2167" s="3">
        <v>3464078</v>
      </c>
      <c r="D2167" s="1" t="s">
        <v>9</v>
      </c>
      <c r="E2167" s="1">
        <v>-8.6</v>
      </c>
      <c r="F2167" s="1" t="s">
        <v>15157</v>
      </c>
    </row>
    <row r="2168" spans="1:6" ht="21" x14ac:dyDescent="0.25">
      <c r="A2168" s="2" t="str">
        <f>HYPERLINK("https://rth.dk/resources/bsgatlas/details.php?id=BSGatlas-terminator-2167","BSGatlas-terminator-2167")</f>
        <v>BSGatlas-terminator-2167</v>
      </c>
      <c r="B2168" s="3">
        <v>3465672</v>
      </c>
      <c r="C2168" s="3">
        <v>3465716</v>
      </c>
      <c r="D2168" s="1" t="s">
        <v>13</v>
      </c>
      <c r="E2168" s="1">
        <v>-10.3</v>
      </c>
      <c r="F2168" s="1" t="s">
        <v>15162</v>
      </c>
    </row>
    <row r="2169" spans="1:6" ht="21" x14ac:dyDescent="0.25">
      <c r="A2169" s="2" t="str">
        <f>HYPERLINK("https://rth.dk/resources/bsgatlas/details.php?id=BSGatlas-terminator-2168","BSGatlas-terminator-2168")</f>
        <v>BSGatlas-terminator-2168</v>
      </c>
      <c r="B2169" s="3">
        <v>3466090</v>
      </c>
      <c r="C2169" s="3">
        <v>3466222</v>
      </c>
      <c r="D2169" s="1" t="s">
        <v>13</v>
      </c>
      <c r="E2169" s="1">
        <v>-11.6</v>
      </c>
      <c r="F2169" s="1" t="s">
        <v>15162</v>
      </c>
    </row>
    <row r="2170" spans="1:6" ht="21" x14ac:dyDescent="0.25">
      <c r="A2170" s="2" t="str">
        <f>HYPERLINK("https://rth.dk/resources/bsgatlas/details.php?id=BSGatlas-terminator-2169","BSGatlas-terminator-2169")</f>
        <v>BSGatlas-terminator-2169</v>
      </c>
      <c r="B2170" s="3">
        <v>3466383</v>
      </c>
      <c r="C2170" s="3">
        <v>3466441</v>
      </c>
      <c r="D2170" s="1" t="s">
        <v>13</v>
      </c>
      <c r="E2170" s="1">
        <v>-28.1</v>
      </c>
      <c r="F2170" s="1" t="s">
        <v>15158</v>
      </c>
    </row>
    <row r="2171" spans="1:6" ht="21" x14ac:dyDescent="0.25">
      <c r="A2171" s="2" t="str">
        <f>HYPERLINK("https://rth.dk/resources/bsgatlas/details.php?id=BSGatlas-terminator-2170","BSGatlas-terminator-2170")</f>
        <v>BSGatlas-terminator-2170</v>
      </c>
      <c r="B2171" s="3">
        <v>3466385</v>
      </c>
      <c r="C2171" s="3">
        <v>3466444</v>
      </c>
      <c r="D2171" s="1" t="s">
        <v>9</v>
      </c>
      <c r="E2171" s="1">
        <v>-23.4</v>
      </c>
      <c r="F2171" s="1" t="s">
        <v>15158</v>
      </c>
    </row>
    <row r="2172" spans="1:6" ht="21" x14ac:dyDescent="0.25">
      <c r="A2172" s="2" t="str">
        <f>HYPERLINK("https://rth.dk/resources/bsgatlas/details.php?id=BSGatlas-terminator-2171","BSGatlas-terminator-2171")</f>
        <v>BSGatlas-terminator-2171</v>
      </c>
      <c r="B2172" s="3">
        <v>3467517</v>
      </c>
      <c r="C2172" s="3">
        <v>3467583</v>
      </c>
      <c r="D2172" s="1" t="s">
        <v>9</v>
      </c>
      <c r="E2172" s="1"/>
      <c r="F2172" s="1" t="s">
        <v>15159</v>
      </c>
    </row>
    <row r="2173" spans="1:6" ht="21" x14ac:dyDescent="0.25">
      <c r="A2173" s="2" t="str">
        <f>HYPERLINK("https://rth.dk/resources/bsgatlas/details.php?id=BSGatlas-terminator-2172","BSGatlas-terminator-2172")</f>
        <v>BSGatlas-terminator-2172</v>
      </c>
      <c r="B2173" s="3">
        <v>3467564</v>
      </c>
      <c r="C2173" s="3">
        <v>3467608</v>
      </c>
      <c r="D2173" s="1" t="s">
        <v>13</v>
      </c>
      <c r="E2173" s="1">
        <v>-11.6</v>
      </c>
      <c r="F2173" s="1" t="s">
        <v>15157</v>
      </c>
    </row>
    <row r="2174" spans="1:6" ht="21" x14ac:dyDescent="0.25">
      <c r="A2174" s="2" t="str">
        <f>HYPERLINK("https://rth.dk/resources/bsgatlas/details.php?id=BSGatlas-terminator-2173","BSGatlas-terminator-2173")</f>
        <v>BSGatlas-terminator-2173</v>
      </c>
      <c r="B2174" s="3">
        <v>3471832</v>
      </c>
      <c r="C2174" s="3">
        <v>3471876</v>
      </c>
      <c r="D2174" s="1" t="s">
        <v>13</v>
      </c>
      <c r="E2174" s="1">
        <v>-16.399999999999999</v>
      </c>
      <c r="F2174" s="1" t="s">
        <v>15157</v>
      </c>
    </row>
    <row r="2175" spans="1:6" ht="21" x14ac:dyDescent="0.25">
      <c r="A2175" s="2" t="str">
        <f>HYPERLINK("https://rth.dk/resources/bsgatlas/details.php?id=BSGatlas-terminator-2174","BSGatlas-terminator-2174")</f>
        <v>BSGatlas-terminator-2174</v>
      </c>
      <c r="B2175" s="3">
        <v>3473204</v>
      </c>
      <c r="C2175" s="3">
        <v>3473248</v>
      </c>
      <c r="D2175" s="1" t="s">
        <v>9</v>
      </c>
      <c r="E2175" s="1">
        <v>-7.9</v>
      </c>
      <c r="F2175" s="1" t="s">
        <v>15157</v>
      </c>
    </row>
    <row r="2176" spans="1:6" ht="21" x14ac:dyDescent="0.25">
      <c r="A2176" s="2" t="str">
        <f>HYPERLINK("https://rth.dk/resources/bsgatlas/details.php?id=BSGatlas-terminator-2175","BSGatlas-terminator-2175")</f>
        <v>BSGatlas-terminator-2175</v>
      </c>
      <c r="B2176" s="3">
        <v>3474021</v>
      </c>
      <c r="C2176" s="3">
        <v>3474065</v>
      </c>
      <c r="D2176" s="1" t="s">
        <v>9</v>
      </c>
      <c r="E2176" s="1">
        <v>-17.2</v>
      </c>
      <c r="F2176" s="1" t="s">
        <v>15157</v>
      </c>
    </row>
    <row r="2177" spans="1:6" ht="21" x14ac:dyDescent="0.25">
      <c r="A2177" s="2" t="str">
        <f>HYPERLINK("https://rth.dk/resources/bsgatlas/details.php?id=BSGatlas-terminator-2176","BSGatlas-terminator-2176")</f>
        <v>BSGatlas-terminator-2176</v>
      </c>
      <c r="B2177" s="3">
        <v>3474103</v>
      </c>
      <c r="C2177" s="3">
        <v>3474147</v>
      </c>
      <c r="D2177" s="1" t="s">
        <v>13</v>
      </c>
      <c r="E2177" s="1">
        <v>-17.2</v>
      </c>
      <c r="F2177" s="1" t="s">
        <v>15157</v>
      </c>
    </row>
    <row r="2178" spans="1:6" ht="21" x14ac:dyDescent="0.25">
      <c r="A2178" s="2" t="str">
        <f>HYPERLINK("https://rth.dk/resources/bsgatlas/details.php?id=BSGatlas-terminator-2177","BSGatlas-terminator-2177")</f>
        <v>BSGatlas-terminator-2177</v>
      </c>
      <c r="B2178" s="3">
        <v>3474274</v>
      </c>
      <c r="C2178" s="3">
        <v>3474318</v>
      </c>
      <c r="D2178" s="1" t="s">
        <v>13</v>
      </c>
      <c r="E2178" s="1">
        <v>-17.2</v>
      </c>
      <c r="F2178" s="1" t="s">
        <v>15157</v>
      </c>
    </row>
    <row r="2179" spans="1:6" ht="21" x14ac:dyDescent="0.25">
      <c r="A2179" s="2" t="str">
        <f>HYPERLINK("https://rth.dk/resources/bsgatlas/details.php?id=BSGatlas-terminator-2178","BSGatlas-terminator-2178")</f>
        <v>BSGatlas-terminator-2178</v>
      </c>
      <c r="B2179" s="3">
        <v>3476485</v>
      </c>
      <c r="C2179" s="3">
        <v>3476529</v>
      </c>
      <c r="D2179" s="1" t="s">
        <v>9</v>
      </c>
      <c r="E2179" s="1">
        <v>-13.3</v>
      </c>
      <c r="F2179" s="1" t="s">
        <v>15157</v>
      </c>
    </row>
    <row r="2180" spans="1:6" ht="21" x14ac:dyDescent="0.25">
      <c r="A2180" s="2" t="str">
        <f>HYPERLINK("https://rth.dk/resources/bsgatlas/details.php?id=BSGatlas-terminator-2179","BSGatlas-terminator-2179")</f>
        <v>BSGatlas-terminator-2179</v>
      </c>
      <c r="B2180" s="3">
        <v>3476508</v>
      </c>
      <c r="C2180" s="3">
        <v>3476551</v>
      </c>
      <c r="D2180" s="1" t="s">
        <v>13</v>
      </c>
      <c r="E2180" s="1">
        <v>-19.100000000000001</v>
      </c>
      <c r="F2180" s="1" t="s">
        <v>15158</v>
      </c>
    </row>
    <row r="2181" spans="1:6" ht="21" x14ac:dyDescent="0.25">
      <c r="A2181" s="2" t="str">
        <f>HYPERLINK("https://rth.dk/resources/bsgatlas/details.php?id=BSGatlas-terminator-2180","BSGatlas-terminator-2180")</f>
        <v>BSGatlas-terminator-2180</v>
      </c>
      <c r="B2181" s="3">
        <v>3481593</v>
      </c>
      <c r="C2181" s="3">
        <v>3481637</v>
      </c>
      <c r="D2181" s="1" t="s">
        <v>13</v>
      </c>
      <c r="E2181" s="1">
        <v>-19.399999999999999</v>
      </c>
      <c r="F2181" s="1" t="s">
        <v>4382</v>
      </c>
    </row>
    <row r="2182" spans="1:6" ht="21" x14ac:dyDescent="0.25">
      <c r="A2182" s="2" t="str">
        <f>HYPERLINK("https://rth.dk/resources/bsgatlas/details.php?id=BSGatlas-terminator-2181","BSGatlas-terminator-2181")</f>
        <v>BSGatlas-terminator-2181</v>
      </c>
      <c r="B2182" s="3">
        <v>3483790</v>
      </c>
      <c r="C2182" s="3">
        <v>3483834</v>
      </c>
      <c r="D2182" s="1" t="s">
        <v>9</v>
      </c>
      <c r="E2182" s="1">
        <v>-11.8</v>
      </c>
      <c r="F2182" s="1" t="s">
        <v>15157</v>
      </c>
    </row>
    <row r="2183" spans="1:6" ht="21" x14ac:dyDescent="0.25">
      <c r="A2183" s="2" t="str">
        <f>HYPERLINK("https://rth.dk/resources/bsgatlas/details.php?id=BSGatlas-terminator-2182","BSGatlas-terminator-2182")</f>
        <v>BSGatlas-terminator-2182</v>
      </c>
      <c r="B2183" s="3">
        <v>3484017</v>
      </c>
      <c r="C2183" s="3">
        <v>3484060</v>
      </c>
      <c r="D2183" s="1" t="s">
        <v>13</v>
      </c>
      <c r="E2183" s="1">
        <v>-19.8</v>
      </c>
      <c r="F2183" s="1" t="s">
        <v>4382</v>
      </c>
    </row>
    <row r="2184" spans="1:6" ht="21" x14ac:dyDescent="0.25">
      <c r="A2184" s="2" t="str">
        <f>HYPERLINK("https://rth.dk/resources/bsgatlas/details.php?id=BSGatlas-terminator-2183","BSGatlas-terminator-2183")</f>
        <v>BSGatlas-terminator-2183</v>
      </c>
      <c r="B2184" s="3">
        <v>3484064</v>
      </c>
      <c r="C2184" s="3">
        <v>3484108</v>
      </c>
      <c r="D2184" s="1" t="s">
        <v>13</v>
      </c>
      <c r="E2184" s="1">
        <v>-14.6</v>
      </c>
      <c r="F2184" s="1" t="s">
        <v>15157</v>
      </c>
    </row>
    <row r="2185" spans="1:6" ht="21" x14ac:dyDescent="0.25">
      <c r="A2185" s="2" t="str">
        <f>HYPERLINK("https://rth.dk/resources/bsgatlas/details.php?id=BSGatlas-terminator-2184","BSGatlas-terminator-2184")</f>
        <v>BSGatlas-terminator-2184</v>
      </c>
      <c r="B2185" s="3">
        <v>3486759</v>
      </c>
      <c r="C2185" s="3">
        <v>3486807</v>
      </c>
      <c r="D2185" s="1" t="s">
        <v>9</v>
      </c>
      <c r="E2185" s="1">
        <v>-15.7</v>
      </c>
      <c r="F2185" s="1" t="s">
        <v>15158</v>
      </c>
    </row>
    <row r="2186" spans="1:6" ht="21" x14ac:dyDescent="0.25">
      <c r="A2186" s="2" t="str">
        <f>HYPERLINK("https://rth.dk/resources/bsgatlas/details.php?id=BSGatlas-terminator-2185","BSGatlas-terminator-2185")</f>
        <v>BSGatlas-terminator-2185</v>
      </c>
      <c r="B2186" s="3">
        <v>3486792</v>
      </c>
      <c r="C2186" s="3">
        <v>3486836</v>
      </c>
      <c r="D2186" s="1" t="s">
        <v>13</v>
      </c>
      <c r="E2186" s="1">
        <v>-14.2</v>
      </c>
      <c r="F2186" s="1" t="s">
        <v>15157</v>
      </c>
    </row>
    <row r="2187" spans="1:6" ht="21" x14ac:dyDescent="0.25">
      <c r="A2187" s="2" t="str">
        <f>HYPERLINK("https://rth.dk/resources/bsgatlas/details.php?id=BSGatlas-terminator-2186","BSGatlas-terminator-2186")</f>
        <v>BSGatlas-terminator-2186</v>
      </c>
      <c r="B2187" s="3">
        <v>3489836</v>
      </c>
      <c r="C2187" s="3">
        <v>3489880</v>
      </c>
      <c r="D2187" s="1" t="s">
        <v>9</v>
      </c>
      <c r="E2187" s="1">
        <v>-19.2</v>
      </c>
      <c r="F2187" s="1" t="s">
        <v>15157</v>
      </c>
    </row>
    <row r="2188" spans="1:6" ht="21" x14ac:dyDescent="0.25">
      <c r="A2188" s="2" t="str">
        <f>HYPERLINK("https://rth.dk/resources/bsgatlas/details.php?id=BSGatlas-terminator-2187","BSGatlas-terminator-2187")</f>
        <v>BSGatlas-terminator-2187</v>
      </c>
      <c r="B2188" s="3">
        <v>3491434</v>
      </c>
      <c r="C2188" s="3">
        <v>3491478</v>
      </c>
      <c r="D2188" s="1" t="s">
        <v>13</v>
      </c>
      <c r="E2188" s="1">
        <v>-24.4</v>
      </c>
      <c r="F2188" s="1" t="s">
        <v>15157</v>
      </c>
    </row>
    <row r="2189" spans="1:6" ht="21" x14ac:dyDescent="0.25">
      <c r="A2189" s="2" t="str">
        <f>HYPERLINK("https://rth.dk/resources/bsgatlas/details.php?id=BSGatlas-terminator-2188","BSGatlas-terminator-2188")</f>
        <v>BSGatlas-terminator-2188</v>
      </c>
      <c r="B2189" s="3">
        <v>3492791</v>
      </c>
      <c r="C2189" s="3">
        <v>3492835</v>
      </c>
      <c r="D2189" s="1" t="s">
        <v>13</v>
      </c>
      <c r="E2189" s="1">
        <v>-15.7</v>
      </c>
      <c r="F2189" s="1" t="s">
        <v>15157</v>
      </c>
    </row>
    <row r="2190" spans="1:6" ht="21" x14ac:dyDescent="0.25">
      <c r="A2190" s="2" t="str">
        <f>HYPERLINK("https://rth.dk/resources/bsgatlas/details.php?id=BSGatlas-terminator-2189","BSGatlas-terminator-2189")</f>
        <v>BSGatlas-terminator-2189</v>
      </c>
      <c r="B2190" s="3">
        <v>3494658</v>
      </c>
      <c r="C2190" s="3">
        <v>3494702</v>
      </c>
      <c r="D2190" s="1" t="s">
        <v>9</v>
      </c>
      <c r="E2190" s="1">
        <v>-11.7</v>
      </c>
      <c r="F2190" s="1" t="s">
        <v>15157</v>
      </c>
    </row>
    <row r="2191" spans="1:6" ht="21" x14ac:dyDescent="0.25">
      <c r="A2191" s="2" t="str">
        <f>HYPERLINK("https://rth.dk/resources/bsgatlas/details.php?id=BSGatlas-terminator-2190","BSGatlas-terminator-2190")</f>
        <v>BSGatlas-terminator-2190</v>
      </c>
      <c r="B2191" s="3">
        <v>3495677</v>
      </c>
      <c r="C2191" s="3">
        <v>3495721</v>
      </c>
      <c r="D2191" s="1" t="s">
        <v>9</v>
      </c>
      <c r="E2191" s="1">
        <v>-11.7</v>
      </c>
      <c r="F2191" s="1" t="s">
        <v>15157</v>
      </c>
    </row>
    <row r="2192" spans="1:6" ht="21" x14ac:dyDescent="0.25">
      <c r="A2192" s="2" t="str">
        <f>HYPERLINK("https://rth.dk/resources/bsgatlas/details.php?id=BSGatlas-terminator-2191","BSGatlas-terminator-2191")</f>
        <v>BSGatlas-terminator-2191</v>
      </c>
      <c r="B2192" s="3">
        <v>3501562</v>
      </c>
      <c r="C2192" s="3">
        <v>3501606</v>
      </c>
      <c r="D2192" s="1" t="s">
        <v>9</v>
      </c>
      <c r="E2192" s="1">
        <v>-17.8</v>
      </c>
      <c r="F2192" s="1" t="s">
        <v>15157</v>
      </c>
    </row>
    <row r="2193" spans="1:6" ht="21" x14ac:dyDescent="0.25">
      <c r="A2193" s="2" t="str">
        <f>HYPERLINK("https://rth.dk/resources/bsgatlas/details.php?id=BSGatlas-terminator-2192","BSGatlas-terminator-2192")</f>
        <v>BSGatlas-terminator-2192</v>
      </c>
      <c r="B2193" s="3">
        <v>3501585</v>
      </c>
      <c r="C2193" s="3">
        <v>3501646</v>
      </c>
      <c r="D2193" s="1" t="s">
        <v>13</v>
      </c>
      <c r="E2193" s="1">
        <v>-27.2</v>
      </c>
      <c r="F2193" s="1" t="s">
        <v>4382</v>
      </c>
    </row>
    <row r="2194" spans="1:6" ht="21" x14ac:dyDescent="0.25">
      <c r="A2194" s="2" t="str">
        <f>HYPERLINK("https://rth.dk/resources/bsgatlas/details.php?id=BSGatlas-terminator-2193","BSGatlas-terminator-2193")</f>
        <v>BSGatlas-terminator-2193</v>
      </c>
      <c r="B2194" s="3">
        <v>3508671</v>
      </c>
      <c r="C2194" s="3">
        <v>3508715</v>
      </c>
      <c r="D2194" s="1" t="s">
        <v>13</v>
      </c>
      <c r="E2194" s="1">
        <v>-8.3000000000000007</v>
      </c>
      <c r="F2194" s="1" t="s">
        <v>15157</v>
      </c>
    </row>
    <row r="2195" spans="1:6" ht="21" x14ac:dyDescent="0.25">
      <c r="A2195" s="2" t="str">
        <f>HYPERLINK("https://rth.dk/resources/bsgatlas/details.php?id=BSGatlas-terminator-2194","BSGatlas-terminator-2194")</f>
        <v>BSGatlas-terminator-2194</v>
      </c>
      <c r="B2195" s="3">
        <v>3509782</v>
      </c>
      <c r="C2195" s="3">
        <v>3509826</v>
      </c>
      <c r="D2195" s="1" t="s">
        <v>13</v>
      </c>
      <c r="E2195" s="1">
        <v>-13.7</v>
      </c>
      <c r="F2195" s="1" t="s">
        <v>15162</v>
      </c>
    </row>
    <row r="2196" spans="1:6" ht="21" x14ac:dyDescent="0.25">
      <c r="A2196" s="2" t="str">
        <f>HYPERLINK("https://rth.dk/resources/bsgatlas/details.php?id=BSGatlas-terminator-2195","BSGatlas-terminator-2195")</f>
        <v>BSGatlas-terminator-2195</v>
      </c>
      <c r="B2196" s="3">
        <v>3512434</v>
      </c>
      <c r="C2196" s="3">
        <v>3512478</v>
      </c>
      <c r="D2196" s="1" t="s">
        <v>9</v>
      </c>
      <c r="E2196" s="1">
        <v>-11.7</v>
      </c>
      <c r="F2196" s="1" t="s">
        <v>15157</v>
      </c>
    </row>
    <row r="2197" spans="1:6" ht="21" x14ac:dyDescent="0.25">
      <c r="A2197" s="2" t="str">
        <f>HYPERLINK("https://rth.dk/resources/bsgatlas/details.php?id=BSGatlas-terminator-2196","BSGatlas-terminator-2196")</f>
        <v>BSGatlas-terminator-2196</v>
      </c>
      <c r="B2197" s="3">
        <v>3512462</v>
      </c>
      <c r="C2197" s="3">
        <v>3512516</v>
      </c>
      <c r="D2197" s="1" t="s">
        <v>13</v>
      </c>
      <c r="E2197" s="1">
        <v>-15</v>
      </c>
      <c r="F2197" s="1" t="s">
        <v>15158</v>
      </c>
    </row>
    <row r="2198" spans="1:6" ht="21" x14ac:dyDescent="0.25">
      <c r="A2198" s="2" t="str">
        <f>HYPERLINK("https://rth.dk/resources/bsgatlas/details.php?id=BSGatlas-terminator-2197","BSGatlas-terminator-2197")</f>
        <v>BSGatlas-terminator-2197</v>
      </c>
      <c r="B2198" s="3">
        <v>3513538</v>
      </c>
      <c r="C2198" s="3">
        <v>3513604</v>
      </c>
      <c r="D2198" s="1" t="s">
        <v>9</v>
      </c>
      <c r="E2198" s="1"/>
      <c r="F2198" s="1" t="s">
        <v>15159</v>
      </c>
    </row>
    <row r="2199" spans="1:6" ht="21" x14ac:dyDescent="0.25">
      <c r="A2199" s="2" t="str">
        <f>HYPERLINK("https://rth.dk/resources/bsgatlas/details.php?id=BSGatlas-terminator-2198","BSGatlas-terminator-2198")</f>
        <v>BSGatlas-terminator-2198</v>
      </c>
      <c r="B2199" s="3">
        <v>3514102</v>
      </c>
      <c r="C2199" s="3">
        <v>3514148</v>
      </c>
      <c r="D2199" s="1" t="s">
        <v>9</v>
      </c>
      <c r="E2199" s="1">
        <v>-18</v>
      </c>
      <c r="F2199" s="1" t="s">
        <v>15158</v>
      </c>
    </row>
    <row r="2200" spans="1:6" ht="21" x14ac:dyDescent="0.25">
      <c r="A2200" s="2" t="str">
        <f>HYPERLINK("https://rth.dk/resources/bsgatlas/details.php?id=BSGatlas-terminator-2199","BSGatlas-terminator-2199")</f>
        <v>BSGatlas-terminator-2199</v>
      </c>
      <c r="B2200" s="3">
        <v>3532059</v>
      </c>
      <c r="C2200" s="3">
        <v>3532103</v>
      </c>
      <c r="D2200" s="1" t="s">
        <v>9</v>
      </c>
      <c r="E2200" s="1">
        <v>-12.2</v>
      </c>
      <c r="F2200" s="1" t="s">
        <v>15157</v>
      </c>
    </row>
    <row r="2201" spans="1:6" ht="21" x14ac:dyDescent="0.25">
      <c r="A2201" s="2" t="str">
        <f>HYPERLINK("https://rth.dk/resources/bsgatlas/details.php?id=BSGatlas-terminator-2200","BSGatlas-terminator-2200")</f>
        <v>BSGatlas-terminator-2200</v>
      </c>
      <c r="B2201" s="3">
        <v>3532255</v>
      </c>
      <c r="C2201" s="3">
        <v>3532299</v>
      </c>
      <c r="D2201" s="1" t="s">
        <v>9</v>
      </c>
      <c r="E2201" s="1">
        <v>-22.3</v>
      </c>
      <c r="F2201" s="1" t="s">
        <v>15157</v>
      </c>
    </row>
    <row r="2202" spans="1:6" ht="21" x14ac:dyDescent="0.25">
      <c r="A2202" s="2" t="str">
        <f>HYPERLINK("https://rth.dk/resources/bsgatlas/details.php?id=BSGatlas-terminator-2201","BSGatlas-terminator-2201")</f>
        <v>BSGatlas-terminator-2201</v>
      </c>
      <c r="B2202" s="3">
        <v>3533371</v>
      </c>
      <c r="C2202" s="3">
        <v>3533416</v>
      </c>
      <c r="D2202" s="1" t="s">
        <v>13</v>
      </c>
      <c r="E2202" s="1">
        <v>-17</v>
      </c>
      <c r="F2202" s="1" t="s">
        <v>15158</v>
      </c>
    </row>
    <row r="2203" spans="1:6" ht="21" x14ac:dyDescent="0.25">
      <c r="A2203" s="2" t="str">
        <f>HYPERLINK("https://rth.dk/resources/bsgatlas/details.php?id=BSGatlas-terminator-2202","BSGatlas-terminator-2202")</f>
        <v>BSGatlas-terminator-2202</v>
      </c>
      <c r="B2203" s="3">
        <v>3535851</v>
      </c>
      <c r="C2203" s="3">
        <v>3535922</v>
      </c>
      <c r="D2203" s="1" t="s">
        <v>9</v>
      </c>
      <c r="E2203" s="1">
        <v>-15.8</v>
      </c>
      <c r="F2203" s="1" t="s">
        <v>4382</v>
      </c>
    </row>
    <row r="2204" spans="1:6" ht="21" x14ac:dyDescent="0.25">
      <c r="A2204" s="2" t="str">
        <f>HYPERLINK("https://rth.dk/resources/bsgatlas/details.php?id=BSGatlas-terminator-2203","BSGatlas-terminator-2203")</f>
        <v>BSGatlas-terminator-2203</v>
      </c>
      <c r="B2204" s="3">
        <v>3537439</v>
      </c>
      <c r="C2204" s="3">
        <v>3537482</v>
      </c>
      <c r="D2204" s="1" t="s">
        <v>9</v>
      </c>
      <c r="E2204" s="1">
        <v>-10.5</v>
      </c>
      <c r="F2204" s="1" t="s">
        <v>15158</v>
      </c>
    </row>
    <row r="2205" spans="1:6" ht="21" x14ac:dyDescent="0.25">
      <c r="A2205" s="2" t="str">
        <f>HYPERLINK("https://rth.dk/resources/bsgatlas/details.php?id=BSGatlas-terminator-2204","BSGatlas-terminator-2204")</f>
        <v>BSGatlas-terminator-2204</v>
      </c>
      <c r="B2205" s="3">
        <v>3539053</v>
      </c>
      <c r="C2205" s="3">
        <v>3539099</v>
      </c>
      <c r="D2205" s="1" t="s">
        <v>9</v>
      </c>
      <c r="E2205" s="1">
        <v>-22.6</v>
      </c>
      <c r="F2205" s="1" t="s">
        <v>4382</v>
      </c>
    </row>
    <row r="2206" spans="1:6" ht="21" x14ac:dyDescent="0.25">
      <c r="A2206" s="2" t="str">
        <f>HYPERLINK("https://rth.dk/resources/bsgatlas/details.php?id=BSGatlas-terminator-2205","BSGatlas-terminator-2205")</f>
        <v>BSGatlas-terminator-2205</v>
      </c>
      <c r="B2206" s="3">
        <v>3540724</v>
      </c>
      <c r="C2206" s="3">
        <v>3540766</v>
      </c>
      <c r="D2206" s="1" t="s">
        <v>9</v>
      </c>
      <c r="E2206" s="1">
        <v>-14.8</v>
      </c>
      <c r="F2206" s="1" t="s">
        <v>15158</v>
      </c>
    </row>
    <row r="2207" spans="1:6" ht="21" x14ac:dyDescent="0.25">
      <c r="A2207" s="2" t="str">
        <f>HYPERLINK("https://rth.dk/resources/bsgatlas/details.php?id=BSGatlas-terminator-2206","BSGatlas-terminator-2206")</f>
        <v>BSGatlas-terminator-2206</v>
      </c>
      <c r="B2207" s="3">
        <v>3541365</v>
      </c>
      <c r="C2207" s="3">
        <v>3541409</v>
      </c>
      <c r="D2207" s="1" t="s">
        <v>9</v>
      </c>
      <c r="E2207" s="1">
        <v>-11.7</v>
      </c>
      <c r="F2207" s="1" t="s">
        <v>15157</v>
      </c>
    </row>
    <row r="2208" spans="1:6" ht="21" x14ac:dyDescent="0.25">
      <c r="A2208" s="2" t="str">
        <f>HYPERLINK("https://rth.dk/resources/bsgatlas/details.php?id=BSGatlas-terminator-2207","BSGatlas-terminator-2207")</f>
        <v>BSGatlas-terminator-2207</v>
      </c>
      <c r="B2208" s="3">
        <v>3541463</v>
      </c>
      <c r="C2208" s="3">
        <v>3541507</v>
      </c>
      <c r="D2208" s="1" t="s">
        <v>13</v>
      </c>
      <c r="E2208" s="1">
        <v>-11.7</v>
      </c>
      <c r="F2208" s="1" t="s">
        <v>15157</v>
      </c>
    </row>
    <row r="2209" spans="1:6" ht="21" x14ac:dyDescent="0.25">
      <c r="A2209" s="2" t="str">
        <f>HYPERLINK("https://rth.dk/resources/bsgatlas/details.php?id=BSGatlas-terminator-2208","BSGatlas-terminator-2208")</f>
        <v>BSGatlas-terminator-2208</v>
      </c>
      <c r="B2209" s="3">
        <v>3541895</v>
      </c>
      <c r="C2209" s="3">
        <v>3541940</v>
      </c>
      <c r="D2209" s="1" t="s">
        <v>13</v>
      </c>
      <c r="E2209" s="1">
        <v>-5.5</v>
      </c>
      <c r="F2209" s="1" t="s">
        <v>4382</v>
      </c>
    </row>
    <row r="2210" spans="1:6" ht="21" x14ac:dyDescent="0.25">
      <c r="A2210" s="2" t="str">
        <f>HYPERLINK("https://rth.dk/resources/bsgatlas/details.php?id=BSGatlas-terminator-2209","BSGatlas-terminator-2209")</f>
        <v>BSGatlas-terminator-2209</v>
      </c>
      <c r="B2210" s="3">
        <v>3542289</v>
      </c>
      <c r="C2210" s="3">
        <v>3542333</v>
      </c>
      <c r="D2210" s="1" t="s">
        <v>9</v>
      </c>
      <c r="E2210" s="1">
        <v>-14.2</v>
      </c>
      <c r="F2210" s="1" t="s">
        <v>15162</v>
      </c>
    </row>
    <row r="2211" spans="1:6" ht="21" x14ac:dyDescent="0.25">
      <c r="A2211" s="2" t="str">
        <f>HYPERLINK("https://rth.dk/resources/bsgatlas/details.php?id=BSGatlas-terminator-2210","BSGatlas-terminator-2210")</f>
        <v>BSGatlas-terminator-2210</v>
      </c>
      <c r="B2211" s="3">
        <v>3542784</v>
      </c>
      <c r="C2211" s="3">
        <v>3542836</v>
      </c>
      <c r="D2211" s="1" t="s">
        <v>13</v>
      </c>
      <c r="E2211" s="1">
        <v>-14.9</v>
      </c>
      <c r="F2211" s="1" t="s">
        <v>15160</v>
      </c>
    </row>
    <row r="2212" spans="1:6" ht="21" x14ac:dyDescent="0.25">
      <c r="A2212" s="2" t="str">
        <f>HYPERLINK("https://rth.dk/resources/bsgatlas/details.php?id=BSGatlas-terminator-2211","BSGatlas-terminator-2211")</f>
        <v>BSGatlas-terminator-2211</v>
      </c>
      <c r="B2212" s="3">
        <v>3545825</v>
      </c>
      <c r="C2212" s="3">
        <v>3545891</v>
      </c>
      <c r="D2212" s="1" t="s">
        <v>9</v>
      </c>
      <c r="E2212" s="1"/>
      <c r="F2212" s="1" t="s">
        <v>15159</v>
      </c>
    </row>
    <row r="2213" spans="1:6" ht="21" x14ac:dyDescent="0.25">
      <c r="A2213" s="2" t="str">
        <f>HYPERLINK("https://rth.dk/resources/bsgatlas/details.php?id=BSGatlas-terminator-2212","BSGatlas-terminator-2212")</f>
        <v>BSGatlas-terminator-2212</v>
      </c>
      <c r="B2213" s="3">
        <v>3545863</v>
      </c>
      <c r="C2213" s="3">
        <v>3545907</v>
      </c>
      <c r="D2213" s="1" t="s">
        <v>13</v>
      </c>
      <c r="E2213" s="1">
        <v>-13.2</v>
      </c>
      <c r="F2213" s="1" t="s">
        <v>15157</v>
      </c>
    </row>
    <row r="2214" spans="1:6" ht="21" x14ac:dyDescent="0.25">
      <c r="A2214" s="2" t="str">
        <f>HYPERLINK("https://rth.dk/resources/bsgatlas/details.php?id=BSGatlas-terminator-2213","BSGatlas-terminator-2213")</f>
        <v>BSGatlas-terminator-2213</v>
      </c>
      <c r="B2214" s="3">
        <v>3546831</v>
      </c>
      <c r="C2214" s="3">
        <v>3546876</v>
      </c>
      <c r="D2214" s="1" t="s">
        <v>9</v>
      </c>
      <c r="E2214" s="1">
        <v>-17.7</v>
      </c>
      <c r="F2214" s="1" t="s">
        <v>15158</v>
      </c>
    </row>
    <row r="2215" spans="1:6" ht="21" x14ac:dyDescent="0.25">
      <c r="A2215" s="2" t="str">
        <f>HYPERLINK("https://rth.dk/resources/bsgatlas/details.php?id=BSGatlas-terminator-2214","BSGatlas-terminator-2214")</f>
        <v>BSGatlas-terminator-2214</v>
      </c>
      <c r="B2215" s="3">
        <v>3546875</v>
      </c>
      <c r="C2215" s="3">
        <v>3546919</v>
      </c>
      <c r="D2215" s="1" t="s">
        <v>13</v>
      </c>
      <c r="E2215" s="1">
        <v>-14.6</v>
      </c>
      <c r="F2215" s="1" t="s">
        <v>15157</v>
      </c>
    </row>
    <row r="2216" spans="1:6" ht="21" x14ac:dyDescent="0.25">
      <c r="A2216" s="2" t="str">
        <f>HYPERLINK("https://rth.dk/resources/bsgatlas/details.php?id=BSGatlas-terminator-2215","BSGatlas-terminator-2215")</f>
        <v>BSGatlas-terminator-2215</v>
      </c>
      <c r="B2216" s="3">
        <v>3547226</v>
      </c>
      <c r="C2216" s="3">
        <v>3547292</v>
      </c>
      <c r="D2216" s="1" t="s">
        <v>9</v>
      </c>
      <c r="E2216" s="1"/>
      <c r="F2216" s="1" t="s">
        <v>15159</v>
      </c>
    </row>
    <row r="2217" spans="1:6" ht="21" x14ac:dyDescent="0.25">
      <c r="A2217" s="2" t="str">
        <f>HYPERLINK("https://rth.dk/resources/bsgatlas/details.php?id=BSGatlas-terminator-2216","BSGatlas-terminator-2216")</f>
        <v>BSGatlas-terminator-2216</v>
      </c>
      <c r="B2217" s="3">
        <v>3558846</v>
      </c>
      <c r="C2217" s="3">
        <v>3558890</v>
      </c>
      <c r="D2217" s="1" t="s">
        <v>13</v>
      </c>
      <c r="E2217" s="1">
        <v>-10</v>
      </c>
      <c r="F2217" s="1" t="s">
        <v>15157</v>
      </c>
    </row>
    <row r="2218" spans="1:6" ht="21" x14ac:dyDescent="0.25">
      <c r="A2218" s="2" t="str">
        <f>HYPERLINK("https://rth.dk/resources/bsgatlas/details.php?id=BSGatlas-terminator-2217","BSGatlas-terminator-2217")</f>
        <v>BSGatlas-terminator-2217</v>
      </c>
      <c r="B2218" s="3">
        <v>3558930</v>
      </c>
      <c r="C2218" s="3">
        <v>3558974</v>
      </c>
      <c r="D2218" s="1" t="s">
        <v>13</v>
      </c>
      <c r="E2218" s="1">
        <v>-10</v>
      </c>
      <c r="F2218" s="1" t="s">
        <v>15157</v>
      </c>
    </row>
    <row r="2219" spans="1:6" ht="21" x14ac:dyDescent="0.25">
      <c r="A2219" s="2" t="str">
        <f>HYPERLINK("https://rth.dk/resources/bsgatlas/details.php?id=BSGatlas-terminator-2218","BSGatlas-terminator-2218")</f>
        <v>BSGatlas-terminator-2218</v>
      </c>
      <c r="B2219" s="3">
        <v>3559911</v>
      </c>
      <c r="C2219" s="3">
        <v>3559955</v>
      </c>
      <c r="D2219" s="1" t="s">
        <v>9</v>
      </c>
      <c r="E2219" s="1">
        <v>-11.6</v>
      </c>
      <c r="F2219" s="1" t="s">
        <v>15157</v>
      </c>
    </row>
    <row r="2220" spans="1:6" ht="21" x14ac:dyDescent="0.25">
      <c r="A2220" s="2" t="str">
        <f>HYPERLINK("https://rth.dk/resources/bsgatlas/details.php?id=BSGatlas-terminator-2219","BSGatlas-terminator-2219")</f>
        <v>BSGatlas-terminator-2219</v>
      </c>
      <c r="B2220" s="3">
        <v>3559957</v>
      </c>
      <c r="C2220" s="3">
        <v>3560001</v>
      </c>
      <c r="D2220" s="1" t="s">
        <v>13</v>
      </c>
      <c r="E2220" s="1">
        <v>-11.3</v>
      </c>
      <c r="F2220" s="1" t="s">
        <v>15157</v>
      </c>
    </row>
    <row r="2221" spans="1:6" ht="21" x14ac:dyDescent="0.25">
      <c r="A2221" s="2" t="str">
        <f>HYPERLINK("https://rth.dk/resources/bsgatlas/details.php?id=BSGatlas-terminator-2220","BSGatlas-terminator-2220")</f>
        <v>BSGatlas-terminator-2220</v>
      </c>
      <c r="B2221" s="3">
        <v>3563493</v>
      </c>
      <c r="C2221" s="3">
        <v>3563537</v>
      </c>
      <c r="D2221" s="1" t="s">
        <v>9</v>
      </c>
      <c r="E2221" s="1">
        <v>-14.7</v>
      </c>
      <c r="F2221" s="1" t="s">
        <v>15157</v>
      </c>
    </row>
    <row r="2222" spans="1:6" ht="21" x14ac:dyDescent="0.25">
      <c r="A2222" s="2" t="str">
        <f>HYPERLINK("https://rth.dk/resources/bsgatlas/details.php?id=BSGatlas-terminator-2221","BSGatlas-terminator-2221")</f>
        <v>BSGatlas-terminator-2221</v>
      </c>
      <c r="B2222" s="3">
        <v>3563537</v>
      </c>
      <c r="C2222" s="3">
        <v>3563587</v>
      </c>
      <c r="D2222" s="1" t="s">
        <v>13</v>
      </c>
      <c r="E2222" s="1">
        <v>-17.2</v>
      </c>
      <c r="F2222" s="1" t="s">
        <v>15158</v>
      </c>
    </row>
    <row r="2223" spans="1:6" ht="21" x14ac:dyDescent="0.25">
      <c r="A2223" s="2" t="str">
        <f>HYPERLINK("https://rth.dk/resources/bsgatlas/details.php?id=BSGatlas-terminator-2222","BSGatlas-terminator-2222")</f>
        <v>BSGatlas-terminator-2222</v>
      </c>
      <c r="B2223" s="3">
        <v>3568447</v>
      </c>
      <c r="C2223" s="3">
        <v>3568491</v>
      </c>
      <c r="D2223" s="1" t="s">
        <v>9</v>
      </c>
      <c r="E2223" s="1">
        <v>-11.4</v>
      </c>
      <c r="F2223" s="1" t="s">
        <v>15157</v>
      </c>
    </row>
    <row r="2224" spans="1:6" ht="21" x14ac:dyDescent="0.25">
      <c r="A2224" s="2" t="str">
        <f>HYPERLINK("https://rth.dk/resources/bsgatlas/details.php?id=BSGatlas-terminator-2223","BSGatlas-terminator-2223")</f>
        <v>BSGatlas-terminator-2223</v>
      </c>
      <c r="B2224" s="3">
        <v>3568479</v>
      </c>
      <c r="C2224" s="3">
        <v>3568523</v>
      </c>
      <c r="D2224" s="1" t="s">
        <v>13</v>
      </c>
      <c r="E2224" s="1">
        <v>-11.5</v>
      </c>
      <c r="F2224" s="1" t="s">
        <v>15157</v>
      </c>
    </row>
    <row r="2225" spans="1:6" ht="21" x14ac:dyDescent="0.25">
      <c r="A2225" s="2" t="str">
        <f>HYPERLINK("https://rth.dk/resources/bsgatlas/details.php?id=BSGatlas-terminator-2224","BSGatlas-terminator-2224")</f>
        <v>BSGatlas-terminator-2224</v>
      </c>
      <c r="B2225" s="3">
        <v>3568527</v>
      </c>
      <c r="C2225" s="3">
        <v>3568571</v>
      </c>
      <c r="D2225" s="1" t="s">
        <v>13</v>
      </c>
      <c r="E2225" s="1">
        <v>-11.5</v>
      </c>
      <c r="F2225" s="1" t="s">
        <v>15157</v>
      </c>
    </row>
    <row r="2226" spans="1:6" ht="21" x14ac:dyDescent="0.25">
      <c r="A2226" s="2" t="str">
        <f>HYPERLINK("https://rth.dk/resources/bsgatlas/details.php?id=BSGatlas-terminator-2225","BSGatlas-terminator-2225")</f>
        <v>BSGatlas-terminator-2225</v>
      </c>
      <c r="B2226" s="3">
        <v>3573077</v>
      </c>
      <c r="C2226" s="3">
        <v>3573121</v>
      </c>
      <c r="D2226" s="1" t="s">
        <v>13</v>
      </c>
      <c r="E2226" s="1">
        <v>-11</v>
      </c>
      <c r="F2226" s="1" t="s">
        <v>15162</v>
      </c>
    </row>
    <row r="2227" spans="1:6" ht="21" x14ac:dyDescent="0.25">
      <c r="A2227" s="2" t="str">
        <f>HYPERLINK("https://rth.dk/resources/bsgatlas/details.php?id=BSGatlas-terminator-2226","BSGatlas-terminator-2226")</f>
        <v>BSGatlas-terminator-2226</v>
      </c>
      <c r="B2227" s="3">
        <v>3574361</v>
      </c>
      <c r="C2227" s="3">
        <v>3574405</v>
      </c>
      <c r="D2227" s="1" t="s">
        <v>13</v>
      </c>
      <c r="E2227" s="1">
        <v>-12.1</v>
      </c>
      <c r="F2227" s="1" t="s">
        <v>15157</v>
      </c>
    </row>
    <row r="2228" spans="1:6" ht="21" x14ac:dyDescent="0.25">
      <c r="A2228" s="2" t="str">
        <f>HYPERLINK("https://rth.dk/resources/bsgatlas/details.php?id=BSGatlas-terminator-2227","BSGatlas-terminator-2227")</f>
        <v>BSGatlas-terminator-2227</v>
      </c>
      <c r="B2228" s="3">
        <v>3574485</v>
      </c>
      <c r="C2228" s="3">
        <v>3574529</v>
      </c>
      <c r="D2228" s="1" t="s">
        <v>13</v>
      </c>
      <c r="E2228" s="1">
        <v>-12.1</v>
      </c>
      <c r="F2228" s="1" t="s">
        <v>15157</v>
      </c>
    </row>
    <row r="2229" spans="1:6" ht="21" x14ac:dyDescent="0.25">
      <c r="A2229" s="2" t="str">
        <f>HYPERLINK("https://rth.dk/resources/bsgatlas/details.php?id=BSGatlas-terminator-2228","BSGatlas-terminator-2228")</f>
        <v>BSGatlas-terminator-2228</v>
      </c>
      <c r="B2229" s="3">
        <v>3575883</v>
      </c>
      <c r="C2229" s="3">
        <v>3575927</v>
      </c>
      <c r="D2229" s="1" t="s">
        <v>9</v>
      </c>
      <c r="E2229" s="1">
        <v>-7.6</v>
      </c>
      <c r="F2229" s="1" t="s">
        <v>15157</v>
      </c>
    </row>
    <row r="2230" spans="1:6" ht="21" x14ac:dyDescent="0.25">
      <c r="A2230" s="2" t="str">
        <f>HYPERLINK("https://rth.dk/resources/bsgatlas/details.php?id=BSGatlas-terminator-2229","BSGatlas-terminator-2229")</f>
        <v>BSGatlas-terminator-2229</v>
      </c>
      <c r="B2230" s="3">
        <v>3576163</v>
      </c>
      <c r="C2230" s="3">
        <v>3576207</v>
      </c>
      <c r="D2230" s="1" t="s">
        <v>13</v>
      </c>
      <c r="E2230" s="1">
        <v>-9.1</v>
      </c>
      <c r="F2230" s="1" t="s">
        <v>15157</v>
      </c>
    </row>
    <row r="2231" spans="1:6" ht="21" x14ac:dyDescent="0.25">
      <c r="A2231" s="2" t="str">
        <f>HYPERLINK("https://rth.dk/resources/bsgatlas/details.php?id=BSGatlas-terminator-2230","BSGatlas-terminator-2230")</f>
        <v>BSGatlas-terminator-2230</v>
      </c>
      <c r="B2231" s="3">
        <v>3577643</v>
      </c>
      <c r="C2231" s="3">
        <v>3577687</v>
      </c>
      <c r="D2231" s="1" t="s">
        <v>9</v>
      </c>
      <c r="E2231" s="1">
        <v>-9.9</v>
      </c>
      <c r="F2231" s="1" t="s">
        <v>15157</v>
      </c>
    </row>
    <row r="2232" spans="1:6" ht="21" x14ac:dyDescent="0.25">
      <c r="A2232" s="2" t="str">
        <f>HYPERLINK("https://rth.dk/resources/bsgatlas/details.php?id=BSGatlas-terminator-2231","BSGatlas-terminator-2231")</f>
        <v>BSGatlas-terminator-2231</v>
      </c>
      <c r="B2232" s="3">
        <v>3579677</v>
      </c>
      <c r="C2232" s="3">
        <v>3579721</v>
      </c>
      <c r="D2232" s="1" t="s">
        <v>13</v>
      </c>
      <c r="E2232" s="1">
        <v>-13.2</v>
      </c>
      <c r="F2232" s="1" t="s">
        <v>15157</v>
      </c>
    </row>
    <row r="2233" spans="1:6" ht="21" x14ac:dyDescent="0.25">
      <c r="A2233" s="2" t="str">
        <f>HYPERLINK("https://rth.dk/resources/bsgatlas/details.php?id=BSGatlas-terminator-2232","BSGatlas-terminator-2232")</f>
        <v>BSGatlas-terminator-2232</v>
      </c>
      <c r="B2233" s="3">
        <v>3582933</v>
      </c>
      <c r="C2233" s="3">
        <v>3582977</v>
      </c>
      <c r="D2233" s="1" t="s">
        <v>13</v>
      </c>
      <c r="E2233" s="1">
        <v>-8.4</v>
      </c>
      <c r="F2233" s="1" t="s">
        <v>15157</v>
      </c>
    </row>
    <row r="2234" spans="1:6" ht="21" x14ac:dyDescent="0.25">
      <c r="A2234" s="2" t="str">
        <f>HYPERLINK("https://rth.dk/resources/bsgatlas/details.php?id=BSGatlas-terminator-2233","BSGatlas-terminator-2233")</f>
        <v>BSGatlas-terminator-2233</v>
      </c>
      <c r="B2234" s="3">
        <v>3591217</v>
      </c>
      <c r="C2234" s="3">
        <v>3591261</v>
      </c>
      <c r="D2234" s="1" t="s">
        <v>9</v>
      </c>
      <c r="E2234" s="1">
        <v>-14.9</v>
      </c>
      <c r="F2234" s="1" t="s">
        <v>15157</v>
      </c>
    </row>
    <row r="2235" spans="1:6" ht="21" x14ac:dyDescent="0.25">
      <c r="A2235" s="2" t="str">
        <f>HYPERLINK("https://rth.dk/resources/bsgatlas/details.php?id=BSGatlas-terminator-2234","BSGatlas-terminator-2234")</f>
        <v>BSGatlas-terminator-2234</v>
      </c>
      <c r="B2235" s="3">
        <v>3591300</v>
      </c>
      <c r="C2235" s="3">
        <v>3591344</v>
      </c>
      <c r="D2235" s="1" t="s">
        <v>13</v>
      </c>
      <c r="E2235" s="1">
        <v>-14.9</v>
      </c>
      <c r="F2235" s="1" t="s">
        <v>15157</v>
      </c>
    </row>
    <row r="2236" spans="1:6" ht="21" x14ac:dyDescent="0.25">
      <c r="A2236" s="2" t="str">
        <f>HYPERLINK("https://rth.dk/resources/bsgatlas/details.php?id=BSGatlas-terminator-2235","BSGatlas-terminator-2235")</f>
        <v>BSGatlas-terminator-2235</v>
      </c>
      <c r="B2236" s="3">
        <v>3598140</v>
      </c>
      <c r="C2236" s="3">
        <v>3598184</v>
      </c>
      <c r="D2236" s="1" t="s">
        <v>13</v>
      </c>
      <c r="E2236" s="1">
        <v>-16.5</v>
      </c>
      <c r="F2236" s="1" t="s">
        <v>15157</v>
      </c>
    </row>
    <row r="2237" spans="1:6" ht="21" x14ac:dyDescent="0.25">
      <c r="A2237" s="2" t="str">
        <f>HYPERLINK("https://rth.dk/resources/bsgatlas/details.php?id=BSGatlas-terminator-2236","BSGatlas-terminator-2236")</f>
        <v>BSGatlas-terminator-2236</v>
      </c>
      <c r="B2237" s="3">
        <v>3602579</v>
      </c>
      <c r="C2237" s="3">
        <v>3602623</v>
      </c>
      <c r="D2237" s="1" t="s">
        <v>13</v>
      </c>
      <c r="E2237" s="1">
        <v>-11.6</v>
      </c>
      <c r="F2237" s="1" t="s">
        <v>15157</v>
      </c>
    </row>
    <row r="2238" spans="1:6" ht="21" x14ac:dyDescent="0.25">
      <c r="A2238" s="2" t="str">
        <f>HYPERLINK("https://rth.dk/resources/bsgatlas/details.php?id=BSGatlas-terminator-2237","BSGatlas-terminator-2237")</f>
        <v>BSGatlas-terminator-2237</v>
      </c>
      <c r="B2238" s="3">
        <v>3602877</v>
      </c>
      <c r="C2238" s="3">
        <v>3602921</v>
      </c>
      <c r="D2238" s="1" t="s">
        <v>9</v>
      </c>
      <c r="E2238" s="1">
        <v>-11.4</v>
      </c>
      <c r="F2238" s="1" t="s">
        <v>15157</v>
      </c>
    </row>
    <row r="2239" spans="1:6" ht="21" x14ac:dyDescent="0.25">
      <c r="A2239" s="2" t="str">
        <f>HYPERLINK("https://rth.dk/resources/bsgatlas/details.php?id=BSGatlas-terminator-2238","BSGatlas-terminator-2238")</f>
        <v>BSGatlas-terminator-2238</v>
      </c>
      <c r="B2239" s="3">
        <v>3605417</v>
      </c>
      <c r="C2239" s="3">
        <v>3605461</v>
      </c>
      <c r="D2239" s="1" t="s">
        <v>13</v>
      </c>
      <c r="E2239" s="1">
        <v>-7.8</v>
      </c>
      <c r="F2239" s="1" t="s">
        <v>15162</v>
      </c>
    </row>
    <row r="2240" spans="1:6" ht="21" x14ac:dyDescent="0.25">
      <c r="A2240" s="2" t="str">
        <f>HYPERLINK("https://rth.dk/resources/bsgatlas/details.php?id=BSGatlas-terminator-2239","BSGatlas-terminator-2239")</f>
        <v>BSGatlas-terminator-2239</v>
      </c>
      <c r="B2240" s="3">
        <v>3606710</v>
      </c>
      <c r="C2240" s="3">
        <v>3606754</v>
      </c>
      <c r="D2240" s="1" t="s">
        <v>9</v>
      </c>
      <c r="E2240" s="1">
        <v>-11.4</v>
      </c>
      <c r="F2240" s="1" t="s">
        <v>15157</v>
      </c>
    </row>
    <row r="2241" spans="1:6" ht="21" x14ac:dyDescent="0.25">
      <c r="A2241" s="2" t="str">
        <f>HYPERLINK("https://rth.dk/resources/bsgatlas/details.php?id=BSGatlas-terminator-2240","BSGatlas-terminator-2240")</f>
        <v>BSGatlas-terminator-2240</v>
      </c>
      <c r="B2241" s="3">
        <v>3606724</v>
      </c>
      <c r="C2241" s="3">
        <v>3606761</v>
      </c>
      <c r="D2241" s="1" t="s">
        <v>13</v>
      </c>
      <c r="E2241" s="1">
        <v>-11.9</v>
      </c>
      <c r="F2241" s="1" t="s">
        <v>15158</v>
      </c>
    </row>
    <row r="2242" spans="1:6" ht="21" x14ac:dyDescent="0.25">
      <c r="A2242" s="2" t="str">
        <f>HYPERLINK("https://rth.dk/resources/bsgatlas/details.php?id=BSGatlas-terminator-2241","BSGatlas-terminator-2241")</f>
        <v>BSGatlas-terminator-2241</v>
      </c>
      <c r="B2242" s="3">
        <v>3607460</v>
      </c>
      <c r="C2242" s="3">
        <v>3607526</v>
      </c>
      <c r="D2242" s="1" t="s">
        <v>9</v>
      </c>
      <c r="E2242" s="1"/>
      <c r="F2242" s="1" t="s">
        <v>15159</v>
      </c>
    </row>
    <row r="2243" spans="1:6" ht="21" x14ac:dyDescent="0.25">
      <c r="A2243" s="2" t="str">
        <f>HYPERLINK("https://rth.dk/resources/bsgatlas/details.php?id=BSGatlas-terminator-2242","BSGatlas-terminator-2242")</f>
        <v>BSGatlas-terminator-2242</v>
      </c>
      <c r="B2243" s="3">
        <v>3609333</v>
      </c>
      <c r="C2243" s="3">
        <v>3609392</v>
      </c>
      <c r="D2243" s="1" t="s">
        <v>13</v>
      </c>
      <c r="E2243" s="1">
        <v>-24.2</v>
      </c>
      <c r="F2243" s="1" t="s">
        <v>4382</v>
      </c>
    </row>
    <row r="2244" spans="1:6" ht="21" x14ac:dyDescent="0.25">
      <c r="A2244" s="2" t="str">
        <f>HYPERLINK("https://rth.dk/resources/bsgatlas/details.php?id=BSGatlas-terminator-2243","BSGatlas-terminator-2243")</f>
        <v>BSGatlas-terminator-2243</v>
      </c>
      <c r="B2244" s="3">
        <v>3609406</v>
      </c>
      <c r="C2244" s="3">
        <v>3609450</v>
      </c>
      <c r="D2244" s="1" t="s">
        <v>9</v>
      </c>
      <c r="E2244" s="1">
        <v>-5.7</v>
      </c>
      <c r="F2244" s="1" t="s">
        <v>15157</v>
      </c>
    </row>
    <row r="2245" spans="1:6" ht="21" x14ac:dyDescent="0.25">
      <c r="A2245" s="2" t="str">
        <f>HYPERLINK("https://rth.dk/resources/bsgatlas/details.php?id=BSGatlas-terminator-2244","BSGatlas-terminator-2244")</f>
        <v>BSGatlas-terminator-2244</v>
      </c>
      <c r="B2245" s="3">
        <v>3609421</v>
      </c>
      <c r="C2245" s="3">
        <v>3609465</v>
      </c>
      <c r="D2245" s="1" t="s">
        <v>13</v>
      </c>
      <c r="E2245" s="1">
        <v>-19.8</v>
      </c>
      <c r="F2245" s="1" t="s">
        <v>15157</v>
      </c>
    </row>
    <row r="2246" spans="1:6" ht="21" x14ac:dyDescent="0.25">
      <c r="A2246" s="2" t="str">
        <f>HYPERLINK("https://rth.dk/resources/bsgatlas/details.php?id=BSGatlas-terminator-2245","BSGatlas-terminator-2245")</f>
        <v>BSGatlas-terminator-2245</v>
      </c>
      <c r="B2246" s="3">
        <v>3609988</v>
      </c>
      <c r="C2246" s="3">
        <v>3610046</v>
      </c>
      <c r="D2246" s="1" t="s">
        <v>13</v>
      </c>
      <c r="E2246" s="1">
        <v>-23.2</v>
      </c>
      <c r="F2246" s="1" t="s">
        <v>4382</v>
      </c>
    </row>
    <row r="2247" spans="1:6" ht="21" x14ac:dyDescent="0.25">
      <c r="A2247" s="2" t="str">
        <f>HYPERLINK("https://rth.dk/resources/bsgatlas/details.php?id=BSGatlas-terminator-2246","BSGatlas-terminator-2246")</f>
        <v>BSGatlas-terminator-2246</v>
      </c>
      <c r="B2247" s="3">
        <v>3610059</v>
      </c>
      <c r="C2247" s="3">
        <v>3610103</v>
      </c>
      <c r="D2247" s="1" t="s">
        <v>13</v>
      </c>
      <c r="E2247" s="1">
        <v>-18.600000000000001</v>
      </c>
      <c r="F2247" s="1" t="s">
        <v>15157</v>
      </c>
    </row>
    <row r="2248" spans="1:6" ht="21" x14ac:dyDescent="0.25">
      <c r="A2248" s="2" t="str">
        <f>HYPERLINK("https://rth.dk/resources/bsgatlas/details.php?id=BSGatlas-terminator-2247","BSGatlas-terminator-2247")</f>
        <v>BSGatlas-terminator-2247</v>
      </c>
      <c r="B2248" s="3">
        <v>3615046</v>
      </c>
      <c r="C2248" s="3">
        <v>3615090</v>
      </c>
      <c r="D2248" s="1" t="s">
        <v>13</v>
      </c>
      <c r="E2248" s="1">
        <v>-14.9</v>
      </c>
      <c r="F2248" s="1" t="s">
        <v>15158</v>
      </c>
    </row>
    <row r="2249" spans="1:6" ht="21" x14ac:dyDescent="0.25">
      <c r="A2249" s="2" t="str">
        <f>HYPERLINK("https://rth.dk/resources/bsgatlas/details.php?id=BSGatlas-terminator-2248","BSGatlas-terminator-2248")</f>
        <v>BSGatlas-terminator-2248</v>
      </c>
      <c r="B2249" s="3">
        <v>3615493</v>
      </c>
      <c r="C2249" s="3">
        <v>3615537</v>
      </c>
      <c r="D2249" s="1" t="s">
        <v>13</v>
      </c>
      <c r="E2249" s="1">
        <v>-4.2</v>
      </c>
      <c r="F2249" s="1" t="s">
        <v>15157</v>
      </c>
    </row>
    <row r="2250" spans="1:6" ht="21" x14ac:dyDescent="0.25">
      <c r="A2250" s="2" t="str">
        <f>HYPERLINK("https://rth.dk/resources/bsgatlas/details.php?id=BSGatlas-terminator-2249","BSGatlas-terminator-2249")</f>
        <v>BSGatlas-terminator-2249</v>
      </c>
      <c r="B2250" s="3">
        <v>3620257</v>
      </c>
      <c r="C2250" s="3">
        <v>3620301</v>
      </c>
      <c r="D2250" s="1" t="s">
        <v>9</v>
      </c>
      <c r="E2250" s="1">
        <v>-28.8</v>
      </c>
      <c r="F2250" s="1" t="s">
        <v>15157</v>
      </c>
    </row>
    <row r="2251" spans="1:6" ht="21" x14ac:dyDescent="0.25">
      <c r="A2251" s="2" t="str">
        <f>HYPERLINK("https://rth.dk/resources/bsgatlas/details.php?id=BSGatlas-terminator-2250","BSGatlas-terminator-2250")</f>
        <v>BSGatlas-terminator-2250</v>
      </c>
      <c r="B2251" s="3">
        <v>3620333</v>
      </c>
      <c r="C2251" s="3">
        <v>3620377</v>
      </c>
      <c r="D2251" s="1" t="s">
        <v>13</v>
      </c>
      <c r="E2251" s="1">
        <v>-25.6</v>
      </c>
      <c r="F2251" s="1" t="s">
        <v>15157</v>
      </c>
    </row>
    <row r="2252" spans="1:6" ht="21" x14ac:dyDescent="0.25">
      <c r="A2252" s="2" t="str">
        <f>HYPERLINK("https://rth.dk/resources/bsgatlas/details.php?id=BSGatlas-terminator-2251","BSGatlas-terminator-2251")</f>
        <v>BSGatlas-terminator-2251</v>
      </c>
      <c r="B2252" s="3">
        <v>3620398</v>
      </c>
      <c r="C2252" s="3">
        <v>3620442</v>
      </c>
      <c r="D2252" s="1" t="s">
        <v>13</v>
      </c>
      <c r="E2252" s="1">
        <v>-25.6</v>
      </c>
      <c r="F2252" s="1" t="s">
        <v>15157</v>
      </c>
    </row>
    <row r="2253" spans="1:6" ht="21" x14ac:dyDescent="0.25">
      <c r="A2253" s="2" t="str">
        <f>HYPERLINK("https://rth.dk/resources/bsgatlas/details.php?id=BSGatlas-terminator-2252","BSGatlas-terminator-2252")</f>
        <v>BSGatlas-terminator-2252</v>
      </c>
      <c r="B2253" s="3">
        <v>3621521</v>
      </c>
      <c r="C2253" s="3">
        <v>3621565</v>
      </c>
      <c r="D2253" s="1" t="s">
        <v>13</v>
      </c>
      <c r="E2253" s="1">
        <v>-7.1</v>
      </c>
      <c r="F2253" s="1" t="s">
        <v>15157</v>
      </c>
    </row>
    <row r="2254" spans="1:6" ht="21" x14ac:dyDescent="0.25">
      <c r="A2254" s="2" t="str">
        <f>HYPERLINK("https://rth.dk/resources/bsgatlas/details.php?id=BSGatlas-terminator-2253","BSGatlas-terminator-2253")</f>
        <v>BSGatlas-terminator-2253</v>
      </c>
      <c r="B2254" s="3">
        <v>3622318</v>
      </c>
      <c r="C2254" s="3">
        <v>3622365</v>
      </c>
      <c r="D2254" s="1" t="s">
        <v>13</v>
      </c>
      <c r="E2254" s="1">
        <v>-14.7</v>
      </c>
      <c r="F2254" s="1" t="s">
        <v>4382</v>
      </c>
    </row>
    <row r="2255" spans="1:6" ht="21" x14ac:dyDescent="0.25">
      <c r="A2255" s="2" t="str">
        <f>HYPERLINK("https://rth.dk/resources/bsgatlas/details.php?id=BSGatlas-terminator-2254","BSGatlas-terminator-2254")</f>
        <v>BSGatlas-terminator-2254</v>
      </c>
      <c r="B2255" s="3">
        <v>3622423</v>
      </c>
      <c r="C2255" s="3">
        <v>3622467</v>
      </c>
      <c r="D2255" s="1" t="s">
        <v>13</v>
      </c>
      <c r="E2255" s="1">
        <v>-11.6</v>
      </c>
      <c r="F2255" s="1" t="s">
        <v>15157</v>
      </c>
    </row>
    <row r="2256" spans="1:6" ht="21" x14ac:dyDescent="0.25">
      <c r="A2256" s="2" t="str">
        <f>HYPERLINK("https://rth.dk/resources/bsgatlas/details.php?id=BSGatlas-terminator-2255","BSGatlas-terminator-2255")</f>
        <v>BSGatlas-terminator-2255</v>
      </c>
      <c r="B2256" s="3">
        <v>3623906</v>
      </c>
      <c r="C2256" s="3">
        <v>3623928</v>
      </c>
      <c r="D2256" s="1" t="s">
        <v>13</v>
      </c>
      <c r="E2256" s="1">
        <v>-16.399999999999999</v>
      </c>
      <c r="F2256" s="1" t="s">
        <v>4547</v>
      </c>
    </row>
    <row r="2257" spans="1:6" ht="21" x14ac:dyDescent="0.25">
      <c r="A2257" s="2" t="str">
        <f>HYPERLINK("https://rth.dk/resources/bsgatlas/details.php?id=BSGatlas-terminator-2256","BSGatlas-terminator-2256")</f>
        <v>BSGatlas-terminator-2256</v>
      </c>
      <c r="B2257" s="3">
        <v>3623933</v>
      </c>
      <c r="C2257" s="3">
        <v>3623977</v>
      </c>
      <c r="D2257" s="1" t="s">
        <v>13</v>
      </c>
      <c r="E2257" s="1">
        <v>-14.6</v>
      </c>
      <c r="F2257" s="1" t="s">
        <v>15157</v>
      </c>
    </row>
    <row r="2258" spans="1:6" ht="21" x14ac:dyDescent="0.25">
      <c r="A2258" s="2" t="str">
        <f>HYPERLINK("https://rth.dk/resources/bsgatlas/details.php?id=BSGatlas-terminator-2257","BSGatlas-terminator-2257")</f>
        <v>BSGatlas-terminator-2257</v>
      </c>
      <c r="B2258" s="3">
        <v>3625691</v>
      </c>
      <c r="C2258" s="3">
        <v>3625744</v>
      </c>
      <c r="D2258" s="1" t="s">
        <v>13</v>
      </c>
      <c r="E2258" s="1">
        <v>-20.2</v>
      </c>
      <c r="F2258" s="1" t="s">
        <v>15158</v>
      </c>
    </row>
    <row r="2259" spans="1:6" ht="21" x14ac:dyDescent="0.25">
      <c r="A2259" s="2" t="str">
        <f>HYPERLINK("https://rth.dk/resources/bsgatlas/details.php?id=BSGatlas-terminator-2258","BSGatlas-terminator-2258")</f>
        <v>BSGatlas-terminator-2258</v>
      </c>
      <c r="B2259" s="3">
        <v>3627091</v>
      </c>
      <c r="C2259" s="3">
        <v>3627142</v>
      </c>
      <c r="D2259" s="1" t="s">
        <v>13</v>
      </c>
      <c r="E2259" s="1">
        <v>-15</v>
      </c>
      <c r="F2259" s="1" t="s">
        <v>15158</v>
      </c>
    </row>
    <row r="2260" spans="1:6" ht="21" x14ac:dyDescent="0.25">
      <c r="A2260" s="2" t="str">
        <f>HYPERLINK("https://rth.dk/resources/bsgatlas/details.php?id=BSGatlas-terminator-2259","BSGatlas-terminator-2259")</f>
        <v>BSGatlas-terminator-2259</v>
      </c>
      <c r="B2260" s="3">
        <v>3630955</v>
      </c>
      <c r="C2260" s="3">
        <v>3630997</v>
      </c>
      <c r="D2260" s="1" t="s">
        <v>13</v>
      </c>
      <c r="E2260" s="1">
        <v>-15.7</v>
      </c>
      <c r="F2260" s="1" t="s">
        <v>15158</v>
      </c>
    </row>
    <row r="2261" spans="1:6" ht="21" x14ac:dyDescent="0.25">
      <c r="A2261" s="2" t="str">
        <f>HYPERLINK("https://rth.dk/resources/bsgatlas/details.php?id=BSGatlas-terminator-2260","BSGatlas-terminator-2260")</f>
        <v>BSGatlas-terminator-2260</v>
      </c>
      <c r="B2261" s="3">
        <v>3631977</v>
      </c>
      <c r="C2261" s="3">
        <v>3632033</v>
      </c>
      <c r="D2261" s="1" t="s">
        <v>13</v>
      </c>
      <c r="E2261" s="1">
        <v>-21.5</v>
      </c>
      <c r="F2261" s="1" t="s">
        <v>4382</v>
      </c>
    </row>
    <row r="2262" spans="1:6" ht="21" x14ac:dyDescent="0.25">
      <c r="A2262" s="2" t="str">
        <f>HYPERLINK("https://rth.dk/resources/bsgatlas/details.php?id=BSGatlas-terminator-2261","BSGatlas-terminator-2261")</f>
        <v>BSGatlas-terminator-2261</v>
      </c>
      <c r="B2262" s="3">
        <v>3634729</v>
      </c>
      <c r="C2262" s="3">
        <v>3634773</v>
      </c>
      <c r="D2262" s="1" t="s">
        <v>9</v>
      </c>
      <c r="E2262" s="1">
        <v>-10.1</v>
      </c>
      <c r="F2262" s="1" t="s">
        <v>15157</v>
      </c>
    </row>
    <row r="2263" spans="1:6" ht="21" x14ac:dyDescent="0.25">
      <c r="A2263" s="2" t="str">
        <f>HYPERLINK("https://rth.dk/resources/bsgatlas/details.php?id=BSGatlas-terminator-2262","BSGatlas-terminator-2262")</f>
        <v>BSGatlas-terminator-2262</v>
      </c>
      <c r="B2263" s="3">
        <v>3634941</v>
      </c>
      <c r="C2263" s="3">
        <v>3634981</v>
      </c>
      <c r="D2263" s="1" t="s">
        <v>13</v>
      </c>
      <c r="E2263" s="1">
        <v>-16.899999999999999</v>
      </c>
      <c r="F2263" s="1" t="s">
        <v>4382</v>
      </c>
    </row>
    <row r="2264" spans="1:6" ht="21" x14ac:dyDescent="0.25">
      <c r="A2264" s="2" t="str">
        <f>HYPERLINK("https://rth.dk/resources/bsgatlas/details.php?id=BSGatlas-terminator-2263","BSGatlas-terminator-2263")</f>
        <v>BSGatlas-terminator-2263</v>
      </c>
      <c r="B2264" s="3">
        <v>3634985</v>
      </c>
      <c r="C2264" s="3">
        <v>3635029</v>
      </c>
      <c r="D2264" s="1" t="s">
        <v>13</v>
      </c>
      <c r="E2264" s="1">
        <v>-13.1</v>
      </c>
      <c r="F2264" s="1" t="s">
        <v>15157</v>
      </c>
    </row>
    <row r="2265" spans="1:6" ht="21" x14ac:dyDescent="0.25">
      <c r="A2265" s="2" t="str">
        <f>HYPERLINK("https://rth.dk/resources/bsgatlas/details.php?id=BSGatlas-terminator-2264","BSGatlas-terminator-2264")</f>
        <v>BSGatlas-terminator-2264</v>
      </c>
      <c r="B2265" s="3">
        <v>3636028</v>
      </c>
      <c r="C2265" s="3">
        <v>3636068</v>
      </c>
      <c r="D2265" s="1" t="s">
        <v>13</v>
      </c>
      <c r="E2265" s="1">
        <v>-12.4</v>
      </c>
      <c r="F2265" s="1" t="s">
        <v>15158</v>
      </c>
    </row>
    <row r="2266" spans="1:6" ht="21" x14ac:dyDescent="0.25">
      <c r="A2266" s="2" t="str">
        <f>HYPERLINK("https://rth.dk/resources/bsgatlas/details.php?id=BSGatlas-terminator-2265","BSGatlas-terminator-2265")</f>
        <v>BSGatlas-terminator-2265</v>
      </c>
      <c r="B2266" s="3">
        <v>3637304</v>
      </c>
      <c r="C2266" s="3">
        <v>3637342</v>
      </c>
      <c r="D2266" s="1" t="s">
        <v>13</v>
      </c>
      <c r="E2266" s="1">
        <v>-8.1</v>
      </c>
      <c r="F2266" s="1" t="s">
        <v>15158</v>
      </c>
    </row>
    <row r="2267" spans="1:6" ht="21" x14ac:dyDescent="0.25">
      <c r="A2267" s="2" t="str">
        <f>HYPERLINK("https://rth.dk/resources/bsgatlas/details.php?id=BSGatlas-terminator-2266","BSGatlas-terminator-2266")</f>
        <v>BSGatlas-terminator-2266</v>
      </c>
      <c r="B2267" s="3">
        <v>3641101</v>
      </c>
      <c r="C2267" s="3">
        <v>3641139</v>
      </c>
      <c r="D2267" s="1" t="s">
        <v>13</v>
      </c>
      <c r="E2267" s="1">
        <v>-4.5999999999999996</v>
      </c>
      <c r="F2267" s="1" t="s">
        <v>4382</v>
      </c>
    </row>
    <row r="2268" spans="1:6" ht="21" x14ac:dyDescent="0.25">
      <c r="A2268" s="2" t="str">
        <f>HYPERLINK("https://rth.dk/resources/bsgatlas/details.php?id=BSGatlas-terminator-2267","BSGatlas-terminator-2267")</f>
        <v>BSGatlas-terminator-2267</v>
      </c>
      <c r="B2268" s="3">
        <v>3643621</v>
      </c>
      <c r="C2268" s="3">
        <v>3643661</v>
      </c>
      <c r="D2268" s="1" t="s">
        <v>13</v>
      </c>
      <c r="E2268" s="1">
        <v>-13.5</v>
      </c>
      <c r="F2268" s="1" t="s">
        <v>15158</v>
      </c>
    </row>
    <row r="2269" spans="1:6" ht="21" x14ac:dyDescent="0.25">
      <c r="A2269" s="2" t="str">
        <f>HYPERLINK("https://rth.dk/resources/bsgatlas/details.php?id=BSGatlas-terminator-2268","BSGatlas-terminator-2268")</f>
        <v>BSGatlas-terminator-2268</v>
      </c>
      <c r="B2269" s="3">
        <v>3644558</v>
      </c>
      <c r="C2269" s="3">
        <v>3644601</v>
      </c>
      <c r="D2269" s="1" t="s">
        <v>13</v>
      </c>
      <c r="E2269" s="1">
        <v>-15.5</v>
      </c>
      <c r="F2269" s="1" t="s">
        <v>15158</v>
      </c>
    </row>
    <row r="2270" spans="1:6" ht="21" x14ac:dyDescent="0.25">
      <c r="A2270" s="2" t="str">
        <f>HYPERLINK("https://rth.dk/resources/bsgatlas/details.php?id=BSGatlas-terminator-2269","BSGatlas-terminator-2269")</f>
        <v>BSGatlas-terminator-2269</v>
      </c>
      <c r="B2270" s="3">
        <v>3648531</v>
      </c>
      <c r="C2270" s="3">
        <v>3648575</v>
      </c>
      <c r="D2270" s="1" t="s">
        <v>9</v>
      </c>
      <c r="E2270" s="1">
        <v>-18.600000000000001</v>
      </c>
      <c r="F2270" s="1" t="s">
        <v>15157</v>
      </c>
    </row>
    <row r="2271" spans="1:6" ht="21" x14ac:dyDescent="0.25">
      <c r="A2271" s="2" t="str">
        <f>HYPERLINK("https://rth.dk/resources/bsgatlas/details.php?id=BSGatlas-terminator-2270","BSGatlas-terminator-2270")</f>
        <v>BSGatlas-terminator-2270</v>
      </c>
      <c r="B2271" s="3">
        <v>3648581</v>
      </c>
      <c r="C2271" s="3">
        <v>3648665</v>
      </c>
      <c r="D2271" s="1" t="s">
        <v>9</v>
      </c>
      <c r="E2271" s="1">
        <v>-22.9</v>
      </c>
      <c r="F2271" s="1" t="s">
        <v>4382</v>
      </c>
    </row>
    <row r="2272" spans="1:6" ht="21" x14ac:dyDescent="0.25">
      <c r="A2272" s="2" t="str">
        <f>HYPERLINK("https://rth.dk/resources/bsgatlas/details.php?id=BSGatlas-terminator-2271","BSGatlas-terminator-2271")</f>
        <v>BSGatlas-terminator-2271</v>
      </c>
      <c r="B2272" s="3">
        <v>3648648</v>
      </c>
      <c r="C2272" s="3">
        <v>3648692</v>
      </c>
      <c r="D2272" s="1" t="s">
        <v>13</v>
      </c>
      <c r="E2272" s="1">
        <v>-11.6</v>
      </c>
      <c r="F2272" s="1" t="s">
        <v>15157</v>
      </c>
    </row>
    <row r="2273" spans="1:6" ht="21" x14ac:dyDescent="0.25">
      <c r="A2273" s="2" t="str">
        <f>HYPERLINK("https://rth.dk/resources/bsgatlas/details.php?id=BSGatlas-terminator-2272","BSGatlas-terminator-2272")</f>
        <v>BSGatlas-terminator-2272</v>
      </c>
      <c r="B2273" s="3">
        <v>3649839</v>
      </c>
      <c r="C2273" s="3">
        <v>3649885</v>
      </c>
      <c r="D2273" s="1" t="s">
        <v>13</v>
      </c>
      <c r="E2273" s="1">
        <v>-14.6</v>
      </c>
      <c r="F2273" s="1" t="s">
        <v>15158</v>
      </c>
    </row>
    <row r="2274" spans="1:6" ht="21" x14ac:dyDescent="0.25">
      <c r="A2274" s="2" t="str">
        <f>HYPERLINK("https://rth.dk/resources/bsgatlas/details.php?id=BSGatlas-terminator-2273","BSGatlas-terminator-2273")</f>
        <v>BSGatlas-terminator-2273</v>
      </c>
      <c r="B2274" s="3">
        <v>3659070</v>
      </c>
      <c r="C2274" s="3">
        <v>3659117</v>
      </c>
      <c r="D2274" s="1" t="s">
        <v>13</v>
      </c>
      <c r="E2274" s="1">
        <v>-16.7</v>
      </c>
      <c r="F2274" s="1" t="s">
        <v>4382</v>
      </c>
    </row>
    <row r="2275" spans="1:6" ht="21" x14ac:dyDescent="0.25">
      <c r="A2275" s="2" t="str">
        <f>HYPERLINK("https://rth.dk/resources/bsgatlas/details.php?id=BSGatlas-terminator-2274","BSGatlas-terminator-2274")</f>
        <v>BSGatlas-terminator-2274</v>
      </c>
      <c r="B2275" s="3">
        <v>3659119</v>
      </c>
      <c r="C2275" s="3">
        <v>3659163</v>
      </c>
      <c r="D2275" s="1" t="s">
        <v>13</v>
      </c>
      <c r="E2275" s="1">
        <v>-13.3</v>
      </c>
      <c r="F2275" s="1" t="s">
        <v>15157</v>
      </c>
    </row>
    <row r="2276" spans="1:6" ht="21" x14ac:dyDescent="0.25">
      <c r="A2276" s="2" t="str">
        <f>HYPERLINK("https://rth.dk/resources/bsgatlas/details.php?id=BSGatlas-terminator-2275","BSGatlas-terminator-2275")</f>
        <v>BSGatlas-terminator-2275</v>
      </c>
      <c r="B2276" s="3">
        <v>3662981</v>
      </c>
      <c r="C2276" s="3">
        <v>3663025</v>
      </c>
      <c r="D2276" s="1" t="s">
        <v>9</v>
      </c>
      <c r="E2276" s="1">
        <v>-8</v>
      </c>
      <c r="F2276" s="1" t="s">
        <v>15157</v>
      </c>
    </row>
    <row r="2277" spans="1:6" ht="21" x14ac:dyDescent="0.25">
      <c r="A2277" s="2" t="str">
        <f>HYPERLINK("https://rth.dk/resources/bsgatlas/details.php?id=BSGatlas-terminator-2276","BSGatlas-terminator-2276")</f>
        <v>BSGatlas-terminator-2276</v>
      </c>
      <c r="B2277" s="3">
        <v>3664205</v>
      </c>
      <c r="C2277" s="3">
        <v>3664251</v>
      </c>
      <c r="D2277" s="1" t="s">
        <v>9</v>
      </c>
      <c r="E2277" s="1">
        <v>-16.600000000000001</v>
      </c>
      <c r="F2277" s="1" t="s">
        <v>15158</v>
      </c>
    </row>
    <row r="2278" spans="1:6" ht="21" x14ac:dyDescent="0.25">
      <c r="A2278" s="2" t="str">
        <f>HYPERLINK("https://rth.dk/resources/bsgatlas/details.php?id=BSGatlas-terminator-2277","BSGatlas-terminator-2277")</f>
        <v>BSGatlas-terminator-2277</v>
      </c>
      <c r="B2278" s="3">
        <v>3664243</v>
      </c>
      <c r="C2278" s="3">
        <v>3664287</v>
      </c>
      <c r="D2278" s="1" t="s">
        <v>13</v>
      </c>
      <c r="E2278" s="1">
        <v>-11</v>
      </c>
      <c r="F2278" s="1" t="s">
        <v>15157</v>
      </c>
    </row>
    <row r="2279" spans="1:6" ht="21" x14ac:dyDescent="0.25">
      <c r="A2279" s="2" t="str">
        <f>HYPERLINK("https://rth.dk/resources/bsgatlas/details.php?id=BSGatlas-terminator-2278","BSGatlas-terminator-2278")</f>
        <v>BSGatlas-terminator-2278</v>
      </c>
      <c r="B2279" s="3">
        <v>3666500</v>
      </c>
      <c r="C2279" s="3">
        <v>3666566</v>
      </c>
      <c r="D2279" s="1" t="s">
        <v>9</v>
      </c>
      <c r="E2279" s="1">
        <v>-17.2</v>
      </c>
      <c r="F2279" s="1" t="s">
        <v>4382</v>
      </c>
    </row>
    <row r="2280" spans="1:6" ht="21" x14ac:dyDescent="0.25">
      <c r="A2280" s="2" t="str">
        <f>HYPERLINK("https://rth.dk/resources/bsgatlas/details.php?id=BSGatlas-terminator-2279","BSGatlas-terminator-2279")</f>
        <v>BSGatlas-terminator-2279</v>
      </c>
      <c r="B2280" s="3">
        <v>3666544</v>
      </c>
      <c r="C2280" s="3">
        <v>3666610</v>
      </c>
      <c r="D2280" s="1" t="s">
        <v>13</v>
      </c>
      <c r="E2280" s="1"/>
      <c r="F2280" s="1" t="s">
        <v>15159</v>
      </c>
    </row>
    <row r="2281" spans="1:6" ht="21" x14ac:dyDescent="0.25">
      <c r="A2281" s="2" t="str">
        <f>HYPERLINK("https://rth.dk/resources/bsgatlas/details.php?id=BSGatlas-terminator-2280","BSGatlas-terminator-2280")</f>
        <v>BSGatlas-terminator-2280</v>
      </c>
      <c r="B2281" s="3">
        <v>3667136</v>
      </c>
      <c r="C2281" s="3">
        <v>3667181</v>
      </c>
      <c r="D2281" s="1" t="s">
        <v>13</v>
      </c>
      <c r="E2281" s="1">
        <v>-10.8</v>
      </c>
      <c r="F2281" s="1" t="s">
        <v>4382</v>
      </c>
    </row>
    <row r="2282" spans="1:6" ht="21" x14ac:dyDescent="0.25">
      <c r="A2282" s="2" t="str">
        <f>HYPERLINK("https://rth.dk/resources/bsgatlas/details.php?id=BSGatlas-terminator-2281","BSGatlas-terminator-2281")</f>
        <v>BSGatlas-terminator-2281</v>
      </c>
      <c r="B2282" s="3">
        <v>3667566</v>
      </c>
      <c r="C2282" s="3">
        <v>3667632</v>
      </c>
      <c r="D2282" s="1" t="s">
        <v>9</v>
      </c>
      <c r="E2282" s="1"/>
      <c r="F2282" s="1" t="s">
        <v>15159</v>
      </c>
    </row>
    <row r="2283" spans="1:6" ht="21" x14ac:dyDescent="0.25">
      <c r="A2283" s="2" t="str">
        <f>HYPERLINK("https://rth.dk/resources/bsgatlas/details.php?id=BSGatlas-terminator-2282","BSGatlas-terminator-2282")</f>
        <v>BSGatlas-terminator-2282</v>
      </c>
      <c r="B2283" s="3">
        <v>3673101</v>
      </c>
      <c r="C2283" s="3">
        <v>3673145</v>
      </c>
      <c r="D2283" s="1" t="s">
        <v>9</v>
      </c>
      <c r="E2283" s="1">
        <v>-14.3</v>
      </c>
      <c r="F2283" s="1" t="s">
        <v>15157</v>
      </c>
    </row>
    <row r="2284" spans="1:6" ht="21" x14ac:dyDescent="0.25">
      <c r="A2284" s="2" t="str">
        <f>HYPERLINK("https://rth.dk/resources/bsgatlas/details.php?id=BSGatlas-terminator-2283","BSGatlas-terminator-2283")</f>
        <v>BSGatlas-terminator-2283</v>
      </c>
      <c r="B2284" s="3">
        <v>3673585</v>
      </c>
      <c r="C2284" s="3">
        <v>3673629</v>
      </c>
      <c r="D2284" s="1" t="s">
        <v>9</v>
      </c>
      <c r="E2284" s="1">
        <v>-14.3</v>
      </c>
      <c r="F2284" s="1" t="s">
        <v>15157</v>
      </c>
    </row>
    <row r="2285" spans="1:6" ht="21" x14ac:dyDescent="0.25">
      <c r="A2285" s="2" t="str">
        <f>HYPERLINK("https://rth.dk/resources/bsgatlas/details.php?id=BSGatlas-terminator-2284","BSGatlas-terminator-2284")</f>
        <v>BSGatlas-terminator-2284</v>
      </c>
      <c r="B2285" s="3">
        <v>3676098</v>
      </c>
      <c r="C2285" s="3">
        <v>3676139</v>
      </c>
      <c r="D2285" s="1" t="s">
        <v>13</v>
      </c>
      <c r="E2285" s="1">
        <v>-15</v>
      </c>
      <c r="F2285" s="1" t="s">
        <v>4382</v>
      </c>
    </row>
    <row r="2286" spans="1:6" ht="21" x14ac:dyDescent="0.25">
      <c r="A2286" s="2" t="str">
        <f>HYPERLINK("https://rth.dk/resources/bsgatlas/details.php?id=BSGatlas-terminator-2285","BSGatlas-terminator-2285")</f>
        <v>BSGatlas-terminator-2285</v>
      </c>
      <c r="B2286" s="3">
        <v>3682143</v>
      </c>
      <c r="C2286" s="3">
        <v>3682187</v>
      </c>
      <c r="D2286" s="1" t="s">
        <v>9</v>
      </c>
      <c r="E2286" s="1">
        <v>-10.9</v>
      </c>
      <c r="F2286" s="1" t="s">
        <v>15157</v>
      </c>
    </row>
    <row r="2287" spans="1:6" ht="21" x14ac:dyDescent="0.25">
      <c r="A2287" s="2" t="str">
        <f>HYPERLINK("https://rth.dk/resources/bsgatlas/details.php?id=BSGatlas-terminator-2286","BSGatlas-terminator-2286")</f>
        <v>BSGatlas-terminator-2286</v>
      </c>
      <c r="B2287" s="3">
        <v>3683319</v>
      </c>
      <c r="C2287" s="3">
        <v>3683367</v>
      </c>
      <c r="D2287" s="1" t="s">
        <v>9</v>
      </c>
      <c r="E2287" s="1">
        <v>-17.5</v>
      </c>
      <c r="F2287" s="1" t="s">
        <v>15158</v>
      </c>
    </row>
    <row r="2288" spans="1:6" ht="21" x14ac:dyDescent="0.25">
      <c r="A2288" s="2" t="str">
        <f>HYPERLINK("https://rth.dk/resources/bsgatlas/details.php?id=BSGatlas-terminator-2287","BSGatlas-terminator-2287")</f>
        <v>BSGatlas-terminator-2287</v>
      </c>
      <c r="B2288" s="3">
        <v>3684760</v>
      </c>
      <c r="C2288" s="3">
        <v>3684810</v>
      </c>
      <c r="D2288" s="1" t="s">
        <v>13</v>
      </c>
      <c r="E2288" s="1">
        <v>-24.7</v>
      </c>
      <c r="F2288" s="1" t="s">
        <v>15158</v>
      </c>
    </row>
    <row r="2289" spans="1:6" ht="21" x14ac:dyDescent="0.25">
      <c r="A2289" s="2" t="str">
        <f>HYPERLINK("https://rth.dk/resources/bsgatlas/details.php?id=BSGatlas-terminator-2288","BSGatlas-terminator-2288")</f>
        <v>BSGatlas-terminator-2288</v>
      </c>
      <c r="B2289" s="3">
        <v>3684770</v>
      </c>
      <c r="C2289" s="3">
        <v>3684820</v>
      </c>
      <c r="D2289" s="1" t="s">
        <v>9</v>
      </c>
      <c r="E2289" s="1">
        <v>-24.7</v>
      </c>
      <c r="F2289" s="1" t="s">
        <v>15158</v>
      </c>
    </row>
    <row r="2290" spans="1:6" ht="21" x14ac:dyDescent="0.25">
      <c r="A2290" s="2" t="str">
        <f>HYPERLINK("https://rth.dk/resources/bsgatlas/details.php?id=BSGatlas-terminator-2289","BSGatlas-terminator-2289")</f>
        <v>BSGatlas-terminator-2289</v>
      </c>
      <c r="B2290" s="3">
        <v>3687558</v>
      </c>
      <c r="C2290" s="3">
        <v>3687600</v>
      </c>
      <c r="D2290" s="1" t="s">
        <v>13</v>
      </c>
      <c r="E2290" s="1">
        <v>-11.5</v>
      </c>
      <c r="F2290" s="1" t="s">
        <v>15158</v>
      </c>
    </row>
    <row r="2291" spans="1:6" ht="21" x14ac:dyDescent="0.25">
      <c r="A2291" s="2" t="str">
        <f>HYPERLINK("https://rth.dk/resources/bsgatlas/details.php?id=BSGatlas-terminator-2290","BSGatlas-terminator-2290")</f>
        <v>BSGatlas-terminator-2290</v>
      </c>
      <c r="B2291" s="3">
        <v>3691566</v>
      </c>
      <c r="C2291" s="3">
        <v>3691632</v>
      </c>
      <c r="D2291" s="1" t="s">
        <v>13</v>
      </c>
      <c r="E2291" s="1"/>
      <c r="F2291" s="1" t="s">
        <v>15159</v>
      </c>
    </row>
    <row r="2292" spans="1:6" ht="21" x14ac:dyDescent="0.25">
      <c r="A2292" s="2" t="str">
        <f>HYPERLINK("https://rth.dk/resources/bsgatlas/details.php?id=BSGatlas-terminator-2291","BSGatlas-terminator-2291")</f>
        <v>BSGatlas-terminator-2291</v>
      </c>
      <c r="B2292" s="3">
        <v>3692492</v>
      </c>
      <c r="C2292" s="3">
        <v>3692533</v>
      </c>
      <c r="D2292" s="1" t="s">
        <v>13</v>
      </c>
      <c r="E2292" s="1">
        <v>-18.899999999999999</v>
      </c>
      <c r="F2292" s="1" t="s">
        <v>15158</v>
      </c>
    </row>
    <row r="2293" spans="1:6" ht="21" x14ac:dyDescent="0.25">
      <c r="A2293" s="2" t="str">
        <f>HYPERLINK("https://rth.dk/resources/bsgatlas/details.php?id=BSGatlas-terminator-2292","BSGatlas-terminator-2292")</f>
        <v>BSGatlas-terminator-2292</v>
      </c>
      <c r="B2293" s="3">
        <v>3692502</v>
      </c>
      <c r="C2293" s="3">
        <v>3692543</v>
      </c>
      <c r="D2293" s="1" t="s">
        <v>9</v>
      </c>
      <c r="E2293" s="1">
        <v>-19</v>
      </c>
      <c r="F2293" s="1" t="s">
        <v>15158</v>
      </c>
    </row>
    <row r="2294" spans="1:6" ht="21" x14ac:dyDescent="0.25">
      <c r="A2294" s="2" t="str">
        <f>HYPERLINK("https://rth.dk/resources/bsgatlas/details.php?id=BSGatlas-terminator-2293","BSGatlas-terminator-2293")</f>
        <v>BSGatlas-terminator-2293</v>
      </c>
      <c r="B2294" s="3">
        <v>3695207</v>
      </c>
      <c r="C2294" s="3">
        <v>3695250</v>
      </c>
      <c r="D2294" s="1" t="s">
        <v>9</v>
      </c>
      <c r="E2294" s="1">
        <v>-21.1</v>
      </c>
      <c r="F2294" s="1" t="s">
        <v>15158</v>
      </c>
    </row>
    <row r="2295" spans="1:6" ht="21" x14ac:dyDescent="0.25">
      <c r="A2295" s="2" t="str">
        <f>HYPERLINK("https://rth.dk/resources/bsgatlas/details.php?id=BSGatlas-terminator-2294","BSGatlas-terminator-2294")</f>
        <v>BSGatlas-terminator-2294</v>
      </c>
      <c r="B2295" s="3">
        <v>3696182</v>
      </c>
      <c r="C2295" s="3">
        <v>3696226</v>
      </c>
      <c r="D2295" s="1" t="s">
        <v>9</v>
      </c>
      <c r="E2295" s="1">
        <v>-9.8000000000000007</v>
      </c>
      <c r="F2295" s="1" t="s">
        <v>15157</v>
      </c>
    </row>
    <row r="2296" spans="1:6" ht="21" x14ac:dyDescent="0.25">
      <c r="A2296" s="2" t="str">
        <f>HYPERLINK("https://rth.dk/resources/bsgatlas/details.php?id=BSGatlas-terminator-2295","BSGatlas-terminator-2295")</f>
        <v>BSGatlas-terminator-2295</v>
      </c>
      <c r="B2296" s="3">
        <v>3696215</v>
      </c>
      <c r="C2296" s="3">
        <v>3696253</v>
      </c>
      <c r="D2296" s="1" t="s">
        <v>13</v>
      </c>
      <c r="E2296" s="1">
        <v>-12.4</v>
      </c>
      <c r="F2296" s="1" t="s">
        <v>4382</v>
      </c>
    </row>
    <row r="2297" spans="1:6" ht="21" x14ac:dyDescent="0.25">
      <c r="A2297" s="2" t="str">
        <f>HYPERLINK("https://rth.dk/resources/bsgatlas/details.php?id=BSGatlas-terminator-2296","BSGatlas-terminator-2296")</f>
        <v>BSGatlas-terminator-2296</v>
      </c>
      <c r="B2297" s="3">
        <v>3696254</v>
      </c>
      <c r="C2297" s="3">
        <v>3696298</v>
      </c>
      <c r="D2297" s="1" t="s">
        <v>13</v>
      </c>
      <c r="E2297" s="1">
        <v>-9.8000000000000007</v>
      </c>
      <c r="F2297" s="1" t="s">
        <v>15157</v>
      </c>
    </row>
    <row r="2298" spans="1:6" ht="21" x14ac:dyDescent="0.25">
      <c r="A2298" s="2" t="str">
        <f>HYPERLINK("https://rth.dk/resources/bsgatlas/details.php?id=BSGatlas-terminator-2297","BSGatlas-terminator-2297")</f>
        <v>BSGatlas-terminator-2297</v>
      </c>
      <c r="B2298" s="3">
        <v>3697591</v>
      </c>
      <c r="C2298" s="3">
        <v>3697634</v>
      </c>
      <c r="D2298" s="1" t="s">
        <v>13</v>
      </c>
      <c r="E2298" s="1">
        <v>-18</v>
      </c>
      <c r="F2298" s="1" t="s">
        <v>4382</v>
      </c>
    </row>
    <row r="2299" spans="1:6" ht="21" x14ac:dyDescent="0.25">
      <c r="A2299" s="2" t="str">
        <f>HYPERLINK("https://rth.dk/resources/bsgatlas/details.php?id=BSGatlas-terminator-2298","BSGatlas-terminator-2298")</f>
        <v>BSGatlas-terminator-2298</v>
      </c>
      <c r="B2299" s="3">
        <v>3697644</v>
      </c>
      <c r="C2299" s="3">
        <v>3697688</v>
      </c>
      <c r="D2299" s="1" t="s">
        <v>13</v>
      </c>
      <c r="E2299" s="1">
        <v>-14.7</v>
      </c>
      <c r="F2299" s="1" t="s">
        <v>15157</v>
      </c>
    </row>
    <row r="2300" spans="1:6" ht="21" x14ac:dyDescent="0.25">
      <c r="A2300" s="2" t="str">
        <f>HYPERLINK("https://rth.dk/resources/bsgatlas/details.php?id=BSGatlas-terminator-2299","BSGatlas-terminator-2299")</f>
        <v>BSGatlas-terminator-2299</v>
      </c>
      <c r="B2300" s="3">
        <v>3707682</v>
      </c>
      <c r="C2300" s="3">
        <v>3707727</v>
      </c>
      <c r="D2300" s="1" t="s">
        <v>9</v>
      </c>
      <c r="E2300" s="1">
        <v>-22.1</v>
      </c>
      <c r="F2300" s="1" t="s">
        <v>15158</v>
      </c>
    </row>
    <row r="2301" spans="1:6" ht="21" x14ac:dyDescent="0.25">
      <c r="A2301" s="2" t="str">
        <f>HYPERLINK("https://rth.dk/resources/bsgatlas/details.php?id=BSGatlas-terminator-2300","BSGatlas-terminator-2300")</f>
        <v>BSGatlas-terminator-2300</v>
      </c>
      <c r="B2301" s="3">
        <v>3708123</v>
      </c>
      <c r="C2301" s="3">
        <v>3708174</v>
      </c>
      <c r="D2301" s="1" t="s">
        <v>13</v>
      </c>
      <c r="E2301" s="1">
        <v>-23.4</v>
      </c>
      <c r="F2301" s="1" t="s">
        <v>15158</v>
      </c>
    </row>
    <row r="2302" spans="1:6" ht="21" x14ac:dyDescent="0.25">
      <c r="A2302" s="2" t="str">
        <f>HYPERLINK("https://rth.dk/resources/bsgatlas/details.php?id=BSGatlas-terminator-2301","BSGatlas-terminator-2301")</f>
        <v>BSGatlas-terminator-2301</v>
      </c>
      <c r="B2302" s="3">
        <v>3708721</v>
      </c>
      <c r="C2302" s="3">
        <v>3708765</v>
      </c>
      <c r="D2302" s="1" t="s">
        <v>9</v>
      </c>
      <c r="E2302" s="1">
        <v>-6.8</v>
      </c>
      <c r="F2302" s="1" t="s">
        <v>15162</v>
      </c>
    </row>
    <row r="2303" spans="1:6" ht="21" x14ac:dyDescent="0.25">
      <c r="A2303" s="2" t="str">
        <f>HYPERLINK("https://rth.dk/resources/bsgatlas/details.php?id=BSGatlas-terminator-2302","BSGatlas-terminator-2302")</f>
        <v>BSGatlas-terminator-2302</v>
      </c>
      <c r="B2303" s="3">
        <v>3708753</v>
      </c>
      <c r="C2303" s="3">
        <v>3708789</v>
      </c>
      <c r="D2303" s="1" t="s">
        <v>13</v>
      </c>
      <c r="E2303" s="1">
        <v>-6.8</v>
      </c>
      <c r="F2303" s="1" t="s">
        <v>15158</v>
      </c>
    </row>
    <row r="2304" spans="1:6" ht="21" x14ac:dyDescent="0.25">
      <c r="A2304" s="2" t="str">
        <f>HYPERLINK("https://rth.dk/resources/bsgatlas/details.php?id=BSGatlas-terminator-2303","BSGatlas-terminator-2303")</f>
        <v>BSGatlas-terminator-2303</v>
      </c>
      <c r="B2304" s="3">
        <v>3713914</v>
      </c>
      <c r="C2304" s="3">
        <v>3713958</v>
      </c>
      <c r="D2304" s="1" t="s">
        <v>9</v>
      </c>
      <c r="E2304" s="1">
        <v>-11.9</v>
      </c>
      <c r="F2304" s="1" t="s">
        <v>15157</v>
      </c>
    </row>
    <row r="2305" spans="1:6" ht="21" x14ac:dyDescent="0.25">
      <c r="A2305" s="2" t="str">
        <f>HYPERLINK("https://rth.dk/resources/bsgatlas/details.php?id=BSGatlas-terminator-2304","BSGatlas-terminator-2304")</f>
        <v>BSGatlas-terminator-2304</v>
      </c>
      <c r="B2305" s="3">
        <v>3713950</v>
      </c>
      <c r="C2305" s="3">
        <v>3713995</v>
      </c>
      <c r="D2305" s="1" t="s">
        <v>13</v>
      </c>
      <c r="E2305" s="1">
        <v>-11.9</v>
      </c>
      <c r="F2305" s="1" t="s">
        <v>15158</v>
      </c>
    </row>
    <row r="2306" spans="1:6" ht="21" x14ac:dyDescent="0.25">
      <c r="A2306" s="2" t="str">
        <f>HYPERLINK("https://rth.dk/resources/bsgatlas/details.php?id=BSGatlas-terminator-2305","BSGatlas-terminator-2305")</f>
        <v>BSGatlas-terminator-2305</v>
      </c>
      <c r="B2306" s="3">
        <v>3714689</v>
      </c>
      <c r="C2306" s="3">
        <v>3714732</v>
      </c>
      <c r="D2306" s="1" t="s">
        <v>13</v>
      </c>
      <c r="E2306" s="1">
        <v>-11.4</v>
      </c>
      <c r="F2306" s="1" t="s">
        <v>4382</v>
      </c>
    </row>
    <row r="2307" spans="1:6" ht="21" x14ac:dyDescent="0.25">
      <c r="A2307" s="2" t="str">
        <f>HYPERLINK("https://rth.dk/resources/bsgatlas/details.php?id=BSGatlas-terminator-2306","BSGatlas-terminator-2306")</f>
        <v>BSGatlas-terminator-2306</v>
      </c>
      <c r="B2307" s="3">
        <v>3717720</v>
      </c>
      <c r="C2307" s="3">
        <v>3717764</v>
      </c>
      <c r="D2307" s="1" t="s">
        <v>9</v>
      </c>
      <c r="E2307" s="1">
        <v>-10.7</v>
      </c>
      <c r="F2307" s="1" t="s">
        <v>15157</v>
      </c>
    </row>
    <row r="2308" spans="1:6" ht="21" x14ac:dyDescent="0.25">
      <c r="A2308" s="2" t="str">
        <f>HYPERLINK("https://rth.dk/resources/bsgatlas/details.php?id=BSGatlas-terminator-2307","BSGatlas-terminator-2307")</f>
        <v>BSGatlas-terminator-2307</v>
      </c>
      <c r="B2308" s="3">
        <v>3717730</v>
      </c>
      <c r="C2308" s="3">
        <v>3717774</v>
      </c>
      <c r="D2308" s="1" t="s">
        <v>13</v>
      </c>
      <c r="E2308" s="1">
        <v>-5.2</v>
      </c>
      <c r="F2308" s="1" t="s">
        <v>15157</v>
      </c>
    </row>
    <row r="2309" spans="1:6" ht="21" x14ac:dyDescent="0.25">
      <c r="A2309" s="2" t="str">
        <f>HYPERLINK("https://rth.dk/resources/bsgatlas/details.php?id=BSGatlas-terminator-2308","BSGatlas-terminator-2308")</f>
        <v>BSGatlas-terminator-2308</v>
      </c>
      <c r="B2309" s="3">
        <v>3717789</v>
      </c>
      <c r="C2309" s="3">
        <v>3717833</v>
      </c>
      <c r="D2309" s="1" t="s">
        <v>9</v>
      </c>
      <c r="E2309" s="1">
        <v>-10.7</v>
      </c>
      <c r="F2309" s="1" t="s">
        <v>15157</v>
      </c>
    </row>
    <row r="2310" spans="1:6" ht="21" x14ac:dyDescent="0.25">
      <c r="A2310" s="2" t="str">
        <f>HYPERLINK("https://rth.dk/resources/bsgatlas/details.php?id=BSGatlas-terminator-2309","BSGatlas-terminator-2309")</f>
        <v>BSGatlas-terminator-2309</v>
      </c>
      <c r="B2310" s="3">
        <v>3717842</v>
      </c>
      <c r="C2310" s="3">
        <v>3717890</v>
      </c>
      <c r="D2310" s="1" t="s">
        <v>9</v>
      </c>
      <c r="E2310" s="1">
        <v>-14.8</v>
      </c>
      <c r="F2310" s="1" t="s">
        <v>15158</v>
      </c>
    </row>
    <row r="2311" spans="1:6" ht="21" x14ac:dyDescent="0.25">
      <c r="A2311" s="2" t="str">
        <f>HYPERLINK("https://rth.dk/resources/bsgatlas/details.php?id=BSGatlas-terminator-2310","BSGatlas-terminator-2310")</f>
        <v>BSGatlas-terminator-2310</v>
      </c>
      <c r="B2311" s="3">
        <v>3718652</v>
      </c>
      <c r="C2311" s="3">
        <v>3718696</v>
      </c>
      <c r="D2311" s="1" t="s">
        <v>9</v>
      </c>
      <c r="E2311" s="1">
        <v>-14.9</v>
      </c>
      <c r="F2311" s="1" t="s">
        <v>15162</v>
      </c>
    </row>
    <row r="2312" spans="1:6" ht="21" x14ac:dyDescent="0.25">
      <c r="A2312" s="2" t="str">
        <f>HYPERLINK("https://rth.dk/resources/bsgatlas/details.php?id=BSGatlas-terminator-2311","BSGatlas-terminator-2311")</f>
        <v>BSGatlas-terminator-2311</v>
      </c>
      <c r="B2312" s="3">
        <v>3718695</v>
      </c>
      <c r="C2312" s="3">
        <v>3718742</v>
      </c>
      <c r="D2312" s="1" t="s">
        <v>13</v>
      </c>
      <c r="E2312" s="1">
        <v>-19.5</v>
      </c>
      <c r="F2312" s="1" t="s">
        <v>4382</v>
      </c>
    </row>
    <row r="2313" spans="1:6" ht="21" x14ac:dyDescent="0.25">
      <c r="A2313" s="2" t="str">
        <f>HYPERLINK("https://rth.dk/resources/bsgatlas/details.php?id=BSGatlas-terminator-2312","BSGatlas-terminator-2312")</f>
        <v>BSGatlas-terminator-2312</v>
      </c>
      <c r="B2313" s="3">
        <v>3719106</v>
      </c>
      <c r="C2313" s="3">
        <v>3719150</v>
      </c>
      <c r="D2313" s="1" t="s">
        <v>9</v>
      </c>
      <c r="E2313" s="1">
        <v>-14.9</v>
      </c>
      <c r="F2313" s="1" t="s">
        <v>15157</v>
      </c>
    </row>
    <row r="2314" spans="1:6" ht="21" x14ac:dyDescent="0.25">
      <c r="A2314" s="2" t="str">
        <f>HYPERLINK("https://rth.dk/resources/bsgatlas/details.php?id=BSGatlas-terminator-2313","BSGatlas-terminator-2313")</f>
        <v>BSGatlas-terminator-2313</v>
      </c>
      <c r="B2314" s="3">
        <v>3722500</v>
      </c>
      <c r="C2314" s="3">
        <v>3722544</v>
      </c>
      <c r="D2314" s="1" t="s">
        <v>9</v>
      </c>
      <c r="E2314" s="1">
        <v>-8.6</v>
      </c>
      <c r="F2314" s="1" t="s">
        <v>15157</v>
      </c>
    </row>
    <row r="2315" spans="1:6" ht="21" x14ac:dyDescent="0.25">
      <c r="A2315" s="2" t="str">
        <f>HYPERLINK("https://rth.dk/resources/bsgatlas/details.php?id=BSGatlas-terminator-2314","BSGatlas-terminator-2314")</f>
        <v>BSGatlas-terminator-2314</v>
      </c>
      <c r="B2315" s="3">
        <v>3722533</v>
      </c>
      <c r="C2315" s="3">
        <v>3722568</v>
      </c>
      <c r="D2315" s="1" t="s">
        <v>13</v>
      </c>
      <c r="E2315" s="1">
        <v>-10.199999999999999</v>
      </c>
      <c r="F2315" s="1" t="s">
        <v>4382</v>
      </c>
    </row>
    <row r="2316" spans="1:6" ht="21" x14ac:dyDescent="0.25">
      <c r="A2316" s="2" t="str">
        <f>HYPERLINK("https://rth.dk/resources/bsgatlas/details.php?id=BSGatlas-terminator-2315","BSGatlas-terminator-2315")</f>
        <v>BSGatlas-terminator-2315</v>
      </c>
      <c r="B2316" s="3">
        <v>3724379</v>
      </c>
      <c r="C2316" s="3">
        <v>3724424</v>
      </c>
      <c r="D2316" s="1" t="s">
        <v>13</v>
      </c>
      <c r="E2316" s="1">
        <v>-12.4</v>
      </c>
      <c r="F2316" s="1" t="s">
        <v>15158</v>
      </c>
    </row>
    <row r="2317" spans="1:6" ht="21" x14ac:dyDescent="0.25">
      <c r="A2317" s="2" t="str">
        <f>HYPERLINK("https://rth.dk/resources/bsgatlas/details.php?id=BSGatlas-terminator-2316","BSGatlas-terminator-2316")</f>
        <v>BSGatlas-terminator-2316</v>
      </c>
      <c r="B2317" s="3">
        <v>3728400</v>
      </c>
      <c r="C2317" s="3">
        <v>3728444</v>
      </c>
      <c r="D2317" s="1" t="s">
        <v>13</v>
      </c>
      <c r="E2317" s="1">
        <v>-8.4</v>
      </c>
      <c r="F2317" s="1" t="s">
        <v>15162</v>
      </c>
    </row>
    <row r="2318" spans="1:6" ht="21" x14ac:dyDescent="0.25">
      <c r="A2318" s="2" t="str">
        <f>HYPERLINK("https://rth.dk/resources/bsgatlas/details.php?id=BSGatlas-terminator-2317","BSGatlas-terminator-2317")</f>
        <v>BSGatlas-terminator-2317</v>
      </c>
      <c r="B2318" s="3">
        <v>3729442</v>
      </c>
      <c r="C2318" s="3">
        <v>3729480</v>
      </c>
      <c r="D2318" s="1" t="s">
        <v>13</v>
      </c>
      <c r="E2318" s="1">
        <v>-10.3</v>
      </c>
      <c r="F2318" s="1" t="s">
        <v>15158</v>
      </c>
    </row>
    <row r="2319" spans="1:6" ht="21" x14ac:dyDescent="0.25">
      <c r="A2319" s="2" t="str">
        <f>HYPERLINK("https://rth.dk/resources/bsgatlas/details.php?id=BSGatlas-terminator-2318","BSGatlas-terminator-2318")</f>
        <v>BSGatlas-terminator-2318</v>
      </c>
      <c r="B2319" s="3">
        <v>3731799</v>
      </c>
      <c r="C2319" s="3">
        <v>3731820</v>
      </c>
      <c r="D2319" s="1" t="s">
        <v>13</v>
      </c>
      <c r="E2319" s="1">
        <v>-9.3000000000000007</v>
      </c>
      <c r="F2319" s="1" t="s">
        <v>15161</v>
      </c>
    </row>
    <row r="2320" spans="1:6" ht="21" x14ac:dyDescent="0.25">
      <c r="A2320" s="2" t="str">
        <f>HYPERLINK("https://rth.dk/resources/bsgatlas/details.php?id=BSGatlas-terminator-2319","BSGatlas-terminator-2319")</f>
        <v>BSGatlas-terminator-2319</v>
      </c>
      <c r="B2320" s="3">
        <v>3733504</v>
      </c>
      <c r="C2320" s="3">
        <v>3733548</v>
      </c>
      <c r="D2320" s="1" t="s">
        <v>13</v>
      </c>
      <c r="E2320" s="1">
        <v>-9.3000000000000007</v>
      </c>
      <c r="F2320" s="1" t="s">
        <v>15157</v>
      </c>
    </row>
    <row r="2321" spans="1:6" ht="21" x14ac:dyDescent="0.25">
      <c r="A2321" s="2" t="str">
        <f>HYPERLINK("https://rth.dk/resources/bsgatlas/details.php?id=BSGatlas-terminator-2320","BSGatlas-terminator-2320")</f>
        <v>BSGatlas-terminator-2320</v>
      </c>
      <c r="B2321" s="3">
        <v>3738227</v>
      </c>
      <c r="C2321" s="3">
        <v>3738267</v>
      </c>
      <c r="D2321" s="1" t="s">
        <v>9</v>
      </c>
      <c r="E2321" s="1">
        <v>-17.899999999999999</v>
      </c>
      <c r="F2321" s="1" t="s">
        <v>4382</v>
      </c>
    </row>
    <row r="2322" spans="1:6" ht="21" x14ac:dyDescent="0.25">
      <c r="A2322" s="2" t="str">
        <f>HYPERLINK("https://rth.dk/resources/bsgatlas/details.php?id=BSGatlas-terminator-2321","BSGatlas-terminator-2321")</f>
        <v>BSGatlas-terminator-2321</v>
      </c>
      <c r="B2322" s="3">
        <v>3738244</v>
      </c>
      <c r="C2322" s="3">
        <v>3738288</v>
      </c>
      <c r="D2322" s="1" t="s">
        <v>13</v>
      </c>
      <c r="E2322" s="1">
        <v>-14.4</v>
      </c>
      <c r="F2322" s="1" t="s">
        <v>15157</v>
      </c>
    </row>
    <row r="2323" spans="1:6" ht="21" x14ac:dyDescent="0.25">
      <c r="A2323" s="2" t="str">
        <f>HYPERLINK("https://rth.dk/resources/bsgatlas/details.php?id=BSGatlas-terminator-2322","BSGatlas-terminator-2322")</f>
        <v>BSGatlas-terminator-2322</v>
      </c>
      <c r="B2323" s="3">
        <v>3740127</v>
      </c>
      <c r="C2323" s="3">
        <v>3740171</v>
      </c>
      <c r="D2323" s="1" t="s">
        <v>13</v>
      </c>
      <c r="E2323" s="1">
        <v>-7.5</v>
      </c>
      <c r="F2323" s="1" t="s">
        <v>15162</v>
      </c>
    </row>
    <row r="2324" spans="1:6" ht="21" x14ac:dyDescent="0.25">
      <c r="A2324" s="2" t="str">
        <f>HYPERLINK("https://rth.dk/resources/bsgatlas/details.php?id=BSGatlas-terminator-2323","BSGatlas-terminator-2323")</f>
        <v>BSGatlas-terminator-2323</v>
      </c>
      <c r="B2324" s="3">
        <v>3741160</v>
      </c>
      <c r="C2324" s="3">
        <v>3741204</v>
      </c>
      <c r="D2324" s="1" t="s">
        <v>13</v>
      </c>
      <c r="E2324" s="1">
        <v>-14</v>
      </c>
      <c r="F2324" s="1" t="s">
        <v>15157</v>
      </c>
    </row>
    <row r="2325" spans="1:6" ht="21" x14ac:dyDescent="0.25">
      <c r="A2325" s="2" t="str">
        <f>HYPERLINK("https://rth.dk/resources/bsgatlas/details.php?id=BSGatlas-terminator-2324","BSGatlas-terminator-2324")</f>
        <v>BSGatlas-terminator-2324</v>
      </c>
      <c r="B2325" s="3">
        <v>3741612</v>
      </c>
      <c r="C2325" s="3">
        <v>3741656</v>
      </c>
      <c r="D2325" s="1" t="s">
        <v>9</v>
      </c>
      <c r="E2325" s="1">
        <v>-14</v>
      </c>
      <c r="F2325" s="1" t="s">
        <v>15162</v>
      </c>
    </row>
    <row r="2326" spans="1:6" ht="21" x14ac:dyDescent="0.25">
      <c r="A2326" s="2" t="str">
        <f>HYPERLINK("https://rth.dk/resources/bsgatlas/details.php?id=BSGatlas-terminator-2325","BSGatlas-terminator-2325")</f>
        <v>BSGatlas-terminator-2325</v>
      </c>
      <c r="B2326" s="3">
        <v>3741666</v>
      </c>
      <c r="C2326" s="3">
        <v>3741706</v>
      </c>
      <c r="D2326" s="1" t="s">
        <v>13</v>
      </c>
      <c r="E2326" s="1">
        <v>-17</v>
      </c>
      <c r="F2326" s="1" t="s">
        <v>4382</v>
      </c>
    </row>
    <row r="2327" spans="1:6" ht="21" x14ac:dyDescent="0.25">
      <c r="A2327" s="2" t="str">
        <f>HYPERLINK("https://rth.dk/resources/bsgatlas/details.php?id=BSGatlas-terminator-2326","BSGatlas-terminator-2326")</f>
        <v>BSGatlas-terminator-2326</v>
      </c>
      <c r="B2327" s="3">
        <v>3741711</v>
      </c>
      <c r="C2327" s="3">
        <v>3741755</v>
      </c>
      <c r="D2327" s="1" t="s">
        <v>13</v>
      </c>
      <c r="E2327" s="1">
        <v>-14</v>
      </c>
      <c r="F2327" s="1" t="s">
        <v>15157</v>
      </c>
    </row>
    <row r="2328" spans="1:6" ht="21" x14ac:dyDescent="0.25">
      <c r="A2328" s="2" t="str">
        <f>HYPERLINK("https://rth.dk/resources/bsgatlas/details.php?id=BSGatlas-terminator-2327","BSGatlas-terminator-2327")</f>
        <v>BSGatlas-terminator-2327</v>
      </c>
      <c r="B2328" s="3">
        <v>3743197</v>
      </c>
      <c r="C2328" s="3">
        <v>3743241</v>
      </c>
      <c r="D2328" s="1" t="s">
        <v>9</v>
      </c>
      <c r="E2328" s="1">
        <v>-8.6</v>
      </c>
      <c r="F2328" s="1" t="s">
        <v>15157</v>
      </c>
    </row>
    <row r="2329" spans="1:6" ht="21" x14ac:dyDescent="0.25">
      <c r="A2329" s="2" t="str">
        <f>HYPERLINK("https://rth.dk/resources/bsgatlas/details.php?id=BSGatlas-terminator-2328","BSGatlas-terminator-2328")</f>
        <v>BSGatlas-terminator-2328</v>
      </c>
      <c r="B2329" s="3">
        <v>3743227</v>
      </c>
      <c r="C2329" s="3">
        <v>3743267</v>
      </c>
      <c r="D2329" s="1" t="s">
        <v>13</v>
      </c>
      <c r="E2329" s="1">
        <v>-14.2</v>
      </c>
      <c r="F2329" s="1" t="s">
        <v>15158</v>
      </c>
    </row>
    <row r="2330" spans="1:6" ht="21" x14ac:dyDescent="0.25">
      <c r="A2330" s="2" t="str">
        <f>HYPERLINK("https://rth.dk/resources/bsgatlas/details.php?id=BSGatlas-terminator-2329","BSGatlas-terminator-2329")</f>
        <v>BSGatlas-terminator-2329</v>
      </c>
      <c r="B2330" s="3">
        <v>3745356</v>
      </c>
      <c r="C2330" s="3">
        <v>3745431</v>
      </c>
      <c r="D2330" s="1" t="s">
        <v>13</v>
      </c>
      <c r="E2330" s="1">
        <v>-23.7</v>
      </c>
      <c r="F2330" s="1" t="s">
        <v>15158</v>
      </c>
    </row>
    <row r="2331" spans="1:6" ht="21" x14ac:dyDescent="0.25">
      <c r="A2331" s="2" t="str">
        <f>HYPERLINK("https://rth.dk/resources/bsgatlas/details.php?id=BSGatlas-terminator-2330","BSGatlas-terminator-2330")</f>
        <v>BSGatlas-terminator-2330</v>
      </c>
      <c r="B2331" s="3">
        <v>3745385</v>
      </c>
      <c r="C2331" s="3">
        <v>3745442</v>
      </c>
      <c r="D2331" s="1" t="s">
        <v>9</v>
      </c>
      <c r="E2331" s="1">
        <v>-12.1</v>
      </c>
      <c r="F2331" s="1" t="s">
        <v>4382</v>
      </c>
    </row>
    <row r="2332" spans="1:6" ht="21" x14ac:dyDescent="0.25">
      <c r="A2332" s="2" t="str">
        <f>HYPERLINK("https://rth.dk/resources/bsgatlas/details.php?id=BSGatlas-terminator-2331","BSGatlas-terminator-2331")</f>
        <v>BSGatlas-terminator-2331</v>
      </c>
      <c r="B2332" s="3">
        <v>3746265</v>
      </c>
      <c r="C2332" s="3">
        <v>3746331</v>
      </c>
      <c r="D2332" s="1" t="s">
        <v>9</v>
      </c>
      <c r="E2332" s="1"/>
      <c r="F2332" s="1" t="s">
        <v>15159</v>
      </c>
    </row>
    <row r="2333" spans="1:6" ht="21" x14ac:dyDescent="0.25">
      <c r="A2333" s="2" t="str">
        <f>HYPERLINK("https://rth.dk/resources/bsgatlas/details.php?id=BSGatlas-terminator-2332","BSGatlas-terminator-2332")</f>
        <v>BSGatlas-terminator-2332</v>
      </c>
      <c r="B2333" s="3">
        <v>3747207</v>
      </c>
      <c r="C2333" s="3">
        <v>3747249</v>
      </c>
      <c r="D2333" s="1" t="s">
        <v>13</v>
      </c>
      <c r="E2333" s="1">
        <v>-15.1</v>
      </c>
      <c r="F2333" s="1" t="s">
        <v>15158</v>
      </c>
    </row>
    <row r="2334" spans="1:6" ht="21" x14ac:dyDescent="0.25">
      <c r="A2334" s="2" t="str">
        <f>HYPERLINK("https://rth.dk/resources/bsgatlas/details.php?id=BSGatlas-terminator-2333","BSGatlas-terminator-2333")</f>
        <v>BSGatlas-terminator-2333</v>
      </c>
      <c r="B2334" s="3">
        <v>3748330</v>
      </c>
      <c r="C2334" s="3">
        <v>3748377</v>
      </c>
      <c r="D2334" s="1" t="s">
        <v>13</v>
      </c>
      <c r="E2334" s="1">
        <v>-3.5</v>
      </c>
      <c r="F2334" s="1" t="s">
        <v>4382</v>
      </c>
    </row>
    <row r="2335" spans="1:6" ht="21" x14ac:dyDescent="0.25">
      <c r="A2335" s="2" t="str">
        <f>HYPERLINK("https://rth.dk/resources/bsgatlas/details.php?id=BSGatlas-terminator-2334","BSGatlas-terminator-2334")</f>
        <v>BSGatlas-terminator-2334</v>
      </c>
      <c r="B2335" s="3">
        <v>3750680</v>
      </c>
      <c r="C2335" s="3">
        <v>3750723</v>
      </c>
      <c r="D2335" s="1" t="s">
        <v>9</v>
      </c>
      <c r="E2335" s="1">
        <v>-22.2</v>
      </c>
      <c r="F2335" s="1" t="s">
        <v>4382</v>
      </c>
    </row>
    <row r="2336" spans="1:6" ht="21" x14ac:dyDescent="0.25">
      <c r="A2336" s="2" t="str">
        <f>HYPERLINK("https://rth.dk/resources/bsgatlas/details.php?id=BSGatlas-terminator-2335","BSGatlas-terminator-2335")</f>
        <v>BSGatlas-terminator-2335</v>
      </c>
      <c r="B2336" s="3">
        <v>3750709</v>
      </c>
      <c r="C2336" s="3">
        <v>3750763</v>
      </c>
      <c r="D2336" s="1" t="s">
        <v>13</v>
      </c>
      <c r="E2336" s="1">
        <v>-27.9</v>
      </c>
      <c r="F2336" s="1" t="s">
        <v>4382</v>
      </c>
    </row>
    <row r="2337" spans="1:6" ht="21" x14ac:dyDescent="0.25">
      <c r="A2337" s="2" t="str">
        <f>HYPERLINK("https://rth.dk/resources/bsgatlas/details.php?id=BSGatlas-terminator-2336","BSGatlas-terminator-2336")</f>
        <v>BSGatlas-terminator-2336</v>
      </c>
      <c r="B2337" s="3">
        <v>3751043</v>
      </c>
      <c r="C2337" s="3">
        <v>3751087</v>
      </c>
      <c r="D2337" s="1" t="s">
        <v>13</v>
      </c>
      <c r="E2337" s="1">
        <v>-22.3</v>
      </c>
      <c r="F2337" s="1" t="s">
        <v>15157</v>
      </c>
    </row>
    <row r="2338" spans="1:6" ht="21" x14ac:dyDescent="0.25">
      <c r="A2338" s="2" t="str">
        <f>HYPERLINK("https://rth.dk/resources/bsgatlas/details.php?id=BSGatlas-terminator-2337","BSGatlas-terminator-2337")</f>
        <v>BSGatlas-terminator-2337</v>
      </c>
      <c r="B2338" s="3">
        <v>3752246</v>
      </c>
      <c r="C2338" s="3">
        <v>3752298</v>
      </c>
      <c r="D2338" s="1" t="s">
        <v>13</v>
      </c>
      <c r="E2338" s="1">
        <v>-11</v>
      </c>
      <c r="F2338" s="1" t="s">
        <v>4382</v>
      </c>
    </row>
    <row r="2339" spans="1:6" ht="21" x14ac:dyDescent="0.25">
      <c r="A2339" s="2" t="str">
        <f>HYPERLINK("https://rth.dk/resources/bsgatlas/details.php?id=BSGatlas-terminator-2338","BSGatlas-terminator-2338")</f>
        <v>BSGatlas-terminator-2338</v>
      </c>
      <c r="B2339" s="3">
        <v>3753890</v>
      </c>
      <c r="C2339" s="3">
        <v>3753933</v>
      </c>
      <c r="D2339" s="1" t="s">
        <v>13</v>
      </c>
      <c r="E2339" s="1">
        <v>-16.2</v>
      </c>
      <c r="F2339" s="1" t="s">
        <v>15158</v>
      </c>
    </row>
    <row r="2340" spans="1:6" ht="21" x14ac:dyDescent="0.25">
      <c r="A2340" s="2" t="str">
        <f>HYPERLINK("https://rth.dk/resources/bsgatlas/details.php?id=BSGatlas-terminator-2339","BSGatlas-terminator-2339")</f>
        <v>BSGatlas-terminator-2339</v>
      </c>
      <c r="B2340" s="3">
        <v>3758371</v>
      </c>
      <c r="C2340" s="3">
        <v>3758413</v>
      </c>
      <c r="D2340" s="1" t="s">
        <v>9</v>
      </c>
      <c r="E2340" s="1">
        <v>-15.8</v>
      </c>
      <c r="F2340" s="1" t="s">
        <v>15158</v>
      </c>
    </row>
    <row r="2341" spans="1:6" ht="21" x14ac:dyDescent="0.25">
      <c r="A2341" s="2" t="str">
        <f>HYPERLINK("https://rth.dk/resources/bsgatlas/details.php?id=BSGatlas-terminator-2340","BSGatlas-terminator-2340")</f>
        <v>BSGatlas-terminator-2340</v>
      </c>
      <c r="B2341" s="3">
        <v>3759087</v>
      </c>
      <c r="C2341" s="3">
        <v>3759131</v>
      </c>
      <c r="D2341" s="1" t="s">
        <v>9</v>
      </c>
      <c r="E2341" s="1">
        <v>-12.5</v>
      </c>
      <c r="F2341" s="1" t="s">
        <v>15157</v>
      </c>
    </row>
    <row r="2342" spans="1:6" ht="21" x14ac:dyDescent="0.25">
      <c r="A2342" s="2" t="str">
        <f>HYPERLINK("https://rth.dk/resources/bsgatlas/details.php?id=BSGatlas-terminator-2341","BSGatlas-terminator-2341")</f>
        <v>BSGatlas-terminator-2341</v>
      </c>
      <c r="B2342" s="3">
        <v>3759125</v>
      </c>
      <c r="C2342" s="3">
        <v>3759172</v>
      </c>
      <c r="D2342" s="1" t="s">
        <v>13</v>
      </c>
      <c r="E2342" s="1">
        <v>-19.5</v>
      </c>
      <c r="F2342" s="1" t="s">
        <v>15158</v>
      </c>
    </row>
    <row r="2343" spans="1:6" ht="21" x14ac:dyDescent="0.25">
      <c r="A2343" s="2" t="str">
        <f>HYPERLINK("https://rth.dk/resources/bsgatlas/details.php?id=BSGatlas-terminator-2342","BSGatlas-terminator-2342")</f>
        <v>BSGatlas-terminator-2342</v>
      </c>
      <c r="B2343" s="3">
        <v>3759135</v>
      </c>
      <c r="C2343" s="3">
        <v>3759182</v>
      </c>
      <c r="D2343" s="1" t="s">
        <v>9</v>
      </c>
      <c r="E2343" s="1">
        <v>-19.3</v>
      </c>
      <c r="F2343" s="1" t="s">
        <v>4382</v>
      </c>
    </row>
    <row r="2344" spans="1:6" ht="21" x14ac:dyDescent="0.25">
      <c r="A2344" s="2" t="str">
        <f>HYPERLINK("https://rth.dk/resources/bsgatlas/details.php?id=BSGatlas-terminator-2343","BSGatlas-terminator-2343")</f>
        <v>BSGatlas-terminator-2343</v>
      </c>
      <c r="B2344" s="3">
        <v>3759657</v>
      </c>
      <c r="C2344" s="3">
        <v>3759697</v>
      </c>
      <c r="D2344" s="1" t="s">
        <v>13</v>
      </c>
      <c r="E2344" s="1">
        <v>-10.6</v>
      </c>
      <c r="F2344" s="1" t="s">
        <v>15158</v>
      </c>
    </row>
    <row r="2345" spans="1:6" ht="21" x14ac:dyDescent="0.25">
      <c r="A2345" s="2" t="str">
        <f>HYPERLINK("https://rth.dk/resources/bsgatlas/details.php?id=BSGatlas-terminator-2344","BSGatlas-terminator-2344")</f>
        <v>BSGatlas-terminator-2344</v>
      </c>
      <c r="B2345" s="3">
        <v>3759931</v>
      </c>
      <c r="C2345" s="3">
        <v>3759975</v>
      </c>
      <c r="D2345" s="1" t="s">
        <v>13</v>
      </c>
      <c r="E2345" s="1">
        <v>-7.1</v>
      </c>
      <c r="F2345" s="1" t="s">
        <v>15157</v>
      </c>
    </row>
    <row r="2346" spans="1:6" ht="21" x14ac:dyDescent="0.25">
      <c r="A2346" s="2" t="str">
        <f>HYPERLINK("https://rth.dk/resources/bsgatlas/details.php?id=BSGatlas-terminator-2345","BSGatlas-terminator-2345")</f>
        <v>BSGatlas-terminator-2345</v>
      </c>
      <c r="B2346" s="3">
        <v>3761013</v>
      </c>
      <c r="C2346" s="3">
        <v>3761079</v>
      </c>
      <c r="D2346" s="1" t="s">
        <v>13</v>
      </c>
      <c r="E2346" s="1"/>
      <c r="F2346" s="1" t="s">
        <v>15159</v>
      </c>
    </row>
    <row r="2347" spans="1:6" ht="21" x14ac:dyDescent="0.25">
      <c r="A2347" s="2" t="str">
        <f>HYPERLINK("https://rth.dk/resources/bsgatlas/details.php?id=BSGatlas-terminator-2346","BSGatlas-terminator-2346")</f>
        <v>BSGatlas-terminator-2346</v>
      </c>
      <c r="B2347" s="3">
        <v>3761483</v>
      </c>
      <c r="C2347" s="3">
        <v>3761527</v>
      </c>
      <c r="D2347" s="1" t="s">
        <v>9</v>
      </c>
      <c r="E2347" s="1">
        <v>-13.3</v>
      </c>
      <c r="F2347" s="1" t="s">
        <v>15157</v>
      </c>
    </row>
    <row r="2348" spans="1:6" ht="21" x14ac:dyDescent="0.25">
      <c r="A2348" s="2" t="str">
        <f>HYPERLINK("https://rth.dk/resources/bsgatlas/details.php?id=BSGatlas-terminator-2347","BSGatlas-terminator-2347")</f>
        <v>BSGatlas-terminator-2347</v>
      </c>
      <c r="B2348" s="3">
        <v>3761681</v>
      </c>
      <c r="C2348" s="3">
        <v>3761725</v>
      </c>
      <c r="D2348" s="1" t="s">
        <v>9</v>
      </c>
      <c r="E2348" s="1">
        <v>-13.3</v>
      </c>
      <c r="F2348" s="1" t="s">
        <v>15157</v>
      </c>
    </row>
    <row r="2349" spans="1:6" ht="21" x14ac:dyDescent="0.25">
      <c r="A2349" s="2" t="str">
        <f>HYPERLINK("https://rth.dk/resources/bsgatlas/details.php?id=BSGatlas-terminator-2348","BSGatlas-terminator-2348")</f>
        <v>BSGatlas-terminator-2348</v>
      </c>
      <c r="B2349" s="3">
        <v>3761923</v>
      </c>
      <c r="C2349" s="3">
        <v>3761982</v>
      </c>
      <c r="D2349" s="1" t="s">
        <v>13</v>
      </c>
      <c r="E2349" s="1">
        <v>-28.4</v>
      </c>
      <c r="F2349" s="1" t="s">
        <v>15158</v>
      </c>
    </row>
    <row r="2350" spans="1:6" ht="21" x14ac:dyDescent="0.25">
      <c r="A2350" s="2" t="str">
        <f>HYPERLINK("https://rth.dk/resources/bsgatlas/details.php?id=BSGatlas-terminator-2349","BSGatlas-terminator-2349")</f>
        <v>BSGatlas-terminator-2349</v>
      </c>
      <c r="B2350" s="3">
        <v>3764079</v>
      </c>
      <c r="C2350" s="3">
        <v>3764123</v>
      </c>
      <c r="D2350" s="1" t="s">
        <v>9</v>
      </c>
      <c r="E2350" s="1">
        <v>-19.5</v>
      </c>
      <c r="F2350" s="1" t="s">
        <v>15157</v>
      </c>
    </row>
    <row r="2351" spans="1:6" ht="21" x14ac:dyDescent="0.25">
      <c r="A2351" s="2" t="str">
        <f>HYPERLINK("https://rth.dk/resources/bsgatlas/details.php?id=BSGatlas-terminator-2350","BSGatlas-terminator-2350")</f>
        <v>BSGatlas-terminator-2350</v>
      </c>
      <c r="B2351" s="3">
        <v>3764108</v>
      </c>
      <c r="C2351" s="3">
        <v>3764150</v>
      </c>
      <c r="D2351" s="1" t="s">
        <v>13</v>
      </c>
      <c r="E2351" s="1">
        <v>-24.3</v>
      </c>
      <c r="F2351" s="1" t="s">
        <v>15158</v>
      </c>
    </row>
    <row r="2352" spans="1:6" ht="21" x14ac:dyDescent="0.25">
      <c r="A2352" s="2" t="str">
        <f>HYPERLINK("https://rth.dk/resources/bsgatlas/details.php?id=BSGatlas-terminator-2351","BSGatlas-terminator-2351")</f>
        <v>BSGatlas-terminator-2351</v>
      </c>
      <c r="B2352" s="3">
        <v>3765399</v>
      </c>
      <c r="C2352" s="3">
        <v>3765443</v>
      </c>
      <c r="D2352" s="1" t="s">
        <v>9</v>
      </c>
      <c r="E2352" s="1">
        <v>-11.4</v>
      </c>
      <c r="F2352" s="1" t="s">
        <v>15157</v>
      </c>
    </row>
    <row r="2353" spans="1:6" ht="21" x14ac:dyDescent="0.25">
      <c r="A2353" s="2" t="str">
        <f>HYPERLINK("https://rth.dk/resources/bsgatlas/details.php?id=BSGatlas-terminator-2352","BSGatlas-terminator-2352")</f>
        <v>BSGatlas-terminator-2352</v>
      </c>
      <c r="B2353" s="3">
        <v>3765429</v>
      </c>
      <c r="C2353" s="3">
        <v>3765466</v>
      </c>
      <c r="D2353" s="1" t="s">
        <v>13</v>
      </c>
      <c r="E2353" s="1">
        <v>-13.2</v>
      </c>
      <c r="F2353" s="1" t="s">
        <v>4382</v>
      </c>
    </row>
    <row r="2354" spans="1:6" ht="21" x14ac:dyDescent="0.25">
      <c r="A2354" s="2" t="str">
        <f>HYPERLINK("https://rth.dk/resources/bsgatlas/details.php?id=BSGatlas-terminator-2353","BSGatlas-terminator-2353")</f>
        <v>BSGatlas-terminator-2353</v>
      </c>
      <c r="B2354" s="3">
        <v>3765497</v>
      </c>
      <c r="C2354" s="3">
        <v>3765541</v>
      </c>
      <c r="D2354" s="1" t="s">
        <v>13</v>
      </c>
      <c r="E2354" s="1">
        <v>-11.4</v>
      </c>
      <c r="F2354" s="1" t="s">
        <v>15157</v>
      </c>
    </row>
    <row r="2355" spans="1:6" ht="21" x14ac:dyDescent="0.25">
      <c r="A2355" s="2" t="str">
        <f>HYPERLINK("https://rth.dk/resources/bsgatlas/details.php?id=BSGatlas-terminator-2354","BSGatlas-terminator-2354")</f>
        <v>BSGatlas-terminator-2354</v>
      </c>
      <c r="B2355" s="3">
        <v>3766671</v>
      </c>
      <c r="C2355" s="3">
        <v>3766711</v>
      </c>
      <c r="D2355" s="1" t="s">
        <v>13</v>
      </c>
      <c r="E2355" s="1">
        <v>-18.3</v>
      </c>
      <c r="F2355" s="1" t="s">
        <v>4382</v>
      </c>
    </row>
    <row r="2356" spans="1:6" ht="21" x14ac:dyDescent="0.25">
      <c r="A2356" s="2" t="str">
        <f>HYPERLINK("https://rth.dk/resources/bsgatlas/details.php?id=BSGatlas-terminator-2355","BSGatlas-terminator-2355")</f>
        <v>BSGatlas-terminator-2355</v>
      </c>
      <c r="B2356" s="3">
        <v>3770053</v>
      </c>
      <c r="C2356" s="3">
        <v>3770096</v>
      </c>
      <c r="D2356" s="1" t="s">
        <v>13</v>
      </c>
      <c r="E2356" s="1">
        <v>-14.6</v>
      </c>
      <c r="F2356" s="1" t="s">
        <v>15158</v>
      </c>
    </row>
    <row r="2357" spans="1:6" ht="21" x14ac:dyDescent="0.25">
      <c r="A2357" s="2" t="str">
        <f>HYPERLINK("https://rth.dk/resources/bsgatlas/details.php?id=BSGatlas-terminator-2356","BSGatlas-terminator-2356")</f>
        <v>BSGatlas-terminator-2356</v>
      </c>
      <c r="B2357" s="3">
        <v>3770260</v>
      </c>
      <c r="C2357" s="3">
        <v>3770304</v>
      </c>
      <c r="D2357" s="1" t="s">
        <v>9</v>
      </c>
      <c r="E2357" s="1">
        <v>-8.1</v>
      </c>
      <c r="F2357" s="1" t="s">
        <v>15157</v>
      </c>
    </row>
    <row r="2358" spans="1:6" ht="21" x14ac:dyDescent="0.25">
      <c r="A2358" s="2" t="str">
        <f>HYPERLINK("https://rth.dk/resources/bsgatlas/details.php?id=BSGatlas-terminator-2357","BSGatlas-terminator-2357")</f>
        <v>BSGatlas-terminator-2357</v>
      </c>
      <c r="B2358" s="3">
        <v>3770960</v>
      </c>
      <c r="C2358" s="3">
        <v>3770997</v>
      </c>
      <c r="D2358" s="1" t="s">
        <v>13</v>
      </c>
      <c r="E2358" s="1">
        <v>-9.9</v>
      </c>
      <c r="F2358" s="1" t="s">
        <v>15158</v>
      </c>
    </row>
    <row r="2359" spans="1:6" ht="21" x14ac:dyDescent="0.25">
      <c r="A2359" s="2" t="str">
        <f>HYPERLINK("https://rth.dk/resources/bsgatlas/details.php?id=BSGatlas-terminator-2358","BSGatlas-terminator-2358")</f>
        <v>BSGatlas-terminator-2358</v>
      </c>
      <c r="B2359" s="3">
        <v>3772273</v>
      </c>
      <c r="C2359" s="3">
        <v>3772316</v>
      </c>
      <c r="D2359" s="1" t="s">
        <v>13</v>
      </c>
      <c r="E2359" s="1">
        <v>-12.8</v>
      </c>
      <c r="F2359" s="1" t="s">
        <v>15158</v>
      </c>
    </row>
    <row r="2360" spans="1:6" ht="21" x14ac:dyDescent="0.25">
      <c r="A2360" s="2" t="str">
        <f>HYPERLINK("https://rth.dk/resources/bsgatlas/details.php?id=BSGatlas-terminator-2359","BSGatlas-terminator-2359")</f>
        <v>BSGatlas-terminator-2359</v>
      </c>
      <c r="B2360" s="3">
        <v>3774220</v>
      </c>
      <c r="C2360" s="3">
        <v>3774260</v>
      </c>
      <c r="D2360" s="1" t="s">
        <v>13</v>
      </c>
      <c r="E2360" s="1">
        <v>-12.8</v>
      </c>
      <c r="F2360" s="1" t="s">
        <v>4382</v>
      </c>
    </row>
    <row r="2361" spans="1:6" ht="21" x14ac:dyDescent="0.25">
      <c r="A2361" s="2" t="str">
        <f>HYPERLINK("https://rth.dk/resources/bsgatlas/details.php?id=BSGatlas-terminator-2360","BSGatlas-terminator-2360")</f>
        <v>BSGatlas-terminator-2360</v>
      </c>
      <c r="B2361" s="3">
        <v>3774607</v>
      </c>
      <c r="C2361" s="3">
        <v>3774644</v>
      </c>
      <c r="D2361" s="1" t="s">
        <v>13</v>
      </c>
      <c r="E2361" s="1">
        <v>-12.2</v>
      </c>
      <c r="F2361" s="1" t="s">
        <v>4382</v>
      </c>
    </row>
    <row r="2362" spans="1:6" ht="21" x14ac:dyDescent="0.25">
      <c r="A2362" s="2" t="str">
        <f>HYPERLINK("https://rth.dk/resources/bsgatlas/details.php?id=BSGatlas-terminator-2361","BSGatlas-terminator-2361")</f>
        <v>BSGatlas-terminator-2361</v>
      </c>
      <c r="B2362" s="3">
        <v>3774648</v>
      </c>
      <c r="C2362" s="3">
        <v>3774692</v>
      </c>
      <c r="D2362" s="1" t="s">
        <v>13</v>
      </c>
      <c r="E2362" s="1">
        <v>-9.6</v>
      </c>
      <c r="F2362" s="1" t="s">
        <v>15157</v>
      </c>
    </row>
    <row r="2363" spans="1:6" ht="21" x14ac:dyDescent="0.25">
      <c r="A2363" s="2" t="str">
        <f>HYPERLINK("https://rth.dk/resources/bsgatlas/details.php?id=BSGatlas-terminator-2362","BSGatlas-terminator-2362")</f>
        <v>BSGatlas-terminator-2362</v>
      </c>
      <c r="B2363" s="3">
        <v>3775609</v>
      </c>
      <c r="C2363" s="3">
        <v>3775650</v>
      </c>
      <c r="D2363" s="1" t="s">
        <v>13</v>
      </c>
      <c r="E2363" s="1">
        <v>-14</v>
      </c>
      <c r="F2363" s="1" t="s">
        <v>4382</v>
      </c>
    </row>
    <row r="2364" spans="1:6" ht="21" x14ac:dyDescent="0.25">
      <c r="A2364" s="2" t="str">
        <f>HYPERLINK("https://rth.dk/resources/bsgatlas/details.php?id=BSGatlas-terminator-2363","BSGatlas-terminator-2363")</f>
        <v>BSGatlas-terminator-2363</v>
      </c>
      <c r="B2364" s="3">
        <v>3776685</v>
      </c>
      <c r="C2364" s="3">
        <v>3776721</v>
      </c>
      <c r="D2364" s="1" t="s">
        <v>13</v>
      </c>
      <c r="E2364" s="1">
        <v>-11.4</v>
      </c>
      <c r="F2364" s="1" t="s">
        <v>15158</v>
      </c>
    </row>
    <row r="2365" spans="1:6" ht="21" x14ac:dyDescent="0.25">
      <c r="A2365" s="2" t="str">
        <f>HYPERLINK("https://rth.dk/resources/bsgatlas/details.php?id=BSGatlas-terminator-2364","BSGatlas-terminator-2364")</f>
        <v>BSGatlas-terminator-2364</v>
      </c>
      <c r="B2365" s="3">
        <v>3777896</v>
      </c>
      <c r="C2365" s="3">
        <v>3777940</v>
      </c>
      <c r="D2365" s="1" t="s">
        <v>13</v>
      </c>
      <c r="E2365" s="1">
        <v>-15</v>
      </c>
      <c r="F2365" s="1" t="s">
        <v>15158</v>
      </c>
    </row>
    <row r="2366" spans="1:6" ht="21" x14ac:dyDescent="0.25">
      <c r="A2366" s="2" t="str">
        <f>HYPERLINK("https://rth.dk/resources/bsgatlas/details.php?id=BSGatlas-terminator-2365","BSGatlas-terminator-2365")</f>
        <v>BSGatlas-terminator-2365</v>
      </c>
      <c r="B2366" s="3">
        <v>3778327</v>
      </c>
      <c r="C2366" s="3">
        <v>3778382</v>
      </c>
      <c r="D2366" s="1" t="s">
        <v>9</v>
      </c>
      <c r="E2366" s="1">
        <v>-16.399999999999999</v>
      </c>
      <c r="F2366" s="1" t="s">
        <v>4684</v>
      </c>
    </row>
    <row r="2367" spans="1:6" ht="21" x14ac:dyDescent="0.25">
      <c r="A2367" s="2" t="str">
        <f>HYPERLINK("https://rth.dk/resources/bsgatlas/details.php?id=BSGatlas-terminator-2366","BSGatlas-terminator-2366")</f>
        <v>BSGatlas-terminator-2366</v>
      </c>
      <c r="B2367" s="3">
        <v>3781026</v>
      </c>
      <c r="C2367" s="3">
        <v>3781066</v>
      </c>
      <c r="D2367" s="1" t="s">
        <v>13</v>
      </c>
      <c r="E2367" s="1">
        <v>-14</v>
      </c>
      <c r="F2367" s="1" t="s">
        <v>15158</v>
      </c>
    </row>
    <row r="2368" spans="1:6" ht="21" x14ac:dyDescent="0.25">
      <c r="A2368" s="2" t="str">
        <f>HYPERLINK("https://rth.dk/resources/bsgatlas/details.php?id=BSGatlas-terminator-2367","BSGatlas-terminator-2367")</f>
        <v>BSGatlas-terminator-2367</v>
      </c>
      <c r="B2368" s="3">
        <v>3788388</v>
      </c>
      <c r="C2368" s="3">
        <v>3788421</v>
      </c>
      <c r="D2368" s="1" t="s">
        <v>13</v>
      </c>
      <c r="E2368" s="1">
        <v>-8.6</v>
      </c>
      <c r="F2368" s="1" t="s">
        <v>15158</v>
      </c>
    </row>
    <row r="2369" spans="1:6" ht="21" x14ac:dyDescent="0.25">
      <c r="A2369" s="2" t="str">
        <f>HYPERLINK("https://rth.dk/resources/bsgatlas/details.php?id=BSGatlas-terminator-2368","BSGatlas-terminator-2368")</f>
        <v>BSGatlas-terminator-2368</v>
      </c>
      <c r="B2369" s="3">
        <v>3789140</v>
      </c>
      <c r="C2369" s="3">
        <v>3789184</v>
      </c>
      <c r="D2369" s="1" t="s">
        <v>13</v>
      </c>
      <c r="E2369" s="1">
        <v>-20</v>
      </c>
      <c r="F2369" s="1" t="s">
        <v>4382</v>
      </c>
    </row>
    <row r="2370" spans="1:6" ht="21" x14ac:dyDescent="0.25">
      <c r="A2370" s="2" t="str">
        <f>HYPERLINK("https://rth.dk/resources/bsgatlas/details.php?id=BSGatlas-terminator-2369","BSGatlas-terminator-2369")</f>
        <v>BSGatlas-terminator-2369</v>
      </c>
      <c r="B2370" s="3">
        <v>3789191</v>
      </c>
      <c r="C2370" s="3">
        <v>3789235</v>
      </c>
      <c r="D2370" s="1" t="s">
        <v>13</v>
      </c>
      <c r="E2370" s="1">
        <v>-15.8</v>
      </c>
      <c r="F2370" s="1" t="s">
        <v>15157</v>
      </c>
    </row>
    <row r="2371" spans="1:6" ht="21" x14ac:dyDescent="0.25">
      <c r="A2371" s="2" t="str">
        <f>HYPERLINK("https://rth.dk/resources/bsgatlas/details.php?id=BSGatlas-terminator-2370","BSGatlas-terminator-2370")</f>
        <v>BSGatlas-terminator-2370</v>
      </c>
      <c r="B2371" s="3">
        <v>3790610</v>
      </c>
      <c r="C2371" s="3">
        <v>3790645</v>
      </c>
      <c r="D2371" s="1" t="s">
        <v>13</v>
      </c>
      <c r="E2371" s="1">
        <v>-5.6</v>
      </c>
      <c r="F2371" s="1" t="s">
        <v>15158</v>
      </c>
    </row>
    <row r="2372" spans="1:6" ht="21" x14ac:dyDescent="0.25">
      <c r="A2372" s="2" t="str">
        <f>HYPERLINK("https://rth.dk/resources/bsgatlas/details.php?id=BSGatlas-terminator-2371","BSGatlas-terminator-2371")</f>
        <v>BSGatlas-terminator-2371</v>
      </c>
      <c r="B2372" s="3">
        <v>3792952</v>
      </c>
      <c r="C2372" s="3">
        <v>3792996</v>
      </c>
      <c r="D2372" s="1" t="s">
        <v>13</v>
      </c>
      <c r="E2372" s="1">
        <v>-9.8000000000000007</v>
      </c>
      <c r="F2372" s="1" t="s">
        <v>15157</v>
      </c>
    </row>
    <row r="2373" spans="1:6" ht="21" x14ac:dyDescent="0.25">
      <c r="A2373" s="2" t="str">
        <f>HYPERLINK("https://rth.dk/resources/bsgatlas/details.php?id=BSGatlas-terminator-2372","BSGatlas-terminator-2372")</f>
        <v>BSGatlas-terminator-2372</v>
      </c>
      <c r="B2373" s="3">
        <v>3794087</v>
      </c>
      <c r="C2373" s="3">
        <v>3794133</v>
      </c>
      <c r="D2373" s="1" t="s">
        <v>13</v>
      </c>
      <c r="E2373" s="1">
        <v>-20.6</v>
      </c>
      <c r="F2373" s="1" t="s">
        <v>4382</v>
      </c>
    </row>
    <row r="2374" spans="1:6" ht="21" x14ac:dyDescent="0.25">
      <c r="A2374" s="2" t="str">
        <f>HYPERLINK("https://rth.dk/resources/bsgatlas/details.php?id=BSGatlas-terminator-2373","BSGatlas-terminator-2373")</f>
        <v>BSGatlas-terminator-2373</v>
      </c>
      <c r="B2374" s="3">
        <v>3795829</v>
      </c>
      <c r="C2374" s="3">
        <v>3795867</v>
      </c>
      <c r="D2374" s="1" t="s">
        <v>13</v>
      </c>
      <c r="E2374" s="1">
        <v>-14.4</v>
      </c>
      <c r="F2374" s="1" t="s">
        <v>15158</v>
      </c>
    </row>
    <row r="2375" spans="1:6" ht="21" x14ac:dyDescent="0.25">
      <c r="A2375" s="2" t="str">
        <f>HYPERLINK("https://rth.dk/resources/bsgatlas/details.php?id=BSGatlas-terminator-2374","BSGatlas-terminator-2374")</f>
        <v>BSGatlas-terminator-2374</v>
      </c>
      <c r="B2375" s="3">
        <v>3797066</v>
      </c>
      <c r="C2375" s="3">
        <v>3797110</v>
      </c>
      <c r="D2375" s="1" t="s">
        <v>13</v>
      </c>
      <c r="E2375" s="1">
        <v>-10.5</v>
      </c>
      <c r="F2375" s="1" t="s">
        <v>15157</v>
      </c>
    </row>
    <row r="2376" spans="1:6" ht="21" x14ac:dyDescent="0.25">
      <c r="A2376" s="2" t="str">
        <f>HYPERLINK("https://rth.dk/resources/bsgatlas/details.php?id=BSGatlas-terminator-2375","BSGatlas-terminator-2375")</f>
        <v>BSGatlas-terminator-2375</v>
      </c>
      <c r="B2376" s="3">
        <v>3798134</v>
      </c>
      <c r="C2376" s="3">
        <v>3798178</v>
      </c>
      <c r="D2376" s="1" t="s">
        <v>9</v>
      </c>
      <c r="E2376" s="1">
        <v>-10.4</v>
      </c>
      <c r="F2376" s="1" t="s">
        <v>15157</v>
      </c>
    </row>
    <row r="2377" spans="1:6" ht="21" x14ac:dyDescent="0.25">
      <c r="A2377" s="2" t="str">
        <f>HYPERLINK("https://rth.dk/resources/bsgatlas/details.php?id=BSGatlas-terminator-2376","BSGatlas-terminator-2376")</f>
        <v>BSGatlas-terminator-2376</v>
      </c>
      <c r="B2377" s="3">
        <v>3799326</v>
      </c>
      <c r="C2377" s="3">
        <v>3799383</v>
      </c>
      <c r="D2377" s="1" t="s">
        <v>9</v>
      </c>
      <c r="E2377" s="1">
        <v>-13.2</v>
      </c>
      <c r="F2377" s="1" t="s">
        <v>15158</v>
      </c>
    </row>
    <row r="2378" spans="1:6" ht="21" x14ac:dyDescent="0.25">
      <c r="A2378" s="2" t="str">
        <f>HYPERLINK("https://rth.dk/resources/bsgatlas/details.php?id=BSGatlas-terminator-2377","BSGatlas-terminator-2377")</f>
        <v>BSGatlas-terminator-2377</v>
      </c>
      <c r="B2378" s="3">
        <v>3799337</v>
      </c>
      <c r="C2378" s="3">
        <v>3799373</v>
      </c>
      <c r="D2378" s="1" t="s">
        <v>13</v>
      </c>
      <c r="E2378" s="1">
        <v>-13.2</v>
      </c>
      <c r="F2378" s="1" t="s">
        <v>4382</v>
      </c>
    </row>
    <row r="2379" spans="1:6" ht="21" x14ac:dyDescent="0.25">
      <c r="A2379" s="2" t="str">
        <f>HYPERLINK("https://rth.dk/resources/bsgatlas/details.php?id=BSGatlas-terminator-2378","BSGatlas-terminator-2378")</f>
        <v>BSGatlas-terminator-2378</v>
      </c>
      <c r="B2379" s="3">
        <v>3799377</v>
      </c>
      <c r="C2379" s="3">
        <v>3799421</v>
      </c>
      <c r="D2379" s="1" t="s">
        <v>13</v>
      </c>
      <c r="E2379" s="1">
        <v>-10.4</v>
      </c>
      <c r="F2379" s="1" t="s">
        <v>15157</v>
      </c>
    </row>
    <row r="2380" spans="1:6" ht="21" x14ac:dyDescent="0.25">
      <c r="A2380" s="2" t="str">
        <f>HYPERLINK("https://rth.dk/resources/bsgatlas/details.php?id=BSGatlas-terminator-2379","BSGatlas-terminator-2379")</f>
        <v>BSGatlas-terminator-2379</v>
      </c>
      <c r="B2380" s="3">
        <v>3802378</v>
      </c>
      <c r="C2380" s="3">
        <v>3802422</v>
      </c>
      <c r="D2380" s="1" t="s">
        <v>13</v>
      </c>
      <c r="E2380" s="1">
        <v>-7.5</v>
      </c>
      <c r="F2380" s="1" t="s">
        <v>15157</v>
      </c>
    </row>
    <row r="2381" spans="1:6" ht="21" x14ac:dyDescent="0.25">
      <c r="A2381" s="2" t="str">
        <f>HYPERLINK("https://rth.dk/resources/bsgatlas/details.php?id=BSGatlas-terminator-2380","BSGatlas-terminator-2380")</f>
        <v>BSGatlas-terminator-2380</v>
      </c>
      <c r="B2381" s="3">
        <v>3803028</v>
      </c>
      <c r="C2381" s="3">
        <v>3803070</v>
      </c>
      <c r="D2381" s="1" t="s">
        <v>13</v>
      </c>
      <c r="E2381" s="1">
        <v>-14</v>
      </c>
      <c r="F2381" s="1" t="s">
        <v>4382</v>
      </c>
    </row>
    <row r="2382" spans="1:6" ht="21" x14ac:dyDescent="0.25">
      <c r="A2382" s="2" t="str">
        <f>HYPERLINK("https://rth.dk/resources/bsgatlas/details.php?id=BSGatlas-terminator-2381","BSGatlas-terminator-2381")</f>
        <v>BSGatlas-terminator-2381</v>
      </c>
      <c r="B2382" s="3">
        <v>3803072</v>
      </c>
      <c r="C2382" s="3">
        <v>3803116</v>
      </c>
      <c r="D2382" s="1" t="s">
        <v>13</v>
      </c>
      <c r="E2382" s="1">
        <v>-10.3</v>
      </c>
      <c r="F2382" s="1" t="s">
        <v>15157</v>
      </c>
    </row>
    <row r="2383" spans="1:6" ht="21" x14ac:dyDescent="0.25">
      <c r="A2383" s="2" t="str">
        <f>HYPERLINK("https://rth.dk/resources/bsgatlas/details.php?id=BSGatlas-terminator-2382","BSGatlas-terminator-2382")</f>
        <v>BSGatlas-terminator-2382</v>
      </c>
      <c r="B2383" s="3">
        <v>3805047</v>
      </c>
      <c r="C2383" s="3">
        <v>3805082</v>
      </c>
      <c r="D2383" s="1" t="s">
        <v>13</v>
      </c>
      <c r="E2383" s="1">
        <v>-14.8</v>
      </c>
      <c r="F2383" s="1" t="s">
        <v>15158</v>
      </c>
    </row>
    <row r="2384" spans="1:6" ht="21" x14ac:dyDescent="0.25">
      <c r="A2384" s="2" t="str">
        <f>HYPERLINK("https://rth.dk/resources/bsgatlas/details.php?id=BSGatlas-terminator-2383","BSGatlas-terminator-2383")</f>
        <v>BSGatlas-terminator-2383</v>
      </c>
      <c r="B2384" s="3">
        <v>3807696</v>
      </c>
      <c r="C2384" s="3">
        <v>3807754</v>
      </c>
      <c r="D2384" s="1" t="s">
        <v>13</v>
      </c>
      <c r="E2384" s="1">
        <v>-25</v>
      </c>
      <c r="F2384" s="1" t="s">
        <v>4382</v>
      </c>
    </row>
    <row r="2385" spans="1:6" ht="21" x14ac:dyDescent="0.25">
      <c r="A2385" s="2" t="str">
        <f>HYPERLINK("https://rth.dk/resources/bsgatlas/details.php?id=BSGatlas-terminator-2384","BSGatlas-terminator-2384")</f>
        <v>BSGatlas-terminator-2384</v>
      </c>
      <c r="B2385" s="3">
        <v>3807758</v>
      </c>
      <c r="C2385" s="3">
        <v>3807802</v>
      </c>
      <c r="D2385" s="1" t="s">
        <v>13</v>
      </c>
      <c r="E2385" s="1">
        <v>-18.399999999999999</v>
      </c>
      <c r="F2385" s="1" t="s">
        <v>15157</v>
      </c>
    </row>
    <row r="2386" spans="1:6" ht="21" x14ac:dyDescent="0.25">
      <c r="A2386" s="2" t="str">
        <f>HYPERLINK("https://rth.dk/resources/bsgatlas/details.php?id=BSGatlas-terminator-2385","BSGatlas-terminator-2385")</f>
        <v>BSGatlas-terminator-2385</v>
      </c>
      <c r="B2386" s="3">
        <v>3808453</v>
      </c>
      <c r="C2386" s="3">
        <v>3808498</v>
      </c>
      <c r="D2386" s="1" t="s">
        <v>13</v>
      </c>
      <c r="E2386" s="1">
        <v>-14.2</v>
      </c>
      <c r="F2386" s="1" t="s">
        <v>4382</v>
      </c>
    </row>
    <row r="2387" spans="1:6" ht="21" x14ac:dyDescent="0.25">
      <c r="A2387" s="2" t="str">
        <f>HYPERLINK("https://rth.dk/resources/bsgatlas/details.php?id=BSGatlas-terminator-2386","BSGatlas-terminator-2386")</f>
        <v>BSGatlas-terminator-2386</v>
      </c>
      <c r="B2387" s="3">
        <v>3810641</v>
      </c>
      <c r="C2387" s="3">
        <v>3810690</v>
      </c>
      <c r="D2387" s="1" t="s">
        <v>13</v>
      </c>
      <c r="E2387" s="1">
        <v>-17.899999999999999</v>
      </c>
      <c r="F2387" s="1" t="s">
        <v>15158</v>
      </c>
    </row>
    <row r="2388" spans="1:6" ht="21" x14ac:dyDescent="0.25">
      <c r="A2388" s="2" t="str">
        <f>HYPERLINK("https://rth.dk/resources/bsgatlas/details.php?id=BSGatlas-terminator-2387","BSGatlas-terminator-2387")</f>
        <v>BSGatlas-terminator-2387</v>
      </c>
      <c r="B2388" s="3">
        <v>3810651</v>
      </c>
      <c r="C2388" s="3">
        <v>3810700</v>
      </c>
      <c r="D2388" s="1" t="s">
        <v>9</v>
      </c>
      <c r="E2388" s="1">
        <v>-13.4</v>
      </c>
      <c r="F2388" s="1" t="s">
        <v>15158</v>
      </c>
    </row>
    <row r="2389" spans="1:6" ht="21" x14ac:dyDescent="0.25">
      <c r="A2389" s="2" t="str">
        <f>HYPERLINK("https://rth.dk/resources/bsgatlas/details.php?id=BSGatlas-terminator-2388","BSGatlas-terminator-2388")</f>
        <v>BSGatlas-terminator-2388</v>
      </c>
      <c r="B2389" s="3">
        <v>3812399</v>
      </c>
      <c r="C2389" s="3">
        <v>3812446</v>
      </c>
      <c r="D2389" s="1" t="s">
        <v>13</v>
      </c>
      <c r="E2389" s="1">
        <v>-24.1</v>
      </c>
      <c r="F2389" s="1" t="s">
        <v>4382</v>
      </c>
    </row>
    <row r="2390" spans="1:6" ht="21" x14ac:dyDescent="0.25">
      <c r="A2390" s="2" t="str">
        <f>HYPERLINK("https://rth.dk/resources/bsgatlas/details.php?id=BSGatlas-terminator-2389","BSGatlas-terminator-2389")</f>
        <v>BSGatlas-terminator-2389</v>
      </c>
      <c r="B2390" s="3">
        <v>3812576</v>
      </c>
      <c r="C2390" s="3">
        <v>3812620</v>
      </c>
      <c r="D2390" s="1" t="s">
        <v>13</v>
      </c>
      <c r="E2390" s="1">
        <v>-19.399999999999999</v>
      </c>
      <c r="F2390" s="1" t="s">
        <v>15157</v>
      </c>
    </row>
    <row r="2391" spans="1:6" ht="21" x14ac:dyDescent="0.25">
      <c r="A2391" s="2" t="str">
        <f>HYPERLINK("https://rth.dk/resources/bsgatlas/details.php?id=BSGatlas-terminator-2390","BSGatlas-terminator-2390")</f>
        <v>BSGatlas-terminator-2390</v>
      </c>
      <c r="B2391" s="3">
        <v>3818890</v>
      </c>
      <c r="C2391" s="3">
        <v>3818934</v>
      </c>
      <c r="D2391" s="1" t="s">
        <v>13</v>
      </c>
      <c r="E2391" s="1">
        <v>-10</v>
      </c>
      <c r="F2391" s="1" t="s">
        <v>15157</v>
      </c>
    </row>
    <row r="2392" spans="1:6" ht="21" x14ac:dyDescent="0.25">
      <c r="A2392" s="2" t="str">
        <f>HYPERLINK("https://rth.dk/resources/bsgatlas/details.php?id=BSGatlas-terminator-2391","BSGatlas-terminator-2391")</f>
        <v>BSGatlas-terminator-2391</v>
      </c>
      <c r="B2392" s="3">
        <v>3819179</v>
      </c>
      <c r="C2392" s="3">
        <v>3819218</v>
      </c>
      <c r="D2392" s="1" t="s">
        <v>13</v>
      </c>
      <c r="E2392" s="1">
        <v>-13.3</v>
      </c>
      <c r="F2392" s="1" t="s">
        <v>4382</v>
      </c>
    </row>
    <row r="2393" spans="1:6" ht="21" x14ac:dyDescent="0.25">
      <c r="A2393" s="2" t="str">
        <f>HYPERLINK("https://rth.dk/resources/bsgatlas/details.php?id=BSGatlas-terminator-2392","BSGatlas-terminator-2392")</f>
        <v>BSGatlas-terminator-2392</v>
      </c>
      <c r="B2393" s="3">
        <v>3819189</v>
      </c>
      <c r="C2393" s="3">
        <v>3819228</v>
      </c>
      <c r="D2393" s="1" t="s">
        <v>9</v>
      </c>
      <c r="E2393" s="1">
        <v>-13.3</v>
      </c>
      <c r="F2393" s="1" t="s">
        <v>15158</v>
      </c>
    </row>
    <row r="2394" spans="1:6" ht="21" x14ac:dyDescent="0.25">
      <c r="A2394" s="2" t="str">
        <f>HYPERLINK("https://rth.dk/resources/bsgatlas/details.php?id=BSGatlas-terminator-2393","BSGatlas-terminator-2393")</f>
        <v>BSGatlas-terminator-2393</v>
      </c>
      <c r="B2394" s="3">
        <v>3819220</v>
      </c>
      <c r="C2394" s="3">
        <v>3819264</v>
      </c>
      <c r="D2394" s="1" t="s">
        <v>13</v>
      </c>
      <c r="E2394" s="1">
        <v>-10</v>
      </c>
      <c r="F2394" s="1" t="s">
        <v>15157</v>
      </c>
    </row>
    <row r="2395" spans="1:6" ht="21" x14ac:dyDescent="0.25">
      <c r="A2395" s="2" t="str">
        <f>HYPERLINK("https://rth.dk/resources/bsgatlas/details.php?id=BSGatlas-terminator-2394","BSGatlas-terminator-2394")</f>
        <v>BSGatlas-terminator-2394</v>
      </c>
      <c r="B2395" s="3">
        <v>3819586</v>
      </c>
      <c r="C2395" s="3">
        <v>3819652</v>
      </c>
      <c r="D2395" s="1" t="s">
        <v>9</v>
      </c>
      <c r="E2395" s="1"/>
      <c r="F2395" s="1" t="s">
        <v>15159</v>
      </c>
    </row>
    <row r="2396" spans="1:6" ht="21" x14ac:dyDescent="0.25">
      <c r="A2396" s="2" t="str">
        <f>HYPERLINK("https://rth.dk/resources/bsgatlas/details.php?id=BSGatlas-terminator-2395","BSGatlas-terminator-2395")</f>
        <v>BSGatlas-terminator-2395</v>
      </c>
      <c r="B2396" s="3">
        <v>3823180</v>
      </c>
      <c r="C2396" s="3">
        <v>3823224</v>
      </c>
      <c r="D2396" s="1" t="s">
        <v>13</v>
      </c>
      <c r="E2396" s="1">
        <v>-11.4</v>
      </c>
      <c r="F2396" s="1" t="s">
        <v>15162</v>
      </c>
    </row>
    <row r="2397" spans="1:6" ht="21" x14ac:dyDescent="0.25">
      <c r="A2397" s="2" t="str">
        <f>HYPERLINK("https://rth.dk/resources/bsgatlas/details.php?id=BSGatlas-terminator-2396","BSGatlas-terminator-2396")</f>
        <v>BSGatlas-terminator-2396</v>
      </c>
      <c r="B2397" s="3">
        <v>3823521</v>
      </c>
      <c r="C2397" s="3">
        <v>3823558</v>
      </c>
      <c r="D2397" s="1" t="s">
        <v>13</v>
      </c>
      <c r="E2397" s="1">
        <v>-15.9</v>
      </c>
      <c r="F2397" s="1" t="s">
        <v>15158</v>
      </c>
    </row>
    <row r="2398" spans="1:6" ht="21" x14ac:dyDescent="0.25">
      <c r="A2398" s="2" t="str">
        <f>HYPERLINK("https://rth.dk/resources/bsgatlas/details.php?id=BSGatlas-terminator-2397","BSGatlas-terminator-2397")</f>
        <v>BSGatlas-terminator-2397</v>
      </c>
      <c r="B2398" s="3">
        <v>3830116</v>
      </c>
      <c r="C2398" s="3">
        <v>3830156</v>
      </c>
      <c r="D2398" s="1" t="s">
        <v>13</v>
      </c>
      <c r="E2398" s="1">
        <v>-12.9</v>
      </c>
      <c r="F2398" s="1" t="s">
        <v>15158</v>
      </c>
    </row>
    <row r="2399" spans="1:6" ht="21" x14ac:dyDescent="0.25">
      <c r="A2399" s="2" t="str">
        <f>HYPERLINK("https://rth.dk/resources/bsgatlas/details.php?id=BSGatlas-terminator-2398","BSGatlas-terminator-2398")</f>
        <v>BSGatlas-terminator-2398</v>
      </c>
      <c r="B2399" s="3">
        <v>3831442</v>
      </c>
      <c r="C2399" s="3">
        <v>3831486</v>
      </c>
      <c r="D2399" s="1" t="s">
        <v>9</v>
      </c>
      <c r="E2399" s="1">
        <v>-5.8</v>
      </c>
      <c r="F2399" s="1" t="s">
        <v>15157</v>
      </c>
    </row>
    <row r="2400" spans="1:6" ht="21" x14ac:dyDescent="0.25">
      <c r="A2400" s="2" t="str">
        <f>HYPERLINK("https://rth.dk/resources/bsgatlas/details.php?id=BSGatlas-terminator-2399","BSGatlas-terminator-2399")</f>
        <v>BSGatlas-terminator-2399</v>
      </c>
      <c r="B2400" s="3">
        <v>3831471</v>
      </c>
      <c r="C2400" s="3">
        <v>3831510</v>
      </c>
      <c r="D2400" s="1" t="s">
        <v>13</v>
      </c>
      <c r="E2400" s="1">
        <v>-12.8</v>
      </c>
      <c r="F2400" s="1" t="s">
        <v>15158</v>
      </c>
    </row>
    <row r="2401" spans="1:6" ht="21" x14ac:dyDescent="0.25">
      <c r="A2401" s="2" t="str">
        <f>HYPERLINK("https://rth.dk/resources/bsgatlas/details.php?id=BSGatlas-terminator-2400","BSGatlas-terminator-2400")</f>
        <v>BSGatlas-terminator-2400</v>
      </c>
      <c r="B2401" s="3">
        <v>3831562</v>
      </c>
      <c r="C2401" s="3">
        <v>3831606</v>
      </c>
      <c r="D2401" s="1" t="s">
        <v>13</v>
      </c>
      <c r="E2401" s="1">
        <v>-5.8</v>
      </c>
      <c r="F2401" s="1" t="s">
        <v>15157</v>
      </c>
    </row>
    <row r="2402" spans="1:6" ht="21" x14ac:dyDescent="0.25">
      <c r="A2402" s="2" t="str">
        <f>HYPERLINK("https://rth.dk/resources/bsgatlas/details.php?id=BSGatlas-terminator-2401","BSGatlas-terminator-2401")</f>
        <v>BSGatlas-terminator-2401</v>
      </c>
      <c r="B2402" s="3">
        <v>3833599</v>
      </c>
      <c r="C2402" s="3">
        <v>3833642</v>
      </c>
      <c r="D2402" s="1" t="s">
        <v>13</v>
      </c>
      <c r="E2402" s="1">
        <v>-17.899999999999999</v>
      </c>
      <c r="F2402" s="1" t="s">
        <v>15158</v>
      </c>
    </row>
    <row r="2403" spans="1:6" ht="21" x14ac:dyDescent="0.25">
      <c r="A2403" s="2" t="str">
        <f>HYPERLINK("https://rth.dk/resources/bsgatlas/details.php?id=BSGatlas-terminator-2402","BSGatlas-terminator-2402")</f>
        <v>BSGatlas-terminator-2402</v>
      </c>
      <c r="B2403" s="3">
        <v>3836018</v>
      </c>
      <c r="C2403" s="3">
        <v>3836062</v>
      </c>
      <c r="D2403" s="1" t="s">
        <v>9</v>
      </c>
      <c r="E2403" s="1">
        <v>-13.2</v>
      </c>
      <c r="F2403" s="1" t="s">
        <v>15157</v>
      </c>
    </row>
    <row r="2404" spans="1:6" ht="21" x14ac:dyDescent="0.25">
      <c r="A2404" s="2" t="str">
        <f>HYPERLINK("https://rth.dk/resources/bsgatlas/details.php?id=BSGatlas-terminator-2403","BSGatlas-terminator-2403")</f>
        <v>BSGatlas-terminator-2403</v>
      </c>
      <c r="B2404" s="3">
        <v>3836178</v>
      </c>
      <c r="C2404" s="3">
        <v>3836233</v>
      </c>
      <c r="D2404" s="1" t="s">
        <v>9</v>
      </c>
      <c r="E2404" s="1">
        <v>-23.4</v>
      </c>
      <c r="F2404" s="1" t="s">
        <v>15158</v>
      </c>
    </row>
    <row r="2405" spans="1:6" ht="21" x14ac:dyDescent="0.25">
      <c r="A2405" s="2" t="str">
        <f>HYPERLINK("https://rth.dk/resources/bsgatlas/details.php?id=BSGatlas-terminator-2404","BSGatlas-terminator-2404")</f>
        <v>BSGatlas-terminator-2404</v>
      </c>
      <c r="B2405" s="3">
        <v>3842540</v>
      </c>
      <c r="C2405" s="3">
        <v>3842584</v>
      </c>
      <c r="D2405" s="1" t="s">
        <v>13</v>
      </c>
      <c r="E2405" s="1">
        <v>-12</v>
      </c>
      <c r="F2405" s="1" t="s">
        <v>15157</v>
      </c>
    </row>
    <row r="2406" spans="1:6" ht="21" x14ac:dyDescent="0.25">
      <c r="A2406" s="2" t="str">
        <f>HYPERLINK("https://rth.dk/resources/bsgatlas/details.php?id=BSGatlas-terminator-2405","BSGatlas-terminator-2405")</f>
        <v>BSGatlas-terminator-2405</v>
      </c>
      <c r="B2406" s="3">
        <v>3842672</v>
      </c>
      <c r="C2406" s="3">
        <v>3842716</v>
      </c>
      <c r="D2406" s="1" t="s">
        <v>13</v>
      </c>
      <c r="E2406" s="1">
        <v>-12</v>
      </c>
      <c r="F2406" s="1" t="s">
        <v>15162</v>
      </c>
    </row>
    <row r="2407" spans="1:6" ht="21" x14ac:dyDescent="0.25">
      <c r="A2407" s="2" t="str">
        <f>HYPERLINK("https://rth.dk/resources/bsgatlas/details.php?id=BSGatlas-terminator-2406","BSGatlas-terminator-2406")</f>
        <v>BSGatlas-terminator-2406</v>
      </c>
      <c r="B2407" s="3">
        <v>3845445</v>
      </c>
      <c r="C2407" s="3">
        <v>3845511</v>
      </c>
      <c r="D2407" s="1" t="s">
        <v>9</v>
      </c>
      <c r="E2407" s="1"/>
      <c r="F2407" s="1" t="s">
        <v>15159</v>
      </c>
    </row>
    <row r="2408" spans="1:6" ht="21" x14ac:dyDescent="0.25">
      <c r="A2408" s="2" t="str">
        <f>HYPERLINK("https://rth.dk/resources/bsgatlas/details.php?id=BSGatlas-terminator-2407","BSGatlas-terminator-2407")</f>
        <v>BSGatlas-terminator-2407</v>
      </c>
      <c r="B2408" s="3">
        <v>3845975</v>
      </c>
      <c r="C2408" s="3">
        <v>3846019</v>
      </c>
      <c r="D2408" s="1" t="s">
        <v>13</v>
      </c>
      <c r="E2408" s="1">
        <v>-11.3</v>
      </c>
      <c r="F2408" s="1" t="s">
        <v>15157</v>
      </c>
    </row>
    <row r="2409" spans="1:6" ht="21" x14ac:dyDescent="0.25">
      <c r="A2409" s="2" t="str">
        <f>HYPERLINK("https://rth.dk/resources/bsgatlas/details.php?id=BSGatlas-terminator-2408","BSGatlas-terminator-2408")</f>
        <v>BSGatlas-terminator-2408</v>
      </c>
      <c r="B2409" s="3">
        <v>3847094</v>
      </c>
      <c r="C2409" s="3">
        <v>3847138</v>
      </c>
      <c r="D2409" s="1" t="s">
        <v>13</v>
      </c>
      <c r="E2409" s="1">
        <v>-11.3</v>
      </c>
      <c r="F2409" s="1" t="s">
        <v>15157</v>
      </c>
    </row>
    <row r="2410" spans="1:6" ht="21" x14ac:dyDescent="0.25">
      <c r="A2410" s="2" t="str">
        <f>HYPERLINK("https://rth.dk/resources/bsgatlas/details.php?id=BSGatlas-terminator-2409","BSGatlas-terminator-2409")</f>
        <v>BSGatlas-terminator-2409</v>
      </c>
      <c r="B2410" s="3">
        <v>3847245</v>
      </c>
      <c r="C2410" s="3">
        <v>3847281</v>
      </c>
      <c r="D2410" s="1" t="s">
        <v>9</v>
      </c>
      <c r="E2410" s="1">
        <v>-12</v>
      </c>
      <c r="F2410" s="1" t="s">
        <v>15158</v>
      </c>
    </row>
    <row r="2411" spans="1:6" ht="21" x14ac:dyDescent="0.25">
      <c r="A2411" s="2" t="str">
        <f>HYPERLINK("https://rth.dk/resources/bsgatlas/details.php?id=BSGatlas-terminator-2410","BSGatlas-terminator-2410")</f>
        <v>BSGatlas-terminator-2410</v>
      </c>
      <c r="B2411" s="3">
        <v>3847812</v>
      </c>
      <c r="C2411" s="3">
        <v>3847852</v>
      </c>
      <c r="D2411" s="1" t="s">
        <v>13</v>
      </c>
      <c r="E2411" s="1">
        <v>-15.1</v>
      </c>
      <c r="F2411" s="1" t="s">
        <v>15158</v>
      </c>
    </row>
    <row r="2412" spans="1:6" ht="21" x14ac:dyDescent="0.25">
      <c r="A2412" s="2" t="str">
        <f>HYPERLINK("https://rth.dk/resources/bsgatlas/details.php?id=BSGatlas-terminator-2411","BSGatlas-terminator-2411")</f>
        <v>BSGatlas-terminator-2411</v>
      </c>
      <c r="B2412" s="3">
        <v>3847822</v>
      </c>
      <c r="C2412" s="3">
        <v>3847862</v>
      </c>
      <c r="D2412" s="1" t="s">
        <v>9</v>
      </c>
      <c r="E2412" s="1">
        <v>-15.1</v>
      </c>
      <c r="F2412" s="1" t="s">
        <v>15158</v>
      </c>
    </row>
    <row r="2413" spans="1:6" ht="21" x14ac:dyDescent="0.25">
      <c r="A2413" s="2" t="str">
        <f>HYPERLINK("https://rth.dk/resources/bsgatlas/details.php?id=BSGatlas-terminator-2412","BSGatlas-terminator-2412")</f>
        <v>BSGatlas-terminator-2412</v>
      </c>
      <c r="B2413" s="3">
        <v>3847908</v>
      </c>
      <c r="C2413" s="3">
        <v>3847952</v>
      </c>
      <c r="D2413" s="1" t="s">
        <v>13</v>
      </c>
      <c r="E2413" s="1">
        <v>-11.3</v>
      </c>
      <c r="F2413" s="1" t="s">
        <v>15157</v>
      </c>
    </row>
    <row r="2414" spans="1:6" ht="21" x14ac:dyDescent="0.25">
      <c r="A2414" s="2" t="str">
        <f>HYPERLINK("https://rth.dk/resources/bsgatlas/details.php?id=BSGatlas-terminator-2413","BSGatlas-terminator-2413")</f>
        <v>BSGatlas-terminator-2413</v>
      </c>
      <c r="B2414" s="3">
        <v>3848740</v>
      </c>
      <c r="C2414" s="3">
        <v>3848780</v>
      </c>
      <c r="D2414" s="1" t="s">
        <v>13</v>
      </c>
      <c r="E2414" s="1">
        <v>-15.2</v>
      </c>
      <c r="F2414" s="1" t="s">
        <v>4382</v>
      </c>
    </row>
    <row r="2415" spans="1:6" ht="21" x14ac:dyDescent="0.25">
      <c r="A2415" s="2" t="str">
        <f>HYPERLINK("https://rth.dk/resources/bsgatlas/details.php?id=BSGatlas-terminator-2414","BSGatlas-terminator-2414")</f>
        <v>BSGatlas-terminator-2414</v>
      </c>
      <c r="B2415" s="3">
        <v>3851924</v>
      </c>
      <c r="C2415" s="3">
        <v>3851968</v>
      </c>
      <c r="D2415" s="1" t="s">
        <v>13</v>
      </c>
      <c r="E2415" s="1">
        <v>-10.7</v>
      </c>
      <c r="F2415" s="1" t="s">
        <v>15157</v>
      </c>
    </row>
    <row r="2416" spans="1:6" ht="21" x14ac:dyDescent="0.25">
      <c r="A2416" s="2" t="str">
        <f>HYPERLINK("https://rth.dk/resources/bsgatlas/details.php?id=BSGatlas-terminator-2415","BSGatlas-terminator-2415")</f>
        <v>BSGatlas-terminator-2415</v>
      </c>
      <c r="B2416" s="3">
        <v>3852091</v>
      </c>
      <c r="C2416" s="3">
        <v>3852135</v>
      </c>
      <c r="D2416" s="1" t="s">
        <v>13</v>
      </c>
      <c r="E2416" s="1">
        <v>-10.7</v>
      </c>
      <c r="F2416" s="1" t="s">
        <v>15162</v>
      </c>
    </row>
    <row r="2417" spans="1:6" ht="21" x14ac:dyDescent="0.25">
      <c r="A2417" s="2" t="str">
        <f>HYPERLINK("https://rth.dk/resources/bsgatlas/details.php?id=BSGatlas-terminator-2416","BSGatlas-terminator-2416")</f>
        <v>BSGatlas-terminator-2416</v>
      </c>
      <c r="B2417" s="3">
        <v>3853641</v>
      </c>
      <c r="C2417" s="3">
        <v>3853685</v>
      </c>
      <c r="D2417" s="1" t="s">
        <v>9</v>
      </c>
      <c r="E2417" s="1">
        <v>-10.5</v>
      </c>
      <c r="F2417" s="1" t="s">
        <v>15157</v>
      </c>
    </row>
    <row r="2418" spans="1:6" ht="21" x14ac:dyDescent="0.25">
      <c r="A2418" s="2" t="str">
        <f>HYPERLINK("https://rth.dk/resources/bsgatlas/details.php?id=BSGatlas-terminator-2417","BSGatlas-terminator-2417")</f>
        <v>BSGatlas-terminator-2417</v>
      </c>
      <c r="B2418" s="3">
        <v>3853670</v>
      </c>
      <c r="C2418" s="3">
        <v>3853710</v>
      </c>
      <c r="D2418" s="1" t="s">
        <v>13</v>
      </c>
      <c r="E2418" s="1">
        <v>-18.399999999999999</v>
      </c>
      <c r="F2418" s="1" t="s">
        <v>4382</v>
      </c>
    </row>
    <row r="2419" spans="1:6" ht="21" x14ac:dyDescent="0.25">
      <c r="A2419" s="2" t="str">
        <f>HYPERLINK("https://rth.dk/resources/bsgatlas/details.php?id=BSGatlas-terminator-2418","BSGatlas-terminator-2418")</f>
        <v>BSGatlas-terminator-2418</v>
      </c>
      <c r="B2419" s="3">
        <v>3854220</v>
      </c>
      <c r="C2419" s="3">
        <v>3854284</v>
      </c>
      <c r="D2419" s="1" t="s">
        <v>13</v>
      </c>
      <c r="E2419" s="1">
        <v>-12.1</v>
      </c>
      <c r="F2419" s="1" t="s">
        <v>4382</v>
      </c>
    </row>
    <row r="2420" spans="1:6" ht="21" x14ac:dyDescent="0.25">
      <c r="A2420" s="2" t="str">
        <f>HYPERLINK("https://rth.dk/resources/bsgatlas/details.php?id=BSGatlas-terminator-2419","BSGatlas-terminator-2419")</f>
        <v>BSGatlas-terminator-2419</v>
      </c>
      <c r="B2420" s="3">
        <v>3856196</v>
      </c>
      <c r="C2420" s="3">
        <v>3856250</v>
      </c>
      <c r="D2420" s="1" t="s">
        <v>13</v>
      </c>
      <c r="E2420" s="1">
        <v>-24.4</v>
      </c>
      <c r="F2420" s="1" t="s">
        <v>15158</v>
      </c>
    </row>
    <row r="2421" spans="1:6" ht="21" x14ac:dyDescent="0.25">
      <c r="A2421" s="2" t="str">
        <f>HYPERLINK("https://rth.dk/resources/bsgatlas/details.php?id=BSGatlas-terminator-2420","BSGatlas-terminator-2420")</f>
        <v>BSGatlas-terminator-2420</v>
      </c>
      <c r="B2421" s="3">
        <v>3856449</v>
      </c>
      <c r="C2421" s="3">
        <v>3856503</v>
      </c>
      <c r="D2421" s="1" t="s">
        <v>13</v>
      </c>
      <c r="E2421" s="1">
        <v>-24.1</v>
      </c>
      <c r="F2421" s="1" t="s">
        <v>4382</v>
      </c>
    </row>
    <row r="2422" spans="1:6" ht="21" x14ac:dyDescent="0.25">
      <c r="A2422" s="2" t="str">
        <f>HYPERLINK("https://rth.dk/resources/bsgatlas/details.php?id=BSGatlas-terminator-2421","BSGatlas-terminator-2421")</f>
        <v>BSGatlas-terminator-2421</v>
      </c>
      <c r="B2422" s="3">
        <v>3856704</v>
      </c>
      <c r="C2422" s="3">
        <v>3856757</v>
      </c>
      <c r="D2422" s="1" t="s">
        <v>13</v>
      </c>
      <c r="E2422" s="1">
        <v>-21.2</v>
      </c>
      <c r="F2422" s="1" t="s">
        <v>15158</v>
      </c>
    </row>
    <row r="2423" spans="1:6" ht="21" x14ac:dyDescent="0.25">
      <c r="A2423" s="2" t="str">
        <f>HYPERLINK("https://rth.dk/resources/bsgatlas/details.php?id=BSGatlas-terminator-2422","BSGatlas-terminator-2422")</f>
        <v>BSGatlas-terminator-2422</v>
      </c>
      <c r="B2423" s="3">
        <v>3856721</v>
      </c>
      <c r="C2423" s="3">
        <v>3856765</v>
      </c>
      <c r="D2423" s="1" t="s">
        <v>9</v>
      </c>
      <c r="E2423" s="1">
        <v>-8.3000000000000007</v>
      </c>
      <c r="F2423" s="1" t="s">
        <v>15157</v>
      </c>
    </row>
    <row r="2424" spans="1:6" ht="21" x14ac:dyDescent="0.25">
      <c r="A2424" s="2" t="str">
        <f>HYPERLINK("https://rth.dk/resources/bsgatlas/details.php?id=BSGatlas-terminator-2423","BSGatlas-terminator-2423")</f>
        <v>BSGatlas-terminator-2423</v>
      </c>
      <c r="B2424" s="3">
        <v>3858821</v>
      </c>
      <c r="C2424" s="3">
        <v>3858865</v>
      </c>
      <c r="D2424" s="1" t="s">
        <v>13</v>
      </c>
      <c r="E2424" s="1">
        <v>-11.2</v>
      </c>
      <c r="F2424" s="1" t="s">
        <v>15157</v>
      </c>
    </row>
    <row r="2425" spans="1:6" ht="21" x14ac:dyDescent="0.25">
      <c r="A2425" s="2" t="str">
        <f>HYPERLINK("https://rth.dk/resources/bsgatlas/details.php?id=BSGatlas-terminator-2424","BSGatlas-terminator-2424")</f>
        <v>BSGatlas-terminator-2424</v>
      </c>
      <c r="B2425" s="3">
        <v>3858948</v>
      </c>
      <c r="C2425" s="3">
        <v>3858994</v>
      </c>
      <c r="D2425" s="1" t="s">
        <v>13</v>
      </c>
      <c r="E2425" s="1">
        <v>-15</v>
      </c>
      <c r="F2425" s="1" t="s">
        <v>15158</v>
      </c>
    </row>
    <row r="2426" spans="1:6" ht="21" x14ac:dyDescent="0.25">
      <c r="A2426" s="2" t="str">
        <f>HYPERLINK("https://rth.dk/resources/bsgatlas/details.php?id=BSGatlas-terminator-2425","BSGatlas-terminator-2425")</f>
        <v>BSGatlas-terminator-2425</v>
      </c>
      <c r="B2426" s="3">
        <v>3862219</v>
      </c>
      <c r="C2426" s="3">
        <v>3862264</v>
      </c>
      <c r="D2426" s="1" t="s">
        <v>9</v>
      </c>
      <c r="E2426" s="1">
        <v>-17.899999999999999</v>
      </c>
      <c r="F2426" s="1" t="s">
        <v>15158</v>
      </c>
    </row>
    <row r="2427" spans="1:6" ht="21" x14ac:dyDescent="0.25">
      <c r="A2427" s="2" t="str">
        <f>HYPERLINK("https://rth.dk/resources/bsgatlas/details.php?id=BSGatlas-terminator-2426","BSGatlas-terminator-2426")</f>
        <v>BSGatlas-terminator-2426</v>
      </c>
      <c r="B2427" s="3">
        <v>3863363</v>
      </c>
      <c r="C2427" s="3">
        <v>3863410</v>
      </c>
      <c r="D2427" s="1" t="s">
        <v>13</v>
      </c>
      <c r="E2427" s="1">
        <v>-24.5</v>
      </c>
      <c r="F2427" s="1" t="s">
        <v>4382</v>
      </c>
    </row>
    <row r="2428" spans="1:6" ht="21" x14ac:dyDescent="0.25">
      <c r="A2428" s="2" t="str">
        <f>HYPERLINK("https://rth.dk/resources/bsgatlas/details.php?id=BSGatlas-terminator-2427","BSGatlas-terminator-2427")</f>
        <v>BSGatlas-terminator-2427</v>
      </c>
      <c r="B2428" s="3">
        <v>3863556</v>
      </c>
      <c r="C2428" s="3">
        <v>3863600</v>
      </c>
      <c r="D2428" s="1" t="s">
        <v>13</v>
      </c>
      <c r="E2428" s="1">
        <v>-18.600000000000001</v>
      </c>
      <c r="F2428" s="1" t="s">
        <v>15157</v>
      </c>
    </row>
    <row r="2429" spans="1:6" ht="21" x14ac:dyDescent="0.25">
      <c r="A2429" s="2" t="str">
        <f>HYPERLINK("https://rth.dk/resources/bsgatlas/details.php?id=BSGatlas-terminator-2428","BSGatlas-terminator-2428")</f>
        <v>BSGatlas-terminator-2428</v>
      </c>
      <c r="B2429" s="3">
        <v>3865300</v>
      </c>
      <c r="C2429" s="3">
        <v>3865343</v>
      </c>
      <c r="D2429" s="1" t="s">
        <v>13</v>
      </c>
      <c r="E2429" s="1">
        <v>-21</v>
      </c>
      <c r="F2429" s="1" t="s">
        <v>15158</v>
      </c>
    </row>
    <row r="2430" spans="1:6" ht="21" x14ac:dyDescent="0.25">
      <c r="A2430" s="2" t="str">
        <f>HYPERLINK("https://rth.dk/resources/bsgatlas/details.php?id=BSGatlas-terminator-2429","BSGatlas-terminator-2429")</f>
        <v>BSGatlas-terminator-2429</v>
      </c>
      <c r="B2430" s="3">
        <v>3867369</v>
      </c>
      <c r="C2430" s="3">
        <v>3867387</v>
      </c>
      <c r="D2430" s="1" t="s">
        <v>9</v>
      </c>
      <c r="E2430" s="1">
        <v>-14.5</v>
      </c>
      <c r="F2430" s="1" t="s">
        <v>15161</v>
      </c>
    </row>
    <row r="2431" spans="1:6" ht="21" x14ac:dyDescent="0.25">
      <c r="A2431" s="2" t="str">
        <f>HYPERLINK("https://rth.dk/resources/bsgatlas/details.php?id=BSGatlas-terminator-2430","BSGatlas-terminator-2430")</f>
        <v>BSGatlas-terminator-2430</v>
      </c>
      <c r="B2431" s="3">
        <v>3868227</v>
      </c>
      <c r="C2431" s="3">
        <v>3868271</v>
      </c>
      <c r="D2431" s="1" t="s">
        <v>9</v>
      </c>
      <c r="E2431" s="1">
        <v>-11.9</v>
      </c>
      <c r="F2431" s="1" t="s">
        <v>15157</v>
      </c>
    </row>
    <row r="2432" spans="1:6" ht="21" x14ac:dyDescent="0.25">
      <c r="A2432" s="2" t="str">
        <f>HYPERLINK("https://rth.dk/resources/bsgatlas/details.php?id=BSGatlas-terminator-2431","BSGatlas-terminator-2431")</f>
        <v>BSGatlas-terminator-2431</v>
      </c>
      <c r="B2432" s="3">
        <v>3874273</v>
      </c>
      <c r="C2432" s="3">
        <v>3874306</v>
      </c>
      <c r="D2432" s="1" t="s">
        <v>13</v>
      </c>
      <c r="E2432" s="1">
        <v>-7.9</v>
      </c>
      <c r="F2432" s="1" t="s">
        <v>4382</v>
      </c>
    </row>
    <row r="2433" spans="1:6" ht="21" x14ac:dyDescent="0.25">
      <c r="A2433" s="2" t="str">
        <f>HYPERLINK("https://rth.dk/resources/bsgatlas/details.php?id=BSGatlas-terminator-2432","BSGatlas-terminator-2432")</f>
        <v>BSGatlas-terminator-2432</v>
      </c>
      <c r="B2433" s="3">
        <v>3874309</v>
      </c>
      <c r="C2433" s="3">
        <v>3874353</v>
      </c>
      <c r="D2433" s="1" t="s">
        <v>13</v>
      </c>
      <c r="E2433" s="1">
        <v>-5.0999999999999996</v>
      </c>
      <c r="F2433" s="1" t="s">
        <v>15157</v>
      </c>
    </row>
    <row r="2434" spans="1:6" ht="21" x14ac:dyDescent="0.25">
      <c r="A2434" s="2" t="str">
        <f>HYPERLINK("https://rth.dk/resources/bsgatlas/details.php?id=BSGatlas-terminator-2433","BSGatlas-terminator-2433")</f>
        <v>BSGatlas-terminator-2433</v>
      </c>
      <c r="B2434" s="3">
        <v>3875738</v>
      </c>
      <c r="C2434" s="3">
        <v>3875779</v>
      </c>
      <c r="D2434" s="1" t="s">
        <v>13</v>
      </c>
      <c r="E2434" s="1">
        <v>-19</v>
      </c>
      <c r="F2434" s="1" t="s">
        <v>15158</v>
      </c>
    </row>
    <row r="2435" spans="1:6" ht="21" x14ac:dyDescent="0.25">
      <c r="A2435" s="2" t="str">
        <f>HYPERLINK("https://rth.dk/resources/bsgatlas/details.php?id=BSGatlas-terminator-2434","BSGatlas-terminator-2434")</f>
        <v>BSGatlas-terminator-2434</v>
      </c>
      <c r="B2435" s="3">
        <v>3878951</v>
      </c>
      <c r="C2435" s="3">
        <v>3878995</v>
      </c>
      <c r="D2435" s="1" t="s">
        <v>13</v>
      </c>
      <c r="E2435" s="1">
        <v>-15.9</v>
      </c>
      <c r="F2435" s="1" t="s">
        <v>15157</v>
      </c>
    </row>
    <row r="2436" spans="1:6" ht="21" x14ac:dyDescent="0.25">
      <c r="A2436" s="2" t="str">
        <f>HYPERLINK("https://rth.dk/resources/bsgatlas/details.php?id=BSGatlas-terminator-2435","BSGatlas-terminator-2435")</f>
        <v>BSGatlas-terminator-2435</v>
      </c>
      <c r="B2436" s="3">
        <v>3880695</v>
      </c>
      <c r="C2436" s="3">
        <v>3880730</v>
      </c>
      <c r="D2436" s="1" t="s">
        <v>13</v>
      </c>
      <c r="E2436" s="1">
        <v>-7.6</v>
      </c>
      <c r="F2436" s="1" t="s">
        <v>4382</v>
      </c>
    </row>
    <row r="2437" spans="1:6" ht="21" x14ac:dyDescent="0.25">
      <c r="A2437" s="2" t="str">
        <f>HYPERLINK("https://rth.dk/resources/bsgatlas/details.php?id=BSGatlas-terminator-2436","BSGatlas-terminator-2436")</f>
        <v>BSGatlas-terminator-2436</v>
      </c>
      <c r="B2437" s="3">
        <v>3882135</v>
      </c>
      <c r="C2437" s="3">
        <v>3882177</v>
      </c>
      <c r="D2437" s="1" t="s">
        <v>13</v>
      </c>
      <c r="E2437" s="1">
        <v>-14.7</v>
      </c>
      <c r="F2437" s="1" t="s">
        <v>15158</v>
      </c>
    </row>
    <row r="2438" spans="1:6" ht="21" x14ac:dyDescent="0.25">
      <c r="A2438" s="2" t="str">
        <f>HYPERLINK("https://rth.dk/resources/bsgatlas/details.php?id=BSGatlas-terminator-2437","BSGatlas-terminator-2437")</f>
        <v>BSGatlas-terminator-2437</v>
      </c>
      <c r="B2438" s="3">
        <v>3882922</v>
      </c>
      <c r="C2438" s="3">
        <v>3882971</v>
      </c>
      <c r="D2438" s="1" t="s">
        <v>13</v>
      </c>
      <c r="E2438" s="1">
        <v>-14</v>
      </c>
      <c r="F2438" s="1" t="s">
        <v>15158</v>
      </c>
    </row>
    <row r="2439" spans="1:6" ht="21" x14ac:dyDescent="0.25">
      <c r="A2439" s="2" t="str">
        <f>HYPERLINK("https://rth.dk/resources/bsgatlas/details.php?id=BSGatlas-terminator-2438","BSGatlas-terminator-2438")</f>
        <v>BSGatlas-terminator-2438</v>
      </c>
      <c r="B2439" s="3">
        <v>3893979</v>
      </c>
      <c r="C2439" s="3">
        <v>3894026</v>
      </c>
      <c r="D2439" s="1" t="s">
        <v>13</v>
      </c>
      <c r="E2439" s="1">
        <v>-17.899999999999999</v>
      </c>
      <c r="F2439" s="1" t="s">
        <v>15158</v>
      </c>
    </row>
    <row r="2440" spans="1:6" ht="21" x14ac:dyDescent="0.25">
      <c r="A2440" s="2" t="str">
        <f>HYPERLINK("https://rth.dk/resources/bsgatlas/details.php?id=BSGatlas-terminator-2439","BSGatlas-terminator-2439")</f>
        <v>BSGatlas-terminator-2439</v>
      </c>
      <c r="B2440" s="3">
        <v>3893989</v>
      </c>
      <c r="C2440" s="3">
        <v>3894036</v>
      </c>
      <c r="D2440" s="1" t="s">
        <v>9</v>
      </c>
      <c r="E2440" s="1">
        <v>-17.899999999999999</v>
      </c>
      <c r="F2440" s="1" t="s">
        <v>15158</v>
      </c>
    </row>
    <row r="2441" spans="1:6" ht="21" x14ac:dyDescent="0.25">
      <c r="A2441" s="2" t="str">
        <f>HYPERLINK("https://rth.dk/resources/bsgatlas/details.php?id=BSGatlas-terminator-2440","BSGatlas-terminator-2440")</f>
        <v>BSGatlas-terminator-2440</v>
      </c>
      <c r="B2441" s="3">
        <v>3897650</v>
      </c>
      <c r="C2441" s="3">
        <v>3897686</v>
      </c>
      <c r="D2441" s="1" t="s">
        <v>13</v>
      </c>
      <c r="E2441" s="1">
        <v>-11.8</v>
      </c>
      <c r="F2441" s="1" t="s">
        <v>15158</v>
      </c>
    </row>
    <row r="2442" spans="1:6" ht="21" x14ac:dyDescent="0.25">
      <c r="A2442" s="2" t="str">
        <f>HYPERLINK("https://rth.dk/resources/bsgatlas/details.php?id=BSGatlas-terminator-2441","BSGatlas-terminator-2441")</f>
        <v>BSGatlas-terminator-2441</v>
      </c>
      <c r="B2442" s="3">
        <v>3897660</v>
      </c>
      <c r="C2442" s="3">
        <v>3897696</v>
      </c>
      <c r="D2442" s="1" t="s">
        <v>9</v>
      </c>
      <c r="E2442" s="1">
        <v>-11.6</v>
      </c>
      <c r="F2442" s="1" t="s">
        <v>4382</v>
      </c>
    </row>
    <row r="2443" spans="1:6" ht="21" x14ac:dyDescent="0.25">
      <c r="A2443" s="2" t="str">
        <f>HYPERLINK("https://rth.dk/resources/bsgatlas/details.php?id=BSGatlas-terminator-2442","BSGatlas-terminator-2442")</f>
        <v>BSGatlas-terminator-2442</v>
      </c>
      <c r="B2443" s="3">
        <v>3901735</v>
      </c>
      <c r="C2443" s="3">
        <v>3901779</v>
      </c>
      <c r="D2443" s="1" t="s">
        <v>9</v>
      </c>
      <c r="E2443" s="1">
        <v>-18.100000000000001</v>
      </c>
      <c r="F2443" s="1" t="s">
        <v>15157</v>
      </c>
    </row>
    <row r="2444" spans="1:6" ht="21" x14ac:dyDescent="0.25">
      <c r="A2444" s="2" t="str">
        <f>HYPERLINK("https://rth.dk/resources/bsgatlas/details.php?id=BSGatlas-terminator-2443","BSGatlas-terminator-2443")</f>
        <v>BSGatlas-terminator-2443</v>
      </c>
      <c r="B2444" s="3">
        <v>3901780</v>
      </c>
      <c r="C2444" s="3">
        <v>3901824</v>
      </c>
      <c r="D2444" s="1" t="s">
        <v>9</v>
      </c>
      <c r="E2444" s="1">
        <v>-22</v>
      </c>
      <c r="F2444" s="1" t="s">
        <v>4382</v>
      </c>
    </row>
    <row r="2445" spans="1:6" ht="21" x14ac:dyDescent="0.25">
      <c r="A2445" s="2" t="str">
        <f>HYPERLINK("https://rth.dk/resources/bsgatlas/details.php?id=BSGatlas-terminator-2444","BSGatlas-terminator-2444")</f>
        <v>BSGatlas-terminator-2444</v>
      </c>
      <c r="B2445" s="3">
        <v>3901829</v>
      </c>
      <c r="C2445" s="3">
        <v>3901867</v>
      </c>
      <c r="D2445" s="1" t="s">
        <v>13</v>
      </c>
      <c r="E2445" s="1">
        <v>-16.8</v>
      </c>
      <c r="F2445" s="1" t="s">
        <v>15158</v>
      </c>
    </row>
    <row r="2446" spans="1:6" ht="21" x14ac:dyDescent="0.25">
      <c r="A2446" s="2" t="str">
        <f>HYPERLINK("https://rth.dk/resources/bsgatlas/details.php?id=BSGatlas-terminator-2445","BSGatlas-terminator-2445")</f>
        <v>BSGatlas-terminator-2445</v>
      </c>
      <c r="B2446" s="3">
        <v>3905057</v>
      </c>
      <c r="C2446" s="3">
        <v>3905130</v>
      </c>
      <c r="D2446" s="1" t="s">
        <v>13</v>
      </c>
      <c r="E2446" s="1">
        <v>-18.8</v>
      </c>
      <c r="F2446" s="1" t="s">
        <v>4382</v>
      </c>
    </row>
    <row r="2447" spans="1:6" ht="21" x14ac:dyDescent="0.25">
      <c r="A2447" s="2" t="str">
        <f>HYPERLINK("https://rth.dk/resources/bsgatlas/details.php?id=BSGatlas-terminator-2446","BSGatlas-terminator-2446")</f>
        <v>BSGatlas-terminator-2446</v>
      </c>
      <c r="B2447" s="3">
        <v>3906094</v>
      </c>
      <c r="C2447" s="3">
        <v>3906137</v>
      </c>
      <c r="D2447" s="1" t="s">
        <v>13</v>
      </c>
      <c r="E2447" s="1">
        <v>-12.5</v>
      </c>
      <c r="F2447" s="1" t="s">
        <v>15158</v>
      </c>
    </row>
    <row r="2448" spans="1:6" ht="21" x14ac:dyDescent="0.25">
      <c r="A2448" s="2" t="str">
        <f>HYPERLINK("https://rth.dk/resources/bsgatlas/details.php?id=BSGatlas-terminator-2447","BSGatlas-terminator-2447")</f>
        <v>BSGatlas-terminator-2447</v>
      </c>
      <c r="B2448" s="3">
        <v>3906354</v>
      </c>
      <c r="C2448" s="3">
        <v>3906432</v>
      </c>
      <c r="D2448" s="1" t="s">
        <v>9</v>
      </c>
      <c r="E2448" s="1">
        <v>-15.4</v>
      </c>
      <c r="F2448" s="1" t="s">
        <v>4382</v>
      </c>
    </row>
    <row r="2449" spans="1:6" ht="21" x14ac:dyDescent="0.25">
      <c r="A2449" s="2" t="str">
        <f>HYPERLINK("https://rth.dk/resources/bsgatlas/details.php?id=BSGatlas-terminator-2448","BSGatlas-terminator-2448")</f>
        <v>BSGatlas-terminator-2448</v>
      </c>
      <c r="B2449" s="3">
        <v>3907138</v>
      </c>
      <c r="C2449" s="3">
        <v>3907204</v>
      </c>
      <c r="D2449" s="1" t="s">
        <v>9</v>
      </c>
      <c r="E2449" s="1"/>
      <c r="F2449" s="1" t="s">
        <v>15159</v>
      </c>
    </row>
    <row r="2450" spans="1:6" ht="21" x14ac:dyDescent="0.25">
      <c r="A2450" s="2" t="str">
        <f>HYPERLINK("https://rth.dk/resources/bsgatlas/details.php?id=BSGatlas-terminator-2449","BSGatlas-terminator-2449")</f>
        <v>BSGatlas-terminator-2449</v>
      </c>
      <c r="B2450" s="3">
        <v>3910256</v>
      </c>
      <c r="C2450" s="3">
        <v>3910296</v>
      </c>
      <c r="D2450" s="1" t="s">
        <v>13</v>
      </c>
      <c r="E2450" s="1">
        <v>-20</v>
      </c>
      <c r="F2450" s="1" t="s">
        <v>4382</v>
      </c>
    </row>
    <row r="2451" spans="1:6" ht="21" x14ac:dyDescent="0.25">
      <c r="A2451" s="2" t="str">
        <f>HYPERLINK("https://rth.dk/resources/bsgatlas/details.php?id=BSGatlas-terminator-2450","BSGatlas-terminator-2450")</f>
        <v>BSGatlas-terminator-2450</v>
      </c>
      <c r="B2451" s="3">
        <v>3910266</v>
      </c>
      <c r="C2451" s="3">
        <v>3910306</v>
      </c>
      <c r="D2451" s="1" t="s">
        <v>9</v>
      </c>
      <c r="E2451" s="1">
        <v>-20</v>
      </c>
      <c r="F2451" s="1" t="s">
        <v>15158</v>
      </c>
    </row>
    <row r="2452" spans="1:6" ht="21" x14ac:dyDescent="0.25">
      <c r="A2452" s="2" t="str">
        <f>HYPERLINK("https://rth.dk/resources/bsgatlas/details.php?id=BSGatlas-terminator-2451","BSGatlas-terminator-2451")</f>
        <v>BSGatlas-terminator-2451</v>
      </c>
      <c r="B2452" s="3">
        <v>3911432</v>
      </c>
      <c r="C2452" s="3">
        <v>3911478</v>
      </c>
      <c r="D2452" s="1" t="s">
        <v>13</v>
      </c>
      <c r="E2452" s="1">
        <v>-13.1</v>
      </c>
      <c r="F2452" s="1" t="s">
        <v>4382</v>
      </c>
    </row>
    <row r="2453" spans="1:6" ht="21" x14ac:dyDescent="0.25">
      <c r="A2453" s="2" t="str">
        <f>HYPERLINK("https://rth.dk/resources/bsgatlas/details.php?id=BSGatlas-terminator-2452","BSGatlas-terminator-2452")</f>
        <v>BSGatlas-terminator-2452</v>
      </c>
      <c r="B2453" s="3">
        <v>3911488</v>
      </c>
      <c r="C2453" s="3">
        <v>3911532</v>
      </c>
      <c r="D2453" s="1" t="s">
        <v>13</v>
      </c>
      <c r="E2453" s="1">
        <v>-9.9</v>
      </c>
      <c r="F2453" s="1" t="s">
        <v>15157</v>
      </c>
    </row>
    <row r="2454" spans="1:6" ht="21" x14ac:dyDescent="0.25">
      <c r="A2454" s="2" t="str">
        <f>HYPERLINK("https://rth.dk/resources/bsgatlas/details.php?id=BSGatlas-terminator-2453","BSGatlas-terminator-2453")</f>
        <v>BSGatlas-terminator-2453</v>
      </c>
      <c r="B2454" s="3">
        <v>3912289</v>
      </c>
      <c r="C2454" s="3">
        <v>3912330</v>
      </c>
      <c r="D2454" s="1" t="s">
        <v>13</v>
      </c>
      <c r="E2454" s="1">
        <v>-16</v>
      </c>
      <c r="F2454" s="1" t="s">
        <v>15158</v>
      </c>
    </row>
    <row r="2455" spans="1:6" ht="21" x14ac:dyDescent="0.25">
      <c r="A2455" s="2" t="str">
        <f>HYPERLINK("https://rth.dk/resources/bsgatlas/details.php?id=BSGatlas-terminator-2454","BSGatlas-terminator-2454")</f>
        <v>BSGatlas-terminator-2454</v>
      </c>
      <c r="B2455" s="3">
        <v>3914140</v>
      </c>
      <c r="C2455" s="3">
        <v>3914184</v>
      </c>
      <c r="D2455" s="1" t="s">
        <v>9</v>
      </c>
      <c r="E2455" s="1">
        <v>-11.4</v>
      </c>
      <c r="F2455" s="1" t="s">
        <v>15157</v>
      </c>
    </row>
    <row r="2456" spans="1:6" ht="21" x14ac:dyDescent="0.25">
      <c r="A2456" s="2" t="str">
        <f>HYPERLINK("https://rth.dk/resources/bsgatlas/details.php?id=BSGatlas-terminator-2455","BSGatlas-terminator-2455")</f>
        <v>BSGatlas-terminator-2455</v>
      </c>
      <c r="B2456" s="3">
        <v>3914271</v>
      </c>
      <c r="C2456" s="3">
        <v>3914310</v>
      </c>
      <c r="D2456" s="1" t="s">
        <v>13</v>
      </c>
      <c r="E2456" s="1">
        <v>-15.2</v>
      </c>
      <c r="F2456" s="1" t="s">
        <v>15158</v>
      </c>
    </row>
    <row r="2457" spans="1:6" ht="21" x14ac:dyDescent="0.25">
      <c r="A2457" s="2" t="str">
        <f>HYPERLINK("https://rth.dk/resources/bsgatlas/details.php?id=BSGatlas-terminator-2456","BSGatlas-terminator-2456")</f>
        <v>BSGatlas-terminator-2456</v>
      </c>
      <c r="B2457" s="3">
        <v>3914281</v>
      </c>
      <c r="C2457" s="3">
        <v>3914320</v>
      </c>
      <c r="D2457" s="1" t="s">
        <v>9</v>
      </c>
      <c r="E2457" s="1">
        <v>-13.9</v>
      </c>
      <c r="F2457" s="1" t="s">
        <v>15158</v>
      </c>
    </row>
    <row r="2458" spans="1:6" ht="21" x14ac:dyDescent="0.25">
      <c r="A2458" s="2" t="str">
        <f>HYPERLINK("https://rth.dk/resources/bsgatlas/details.php?id=BSGatlas-terminator-2457","BSGatlas-terminator-2457")</f>
        <v>BSGatlas-terminator-2457</v>
      </c>
      <c r="B2458" s="3">
        <v>3917110</v>
      </c>
      <c r="C2458" s="3">
        <v>3917154</v>
      </c>
      <c r="D2458" s="1" t="s">
        <v>9</v>
      </c>
      <c r="E2458" s="1">
        <v>-8.1</v>
      </c>
      <c r="F2458" s="1" t="s">
        <v>15157</v>
      </c>
    </row>
    <row r="2459" spans="1:6" ht="21" x14ac:dyDescent="0.25">
      <c r="A2459" s="2" t="str">
        <f>HYPERLINK("https://rth.dk/resources/bsgatlas/details.php?id=BSGatlas-terminator-2458","BSGatlas-terminator-2458")</f>
        <v>BSGatlas-terminator-2458</v>
      </c>
      <c r="B2459" s="3">
        <v>3918562</v>
      </c>
      <c r="C2459" s="3">
        <v>3918606</v>
      </c>
      <c r="D2459" s="1" t="s">
        <v>9</v>
      </c>
      <c r="E2459" s="1">
        <v>-16.399999999999999</v>
      </c>
      <c r="F2459" s="1" t="s">
        <v>15157</v>
      </c>
    </row>
    <row r="2460" spans="1:6" ht="21" x14ac:dyDescent="0.25">
      <c r="A2460" s="2" t="str">
        <f>HYPERLINK("https://rth.dk/resources/bsgatlas/details.php?id=BSGatlas-terminator-2459","BSGatlas-terminator-2459")</f>
        <v>BSGatlas-terminator-2459</v>
      </c>
      <c r="B2460" s="3">
        <v>3918982</v>
      </c>
      <c r="C2460" s="3">
        <v>3919026</v>
      </c>
      <c r="D2460" s="1" t="s">
        <v>9</v>
      </c>
      <c r="E2460" s="1">
        <v>-16.399999999999999</v>
      </c>
      <c r="F2460" s="1" t="s">
        <v>15157</v>
      </c>
    </row>
    <row r="2461" spans="1:6" ht="21" x14ac:dyDescent="0.25">
      <c r="A2461" s="2" t="str">
        <f>HYPERLINK("https://rth.dk/resources/bsgatlas/details.php?id=BSGatlas-terminator-2460","BSGatlas-terminator-2460")</f>
        <v>BSGatlas-terminator-2460</v>
      </c>
      <c r="B2461" s="3">
        <v>3919027</v>
      </c>
      <c r="C2461" s="3">
        <v>3919072</v>
      </c>
      <c r="D2461" s="1" t="s">
        <v>9</v>
      </c>
      <c r="E2461" s="1">
        <v>-19</v>
      </c>
      <c r="F2461" s="1" t="s">
        <v>4382</v>
      </c>
    </row>
    <row r="2462" spans="1:6" ht="21" x14ac:dyDescent="0.25">
      <c r="A2462" s="2" t="str">
        <f>HYPERLINK("https://rth.dk/resources/bsgatlas/details.php?id=BSGatlas-terminator-2461","BSGatlas-terminator-2461")</f>
        <v>BSGatlas-terminator-2461</v>
      </c>
      <c r="B2462" s="3">
        <v>3919083</v>
      </c>
      <c r="C2462" s="3">
        <v>3919106</v>
      </c>
      <c r="D2462" s="1" t="s">
        <v>13</v>
      </c>
      <c r="E2462" s="1">
        <v>-18.399999999999999</v>
      </c>
      <c r="F2462" s="1" t="s">
        <v>15161</v>
      </c>
    </row>
    <row r="2463" spans="1:6" ht="21" x14ac:dyDescent="0.25">
      <c r="A2463" s="2" t="str">
        <f>HYPERLINK("https://rth.dk/resources/bsgatlas/details.php?id=BSGatlas-terminator-2462","BSGatlas-terminator-2462")</f>
        <v>BSGatlas-terminator-2462</v>
      </c>
      <c r="B2463" s="3">
        <v>3923984</v>
      </c>
      <c r="C2463" s="3">
        <v>3924028</v>
      </c>
      <c r="D2463" s="1" t="s">
        <v>13</v>
      </c>
      <c r="E2463" s="1">
        <v>-8.3000000000000007</v>
      </c>
      <c r="F2463" s="1" t="s">
        <v>15157</v>
      </c>
    </row>
    <row r="2464" spans="1:6" ht="21" x14ac:dyDescent="0.25">
      <c r="A2464" s="2" t="str">
        <f>HYPERLINK("https://rth.dk/resources/bsgatlas/details.php?id=BSGatlas-terminator-2463","BSGatlas-terminator-2463")</f>
        <v>BSGatlas-terminator-2463</v>
      </c>
      <c r="B2464" s="3">
        <v>3925735</v>
      </c>
      <c r="C2464" s="3">
        <v>3925779</v>
      </c>
      <c r="D2464" s="1" t="s">
        <v>9</v>
      </c>
      <c r="E2464" s="1">
        <v>-7.8</v>
      </c>
      <c r="F2464" s="1" t="s">
        <v>15157</v>
      </c>
    </row>
    <row r="2465" spans="1:6" ht="21" x14ac:dyDescent="0.25">
      <c r="A2465" s="2" t="str">
        <f>HYPERLINK("https://rth.dk/resources/bsgatlas/details.php?id=BSGatlas-terminator-2464","BSGatlas-terminator-2464")</f>
        <v>BSGatlas-terminator-2464</v>
      </c>
      <c r="B2465" s="3">
        <v>3925757</v>
      </c>
      <c r="C2465" s="3">
        <v>3925794</v>
      </c>
      <c r="D2465" s="1" t="s">
        <v>13</v>
      </c>
      <c r="E2465" s="1">
        <v>-11.2</v>
      </c>
      <c r="F2465" s="1" t="s">
        <v>15158</v>
      </c>
    </row>
    <row r="2466" spans="1:6" ht="21" x14ac:dyDescent="0.25">
      <c r="A2466" s="2" t="str">
        <f>HYPERLINK("https://rth.dk/resources/bsgatlas/details.php?id=BSGatlas-terminator-2465","BSGatlas-terminator-2465")</f>
        <v>BSGatlas-terminator-2465</v>
      </c>
      <c r="B2466" s="3">
        <v>3926756</v>
      </c>
      <c r="C2466" s="3">
        <v>3926800</v>
      </c>
      <c r="D2466" s="1" t="s">
        <v>13</v>
      </c>
      <c r="E2466" s="1">
        <v>-7.8</v>
      </c>
      <c r="F2466" s="1" t="s">
        <v>15157</v>
      </c>
    </row>
    <row r="2467" spans="1:6" ht="21" x14ac:dyDescent="0.25">
      <c r="A2467" s="2" t="str">
        <f>HYPERLINK("https://rth.dk/resources/bsgatlas/details.php?id=BSGatlas-terminator-2466","BSGatlas-terminator-2466")</f>
        <v>BSGatlas-terminator-2466</v>
      </c>
      <c r="B2467" s="3">
        <v>3930650</v>
      </c>
      <c r="C2467" s="3">
        <v>3930690</v>
      </c>
      <c r="D2467" s="1" t="s">
        <v>13</v>
      </c>
      <c r="E2467" s="1">
        <v>-12.8</v>
      </c>
      <c r="F2467" s="1" t="s">
        <v>4382</v>
      </c>
    </row>
    <row r="2468" spans="1:6" ht="21" x14ac:dyDescent="0.25">
      <c r="A2468" s="2" t="str">
        <f>HYPERLINK("https://rth.dk/resources/bsgatlas/details.php?id=BSGatlas-terminator-2467","BSGatlas-terminator-2467")</f>
        <v>BSGatlas-terminator-2467</v>
      </c>
      <c r="B2468" s="3">
        <v>3930694</v>
      </c>
      <c r="C2468" s="3">
        <v>3930738</v>
      </c>
      <c r="D2468" s="1" t="s">
        <v>13</v>
      </c>
      <c r="E2468" s="1">
        <v>-10</v>
      </c>
      <c r="F2468" s="1" t="s">
        <v>15157</v>
      </c>
    </row>
    <row r="2469" spans="1:6" ht="21" x14ac:dyDescent="0.25">
      <c r="A2469" s="2" t="str">
        <f>HYPERLINK("https://rth.dk/resources/bsgatlas/details.php?id=BSGatlas-terminator-2468","BSGatlas-terminator-2468")</f>
        <v>BSGatlas-terminator-2468</v>
      </c>
      <c r="B2469" s="3">
        <v>3934204</v>
      </c>
      <c r="C2469" s="3">
        <v>3934248</v>
      </c>
      <c r="D2469" s="1" t="s">
        <v>9</v>
      </c>
      <c r="E2469" s="1">
        <v>-8</v>
      </c>
      <c r="F2469" s="1" t="s">
        <v>15157</v>
      </c>
    </row>
    <row r="2470" spans="1:6" ht="21" x14ac:dyDescent="0.25">
      <c r="A2470" s="2" t="str">
        <f>HYPERLINK("https://rth.dk/resources/bsgatlas/details.php?id=BSGatlas-terminator-2469","BSGatlas-terminator-2469")</f>
        <v>BSGatlas-terminator-2469</v>
      </c>
      <c r="B2470" s="3">
        <v>3935745</v>
      </c>
      <c r="C2470" s="3">
        <v>3935789</v>
      </c>
      <c r="D2470" s="1" t="s">
        <v>9</v>
      </c>
      <c r="E2470" s="1">
        <v>-12.2</v>
      </c>
      <c r="F2470" s="1" t="s">
        <v>15157</v>
      </c>
    </row>
    <row r="2471" spans="1:6" ht="21" x14ac:dyDescent="0.25">
      <c r="A2471" s="2" t="str">
        <f>HYPERLINK("https://rth.dk/resources/bsgatlas/details.php?id=BSGatlas-terminator-2470","BSGatlas-terminator-2470")</f>
        <v>BSGatlas-terminator-2470</v>
      </c>
      <c r="B2471" s="3">
        <v>3935817</v>
      </c>
      <c r="C2471" s="3">
        <v>3935861</v>
      </c>
      <c r="D2471" s="1" t="s">
        <v>13</v>
      </c>
      <c r="E2471" s="1">
        <v>-14.3</v>
      </c>
      <c r="F2471" s="1" t="s">
        <v>15157</v>
      </c>
    </row>
    <row r="2472" spans="1:6" ht="21" x14ac:dyDescent="0.25">
      <c r="A2472" s="2" t="str">
        <f>HYPERLINK("https://rth.dk/resources/bsgatlas/details.php?id=BSGatlas-terminator-2471","BSGatlas-terminator-2471")</f>
        <v>BSGatlas-terminator-2471</v>
      </c>
      <c r="B2472" s="3">
        <v>3935901</v>
      </c>
      <c r="C2472" s="3">
        <v>3935945</v>
      </c>
      <c r="D2472" s="1" t="s">
        <v>13</v>
      </c>
      <c r="E2472" s="1">
        <v>-14.3</v>
      </c>
      <c r="F2472" s="1" t="s">
        <v>15157</v>
      </c>
    </row>
    <row r="2473" spans="1:6" ht="21" x14ac:dyDescent="0.25">
      <c r="A2473" s="2" t="str">
        <f>HYPERLINK("https://rth.dk/resources/bsgatlas/details.php?id=BSGatlas-terminator-2472","BSGatlas-terminator-2472")</f>
        <v>BSGatlas-terminator-2472</v>
      </c>
      <c r="B2473" s="3">
        <v>3937391</v>
      </c>
      <c r="C2473" s="3">
        <v>3937435</v>
      </c>
      <c r="D2473" s="1" t="s">
        <v>9</v>
      </c>
      <c r="E2473" s="1">
        <v>-7.4</v>
      </c>
      <c r="F2473" s="1" t="s">
        <v>15157</v>
      </c>
    </row>
    <row r="2474" spans="1:6" ht="21" x14ac:dyDescent="0.25">
      <c r="A2474" s="2" t="str">
        <f>HYPERLINK("https://rth.dk/resources/bsgatlas/details.php?id=BSGatlas-terminator-2473","BSGatlas-terminator-2473")</f>
        <v>BSGatlas-terminator-2473</v>
      </c>
      <c r="B2474" s="3">
        <v>3937462</v>
      </c>
      <c r="C2474" s="3">
        <v>3937506</v>
      </c>
      <c r="D2474" s="1" t="s">
        <v>9</v>
      </c>
      <c r="E2474" s="1">
        <v>-7.4</v>
      </c>
      <c r="F2474" s="1" t="s">
        <v>15157</v>
      </c>
    </row>
    <row r="2475" spans="1:6" ht="21" x14ac:dyDescent="0.25">
      <c r="A2475" s="2" t="str">
        <f>HYPERLINK("https://rth.dk/resources/bsgatlas/details.php?id=BSGatlas-terminator-2474","BSGatlas-terminator-2474")</f>
        <v>BSGatlas-terminator-2474</v>
      </c>
      <c r="B2475" s="3">
        <v>3937508</v>
      </c>
      <c r="C2475" s="3">
        <v>3937553</v>
      </c>
      <c r="D2475" s="1" t="s">
        <v>13</v>
      </c>
      <c r="E2475" s="1">
        <v>-14.5</v>
      </c>
      <c r="F2475" s="1" t="s">
        <v>15158</v>
      </c>
    </row>
    <row r="2476" spans="1:6" ht="21" x14ac:dyDescent="0.25">
      <c r="A2476" s="2" t="str">
        <f>HYPERLINK("https://rth.dk/resources/bsgatlas/details.php?id=BSGatlas-terminator-2475","BSGatlas-terminator-2475")</f>
        <v>BSGatlas-terminator-2475</v>
      </c>
      <c r="B2476" s="3">
        <v>3937518</v>
      </c>
      <c r="C2476" s="3">
        <v>3937563</v>
      </c>
      <c r="D2476" s="1" t="s">
        <v>9</v>
      </c>
      <c r="E2476" s="1">
        <v>-15.6</v>
      </c>
      <c r="F2476" s="1" t="s">
        <v>4382</v>
      </c>
    </row>
    <row r="2477" spans="1:6" ht="21" x14ac:dyDescent="0.25">
      <c r="A2477" s="2" t="str">
        <f>HYPERLINK("https://rth.dk/resources/bsgatlas/details.php?id=BSGatlas-terminator-2476","BSGatlas-terminator-2476")</f>
        <v>BSGatlas-terminator-2476</v>
      </c>
      <c r="B2477" s="3">
        <v>3941809</v>
      </c>
      <c r="C2477" s="3">
        <v>3941859</v>
      </c>
      <c r="D2477" s="1" t="s">
        <v>9</v>
      </c>
      <c r="E2477" s="1">
        <v>-16.600000000000001</v>
      </c>
      <c r="F2477" s="1" t="s">
        <v>15158</v>
      </c>
    </row>
    <row r="2478" spans="1:6" ht="21" x14ac:dyDescent="0.25">
      <c r="A2478" s="2" t="str">
        <f>HYPERLINK("https://rth.dk/resources/bsgatlas/details.php?id=BSGatlas-terminator-2477","BSGatlas-terminator-2477")</f>
        <v>BSGatlas-terminator-2477</v>
      </c>
      <c r="B2478" s="3">
        <v>3942095</v>
      </c>
      <c r="C2478" s="3">
        <v>3942138</v>
      </c>
      <c r="D2478" s="1" t="s">
        <v>9</v>
      </c>
      <c r="E2478" s="1">
        <v>-13.1</v>
      </c>
      <c r="F2478" s="1" t="s">
        <v>4382</v>
      </c>
    </row>
    <row r="2479" spans="1:6" ht="21" x14ac:dyDescent="0.25">
      <c r="A2479" s="2" t="str">
        <f>HYPERLINK("https://rth.dk/resources/bsgatlas/details.php?id=BSGatlas-terminator-2478","BSGatlas-terminator-2478")</f>
        <v>BSGatlas-terminator-2478</v>
      </c>
      <c r="B2479" s="3">
        <v>3943289</v>
      </c>
      <c r="C2479" s="3">
        <v>3943355</v>
      </c>
      <c r="D2479" s="1" t="s">
        <v>13</v>
      </c>
      <c r="E2479" s="1"/>
      <c r="F2479" s="1" t="s">
        <v>15159</v>
      </c>
    </row>
    <row r="2480" spans="1:6" ht="21" x14ac:dyDescent="0.25">
      <c r="A2480" s="2" t="str">
        <f>HYPERLINK("https://rth.dk/resources/bsgatlas/details.php?id=BSGatlas-terminator-2479","BSGatlas-terminator-2479")</f>
        <v>BSGatlas-terminator-2479</v>
      </c>
      <c r="B2480" s="3">
        <v>3944508</v>
      </c>
      <c r="C2480" s="3">
        <v>3944550</v>
      </c>
      <c r="D2480" s="1" t="s">
        <v>13</v>
      </c>
      <c r="E2480" s="1">
        <v>-14.1</v>
      </c>
      <c r="F2480" s="1" t="s">
        <v>15158</v>
      </c>
    </row>
    <row r="2481" spans="1:6" ht="21" x14ac:dyDescent="0.25">
      <c r="A2481" s="2" t="str">
        <f>HYPERLINK("https://rth.dk/resources/bsgatlas/details.php?id=BSGatlas-terminator-2480","BSGatlas-terminator-2480")</f>
        <v>BSGatlas-terminator-2480</v>
      </c>
      <c r="B2481" s="3">
        <v>3944518</v>
      </c>
      <c r="C2481" s="3">
        <v>3944560</v>
      </c>
      <c r="D2481" s="1" t="s">
        <v>9</v>
      </c>
      <c r="E2481" s="1">
        <v>-13.4</v>
      </c>
      <c r="F2481" s="1" t="s">
        <v>4382</v>
      </c>
    </row>
    <row r="2482" spans="1:6" ht="21" x14ac:dyDescent="0.25">
      <c r="A2482" s="2" t="str">
        <f>HYPERLINK("https://rth.dk/resources/bsgatlas/details.php?id=BSGatlas-terminator-2481","BSGatlas-terminator-2481")</f>
        <v>BSGatlas-terminator-2481</v>
      </c>
      <c r="B2482" s="3">
        <v>3945382</v>
      </c>
      <c r="C2482" s="3">
        <v>3945426</v>
      </c>
      <c r="D2482" s="1" t="s">
        <v>9</v>
      </c>
      <c r="E2482" s="1">
        <v>-4.5</v>
      </c>
      <c r="F2482" s="1" t="s">
        <v>15157</v>
      </c>
    </row>
    <row r="2483" spans="1:6" ht="21" x14ac:dyDescent="0.25">
      <c r="A2483" s="2" t="str">
        <f>HYPERLINK("https://rth.dk/resources/bsgatlas/details.php?id=BSGatlas-terminator-2482","BSGatlas-terminator-2482")</f>
        <v>BSGatlas-terminator-2482</v>
      </c>
      <c r="B2483" s="3">
        <v>3947088</v>
      </c>
      <c r="C2483" s="3">
        <v>3947143</v>
      </c>
      <c r="D2483" s="1" t="s">
        <v>9</v>
      </c>
      <c r="E2483" s="1">
        <v>-20.100000000000001</v>
      </c>
      <c r="F2483" s="1" t="s">
        <v>15158</v>
      </c>
    </row>
    <row r="2484" spans="1:6" ht="21" x14ac:dyDescent="0.25">
      <c r="A2484" s="2" t="str">
        <f>HYPERLINK("https://rth.dk/resources/bsgatlas/details.php?id=BSGatlas-terminator-2483","BSGatlas-terminator-2483")</f>
        <v>BSGatlas-terminator-2483</v>
      </c>
      <c r="B2484" s="3">
        <v>3948410</v>
      </c>
      <c r="C2484" s="3">
        <v>3948455</v>
      </c>
      <c r="D2484" s="1" t="s">
        <v>9</v>
      </c>
      <c r="E2484" s="1">
        <v>-12.9</v>
      </c>
      <c r="F2484" s="1" t="s">
        <v>4382</v>
      </c>
    </row>
    <row r="2485" spans="1:6" ht="21" x14ac:dyDescent="0.25">
      <c r="A2485" s="2" t="str">
        <f>HYPERLINK("https://rth.dk/resources/bsgatlas/details.php?id=BSGatlas-terminator-2484","BSGatlas-terminator-2484")</f>
        <v>BSGatlas-terminator-2484</v>
      </c>
      <c r="B2485" s="3">
        <v>3949877</v>
      </c>
      <c r="C2485" s="3">
        <v>3949921</v>
      </c>
      <c r="D2485" s="1" t="s">
        <v>9</v>
      </c>
      <c r="E2485" s="1">
        <v>-13.3</v>
      </c>
      <c r="F2485" s="1" t="s">
        <v>15157</v>
      </c>
    </row>
    <row r="2486" spans="1:6" ht="21" x14ac:dyDescent="0.25">
      <c r="A2486" s="2" t="str">
        <f>HYPERLINK("https://rth.dk/resources/bsgatlas/details.php?id=BSGatlas-terminator-2485","BSGatlas-terminator-2485")</f>
        <v>BSGatlas-terminator-2485</v>
      </c>
      <c r="B2486" s="3">
        <v>3949913</v>
      </c>
      <c r="C2486" s="3">
        <v>3949952</v>
      </c>
      <c r="D2486" s="1" t="s">
        <v>13</v>
      </c>
      <c r="E2486" s="1">
        <v>-15.7</v>
      </c>
      <c r="F2486" s="1" t="s">
        <v>15158</v>
      </c>
    </row>
    <row r="2487" spans="1:6" ht="21" x14ac:dyDescent="0.25">
      <c r="A2487" s="2" t="str">
        <f>HYPERLINK("https://rth.dk/resources/bsgatlas/details.php?id=BSGatlas-terminator-2486","BSGatlas-terminator-2486")</f>
        <v>BSGatlas-terminator-2486</v>
      </c>
      <c r="B2487" s="3">
        <v>3949923</v>
      </c>
      <c r="C2487" s="3">
        <v>3949962</v>
      </c>
      <c r="D2487" s="1" t="s">
        <v>9</v>
      </c>
      <c r="E2487" s="1">
        <v>-16.2</v>
      </c>
      <c r="F2487" s="1" t="s">
        <v>4382</v>
      </c>
    </row>
    <row r="2488" spans="1:6" ht="21" x14ac:dyDescent="0.25">
      <c r="A2488" s="2" t="str">
        <f>HYPERLINK("https://rth.dk/resources/bsgatlas/details.php?id=BSGatlas-terminator-2487","BSGatlas-terminator-2487")</f>
        <v>BSGatlas-terminator-2487</v>
      </c>
      <c r="B2488" s="3">
        <v>3950683</v>
      </c>
      <c r="C2488" s="3">
        <v>3950723</v>
      </c>
      <c r="D2488" s="1" t="s">
        <v>13</v>
      </c>
      <c r="E2488" s="1">
        <v>-11.2</v>
      </c>
      <c r="F2488" s="1" t="s">
        <v>15158</v>
      </c>
    </row>
    <row r="2489" spans="1:6" ht="21" x14ac:dyDescent="0.25">
      <c r="A2489" s="2" t="str">
        <f>HYPERLINK("https://rth.dk/resources/bsgatlas/details.php?id=BSGatlas-terminator-2488","BSGatlas-terminator-2488")</f>
        <v>BSGatlas-terminator-2488</v>
      </c>
      <c r="B2489" s="3">
        <v>3957219</v>
      </c>
      <c r="C2489" s="3">
        <v>3957285</v>
      </c>
      <c r="D2489" s="1" t="s">
        <v>13</v>
      </c>
      <c r="E2489" s="1"/>
      <c r="F2489" s="1" t="s">
        <v>15159</v>
      </c>
    </row>
    <row r="2490" spans="1:6" ht="21" x14ac:dyDescent="0.25">
      <c r="A2490" s="2" t="str">
        <f>HYPERLINK("https://rth.dk/resources/bsgatlas/details.php?id=BSGatlas-terminator-2489","BSGatlas-terminator-2489")</f>
        <v>BSGatlas-terminator-2489</v>
      </c>
      <c r="B2490" s="3">
        <v>3957233</v>
      </c>
      <c r="C2490" s="3">
        <v>3957275</v>
      </c>
      <c r="D2490" s="1" t="s">
        <v>9</v>
      </c>
      <c r="E2490" s="1">
        <v>-16.600000000000001</v>
      </c>
      <c r="F2490" s="1" t="s">
        <v>15158</v>
      </c>
    </row>
    <row r="2491" spans="1:6" ht="21" x14ac:dyDescent="0.25">
      <c r="A2491" s="2" t="str">
        <f>HYPERLINK("https://rth.dk/resources/bsgatlas/details.php?id=BSGatlas-terminator-2490","BSGatlas-terminator-2490")</f>
        <v>BSGatlas-terminator-2490</v>
      </c>
      <c r="B2491" s="3">
        <v>3958362</v>
      </c>
      <c r="C2491" s="3">
        <v>3958406</v>
      </c>
      <c r="D2491" s="1" t="s">
        <v>9</v>
      </c>
      <c r="E2491" s="1">
        <v>-13.6</v>
      </c>
      <c r="F2491" s="1" t="s">
        <v>15157</v>
      </c>
    </row>
    <row r="2492" spans="1:6" ht="21" x14ac:dyDescent="0.25">
      <c r="A2492" s="2" t="str">
        <f>HYPERLINK("https://rth.dk/resources/bsgatlas/details.php?id=BSGatlas-terminator-2491","BSGatlas-terminator-2491")</f>
        <v>BSGatlas-terminator-2491</v>
      </c>
      <c r="B2492" s="3">
        <v>3958475</v>
      </c>
      <c r="C2492" s="3">
        <v>3958515</v>
      </c>
      <c r="D2492" s="1" t="s">
        <v>13</v>
      </c>
      <c r="E2492" s="1">
        <v>-19.600000000000001</v>
      </c>
      <c r="F2492" s="1" t="s">
        <v>15158</v>
      </c>
    </row>
    <row r="2493" spans="1:6" ht="21" x14ac:dyDescent="0.25">
      <c r="A2493" s="2" t="str">
        <f>HYPERLINK("https://rth.dk/resources/bsgatlas/details.php?id=BSGatlas-terminator-2492","BSGatlas-terminator-2492")</f>
        <v>BSGatlas-terminator-2492</v>
      </c>
      <c r="B2493" s="3">
        <v>3958485</v>
      </c>
      <c r="C2493" s="3">
        <v>3958525</v>
      </c>
      <c r="D2493" s="1" t="s">
        <v>9</v>
      </c>
      <c r="E2493" s="1">
        <v>-16.2</v>
      </c>
      <c r="F2493" s="1" t="s">
        <v>15158</v>
      </c>
    </row>
    <row r="2494" spans="1:6" ht="21" x14ac:dyDescent="0.25">
      <c r="A2494" s="2" t="str">
        <f>HYPERLINK("https://rth.dk/resources/bsgatlas/details.php?id=BSGatlas-terminator-2493","BSGatlas-terminator-2493")</f>
        <v>BSGatlas-terminator-2493</v>
      </c>
      <c r="B2494" s="3">
        <v>3961981</v>
      </c>
      <c r="C2494" s="3">
        <v>3962025</v>
      </c>
      <c r="D2494" s="1" t="s">
        <v>13</v>
      </c>
      <c r="E2494" s="1">
        <v>-11.1</v>
      </c>
      <c r="F2494" s="1" t="s">
        <v>15157</v>
      </c>
    </row>
    <row r="2495" spans="1:6" ht="21" x14ac:dyDescent="0.25">
      <c r="A2495" s="2" t="str">
        <f>HYPERLINK("https://rth.dk/resources/bsgatlas/details.php?id=BSGatlas-terminator-2494","BSGatlas-terminator-2494")</f>
        <v>BSGatlas-terminator-2494</v>
      </c>
      <c r="B2495" s="3">
        <v>3964067</v>
      </c>
      <c r="C2495" s="3">
        <v>3964106</v>
      </c>
      <c r="D2495" s="1" t="s">
        <v>13</v>
      </c>
      <c r="E2495" s="1">
        <v>-13.4</v>
      </c>
      <c r="F2495" s="1" t="s">
        <v>15158</v>
      </c>
    </row>
    <row r="2496" spans="1:6" ht="21" x14ac:dyDescent="0.25">
      <c r="A2496" s="2" t="str">
        <f>HYPERLINK("https://rth.dk/resources/bsgatlas/details.php?id=BSGatlas-terminator-2495","BSGatlas-terminator-2495")</f>
        <v>BSGatlas-terminator-2495</v>
      </c>
      <c r="B2496" s="3">
        <v>3965101</v>
      </c>
      <c r="C2496" s="3">
        <v>3965167</v>
      </c>
      <c r="D2496" s="1" t="s">
        <v>13</v>
      </c>
      <c r="E2496" s="1"/>
      <c r="F2496" s="1" t="s">
        <v>15159</v>
      </c>
    </row>
    <row r="2497" spans="1:6" ht="21" x14ac:dyDescent="0.25">
      <c r="A2497" s="2" t="str">
        <f>HYPERLINK("https://rth.dk/resources/bsgatlas/details.php?id=BSGatlas-terminator-2496","BSGatlas-terminator-2496")</f>
        <v>BSGatlas-terminator-2496</v>
      </c>
      <c r="B2497" s="3">
        <v>3966646</v>
      </c>
      <c r="C2497" s="3">
        <v>3966687</v>
      </c>
      <c r="D2497" s="1" t="s">
        <v>9</v>
      </c>
      <c r="E2497" s="1">
        <v>-17.7</v>
      </c>
      <c r="F2497" s="1" t="s">
        <v>15158</v>
      </c>
    </row>
    <row r="2498" spans="1:6" ht="21" x14ac:dyDescent="0.25">
      <c r="A2498" s="2" t="str">
        <f>HYPERLINK("https://rth.dk/resources/bsgatlas/details.php?id=BSGatlas-terminator-2497","BSGatlas-terminator-2497")</f>
        <v>BSGatlas-terminator-2497</v>
      </c>
      <c r="B2498" s="3">
        <v>3966770</v>
      </c>
      <c r="C2498" s="3">
        <v>3966810</v>
      </c>
      <c r="D2498" s="1" t="s">
        <v>13</v>
      </c>
      <c r="E2498" s="1">
        <v>-13.1</v>
      </c>
      <c r="F2498" s="1" t="s">
        <v>15160</v>
      </c>
    </row>
    <row r="2499" spans="1:6" ht="21" x14ac:dyDescent="0.25">
      <c r="A2499" s="2" t="str">
        <f>HYPERLINK("https://rth.dk/resources/bsgatlas/details.php?id=BSGatlas-terminator-2498","BSGatlas-terminator-2498")</f>
        <v>BSGatlas-terminator-2498</v>
      </c>
      <c r="B2499" s="3">
        <v>3972246</v>
      </c>
      <c r="C2499" s="3">
        <v>3972290</v>
      </c>
      <c r="D2499" s="1" t="s">
        <v>9</v>
      </c>
      <c r="E2499" s="1">
        <v>-12.9</v>
      </c>
      <c r="F2499" s="1" t="s">
        <v>15157</v>
      </c>
    </row>
    <row r="2500" spans="1:6" ht="21" x14ac:dyDescent="0.25">
      <c r="A2500" s="2" t="str">
        <f>HYPERLINK("https://rth.dk/resources/bsgatlas/details.php?id=BSGatlas-terminator-2499","BSGatlas-terminator-2499")</f>
        <v>BSGatlas-terminator-2499</v>
      </c>
      <c r="B2500" s="3">
        <v>3972403</v>
      </c>
      <c r="C2500" s="3">
        <v>3972445</v>
      </c>
      <c r="D2500" s="1" t="s">
        <v>13</v>
      </c>
      <c r="E2500" s="1">
        <v>-16.600000000000001</v>
      </c>
      <c r="F2500" s="1" t="s">
        <v>15158</v>
      </c>
    </row>
    <row r="2501" spans="1:6" ht="21" x14ac:dyDescent="0.25">
      <c r="A2501" s="2" t="str">
        <f>HYPERLINK("https://rth.dk/resources/bsgatlas/details.php?id=BSGatlas-terminator-2500","BSGatlas-terminator-2500")</f>
        <v>BSGatlas-terminator-2500</v>
      </c>
      <c r="B2501" s="3">
        <v>3972413</v>
      </c>
      <c r="C2501" s="3">
        <v>3972455</v>
      </c>
      <c r="D2501" s="1" t="s">
        <v>9</v>
      </c>
      <c r="E2501" s="1">
        <v>-16.3</v>
      </c>
      <c r="F2501" s="1" t="s">
        <v>4382</v>
      </c>
    </row>
    <row r="2502" spans="1:6" ht="21" x14ac:dyDescent="0.25">
      <c r="A2502" s="2" t="str">
        <f>HYPERLINK("https://rth.dk/resources/bsgatlas/details.php?id=BSGatlas-terminator-2501","BSGatlas-terminator-2501")</f>
        <v>BSGatlas-terminator-2501</v>
      </c>
      <c r="B2502" s="3">
        <v>3973327</v>
      </c>
      <c r="C2502" s="3">
        <v>3973366</v>
      </c>
      <c r="D2502" s="1" t="s">
        <v>13</v>
      </c>
      <c r="E2502" s="1">
        <v>-13.2</v>
      </c>
      <c r="F2502" s="1" t="s">
        <v>4382</v>
      </c>
    </row>
    <row r="2503" spans="1:6" ht="21" x14ac:dyDescent="0.25">
      <c r="A2503" s="2" t="str">
        <f>HYPERLINK("https://rth.dk/resources/bsgatlas/details.php?id=BSGatlas-terminator-2502","BSGatlas-terminator-2502")</f>
        <v>BSGatlas-terminator-2502</v>
      </c>
      <c r="B2503" s="3">
        <v>3973441</v>
      </c>
      <c r="C2503" s="3">
        <v>3973485</v>
      </c>
      <c r="D2503" s="1" t="s">
        <v>13</v>
      </c>
      <c r="E2503" s="1">
        <v>-10.6</v>
      </c>
      <c r="F2503" s="1" t="s">
        <v>15157</v>
      </c>
    </row>
    <row r="2504" spans="1:6" ht="21" x14ac:dyDescent="0.25">
      <c r="A2504" s="2" t="str">
        <f>HYPERLINK("https://rth.dk/resources/bsgatlas/details.php?id=BSGatlas-terminator-2503","BSGatlas-terminator-2503")</f>
        <v>BSGatlas-terminator-2503</v>
      </c>
      <c r="B2504" s="3">
        <v>3980671</v>
      </c>
      <c r="C2504" s="3">
        <v>3980737</v>
      </c>
      <c r="D2504" s="1" t="s">
        <v>13</v>
      </c>
      <c r="E2504" s="1"/>
      <c r="F2504" s="1" t="s">
        <v>15159</v>
      </c>
    </row>
    <row r="2505" spans="1:6" ht="21" x14ac:dyDescent="0.25">
      <c r="A2505" s="2" t="str">
        <f>HYPERLINK("https://rth.dk/resources/bsgatlas/details.php?id=BSGatlas-terminator-2504","BSGatlas-terminator-2504")</f>
        <v>BSGatlas-terminator-2504</v>
      </c>
      <c r="B2505" s="3">
        <v>3981110</v>
      </c>
      <c r="C2505" s="3">
        <v>3981159</v>
      </c>
      <c r="D2505" s="1" t="s">
        <v>9</v>
      </c>
      <c r="E2505" s="1">
        <v>-17.7</v>
      </c>
      <c r="F2505" s="1" t="s">
        <v>15158</v>
      </c>
    </row>
    <row r="2506" spans="1:6" ht="21" x14ac:dyDescent="0.25">
      <c r="A2506" s="2" t="str">
        <f>HYPERLINK("https://rth.dk/resources/bsgatlas/details.php?id=BSGatlas-terminator-2505","BSGatlas-terminator-2505")</f>
        <v>BSGatlas-terminator-2505</v>
      </c>
      <c r="B2506" s="3">
        <v>3983037</v>
      </c>
      <c r="C2506" s="3">
        <v>3983071</v>
      </c>
      <c r="D2506" s="1" t="s">
        <v>13</v>
      </c>
      <c r="E2506" s="1">
        <v>-10</v>
      </c>
      <c r="F2506" s="1" t="s">
        <v>4382</v>
      </c>
    </row>
    <row r="2507" spans="1:6" ht="21" x14ac:dyDescent="0.25">
      <c r="A2507" s="2" t="str">
        <f>HYPERLINK("https://rth.dk/resources/bsgatlas/details.php?id=BSGatlas-terminator-2506","BSGatlas-terminator-2506")</f>
        <v>BSGatlas-terminator-2506</v>
      </c>
      <c r="B2507" s="3">
        <v>3983156</v>
      </c>
      <c r="C2507" s="3">
        <v>3983197</v>
      </c>
      <c r="D2507" s="1" t="s">
        <v>9</v>
      </c>
      <c r="E2507" s="1">
        <v>-17.899999999999999</v>
      </c>
      <c r="F2507" s="1" t="s">
        <v>4382</v>
      </c>
    </row>
    <row r="2508" spans="1:6" ht="21" x14ac:dyDescent="0.25">
      <c r="A2508" s="2" t="str">
        <f>HYPERLINK("https://rth.dk/resources/bsgatlas/details.php?id=BSGatlas-terminator-2507","BSGatlas-terminator-2507")</f>
        <v>BSGatlas-terminator-2507</v>
      </c>
      <c r="B2508" s="3">
        <v>3984063</v>
      </c>
      <c r="C2508" s="3">
        <v>3984107</v>
      </c>
      <c r="D2508" s="1" t="s">
        <v>9</v>
      </c>
      <c r="E2508" s="1">
        <v>-13.4</v>
      </c>
      <c r="F2508" s="1" t="s">
        <v>15162</v>
      </c>
    </row>
    <row r="2509" spans="1:6" ht="21" x14ac:dyDescent="0.25">
      <c r="A2509" s="2" t="str">
        <f>HYPERLINK("https://rth.dk/resources/bsgatlas/details.php?id=BSGatlas-terminator-2508","BSGatlas-terminator-2508")</f>
        <v>BSGatlas-terminator-2508</v>
      </c>
      <c r="B2509" s="3">
        <v>3984085</v>
      </c>
      <c r="C2509" s="3">
        <v>3984126</v>
      </c>
      <c r="D2509" s="1" t="s">
        <v>13</v>
      </c>
      <c r="E2509" s="1">
        <v>-19.7</v>
      </c>
      <c r="F2509" s="1" t="s">
        <v>15158</v>
      </c>
    </row>
    <row r="2510" spans="1:6" ht="21" x14ac:dyDescent="0.25">
      <c r="A2510" s="2" t="str">
        <f>HYPERLINK("https://rth.dk/resources/bsgatlas/details.php?id=BSGatlas-terminator-2509","BSGatlas-terminator-2509")</f>
        <v>BSGatlas-terminator-2509</v>
      </c>
      <c r="B2510" s="3">
        <v>3987880</v>
      </c>
      <c r="C2510" s="3">
        <v>3987924</v>
      </c>
      <c r="D2510" s="1" t="s">
        <v>13</v>
      </c>
      <c r="E2510" s="1">
        <v>-17</v>
      </c>
      <c r="F2510" s="1" t="s">
        <v>15158</v>
      </c>
    </row>
    <row r="2511" spans="1:6" ht="21" x14ac:dyDescent="0.25">
      <c r="A2511" s="2" t="str">
        <f>HYPERLINK("https://rth.dk/resources/bsgatlas/details.php?id=BSGatlas-terminator-2510","BSGatlas-terminator-2510")</f>
        <v>BSGatlas-terminator-2510</v>
      </c>
      <c r="B2511" s="3">
        <v>3987882</v>
      </c>
      <c r="C2511" s="3">
        <v>3987934</v>
      </c>
      <c r="D2511" s="1" t="s">
        <v>9</v>
      </c>
      <c r="E2511" s="1">
        <v>-16.399999999999999</v>
      </c>
      <c r="F2511" s="1" t="s">
        <v>15158</v>
      </c>
    </row>
    <row r="2512" spans="1:6" ht="21" x14ac:dyDescent="0.25">
      <c r="A2512" s="2" t="str">
        <f>HYPERLINK("https://rth.dk/resources/bsgatlas/details.php?id=BSGatlas-terminator-2511","BSGatlas-terminator-2511")</f>
        <v>BSGatlas-terminator-2511</v>
      </c>
      <c r="B2512" s="3">
        <v>3988844</v>
      </c>
      <c r="C2512" s="3">
        <v>3988888</v>
      </c>
      <c r="D2512" s="1" t="s">
        <v>13</v>
      </c>
      <c r="E2512" s="1">
        <v>-10.7</v>
      </c>
      <c r="F2512" s="1" t="s">
        <v>15157</v>
      </c>
    </row>
    <row r="2513" spans="1:6" ht="21" x14ac:dyDescent="0.25">
      <c r="A2513" s="2" t="str">
        <f>HYPERLINK("https://rth.dk/resources/bsgatlas/details.php?id=BSGatlas-terminator-2512","BSGatlas-terminator-2512")</f>
        <v>BSGatlas-terminator-2512</v>
      </c>
      <c r="B2513" s="3">
        <v>3989879</v>
      </c>
      <c r="C2513" s="3">
        <v>3989918</v>
      </c>
      <c r="D2513" s="1" t="s">
        <v>9</v>
      </c>
      <c r="E2513" s="1">
        <v>-16.8</v>
      </c>
      <c r="F2513" s="1" t="s">
        <v>15158</v>
      </c>
    </row>
    <row r="2514" spans="1:6" ht="21" x14ac:dyDescent="0.25">
      <c r="A2514" s="2" t="str">
        <f>HYPERLINK("https://rth.dk/resources/bsgatlas/details.php?id=BSGatlas-terminator-2513","BSGatlas-terminator-2513")</f>
        <v>BSGatlas-terminator-2513</v>
      </c>
      <c r="B2514" s="3">
        <v>3989904</v>
      </c>
      <c r="C2514" s="3">
        <v>3989945</v>
      </c>
      <c r="D2514" s="1" t="s">
        <v>13</v>
      </c>
      <c r="E2514" s="1">
        <v>-18.5</v>
      </c>
      <c r="F2514" s="1" t="s">
        <v>15158</v>
      </c>
    </row>
    <row r="2515" spans="1:6" ht="21" x14ac:dyDescent="0.25">
      <c r="A2515" s="2" t="str">
        <f>HYPERLINK("https://rth.dk/resources/bsgatlas/details.php?id=BSGatlas-terminator-2514","BSGatlas-terminator-2514")</f>
        <v>BSGatlas-terminator-2514</v>
      </c>
      <c r="B2515" s="3">
        <v>3990197</v>
      </c>
      <c r="C2515" s="3">
        <v>3990263</v>
      </c>
      <c r="D2515" s="1" t="s">
        <v>9</v>
      </c>
      <c r="E2515" s="1"/>
      <c r="F2515" s="1" t="s">
        <v>15159</v>
      </c>
    </row>
    <row r="2516" spans="1:6" ht="21" x14ac:dyDescent="0.25">
      <c r="A2516" s="2" t="str">
        <f>HYPERLINK("https://rth.dk/resources/bsgatlas/details.php?id=BSGatlas-terminator-2515","BSGatlas-terminator-2515")</f>
        <v>BSGatlas-terminator-2515</v>
      </c>
      <c r="B2516" s="3">
        <v>3991968</v>
      </c>
      <c r="C2516" s="3">
        <v>3992012</v>
      </c>
      <c r="D2516" s="1" t="s">
        <v>13</v>
      </c>
      <c r="E2516" s="1">
        <v>-5.6</v>
      </c>
      <c r="F2516" s="1" t="s">
        <v>15157</v>
      </c>
    </row>
    <row r="2517" spans="1:6" ht="21" x14ac:dyDescent="0.25">
      <c r="A2517" s="2" t="str">
        <f>HYPERLINK("https://rth.dk/resources/bsgatlas/details.php?id=BSGatlas-terminator-2516","BSGatlas-terminator-2516")</f>
        <v>BSGatlas-terminator-2516</v>
      </c>
      <c r="B2517" s="3">
        <v>3995070</v>
      </c>
      <c r="C2517" s="3">
        <v>3995114</v>
      </c>
      <c r="D2517" s="1" t="s">
        <v>13</v>
      </c>
      <c r="E2517" s="1">
        <v>-9.1</v>
      </c>
      <c r="F2517" s="1" t="s">
        <v>15157</v>
      </c>
    </row>
    <row r="2518" spans="1:6" ht="21" x14ac:dyDescent="0.25">
      <c r="A2518" s="2" t="str">
        <f>HYPERLINK("https://rth.dk/resources/bsgatlas/details.php?id=BSGatlas-terminator-2517","BSGatlas-terminator-2517")</f>
        <v>BSGatlas-terminator-2517</v>
      </c>
      <c r="B2518" s="3">
        <v>3996311</v>
      </c>
      <c r="C2518" s="3">
        <v>3996352</v>
      </c>
      <c r="D2518" s="1" t="s">
        <v>9</v>
      </c>
      <c r="E2518" s="1">
        <v>-17</v>
      </c>
      <c r="F2518" s="1" t="s">
        <v>15158</v>
      </c>
    </row>
    <row r="2519" spans="1:6" ht="21" x14ac:dyDescent="0.25">
      <c r="A2519" s="2" t="str">
        <f>HYPERLINK("https://rth.dk/resources/bsgatlas/details.php?id=BSGatlas-terminator-2518","BSGatlas-terminator-2518")</f>
        <v>BSGatlas-terminator-2518</v>
      </c>
      <c r="B2519" s="3">
        <v>3996534</v>
      </c>
      <c r="C2519" s="3">
        <v>3996578</v>
      </c>
      <c r="D2519" s="1" t="s">
        <v>9</v>
      </c>
      <c r="E2519" s="1">
        <v>-6.2</v>
      </c>
      <c r="F2519" s="1" t="s">
        <v>15157</v>
      </c>
    </row>
    <row r="2520" spans="1:6" ht="21" x14ac:dyDescent="0.25">
      <c r="A2520" s="2" t="str">
        <f>HYPERLINK("https://rth.dk/resources/bsgatlas/details.php?id=BSGatlas-terminator-2519","BSGatlas-terminator-2519")</f>
        <v>BSGatlas-terminator-2519</v>
      </c>
      <c r="B2520" s="3">
        <v>3997018</v>
      </c>
      <c r="C2520" s="3">
        <v>3997106</v>
      </c>
      <c r="D2520" s="1" t="s">
        <v>9</v>
      </c>
      <c r="E2520" s="1">
        <v>-6.2</v>
      </c>
      <c r="F2520" s="1" t="s">
        <v>15157</v>
      </c>
    </row>
    <row r="2521" spans="1:6" ht="21" x14ac:dyDescent="0.25">
      <c r="A2521" s="2" t="str">
        <f>HYPERLINK("https://rth.dk/resources/bsgatlas/details.php?id=BSGatlas-terminator-2520","BSGatlas-terminator-2520")</f>
        <v>BSGatlas-terminator-2520</v>
      </c>
      <c r="B2521" s="3">
        <v>3997895</v>
      </c>
      <c r="C2521" s="3">
        <v>3997939</v>
      </c>
      <c r="D2521" s="1" t="s">
        <v>9</v>
      </c>
      <c r="E2521" s="1">
        <v>-17.7</v>
      </c>
      <c r="F2521" s="1" t="s">
        <v>15158</v>
      </c>
    </row>
    <row r="2522" spans="1:6" ht="21" x14ac:dyDescent="0.25">
      <c r="A2522" s="2" t="str">
        <f>HYPERLINK("https://rth.dk/resources/bsgatlas/details.php?id=BSGatlas-terminator-2521","BSGatlas-terminator-2521")</f>
        <v>BSGatlas-terminator-2521</v>
      </c>
      <c r="B2522" s="3">
        <v>3999197</v>
      </c>
      <c r="C2522" s="3">
        <v>3999241</v>
      </c>
      <c r="D2522" s="1" t="s">
        <v>9</v>
      </c>
      <c r="E2522" s="1">
        <v>-14.5</v>
      </c>
      <c r="F2522" s="1" t="s">
        <v>15157</v>
      </c>
    </row>
    <row r="2523" spans="1:6" ht="21" x14ac:dyDescent="0.25">
      <c r="A2523" s="2" t="str">
        <f>HYPERLINK("https://rth.dk/resources/bsgatlas/details.php?id=BSGatlas-terminator-2522","BSGatlas-terminator-2522")</f>
        <v>BSGatlas-terminator-2522</v>
      </c>
      <c r="B2523" s="3">
        <v>3999284</v>
      </c>
      <c r="C2523" s="3">
        <v>3999328</v>
      </c>
      <c r="D2523" s="1" t="s">
        <v>9</v>
      </c>
      <c r="E2523" s="1">
        <v>-17.7</v>
      </c>
      <c r="F2523" s="1" t="s">
        <v>4382</v>
      </c>
    </row>
    <row r="2524" spans="1:6" ht="21" x14ac:dyDescent="0.25">
      <c r="A2524" s="2" t="str">
        <f>HYPERLINK("https://rth.dk/resources/bsgatlas/details.php?id=BSGatlas-terminator-2523","BSGatlas-terminator-2523")</f>
        <v>BSGatlas-terminator-2523</v>
      </c>
      <c r="B2524" s="3">
        <v>4000451</v>
      </c>
      <c r="C2524" s="3">
        <v>4000495</v>
      </c>
      <c r="D2524" s="1" t="s">
        <v>9</v>
      </c>
      <c r="E2524" s="1">
        <v>-12.8</v>
      </c>
      <c r="F2524" s="1" t="s">
        <v>15157</v>
      </c>
    </row>
    <row r="2525" spans="1:6" ht="21" x14ac:dyDescent="0.25">
      <c r="A2525" s="2" t="str">
        <f>HYPERLINK("https://rth.dk/resources/bsgatlas/details.php?id=BSGatlas-terminator-2524","BSGatlas-terminator-2524")</f>
        <v>BSGatlas-terminator-2524</v>
      </c>
      <c r="B2525" s="3">
        <v>4000485</v>
      </c>
      <c r="C2525" s="3">
        <v>4000534</v>
      </c>
      <c r="D2525" s="1" t="s">
        <v>13</v>
      </c>
      <c r="E2525" s="1">
        <v>-15.9</v>
      </c>
      <c r="F2525" s="1" t="s">
        <v>15158</v>
      </c>
    </row>
    <row r="2526" spans="1:6" ht="21" x14ac:dyDescent="0.25">
      <c r="A2526" s="2" t="str">
        <f>HYPERLINK("https://rth.dk/resources/bsgatlas/details.php?id=BSGatlas-terminator-2525","BSGatlas-terminator-2525")</f>
        <v>BSGatlas-terminator-2525</v>
      </c>
      <c r="B2526" s="3">
        <v>4000500</v>
      </c>
      <c r="C2526" s="3">
        <v>4000530</v>
      </c>
      <c r="D2526" s="1" t="s">
        <v>9</v>
      </c>
      <c r="E2526" s="1">
        <v>-17.100000000000001</v>
      </c>
      <c r="F2526" s="1" t="s">
        <v>4547</v>
      </c>
    </row>
    <row r="2527" spans="1:6" ht="21" x14ac:dyDescent="0.25">
      <c r="A2527" s="2" t="str">
        <f>HYPERLINK("https://rth.dk/resources/bsgatlas/details.php?id=BSGatlas-terminator-2526","BSGatlas-terminator-2526")</f>
        <v>BSGatlas-terminator-2526</v>
      </c>
      <c r="B2527" s="3">
        <v>4004243</v>
      </c>
      <c r="C2527" s="3">
        <v>4004279</v>
      </c>
      <c r="D2527" s="1" t="s">
        <v>13</v>
      </c>
      <c r="E2527" s="1">
        <v>-15.1</v>
      </c>
      <c r="F2527" s="1" t="s">
        <v>15158</v>
      </c>
    </row>
    <row r="2528" spans="1:6" ht="21" x14ac:dyDescent="0.25">
      <c r="A2528" s="2" t="str">
        <f>HYPERLINK("https://rth.dk/resources/bsgatlas/details.php?id=BSGatlas-terminator-2527","BSGatlas-terminator-2527")</f>
        <v>BSGatlas-terminator-2527</v>
      </c>
      <c r="B2528" s="3">
        <v>4006699</v>
      </c>
      <c r="C2528" s="3">
        <v>4006743</v>
      </c>
      <c r="D2528" s="1" t="s">
        <v>9</v>
      </c>
      <c r="E2528" s="1">
        <v>-16.600000000000001</v>
      </c>
      <c r="F2528" s="1" t="s">
        <v>15157</v>
      </c>
    </row>
    <row r="2529" spans="1:6" ht="21" x14ac:dyDescent="0.25">
      <c r="A2529" s="2" t="str">
        <f>HYPERLINK("https://rth.dk/resources/bsgatlas/details.php?id=BSGatlas-terminator-2528","BSGatlas-terminator-2528")</f>
        <v>BSGatlas-terminator-2528</v>
      </c>
      <c r="B2529" s="3">
        <v>4006936</v>
      </c>
      <c r="C2529" s="3">
        <v>4006992</v>
      </c>
      <c r="D2529" s="1" t="s">
        <v>13</v>
      </c>
      <c r="E2529" s="1">
        <v>-22.8</v>
      </c>
      <c r="F2529" s="1" t="s">
        <v>4684</v>
      </c>
    </row>
    <row r="2530" spans="1:6" ht="21" x14ac:dyDescent="0.25">
      <c r="A2530" s="2" t="str">
        <f>HYPERLINK("https://rth.dk/resources/bsgatlas/details.php?id=BSGatlas-terminator-2529","BSGatlas-terminator-2529")</f>
        <v>BSGatlas-terminator-2529</v>
      </c>
      <c r="B2530" s="3">
        <v>4006948</v>
      </c>
      <c r="C2530" s="3">
        <v>4006995</v>
      </c>
      <c r="D2530" s="1" t="s">
        <v>9</v>
      </c>
      <c r="E2530" s="1">
        <v>-20.100000000000001</v>
      </c>
      <c r="F2530" s="1" t="s">
        <v>15158</v>
      </c>
    </row>
    <row r="2531" spans="1:6" ht="21" x14ac:dyDescent="0.25">
      <c r="A2531" s="2" t="str">
        <f>HYPERLINK("https://rth.dk/resources/bsgatlas/details.php?id=BSGatlas-terminator-2530","BSGatlas-terminator-2530")</f>
        <v>BSGatlas-terminator-2530</v>
      </c>
      <c r="B2531" s="3">
        <v>4007733</v>
      </c>
      <c r="C2531" s="3">
        <v>4007777</v>
      </c>
      <c r="D2531" s="1" t="s">
        <v>9</v>
      </c>
      <c r="E2531" s="1">
        <v>-6.9</v>
      </c>
      <c r="F2531" s="1" t="s">
        <v>15157</v>
      </c>
    </row>
    <row r="2532" spans="1:6" ht="21" x14ac:dyDescent="0.25">
      <c r="A2532" s="2" t="str">
        <f>HYPERLINK("https://rth.dk/resources/bsgatlas/details.php?id=BSGatlas-terminator-2531","BSGatlas-terminator-2531")</f>
        <v>BSGatlas-terminator-2531</v>
      </c>
      <c r="B2532" s="3">
        <v>4007766</v>
      </c>
      <c r="C2532" s="3">
        <v>4007802</v>
      </c>
      <c r="D2532" s="1" t="s">
        <v>13</v>
      </c>
      <c r="E2532" s="1">
        <v>-9.4</v>
      </c>
      <c r="F2532" s="1" t="s">
        <v>15158</v>
      </c>
    </row>
    <row r="2533" spans="1:6" ht="21" x14ac:dyDescent="0.25">
      <c r="A2533" s="2" t="str">
        <f>HYPERLINK("https://rth.dk/resources/bsgatlas/details.php?id=BSGatlas-terminator-2532","BSGatlas-terminator-2532")</f>
        <v>BSGatlas-terminator-2532</v>
      </c>
      <c r="B2533" s="3">
        <v>4011759</v>
      </c>
      <c r="C2533" s="3">
        <v>4011803</v>
      </c>
      <c r="D2533" s="1" t="s">
        <v>9</v>
      </c>
      <c r="E2533" s="1">
        <v>-9</v>
      </c>
      <c r="F2533" s="1" t="s">
        <v>15162</v>
      </c>
    </row>
    <row r="2534" spans="1:6" ht="21" x14ac:dyDescent="0.25">
      <c r="A2534" s="2" t="str">
        <f>HYPERLINK("https://rth.dk/resources/bsgatlas/details.php?id=BSGatlas-terminator-2533","BSGatlas-terminator-2533")</f>
        <v>BSGatlas-terminator-2533</v>
      </c>
      <c r="B2534" s="3">
        <v>4011788</v>
      </c>
      <c r="C2534" s="3">
        <v>4011832</v>
      </c>
      <c r="D2534" s="1" t="s">
        <v>13</v>
      </c>
      <c r="E2534" s="1">
        <v>-19.3</v>
      </c>
      <c r="F2534" s="1" t="s">
        <v>4382</v>
      </c>
    </row>
    <row r="2535" spans="1:6" ht="21" x14ac:dyDescent="0.25">
      <c r="A2535" s="2" t="str">
        <f>HYPERLINK("https://rth.dk/resources/bsgatlas/details.php?id=BSGatlas-terminator-2534","BSGatlas-terminator-2534")</f>
        <v>BSGatlas-terminator-2534</v>
      </c>
      <c r="B2535" s="3">
        <v>4011837</v>
      </c>
      <c r="C2535" s="3">
        <v>4011881</v>
      </c>
      <c r="D2535" s="1" t="s">
        <v>13</v>
      </c>
      <c r="E2535" s="1">
        <v>-16.3</v>
      </c>
      <c r="F2535" s="1" t="s">
        <v>15157</v>
      </c>
    </row>
    <row r="2536" spans="1:6" ht="21" x14ac:dyDescent="0.25">
      <c r="A2536" s="2" t="str">
        <f>HYPERLINK("https://rth.dk/resources/bsgatlas/details.php?id=BSGatlas-terminator-2535","BSGatlas-terminator-2535")</f>
        <v>BSGatlas-terminator-2535</v>
      </c>
      <c r="B2536" s="3">
        <v>4012712</v>
      </c>
      <c r="C2536" s="3">
        <v>4012771</v>
      </c>
      <c r="D2536" s="1" t="s">
        <v>13</v>
      </c>
      <c r="E2536" s="1">
        <v>-16.3</v>
      </c>
      <c r="F2536" s="1" t="s">
        <v>15160</v>
      </c>
    </row>
    <row r="2537" spans="1:6" ht="21" x14ac:dyDescent="0.25">
      <c r="A2537" s="2" t="str">
        <f>HYPERLINK("https://rth.dk/resources/bsgatlas/details.php?id=BSGatlas-terminator-2536","BSGatlas-terminator-2536")</f>
        <v>BSGatlas-terminator-2536</v>
      </c>
      <c r="B2537" s="3">
        <v>4015917</v>
      </c>
      <c r="C2537" s="3">
        <v>4015961</v>
      </c>
      <c r="D2537" s="1" t="s">
        <v>9</v>
      </c>
      <c r="E2537" s="1">
        <v>-16.7</v>
      </c>
      <c r="F2537" s="1" t="s">
        <v>15157</v>
      </c>
    </row>
    <row r="2538" spans="1:6" ht="21" x14ac:dyDescent="0.25">
      <c r="A2538" s="2" t="str">
        <f>HYPERLINK("https://rth.dk/resources/bsgatlas/details.php?id=BSGatlas-terminator-2537","BSGatlas-terminator-2537")</f>
        <v>BSGatlas-terminator-2537</v>
      </c>
      <c r="B2538" s="3">
        <v>4015938</v>
      </c>
      <c r="C2538" s="3">
        <v>4015987</v>
      </c>
      <c r="D2538" s="1" t="s">
        <v>13</v>
      </c>
      <c r="E2538" s="1">
        <v>-22.1</v>
      </c>
      <c r="F2538" s="1" t="s">
        <v>4382</v>
      </c>
    </row>
    <row r="2539" spans="1:6" ht="21" x14ac:dyDescent="0.25">
      <c r="A2539" s="2" t="str">
        <f>HYPERLINK("https://rth.dk/resources/bsgatlas/details.php?id=BSGatlas-terminator-2538","BSGatlas-terminator-2538")</f>
        <v>BSGatlas-terminator-2538</v>
      </c>
      <c r="B2539" s="3">
        <v>4015988</v>
      </c>
      <c r="C2539" s="3">
        <v>4016032</v>
      </c>
      <c r="D2539" s="1" t="s">
        <v>13</v>
      </c>
      <c r="E2539" s="1">
        <v>-18.2</v>
      </c>
      <c r="F2539" s="1" t="s">
        <v>15157</v>
      </c>
    </row>
    <row r="2540" spans="1:6" ht="21" x14ac:dyDescent="0.25">
      <c r="A2540" s="2" t="str">
        <f>HYPERLINK("https://rth.dk/resources/bsgatlas/details.php?id=BSGatlas-terminator-2539","BSGatlas-terminator-2539")</f>
        <v>BSGatlas-terminator-2539</v>
      </c>
      <c r="B2540" s="3">
        <v>4016129</v>
      </c>
      <c r="C2540" s="3">
        <v>4016195</v>
      </c>
      <c r="D2540" s="1" t="s">
        <v>9</v>
      </c>
      <c r="E2540" s="1">
        <v>-10.6</v>
      </c>
      <c r="F2540" s="1" t="s">
        <v>4382</v>
      </c>
    </row>
    <row r="2541" spans="1:6" ht="21" x14ac:dyDescent="0.25">
      <c r="A2541" s="2" t="str">
        <f>HYPERLINK("https://rth.dk/resources/bsgatlas/details.php?id=BSGatlas-terminator-2540","BSGatlas-terminator-2540")</f>
        <v>BSGatlas-terminator-2540</v>
      </c>
      <c r="B2541" s="3">
        <v>4022814</v>
      </c>
      <c r="C2541" s="3">
        <v>4022858</v>
      </c>
      <c r="D2541" s="1" t="s">
        <v>13</v>
      </c>
      <c r="E2541" s="1">
        <v>-17</v>
      </c>
      <c r="F2541" s="1" t="s">
        <v>4382</v>
      </c>
    </row>
    <row r="2542" spans="1:6" ht="21" x14ac:dyDescent="0.25">
      <c r="A2542" s="2" t="str">
        <f>HYPERLINK("https://rth.dk/resources/bsgatlas/details.php?id=BSGatlas-terminator-2541","BSGatlas-terminator-2541")</f>
        <v>BSGatlas-terminator-2541</v>
      </c>
      <c r="B2542" s="3">
        <v>4030669</v>
      </c>
      <c r="C2542" s="3">
        <v>4030703</v>
      </c>
      <c r="D2542" s="1" t="s">
        <v>13</v>
      </c>
      <c r="E2542" s="1">
        <v>-10</v>
      </c>
      <c r="F2542" s="1" t="s">
        <v>4382</v>
      </c>
    </row>
    <row r="2543" spans="1:6" ht="21" x14ac:dyDescent="0.25">
      <c r="A2543" s="2" t="str">
        <f>HYPERLINK("https://rth.dk/resources/bsgatlas/details.php?id=BSGatlas-terminator-2542","BSGatlas-terminator-2542")</f>
        <v>BSGatlas-terminator-2542</v>
      </c>
      <c r="B2543" s="3">
        <v>4030909</v>
      </c>
      <c r="C2543" s="3">
        <v>4030953</v>
      </c>
      <c r="D2543" s="1" t="s">
        <v>13</v>
      </c>
      <c r="E2543" s="1">
        <v>-5.9</v>
      </c>
      <c r="F2543" s="1" t="s">
        <v>15157</v>
      </c>
    </row>
    <row r="2544" spans="1:6" ht="21" x14ac:dyDescent="0.25">
      <c r="A2544" s="2" t="str">
        <f>HYPERLINK("https://rth.dk/resources/bsgatlas/details.php?id=BSGatlas-terminator-2543","BSGatlas-terminator-2543")</f>
        <v>BSGatlas-terminator-2543</v>
      </c>
      <c r="B2544" s="3">
        <v>4031755</v>
      </c>
      <c r="C2544" s="3">
        <v>4031788</v>
      </c>
      <c r="D2544" s="1" t="s">
        <v>13</v>
      </c>
      <c r="E2544" s="1">
        <v>-11.9</v>
      </c>
      <c r="F2544" s="1" t="s">
        <v>4382</v>
      </c>
    </row>
    <row r="2545" spans="1:6" ht="21" x14ac:dyDescent="0.25">
      <c r="A2545" s="2" t="str">
        <f>HYPERLINK("https://rth.dk/resources/bsgatlas/details.php?id=BSGatlas-terminator-2544","BSGatlas-terminator-2544")</f>
        <v>BSGatlas-terminator-2544</v>
      </c>
      <c r="B2545" s="3">
        <v>4031789</v>
      </c>
      <c r="C2545" s="3">
        <v>4031833</v>
      </c>
      <c r="D2545" s="1" t="s">
        <v>13</v>
      </c>
      <c r="E2545" s="1">
        <v>-8.4</v>
      </c>
      <c r="F2545" s="1" t="s">
        <v>15157</v>
      </c>
    </row>
    <row r="2546" spans="1:6" ht="21" x14ac:dyDescent="0.25">
      <c r="A2546" s="2" t="str">
        <f>HYPERLINK("https://rth.dk/resources/bsgatlas/details.php?id=BSGatlas-terminator-2545","BSGatlas-terminator-2545")</f>
        <v>BSGatlas-terminator-2545</v>
      </c>
      <c r="B2546" s="3">
        <v>4035706</v>
      </c>
      <c r="C2546" s="3">
        <v>4035765</v>
      </c>
      <c r="D2546" s="1" t="s">
        <v>13</v>
      </c>
      <c r="E2546" s="1">
        <v>-20.6</v>
      </c>
      <c r="F2546" s="1" t="s">
        <v>4382</v>
      </c>
    </row>
    <row r="2547" spans="1:6" ht="21" x14ac:dyDescent="0.25">
      <c r="A2547" s="2" t="str">
        <f>HYPERLINK("https://rth.dk/resources/bsgatlas/details.php?id=BSGatlas-terminator-2546","BSGatlas-terminator-2546")</f>
        <v>BSGatlas-terminator-2546</v>
      </c>
      <c r="B2547" s="3">
        <v>4035937</v>
      </c>
      <c r="C2547" s="3">
        <v>4035984</v>
      </c>
      <c r="D2547" s="1" t="s">
        <v>13</v>
      </c>
      <c r="E2547" s="1">
        <v>-12.3</v>
      </c>
      <c r="F2547" s="1" t="s">
        <v>4382</v>
      </c>
    </row>
    <row r="2548" spans="1:6" ht="21" x14ac:dyDescent="0.25">
      <c r="A2548" s="2" t="str">
        <f>HYPERLINK("https://rth.dk/resources/bsgatlas/details.php?id=BSGatlas-terminator-2547","BSGatlas-terminator-2547")</f>
        <v>BSGatlas-terminator-2547</v>
      </c>
      <c r="B2548" s="3">
        <v>4035991</v>
      </c>
      <c r="C2548" s="3">
        <v>4036035</v>
      </c>
      <c r="D2548" s="1" t="s">
        <v>13</v>
      </c>
      <c r="E2548" s="1">
        <v>-21.3</v>
      </c>
      <c r="F2548" s="1" t="s">
        <v>15157</v>
      </c>
    </row>
    <row r="2549" spans="1:6" ht="21" x14ac:dyDescent="0.25">
      <c r="A2549" s="2" t="str">
        <f>HYPERLINK("https://rth.dk/resources/bsgatlas/details.php?id=BSGatlas-terminator-2548","BSGatlas-terminator-2548")</f>
        <v>BSGatlas-terminator-2548</v>
      </c>
      <c r="B2549" s="3">
        <v>4039423</v>
      </c>
      <c r="C2549" s="3">
        <v>4039459</v>
      </c>
      <c r="D2549" s="1" t="s">
        <v>13</v>
      </c>
      <c r="E2549" s="1">
        <v>-10</v>
      </c>
      <c r="F2549" s="1" t="s">
        <v>4382</v>
      </c>
    </row>
    <row r="2550" spans="1:6" ht="21" x14ac:dyDescent="0.25">
      <c r="A2550" s="2" t="str">
        <f>HYPERLINK("https://rth.dk/resources/bsgatlas/details.php?id=BSGatlas-terminator-2549","BSGatlas-terminator-2549")</f>
        <v>BSGatlas-terminator-2549</v>
      </c>
      <c r="B2550" s="3">
        <v>4039467</v>
      </c>
      <c r="C2550" s="3">
        <v>4039511</v>
      </c>
      <c r="D2550" s="1" t="s">
        <v>13</v>
      </c>
      <c r="E2550" s="1">
        <v>-7.9</v>
      </c>
      <c r="F2550" s="1" t="s">
        <v>15157</v>
      </c>
    </row>
    <row r="2551" spans="1:6" ht="21" x14ac:dyDescent="0.25">
      <c r="A2551" s="2" t="str">
        <f>HYPERLINK("https://rth.dk/resources/bsgatlas/details.php?id=BSGatlas-terminator-2550","BSGatlas-terminator-2550")</f>
        <v>BSGatlas-terminator-2550</v>
      </c>
      <c r="B2551" s="3">
        <v>4041960</v>
      </c>
      <c r="C2551" s="3">
        <v>4042018</v>
      </c>
      <c r="D2551" s="1" t="s">
        <v>9</v>
      </c>
      <c r="E2551" s="1">
        <v>-25.3</v>
      </c>
      <c r="F2551" s="1" t="s">
        <v>15158</v>
      </c>
    </row>
    <row r="2552" spans="1:6" ht="21" x14ac:dyDescent="0.25">
      <c r="A2552" s="2" t="str">
        <f>HYPERLINK("https://rth.dk/resources/bsgatlas/details.php?id=BSGatlas-terminator-2551","BSGatlas-terminator-2551")</f>
        <v>BSGatlas-terminator-2551</v>
      </c>
      <c r="B2552" s="3">
        <v>4048959</v>
      </c>
      <c r="C2552" s="3">
        <v>4049005</v>
      </c>
      <c r="D2552" s="1" t="s">
        <v>13</v>
      </c>
      <c r="E2552" s="1">
        <v>-17.2</v>
      </c>
      <c r="F2552" s="1" t="s">
        <v>15158</v>
      </c>
    </row>
    <row r="2553" spans="1:6" ht="21" x14ac:dyDescent="0.25">
      <c r="A2553" s="2" t="str">
        <f>HYPERLINK("https://rth.dk/resources/bsgatlas/details.php?id=BSGatlas-terminator-2552","BSGatlas-terminator-2552")</f>
        <v>BSGatlas-terminator-2552</v>
      </c>
      <c r="B2553" s="3">
        <v>4048969</v>
      </c>
      <c r="C2553" s="3">
        <v>4049015</v>
      </c>
      <c r="D2553" s="1" t="s">
        <v>9</v>
      </c>
      <c r="E2553" s="1">
        <v>-13.7</v>
      </c>
      <c r="F2553" s="1" t="s">
        <v>15158</v>
      </c>
    </row>
    <row r="2554" spans="1:6" ht="21" x14ac:dyDescent="0.25">
      <c r="A2554" s="2" t="str">
        <f>HYPERLINK("https://rth.dk/resources/bsgatlas/details.php?id=BSGatlas-terminator-2553","BSGatlas-terminator-2553")</f>
        <v>BSGatlas-terminator-2553</v>
      </c>
      <c r="B2554" s="3">
        <v>4051559</v>
      </c>
      <c r="C2554" s="3">
        <v>4051599</v>
      </c>
      <c r="D2554" s="1" t="s">
        <v>13</v>
      </c>
      <c r="E2554" s="1">
        <v>-14.9</v>
      </c>
      <c r="F2554" s="1" t="s">
        <v>4382</v>
      </c>
    </row>
    <row r="2555" spans="1:6" ht="21" x14ac:dyDescent="0.25">
      <c r="A2555" s="2" t="str">
        <f>HYPERLINK("https://rth.dk/resources/bsgatlas/details.php?id=BSGatlas-terminator-2554","BSGatlas-terminator-2554")</f>
        <v>BSGatlas-terminator-2554</v>
      </c>
      <c r="B2555" s="3">
        <v>4054231</v>
      </c>
      <c r="C2555" s="3">
        <v>4054275</v>
      </c>
      <c r="D2555" s="1" t="s">
        <v>13</v>
      </c>
      <c r="E2555" s="1">
        <v>-16</v>
      </c>
      <c r="F2555" s="1" t="s">
        <v>15157</v>
      </c>
    </row>
    <row r="2556" spans="1:6" ht="21" x14ac:dyDescent="0.25">
      <c r="A2556" s="2" t="str">
        <f>HYPERLINK("https://rth.dk/resources/bsgatlas/details.php?id=BSGatlas-terminator-2555","BSGatlas-terminator-2555")</f>
        <v>BSGatlas-terminator-2555</v>
      </c>
      <c r="B2556" s="3">
        <v>4062525</v>
      </c>
      <c r="C2556" s="3">
        <v>4062569</v>
      </c>
      <c r="D2556" s="1" t="s">
        <v>13</v>
      </c>
      <c r="E2556" s="1">
        <v>-17.899999999999999</v>
      </c>
      <c r="F2556" s="1" t="s">
        <v>15157</v>
      </c>
    </row>
    <row r="2557" spans="1:6" ht="21" x14ac:dyDescent="0.25">
      <c r="A2557" s="2" t="str">
        <f>HYPERLINK("https://rth.dk/resources/bsgatlas/details.php?id=BSGatlas-terminator-2556","BSGatlas-terminator-2556")</f>
        <v>BSGatlas-terminator-2556</v>
      </c>
      <c r="B2557" s="3">
        <v>4063654</v>
      </c>
      <c r="C2557" s="3">
        <v>4063677</v>
      </c>
      <c r="D2557" s="1" t="s">
        <v>13</v>
      </c>
      <c r="E2557" s="1">
        <v>-17.7</v>
      </c>
      <c r="F2557" s="1" t="s">
        <v>4547</v>
      </c>
    </row>
    <row r="2558" spans="1:6" ht="21" x14ac:dyDescent="0.25">
      <c r="A2558" s="2" t="str">
        <f>HYPERLINK("https://rth.dk/resources/bsgatlas/details.php?id=BSGatlas-terminator-2557","BSGatlas-terminator-2557")</f>
        <v>BSGatlas-terminator-2557</v>
      </c>
      <c r="B2558" s="3">
        <v>4065954</v>
      </c>
      <c r="C2558" s="3">
        <v>4065998</v>
      </c>
      <c r="D2558" s="1" t="s">
        <v>9</v>
      </c>
      <c r="E2558" s="1">
        <v>-12.2</v>
      </c>
      <c r="F2558" s="1" t="s">
        <v>15157</v>
      </c>
    </row>
    <row r="2559" spans="1:6" ht="21" x14ac:dyDescent="0.25">
      <c r="A2559" s="2" t="str">
        <f>HYPERLINK("https://rth.dk/resources/bsgatlas/details.php?id=BSGatlas-terminator-2558","BSGatlas-terminator-2558")</f>
        <v>BSGatlas-terminator-2558</v>
      </c>
      <c r="B2559" s="3">
        <v>4066124</v>
      </c>
      <c r="C2559" s="3">
        <v>4066159</v>
      </c>
      <c r="D2559" s="1" t="s">
        <v>9</v>
      </c>
      <c r="E2559" s="1">
        <v>-4.3</v>
      </c>
      <c r="F2559" s="1" t="s">
        <v>4382</v>
      </c>
    </row>
    <row r="2560" spans="1:6" ht="21" x14ac:dyDescent="0.25">
      <c r="A2560" s="2" t="str">
        <f>HYPERLINK("https://rth.dk/resources/bsgatlas/details.php?id=BSGatlas-terminator-2559","BSGatlas-terminator-2559")</f>
        <v>BSGatlas-terminator-2559</v>
      </c>
      <c r="B2560" s="3">
        <v>4066574</v>
      </c>
      <c r="C2560" s="3">
        <v>4066598</v>
      </c>
      <c r="D2560" s="1" t="s">
        <v>9</v>
      </c>
      <c r="E2560" s="1">
        <v>-13</v>
      </c>
      <c r="F2560" s="1" t="s">
        <v>15161</v>
      </c>
    </row>
    <row r="2561" spans="1:6" ht="21" x14ac:dyDescent="0.25">
      <c r="A2561" s="2" t="str">
        <f>HYPERLINK("https://rth.dk/resources/bsgatlas/details.php?id=BSGatlas-terminator-2560","BSGatlas-terminator-2560")</f>
        <v>BSGatlas-terminator-2560</v>
      </c>
      <c r="B2561" s="3">
        <v>4066574</v>
      </c>
      <c r="C2561" s="3">
        <v>4066598</v>
      </c>
      <c r="D2561" s="1" t="s">
        <v>13</v>
      </c>
      <c r="E2561" s="1">
        <v>-13.5</v>
      </c>
      <c r="F2561" s="1" t="s">
        <v>15161</v>
      </c>
    </row>
    <row r="2562" spans="1:6" ht="21" x14ac:dyDescent="0.25">
      <c r="A2562" s="2" t="str">
        <f>HYPERLINK("https://rth.dk/resources/bsgatlas/details.php?id=BSGatlas-terminator-2561","BSGatlas-terminator-2561")</f>
        <v>BSGatlas-terminator-2561</v>
      </c>
      <c r="B2562" s="3">
        <v>4068033</v>
      </c>
      <c r="C2562" s="3">
        <v>4068077</v>
      </c>
      <c r="D2562" s="1" t="s">
        <v>9</v>
      </c>
      <c r="E2562" s="1">
        <v>-13.4</v>
      </c>
      <c r="F2562" s="1" t="s">
        <v>15157</v>
      </c>
    </row>
    <row r="2563" spans="1:6" ht="21" x14ac:dyDescent="0.25">
      <c r="A2563" s="2" t="str">
        <f>HYPERLINK("https://rth.dk/resources/bsgatlas/details.php?id=BSGatlas-terminator-2562","BSGatlas-terminator-2562")</f>
        <v>BSGatlas-terminator-2562</v>
      </c>
      <c r="B2563" s="3">
        <v>4068104</v>
      </c>
      <c r="C2563" s="3">
        <v>4068148</v>
      </c>
      <c r="D2563" s="1" t="s">
        <v>9</v>
      </c>
      <c r="E2563" s="1">
        <v>-13.4</v>
      </c>
      <c r="F2563" s="1" t="s">
        <v>15157</v>
      </c>
    </row>
    <row r="2564" spans="1:6" ht="21" x14ac:dyDescent="0.25">
      <c r="A2564" s="2" t="str">
        <f>HYPERLINK("https://rth.dk/resources/bsgatlas/details.php?id=BSGatlas-terminator-2563","BSGatlas-terminator-2563")</f>
        <v>BSGatlas-terminator-2563</v>
      </c>
      <c r="B2564" s="3">
        <v>4068149</v>
      </c>
      <c r="C2564" s="3">
        <v>4068192</v>
      </c>
      <c r="D2564" s="1" t="s">
        <v>9</v>
      </c>
      <c r="E2564" s="1">
        <v>-17.399999999999999</v>
      </c>
      <c r="F2564" s="1" t="s">
        <v>4382</v>
      </c>
    </row>
    <row r="2565" spans="1:6" ht="21" x14ac:dyDescent="0.25">
      <c r="A2565" s="2" t="str">
        <f>HYPERLINK("https://rth.dk/resources/bsgatlas/details.php?id=BSGatlas-terminator-2564","BSGatlas-terminator-2564")</f>
        <v>BSGatlas-terminator-2564</v>
      </c>
      <c r="B2565" s="3">
        <v>4068180</v>
      </c>
      <c r="C2565" s="3">
        <v>4068224</v>
      </c>
      <c r="D2565" s="1" t="s">
        <v>13</v>
      </c>
      <c r="E2565" s="1">
        <v>-11.6</v>
      </c>
      <c r="F2565" s="1" t="s">
        <v>15157</v>
      </c>
    </row>
    <row r="2566" spans="1:6" ht="21" x14ac:dyDescent="0.25">
      <c r="A2566" s="2" t="str">
        <f>HYPERLINK("https://rth.dk/resources/bsgatlas/details.php?id=BSGatlas-terminator-2565","BSGatlas-terminator-2565")</f>
        <v>BSGatlas-terminator-2565</v>
      </c>
      <c r="B2566" s="3">
        <v>4068934</v>
      </c>
      <c r="C2566" s="3">
        <v>4069000</v>
      </c>
      <c r="D2566" s="1" t="s">
        <v>9</v>
      </c>
      <c r="E2566" s="1"/>
      <c r="F2566" s="1" t="s">
        <v>15159</v>
      </c>
    </row>
    <row r="2567" spans="1:6" ht="21" x14ac:dyDescent="0.25">
      <c r="A2567" s="2" t="str">
        <f>HYPERLINK("https://rth.dk/resources/bsgatlas/details.php?id=BSGatlas-terminator-2566","BSGatlas-terminator-2566")</f>
        <v>BSGatlas-terminator-2566</v>
      </c>
      <c r="B2567" s="3">
        <v>4071227</v>
      </c>
      <c r="C2567" s="3">
        <v>4071279</v>
      </c>
      <c r="D2567" s="1" t="s">
        <v>13</v>
      </c>
      <c r="E2567" s="1">
        <v>-18.399999999999999</v>
      </c>
      <c r="F2567" s="1" t="s">
        <v>4382</v>
      </c>
    </row>
    <row r="2568" spans="1:6" ht="21" x14ac:dyDescent="0.25">
      <c r="A2568" s="2" t="str">
        <f>HYPERLINK("https://rth.dk/resources/bsgatlas/details.php?id=BSGatlas-terminator-2567","BSGatlas-terminator-2567")</f>
        <v>BSGatlas-terminator-2567</v>
      </c>
      <c r="B2568" s="3">
        <v>4073054</v>
      </c>
      <c r="C2568" s="3">
        <v>4073067</v>
      </c>
      <c r="D2568" s="1" t="s">
        <v>13</v>
      </c>
      <c r="E2568" s="1">
        <v>-8.1999999999999993</v>
      </c>
      <c r="F2568" s="1" t="s">
        <v>15161</v>
      </c>
    </row>
    <row r="2569" spans="1:6" ht="21" x14ac:dyDescent="0.25">
      <c r="A2569" s="2" t="str">
        <f>HYPERLINK("https://rth.dk/resources/bsgatlas/details.php?id=BSGatlas-terminator-2568","BSGatlas-terminator-2568")</f>
        <v>BSGatlas-terminator-2568</v>
      </c>
      <c r="B2569" s="3">
        <v>4086544</v>
      </c>
      <c r="C2569" s="3">
        <v>4086588</v>
      </c>
      <c r="D2569" s="1" t="s">
        <v>9</v>
      </c>
      <c r="E2569" s="1">
        <v>-21.5</v>
      </c>
      <c r="F2569" s="1" t="s">
        <v>15158</v>
      </c>
    </row>
    <row r="2570" spans="1:6" ht="21" x14ac:dyDescent="0.25">
      <c r="A2570" s="2" t="str">
        <f>HYPERLINK("https://rth.dk/resources/bsgatlas/details.php?id=BSGatlas-terminator-2569","BSGatlas-terminator-2569")</f>
        <v>BSGatlas-terminator-2569</v>
      </c>
      <c r="B2570" s="3">
        <v>4087776</v>
      </c>
      <c r="C2570" s="3">
        <v>4087816</v>
      </c>
      <c r="D2570" s="1" t="s">
        <v>9</v>
      </c>
      <c r="E2570" s="1">
        <v>-11.5</v>
      </c>
      <c r="F2570" s="1" t="s">
        <v>15158</v>
      </c>
    </row>
    <row r="2571" spans="1:6" ht="21" x14ac:dyDescent="0.25">
      <c r="A2571" s="2" t="str">
        <f>HYPERLINK("https://rth.dk/resources/bsgatlas/details.php?id=BSGatlas-terminator-2570","BSGatlas-terminator-2570")</f>
        <v>BSGatlas-terminator-2570</v>
      </c>
      <c r="B2571" s="3">
        <v>4089378</v>
      </c>
      <c r="C2571" s="3">
        <v>4089424</v>
      </c>
      <c r="D2571" s="1" t="s">
        <v>13</v>
      </c>
      <c r="E2571" s="1">
        <v>-21.4</v>
      </c>
      <c r="F2571" s="1" t="s">
        <v>15158</v>
      </c>
    </row>
    <row r="2572" spans="1:6" ht="21" x14ac:dyDescent="0.25">
      <c r="A2572" s="2" t="str">
        <f>HYPERLINK("https://rth.dk/resources/bsgatlas/details.php?id=BSGatlas-terminator-2571","BSGatlas-terminator-2571")</f>
        <v>BSGatlas-terminator-2571</v>
      </c>
      <c r="B2572" s="3">
        <v>4089388</v>
      </c>
      <c r="C2572" s="3">
        <v>4089434</v>
      </c>
      <c r="D2572" s="1" t="s">
        <v>9</v>
      </c>
      <c r="E2572" s="1">
        <v>-20</v>
      </c>
      <c r="F2572" s="1" t="s">
        <v>15158</v>
      </c>
    </row>
    <row r="2573" spans="1:6" ht="21" x14ac:dyDescent="0.25">
      <c r="A2573" s="2" t="str">
        <f>HYPERLINK("https://rth.dk/resources/bsgatlas/details.php?id=BSGatlas-terminator-2572","BSGatlas-terminator-2572")</f>
        <v>BSGatlas-terminator-2572</v>
      </c>
      <c r="B2573" s="3">
        <v>4089935</v>
      </c>
      <c r="C2573" s="3">
        <v>4090001</v>
      </c>
      <c r="D2573" s="1" t="s">
        <v>9</v>
      </c>
      <c r="E2573" s="1"/>
      <c r="F2573" s="1" t="s">
        <v>15159</v>
      </c>
    </row>
    <row r="2574" spans="1:6" ht="21" x14ac:dyDescent="0.25">
      <c r="A2574" s="2" t="str">
        <f>HYPERLINK("https://rth.dk/resources/bsgatlas/details.php?id=BSGatlas-terminator-2573","BSGatlas-terminator-2573")</f>
        <v>BSGatlas-terminator-2573</v>
      </c>
      <c r="B2574" s="3">
        <v>4091473</v>
      </c>
      <c r="C2574" s="3">
        <v>4091517</v>
      </c>
      <c r="D2574" s="1" t="s">
        <v>13</v>
      </c>
      <c r="E2574" s="1">
        <v>-6.7</v>
      </c>
      <c r="F2574" s="1" t="s">
        <v>15157</v>
      </c>
    </row>
    <row r="2575" spans="1:6" ht="21" x14ac:dyDescent="0.25">
      <c r="A2575" s="2" t="str">
        <f>HYPERLINK("https://rth.dk/resources/bsgatlas/details.php?id=BSGatlas-terminator-2574","BSGatlas-terminator-2574")</f>
        <v>BSGatlas-terminator-2574</v>
      </c>
      <c r="B2575" s="3">
        <v>4092649</v>
      </c>
      <c r="C2575" s="3">
        <v>4092691</v>
      </c>
      <c r="D2575" s="1" t="s">
        <v>13</v>
      </c>
      <c r="E2575" s="1">
        <v>-17</v>
      </c>
      <c r="F2575" s="1" t="s">
        <v>15158</v>
      </c>
    </row>
    <row r="2576" spans="1:6" ht="21" x14ac:dyDescent="0.25">
      <c r="A2576" s="2" t="str">
        <f>HYPERLINK("https://rth.dk/resources/bsgatlas/details.php?id=BSGatlas-terminator-2575","BSGatlas-terminator-2575")</f>
        <v>BSGatlas-terminator-2575</v>
      </c>
      <c r="B2576" s="3">
        <v>4092662</v>
      </c>
      <c r="C2576" s="3">
        <v>4092699</v>
      </c>
      <c r="D2576" s="1" t="s">
        <v>9</v>
      </c>
      <c r="E2576" s="1">
        <v>-13</v>
      </c>
      <c r="F2576" s="1" t="s">
        <v>15158</v>
      </c>
    </row>
    <row r="2577" spans="1:6" ht="21" x14ac:dyDescent="0.25">
      <c r="A2577" s="2" t="str">
        <f>HYPERLINK("https://rth.dk/resources/bsgatlas/details.php?id=BSGatlas-terminator-2576","BSGatlas-terminator-2576")</f>
        <v>BSGatlas-terminator-2576</v>
      </c>
      <c r="B2577" s="3">
        <v>4094689</v>
      </c>
      <c r="C2577" s="3">
        <v>4094755</v>
      </c>
      <c r="D2577" s="1" t="s">
        <v>13</v>
      </c>
      <c r="E2577" s="1"/>
      <c r="F2577" s="1" t="s">
        <v>15159</v>
      </c>
    </row>
    <row r="2578" spans="1:6" ht="21" x14ac:dyDescent="0.25">
      <c r="A2578" s="2" t="str">
        <f>HYPERLINK("https://rth.dk/resources/bsgatlas/details.php?id=BSGatlas-terminator-2577","BSGatlas-terminator-2577")</f>
        <v>BSGatlas-terminator-2577</v>
      </c>
      <c r="B2578" s="3">
        <v>4095317</v>
      </c>
      <c r="C2578" s="3">
        <v>4095358</v>
      </c>
      <c r="D2578" s="1" t="s">
        <v>13</v>
      </c>
      <c r="E2578" s="1">
        <v>-15.5</v>
      </c>
      <c r="F2578" s="1" t="s">
        <v>15158</v>
      </c>
    </row>
    <row r="2579" spans="1:6" ht="21" x14ac:dyDescent="0.25">
      <c r="A2579" s="2" t="str">
        <f>HYPERLINK("https://rth.dk/resources/bsgatlas/details.php?id=BSGatlas-terminator-2578","BSGatlas-terminator-2578")</f>
        <v>BSGatlas-terminator-2578</v>
      </c>
      <c r="B2579" s="3">
        <v>4095327</v>
      </c>
      <c r="C2579" s="3">
        <v>4095368</v>
      </c>
      <c r="D2579" s="1" t="s">
        <v>9</v>
      </c>
      <c r="E2579" s="1">
        <v>-15.5</v>
      </c>
      <c r="F2579" s="1" t="s">
        <v>4382</v>
      </c>
    </row>
    <row r="2580" spans="1:6" ht="21" x14ac:dyDescent="0.25">
      <c r="A2580" s="2" t="str">
        <f>HYPERLINK("https://rth.dk/resources/bsgatlas/details.php?id=BSGatlas-terminator-2579","BSGatlas-terminator-2579")</f>
        <v>BSGatlas-terminator-2579</v>
      </c>
      <c r="B2580" s="3">
        <v>4095917</v>
      </c>
      <c r="C2580" s="3">
        <v>4095961</v>
      </c>
      <c r="D2580" s="1" t="s">
        <v>13</v>
      </c>
      <c r="E2580" s="1">
        <v>-10.9</v>
      </c>
      <c r="F2580" s="1" t="s">
        <v>15157</v>
      </c>
    </row>
    <row r="2581" spans="1:6" ht="21" x14ac:dyDescent="0.25">
      <c r="A2581" s="2" t="str">
        <f>HYPERLINK("https://rth.dk/resources/bsgatlas/details.php?id=BSGatlas-terminator-2580","BSGatlas-terminator-2580")</f>
        <v>BSGatlas-terminator-2580</v>
      </c>
      <c r="B2581" s="3">
        <v>4096875</v>
      </c>
      <c r="C2581" s="3">
        <v>4096919</v>
      </c>
      <c r="D2581" s="1" t="s">
        <v>9</v>
      </c>
      <c r="E2581" s="1">
        <v>-12.4</v>
      </c>
      <c r="F2581" s="1" t="s">
        <v>15157</v>
      </c>
    </row>
    <row r="2582" spans="1:6" ht="21" x14ac:dyDescent="0.25">
      <c r="A2582" s="2" t="str">
        <f>HYPERLINK("https://rth.dk/resources/bsgatlas/details.php?id=BSGatlas-terminator-2581","BSGatlas-terminator-2581")</f>
        <v>BSGatlas-terminator-2581</v>
      </c>
      <c r="B2582" s="3">
        <v>4097359</v>
      </c>
      <c r="C2582" s="3">
        <v>4097403</v>
      </c>
      <c r="D2582" s="1" t="s">
        <v>9</v>
      </c>
      <c r="E2582" s="1">
        <v>-12.4</v>
      </c>
      <c r="F2582" s="1" t="s">
        <v>15157</v>
      </c>
    </row>
    <row r="2583" spans="1:6" ht="21" x14ac:dyDescent="0.25">
      <c r="A2583" s="2" t="str">
        <f>HYPERLINK("https://rth.dk/resources/bsgatlas/details.php?id=BSGatlas-terminator-2582","BSGatlas-terminator-2582")</f>
        <v>BSGatlas-terminator-2582</v>
      </c>
      <c r="B2583" s="3">
        <v>4102375</v>
      </c>
      <c r="C2583" s="3">
        <v>4102433</v>
      </c>
      <c r="D2583" s="1" t="s">
        <v>9</v>
      </c>
      <c r="E2583" s="1">
        <v>-24.4</v>
      </c>
      <c r="F2583" s="1" t="s">
        <v>15158</v>
      </c>
    </row>
    <row r="2584" spans="1:6" ht="21" x14ac:dyDescent="0.25">
      <c r="A2584" s="2" t="str">
        <f>HYPERLINK("https://rth.dk/resources/bsgatlas/details.php?id=BSGatlas-terminator-2583","BSGatlas-terminator-2583")</f>
        <v>BSGatlas-terminator-2583</v>
      </c>
      <c r="B2584" s="3">
        <v>4102407</v>
      </c>
      <c r="C2584" s="3">
        <v>4102451</v>
      </c>
      <c r="D2584" s="1" t="s">
        <v>13</v>
      </c>
      <c r="E2584" s="1">
        <v>-16.899999999999999</v>
      </c>
      <c r="F2584" s="1" t="s">
        <v>15157</v>
      </c>
    </row>
    <row r="2585" spans="1:6" ht="21" x14ac:dyDescent="0.25">
      <c r="A2585" s="2" t="str">
        <f>HYPERLINK("https://rth.dk/resources/bsgatlas/details.php?id=BSGatlas-terminator-2584","BSGatlas-terminator-2584")</f>
        <v>BSGatlas-terminator-2584</v>
      </c>
      <c r="B2585" s="3">
        <v>4104815</v>
      </c>
      <c r="C2585" s="3">
        <v>4104859</v>
      </c>
      <c r="D2585" s="1" t="s">
        <v>9</v>
      </c>
      <c r="E2585" s="1">
        <v>-13.4</v>
      </c>
      <c r="F2585" s="1" t="s">
        <v>15157</v>
      </c>
    </row>
    <row r="2586" spans="1:6" ht="21" x14ac:dyDescent="0.25">
      <c r="A2586" s="2" t="str">
        <f>HYPERLINK("https://rth.dk/resources/bsgatlas/details.php?id=BSGatlas-terminator-2585","BSGatlas-terminator-2585")</f>
        <v>BSGatlas-terminator-2585</v>
      </c>
      <c r="B2586" s="3">
        <v>4104894</v>
      </c>
      <c r="C2586" s="3">
        <v>4104939</v>
      </c>
      <c r="D2586" s="1" t="s">
        <v>13</v>
      </c>
      <c r="E2586" s="1">
        <v>-19.5</v>
      </c>
      <c r="F2586" s="1" t="s">
        <v>15158</v>
      </c>
    </row>
    <row r="2587" spans="1:6" ht="21" x14ac:dyDescent="0.25">
      <c r="A2587" s="2" t="str">
        <f>HYPERLINK("https://rth.dk/resources/bsgatlas/details.php?id=BSGatlas-terminator-2586","BSGatlas-terminator-2586")</f>
        <v>BSGatlas-terminator-2586</v>
      </c>
      <c r="B2587" s="3">
        <v>4104904</v>
      </c>
      <c r="C2587" s="3">
        <v>4104949</v>
      </c>
      <c r="D2587" s="1" t="s">
        <v>9</v>
      </c>
      <c r="E2587" s="1">
        <v>-16.7</v>
      </c>
      <c r="F2587" s="1" t="s">
        <v>4382</v>
      </c>
    </row>
    <row r="2588" spans="1:6" ht="21" x14ac:dyDescent="0.25">
      <c r="A2588" s="2" t="str">
        <f>HYPERLINK("https://rth.dk/resources/bsgatlas/details.php?id=BSGatlas-terminator-2587","BSGatlas-terminator-2587")</f>
        <v>BSGatlas-terminator-2587</v>
      </c>
      <c r="B2588" s="3">
        <v>4105480</v>
      </c>
      <c r="C2588" s="3">
        <v>4105546</v>
      </c>
      <c r="D2588" s="1" t="s">
        <v>9</v>
      </c>
      <c r="E2588" s="1"/>
      <c r="F2588" s="1" t="s">
        <v>15159</v>
      </c>
    </row>
    <row r="2589" spans="1:6" ht="21" x14ac:dyDescent="0.25">
      <c r="A2589" s="2" t="str">
        <f>HYPERLINK("https://rth.dk/resources/bsgatlas/details.php?id=BSGatlas-terminator-2588","BSGatlas-terminator-2588")</f>
        <v>BSGatlas-terminator-2588</v>
      </c>
      <c r="B2589" s="3">
        <v>4107354</v>
      </c>
      <c r="C2589" s="3">
        <v>4107398</v>
      </c>
      <c r="D2589" s="1" t="s">
        <v>13</v>
      </c>
      <c r="E2589" s="1">
        <v>-8.8000000000000007</v>
      </c>
      <c r="F2589" s="1" t="s">
        <v>15157</v>
      </c>
    </row>
    <row r="2590" spans="1:6" ht="21" x14ac:dyDescent="0.25">
      <c r="A2590" s="2" t="str">
        <f>HYPERLINK("https://rth.dk/resources/bsgatlas/details.php?id=BSGatlas-terminator-2589","BSGatlas-terminator-2589")</f>
        <v>BSGatlas-terminator-2589</v>
      </c>
      <c r="B2590" s="3">
        <v>4109133</v>
      </c>
      <c r="C2590" s="3">
        <v>4109178</v>
      </c>
      <c r="D2590" s="1" t="s">
        <v>13</v>
      </c>
      <c r="E2590" s="1">
        <v>-12.7</v>
      </c>
      <c r="F2590" s="1" t="s">
        <v>4382</v>
      </c>
    </row>
    <row r="2591" spans="1:6" ht="21" x14ac:dyDescent="0.25">
      <c r="A2591" s="2" t="str">
        <f>HYPERLINK("https://rth.dk/resources/bsgatlas/details.php?id=BSGatlas-terminator-2590","BSGatlas-terminator-2590")</f>
        <v>BSGatlas-terminator-2590</v>
      </c>
      <c r="B2591" s="3">
        <v>4109143</v>
      </c>
      <c r="C2591" s="3">
        <v>4109188</v>
      </c>
      <c r="D2591" s="1" t="s">
        <v>9</v>
      </c>
      <c r="E2591" s="1">
        <v>-12.3</v>
      </c>
      <c r="F2591" s="1" t="s">
        <v>15158</v>
      </c>
    </row>
    <row r="2592" spans="1:6" ht="21" x14ac:dyDescent="0.25">
      <c r="A2592" s="2" t="str">
        <f>HYPERLINK("https://rth.dk/resources/bsgatlas/details.php?id=BSGatlas-terminator-2591","BSGatlas-terminator-2591")</f>
        <v>BSGatlas-terminator-2591</v>
      </c>
      <c r="B2592" s="3">
        <v>4109831</v>
      </c>
      <c r="C2592" s="3">
        <v>4109897</v>
      </c>
      <c r="D2592" s="1" t="s">
        <v>13</v>
      </c>
      <c r="E2592" s="1"/>
      <c r="F2592" s="1" t="s">
        <v>15159</v>
      </c>
    </row>
    <row r="2593" spans="1:6" ht="21" x14ac:dyDescent="0.25">
      <c r="A2593" s="2" t="str">
        <f>HYPERLINK("https://rth.dk/resources/bsgatlas/details.php?id=BSGatlas-terminator-2592","BSGatlas-terminator-2592")</f>
        <v>BSGatlas-terminator-2592</v>
      </c>
      <c r="B2593" s="3">
        <v>4110903</v>
      </c>
      <c r="C2593" s="3">
        <v>4110945</v>
      </c>
      <c r="D2593" s="1" t="s">
        <v>13</v>
      </c>
      <c r="E2593" s="1">
        <v>-18.899999999999999</v>
      </c>
      <c r="F2593" s="1" t="s">
        <v>15158</v>
      </c>
    </row>
    <row r="2594" spans="1:6" ht="21" x14ac:dyDescent="0.25">
      <c r="A2594" s="2" t="str">
        <f>HYPERLINK("https://rth.dk/resources/bsgatlas/details.php?id=BSGatlas-terminator-2593","BSGatlas-terminator-2593")</f>
        <v>BSGatlas-terminator-2593</v>
      </c>
      <c r="B2594" s="3">
        <v>4110913</v>
      </c>
      <c r="C2594" s="3">
        <v>4110955</v>
      </c>
      <c r="D2594" s="1" t="s">
        <v>9</v>
      </c>
      <c r="E2594" s="1">
        <v>-16.100000000000001</v>
      </c>
      <c r="F2594" s="1" t="s">
        <v>4382</v>
      </c>
    </row>
    <row r="2595" spans="1:6" ht="21" x14ac:dyDescent="0.25">
      <c r="A2595" s="2" t="str">
        <f>HYPERLINK("https://rth.dk/resources/bsgatlas/details.php?id=BSGatlas-terminator-2594","BSGatlas-terminator-2594")</f>
        <v>BSGatlas-terminator-2594</v>
      </c>
      <c r="B2595" s="3">
        <v>4118495</v>
      </c>
      <c r="C2595" s="3">
        <v>4118539</v>
      </c>
      <c r="D2595" s="1" t="s">
        <v>9</v>
      </c>
      <c r="E2595" s="1">
        <v>-14.2</v>
      </c>
      <c r="F2595" s="1" t="s">
        <v>15158</v>
      </c>
    </row>
    <row r="2596" spans="1:6" ht="21" x14ac:dyDescent="0.25">
      <c r="A2596" s="2" t="str">
        <f>HYPERLINK("https://rth.dk/resources/bsgatlas/details.php?id=BSGatlas-terminator-2595","BSGatlas-terminator-2595")</f>
        <v>BSGatlas-terminator-2595</v>
      </c>
      <c r="B2596" s="3">
        <v>4120861</v>
      </c>
      <c r="C2596" s="3">
        <v>4120905</v>
      </c>
      <c r="D2596" s="1" t="s">
        <v>13</v>
      </c>
      <c r="E2596" s="1">
        <v>-18</v>
      </c>
      <c r="F2596" s="1" t="s">
        <v>15157</v>
      </c>
    </row>
    <row r="2597" spans="1:6" ht="21" x14ac:dyDescent="0.25">
      <c r="A2597" s="2" t="str">
        <f>HYPERLINK("https://rth.dk/resources/bsgatlas/details.php?id=BSGatlas-terminator-2596","BSGatlas-terminator-2596")</f>
        <v>BSGatlas-terminator-2596</v>
      </c>
      <c r="B2597" s="3">
        <v>4121061</v>
      </c>
      <c r="C2597" s="3">
        <v>4121113</v>
      </c>
      <c r="D2597" s="1" t="s">
        <v>9</v>
      </c>
      <c r="E2597" s="1">
        <v>-24</v>
      </c>
      <c r="F2597" s="1" t="s">
        <v>15158</v>
      </c>
    </row>
    <row r="2598" spans="1:6" ht="21" x14ac:dyDescent="0.25">
      <c r="A2598" s="2" t="str">
        <f>HYPERLINK("https://rth.dk/resources/bsgatlas/details.php?id=BSGatlas-terminator-2597","BSGatlas-terminator-2597")</f>
        <v>BSGatlas-terminator-2597</v>
      </c>
      <c r="B2598" s="3">
        <v>4121108</v>
      </c>
      <c r="C2598" s="3">
        <v>4121181</v>
      </c>
      <c r="D2598" s="1" t="s">
        <v>13</v>
      </c>
      <c r="E2598" s="1">
        <v>-21.4</v>
      </c>
      <c r="F2598" s="1" t="s">
        <v>15160</v>
      </c>
    </row>
    <row r="2599" spans="1:6" ht="21" x14ac:dyDescent="0.25">
      <c r="A2599" s="2" t="str">
        <f>HYPERLINK("https://rth.dk/resources/bsgatlas/details.php?id=BSGatlas-terminator-2598","BSGatlas-terminator-2598")</f>
        <v>BSGatlas-terminator-2598</v>
      </c>
      <c r="B2599" s="3">
        <v>4124018</v>
      </c>
      <c r="C2599" s="3">
        <v>4124065</v>
      </c>
      <c r="D2599" s="1" t="s">
        <v>9</v>
      </c>
      <c r="E2599" s="1">
        <v>-7.6</v>
      </c>
      <c r="F2599" s="1" t="s">
        <v>4382</v>
      </c>
    </row>
    <row r="2600" spans="1:6" ht="21" x14ac:dyDescent="0.25">
      <c r="A2600" s="2" t="str">
        <f>HYPERLINK("https://rth.dk/resources/bsgatlas/details.php?id=BSGatlas-terminator-2599","BSGatlas-terminator-2599")</f>
        <v>BSGatlas-terminator-2599</v>
      </c>
      <c r="B2600" s="3">
        <v>4124144</v>
      </c>
      <c r="C2600" s="3">
        <v>4124188</v>
      </c>
      <c r="D2600" s="1" t="s">
        <v>9</v>
      </c>
      <c r="E2600" s="1">
        <v>-14.7</v>
      </c>
      <c r="F2600" s="1" t="s">
        <v>15157</v>
      </c>
    </row>
    <row r="2601" spans="1:6" ht="21" x14ac:dyDescent="0.25">
      <c r="A2601" s="2" t="str">
        <f>HYPERLINK("https://rth.dk/resources/bsgatlas/details.php?id=BSGatlas-terminator-2600","BSGatlas-terminator-2600")</f>
        <v>BSGatlas-terminator-2600</v>
      </c>
      <c r="B2601" s="3">
        <v>4124176</v>
      </c>
      <c r="C2601" s="3">
        <v>4124216</v>
      </c>
      <c r="D2601" s="1" t="s">
        <v>13</v>
      </c>
      <c r="E2601" s="1">
        <v>-13.8</v>
      </c>
      <c r="F2601" s="1" t="s">
        <v>15158</v>
      </c>
    </row>
    <row r="2602" spans="1:6" ht="21" x14ac:dyDescent="0.25">
      <c r="A2602" s="2" t="str">
        <f>HYPERLINK("https://rth.dk/resources/bsgatlas/details.php?id=BSGatlas-terminator-2601","BSGatlas-terminator-2601")</f>
        <v>BSGatlas-terminator-2601</v>
      </c>
      <c r="B2602" s="3">
        <v>4127407</v>
      </c>
      <c r="C2602" s="3">
        <v>4127451</v>
      </c>
      <c r="D2602" s="1" t="s">
        <v>9</v>
      </c>
      <c r="E2602" s="1">
        <v>-9.4</v>
      </c>
      <c r="F2602" s="1" t="s">
        <v>15157</v>
      </c>
    </row>
    <row r="2603" spans="1:6" ht="21" x14ac:dyDescent="0.25">
      <c r="A2603" s="2" t="str">
        <f>HYPERLINK("https://rth.dk/resources/bsgatlas/details.php?id=BSGatlas-terminator-2602","BSGatlas-terminator-2602")</f>
        <v>BSGatlas-terminator-2602</v>
      </c>
      <c r="B2603" s="3">
        <v>4127483</v>
      </c>
      <c r="C2603" s="3">
        <v>4127527</v>
      </c>
      <c r="D2603" s="1" t="s">
        <v>13</v>
      </c>
      <c r="E2603" s="1">
        <v>-10.5</v>
      </c>
      <c r="F2603" s="1" t="s">
        <v>15157</v>
      </c>
    </row>
    <row r="2604" spans="1:6" ht="21" x14ac:dyDescent="0.25">
      <c r="A2604" s="2" t="str">
        <f>HYPERLINK("https://rth.dk/resources/bsgatlas/details.php?id=BSGatlas-terminator-2603","BSGatlas-terminator-2603")</f>
        <v>BSGatlas-terminator-2603</v>
      </c>
      <c r="B2604" s="3">
        <v>4127620</v>
      </c>
      <c r="C2604" s="3">
        <v>4127664</v>
      </c>
      <c r="D2604" s="1" t="s">
        <v>9</v>
      </c>
      <c r="E2604" s="1">
        <v>-9.4</v>
      </c>
      <c r="F2604" s="1" t="s">
        <v>15157</v>
      </c>
    </row>
    <row r="2605" spans="1:6" ht="21" x14ac:dyDescent="0.25">
      <c r="A2605" s="2" t="str">
        <f>HYPERLINK("https://rth.dk/resources/bsgatlas/details.php?id=BSGatlas-terminator-2604","BSGatlas-terminator-2604")</f>
        <v>BSGatlas-terminator-2604</v>
      </c>
      <c r="B2605" s="3">
        <v>4130224</v>
      </c>
      <c r="C2605" s="3">
        <v>4130290</v>
      </c>
      <c r="D2605" s="1" t="s">
        <v>13</v>
      </c>
      <c r="E2605" s="1"/>
      <c r="F2605" s="1" t="s">
        <v>15159</v>
      </c>
    </row>
    <row r="2606" spans="1:6" ht="21" x14ac:dyDescent="0.25">
      <c r="A2606" s="2" t="str">
        <f>HYPERLINK("https://rth.dk/resources/bsgatlas/details.php?id=BSGatlas-terminator-2605","BSGatlas-terminator-2605")</f>
        <v>BSGatlas-terminator-2605</v>
      </c>
      <c r="B2606" s="3">
        <v>4130338</v>
      </c>
      <c r="C2606" s="3">
        <v>4130392</v>
      </c>
      <c r="D2606" s="1" t="s">
        <v>9</v>
      </c>
      <c r="E2606" s="1">
        <v>-13.8</v>
      </c>
      <c r="F2606" s="1" t="s">
        <v>4382</v>
      </c>
    </row>
    <row r="2607" spans="1:6" ht="21" x14ac:dyDescent="0.25">
      <c r="A2607" s="2" t="str">
        <f>HYPERLINK("https://rth.dk/resources/bsgatlas/details.php?id=BSGatlas-terminator-2606","BSGatlas-terminator-2606")</f>
        <v>BSGatlas-terminator-2606</v>
      </c>
      <c r="B2607" s="3">
        <v>4130599</v>
      </c>
      <c r="C2607" s="3">
        <v>4130643</v>
      </c>
      <c r="D2607" s="1" t="s">
        <v>13</v>
      </c>
      <c r="E2607" s="1">
        <v>-10.5</v>
      </c>
      <c r="F2607" s="1" t="s">
        <v>15157</v>
      </c>
    </row>
    <row r="2608" spans="1:6" ht="21" x14ac:dyDescent="0.25">
      <c r="A2608" s="2" t="str">
        <f>HYPERLINK("https://rth.dk/resources/bsgatlas/details.php?id=BSGatlas-terminator-2607","BSGatlas-terminator-2607")</f>
        <v>BSGatlas-terminator-2607</v>
      </c>
      <c r="B2608" s="3">
        <v>4131376</v>
      </c>
      <c r="C2608" s="3">
        <v>4131442</v>
      </c>
      <c r="D2608" s="1" t="s">
        <v>9</v>
      </c>
      <c r="E2608" s="1"/>
      <c r="F2608" s="1" t="s">
        <v>15159</v>
      </c>
    </row>
    <row r="2609" spans="1:6" ht="21" x14ac:dyDescent="0.25">
      <c r="A2609" s="2" t="str">
        <f>HYPERLINK("https://rth.dk/resources/bsgatlas/details.php?id=BSGatlas-terminator-2608","BSGatlas-terminator-2608")</f>
        <v>BSGatlas-terminator-2608</v>
      </c>
      <c r="B2609" s="3">
        <v>4135751</v>
      </c>
      <c r="C2609" s="3">
        <v>4135794</v>
      </c>
      <c r="D2609" s="1" t="s">
        <v>13</v>
      </c>
      <c r="E2609" s="1">
        <v>-17.399999999999999</v>
      </c>
      <c r="F2609" s="1" t="s">
        <v>15158</v>
      </c>
    </row>
    <row r="2610" spans="1:6" ht="21" x14ac:dyDescent="0.25">
      <c r="A2610" s="2" t="str">
        <f>HYPERLINK("https://rth.dk/resources/bsgatlas/details.php?id=BSGatlas-terminator-2609","BSGatlas-terminator-2609")</f>
        <v>BSGatlas-terminator-2609</v>
      </c>
      <c r="B2610" s="3">
        <v>4135761</v>
      </c>
      <c r="C2610" s="3">
        <v>4135804</v>
      </c>
      <c r="D2610" s="1" t="s">
        <v>9</v>
      </c>
      <c r="E2610" s="1">
        <v>-17.399999999999999</v>
      </c>
      <c r="F2610" s="1" t="s">
        <v>15158</v>
      </c>
    </row>
    <row r="2611" spans="1:6" ht="21" x14ac:dyDescent="0.25">
      <c r="A2611" s="2" t="str">
        <f>HYPERLINK("https://rth.dk/resources/bsgatlas/details.php?id=BSGatlas-terminator-2610","BSGatlas-terminator-2610")</f>
        <v>BSGatlas-terminator-2610</v>
      </c>
      <c r="B2611" s="3">
        <v>4137314</v>
      </c>
      <c r="C2611" s="3">
        <v>4137352</v>
      </c>
      <c r="D2611" s="1" t="s">
        <v>13</v>
      </c>
      <c r="E2611" s="1">
        <v>-9.1</v>
      </c>
      <c r="F2611" s="1" t="s">
        <v>4382</v>
      </c>
    </row>
    <row r="2612" spans="1:6" ht="21" x14ac:dyDescent="0.25">
      <c r="A2612" s="2" t="str">
        <f>HYPERLINK("https://rth.dk/resources/bsgatlas/details.php?id=BSGatlas-terminator-2611","BSGatlas-terminator-2611")</f>
        <v>BSGatlas-terminator-2611</v>
      </c>
      <c r="B2612" s="3">
        <v>4139642</v>
      </c>
      <c r="C2612" s="3">
        <v>4139676</v>
      </c>
      <c r="D2612" s="1" t="s">
        <v>13</v>
      </c>
      <c r="E2612" s="1">
        <v>-10.1</v>
      </c>
      <c r="F2612" s="1" t="s">
        <v>15158</v>
      </c>
    </row>
    <row r="2613" spans="1:6" ht="21" x14ac:dyDescent="0.25">
      <c r="A2613" s="2" t="str">
        <f>HYPERLINK("https://rth.dk/resources/bsgatlas/details.php?id=BSGatlas-terminator-2612","BSGatlas-terminator-2612")</f>
        <v>BSGatlas-terminator-2612</v>
      </c>
      <c r="B2613" s="3">
        <v>4141441</v>
      </c>
      <c r="C2613" s="3">
        <v>4141485</v>
      </c>
      <c r="D2613" s="1" t="s">
        <v>9</v>
      </c>
      <c r="E2613" s="1">
        <v>-13.7</v>
      </c>
      <c r="F2613" s="1" t="s">
        <v>15157</v>
      </c>
    </row>
    <row r="2614" spans="1:6" ht="21" x14ac:dyDescent="0.25">
      <c r="A2614" s="2" t="str">
        <f>HYPERLINK("https://rth.dk/resources/bsgatlas/details.php?id=BSGatlas-terminator-2613","BSGatlas-terminator-2613")</f>
        <v>BSGatlas-terminator-2613</v>
      </c>
      <c r="B2614" s="3">
        <v>4141515</v>
      </c>
      <c r="C2614" s="3">
        <v>4141560</v>
      </c>
      <c r="D2614" s="1" t="s">
        <v>9</v>
      </c>
      <c r="E2614" s="1">
        <v>-12.9</v>
      </c>
      <c r="F2614" s="1" t="s">
        <v>4382</v>
      </c>
    </row>
    <row r="2615" spans="1:6" ht="21" x14ac:dyDescent="0.25">
      <c r="A2615" s="2" t="str">
        <f>HYPERLINK("https://rth.dk/resources/bsgatlas/details.php?id=BSGatlas-terminator-2614","BSGatlas-terminator-2614")</f>
        <v>BSGatlas-terminator-2614</v>
      </c>
      <c r="B2615" s="3">
        <v>4141686</v>
      </c>
      <c r="C2615" s="3">
        <v>4141700</v>
      </c>
      <c r="D2615" s="1" t="s">
        <v>13</v>
      </c>
      <c r="E2615" s="1">
        <v>-13.7</v>
      </c>
      <c r="F2615" s="1" t="s">
        <v>15161</v>
      </c>
    </row>
    <row r="2616" spans="1:6" ht="21" x14ac:dyDescent="0.25">
      <c r="A2616" s="2" t="str">
        <f>HYPERLINK("https://rth.dk/resources/bsgatlas/details.php?id=BSGatlas-terminator-2615","BSGatlas-terminator-2615")</f>
        <v>BSGatlas-terminator-2615</v>
      </c>
      <c r="B2616" s="3">
        <v>4141757</v>
      </c>
      <c r="C2616" s="3">
        <v>4141801</v>
      </c>
      <c r="D2616" s="1" t="s">
        <v>13</v>
      </c>
      <c r="E2616" s="1">
        <v>-13.7</v>
      </c>
      <c r="F2616" s="1" t="s">
        <v>15157</v>
      </c>
    </row>
    <row r="2617" spans="1:6" ht="21" x14ac:dyDescent="0.25">
      <c r="A2617" s="2" t="str">
        <f>HYPERLINK("https://rth.dk/resources/bsgatlas/details.php?id=BSGatlas-terminator-2616","BSGatlas-terminator-2616")</f>
        <v>BSGatlas-terminator-2616</v>
      </c>
      <c r="B2617" s="3">
        <v>4147488</v>
      </c>
      <c r="C2617" s="3">
        <v>4147532</v>
      </c>
      <c r="D2617" s="1" t="s">
        <v>9</v>
      </c>
      <c r="E2617" s="1">
        <v>-13.6</v>
      </c>
      <c r="F2617" s="1" t="s">
        <v>15158</v>
      </c>
    </row>
    <row r="2618" spans="1:6" ht="21" x14ac:dyDescent="0.25">
      <c r="A2618" s="2" t="str">
        <f>HYPERLINK("https://rth.dk/resources/bsgatlas/details.php?id=BSGatlas-terminator-2617","BSGatlas-terminator-2617")</f>
        <v>BSGatlas-terminator-2617</v>
      </c>
      <c r="B2618" s="3">
        <v>4147522</v>
      </c>
      <c r="C2618" s="3">
        <v>4147565</v>
      </c>
      <c r="D2618" s="1" t="s">
        <v>13</v>
      </c>
      <c r="E2618" s="1">
        <v>-17.600000000000001</v>
      </c>
      <c r="F2618" s="1" t="s">
        <v>4382</v>
      </c>
    </row>
    <row r="2619" spans="1:6" ht="21" x14ac:dyDescent="0.25">
      <c r="A2619" s="2" t="str">
        <f>HYPERLINK("https://rth.dk/resources/bsgatlas/details.php?id=BSGatlas-terminator-2618","BSGatlas-terminator-2618")</f>
        <v>BSGatlas-terminator-2618</v>
      </c>
      <c r="B2619" s="3">
        <v>4147569</v>
      </c>
      <c r="C2619" s="3">
        <v>4147613</v>
      </c>
      <c r="D2619" s="1" t="s">
        <v>13</v>
      </c>
      <c r="E2619" s="1">
        <v>-15</v>
      </c>
      <c r="F2619" s="1" t="s">
        <v>15157</v>
      </c>
    </row>
    <row r="2620" spans="1:6" ht="21" x14ac:dyDescent="0.25">
      <c r="A2620" s="2" t="str">
        <f>HYPERLINK("https://rth.dk/resources/bsgatlas/details.php?id=BSGatlas-terminator-2619","BSGatlas-terminator-2619")</f>
        <v>BSGatlas-terminator-2619</v>
      </c>
      <c r="B2620" s="3">
        <v>4154764</v>
      </c>
      <c r="C2620" s="3">
        <v>4154808</v>
      </c>
      <c r="D2620" s="1" t="s">
        <v>13</v>
      </c>
      <c r="E2620" s="1">
        <v>-10.6</v>
      </c>
      <c r="F2620" s="1" t="s">
        <v>15157</v>
      </c>
    </row>
    <row r="2621" spans="1:6" ht="21" x14ac:dyDescent="0.25">
      <c r="A2621" s="2" t="str">
        <f>HYPERLINK("https://rth.dk/resources/bsgatlas/details.php?id=BSGatlas-terminator-2620","BSGatlas-terminator-2620")</f>
        <v>BSGatlas-terminator-2620</v>
      </c>
      <c r="B2621" s="3">
        <v>4155395</v>
      </c>
      <c r="C2621" s="3">
        <v>4155418</v>
      </c>
      <c r="D2621" s="1" t="s">
        <v>13</v>
      </c>
      <c r="E2621" s="1">
        <v>-17.8</v>
      </c>
      <c r="F2621" s="1" t="s">
        <v>4547</v>
      </c>
    </row>
    <row r="2622" spans="1:6" ht="21" x14ac:dyDescent="0.25">
      <c r="A2622" s="2" t="str">
        <f>HYPERLINK("https://rth.dk/resources/bsgatlas/details.php?id=BSGatlas-terminator-2621","BSGatlas-terminator-2621")</f>
        <v>BSGatlas-terminator-2621</v>
      </c>
      <c r="B2622" s="3">
        <v>4155422</v>
      </c>
      <c r="C2622" s="3">
        <v>4155466</v>
      </c>
      <c r="D2622" s="1" t="s">
        <v>13</v>
      </c>
      <c r="E2622" s="1">
        <v>-10.5</v>
      </c>
      <c r="F2622" s="1" t="s">
        <v>15157</v>
      </c>
    </row>
    <row r="2623" spans="1:6" ht="21" x14ac:dyDescent="0.25">
      <c r="A2623" s="2" t="str">
        <f>HYPERLINK("https://rth.dk/resources/bsgatlas/details.php?id=BSGatlas-terminator-2622","BSGatlas-terminator-2622")</f>
        <v>BSGatlas-terminator-2622</v>
      </c>
      <c r="B2623" s="3">
        <v>4157434</v>
      </c>
      <c r="C2623" s="3">
        <v>4157474</v>
      </c>
      <c r="D2623" s="1" t="s">
        <v>13</v>
      </c>
      <c r="E2623" s="1">
        <v>-15.9</v>
      </c>
      <c r="F2623" s="1" t="s">
        <v>15158</v>
      </c>
    </row>
    <row r="2624" spans="1:6" ht="21" x14ac:dyDescent="0.25">
      <c r="A2624" s="2" t="str">
        <f>HYPERLINK("https://rth.dk/resources/bsgatlas/details.php?id=BSGatlas-terminator-2623","BSGatlas-terminator-2623")</f>
        <v>BSGatlas-terminator-2623</v>
      </c>
      <c r="B2624" s="3">
        <v>4159153</v>
      </c>
      <c r="C2624" s="3">
        <v>4159197</v>
      </c>
      <c r="D2624" s="1" t="s">
        <v>9</v>
      </c>
      <c r="E2624" s="1">
        <v>-9.5</v>
      </c>
      <c r="F2624" s="1" t="s">
        <v>15157</v>
      </c>
    </row>
    <row r="2625" spans="1:6" ht="21" x14ac:dyDescent="0.25">
      <c r="A2625" s="2" t="str">
        <f>HYPERLINK("https://rth.dk/resources/bsgatlas/details.php?id=BSGatlas-terminator-2624","BSGatlas-terminator-2624")</f>
        <v>BSGatlas-terminator-2624</v>
      </c>
      <c r="B2625" s="3">
        <v>4159211</v>
      </c>
      <c r="C2625" s="3">
        <v>4159248</v>
      </c>
      <c r="D2625" s="1" t="s">
        <v>9</v>
      </c>
      <c r="E2625" s="1">
        <v>-12.1</v>
      </c>
      <c r="F2625" s="1" t="s">
        <v>4382</v>
      </c>
    </row>
    <row r="2626" spans="1:6" ht="21" x14ac:dyDescent="0.25">
      <c r="A2626" s="2" t="str">
        <f>HYPERLINK("https://rth.dk/resources/bsgatlas/details.php?id=BSGatlas-terminator-2625","BSGatlas-terminator-2625")</f>
        <v>BSGatlas-terminator-2625</v>
      </c>
      <c r="B2626" s="3">
        <v>4160995</v>
      </c>
      <c r="C2626" s="3">
        <v>4161033</v>
      </c>
      <c r="D2626" s="1" t="s">
        <v>9</v>
      </c>
      <c r="E2626" s="1">
        <v>-12.9</v>
      </c>
      <c r="F2626" s="1" t="s">
        <v>15158</v>
      </c>
    </row>
    <row r="2627" spans="1:6" ht="21" x14ac:dyDescent="0.25">
      <c r="A2627" s="2" t="str">
        <f>HYPERLINK("https://rth.dk/resources/bsgatlas/details.php?id=BSGatlas-terminator-2626","BSGatlas-terminator-2626")</f>
        <v>BSGatlas-terminator-2626</v>
      </c>
      <c r="B2627" s="3">
        <v>4163003</v>
      </c>
      <c r="C2627" s="3">
        <v>4163047</v>
      </c>
      <c r="D2627" s="1" t="s">
        <v>9</v>
      </c>
      <c r="E2627" s="1">
        <v>-16.600000000000001</v>
      </c>
      <c r="F2627" s="1" t="s">
        <v>15157</v>
      </c>
    </row>
    <row r="2628" spans="1:6" ht="21" x14ac:dyDescent="0.25">
      <c r="A2628" s="2" t="str">
        <f>HYPERLINK("https://rth.dk/resources/bsgatlas/details.php?id=BSGatlas-terminator-2627","BSGatlas-terminator-2627")</f>
        <v>BSGatlas-terminator-2627</v>
      </c>
      <c r="B2628" s="3">
        <v>4163151</v>
      </c>
      <c r="C2628" s="3">
        <v>4163194</v>
      </c>
      <c r="D2628" s="1" t="s">
        <v>13</v>
      </c>
      <c r="E2628" s="1">
        <v>-19.399999999999999</v>
      </c>
      <c r="F2628" s="1" t="s">
        <v>15158</v>
      </c>
    </row>
    <row r="2629" spans="1:6" ht="21" x14ac:dyDescent="0.25">
      <c r="A2629" s="2" t="str">
        <f>HYPERLINK("https://rth.dk/resources/bsgatlas/details.php?id=BSGatlas-terminator-2628","BSGatlas-terminator-2628")</f>
        <v>BSGatlas-terminator-2628</v>
      </c>
      <c r="B2629" s="3">
        <v>4166819</v>
      </c>
      <c r="C2629" s="3">
        <v>4166863</v>
      </c>
      <c r="D2629" s="1" t="s">
        <v>13</v>
      </c>
      <c r="E2629" s="1">
        <v>-8.4</v>
      </c>
      <c r="F2629" s="1" t="s">
        <v>15157</v>
      </c>
    </row>
    <row r="2630" spans="1:6" ht="21" x14ac:dyDescent="0.25">
      <c r="A2630" s="2" t="str">
        <f>HYPERLINK("https://rth.dk/resources/bsgatlas/details.php?id=BSGatlas-terminator-2629","BSGatlas-terminator-2629")</f>
        <v>BSGatlas-terminator-2629</v>
      </c>
      <c r="B2630" s="3">
        <v>4167583</v>
      </c>
      <c r="C2630" s="3">
        <v>4167627</v>
      </c>
      <c r="D2630" s="1" t="s">
        <v>13</v>
      </c>
      <c r="E2630" s="1">
        <v>-19.100000000000001</v>
      </c>
      <c r="F2630" s="1" t="s">
        <v>15158</v>
      </c>
    </row>
    <row r="2631" spans="1:6" ht="21" x14ac:dyDescent="0.25">
      <c r="A2631" s="2" t="str">
        <f>HYPERLINK("https://rth.dk/resources/bsgatlas/details.php?id=BSGatlas-terminator-2630","BSGatlas-terminator-2630")</f>
        <v>BSGatlas-terminator-2630</v>
      </c>
      <c r="B2631" s="3">
        <v>4167592</v>
      </c>
      <c r="C2631" s="3">
        <v>4167639</v>
      </c>
      <c r="D2631" s="1" t="s">
        <v>9</v>
      </c>
      <c r="E2631" s="1">
        <v>-21.7</v>
      </c>
      <c r="F2631" s="1" t="s">
        <v>15158</v>
      </c>
    </row>
    <row r="2632" spans="1:6" ht="21" x14ac:dyDescent="0.25">
      <c r="A2632" s="2" t="str">
        <f>HYPERLINK("https://rth.dk/resources/bsgatlas/details.php?id=BSGatlas-terminator-2631","BSGatlas-terminator-2631")</f>
        <v>BSGatlas-terminator-2631</v>
      </c>
      <c r="B2632" s="3">
        <v>4169126</v>
      </c>
      <c r="C2632" s="3">
        <v>4169164</v>
      </c>
      <c r="D2632" s="1" t="s">
        <v>13</v>
      </c>
      <c r="E2632" s="1">
        <v>-14.8</v>
      </c>
      <c r="F2632" s="1" t="s">
        <v>15158</v>
      </c>
    </row>
    <row r="2633" spans="1:6" ht="21" x14ac:dyDescent="0.25">
      <c r="A2633" s="2" t="str">
        <f>HYPERLINK("https://rth.dk/resources/bsgatlas/details.php?id=BSGatlas-terminator-2632","BSGatlas-terminator-2632")</f>
        <v>BSGatlas-terminator-2632</v>
      </c>
      <c r="B2633" s="3">
        <v>4169136</v>
      </c>
      <c r="C2633" s="3">
        <v>4169174</v>
      </c>
      <c r="D2633" s="1" t="s">
        <v>9</v>
      </c>
      <c r="E2633" s="1">
        <v>-14.8</v>
      </c>
      <c r="F2633" s="1" t="s">
        <v>15158</v>
      </c>
    </row>
    <row r="2634" spans="1:6" ht="21" x14ac:dyDescent="0.25">
      <c r="A2634" s="2" t="str">
        <f>HYPERLINK("https://rth.dk/resources/bsgatlas/details.php?id=BSGatlas-terminator-2633","BSGatlas-terminator-2633")</f>
        <v>BSGatlas-terminator-2633</v>
      </c>
      <c r="B2634" s="3">
        <v>4171131</v>
      </c>
      <c r="C2634" s="3">
        <v>4171175</v>
      </c>
      <c r="D2634" s="1" t="s">
        <v>13</v>
      </c>
      <c r="E2634" s="1">
        <v>-17.899999999999999</v>
      </c>
      <c r="F2634" s="1" t="s">
        <v>15157</v>
      </c>
    </row>
    <row r="2635" spans="1:6" ht="21" x14ac:dyDescent="0.25">
      <c r="A2635" s="2" t="str">
        <f>HYPERLINK("https://rth.dk/resources/bsgatlas/details.php?id=BSGatlas-terminator-2634","BSGatlas-terminator-2634")</f>
        <v>BSGatlas-terminator-2634</v>
      </c>
      <c r="B2635" s="3">
        <v>4171319</v>
      </c>
      <c r="C2635" s="3">
        <v>4171363</v>
      </c>
      <c r="D2635" s="1" t="s">
        <v>9</v>
      </c>
      <c r="E2635" s="1">
        <v>-17.899999999999999</v>
      </c>
      <c r="F2635" s="1" t="s">
        <v>15157</v>
      </c>
    </row>
    <row r="2636" spans="1:6" ht="21" x14ac:dyDescent="0.25">
      <c r="A2636" s="2" t="str">
        <f>HYPERLINK("https://rth.dk/resources/bsgatlas/details.php?id=BSGatlas-terminator-2635","BSGatlas-terminator-2635")</f>
        <v>BSGatlas-terminator-2635</v>
      </c>
      <c r="B2636" s="3">
        <v>4171395</v>
      </c>
      <c r="C2636" s="3">
        <v>4171439</v>
      </c>
      <c r="D2636" s="1" t="s">
        <v>13</v>
      </c>
      <c r="E2636" s="1">
        <v>-17.899999999999999</v>
      </c>
      <c r="F2636" s="1" t="s">
        <v>15157</v>
      </c>
    </row>
    <row r="2637" spans="1:6" ht="21" x14ac:dyDescent="0.25">
      <c r="A2637" s="2" t="str">
        <f>HYPERLINK("https://rth.dk/resources/bsgatlas/details.php?id=BSGatlas-terminator-2636","BSGatlas-terminator-2636")</f>
        <v>BSGatlas-terminator-2636</v>
      </c>
      <c r="B2637" s="3">
        <v>4172045</v>
      </c>
      <c r="C2637" s="3">
        <v>4172089</v>
      </c>
      <c r="D2637" s="1" t="s">
        <v>9</v>
      </c>
      <c r="E2637" s="1">
        <v>-13.7</v>
      </c>
      <c r="F2637" s="1" t="s">
        <v>15157</v>
      </c>
    </row>
    <row r="2638" spans="1:6" ht="21" x14ac:dyDescent="0.25">
      <c r="A2638" s="2" t="str">
        <f>HYPERLINK("https://rth.dk/resources/bsgatlas/details.php?id=BSGatlas-terminator-2637","BSGatlas-terminator-2637")</f>
        <v>BSGatlas-terminator-2637</v>
      </c>
      <c r="B2638" s="3">
        <v>4173601</v>
      </c>
      <c r="C2638" s="3">
        <v>4173645</v>
      </c>
      <c r="D2638" s="1" t="s">
        <v>9</v>
      </c>
      <c r="E2638" s="1">
        <v>-11.9</v>
      </c>
      <c r="F2638" s="1" t="s">
        <v>15160</v>
      </c>
    </row>
    <row r="2639" spans="1:6" ht="21" x14ac:dyDescent="0.25">
      <c r="A2639" s="2" t="str">
        <f>HYPERLINK("https://rth.dk/resources/bsgatlas/details.php?id=BSGatlas-terminator-2638","BSGatlas-terminator-2638")</f>
        <v>BSGatlas-terminator-2638</v>
      </c>
      <c r="B2639" s="3">
        <v>4174227</v>
      </c>
      <c r="C2639" s="3">
        <v>4174293</v>
      </c>
      <c r="D2639" s="1" t="s">
        <v>13</v>
      </c>
      <c r="E2639" s="1"/>
      <c r="F2639" s="1" t="s">
        <v>15159</v>
      </c>
    </row>
    <row r="2640" spans="1:6" ht="21" x14ac:dyDescent="0.25">
      <c r="A2640" s="2" t="str">
        <f>HYPERLINK("https://rth.dk/resources/bsgatlas/details.php?id=BSGatlas-terminator-2639","BSGatlas-terminator-2639")</f>
        <v>BSGatlas-terminator-2639</v>
      </c>
      <c r="B2640" s="3">
        <v>4174597</v>
      </c>
      <c r="C2640" s="3">
        <v>4174641</v>
      </c>
      <c r="D2640" s="1" t="s">
        <v>9</v>
      </c>
      <c r="E2640" s="1">
        <v>-9.5</v>
      </c>
      <c r="F2640" s="1" t="s">
        <v>15157</v>
      </c>
    </row>
    <row r="2641" spans="1:6" ht="21" x14ac:dyDescent="0.25">
      <c r="A2641" s="2" t="str">
        <f>HYPERLINK("https://rth.dk/resources/bsgatlas/details.php?id=BSGatlas-terminator-2640","BSGatlas-terminator-2640")</f>
        <v>BSGatlas-terminator-2640</v>
      </c>
      <c r="B2641" s="3">
        <v>4176775</v>
      </c>
      <c r="C2641" s="3">
        <v>4176863</v>
      </c>
      <c r="D2641" s="1" t="s">
        <v>9</v>
      </c>
      <c r="E2641" s="1">
        <v>-10.3</v>
      </c>
      <c r="F2641" s="1" t="s">
        <v>15162</v>
      </c>
    </row>
    <row r="2642" spans="1:6" ht="21" x14ac:dyDescent="0.25">
      <c r="A2642" s="2" t="str">
        <f>HYPERLINK("https://rth.dk/resources/bsgatlas/details.php?id=BSGatlas-terminator-2641","BSGatlas-terminator-2641")</f>
        <v>BSGatlas-terminator-2641</v>
      </c>
      <c r="B2642" s="3">
        <v>4176841</v>
      </c>
      <c r="C2642" s="3">
        <v>4176882</v>
      </c>
      <c r="D2642" s="1" t="s">
        <v>13</v>
      </c>
      <c r="E2642" s="1">
        <v>-12.4</v>
      </c>
      <c r="F2642" s="1" t="s">
        <v>15158</v>
      </c>
    </row>
    <row r="2643" spans="1:6" ht="21" x14ac:dyDescent="0.25">
      <c r="A2643" s="2" t="str">
        <f>HYPERLINK("https://rth.dk/resources/bsgatlas/details.php?id=BSGatlas-terminator-2642","BSGatlas-terminator-2642")</f>
        <v>BSGatlas-terminator-2642</v>
      </c>
      <c r="B2643" s="3">
        <v>4179085</v>
      </c>
      <c r="C2643" s="3">
        <v>4179129</v>
      </c>
      <c r="D2643" s="1" t="s">
        <v>9</v>
      </c>
      <c r="E2643" s="1">
        <v>-6.3</v>
      </c>
      <c r="F2643" s="1" t="s">
        <v>15157</v>
      </c>
    </row>
    <row r="2644" spans="1:6" ht="21" x14ac:dyDescent="0.25">
      <c r="A2644" s="2" t="str">
        <f>HYPERLINK("https://rth.dk/resources/bsgatlas/details.php?id=BSGatlas-terminator-2643","BSGatlas-terminator-2643")</f>
        <v>BSGatlas-terminator-2643</v>
      </c>
      <c r="B2644" s="3">
        <v>4179120</v>
      </c>
      <c r="C2644" s="3">
        <v>4179156</v>
      </c>
      <c r="D2644" s="1" t="s">
        <v>13</v>
      </c>
      <c r="E2644" s="1">
        <v>-8.8000000000000007</v>
      </c>
      <c r="F2644" s="1" t="s">
        <v>4382</v>
      </c>
    </row>
    <row r="2645" spans="1:6" ht="21" x14ac:dyDescent="0.25">
      <c r="A2645" s="2" t="str">
        <f>HYPERLINK("https://rth.dk/resources/bsgatlas/details.php?id=BSGatlas-terminator-2644","BSGatlas-terminator-2644")</f>
        <v>BSGatlas-terminator-2644</v>
      </c>
      <c r="B2645" s="3">
        <v>4179130</v>
      </c>
      <c r="C2645" s="3">
        <v>4179166</v>
      </c>
      <c r="D2645" s="1" t="s">
        <v>9</v>
      </c>
      <c r="E2645" s="1">
        <v>-8.3000000000000007</v>
      </c>
      <c r="F2645" s="1" t="s">
        <v>4382</v>
      </c>
    </row>
    <row r="2646" spans="1:6" ht="21" x14ac:dyDescent="0.25">
      <c r="A2646" s="2" t="str">
        <f>HYPERLINK("https://rth.dk/resources/bsgatlas/details.php?id=BSGatlas-terminator-2645","BSGatlas-terminator-2645")</f>
        <v>BSGatlas-terminator-2645</v>
      </c>
      <c r="B2646" s="3">
        <v>4179159</v>
      </c>
      <c r="C2646" s="3">
        <v>4179203</v>
      </c>
      <c r="D2646" s="1" t="s">
        <v>13</v>
      </c>
      <c r="E2646" s="1">
        <v>-6.3</v>
      </c>
      <c r="F2646" s="1" t="s">
        <v>15157</v>
      </c>
    </row>
    <row r="2647" spans="1:6" ht="21" x14ac:dyDescent="0.25">
      <c r="A2647" s="2" t="str">
        <f>HYPERLINK("https://rth.dk/resources/bsgatlas/details.php?id=BSGatlas-terminator-2646","BSGatlas-terminator-2646")</f>
        <v>BSGatlas-terminator-2646</v>
      </c>
      <c r="B2647" s="3">
        <v>4182429</v>
      </c>
      <c r="C2647" s="3">
        <v>4182473</v>
      </c>
      <c r="D2647" s="1" t="s">
        <v>9</v>
      </c>
      <c r="E2647" s="1">
        <v>-10.9</v>
      </c>
      <c r="F2647" s="1" t="s">
        <v>15157</v>
      </c>
    </row>
    <row r="2648" spans="1:6" ht="21" x14ac:dyDescent="0.25">
      <c r="A2648" s="2" t="str">
        <f>HYPERLINK("https://rth.dk/resources/bsgatlas/details.php?id=BSGatlas-terminator-2647","BSGatlas-terminator-2647")</f>
        <v>BSGatlas-terminator-2647</v>
      </c>
      <c r="B2648" s="3">
        <v>4182535</v>
      </c>
      <c r="C2648" s="3">
        <v>4182569</v>
      </c>
      <c r="D2648" s="1" t="s">
        <v>9</v>
      </c>
      <c r="E2648" s="1">
        <v>-10.3</v>
      </c>
      <c r="F2648" s="1" t="s">
        <v>4382</v>
      </c>
    </row>
    <row r="2649" spans="1:6" ht="21" x14ac:dyDescent="0.25">
      <c r="A2649" s="2" t="str">
        <f>HYPERLINK("https://rth.dk/resources/bsgatlas/details.php?id=BSGatlas-terminator-2648","BSGatlas-terminator-2648")</f>
        <v>BSGatlas-terminator-2648</v>
      </c>
      <c r="B2649" s="3">
        <v>4187621</v>
      </c>
      <c r="C2649" s="3">
        <v>4187675</v>
      </c>
      <c r="D2649" s="1" t="s">
        <v>13</v>
      </c>
      <c r="E2649" s="1">
        <v>-17.899999999999999</v>
      </c>
      <c r="F2649" s="1" t="s">
        <v>4382</v>
      </c>
    </row>
    <row r="2650" spans="1:6" ht="21" x14ac:dyDescent="0.25">
      <c r="A2650" s="2" t="str">
        <f>HYPERLINK("https://rth.dk/resources/bsgatlas/details.php?id=BSGatlas-terminator-2649","BSGatlas-terminator-2649")</f>
        <v>BSGatlas-terminator-2649</v>
      </c>
      <c r="B2650" s="3">
        <v>4189632</v>
      </c>
      <c r="C2650" s="3">
        <v>4189676</v>
      </c>
      <c r="D2650" s="1" t="s">
        <v>9</v>
      </c>
      <c r="E2650" s="1">
        <v>-8.1999999999999993</v>
      </c>
      <c r="F2650" s="1" t="s">
        <v>15157</v>
      </c>
    </row>
    <row r="2651" spans="1:6" ht="21" x14ac:dyDescent="0.25">
      <c r="A2651" s="2" t="str">
        <f>HYPERLINK("https://rth.dk/resources/bsgatlas/details.php?id=BSGatlas-terminator-2650","BSGatlas-terminator-2650")</f>
        <v>BSGatlas-terminator-2650</v>
      </c>
      <c r="B2651" s="3">
        <v>4189694</v>
      </c>
      <c r="C2651" s="3">
        <v>4189742</v>
      </c>
      <c r="D2651" s="1" t="s">
        <v>9</v>
      </c>
      <c r="E2651" s="1">
        <v>-13.8</v>
      </c>
      <c r="F2651" s="1" t="s">
        <v>4382</v>
      </c>
    </row>
    <row r="2652" spans="1:6" ht="21" x14ac:dyDescent="0.25">
      <c r="A2652" s="2" t="str">
        <f>HYPERLINK("https://rth.dk/resources/bsgatlas/details.php?id=BSGatlas-terminator-2651","BSGatlas-terminator-2651")</f>
        <v>BSGatlas-terminator-2651</v>
      </c>
      <c r="B2652" s="3">
        <v>4192893</v>
      </c>
      <c r="C2652" s="3">
        <v>4192931</v>
      </c>
      <c r="D2652" s="1" t="s">
        <v>13</v>
      </c>
      <c r="E2652" s="1">
        <v>-8.9</v>
      </c>
      <c r="F2652" s="1" t="s">
        <v>4382</v>
      </c>
    </row>
    <row r="2653" spans="1:6" ht="21" x14ac:dyDescent="0.25">
      <c r="A2653" s="2" t="str">
        <f>HYPERLINK("https://rth.dk/resources/bsgatlas/details.php?id=BSGatlas-terminator-2652","BSGatlas-terminator-2652")</f>
        <v>BSGatlas-terminator-2652</v>
      </c>
      <c r="B2653" s="3">
        <v>4193246</v>
      </c>
      <c r="C2653" s="3">
        <v>4193298</v>
      </c>
      <c r="D2653" s="1" t="s">
        <v>9</v>
      </c>
      <c r="E2653" s="1">
        <v>-22</v>
      </c>
      <c r="F2653" s="1" t="s">
        <v>15158</v>
      </c>
    </row>
    <row r="2654" spans="1:6" ht="21" x14ac:dyDescent="0.25">
      <c r="A2654" s="2" t="str">
        <f>HYPERLINK("https://rth.dk/resources/bsgatlas/details.php?id=BSGatlas-terminator-2653","BSGatlas-terminator-2653")</f>
        <v>BSGatlas-terminator-2653</v>
      </c>
      <c r="B2654" s="3">
        <v>4193285</v>
      </c>
      <c r="C2654" s="3">
        <v>4193329</v>
      </c>
      <c r="D2654" s="1" t="s">
        <v>13</v>
      </c>
      <c r="E2654" s="1">
        <v>-14.7</v>
      </c>
      <c r="F2654" s="1" t="s">
        <v>15157</v>
      </c>
    </row>
    <row r="2655" spans="1:6" ht="21" x14ac:dyDescent="0.25">
      <c r="A2655" s="2" t="str">
        <f>HYPERLINK("https://rth.dk/resources/bsgatlas/details.php?id=BSGatlas-terminator-2654","BSGatlas-terminator-2654")</f>
        <v>BSGatlas-terminator-2654</v>
      </c>
      <c r="B2655" s="3">
        <v>4198511</v>
      </c>
      <c r="C2655" s="3">
        <v>4198555</v>
      </c>
      <c r="D2655" s="1" t="s">
        <v>9</v>
      </c>
      <c r="E2655" s="1">
        <v>-6.8</v>
      </c>
      <c r="F2655" s="1" t="s">
        <v>15157</v>
      </c>
    </row>
    <row r="2656" spans="1:6" ht="21" x14ac:dyDescent="0.25">
      <c r="A2656" s="2" t="str">
        <f>HYPERLINK("https://rth.dk/resources/bsgatlas/details.php?id=BSGatlas-terminator-2655","BSGatlas-terminator-2655")</f>
        <v>BSGatlas-terminator-2655</v>
      </c>
      <c r="B2656" s="3">
        <v>4198549</v>
      </c>
      <c r="C2656" s="3">
        <v>4198594</v>
      </c>
      <c r="D2656" s="1" t="s">
        <v>13</v>
      </c>
      <c r="E2656" s="1">
        <v>-21.4</v>
      </c>
      <c r="F2656" s="1" t="s">
        <v>15158</v>
      </c>
    </row>
    <row r="2657" spans="1:6" ht="21" x14ac:dyDescent="0.25">
      <c r="A2657" s="2" t="str">
        <f>HYPERLINK("https://rth.dk/resources/bsgatlas/details.php?id=BSGatlas-terminator-2656","BSGatlas-terminator-2656")</f>
        <v>BSGatlas-terminator-2656</v>
      </c>
      <c r="B2657" s="3">
        <v>4198655</v>
      </c>
      <c r="C2657" s="3">
        <v>4198699</v>
      </c>
      <c r="D2657" s="1" t="s">
        <v>13</v>
      </c>
      <c r="E2657" s="1">
        <v>-15.3</v>
      </c>
      <c r="F2657" s="1" t="s">
        <v>15157</v>
      </c>
    </row>
    <row r="2658" spans="1:6" ht="21" x14ac:dyDescent="0.25">
      <c r="A2658" s="2" t="str">
        <f>HYPERLINK("https://rth.dk/resources/bsgatlas/details.php?id=BSGatlas-terminator-2657","BSGatlas-terminator-2657")</f>
        <v>BSGatlas-terminator-2657</v>
      </c>
      <c r="B2658" s="3">
        <v>4203364</v>
      </c>
      <c r="C2658" s="3">
        <v>4203406</v>
      </c>
      <c r="D2658" s="1" t="s">
        <v>13</v>
      </c>
      <c r="E2658" s="1">
        <v>-5.0999999999999996</v>
      </c>
      <c r="F2658" s="1" t="s">
        <v>4382</v>
      </c>
    </row>
    <row r="2659" spans="1:6" ht="21" x14ac:dyDescent="0.25">
      <c r="A2659" s="2" t="str">
        <f>HYPERLINK("https://rth.dk/resources/bsgatlas/details.php?id=BSGatlas-terminator-2658","BSGatlas-terminator-2658")</f>
        <v>BSGatlas-terminator-2658</v>
      </c>
      <c r="B2659" s="3">
        <v>4204594</v>
      </c>
      <c r="C2659" s="3">
        <v>4204638</v>
      </c>
      <c r="D2659" s="1" t="s">
        <v>13</v>
      </c>
      <c r="E2659" s="1">
        <v>-7.4</v>
      </c>
      <c r="F2659" s="1" t="s">
        <v>15157</v>
      </c>
    </row>
    <row r="2660" spans="1:6" ht="21" x14ac:dyDescent="0.25">
      <c r="A2660" s="2" t="str">
        <f>HYPERLINK("https://rth.dk/resources/bsgatlas/details.php?id=BSGatlas-terminator-2659","BSGatlas-terminator-2659")</f>
        <v>BSGatlas-terminator-2659</v>
      </c>
      <c r="B2660" s="3">
        <v>4205511</v>
      </c>
      <c r="C2660" s="3">
        <v>4205551</v>
      </c>
      <c r="D2660" s="1" t="s">
        <v>13</v>
      </c>
      <c r="E2660" s="1">
        <v>-10.9</v>
      </c>
      <c r="F2660" s="1" t="s">
        <v>4382</v>
      </c>
    </row>
    <row r="2661" spans="1:6" ht="21" x14ac:dyDescent="0.25">
      <c r="A2661" s="2" t="str">
        <f>HYPERLINK("https://rth.dk/resources/bsgatlas/details.php?id=BSGatlas-terminator-2660","BSGatlas-terminator-2660")</f>
        <v>BSGatlas-terminator-2660</v>
      </c>
      <c r="B2661" s="3">
        <v>4205521</v>
      </c>
      <c r="C2661" s="3">
        <v>4205561</v>
      </c>
      <c r="D2661" s="1" t="s">
        <v>9</v>
      </c>
      <c r="E2661" s="1">
        <v>-9.3000000000000007</v>
      </c>
      <c r="F2661" s="1" t="s">
        <v>15158</v>
      </c>
    </row>
    <row r="2662" spans="1:6" ht="21" x14ac:dyDescent="0.25">
      <c r="A2662" s="2" t="str">
        <f>HYPERLINK("https://rth.dk/resources/bsgatlas/details.php?id=BSGatlas-terminator-2661","BSGatlas-terminator-2661")</f>
        <v>BSGatlas-terminator-2661</v>
      </c>
      <c r="B2662" s="3">
        <v>4205554</v>
      </c>
      <c r="C2662" s="3">
        <v>4205598</v>
      </c>
      <c r="D2662" s="1" t="s">
        <v>13</v>
      </c>
      <c r="E2662" s="1">
        <v>-7.9</v>
      </c>
      <c r="F2662" s="1" t="s">
        <v>15157</v>
      </c>
    </row>
    <row r="2663" spans="1:6" ht="21" x14ac:dyDescent="0.25">
      <c r="A2663" s="2" t="str">
        <f>HYPERLINK("https://rth.dk/resources/bsgatlas/details.php?id=BSGatlas-terminator-2662","BSGatlas-terminator-2662")</f>
        <v>BSGatlas-terminator-2662</v>
      </c>
      <c r="B2663" s="3">
        <v>4207773</v>
      </c>
      <c r="C2663" s="3">
        <v>4207817</v>
      </c>
      <c r="D2663" s="1" t="s">
        <v>9</v>
      </c>
      <c r="E2663" s="1">
        <v>-14.5</v>
      </c>
      <c r="F2663" s="1" t="s">
        <v>15157</v>
      </c>
    </row>
    <row r="2664" spans="1:6" ht="21" x14ac:dyDescent="0.25">
      <c r="A2664" s="2" t="str">
        <f>HYPERLINK("https://rth.dk/resources/bsgatlas/details.php?id=BSGatlas-terminator-2663","BSGatlas-terminator-2663")</f>
        <v>BSGatlas-terminator-2663</v>
      </c>
      <c r="B2664" s="3">
        <v>4207857</v>
      </c>
      <c r="C2664" s="3">
        <v>4207899</v>
      </c>
      <c r="D2664" s="1" t="s">
        <v>13</v>
      </c>
      <c r="E2664" s="1">
        <v>-18.600000000000001</v>
      </c>
      <c r="F2664" s="1" t="s">
        <v>15158</v>
      </c>
    </row>
    <row r="2665" spans="1:6" ht="21" x14ac:dyDescent="0.25">
      <c r="A2665" s="2" t="str">
        <f>HYPERLINK("https://rth.dk/resources/bsgatlas/details.php?id=BSGatlas-terminator-2664","BSGatlas-terminator-2664")</f>
        <v>BSGatlas-terminator-2664</v>
      </c>
      <c r="B2665" s="3">
        <v>4207867</v>
      </c>
      <c r="C2665" s="3">
        <v>4207909</v>
      </c>
      <c r="D2665" s="1" t="s">
        <v>9</v>
      </c>
      <c r="E2665" s="1">
        <v>-17.100000000000001</v>
      </c>
      <c r="F2665" s="1" t="s">
        <v>4382</v>
      </c>
    </row>
    <row r="2666" spans="1:6" ht="21" x14ac:dyDescent="0.25">
      <c r="A2666" s="2" t="str">
        <f>HYPERLINK("https://rth.dk/resources/bsgatlas/details.php?id=BSGatlas-terminator-2665","BSGatlas-terminator-2665")</f>
        <v>BSGatlas-terminator-2665</v>
      </c>
      <c r="B2666" s="3">
        <v>4213150</v>
      </c>
      <c r="C2666" s="3">
        <v>4213197</v>
      </c>
      <c r="D2666" s="1" t="s">
        <v>13</v>
      </c>
      <c r="E2666" s="1">
        <v>-17.600000000000001</v>
      </c>
      <c r="F2666" s="1" t="s">
        <v>15158</v>
      </c>
    </row>
    <row r="2667" spans="1:6" ht="21" x14ac:dyDescent="0.25">
      <c r="A2667" s="2" t="str">
        <f>HYPERLINK("https://rth.dk/resources/bsgatlas/details.php?id=BSGatlas-terminator-2666","BSGatlas-terminator-2666")</f>
        <v>BSGatlas-terminator-2666</v>
      </c>
      <c r="B2667" s="3">
        <v>4215217</v>
      </c>
      <c r="C2667" s="3">
        <v>4215260</v>
      </c>
      <c r="D2667" s="1" t="s">
        <v>13</v>
      </c>
      <c r="E2667" s="1">
        <v>-16.100000000000001</v>
      </c>
      <c r="F2667" s="1" t="s">
        <v>4382</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Legend</vt:lpstr>
      <vt:lpstr>Genes</vt:lpstr>
      <vt:lpstr>Operons</vt:lpstr>
      <vt:lpstr>Transcripts</vt:lpstr>
      <vt:lpstr>5' UTRs</vt:lpstr>
      <vt:lpstr>3' UTRs</vt:lpstr>
      <vt:lpstr>internal UTRs</vt:lpstr>
      <vt:lpstr>TSSs</vt:lpstr>
      <vt:lpstr>Terminators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2020-07-22T08:09:32Z</dcterms:created>
  <dcterms:modified xsi:type="dcterms:W3CDTF">2020-07-25T20:05:46Z</dcterms:modified>
</cp:coreProperties>
</file>